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600" yWindow="90" windowWidth="15150" windowHeight="6210" tabRatio="831" firstSheet="1" activeTab="1"/>
  </bookViews>
  <sheets>
    <sheet name="__FDSCACHE__" sheetId="24" state="veryHidden" r:id="rId1"/>
    <sheet name="ImportantDisclosures" sheetId="70" r:id="rId2"/>
    <sheet name="CircularReferenceAlert" sheetId="73" r:id="rId3"/>
    <sheet name="Cover" sheetId="33" r:id="rId4"/>
    <sheet name="Scenarios" sheetId="45" r:id="rId5"/>
    <sheet name="IS" sheetId="3" r:id="rId6"/>
    <sheet name="BS &amp; CF" sheetId="8" r:id="rId7"/>
    <sheet name="Revenue Model" sheetId="35" r:id="rId8"/>
    <sheet name="Expense Assumptions" sheetId="37" r:id="rId9"/>
    <sheet name="Debt" sheetId="34" r:id="rId10"/>
    <sheet name="Guidance" sheetId="27" r:id="rId11"/>
    <sheet name="IndexInformation" sheetId="71" r:id="rId12"/>
    <sheet name="ModPubIndex" sheetId="72"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s>
  <definedNames>
    <definedName name="__FDS_HYPERLINK_TOGGLE_STATE__" hidden="1">"ON"</definedName>
    <definedName name="__FDS_UNIQUE_RANGE_ID_GENERATOR_COUNTER" hidden="1">21</definedName>
    <definedName name="_1__FDSAUDITLINK__" hidden="1">{"fdsup://Directions/FactSet Auditing Viewer?action=AUDIT_VALUE&amp;DB=129&amp;ID1=94946T10&amp;VALUEID=02003&amp;SDATE=2010&amp;PERIODTYPE=ANN_STD&amp;SCFT=3&amp;window=popup_no_bar&amp;width=385&amp;height=120&amp;START_MAXIMIZED=FALSE&amp;creator=factset&amp;display_string=Audit"}</definedName>
    <definedName name="_10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11__FDSAUDITLINK__" hidden="1">{"fdsup://Directions/FactSet Auditing Viewer?action=AUDIT_VALUE&amp;DB=129&amp;ID1=94946T10&amp;VALUEID=02003&amp;SDATE=2010&amp;PERIODTYPE=ANN_STD&amp;SCFT=3&amp;window=popup_no_bar&amp;width=385&amp;height=120&amp;START_MAXIMIZED=FALSE&amp;creator=factset&amp;display_string=Audit"}</definedName>
    <definedName name="_12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13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14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15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16__FDSAUDITLINK__" hidden="1">{"fdsup://Directions/FactSet Auditing Viewer?action=AUDIT_VALUE&amp;DB=129&amp;ID1=94946T10&amp;VALUEID=02003&amp;SDATE=2010&amp;PERIODTYPE=ANN_STD&amp;SCFT=3&amp;window=popup_no_bar&amp;width=385&amp;height=120&amp;START_MAXIMIZED=FALSE&amp;creator=factset&amp;display_string=Audit"}</definedName>
    <definedName name="_17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18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19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2__123Graph_ALIQUIDS" hidden="1">[1]P!$S$78:$AL$78</definedName>
    <definedName name="_2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20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3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4__123Graph_XLIQUIDS" hidden="1">[1]P!$R$29:$AK$29</definedName>
    <definedName name="_4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5__123Graph_XR_M_MARG" hidden="1">[1]P!$R$29:$AK$29</definedName>
    <definedName name="_5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6__FDSAUDITLINK__" hidden="1">{"fdsup://Directions/FactSet Auditing Viewer?action=AUDIT_VALUE&amp;DB=129&amp;ID1=94946T10&amp;VALUEID=02003&amp;SDATE=2010&amp;PERIODTYPE=ANN_STD&amp;SCFT=3&amp;window=popup_no_bar&amp;width=385&amp;height=120&amp;START_MAXIMIZED=FALSE&amp;creator=factset&amp;display_string=Audit"}</definedName>
    <definedName name="_7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8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9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acquisitions">'BS &amp; CF'!$121:$121</definedName>
    <definedName name="_adjadmits">'Revenue Model'!$102:$102</definedName>
    <definedName name="_adjEBITDA">IS!$54:$54</definedName>
    <definedName name="_adjpatdays">'Revenue Model'!$116:$116</definedName>
    <definedName name="_admits">'Revenue Model'!$93:$93</definedName>
    <definedName name="_aggmlr">[2]IS!$A$45:$IV$45</definedName>
    <definedName name="_allowance">'BS &amp; CF'!$88:$88</definedName>
    <definedName name="_allowperc">'BS &amp; CF'!$89:$89</definedName>
    <definedName name="_ap">'BS &amp; CF'!$25:$25</definedName>
    <definedName name="_ar">'BS &amp; CF'!$11:$11</definedName>
    <definedName name="_baddebt">IS!$9:$9</definedName>
    <definedName name="_bdm.0E48D97F96FC46C6801F86F16CB99ED3.edm" hidden="1">[3]PBM!$A:$IV</definedName>
    <definedName name="_bdm.15F58F051A7440EA88E480D836B84E88.edm" hidden="1">'[4]Q Comps'!$A:$IV</definedName>
    <definedName name="_bdm.15FD7B4DF4B644069215CE72AB150DEC.edm" localSheetId="6" hidden="1">'BS &amp; CF'!$B$2:$BI$65</definedName>
    <definedName name="_bdm.196CF43A905C4DA48F95CD9C9FD1FC7F.edm" hidden="1">[4]mwareDates!$A:$IV</definedName>
    <definedName name="_bdm.1AE1EEE0E9DA44C9AA935900BBC502B6.edm" localSheetId="6" hidden="1">'BS &amp; CF'!$B$3:$BN$65</definedName>
    <definedName name="_bdm.1C570C0392D34ECEB2CD842ADB3C32FF.edm" hidden="1">'BS &amp; CF'!$1:$1048576</definedName>
    <definedName name="_bdm.1F7C98BA2A97411EACE8C75F65553956.edm" localSheetId="5" hidden="1">IS!$B$3:$BI$92</definedName>
    <definedName name="_bdm.20D3032A48E541D7A145A77BBBFBCC01.edm" localSheetId="5" hidden="1">IS!$B$3:$BN$92</definedName>
    <definedName name="_bdm.25D7E32E49ED46B2A4900E1151CC8528.edm" localSheetId="5" hidden="1">IS!$B$2:$BI$60</definedName>
    <definedName name="_bdm.26047B07387241E18224BA4DFAFBCDB3.edm" localSheetId="5" hidden="1">'Revenue Model'!$B$126:$BI$160</definedName>
    <definedName name="_bdm.2B8652E05B044FB5BDC66C22BC481F41.edm" localSheetId="5" hidden="1">IS!$B$3:$BI$92</definedName>
    <definedName name="_bdm.367B7C91C9F04CFFB1850A35E40B5AFF.edm" hidden="1">'[5]Revenue Model'!$A:$IV</definedName>
    <definedName name="_bdm.3735F489D5064411A023A376329FD124.edm" localSheetId="5" hidden="1">'BS &amp; CF'!$B$3:$AY$45</definedName>
    <definedName name="_bdm.42424C5D9E904A6E835EA176D39F6A66.edm" hidden="1">[6]Notes!$A:$IV</definedName>
    <definedName name="_bdm.450FD2BC947045DC90AE7953EC6873B0.edm" localSheetId="6" hidden="1">'BS &amp; CF'!$B$3:$BI$65</definedName>
    <definedName name="_bdm.46DC234232CD4F089AD52695353F294E.edm" hidden="1">'[4]What Changed'!$A:$IV</definedName>
    <definedName name="_bdm.508E68569E4D463D8F7DE6A70DF865C0.edm" hidden="1">[7]mwareSettings!$A:$IV</definedName>
    <definedName name="_bdm.536BBB27BE5040C08C1DA275D9A07698.edm" hidden="1">'[7]Comps Table'!$A:$IV</definedName>
    <definedName name="_bdm.596BDD311F6F4D21AD84CF2363A6A0DB.edm" hidden="1">'[7]Balance Sheet &amp; Cash Flow'!$A:$IV</definedName>
    <definedName name="_bdm.5E2D1553F52D4D26B2B0A23FF0BE0416.edm" hidden="1">'[5]Mgmt Guidance'!$A:$IV</definedName>
    <definedName name="_bdm.6694A034F149482090D1C7073DD8E728.edm" hidden="1">[8]Sheet1!$A:$IV</definedName>
    <definedName name="_bdm.677411EC43A0433388A6D485CF49EB4F.edm" hidden="1">[3]Guidance!$A:$IV</definedName>
    <definedName name="_bdm.680CCD29C14A4D5BB713FF82DACE7420.edm" hidden="1">'[5]ROIC-Summary'!$A:$IV</definedName>
    <definedName name="_bdm.6BD6ACD3740A42B8A6AC64DB8701AD8B.edm" localSheetId="5" hidden="1">IS!$B$3:$AY$93</definedName>
    <definedName name="_bdm.7517FE1614854184A374ACD5CCC0FC40.edm" localSheetId="5" hidden="1">'Revenue Model'!$B$126:$BN$160</definedName>
    <definedName name="_bdm.7C2F74CB27494395AADB40162510C63F.edm" hidden="1">[6]mwareSettings!$A:$IV</definedName>
    <definedName name="_bdm.807195CD07FB4E81834883D988A0CFE0.edm" hidden="1">'[7]Income Statement'!$A:$IV</definedName>
    <definedName name="_bdm.82B7EEF3EE6D448084D0B73AA54C30B1.edm" hidden="1">'[5]Preview, A vs. E'!$A:$IV</definedName>
    <definedName name="_bdm.82BEF0B427CB451D813A4E7B1AE91DE2.edm" hidden="1">[4]Notes!$A:$IV</definedName>
    <definedName name="_bdm.8812BB5FF18B4A0F8D7F5D078355CBF2.edm" hidden="1">[6]mwareDates!$A:$IV</definedName>
    <definedName name="_bdm.90622D8AB9424D649731C2D2AE84DD55.edm" localSheetId="5" hidden="1">IS!$B$3:$AY$47</definedName>
    <definedName name="_bdm.90688D5A96B140399BF6AAFC7EAC9D89.edm" hidden="1">'[4]MW-Cache'!$A:$IV</definedName>
    <definedName name="_bdm.9151E7C53F4D4048B8C9F1AD9A14B789.edm" hidden="1">'[6]Income Statement'!$A:$IV</definedName>
    <definedName name="_bdm.9D532F1382A44A57ACA86A1F13BE1731.edm" hidden="1">'[7]Debt '!$A:$IV</definedName>
    <definedName name="_bdm.A047119342A3428AA6A639DB07AA970D.edm" localSheetId="5" hidden="1">IS!$B$3:$AY$93</definedName>
    <definedName name="_bdm.A149474D6654401B9651948B8AB7EB64.edm" hidden="1">'[7]Revenue Build'!$A:$IV</definedName>
    <definedName name="_bdm.A774471E35FA40F09FBC5840BC104338.edm" hidden="1">'[6]Balance Sheet &amp; Cash Flow'!$A:$IV</definedName>
    <definedName name="_bdm.AA9B32DA41204ACE8E78D6CDCDA61E63.edm" localSheetId="6" hidden="1">'BS &amp; CF'!$B$3:$BS$65</definedName>
    <definedName name="_bdm.AC0104BC572645E8A3E55CF8EE098A52.edm" localSheetId="5" hidden="1">IS!$B$3:$BI$92</definedName>
    <definedName name="_bdm.AC64289B11B24ABCBCCC541E4E9B0342.edm" hidden="1">'[5]ROIC-NOPAT'!$A:$IV</definedName>
    <definedName name="_bdm.ADA9B1258C4C4E8EAEECADBA3C3F8B57.edm" hidden="1">'[6]Same Site'!$A:$IV</definedName>
    <definedName name="_bdm.B1657214E7584E9787173C66ACEC8819.edm" hidden="1">IS!$1:$1048576</definedName>
    <definedName name="_bdm.B5AAECDDA01B4D549F17DD1D36BCE9DA.edm" hidden="1">[4]Facilities!$A:$IV</definedName>
    <definedName name="_bdm.B77B698801734AAAA9532046DB77AF3E.edm" hidden="1">'[5]ROIC-NOA'!$A:$IV</definedName>
    <definedName name="_bdm.B92DBA98731B418490FD098087C8E370.edm" hidden="1">'[4]MWA RR'!$A:$IV</definedName>
    <definedName name="_bdm.BF535245655C49B6A1BE4E206A2B2B99.edm" hidden="1">[3]Valuation!$A:$IV</definedName>
    <definedName name="_bdm.C6FCEE8D36A14BFD945493EDFC70DD8C.edm" hidden="1">[3]Model!$A:$IV</definedName>
    <definedName name="_bdm.C7A7C9D21BC141CF97C0E0A1EE54378B.edm" hidden="1">[5]Preview!$A:$IV</definedName>
    <definedName name="_bdm.D2DB327102C7432A92084FDA36A981B8.edm" hidden="1">'[9]ESRX Charts'!$A:$IV</definedName>
    <definedName name="_bdm.DADC5D5B03AF47DD97A6D108F125624B.edm" hidden="1">[3]HCIT!$A:$IV</definedName>
    <definedName name="_bdm.E4D8DBCC0DD84A47B75E80EE7AD2B7A6.edm" localSheetId="5" hidden="1">'BS &amp; CF'!$B$3:$AY$67</definedName>
    <definedName name="_bdm.E92CA0B40B514646B31454E7D91FF19A.edm" localSheetId="5" hidden="1">IS!$B$3:$BS$92</definedName>
    <definedName name="_bdm.F1818BB7BA2F4A44A99B5CD8E045CE80.edm" localSheetId="5" hidden="1">'BS &amp; CF'!$B$106:$AY$157</definedName>
    <definedName name="_bdm.F20A3539E2164627802CFF9F020DEB54.edm" localSheetId="5" hidden="1">IS!$B$3:$BS$92</definedName>
    <definedName name="_bdm.F56B25C0E93C4C98943916372EC322DD.edm" hidden="1">'[6]Balance Sheet &amp; Cash Flow'!$A:$IV</definedName>
    <definedName name="_bdm.F910BCB2B283421AA7EECC0FA4A2F099.edm" hidden="1">[7]Notes!$A:$IV</definedName>
    <definedName name="_bdm.FF7450B4F49C404F8AFF7EC7218A9FA7.edm" hidden="1">'[7]Preview Page'!$A:$IV</definedName>
    <definedName name="_bdpct">IS!$76:$76</definedName>
    <definedName name="_bs_1c01">'BS &amp; CF'!$G:$G</definedName>
    <definedName name="_bs_1c02">'BS &amp; CF'!$L:$L</definedName>
    <definedName name="_bs_1c03">'BS &amp; CF'!$Q:$Q</definedName>
    <definedName name="_bs_1c04">'BS &amp; CF'!$V:$V</definedName>
    <definedName name="_bs_1c05">'BS &amp; CF'!$AA:$AA</definedName>
    <definedName name="_bs_1c06">'BS &amp; CF'!$AF:$AF</definedName>
    <definedName name="_bs_1c07">'BS &amp; CF'!$AK:$AK</definedName>
    <definedName name="_bs_1c08">'BS &amp; CF'!$AP:$AP</definedName>
    <definedName name="_bs_1c09">'BS &amp; CF'!$AU:$AU</definedName>
    <definedName name="_bs_1c10">'BS &amp; CF'!$AZ:$AZ</definedName>
    <definedName name="_bs_1c11">'BS &amp; CF'!$BE:$BE</definedName>
    <definedName name="_bs_1c12">'BS &amp; CF'!$BJ:$BJ</definedName>
    <definedName name="_bs_1c13">'BS &amp; CF'!$BO:$BO</definedName>
    <definedName name="_bs_2c01">'BS &amp; CF'!$H:$H</definedName>
    <definedName name="_bs_2c02">'BS &amp; CF'!$M:$M</definedName>
    <definedName name="_bs_2c03">'BS &amp; CF'!$R:$R</definedName>
    <definedName name="_bs_2c04">'BS &amp; CF'!$W:$W</definedName>
    <definedName name="_bs_2c05">'BS &amp; CF'!$AB:$AB</definedName>
    <definedName name="_bs_2c07">'BS &amp; CF'!$AL:$AL</definedName>
    <definedName name="_bs_2c08">'BS &amp; CF'!$AQ:$AQ</definedName>
    <definedName name="_bs_2c09">'BS &amp; CF'!$AV:$AV</definedName>
    <definedName name="_bs_2c10">'BS &amp; CF'!$BA:$BA</definedName>
    <definedName name="_bs_2c11">'BS &amp; CF'!$BF:$BF</definedName>
    <definedName name="_bs_2c12">'BS &amp; CF'!$BK:$BK</definedName>
    <definedName name="_bs_2c13">'BS &amp; CF'!$BP:$BP</definedName>
    <definedName name="_bs_3c01">'BS &amp; CF'!$I:$I</definedName>
    <definedName name="_bs_3c02">'BS &amp; CF'!$N:$N</definedName>
    <definedName name="_bs_3c03">'BS &amp; CF'!$S:$S</definedName>
    <definedName name="_bs_3c04">'BS &amp; CF'!$X:$X</definedName>
    <definedName name="_bs_3c05">'BS &amp; CF'!$AC:$AC</definedName>
    <definedName name="_bs_3c06">'BS &amp; CF'!$AH:$AH</definedName>
    <definedName name="_bs_3c07">'BS &amp; CF'!$AM:$AM</definedName>
    <definedName name="_bs_3c08">'BS &amp; CF'!$AR:$AR</definedName>
    <definedName name="_bs_3c09">'BS &amp; CF'!$AW:$AW</definedName>
    <definedName name="_bs_3c10">'BS &amp; CF'!$BB:$BB</definedName>
    <definedName name="_bs_3c11">'BS &amp; CF'!$BG:$BG</definedName>
    <definedName name="_bs_3c12">'BS &amp; CF'!$BL:$BL</definedName>
    <definedName name="_bs_3c13">'BS &amp; CF'!$BQ:$BQ</definedName>
    <definedName name="_bs_4c01">'BS &amp; CF'!$J:$J</definedName>
    <definedName name="_bs_4c02">'BS &amp; CF'!$O:$O</definedName>
    <definedName name="_bs_4c03">'BS &amp; CF'!$T:$T</definedName>
    <definedName name="_bs_4c04">'BS &amp; CF'!$Y:$Y</definedName>
    <definedName name="_bs_4c05">'BS &amp; CF'!$AD:$AD</definedName>
    <definedName name="_bs_4c06">'BS &amp; CF'!$AI:$AI</definedName>
    <definedName name="_bs_4c07">'BS &amp; CF'!$AN:$AN</definedName>
    <definedName name="_bs_4c08">'BS &amp; CF'!$AS:$AS</definedName>
    <definedName name="_bs_4c09">'BS &amp; CF'!$AX:$AX</definedName>
    <definedName name="_bs_4c10">'BS &amp; CF'!$BC:$BC</definedName>
    <definedName name="_bs_4c11">'BS &amp; CF'!$BH:$BH</definedName>
    <definedName name="_bs_4c12">'BS &amp; CF'!$BM:$BM</definedName>
    <definedName name="_bs_4c13">'BS &amp; CF'!$BR:$BR</definedName>
    <definedName name="_bs_fy01">'BS &amp; CF'!$K:$K</definedName>
    <definedName name="_bs_fy02">'BS &amp; CF'!$P:$P</definedName>
    <definedName name="_bs_fy03">'BS &amp; CF'!$U:$U</definedName>
    <definedName name="_bs_fy04">'BS &amp; CF'!$Z:$Z</definedName>
    <definedName name="_bs_fy05">'BS &amp; CF'!$AE:$AE</definedName>
    <definedName name="_bs_fy09">'BS &amp; CF'!$AY:$AY</definedName>
    <definedName name="_bs_fy10">'BS &amp; CF'!$BD:$BD</definedName>
    <definedName name="_bs_fy11">'BS &amp; CF'!$BI:$BI</definedName>
    <definedName name="_bs_fy12">'BS &amp; CF'!$BN:$BN</definedName>
    <definedName name="_bs_fy13">'BS &amp; CF'!$BS:$BS</definedName>
    <definedName name="_ca">'BS &amp; CF'!$17:$17</definedName>
    <definedName name="_capex">'BS &amp; CF'!$122:$122</definedName>
    <definedName name="_capex_disc">'[6]Balance Sheet &amp; Cash Flow'!$A$160:$IV$160</definedName>
    <definedName name="_capex_hc">'[6]Balance Sheet &amp; Cash Flow'!$A$159:$IV$159</definedName>
    <definedName name="_cash">'BS &amp; CF'!$8:$8</definedName>
    <definedName name="_census">'Revenue Model'!$122:$122</definedName>
    <definedName name="_cff">'BS &amp; CF'!$143:$143</definedName>
    <definedName name="_cfi">'BS &amp; CF'!$126:$126</definedName>
    <definedName name="_cfo">'BS &amp; CF'!$118:$118</definedName>
    <definedName name="_cl">'BS &amp; CF'!$29:$29</definedName>
    <definedName name="_currdeftaxass">'BS &amp; CF'!$14:$14</definedName>
    <definedName name="_currdeftaxliab">'BS &amp; CF'!$32:$32</definedName>
    <definedName name="_d2EBITDA">'BS &amp; CF'!$55:$55</definedName>
    <definedName name="_d2equity">'BS &amp; CF'!$52:$52</definedName>
    <definedName name="_depr">IS!$18:$18</definedName>
    <definedName name="_depramort">'[7]Income Statement'!$A$19:$IV$19</definedName>
    <definedName name="_deprec">'[6]Income Statement'!$A$22:$IV$22</definedName>
    <definedName name="_dtc">'BS &amp; CF'!$49:$49</definedName>
    <definedName name="_ebitda">IS!$17:$17</definedName>
    <definedName name="_ebitdamarg">IS!$69:$69</definedName>
    <definedName name="_ebitdarmarg">'[4]Income Statement'!$A$73:$IV$73</definedName>
    <definedName name="_enrollg">'[2]Health Care'!$A$61:$IV$61</definedName>
    <definedName name="_equity">'BS &amp; CF'!$43:$43</definedName>
    <definedName name="_fcf">'BS &amp; CF'!$150:$150</definedName>
    <definedName name="_fcfps">'BS &amp; CF'!$155:$155</definedName>
    <definedName name="_GAAPeps">IS!$47:$47</definedName>
    <definedName name="_gw">'BS &amp; CF'!$20:$20</definedName>
    <definedName name="_hc_fy10">'[2]Health Care'!$AU$1:$AU$65536</definedName>
    <definedName name="_hospitals">'Revenue Model'!$78:$78</definedName>
    <definedName name="_intexp">IS!$20:$20</definedName>
    <definedName name="_is_1c01">IS!$G:$G</definedName>
    <definedName name="_is_1c02">IS!$L:$L</definedName>
    <definedName name="_is_1c03">IS!$Q:$Q</definedName>
    <definedName name="_is_1c04">IS!$V:$V</definedName>
    <definedName name="_is_1c05">IS!$AA:$AA</definedName>
    <definedName name="_is_1c06">IS!$AF:$AF</definedName>
    <definedName name="_is_1c07">IS!$AK:$AK</definedName>
    <definedName name="_is_1c08">IS!$AP:$AP</definedName>
    <definedName name="_is_1c09">IS!$AU:$AU</definedName>
    <definedName name="_is_1c10">IS!$AZ:$AZ</definedName>
    <definedName name="_is_1c11">IS!$BE:$BE</definedName>
    <definedName name="_is_1c12">IS!$BJ:$BJ</definedName>
    <definedName name="_is_1c13">IS!$BO:$BO</definedName>
    <definedName name="_is_2c01">IS!$H:$H</definedName>
    <definedName name="_is_2c02">IS!$M:$M</definedName>
    <definedName name="_is_2c03">IS!$R:$R</definedName>
    <definedName name="_is_2c04">IS!$W:$W</definedName>
    <definedName name="_is_2c05">IS!$AB:$AB</definedName>
    <definedName name="_is_2c06">IS!$AG:$AG</definedName>
    <definedName name="_is_2c07">IS!$AL:$AL</definedName>
    <definedName name="_is_2c08">IS!$AQ:$AQ</definedName>
    <definedName name="_is_2c09">IS!$AV:$AV</definedName>
    <definedName name="_is_2c10">IS!$BA:$BA</definedName>
    <definedName name="_is_2c11">IS!$BF:$BF</definedName>
    <definedName name="_is_2c12">IS!$BK:$BK</definedName>
    <definedName name="_is_2c13">IS!$BP:$BP</definedName>
    <definedName name="_is_3c01">IS!$I:$I</definedName>
    <definedName name="_is_3c02">IS!$N:$N</definedName>
    <definedName name="_is_3c03">IS!$S:$S</definedName>
    <definedName name="_is_3c04">IS!$X:$X</definedName>
    <definedName name="_is_3c05">IS!$AC:$AC</definedName>
    <definedName name="_is_3c06">IS!$AH:$AH</definedName>
    <definedName name="_is_3c07">IS!$AM:$AM</definedName>
    <definedName name="_is_3c08">IS!$AR:$AR</definedName>
    <definedName name="_is_3c09">IS!$AW:$AW</definedName>
    <definedName name="_is_3c10">IS!$BB:$BB</definedName>
    <definedName name="_is_3c11">IS!$BG:$BG</definedName>
    <definedName name="_is_3c12">IS!$BL:$BL</definedName>
    <definedName name="_is_3c13">IS!$BQ:$BQ</definedName>
    <definedName name="_is_4c01">IS!$J:$J</definedName>
    <definedName name="_is_4c02">IS!$O:$O</definedName>
    <definedName name="_is_4c03">IS!$T:$T</definedName>
    <definedName name="_is_4c04">IS!$Y:$Y</definedName>
    <definedName name="_is_4c05">IS!$AD:$AD</definedName>
    <definedName name="_is_4c06">IS!$AI:$AI</definedName>
    <definedName name="_is_4c07">IS!$AN:$AN</definedName>
    <definedName name="_is_4c08">IS!$AS:$AS</definedName>
    <definedName name="_is_4c09">IS!$AX:$AX</definedName>
    <definedName name="_is_4c10">IS!$BC:$BC</definedName>
    <definedName name="_is_4c11">IS!$BH:$BH</definedName>
    <definedName name="_is_4c12">IS!$BM:$BM</definedName>
    <definedName name="_is_4c13">IS!$BR:$BR</definedName>
    <definedName name="_is_fy05">IS!$AE:$AE</definedName>
    <definedName name="_is_fy06">IS!$AJ:$AJ</definedName>
    <definedName name="_is_fy07">IS!$AO:$AO</definedName>
    <definedName name="_is_fy08">IS!$AT:$AT</definedName>
    <definedName name="_is_fy09">IS!$AY:$AY</definedName>
    <definedName name="_is_fy10">IS!$BD:$BD</definedName>
    <definedName name="_is_fy11">IS!$BI:$BI</definedName>
    <definedName name="_is_fy12">IS!$BN:$BN</definedName>
    <definedName name="_is_fy13">IS!$BS:$BS</definedName>
    <definedName name="_is_fy14">IS!$BX:$BX</definedName>
    <definedName name="_is_fy16">IS!$CH:$CH</definedName>
    <definedName name="_los">'Revenue Model'!$119:$119</definedName>
    <definedName name="_ltdebt">'BS &amp; CF'!$31:$31</definedName>
    <definedName name="_minintd">'BS &amp; CF'!$36:$36</definedName>
    <definedName name="_mininte">'BS &amp; CF'!$44:$44</definedName>
    <definedName name="_nd2cap">'BS &amp; CF'!$50:$50</definedName>
    <definedName name="_nd2EBITDA">'BS &amp; CF'!$58:$58</definedName>
    <definedName name="_nd2equity">'BS &amp; CF'!$53:$53</definedName>
    <definedName name="_netinc">IS!$32:$32</definedName>
    <definedName name="_netintexp">IS!$20:$20</definedName>
    <definedName name="_netrev">IS!$10:$10</definedName>
    <definedName name="_ni">'[6]Income Statement'!$A$42:$IV$42</definedName>
    <definedName name="_occupancy">'Revenue Model'!$125:$125</definedName>
    <definedName name="_onetimes">IS!$41:$41</definedName>
    <definedName name="_opeps">IS!$44:$44</definedName>
    <definedName name="_opepsg">[2]IS!$A$29:$IV$29</definedName>
    <definedName name="_opni">IS!$42:$42</definedName>
    <definedName name="_opratio">[2]IS!$A$46:$IV$46</definedName>
    <definedName name="_Order1" hidden="1">255</definedName>
    <definedName name="_Order2" hidden="1">0</definedName>
    <definedName name="_otherop">'[6]Income Statement'!$A$16:$IV$16</definedName>
    <definedName name="_patdays">'Revenue Model'!$113:$113</definedName>
    <definedName name="_ppe">'BS &amp; CF'!$19:$19</definedName>
    <definedName name="_pretax">IS!$24:$24</definedName>
    <definedName name="_pretaxinc">IS!$24:$24</definedName>
    <definedName name="_pretaxmargin">[2]IS!$A$47:$IV$47</definedName>
    <definedName name="_realizedgains">[2]IS!$A$25:$IV$25</definedName>
    <definedName name="_rent">IS!$14:$14</definedName>
    <definedName name="_rev">IS!$8:$8</definedName>
    <definedName name="_salandben">IS!$11:$11</definedName>
    <definedName name="_servicebeds">'Revenue Model'!$87:$87</definedName>
    <definedName name="_shrepo">'BS &amp; CF'!$132:$132</definedName>
    <definedName name="_stdebt">'BS &amp; CF'!$24:$24</definedName>
    <definedName name="_supply">'[6]Income Statement'!$A$14:$IV$14</definedName>
    <definedName name="_supplyexp">IS!$12:$12</definedName>
    <definedName name="_swb">IS!$11:$11</definedName>
    <definedName name="_swbpct">'[7]Income Statement'!$A$64:$IV$64</definedName>
    <definedName name="_taxexp">IS!$25:$25</definedName>
    <definedName name="_taxrate">IS!$73:$73</definedName>
    <definedName name="_totass">'BS &amp; CF'!$22:$22</definedName>
    <definedName name="_totliab">'BS &amp; CF'!$34:$34</definedName>
    <definedName name="_totoprevg">[2]IS!$A$106:$IV$106</definedName>
    <definedName name="_totriskenroll">'[2]Health Care'!$A$57:$IV$57</definedName>
    <definedName name="_totservenroll">'[2]Health Care'!$A$58:$IV$58</definedName>
    <definedName name="_writeoff">'BS &amp; CF'!$87:$87</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dditionalInstructions">IndexInformation!$B$42</definedName>
    <definedName name="Address" localSheetId="1">ImportantDisclosures!$A$2:$A$2</definedName>
    <definedName name="ANA" localSheetId="12">ModPubIndex!$A$7</definedName>
    <definedName name="anscount" hidden="1">1</definedName>
    <definedName name="Authors" localSheetId="1">ImportantDisclosures!$A$7</definedName>
    <definedName name="Authors" localSheetId="11">IndexInformation!$B$18</definedName>
    <definedName name="BALANCE_SHEET">[3]Model!$B$101</definedName>
    <definedName name="BRO" localSheetId="12">ModPubIndex!$A$1</definedName>
    <definedName name="bs_cfs_table">[10]Model!$B$76:$AG$180</definedName>
    <definedName name="Buttons" localSheetId="2">CircularReferenceAlert!$B$13:$B$15</definedName>
    <definedName name="CASH_FLOW_STATEMENT">[3]Model!$B$158</definedName>
    <definedName name="circularity">[11]Debt!$B$130</definedName>
    <definedName name="COGS_PBM">[3]PBM!$A$7:$IV$7</definedName>
    <definedName name="CopyrightStamp" localSheetId="1">ImportantDisclosures!$A$27</definedName>
    <definedName name="CopyrightStamp">[3]ImportantDisclosures!$A$27</definedName>
    <definedName name="COU" localSheetId="12">ModPubIndex!$A$5</definedName>
    <definedName name="CQEnd" localSheetId="11">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rrency" localSheetId="11">IndexInformation!$B$24</definedName>
    <definedName name="CurrentStockPrice" localSheetId="11">IndexInformation!$B$23</definedName>
    <definedName name="CurrQtrEPS" localSheetId="11">IndexInformation!$B$29</definedName>
    <definedName name="CurrYearEPS" localSheetId="11">IndexInformation!$B$11</definedName>
    <definedName name="CurrYearTotalRevenue" localSheetId="11">IndexInformation!$B$10</definedName>
    <definedName name="CurrYearTotalRevenueActual" localSheetId="11">IndexInformation!$B$32</definedName>
    <definedName name="CUSIP" localSheetId="11">IndexInformation!$B$20</definedName>
    <definedName name="CYEnd" localSheetId="11">IndexInformation!$B$30</definedName>
    <definedName name="CYHbs">'BS &amp; CF'!$A$3:$CW$45</definedName>
    <definedName name="CYHcf">'BS &amp; CF'!$A$98:$CW$147</definedName>
    <definedName name="CYHis">IS!$A$2:$CW$93</definedName>
    <definedName name="Date" localSheetId="1">ImportantDisclosures!$A$8</definedName>
    <definedName name="DB">"WIRENYPROD"</definedName>
    <definedName name="Deleted" localSheetId="11">IndexInformation!$B$27</definedName>
    <definedName name="Description" localSheetId="11">IndexInformation!$B$7</definedName>
    <definedName name="Discipline" localSheetId="11">IndexInformation!$B$3</definedName>
    <definedName name="DISCIPLINE" localSheetId="12">ModPubIndex!$A$12</definedName>
    <definedName name="DisclosuresText" localSheetId="1">ImportantDisclosures!$A$22</definedName>
    <definedName name="DisclosuresText">[3]ImportantDisclosures!$A$22</definedName>
    <definedName name="Distribution" localSheetId="11">IndexInformation!$B$26</definedName>
    <definedName name="DistTable" localSheetId="1">ImportantDisclosures!#REF!</definedName>
    <definedName name="DistTablePreamble" localSheetId="1">ImportantDisclosures!#REF!</definedName>
    <definedName name="DOCDAT" localSheetId="12">ModPubIndex!$A$2</definedName>
    <definedName name="DOCTIME" localSheetId="12">ModPubIndex!$A$3</definedName>
    <definedName name="DocType" localSheetId="11">IndexInformation!$B$5</definedName>
    <definedName name="EMAIL_ALERT" localSheetId="12">ModPubIndex!$A$10</definedName>
    <definedName name="EmailAlert" localSheetId="11">IndexInformation!$B$28</definedName>
    <definedName name="FiveYearGrowthRate" localSheetId="11">IndexInformation!$B$16</definedName>
    <definedName name="FollowingYearEPS" localSheetId="11">IndexInformation!$B$15</definedName>
    <definedName name="FollowingYearTotalRevenue" localSheetId="11">IndexInformation!$B$14</definedName>
    <definedName name="FollowingYearTotalRevenueActual" localSheetId="11">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cast1" hidden="1">{"cover a","1q",FALSE,"Cover";"Op Earn Mgd Q1",#N/A,FALSE,"Op-Earn (Mng)";"Op Earn Rpt Q1",#N/A,FALSE,"Op-Earn (Rpt)";"Loans",#N/A,FALSE,"Loans";"Credit Costs",#N/A,FALSE,"CCosts";"Net Interest Margin",#N/A,FALSE,"Margin";"Nonint Income",#N/A,FALSE,"NonII";"Nonint Exp",#N/A,FALSE,"NonIE";"Valuation",#N/A,FALSE,"Valuation"}</definedName>
    <definedName name="FR_CODE_COPY_LINK">" "</definedName>
    <definedName name="FR_CODE_DOWNLOAD_START">" "</definedName>
    <definedName name="FR_CODE_STOCK_LINK">" "</definedName>
    <definedName name="FR_COM_ABBR">" "</definedName>
    <definedName name="FR_COM_ABBR_LINK">" "</definedName>
    <definedName name="FR_COM_AGG">0</definedName>
    <definedName name="FR_COM_NAME_LINK">" "</definedName>
    <definedName name="FR_COU_ABBR">" "</definedName>
    <definedName name="FR_COU_ABBR_LINK">" "</definedName>
    <definedName name="FR_COU_NAME_LINK">" "</definedName>
    <definedName name="FR_DATABOX_DOWNLOAD">"N"</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HOW_LINK_MARKER">TRUE</definedName>
    <definedName name="FR_START_DATE">"'"</definedName>
    <definedName name="FR_USE_BILLIONS">FALSE</definedName>
    <definedName name="FR_USE_DIMFAC">TRUE</definedName>
    <definedName name="FR_USE_LOCAL_CCY">TRUE</definedName>
    <definedName name="FR_WORKBOOK">"H:\EDGE\Biotech\ABI.xls"</definedName>
    <definedName name="HL" localSheetId="12">ModPubIndex!$A$8</definedName>
    <definedName name="Img_ML_3c7g1a7g" hidden="1">"IMG_3"</definedName>
    <definedName name="Img_ML_7g5e5e2b" hidden="1">"IMG_3"</definedName>
    <definedName name="Img_ML_8h7g4d4d" hidden="1">"IMG_3"</definedName>
    <definedName name="Img_Production_Breakdown" hidden="1">"IMG_3"</definedName>
    <definedName name="inc_sta_table">[10]Model!$D$4:$AG$72</definedName>
    <definedName name="INCOME_STATEMENT">[3]Model!$B$8</definedName>
    <definedName name="IND" localSheetId="12">ModPubIndex!$A$9</definedName>
    <definedName name="Industry" localSheetId="1">ImportantDisclosures!$A$12</definedName>
    <definedName name="IndustryId" localSheetId="11">IndexInformation!$B$40</definedName>
    <definedName name="IndustryId">[3]IndexInformation!$B$40</definedName>
    <definedName name="IndustryRating" localSheetId="1">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38848.715787037</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DATE" hidden="1">"c2172"</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"iQShowQuarterlyAnnual"</definedName>
    <definedName name="KeepVersions" localSheetId="11">IndexInformation!$B$8</definedName>
    <definedName name="LanguageCode" localSheetId="11">IndexInformation!$B$38</definedName>
    <definedName name="LanguageCode">[3]IndexInformation!$B$38</definedName>
    <definedName name="LastCell" localSheetId="1">ImportantDisclosures!$A$22</definedName>
    <definedName name="Linking_1">IS!$A$3:$CM$92</definedName>
    <definedName name="Linking_13">IS!$A$1:$DB$93</definedName>
    <definedName name="Linking_2">'BS &amp; CF'!$A$3:$CM$65</definedName>
    <definedName name="Linking_3">'BS &amp; CF'!$A$98:$CX$150</definedName>
    <definedName name="Linking_4">'BS &amp; CF'!$A$98:$CM$150</definedName>
    <definedName name="Linking_5">IS!$A$3:$CR$93</definedName>
    <definedName name="Linking_6">IS!$CE$14</definedName>
    <definedName name="Linking_7">'BS &amp; CF'!$B$98:$CW$147</definedName>
    <definedName name="Linking_8">IS!$A$1:$CW$93</definedName>
    <definedName name="Linking_Range_10">'BS &amp; CF'!$B$98:$CH$155</definedName>
    <definedName name="Linking_Range_11">'Revenue Model'!$B$3:$CH$209</definedName>
    <definedName name="Linking_Range_12">'Expense Assumptions'!$B$3:$CH$84</definedName>
    <definedName name="Linking_Range_15">IS!$A$3:$CH$93</definedName>
    <definedName name="Linking_Range_16">'BS &amp; CF'!$A$3:$CH$65</definedName>
    <definedName name="Linking_Range_17">'BS &amp; CF'!$A$98:$CH$155</definedName>
    <definedName name="Linking_Range_21">IS!$A$3:$CM$93</definedName>
    <definedName name="Linking_Range_7">IS!$B$3:$CH$93</definedName>
    <definedName name="Linking_Range_8">IS!$B$3:$CH$92</definedName>
    <definedName name="Linking_Range_9">'BS &amp; CF'!$B$3:$CH$65</definedName>
    <definedName name="Linking_Text_1">[4]mwareDates!$D$26</definedName>
    <definedName name="Linking_Text_2">IS!$BR$4</definedName>
    <definedName name="MacroVersion" localSheetId="11">IndexInformation!$B$1</definedName>
    <definedName name="MaxChange" localSheetId="2">CircularReferenceAlert!$B$9</definedName>
    <definedName name="MaxIterations" localSheetId="2">CircularReferenceAlert!$B$8</definedName>
    <definedName name="ModelPrice" localSheetId="1">ImportantDisclosures!$A$14</definedName>
    <definedName name="Multiplier" localSheetId="11">IndexInformation!$B$35</definedName>
    <definedName name="NextYearEPS" localSheetId="11">IndexInformation!$B$13</definedName>
    <definedName name="NextYearTotalRevenue" localSheetId="11">IndexInformation!$B$12</definedName>
    <definedName name="NextYearTotalRevenueActual" localSheetId="11">IndexInformation!$B$33</definedName>
    <definedName name="nmnmm" hidden="1">{#N/A,#N/A,FALSE,"Index";"Stmts_Qtrs",#N/A,FALSE,"Summary";"Stmts_24 mo",#N/A,FALSE,"Summary";"Summary_24",#N/A,FALSE,"Revenue";"Month_24",#N/A,FALSE,"Engineering";"Month_24",#N/A,FALSE,"Marketing";"Month_24",#N/A,FALSE,"G &amp; A";"Month_24",#N/A,FALSE,"Manufacturing"}</definedName>
    <definedName name="nmnmm1" hidden="1">{#N/A,#N/A,FALSE,"Index";"Stmts_Qtrs",#N/A,FALSE,"Summary";"Stmts_24 mo",#N/A,FALSE,"Summary";"Summary_24",#N/A,FALSE,"Revenue";"Month_24",#N/A,FALSE,"Engineering";"Month_24",#N/A,FALSE,"Marketing";"Month_24",#N/A,FALSE,"G &amp; A";"Month_24",#N/A,FALSE,"Manufacturing"}</definedName>
    <definedName name="ObjectType">IndexInformation!$B$37</definedName>
    <definedName name="PANA" localSheetId="12">ModPubIndex!$A$11</definedName>
    <definedName name="PathName" localSheetId="11">IndexInformation!$B$25</definedName>
    <definedName name="_xlnm.Print_Area" localSheetId="6">'BS &amp; CF'!$B$1:$BS$65</definedName>
    <definedName name="_xlnm.Print_Area" localSheetId="10">Guidance!#REF!</definedName>
    <definedName name="_xlnm.Print_Area" localSheetId="5">IS!$B$2:$BS$92</definedName>
    <definedName name="_xlnm.Print_Area">"Formula removed, name can be deleted."</definedName>
    <definedName name="print1" hidden="1">{#N/A,#N/A,FALSE,"Index";"Stmts_Qtrs",#N/A,FALSE,"Summary";"Stmts_24 mo",#N/A,FALSE,"Summary";"Summary_24",#N/A,FALSE,"Revenue";"Month_24",#N/A,FALSE,"Engineering";"Month_24",#N/A,FALSE,"Marketing";"Month_24",#N/A,FALSE,"G &amp; A";"Month_24",#N/A,FALSE,"Manufacturing"}</definedName>
    <definedName name="PRODUCT" localSheetId="12">ModPubIndex!$A$6</definedName>
    <definedName name="PSYM" localSheetId="12">ModPubIndex!$A$4</definedName>
    <definedName name="PUB_FileID" hidden="1">"L10003787.xls"</definedName>
    <definedName name="PUB_UserID" hidden="1">"MAYERX"</definedName>
    <definedName name="PublishDate" localSheetId="11">IndexInformation!$B$2</definedName>
    <definedName name="Rating" localSheetId="11">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p" hidden="1">{#N/A,#N/A,FALSE,"COVER";#N/A,#N/A,FALSE,"VALUATION";#N/A,#N/A,FALSE,"FORECAST";#N/A,#N/A,FALSE,"FY ANALYSIS ";#N/A,#N/A,FALSE," HY ANALYSIS"}</definedName>
    <definedName name="RepairedName0514" hidden="1">"iQShowAnnual"</definedName>
    <definedName name="RepairedName0677" hidden="1">"iQShowAnnual"</definedName>
    <definedName name="RepairedName0679" hidden="1">"iQShowAnnual"</definedName>
    <definedName name="ResearchTopic" localSheetId="11">IndexInformation!$B$4</definedName>
    <definedName name="RIC" localSheetId="11">IndexInformation!$B$21</definedName>
    <definedName name="SECSettlement" localSheetId="1">ImportantDisclosures!#REF!</definedName>
    <definedName name="SEDOL" localSheetId="11">IndexInformation!$B$22</definedName>
    <definedName name="SourceDefined" localSheetId="1">ImportantDisclosures!$A$19</definedName>
    <definedName name="StockRating" localSheetId="1">ImportantDisclosures!$A$11</definedName>
    <definedName name="SubjectCode" localSheetId="11">IndexInformation!$B$6</definedName>
    <definedName name="SubmitterUserId">IndexInformation!$B$39</definedName>
    <definedName name="SUPPRESSED" localSheetId="12">ModPubIndex!$A$13</definedName>
    <definedName name="Switch">Scenarios!$B$60</definedName>
    <definedName name="TargetPrice" localSheetId="1">ImportantDisclosures!$A$15</definedName>
    <definedName name="Template.WIRE">"DBACCESS"</definedName>
    <definedName name="TemplateRegion">IndexInformation!$B$36</definedName>
    <definedName name="Ticker" localSheetId="1">ImportantDisclosures!$A$10</definedName>
    <definedName name="TickerRegion">IndexInformation!$B$41</definedName>
    <definedName name="Tickers" localSheetId="11">IndexInformation!$B$19</definedName>
    <definedName name="trc_XLS_DATASHEET_ProtectDate">36886.46375</definedName>
    <definedName name="UpdateReason" localSheetId="11">IndexInformation!$B$17</definedName>
    <definedName name="USRegDisclosures" localSheetId="1">ImportantDisclosures!#REF!</definedName>
    <definedName name="Version.WIRE">1</definedName>
    <definedName name="wrn.2._.pagers." hidden="1">{"Cover",#N/A,FALSE,"Cover";"Summary",#N/A,FALSE,"Summarpage"}</definedName>
    <definedName name="wrn.AGN._.MODELS." hidden="1">{"QTRINC1",#N/A,FALSE,"QTRINC";"QTRINC2",#N/A,FALSE,"QTRINC";"QTRSALES",#N/A,FALSE,"QTRSALES";"ANNSALES",#N/A,FALSE,"ANNSALES";"CASHFLOW",#N/A,FALSE,"CASHFLOW"}</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omplete." hidden="1">{"assumptions",#N/A,FALSE,"QTRTEMP";"wwsales",#N/A,FALSE,"QTRTEMP";"wwgrowth",#N/A,FALSE,"QTRTEMP";"ussales",#N/A,FALSE,"QTRTEMP";"usgrowth",#N/A,FALSE,"QTRTEMP";"nonsales",#N/A,FALSE,"QTRTEMP";"nongrowth",#N/A,FALSE,"QTRTEMP";"pl growth",#N/A,FALSE,"QTRTEMP";"cashflow",#N/A,FALSE,"QTRTEMP"}</definedName>
    <definedName name="wrn.ENTIRE."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INCOME." hidden="1">{"INCOMEannual2",#N/A,FALSE,"income";"INCOMEannual1",#N/A,FALSE,"income";"INCOMEquarterly1",#N/A,FALSE,"income";"INCOMEquarterly2",#N/A,FALSE,"income";"INCOMEcalendarized1",#N/A,FALSE,"income"}</definedName>
    <definedName name="wrn.Executive._.Summary." hidden="1">{#N/A,#N/A,FALSE,"ES Cover";#N/A,#N/A,FALSE,"ES Index ";#N/A,#N/A,FALSE,"ES 2-1-1  Net Eff Mbrs 2001";#N/A,#N/A,FALSE,"ES 2-1-2  Net Eff  Mbrs 2000";#N/A,#N/A,FALSE,"ES 2-2 Mbr Sales Plan vs Proj";#N/A,#N/A,FALSE,"ES 3_Top 5 IFP States Carriers";#N/A,#N/A,FALSE,"ES 4 Top 5 SBG States Carriers";#N/A,#N/A,FALSE,"ES 5 New Top Bottom 5 Summary";#N/A,#N/A,FALSE,"ES 6 Daily Avg";#N/A,#N/A,FALSE,"ES 7  Vol Graph";#N/A,#N/A,FALSE,"ES 8  ClosRatio by Carr";#N/A,#N/A,FALSE,"ES 9  ClosRatio by State";#N/A,#N/A,FALSE,"ES 10  Apps Ret CA OofS";#N/A,#N/A,FALSE,"ES 11 CLosRatioStateCarr Mont";#N/A,#N/A,FALSE,"ES 12  CarrierPerStateNov";#N/A,#N/A,FALSE,"ES 13 CarrierPerStateYTD";#N/A,#N/A,FALSE,"ES 14 Analytics";#N/A,#N/A,FALSE,"ES 15 Total Calls Graph";#N/A,#N/A,FALSE,"ES 16 Within 30 Sec ";#N/A,#N/A,FALSE,"ES 17 Emails";#N/A,#N/A,FALSE,"ES 18 Chat Graph"}</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Graphs." hidden="1">{#N/A,#N/A,FALSE,"1-1 Vol Graph";#N/A,#N/A,FALSE,"1-2 Approve App Graph";#N/A,#N/A,FALSE,"6-1 Email Graph";#N/A,#N/A,FALSE,"6-2 Chat Graph";#N/A,#N/A,FALSE,"6-3 Abandoned Graph";#N/A,#N/A,FALSE,"6-4 30sec Graph";#N/A,#N/A,FALSE,"6_5TotalCalls"}</definedName>
    <definedName name="wrn.INCOME." hidden="1">{"INCOMEquarterly1",#N/A,TRUE,"income";"INCOMEquarterly2",#N/A,TRUE,"income"}</definedName>
    <definedName name="wrn.Industry.xls." hidden="1">{#N/A,#N/A,FALSE,"Earnings";#N/A,#N/A,FALSE,"Overview";#N/A,#N/A,FALSE,"Summary";#N/A,#N/A,FALSE,"Summary II";#N/A,#N/A,FALSE,"R&amp;D";#N/A,#N/A,FALSE,"R&amp;D Forecast";#N/A,#N/A,FALSE,"Tax Adj";#N/A,#N/A,FALSE,"Goodwill";#N/A,#N/A,FALSE,"FX ";#N/A,#N/A,FALSE,"Consolidation";#N/A,#N/A,FALSE,"Provisions"}</definedName>
    <definedName name="wrn.Leases.xls." hidden="1">{#N/A,#N/A,FALSE,"Initial Year";#N/A,#N/A,FALSE,"Historical";#N/A,#N/A,FALSE,"balsheet";#N/A,#N/A,FALSE,"incstate";#N/A,#N/A,FALSE,"Fleet"}</definedName>
    <definedName name="wrn.MODELS." hidden="1">{"QTRINC",#N/A,FALSE,"QTRINC";"MARGIN",#N/A,FALSE,"MARGIN";"SALES1",#N/A,FALSE,"SALES";"SALES2",#N/A,FALSE,"SALES";"CASHFLOW",#N/A,FALSE,"CASHFLOW"}</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rint._.24." hidden="1">{#N/A,#N/A,FALSE,"Index";"Stmts_Qtrs",#N/A,FALSE,"Summary";"Stmts_24 mo",#N/A,FALSE,"Summary";"Summary_24",#N/A,FALSE,"Revenue";"Month_24",#N/A,FALSE,"Engineering";"Month_24",#N/A,FALSE,"Marketing";"Month_24",#N/A,FALSE,"G &amp; A";"Month_24",#N/A,FALSE,"Manufacturing"}</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ulp." hidden="1">{"Pulp Production",#N/A,FALSE,"Pulp";"Pulp Earnings",#N/A,FALSE,"Pulp"}</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g._.Printer." hidden="1">{#N/A,#N/A,FALSE,"1-3-0 Sales Summary_Volume";#N/A,#N/A,FALSE,"1-3-1 Mon Appr Chgs";#N/A,#N/A,FALSE,"1-3-3 4 Sent to Carrier";#N/A,#N/A,FALSE,"1-3-5 6 Submitted";#N/A,#N/A,FALSE,"1-3-7, 8  ClosRatio by Carr";#N/A,#N/A,FALSE,"1-3-9 % Sub Sent to Carrl";#N/A,#N/A,FALSE,"1-4 Sales Summary_Lag";#N/A,#N/A,FALSE,"1-4-1 Apps Ret CA OofS";#N/A,#N/A,FALSE,"2-1 ClosRatio by State";#N/A,#N/A,FALSE,"2-2 ClosRatio by Carrier";#N/A,#N/A,FALSE,"2-3-1 CLosRatioStateCarr YTD";#N/A,#N/A,FALSE,"2-3-2 CLosRatioStateCarr June";#N/A,#N/A,FALSE,"2-4 ClosRatioStatCarrier99";#N/A,#N/A,FALSE,"2-5#CarrierPerState00";#N/A,#N/A,FALSE,"2-6#CarrierPerState99";#N/A,#N/A,FALSE,"2-7 StateClosRatio";#N/A,#N/A,FALSE,"2-8 CarrierClosRatio";#N/A,#N/A,FALSE,"3  Sales and Persistency";#N/A,#N/A,FALSE,"4-1 Summary Lag Report";#N/A,#N/A,FALSE,"4-2 Detail Lag Report";#N/A,#N/A,FALSE,"4-3 Lag Analysis";#N/A,#N/A,FALSE,"5-1 SBG"}</definedName>
    <definedName name="wrn.Report." hidden="1">{#N/A,#N/A,FALSE,"COVER";#N/A,#N/A,FALSE,"FORECAST";#N/A,#N/A,FALSE,"VALUATION";#N/A,#N/A,FALSE,"FY ANALYSIS ";#N/A,#N/A,FALSE," HY ANALYSIS"}</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yyopepsg">IS!$C$45:$IW$45</definedName>
  </definedNames>
  <calcPr calcId="145621" iterate="1" iterateDelta="1.0000000000000002E-3"/>
</workbook>
</file>

<file path=xl/calcChain.xml><?xml version="1.0" encoding="utf-8"?>
<calcChain xmlns="http://schemas.openxmlformats.org/spreadsheetml/2006/main">
  <c r="H18" i="27" l="1"/>
  <c r="H12" i="27"/>
  <c r="B2" i="27"/>
  <c r="AY196" i="34"/>
  <c r="AY195" i="34" s="1"/>
  <c r="CI196" i="34"/>
  <c r="CH196" i="34"/>
  <c r="CC196" i="34"/>
  <c r="BX196" i="34"/>
  <c r="CC193" i="34" s="1"/>
  <c r="BS196" i="34"/>
  <c r="BN196" i="34"/>
  <c r="AT196" i="34"/>
  <c r="DB195" i="34"/>
  <c r="DB194" i="34"/>
  <c r="CW195" i="34"/>
  <c r="CW194" i="34"/>
  <c r="CR195" i="34"/>
  <c r="CR194" i="34"/>
  <c r="CM194" i="34"/>
  <c r="CM193" i="34"/>
  <c r="CK195" i="34"/>
  <c r="CH193" i="34"/>
  <c r="CE194" i="34"/>
  <c r="CH194" i="34" s="1"/>
  <c r="CE193" i="34"/>
  <c r="BZ194" i="34"/>
  <c r="CD193" i="34"/>
  <c r="CD195" i="34" s="1"/>
  <c r="CB193" i="34"/>
  <c r="CB195" i="34" s="1"/>
  <c r="CA193" i="34"/>
  <c r="CA194" i="34" s="1"/>
  <c r="BZ193" i="34"/>
  <c r="BY193" i="34"/>
  <c r="BY195" i="34" s="1"/>
  <c r="BX193" i="34"/>
  <c r="BW193" i="34"/>
  <c r="BW195" i="34" s="1"/>
  <c r="BV193" i="34"/>
  <c r="BV195" i="34" s="1"/>
  <c r="BU193" i="34"/>
  <c r="BU195" i="34" s="1"/>
  <c r="BT193" i="34"/>
  <c r="BT195" i="34" s="1"/>
  <c r="BS193" i="34"/>
  <c r="BR193" i="34"/>
  <c r="BR195" i="34" s="1"/>
  <c r="BQ193" i="34"/>
  <c r="BQ195" i="34" s="1"/>
  <c r="BP193" i="34"/>
  <c r="BP195" i="34" s="1"/>
  <c r="BO193" i="34"/>
  <c r="BO195" i="34" s="1"/>
  <c r="BS195" i="34" s="1"/>
  <c r="BN193" i="34"/>
  <c r="BM193" i="34"/>
  <c r="BM195" i="34" s="1"/>
  <c r="BL193" i="34"/>
  <c r="BL197" i="34" s="1"/>
  <c r="BK193" i="34"/>
  <c r="BK197" i="34" s="1"/>
  <c r="BJ193" i="34"/>
  <c r="BJ195" i="34" s="1"/>
  <c r="BI193" i="34"/>
  <c r="BI197" i="34" s="1"/>
  <c r="BD193" i="34"/>
  <c r="BD197" i="34" s="1"/>
  <c r="AY193" i="34"/>
  <c r="CJ193" i="34"/>
  <c r="CJ196" i="34" s="1"/>
  <c r="CK193" i="34" s="1"/>
  <c r="CK196" i="34" s="1"/>
  <c r="CL193" i="34" s="1"/>
  <c r="CL196" i="34" s="1"/>
  <c r="CM196" i="34" s="1"/>
  <c r="CI193" i="34"/>
  <c r="CI195" i="34" s="1"/>
  <c r="CM195" i="34" s="1"/>
  <c r="CF193" i="34"/>
  <c r="CF196" i="34" s="1"/>
  <c r="CG193" i="34" s="1"/>
  <c r="CG195" i="34" s="1"/>
  <c r="BO192" i="34"/>
  <c r="BP192" i="34" s="1"/>
  <c r="BM192" i="34"/>
  <c r="BM197" i="34" s="1"/>
  <c r="BD188" i="34"/>
  <c r="BD187" i="34" s="1"/>
  <c r="AY188" i="34"/>
  <c r="AY189" i="34" s="1"/>
  <c r="CH188" i="34"/>
  <c r="CH185" i="34"/>
  <c r="CC188" i="34"/>
  <c r="BX188" i="34"/>
  <c r="CC185" i="34" s="1"/>
  <c r="BS188" i="34"/>
  <c r="BN188" i="34"/>
  <c r="BI188" i="34"/>
  <c r="BI189" i="34" s="1"/>
  <c r="DB187" i="34"/>
  <c r="DB186" i="34"/>
  <c r="CW187" i="34"/>
  <c r="CW186" i="34"/>
  <c r="CR187" i="34"/>
  <c r="CR186" i="34"/>
  <c r="CM186" i="34"/>
  <c r="CM185" i="34"/>
  <c r="BR187" i="34"/>
  <c r="CB185" i="34"/>
  <c r="CB186" i="34" s="1"/>
  <c r="CC186" i="34" s="1"/>
  <c r="CA185" i="34"/>
  <c r="CA187" i="34" s="1"/>
  <c r="BZ185" i="34"/>
  <c r="BZ187" i="34" s="1"/>
  <c r="BY185" i="34"/>
  <c r="BY187" i="34" s="1"/>
  <c r="BX185" i="34"/>
  <c r="BW185" i="34"/>
  <c r="BW187" i="34" s="1"/>
  <c r="BV185" i="34"/>
  <c r="BV187" i="34" s="1"/>
  <c r="BU185" i="34"/>
  <c r="BU187" i="34" s="1"/>
  <c r="BT185" i="34"/>
  <c r="BT187" i="34" s="1"/>
  <c r="BX187" i="34" s="1"/>
  <c r="BS185" i="34"/>
  <c r="BR185" i="34"/>
  <c r="BQ185" i="34"/>
  <c r="BQ187" i="34" s="1"/>
  <c r="BP185" i="34"/>
  <c r="BP187" i="34" s="1"/>
  <c r="BO185" i="34"/>
  <c r="BO187" i="34" s="1"/>
  <c r="BN185" i="34"/>
  <c r="BM185" i="34"/>
  <c r="BM187" i="34" s="1"/>
  <c r="BL185" i="34"/>
  <c r="BL189" i="34" s="1"/>
  <c r="BK185" i="34"/>
  <c r="BK189" i="34" s="1"/>
  <c r="BJ185" i="34"/>
  <c r="BJ187" i="34" s="1"/>
  <c r="BI185" i="34"/>
  <c r="BD185" i="34"/>
  <c r="BD189" i="34" s="1"/>
  <c r="AY185" i="34"/>
  <c r="CK185" i="34"/>
  <c r="CK188" i="34" s="1"/>
  <c r="CL185" i="34" s="1"/>
  <c r="CL188" i="34" s="1"/>
  <c r="CM188" i="34" s="1"/>
  <c r="CJ185" i="34"/>
  <c r="CJ188" i="34" s="1"/>
  <c r="CI185" i="34"/>
  <c r="CI187" i="34" s="1"/>
  <c r="CM187" i="34" s="1"/>
  <c r="CF185" i="34"/>
  <c r="CF188" i="34" s="1"/>
  <c r="CG185" i="34" s="1"/>
  <c r="CG186" i="34" s="1"/>
  <c r="CH186" i="34" s="1"/>
  <c r="CE185" i="34"/>
  <c r="CE187" i="34" s="1"/>
  <c r="CD185" i="34"/>
  <c r="CD187" i="34" s="1"/>
  <c r="CH187" i="34" s="1"/>
  <c r="BM184" i="34"/>
  <c r="DB177" i="34"/>
  <c r="DB176" i="34"/>
  <c r="CW177" i="34"/>
  <c r="CW176" i="34"/>
  <c r="CR177" i="34"/>
  <c r="CR176" i="34"/>
  <c r="CM177" i="34"/>
  <c r="CM176" i="34"/>
  <c r="CM175" i="34"/>
  <c r="CJ175" i="34"/>
  <c r="CJ178" i="34" s="1"/>
  <c r="CK174" i="34"/>
  <c r="DB167" i="34"/>
  <c r="DB166" i="34"/>
  <c r="CW167" i="34"/>
  <c r="CW166" i="34"/>
  <c r="CR167" i="34"/>
  <c r="CR166" i="34"/>
  <c r="CM167" i="34"/>
  <c r="CM165" i="34"/>
  <c r="CI165" i="34"/>
  <c r="CI169" i="34" s="1"/>
  <c r="CJ165" i="34"/>
  <c r="CJ168" i="34" s="1"/>
  <c r="CK165" i="34" s="1"/>
  <c r="CK168" i="34" s="1"/>
  <c r="CL165" i="34" s="1"/>
  <c r="CL168" i="34" s="1"/>
  <c r="CM168" i="34" s="1"/>
  <c r="CJ164" i="34"/>
  <c r="CK164" i="34" s="1"/>
  <c r="BS159" i="34"/>
  <c r="CJ158" i="34"/>
  <c r="CK155" i="34" s="1"/>
  <c r="CK158" i="34" s="1"/>
  <c r="CH158" i="34"/>
  <c r="CH155" i="34"/>
  <c r="CC158" i="34"/>
  <c r="CC156" i="34"/>
  <c r="BX158" i="34"/>
  <c r="CC155" i="34" s="1"/>
  <c r="BS158" i="34"/>
  <c r="BX155" i="34" s="1"/>
  <c r="BS157" i="34"/>
  <c r="DB157" i="34"/>
  <c r="DB156" i="34"/>
  <c r="CW157" i="34"/>
  <c r="CW156" i="34"/>
  <c r="CR157" i="34"/>
  <c r="CR156" i="34"/>
  <c r="CM157" i="34"/>
  <c r="CM156" i="34"/>
  <c r="CM155" i="34"/>
  <c r="CB157" i="34"/>
  <c r="BV157" i="34"/>
  <c r="BU157" i="34"/>
  <c r="CI155" i="34"/>
  <c r="CI156" i="34" s="1"/>
  <c r="CG156" i="34"/>
  <c r="CE156" i="34"/>
  <c r="CE155" i="34"/>
  <c r="CF155" i="34"/>
  <c r="CF158" i="34" s="1"/>
  <c r="CG155" i="34" s="1"/>
  <c r="CD155" i="34"/>
  <c r="CD157" i="34" s="1"/>
  <c r="CH157" i="34" s="1"/>
  <c r="CB155" i="34"/>
  <c r="CA155" i="34"/>
  <c r="CA157" i="34" s="1"/>
  <c r="BZ155" i="34"/>
  <c r="BZ157" i="34" s="1"/>
  <c r="BW155" i="34"/>
  <c r="BV155" i="34"/>
  <c r="BU155" i="34"/>
  <c r="BS155" i="34"/>
  <c r="CL155" i="34"/>
  <c r="CL158" i="34" s="1"/>
  <c r="CM158" i="34" s="1"/>
  <c r="CR155" i="34" s="1"/>
  <c r="CJ155" i="34"/>
  <c r="BU154" i="34"/>
  <c r="BU159" i="34" s="1"/>
  <c r="BT159" i="34" s="1"/>
  <c r="CH148" i="34"/>
  <c r="CC148" i="34"/>
  <c r="CH145" i="34" s="1"/>
  <c r="CC146" i="34"/>
  <c r="BX148" i="34"/>
  <c r="CC145" i="34" s="1"/>
  <c r="BX147" i="34"/>
  <c r="BS148" i="34"/>
  <c r="BS147" i="34"/>
  <c r="DB147" i="34"/>
  <c r="DB146" i="34"/>
  <c r="CW147" i="34"/>
  <c r="CW146" i="34"/>
  <c r="CM147" i="34"/>
  <c r="CM145" i="34"/>
  <c r="BY147" i="34"/>
  <c r="CR146" i="34"/>
  <c r="CI145" i="34"/>
  <c r="CI146" i="34" s="1"/>
  <c r="CM146" i="34" s="1"/>
  <c r="CB145" i="34"/>
  <c r="CB147" i="34" s="1"/>
  <c r="CA145" i="34"/>
  <c r="CA147" i="34" s="1"/>
  <c r="BZ145" i="34"/>
  <c r="BZ147" i="34" s="1"/>
  <c r="BY145" i="34"/>
  <c r="BX145" i="34"/>
  <c r="BW145" i="34"/>
  <c r="BV145" i="34"/>
  <c r="BU145" i="34"/>
  <c r="BT145" i="34"/>
  <c r="BN145" i="34"/>
  <c r="BM145" i="34"/>
  <c r="BM148" i="34" s="1"/>
  <c r="BN148" i="34" s="1"/>
  <c r="BL145" i="34"/>
  <c r="BL147" i="34" s="1"/>
  <c r="BN147" i="34" s="1"/>
  <c r="CJ145" i="34"/>
  <c r="CJ148" i="34" s="1"/>
  <c r="CK145" i="34" s="1"/>
  <c r="CK148" i="34" s="1"/>
  <c r="CL145" i="34" s="1"/>
  <c r="CL148" i="34" s="1"/>
  <c r="CM148" i="34" s="1"/>
  <c r="CF145" i="34"/>
  <c r="CF148" i="34" s="1"/>
  <c r="CG145" i="34" s="1"/>
  <c r="CG146" i="34" s="1"/>
  <c r="CH146" i="34" s="1"/>
  <c r="CE145" i="34"/>
  <c r="CE147" i="34" s="1"/>
  <c r="CD145" i="34"/>
  <c r="CD147" i="34" s="1"/>
  <c r="CH147" i="34" s="1"/>
  <c r="BM144" i="34"/>
  <c r="BI139" i="34"/>
  <c r="CJ138" i="34"/>
  <c r="CH138" i="34"/>
  <c r="CH135" i="34"/>
  <c r="CC138" i="34"/>
  <c r="CC136" i="34"/>
  <c r="BX138" i="34"/>
  <c r="CC135" i="34" s="1"/>
  <c r="BS138" i="34"/>
  <c r="BN138" i="34"/>
  <c r="DB137" i="34"/>
  <c r="DB136" i="34"/>
  <c r="CW137" i="34"/>
  <c r="CW136" i="34"/>
  <c r="CR137" i="34"/>
  <c r="CR136" i="34"/>
  <c r="CM137" i="34"/>
  <c r="CM135" i="34"/>
  <c r="CE137" i="34"/>
  <c r="CA137" i="34"/>
  <c r="BZ137" i="34"/>
  <c r="BW137" i="34"/>
  <c r="BV137" i="34"/>
  <c r="BU137" i="34"/>
  <c r="BK137" i="34"/>
  <c r="CI135" i="34"/>
  <c r="CI136" i="34" s="1"/>
  <c r="CM136" i="34" s="1"/>
  <c r="CB135" i="34"/>
  <c r="CB137" i="34" s="1"/>
  <c r="CA135" i="34"/>
  <c r="BZ135" i="34"/>
  <c r="BY135" i="34"/>
  <c r="BY137" i="34" s="1"/>
  <c r="CC137" i="34" s="1"/>
  <c r="BX135" i="34"/>
  <c r="BW135" i="34"/>
  <c r="BV135" i="34"/>
  <c r="BU135" i="34"/>
  <c r="BT135" i="34"/>
  <c r="BT137" i="34" s="1"/>
  <c r="BX137" i="34" s="1"/>
  <c r="BS135" i="34"/>
  <c r="BR135" i="34"/>
  <c r="BR137" i="34" s="1"/>
  <c r="BQ135" i="34"/>
  <c r="BQ137" i="34" s="1"/>
  <c r="BP135" i="34"/>
  <c r="BP137" i="34" s="1"/>
  <c r="BO135" i="34"/>
  <c r="BO137" i="34" s="1"/>
  <c r="BN135" i="34"/>
  <c r="BM135" i="34"/>
  <c r="BM137" i="34" s="1"/>
  <c r="BL135" i="34"/>
  <c r="BL139" i="34" s="1"/>
  <c r="BK135" i="34"/>
  <c r="BK139" i="34" s="1"/>
  <c r="BJ135" i="34"/>
  <c r="BJ137" i="34" s="1"/>
  <c r="CK135" i="34"/>
  <c r="CK138" i="34" s="1"/>
  <c r="CL135" i="34" s="1"/>
  <c r="CL138" i="34" s="1"/>
  <c r="CM138" i="34" s="1"/>
  <c r="CJ135" i="34"/>
  <c r="CF135" i="34"/>
  <c r="CF138" i="34" s="1"/>
  <c r="CG135" i="34" s="1"/>
  <c r="CG136" i="34" s="1"/>
  <c r="CH136" i="34" s="1"/>
  <c r="CE135" i="34"/>
  <c r="CD135" i="34"/>
  <c r="CD137" i="34" s="1"/>
  <c r="CH137" i="34" s="1"/>
  <c r="BM134" i="34"/>
  <c r="BM139" i="34" s="1"/>
  <c r="BS127" i="34"/>
  <c r="CH126" i="34"/>
  <c r="CM123" i="34" s="1"/>
  <c r="CC126" i="34"/>
  <c r="CC124" i="34"/>
  <c r="BX126" i="34"/>
  <c r="CC123" i="34" s="1"/>
  <c r="BS126" i="34"/>
  <c r="BS125" i="34"/>
  <c r="DB125" i="34"/>
  <c r="DB124" i="34"/>
  <c r="CW125" i="34"/>
  <c r="CW124" i="34"/>
  <c r="CM125" i="34"/>
  <c r="BZ125" i="34"/>
  <c r="BV125" i="34"/>
  <c r="CR124" i="34"/>
  <c r="CI124" i="34"/>
  <c r="CM124" i="34" s="1"/>
  <c r="CI123" i="34"/>
  <c r="CE124" i="34"/>
  <c r="CH124" i="34" s="1"/>
  <c r="CE123" i="34"/>
  <c r="CF123" i="34"/>
  <c r="CF126" i="34" s="1"/>
  <c r="CG123" i="34" s="1"/>
  <c r="CG124" i="34" s="1"/>
  <c r="CB123" i="34"/>
  <c r="CB125" i="34" s="1"/>
  <c r="CA123" i="34"/>
  <c r="CA125" i="34" s="1"/>
  <c r="BZ123" i="34"/>
  <c r="BY123" i="34"/>
  <c r="BY125" i="34" s="1"/>
  <c r="CC125" i="34" s="1"/>
  <c r="BX123" i="34"/>
  <c r="BW123" i="34"/>
  <c r="BV123" i="34"/>
  <c r="BU123" i="34"/>
  <c r="BU125" i="34" s="1"/>
  <c r="BX125" i="34" s="1"/>
  <c r="BT123" i="34"/>
  <c r="BS123" i="34"/>
  <c r="CJ123" i="34"/>
  <c r="CJ126" i="34" s="1"/>
  <c r="CK123" i="34" s="1"/>
  <c r="CK126" i="34" s="1"/>
  <c r="CL123" i="34" s="1"/>
  <c r="CL126" i="34" s="1"/>
  <c r="CM126" i="34" s="1"/>
  <c r="BW122" i="34"/>
  <c r="BW127" i="34" s="1"/>
  <c r="BV122" i="34"/>
  <c r="BV127" i="34" s="1"/>
  <c r="BU122" i="34"/>
  <c r="CH116" i="34"/>
  <c r="CH113" i="34"/>
  <c r="CC116" i="34"/>
  <c r="CC114" i="34"/>
  <c r="CC113" i="34"/>
  <c r="BX116" i="34"/>
  <c r="BS116" i="34"/>
  <c r="BS115" i="34"/>
  <c r="DB115" i="34"/>
  <c r="DB114" i="34"/>
  <c r="CW115" i="34"/>
  <c r="CW114" i="34"/>
  <c r="CR115" i="34"/>
  <c r="CR114" i="34"/>
  <c r="CM114" i="34"/>
  <c r="CM113" i="34"/>
  <c r="BT115" i="34"/>
  <c r="CB113" i="34"/>
  <c r="CB115" i="34" s="1"/>
  <c r="CA113" i="34"/>
  <c r="CA115" i="34" s="1"/>
  <c r="BZ113" i="34"/>
  <c r="BZ115" i="34" s="1"/>
  <c r="BY113" i="34"/>
  <c r="BY115" i="34" s="1"/>
  <c r="CC115" i="34" s="1"/>
  <c r="BX113" i="34"/>
  <c r="BW113" i="34"/>
  <c r="BV113" i="34"/>
  <c r="BV115" i="34" s="1"/>
  <c r="BU113" i="34"/>
  <c r="BU115" i="34" s="1"/>
  <c r="BT113" i="34"/>
  <c r="BN113" i="34"/>
  <c r="BM113" i="34"/>
  <c r="BM116" i="34" s="1"/>
  <c r="BN116" i="34" s="1"/>
  <c r="BL113" i="34"/>
  <c r="BL115" i="34" s="1"/>
  <c r="BN115" i="34" s="1"/>
  <c r="CJ113" i="34"/>
  <c r="CJ116" i="34" s="1"/>
  <c r="CK113" i="34" s="1"/>
  <c r="CK116" i="34" s="1"/>
  <c r="CL113" i="34" s="1"/>
  <c r="CL116" i="34" s="1"/>
  <c r="CM116" i="34" s="1"/>
  <c r="CI113" i="34"/>
  <c r="CI115" i="34" s="1"/>
  <c r="CM115" i="34" s="1"/>
  <c r="CF113" i="34"/>
  <c r="CF116" i="34" s="1"/>
  <c r="CG113" i="34" s="1"/>
  <c r="CG114" i="34" s="1"/>
  <c r="CH114" i="34" s="1"/>
  <c r="CE113" i="34"/>
  <c r="CE115" i="34" s="1"/>
  <c r="CD113" i="34"/>
  <c r="CD115" i="34" s="1"/>
  <c r="BO112" i="34"/>
  <c r="BM112" i="34"/>
  <c r="BM117" i="34" s="1"/>
  <c r="CH104" i="34"/>
  <c r="CH101" i="34"/>
  <c r="CC104" i="34"/>
  <c r="CC101" i="34"/>
  <c r="BX104" i="34"/>
  <c r="BS104" i="34"/>
  <c r="BX101" i="34" s="1"/>
  <c r="BN104" i="34"/>
  <c r="DB103" i="34"/>
  <c r="DB102" i="34"/>
  <c r="CW103" i="34"/>
  <c r="CW102" i="34"/>
  <c r="CR103" i="34"/>
  <c r="CR102" i="34"/>
  <c r="CM103" i="34"/>
  <c r="CM101" i="34"/>
  <c r="BV103" i="34"/>
  <c r="BQ103" i="34"/>
  <c r="BP103" i="34"/>
  <c r="BL103" i="34"/>
  <c r="CI101" i="34"/>
  <c r="CI102" i="34" s="1"/>
  <c r="CM102" i="34" s="1"/>
  <c r="BY102" i="34"/>
  <c r="BY101" i="34"/>
  <c r="BZ101" i="34"/>
  <c r="BZ103" i="34" s="1"/>
  <c r="CC103" i="34" s="1"/>
  <c r="BW101" i="34"/>
  <c r="BW103" i="34" s="1"/>
  <c r="BV101" i="34"/>
  <c r="BU101" i="34"/>
  <c r="BU103" i="34" s="1"/>
  <c r="BS101" i="34"/>
  <c r="BR101" i="34"/>
  <c r="BR103" i="34" s="1"/>
  <c r="BQ101" i="34"/>
  <c r="BP101" i="34"/>
  <c r="BO101" i="34"/>
  <c r="BO103" i="34" s="1"/>
  <c r="BS103" i="34" s="1"/>
  <c r="BN101" i="34"/>
  <c r="BM101" i="34"/>
  <c r="BM103" i="34" s="1"/>
  <c r="BL101" i="34"/>
  <c r="BL105" i="34" s="1"/>
  <c r="BK101" i="34"/>
  <c r="BK105" i="34" s="1"/>
  <c r="BJ101" i="34"/>
  <c r="CJ101" i="34"/>
  <c r="CJ104" i="34" s="1"/>
  <c r="CK101" i="34" s="1"/>
  <c r="CK104" i="34" s="1"/>
  <c r="CL101" i="34" s="1"/>
  <c r="CL104" i="34" s="1"/>
  <c r="CM104" i="34" s="1"/>
  <c r="CF101" i="34"/>
  <c r="CF104" i="34" s="1"/>
  <c r="CG101" i="34" s="1"/>
  <c r="CG102" i="34" s="1"/>
  <c r="CH102" i="34" s="1"/>
  <c r="CE101" i="34"/>
  <c r="CE103" i="34" s="1"/>
  <c r="CD101" i="34"/>
  <c r="CD103" i="34" s="1"/>
  <c r="CB102" i="34"/>
  <c r="CB101" i="34"/>
  <c r="CA101" i="34"/>
  <c r="CA102" i="34" s="1"/>
  <c r="BM100" i="34"/>
  <c r="BS94" i="34"/>
  <c r="BT93" i="34"/>
  <c r="BS93" i="34"/>
  <c r="CH92" i="34"/>
  <c r="CH90" i="34"/>
  <c r="CC92" i="34"/>
  <c r="CH89" i="34" s="1"/>
  <c r="BX92" i="34"/>
  <c r="CC89" i="34" s="1"/>
  <c r="BS92" i="34"/>
  <c r="BS91" i="34"/>
  <c r="DB91" i="34"/>
  <c r="DB90" i="34"/>
  <c r="CW91" i="34"/>
  <c r="CW90" i="34"/>
  <c r="CR91" i="34"/>
  <c r="CR90" i="34"/>
  <c r="CM90" i="34"/>
  <c r="CM89" i="34"/>
  <c r="BW91" i="34"/>
  <c r="BV91" i="34"/>
  <c r="BY89" i="34"/>
  <c r="BY90" i="34" s="1"/>
  <c r="CC90" i="34" s="1"/>
  <c r="BY87" i="34"/>
  <c r="BY94" i="34" s="1"/>
  <c r="BY86" i="34"/>
  <c r="BX89" i="34"/>
  <c r="BW89" i="34"/>
  <c r="BV89" i="34"/>
  <c r="BU89" i="34"/>
  <c r="BU91" i="34" s="1"/>
  <c r="BT89" i="34"/>
  <c r="BT91" i="34" s="1"/>
  <c r="BX91" i="34" s="1"/>
  <c r="BS89" i="34"/>
  <c r="BW88" i="34"/>
  <c r="BW93" i="34" s="1"/>
  <c r="BX93" i="34" s="1"/>
  <c r="BV88" i="34"/>
  <c r="BV93" i="34" s="1"/>
  <c r="BU88" i="34"/>
  <c r="BU93" i="34" s="1"/>
  <c r="BS88" i="34"/>
  <c r="DA87" i="34"/>
  <c r="CZ87" i="34"/>
  <c r="CY87" i="34"/>
  <c r="CX87" i="34"/>
  <c r="DA86" i="34"/>
  <c r="CZ86" i="34"/>
  <c r="CY86" i="34"/>
  <c r="CX86" i="34"/>
  <c r="CV87" i="34"/>
  <c r="CU87" i="34"/>
  <c r="CT87" i="34"/>
  <c r="CS87" i="34"/>
  <c r="CV86" i="34"/>
  <c r="CU86" i="34"/>
  <c r="CT86" i="34"/>
  <c r="CS86" i="34"/>
  <c r="CQ87" i="34"/>
  <c r="CP87" i="34"/>
  <c r="CO87" i="34"/>
  <c r="CN87" i="34"/>
  <c r="CQ86" i="34"/>
  <c r="CP86" i="34"/>
  <c r="CO86" i="34"/>
  <c r="CN86" i="34"/>
  <c r="CJ89" i="34"/>
  <c r="CJ92" i="34" s="1"/>
  <c r="CK89" i="34" s="1"/>
  <c r="CK92" i="34" s="1"/>
  <c r="CL89" i="34" s="1"/>
  <c r="CL92" i="34" s="1"/>
  <c r="CI89" i="34"/>
  <c r="CI91" i="34" s="1"/>
  <c r="CM91" i="34" s="1"/>
  <c r="CL87" i="34"/>
  <c r="CL94" i="34" s="1"/>
  <c r="CK87" i="34"/>
  <c r="CK94" i="34" s="1"/>
  <c r="CJ87" i="34"/>
  <c r="CI87" i="34"/>
  <c r="CI94" i="34" s="1"/>
  <c r="CL86" i="34"/>
  <c r="CK86" i="34"/>
  <c r="CJ86" i="34"/>
  <c r="CI86" i="34"/>
  <c r="CF89" i="34"/>
  <c r="CF92" i="34" s="1"/>
  <c r="CG89" i="34" s="1"/>
  <c r="CG91" i="34" s="1"/>
  <c r="CE89" i="34"/>
  <c r="CE91" i="34" s="1"/>
  <c r="CD89" i="34"/>
  <c r="CD91" i="34" s="1"/>
  <c r="CG87" i="34"/>
  <c r="CF87" i="34"/>
  <c r="CE87" i="34"/>
  <c r="CE94" i="34" s="1"/>
  <c r="CD87" i="34"/>
  <c r="CD94" i="34" s="1"/>
  <c r="CG86" i="34"/>
  <c r="CF86" i="34"/>
  <c r="CE86" i="34"/>
  <c r="CD86" i="34"/>
  <c r="CB89" i="34"/>
  <c r="CB91" i="34" s="1"/>
  <c r="CA89" i="34"/>
  <c r="CA91" i="34" s="1"/>
  <c r="BZ89" i="34"/>
  <c r="BZ91" i="34" s="1"/>
  <c r="CC91" i="34" s="1"/>
  <c r="CB87" i="34"/>
  <c r="CA87" i="34"/>
  <c r="CA94" i="34" s="1"/>
  <c r="BZ87" i="34"/>
  <c r="BZ94" i="34" s="1"/>
  <c r="CB86" i="34"/>
  <c r="CA86" i="34"/>
  <c r="BZ86" i="34"/>
  <c r="BW87" i="34"/>
  <c r="BW94" i="34" s="1"/>
  <c r="BV87" i="34"/>
  <c r="BV94" i="34" s="1"/>
  <c r="BU87" i="34"/>
  <c r="BU94" i="34" s="1"/>
  <c r="BT87" i="34"/>
  <c r="BT94" i="34" s="1"/>
  <c r="BW86" i="34"/>
  <c r="BW95" i="34" s="1"/>
  <c r="BV86" i="34"/>
  <c r="BV95" i="34" s="1"/>
  <c r="BU86" i="34"/>
  <c r="BU95" i="34" s="1"/>
  <c r="BT86" i="34"/>
  <c r="BT95" i="34" s="1"/>
  <c r="BT80" i="34"/>
  <c r="BS80" i="34"/>
  <c r="BS79" i="34"/>
  <c r="CH78" i="34"/>
  <c r="CC78" i="34"/>
  <c r="CH75" i="34" s="1"/>
  <c r="CC76" i="34"/>
  <c r="BX78" i="34"/>
  <c r="CC75" i="34" s="1"/>
  <c r="BS78" i="34"/>
  <c r="BS77" i="34"/>
  <c r="DB77" i="34"/>
  <c r="DB76" i="34"/>
  <c r="CW77" i="34"/>
  <c r="CW76" i="34"/>
  <c r="CR77" i="34"/>
  <c r="CR76" i="34"/>
  <c r="CM75" i="34"/>
  <c r="CD77" i="34"/>
  <c r="BZ77" i="34"/>
  <c r="CI76" i="34"/>
  <c r="CM76" i="34" s="1"/>
  <c r="CI75" i="34"/>
  <c r="CI80" i="34" s="1"/>
  <c r="CJ75" i="34"/>
  <c r="CF75" i="34"/>
  <c r="CF78" i="34" s="1"/>
  <c r="CE75" i="34"/>
  <c r="CE80" i="34" s="1"/>
  <c r="CD75" i="34"/>
  <c r="CD80" i="34" s="1"/>
  <c r="CB75" i="34"/>
  <c r="CB80" i="34" s="1"/>
  <c r="CA75" i="34"/>
  <c r="CA77" i="34" s="1"/>
  <c r="BZ75" i="34"/>
  <c r="BZ80" i="34" s="1"/>
  <c r="BY75" i="34"/>
  <c r="BY77" i="34" s="1"/>
  <c r="BX75" i="34"/>
  <c r="BW75" i="34"/>
  <c r="BW80" i="34" s="1"/>
  <c r="BV75" i="34"/>
  <c r="BV77" i="34" s="1"/>
  <c r="BU75" i="34"/>
  <c r="BU77" i="34" s="1"/>
  <c r="BT75" i="34"/>
  <c r="BT77" i="34" s="1"/>
  <c r="BS75" i="34"/>
  <c r="BS74" i="34"/>
  <c r="DA72" i="34"/>
  <c r="CZ72" i="34"/>
  <c r="CY72" i="34"/>
  <c r="CX72" i="34"/>
  <c r="CV72" i="34"/>
  <c r="CU72" i="34"/>
  <c r="CT72" i="34"/>
  <c r="CS72" i="34"/>
  <c r="CQ72" i="34"/>
  <c r="CP72" i="34"/>
  <c r="CO72" i="34"/>
  <c r="CN72" i="34"/>
  <c r="CL72" i="34"/>
  <c r="CK72" i="34"/>
  <c r="CJ72" i="34"/>
  <c r="CI72" i="34"/>
  <c r="CG72" i="34"/>
  <c r="CF72" i="34"/>
  <c r="CE72" i="34"/>
  <c r="CD72" i="34"/>
  <c r="CB72" i="34"/>
  <c r="CA72" i="34"/>
  <c r="BZ72" i="34"/>
  <c r="BY72" i="34"/>
  <c r="BW72" i="34"/>
  <c r="BV72" i="34"/>
  <c r="BU72" i="34"/>
  <c r="BT72" i="34"/>
  <c r="BJ67" i="34"/>
  <c r="BD65" i="34"/>
  <c r="BD67" i="34" s="1"/>
  <c r="BD64" i="34"/>
  <c r="AY65" i="34"/>
  <c r="AY67" i="34" s="1"/>
  <c r="AY64" i="34"/>
  <c r="BL65" i="34"/>
  <c r="BL67" i="34" s="1"/>
  <c r="BK65" i="34"/>
  <c r="BK67" i="34" s="1"/>
  <c r="BJ65" i="34"/>
  <c r="CH64" i="34"/>
  <c r="CH62" i="34"/>
  <c r="CC64" i="34"/>
  <c r="CH61" i="34" s="1"/>
  <c r="CC62" i="34"/>
  <c r="BS64" i="34"/>
  <c r="BN64" i="34"/>
  <c r="BI64" i="34"/>
  <c r="BI65" i="34" s="1"/>
  <c r="BI67" i="34" s="1"/>
  <c r="BI63" i="34"/>
  <c r="AT64" i="34"/>
  <c r="CR63" i="34"/>
  <c r="CM61" i="34"/>
  <c r="CE63" i="34"/>
  <c r="BM63" i="34"/>
  <c r="BJ63" i="34"/>
  <c r="DB62" i="34"/>
  <c r="CW62" i="34"/>
  <c r="CR62" i="34"/>
  <c r="CI61" i="34"/>
  <c r="CI62" i="34" s="1"/>
  <c r="CM62" i="34" s="1"/>
  <c r="CI59" i="34"/>
  <c r="CI58" i="34"/>
  <c r="CB61" i="34"/>
  <c r="CB63" i="34" s="1"/>
  <c r="CA61" i="34"/>
  <c r="CA63" i="34" s="1"/>
  <c r="BX61" i="34"/>
  <c r="BU61" i="34"/>
  <c r="BU64" i="34" s="1"/>
  <c r="BV61" i="34" s="1"/>
  <c r="BV64" i="34" s="1"/>
  <c r="BT61" i="34"/>
  <c r="BT63" i="34" s="1"/>
  <c r="BX63" i="34" s="1"/>
  <c r="BS61" i="34"/>
  <c r="BR61" i="34"/>
  <c r="BR63" i="34" s="1"/>
  <c r="BQ61" i="34"/>
  <c r="BQ63" i="34" s="1"/>
  <c r="BP61" i="34"/>
  <c r="BP63" i="34" s="1"/>
  <c r="BO61" i="34"/>
  <c r="BO63" i="34" s="1"/>
  <c r="BS63" i="34" s="1"/>
  <c r="BN61" i="34"/>
  <c r="BM61" i="34"/>
  <c r="BL61" i="34"/>
  <c r="BL63" i="34" s="1"/>
  <c r="BK61" i="34"/>
  <c r="BK63" i="34" s="1"/>
  <c r="BJ61" i="34"/>
  <c r="BI61" i="34"/>
  <c r="BD61" i="34"/>
  <c r="AY61" i="34"/>
  <c r="AY63" i="34" s="1"/>
  <c r="BM60" i="34"/>
  <c r="BM65" i="34" s="1"/>
  <c r="BM59" i="34"/>
  <c r="BM66" i="34" s="1"/>
  <c r="BL59" i="34"/>
  <c r="BK59" i="34"/>
  <c r="BK66" i="34" s="1"/>
  <c r="BJ59" i="34"/>
  <c r="BJ66" i="34" s="1"/>
  <c r="BI59" i="34"/>
  <c r="BI66" i="34" s="1"/>
  <c r="BD59" i="34"/>
  <c r="BD66" i="34" s="1"/>
  <c r="AY59" i="34"/>
  <c r="AY66" i="34" s="1"/>
  <c r="DA59" i="34"/>
  <c r="CZ59" i="34"/>
  <c r="CY59" i="34"/>
  <c r="CX59" i="34"/>
  <c r="DA58" i="34"/>
  <c r="CZ58" i="34"/>
  <c r="CY58" i="34"/>
  <c r="CX58" i="34"/>
  <c r="CV59" i="34"/>
  <c r="CU59" i="34"/>
  <c r="CT59" i="34"/>
  <c r="CS59" i="34"/>
  <c r="CV58" i="34"/>
  <c r="CU58" i="34"/>
  <c r="CT58" i="34"/>
  <c r="CS58" i="34"/>
  <c r="CQ59" i="34"/>
  <c r="CP59" i="34"/>
  <c r="CO59" i="34"/>
  <c r="CN59" i="34"/>
  <c r="CQ58" i="34"/>
  <c r="CP58" i="34"/>
  <c r="CO58" i="34"/>
  <c r="CN58" i="34"/>
  <c r="CJ61" i="34"/>
  <c r="CL59" i="34"/>
  <c r="CK59" i="34"/>
  <c r="CJ59" i="34"/>
  <c r="CL58" i="34"/>
  <c r="CK58" i="34"/>
  <c r="CJ58" i="34"/>
  <c r="CF61" i="34"/>
  <c r="CF64" i="34" s="1"/>
  <c r="CG61" i="34" s="1"/>
  <c r="CG63" i="34" s="1"/>
  <c r="CE61" i="34"/>
  <c r="CD61" i="34"/>
  <c r="CD63" i="34" s="1"/>
  <c r="CG59" i="34"/>
  <c r="CF59" i="34"/>
  <c r="CE59" i="34"/>
  <c r="CE66" i="34" s="1"/>
  <c r="CD59" i="34"/>
  <c r="CD66" i="34" s="1"/>
  <c r="CG58" i="34"/>
  <c r="CF58" i="34"/>
  <c r="CE58" i="34"/>
  <c r="CD58" i="34"/>
  <c r="CB59" i="34"/>
  <c r="CB66" i="34" s="1"/>
  <c r="CA59" i="34"/>
  <c r="CA66" i="34" s="1"/>
  <c r="BZ59" i="34"/>
  <c r="BY59" i="34"/>
  <c r="CB58" i="34"/>
  <c r="CA58" i="34"/>
  <c r="BZ58" i="34"/>
  <c r="BY58" i="34"/>
  <c r="BW59" i="34"/>
  <c r="BV59" i="34"/>
  <c r="BU59" i="34"/>
  <c r="BU66" i="34" s="1"/>
  <c r="BT59" i="34"/>
  <c r="BT66" i="34" s="1"/>
  <c r="BW58" i="34"/>
  <c r="BV58" i="34"/>
  <c r="BU58" i="34"/>
  <c r="BT58" i="34"/>
  <c r="BR59" i="34"/>
  <c r="BR66" i="34" s="1"/>
  <c r="BQ59" i="34"/>
  <c r="BQ66" i="34" s="1"/>
  <c r="BP59" i="34"/>
  <c r="BP66" i="34" s="1"/>
  <c r="BO59" i="34"/>
  <c r="BO66" i="34" s="1"/>
  <c r="BS66" i="34" s="1"/>
  <c r="BR58" i="34"/>
  <c r="BQ58" i="34"/>
  <c r="BP58" i="34"/>
  <c r="BO58" i="34"/>
  <c r="BD51" i="34"/>
  <c r="BD53" i="34" s="1"/>
  <c r="AY53" i="34"/>
  <c r="AY51" i="34"/>
  <c r="CI51" i="34"/>
  <c r="CG51" i="34"/>
  <c r="CH51" i="34" s="1"/>
  <c r="CE51" i="34"/>
  <c r="CD51" i="34"/>
  <c r="CC51" i="34"/>
  <c r="CB51" i="34"/>
  <c r="CA51" i="34"/>
  <c r="BZ51" i="34"/>
  <c r="BY51" i="34"/>
  <c r="BW51" i="34"/>
  <c r="BX51" i="34" s="1"/>
  <c r="BV51" i="34"/>
  <c r="BU51" i="34"/>
  <c r="BT51" i="34"/>
  <c r="BR51" i="34"/>
  <c r="BS51" i="34" s="1"/>
  <c r="BQ51" i="34"/>
  <c r="BP51" i="34"/>
  <c r="BO51" i="34"/>
  <c r="BL51" i="34"/>
  <c r="BL53" i="34" s="1"/>
  <c r="BK51" i="34"/>
  <c r="BK53" i="34" s="1"/>
  <c r="BJ51" i="34"/>
  <c r="BJ53" i="34" s="1"/>
  <c r="BI51" i="34"/>
  <c r="BI53" i="34" s="1"/>
  <c r="CH50" i="34"/>
  <c r="CH48" i="34"/>
  <c r="CH47" i="34"/>
  <c r="CH46" i="34"/>
  <c r="CC50" i="34"/>
  <c r="CC48" i="34"/>
  <c r="CC46" i="34"/>
  <c r="BX50" i="34"/>
  <c r="CC47" i="34" s="1"/>
  <c r="BS50" i="34"/>
  <c r="BN50" i="34"/>
  <c r="BS47" i="34" s="1"/>
  <c r="DB49" i="34"/>
  <c r="DB48" i="34"/>
  <c r="DB46" i="34"/>
  <c r="CW49" i="34"/>
  <c r="CW48" i="34"/>
  <c r="CW46" i="34"/>
  <c r="CR49" i="34"/>
  <c r="CR48" i="34"/>
  <c r="CR46" i="34"/>
  <c r="CM48" i="34"/>
  <c r="CM47" i="34"/>
  <c r="CM46" i="34"/>
  <c r="CB49" i="34"/>
  <c r="CA49" i="34"/>
  <c r="BP49" i="34"/>
  <c r="BL49" i="34"/>
  <c r="BK49" i="34"/>
  <c r="BD49" i="34"/>
  <c r="AY49" i="34"/>
  <c r="CJ47" i="34"/>
  <c r="CJ50" i="34" s="1"/>
  <c r="CI47" i="34"/>
  <c r="CI49" i="34" s="1"/>
  <c r="CF47" i="34"/>
  <c r="CF50" i="34" s="1"/>
  <c r="CE47" i="34"/>
  <c r="CE52" i="34" s="1"/>
  <c r="CD47" i="34"/>
  <c r="CD49" i="34" s="1"/>
  <c r="CB47" i="34"/>
  <c r="CB52" i="34" s="1"/>
  <c r="CA47" i="34"/>
  <c r="CA52" i="34" s="1"/>
  <c r="BZ47" i="34"/>
  <c r="BZ52" i="34" s="1"/>
  <c r="BY47" i="34"/>
  <c r="BY52" i="34" s="1"/>
  <c r="BX47" i="34"/>
  <c r="BW47" i="34"/>
  <c r="BW49" i="34" s="1"/>
  <c r="BV47" i="34"/>
  <c r="BV49" i="34" s="1"/>
  <c r="BU47" i="34"/>
  <c r="BU52" i="34" s="1"/>
  <c r="BT47" i="34"/>
  <c r="BT49" i="34" s="1"/>
  <c r="BR47" i="34"/>
  <c r="BR49" i="34" s="1"/>
  <c r="BQ47" i="34"/>
  <c r="BQ49" i="34" s="1"/>
  <c r="BP47" i="34"/>
  <c r="BO47" i="34"/>
  <c r="BO49" i="34" s="1"/>
  <c r="BN47" i="34"/>
  <c r="BM47" i="34"/>
  <c r="BM49" i="34" s="1"/>
  <c r="BL47" i="34"/>
  <c r="BK47" i="34"/>
  <c r="BJ47" i="34"/>
  <c r="BJ49" i="34" s="1"/>
  <c r="BN49" i="34" s="1"/>
  <c r="BI47" i="34"/>
  <c r="BI49" i="34" s="1"/>
  <c r="BD47" i="34"/>
  <c r="AY47" i="34"/>
  <c r="BX46" i="34"/>
  <c r="BS46" i="34"/>
  <c r="BM46" i="34"/>
  <c r="BN46" i="34" s="1"/>
  <c r="BM45" i="34"/>
  <c r="BM52" i="34" s="1"/>
  <c r="BL45" i="34"/>
  <c r="BL52" i="34" s="1"/>
  <c r="BK45" i="34"/>
  <c r="BK52" i="34" s="1"/>
  <c r="BJ45" i="34"/>
  <c r="BJ52" i="34" s="1"/>
  <c r="BI45" i="34"/>
  <c r="BI52" i="34" s="1"/>
  <c r="BD45" i="34"/>
  <c r="BD52" i="34" s="1"/>
  <c r="AY45" i="34"/>
  <c r="AY52" i="34" s="1"/>
  <c r="DA44" i="34"/>
  <c r="CZ44" i="34"/>
  <c r="CY44" i="34"/>
  <c r="CX44" i="34"/>
  <c r="CV44" i="34"/>
  <c r="CU44" i="34"/>
  <c r="CT44" i="34"/>
  <c r="CS44" i="34"/>
  <c r="CQ44" i="34"/>
  <c r="CP44" i="34"/>
  <c r="CO44" i="34"/>
  <c r="CN44" i="34"/>
  <c r="CL44" i="34"/>
  <c r="CK44" i="34"/>
  <c r="CJ44" i="34"/>
  <c r="CI44" i="34"/>
  <c r="CG44" i="34"/>
  <c r="CF44" i="34"/>
  <c r="CE44" i="34"/>
  <c r="CE53" i="34" s="1"/>
  <c r="CD44" i="34"/>
  <c r="CD53" i="34" s="1"/>
  <c r="CB44" i="34"/>
  <c r="CB53" i="34" s="1"/>
  <c r="CA44" i="34"/>
  <c r="CA53" i="34" s="1"/>
  <c r="BZ44" i="34"/>
  <c r="BZ53" i="34" s="1"/>
  <c r="BY44" i="34"/>
  <c r="BW44" i="34"/>
  <c r="BW53" i="34" s="1"/>
  <c r="BV44" i="34"/>
  <c r="BV53" i="34" s="1"/>
  <c r="BU44" i="34"/>
  <c r="BU53" i="34" s="1"/>
  <c r="BT44" i="34"/>
  <c r="BR45" i="34"/>
  <c r="BR52" i="34" s="1"/>
  <c r="BQ45" i="34"/>
  <c r="BQ52" i="34" s="1"/>
  <c r="BP45" i="34"/>
  <c r="BP52" i="34" s="1"/>
  <c r="BO45" i="34"/>
  <c r="BO52" i="34" s="1"/>
  <c r="BR44" i="34"/>
  <c r="BR53" i="34" s="1"/>
  <c r="BQ44" i="34"/>
  <c r="BQ53" i="34" s="1"/>
  <c r="BP44" i="34"/>
  <c r="BP53" i="34" s="1"/>
  <c r="BO44" i="34"/>
  <c r="CI37" i="34"/>
  <c r="CD37" i="34"/>
  <c r="BY37" i="34"/>
  <c r="BT37" i="34"/>
  <c r="BL37" i="34"/>
  <c r="BK37" i="34"/>
  <c r="BJ37" i="34"/>
  <c r="BI37" i="34"/>
  <c r="CH36" i="34"/>
  <c r="CM33" i="34" s="1"/>
  <c r="CH33" i="34"/>
  <c r="CC36" i="34"/>
  <c r="BS36" i="34"/>
  <c r="BM36" i="34"/>
  <c r="BO33" i="34" s="1"/>
  <c r="BO36" i="34" s="1"/>
  <c r="DB35" i="34"/>
  <c r="DB34" i="34"/>
  <c r="CW35" i="34"/>
  <c r="CW34" i="34"/>
  <c r="CR35" i="34"/>
  <c r="CR34" i="34"/>
  <c r="CM35" i="34"/>
  <c r="CE35" i="34"/>
  <c r="CH35" i="34" s="1"/>
  <c r="CI33" i="34"/>
  <c r="CI34" i="34" s="1"/>
  <c r="CM34" i="34" s="1"/>
  <c r="CD34" i="34"/>
  <c r="CD33" i="34"/>
  <c r="BN33" i="34"/>
  <c r="BJ34" i="34"/>
  <c r="BZ33" i="34"/>
  <c r="BZ35" i="34" s="1"/>
  <c r="CC35" i="34" s="1"/>
  <c r="BX33" i="34"/>
  <c r="BU33" i="34"/>
  <c r="BU36" i="34" s="1"/>
  <c r="BV33" i="34" s="1"/>
  <c r="BV36" i="34" s="1"/>
  <c r="BW33" i="34" s="1"/>
  <c r="BW36" i="34" s="1"/>
  <c r="BT33" i="34"/>
  <c r="BT34" i="34" s="1"/>
  <c r="BX34" i="34" s="1"/>
  <c r="BR33" i="34"/>
  <c r="BR34" i="34" s="1"/>
  <c r="BS34" i="34" s="1"/>
  <c r="BM33" i="34"/>
  <c r="BL33" i="34"/>
  <c r="BL34" i="34" s="1"/>
  <c r="BK33" i="34"/>
  <c r="BK34" i="34" s="1"/>
  <c r="BJ33" i="34"/>
  <c r="AY33" i="34"/>
  <c r="AY36" i="34" s="1"/>
  <c r="BZ32" i="34"/>
  <c r="BZ37" i="34" s="1"/>
  <c r="BZ31" i="34"/>
  <c r="BZ38" i="34" s="1"/>
  <c r="BZ30" i="34"/>
  <c r="BU32" i="34"/>
  <c r="BV32" i="34" s="1"/>
  <c r="BP32" i="34"/>
  <c r="BQ32" i="34" s="1"/>
  <c r="BM32" i="34"/>
  <c r="BN32" i="34" s="1"/>
  <c r="BM31" i="34"/>
  <c r="BM38" i="34" s="1"/>
  <c r="BM30" i="34"/>
  <c r="CX31" i="34"/>
  <c r="CX30" i="34"/>
  <c r="CS31" i="34"/>
  <c r="CS30" i="34"/>
  <c r="CN31" i="34"/>
  <c r="CN30" i="34"/>
  <c r="CI31" i="34"/>
  <c r="CI38" i="34" s="1"/>
  <c r="CI30" i="34"/>
  <c r="CD31" i="34"/>
  <c r="CD38" i="34" s="1"/>
  <c r="CD30" i="34"/>
  <c r="BD31" i="34"/>
  <c r="BD30" i="34"/>
  <c r="AY31" i="34"/>
  <c r="AY38" i="34" s="1"/>
  <c r="AY30" i="34"/>
  <c r="CY32" i="34"/>
  <c r="DA31" i="34"/>
  <c r="CZ31" i="34"/>
  <c r="CY31" i="34"/>
  <c r="DA30" i="34"/>
  <c r="CZ30" i="34"/>
  <c r="CY30" i="34"/>
  <c r="CU32" i="34"/>
  <c r="CT32" i="34"/>
  <c r="CV31" i="34"/>
  <c r="CU31" i="34"/>
  <c r="CT31" i="34"/>
  <c r="CV30" i="34"/>
  <c r="CU30" i="34"/>
  <c r="CT30" i="34"/>
  <c r="CQ32" i="34"/>
  <c r="CP32" i="34"/>
  <c r="CO32" i="34"/>
  <c r="CQ31" i="34"/>
  <c r="CP31" i="34"/>
  <c r="CO31" i="34"/>
  <c r="CQ30" i="34"/>
  <c r="CP30" i="34"/>
  <c r="CO30" i="34"/>
  <c r="CJ33" i="34"/>
  <c r="CJ36" i="34" s="1"/>
  <c r="CK33" i="34" s="1"/>
  <c r="CK36" i="34" s="1"/>
  <c r="CL33" i="34" s="1"/>
  <c r="CL36" i="34" s="1"/>
  <c r="CL32" i="34"/>
  <c r="CK32" i="34"/>
  <c r="CK37" i="34" s="1"/>
  <c r="CJ32" i="34"/>
  <c r="CJ37" i="34" s="1"/>
  <c r="CL31" i="34"/>
  <c r="CL38" i="34" s="1"/>
  <c r="CK31" i="34"/>
  <c r="CJ31" i="34"/>
  <c r="CJ38" i="34" s="1"/>
  <c r="CL30" i="34"/>
  <c r="CK30" i="34"/>
  <c r="CJ30" i="34"/>
  <c r="CF33" i="34"/>
  <c r="CF36" i="34" s="1"/>
  <c r="CG33" i="34" s="1"/>
  <c r="CE33" i="34"/>
  <c r="CG32" i="34"/>
  <c r="CG37" i="34" s="1"/>
  <c r="CH37" i="34" s="1"/>
  <c r="CF32" i="34"/>
  <c r="CE32" i="34"/>
  <c r="CE37" i="34" s="1"/>
  <c r="CG31" i="34"/>
  <c r="CG38" i="34" s="1"/>
  <c r="CF31" i="34"/>
  <c r="CE31" i="34"/>
  <c r="CE38" i="34" s="1"/>
  <c r="CG30" i="34"/>
  <c r="CF30" i="34"/>
  <c r="CE30" i="34"/>
  <c r="CB34" i="34"/>
  <c r="CB33" i="34"/>
  <c r="CA33" i="34"/>
  <c r="CA34" i="34" s="1"/>
  <c r="CA22" i="34" s="1"/>
  <c r="CB32" i="34"/>
  <c r="CC32" i="34" s="1"/>
  <c r="CA32" i="34"/>
  <c r="CA37" i="34" s="1"/>
  <c r="CB31" i="34"/>
  <c r="CB38" i="34" s="1"/>
  <c r="CA31" i="34"/>
  <c r="CA38" i="34" s="1"/>
  <c r="CB30" i="34"/>
  <c r="CA30" i="34"/>
  <c r="CA39" i="34" s="1"/>
  <c r="BY30" i="34"/>
  <c r="BW31" i="34"/>
  <c r="BW38" i="34" s="1"/>
  <c r="BV31" i="34"/>
  <c r="BV38" i="34" s="1"/>
  <c r="BU31" i="34"/>
  <c r="BU38" i="34" s="1"/>
  <c r="BT31" i="34"/>
  <c r="BT38" i="34" s="1"/>
  <c r="BW30" i="34"/>
  <c r="BV30" i="34"/>
  <c r="BU30" i="34"/>
  <c r="BT30" i="34"/>
  <c r="BR31" i="34"/>
  <c r="BR38" i="34" s="1"/>
  <c r="BQ31" i="34"/>
  <c r="BP31" i="34"/>
  <c r="BO31" i="34"/>
  <c r="BO38" i="34" s="1"/>
  <c r="BR30" i="34"/>
  <c r="BQ30" i="34"/>
  <c r="BP30" i="34"/>
  <c r="BO30" i="34"/>
  <c r="BL31" i="34"/>
  <c r="BL38" i="34" s="1"/>
  <c r="BK31" i="34"/>
  <c r="BK38" i="34" s="1"/>
  <c r="BJ31" i="34"/>
  <c r="BJ38" i="34" s="1"/>
  <c r="BI31" i="34"/>
  <c r="BL30" i="34"/>
  <c r="BL39" i="34" s="1"/>
  <c r="BK30" i="34"/>
  <c r="BK39" i="34" s="1"/>
  <c r="BJ30" i="34"/>
  <c r="BJ39" i="34" s="1"/>
  <c r="BI30" i="34"/>
  <c r="AX20" i="34"/>
  <c r="AW20" i="34"/>
  <c r="AV20" i="34"/>
  <c r="AU20" i="34"/>
  <c r="CL23" i="34"/>
  <c r="CK23" i="34"/>
  <c r="CF23" i="34"/>
  <c r="CA23" i="34"/>
  <c r="BU23" i="34"/>
  <c r="BT23" i="34"/>
  <c r="BS23" i="34"/>
  <c r="BR23" i="34"/>
  <c r="BN23" i="34"/>
  <c r="BM23" i="34"/>
  <c r="BL23" i="34"/>
  <c r="BK23" i="34"/>
  <c r="BJ23" i="34"/>
  <c r="BI23" i="34"/>
  <c r="BH23" i="34"/>
  <c r="BG23" i="34"/>
  <c r="BF23" i="34"/>
  <c r="BE23" i="34"/>
  <c r="BD23" i="34"/>
  <c r="BC23" i="34"/>
  <c r="BB23" i="34"/>
  <c r="BA23" i="34"/>
  <c r="AZ23" i="34"/>
  <c r="AY23" i="34"/>
  <c r="DB22" i="34"/>
  <c r="DA22" i="34"/>
  <c r="CZ22" i="34"/>
  <c r="CY22" i="34"/>
  <c r="CX22" i="34"/>
  <c r="CW22" i="34"/>
  <c r="CV22" i="34"/>
  <c r="CV138" i="8" s="1"/>
  <c r="CU22" i="34"/>
  <c r="CT22" i="34"/>
  <c r="CS22" i="34"/>
  <c r="CR22" i="34"/>
  <c r="CQ22" i="34"/>
  <c r="CP22" i="34"/>
  <c r="CO22" i="34"/>
  <c r="CN22" i="34"/>
  <c r="CN138" i="8" s="1"/>
  <c r="CL22" i="34"/>
  <c r="CK22" i="34"/>
  <c r="CJ22" i="34"/>
  <c r="CG22" i="34"/>
  <c r="CF22" i="34"/>
  <c r="CE22" i="34"/>
  <c r="CD22" i="34"/>
  <c r="CB22" i="34"/>
  <c r="BZ22" i="34"/>
  <c r="BV22" i="34"/>
  <c r="BR22" i="34"/>
  <c r="BQ22" i="34"/>
  <c r="BP22" i="34"/>
  <c r="BM22" i="34"/>
  <c r="BH22" i="34"/>
  <c r="BG22" i="34"/>
  <c r="BF22" i="34"/>
  <c r="BE22" i="34"/>
  <c r="BC22" i="34"/>
  <c r="BB22" i="34"/>
  <c r="BA22" i="34"/>
  <c r="AZ22" i="34"/>
  <c r="CJ21" i="34"/>
  <c r="CK21" i="34" s="1"/>
  <c r="CL21" i="34" s="1"/>
  <c r="CM21" i="34" s="1"/>
  <c r="CN21" i="34" s="1"/>
  <c r="CI21" i="34"/>
  <c r="CG21" i="34"/>
  <c r="CH21" i="34" s="1"/>
  <c r="CF21" i="34"/>
  <c r="CE21" i="34"/>
  <c r="CD21" i="34"/>
  <c r="CB21" i="34"/>
  <c r="CC21" i="34" s="1"/>
  <c r="CA21" i="34"/>
  <c r="BZ21" i="34"/>
  <c r="BY21" i="34"/>
  <c r="BX21" i="34"/>
  <c r="BW21" i="34"/>
  <c r="BV21" i="34"/>
  <c r="BU21" i="34"/>
  <c r="BT21" i="34"/>
  <c r="BS21" i="34"/>
  <c r="BR21" i="34"/>
  <c r="BQ21" i="34"/>
  <c r="BP21" i="34"/>
  <c r="BO21" i="34"/>
  <c r="BM21" i="34"/>
  <c r="BN21" i="34" s="1"/>
  <c r="BL21" i="34"/>
  <c r="BK21" i="34"/>
  <c r="BJ21" i="34"/>
  <c r="AZ21" i="34"/>
  <c r="BA21" i="34" s="1"/>
  <c r="BB21" i="34" s="1"/>
  <c r="BC21" i="34" s="1"/>
  <c r="BD21" i="34" s="1"/>
  <c r="BE21" i="34" s="1"/>
  <c r="BF21" i="34" s="1"/>
  <c r="BG21" i="34" s="1"/>
  <c r="BH21" i="34" s="1"/>
  <c r="BI21" i="34" s="1"/>
  <c r="AY21" i="34"/>
  <c r="CM20" i="34"/>
  <c r="CL20" i="34"/>
  <c r="CK20" i="34"/>
  <c r="CJ20" i="34"/>
  <c r="CI20" i="34"/>
  <c r="CH20" i="34"/>
  <c r="CG20" i="34"/>
  <c r="CF20" i="34"/>
  <c r="CE20" i="34"/>
  <c r="CD20" i="34"/>
  <c r="CC20" i="34"/>
  <c r="CB20" i="34"/>
  <c r="CA20" i="34"/>
  <c r="BZ20" i="34"/>
  <c r="BY20" i="34"/>
  <c r="BX20" i="34"/>
  <c r="BW20" i="34"/>
  <c r="BV20" i="34"/>
  <c r="BU20" i="34"/>
  <c r="BT20" i="34"/>
  <c r="BS20" i="34"/>
  <c r="BR20" i="34"/>
  <c r="BQ20" i="34"/>
  <c r="BP20" i="34"/>
  <c r="BO20" i="34"/>
  <c r="BN20" i="34"/>
  <c r="BM20" i="34"/>
  <c r="BL20" i="34"/>
  <c r="BK20" i="34"/>
  <c r="BJ20" i="34"/>
  <c r="BI20" i="34"/>
  <c r="BH20" i="34"/>
  <c r="BG20" i="34"/>
  <c r="BF20" i="34"/>
  <c r="BE20" i="34"/>
  <c r="BD20" i="34"/>
  <c r="BC20" i="34"/>
  <c r="BB20" i="34"/>
  <c r="BA20" i="34"/>
  <c r="AZ20" i="34"/>
  <c r="AY20" i="34"/>
  <c r="CI19" i="34"/>
  <c r="CH19" i="34"/>
  <c r="CG19" i="34"/>
  <c r="CF19" i="34"/>
  <c r="CE19" i="34"/>
  <c r="CD19" i="34"/>
  <c r="CC19" i="34"/>
  <c r="CB19" i="34"/>
  <c r="CA19" i="34"/>
  <c r="BZ19" i="34"/>
  <c r="BV19" i="34"/>
  <c r="BU19" i="34"/>
  <c r="BT19" i="34"/>
  <c r="BS19" i="34"/>
  <c r="BR19" i="34"/>
  <c r="BM19" i="34"/>
  <c r="BL19" i="34"/>
  <c r="BK19" i="34"/>
  <c r="BJ19" i="34"/>
  <c r="BI19" i="34"/>
  <c r="BH19" i="34"/>
  <c r="BG19" i="34"/>
  <c r="BF19" i="34"/>
  <c r="BE19" i="34"/>
  <c r="BC19" i="34"/>
  <c r="BB19" i="34"/>
  <c r="BA19" i="34"/>
  <c r="AZ19" i="34"/>
  <c r="AY19" i="34"/>
  <c r="AX15" i="34"/>
  <c r="AW15" i="34"/>
  <c r="AV15" i="34"/>
  <c r="AU15" i="34"/>
  <c r="CM15" i="34"/>
  <c r="CL15" i="34"/>
  <c r="CK15" i="34"/>
  <c r="CJ15" i="34"/>
  <c r="CI15" i="34"/>
  <c r="CI14" i="34" s="1"/>
  <c r="CH15" i="34"/>
  <c r="CG15" i="34"/>
  <c r="CF15" i="34"/>
  <c r="CE15" i="34"/>
  <c r="CE14" i="34" s="1"/>
  <c r="CE16" i="34" s="1"/>
  <c r="CD15" i="34"/>
  <c r="CD14" i="34" s="1"/>
  <c r="CD16" i="34" s="1"/>
  <c r="CC15" i="34"/>
  <c r="CB15" i="34"/>
  <c r="CA15" i="34"/>
  <c r="CA14" i="34" s="1"/>
  <c r="CA16" i="34" s="1"/>
  <c r="BZ15" i="34"/>
  <c r="BZ14" i="34" s="1"/>
  <c r="BZ16" i="34" s="1"/>
  <c r="BY15" i="34"/>
  <c r="CG14" i="34"/>
  <c r="CG16" i="34" s="1"/>
  <c r="CF14" i="34"/>
  <c r="CF16" i="34" s="1"/>
  <c r="CB14" i="34"/>
  <c r="CB16" i="34" s="1"/>
  <c r="BY14" i="34"/>
  <c r="BY16" i="34" s="1"/>
  <c r="BO9" i="34"/>
  <c r="BN9" i="34"/>
  <c r="BM9" i="34"/>
  <c r="BL9" i="34"/>
  <c r="BK9" i="34"/>
  <c r="BJ9" i="34"/>
  <c r="BK8" i="34" s="1"/>
  <c r="BK11" i="34" s="1"/>
  <c r="BH9" i="34"/>
  <c r="BI9" i="34" s="1"/>
  <c r="BJ8" i="34" s="1"/>
  <c r="BJ11" i="34" s="1"/>
  <c r="BG9" i="34"/>
  <c r="BF9" i="34"/>
  <c r="BF11" i="34" s="1"/>
  <c r="BE9" i="34"/>
  <c r="BD9" i="34"/>
  <c r="BC9" i="34"/>
  <c r="BB9" i="34"/>
  <c r="BC8" i="34" s="1"/>
  <c r="BC11" i="34" s="1"/>
  <c r="BA9" i="34"/>
  <c r="AZ9" i="34"/>
  <c r="AY9" i="34"/>
  <c r="AX9" i="34"/>
  <c r="AX11" i="34" s="1"/>
  <c r="AW9" i="34"/>
  <c r="AV9" i="34"/>
  <c r="AU9" i="34"/>
  <c r="AT9" i="34"/>
  <c r="BP8" i="34"/>
  <c r="BO8" i="34"/>
  <c r="BO11" i="34" s="1"/>
  <c r="BM8" i="34"/>
  <c r="BM11" i="34" s="1"/>
  <c r="BL8" i="34"/>
  <c r="BL11" i="34" s="1"/>
  <c r="BH8" i="34"/>
  <c r="BH11" i="34" s="1"/>
  <c r="BF8" i="34"/>
  <c r="BE8" i="34"/>
  <c r="BE11" i="34" s="1"/>
  <c r="BB8" i="34"/>
  <c r="BA8" i="34"/>
  <c r="BA11" i="34" s="1"/>
  <c r="AZ8" i="34"/>
  <c r="AZ11" i="34" s="1"/>
  <c r="AX8" i="34"/>
  <c r="AW8" i="34"/>
  <c r="AW11" i="34" s="1"/>
  <c r="AV8" i="34"/>
  <c r="AV11" i="34" s="1"/>
  <c r="AU8" i="34"/>
  <c r="AU11" i="34" s="1"/>
  <c r="CQ6" i="34"/>
  <c r="CI6" i="34"/>
  <c r="BO6" i="34"/>
  <c r="AU6" i="34"/>
  <c r="AT6" i="34"/>
  <c r="AO6" i="34"/>
  <c r="AJ6" i="34"/>
  <c r="AE6" i="34"/>
  <c r="Z6" i="34"/>
  <c r="U6" i="34"/>
  <c r="P6" i="34"/>
  <c r="K6" i="34"/>
  <c r="DB4" i="34"/>
  <c r="DA4" i="34"/>
  <c r="CZ4" i="34"/>
  <c r="CY4" i="34"/>
  <c r="CX4" i="34"/>
  <c r="CW4" i="34"/>
  <c r="CV4" i="34"/>
  <c r="CU4" i="34"/>
  <c r="CT4" i="34"/>
  <c r="CS4" i="34"/>
  <c r="CR4" i="34"/>
  <c r="CQ4" i="34"/>
  <c r="CP4" i="34"/>
  <c r="CO4" i="34"/>
  <c r="CN4" i="34"/>
  <c r="CM4" i="34"/>
  <c r="CL4" i="34"/>
  <c r="CK4" i="34"/>
  <c r="CJ4" i="34"/>
  <c r="CI4" i="34"/>
  <c r="CH4" i="34"/>
  <c r="CG4" i="34"/>
  <c r="CF4" i="34"/>
  <c r="CE4" i="34"/>
  <c r="CD4" i="34"/>
  <c r="CC4" i="34"/>
  <c r="CB4" i="34"/>
  <c r="CA4" i="34"/>
  <c r="BZ4" i="34"/>
  <c r="BY4" i="34"/>
  <c r="BX4" i="34"/>
  <c r="BW4" i="34"/>
  <c r="BV4" i="34"/>
  <c r="BU4" i="34"/>
  <c r="BT4" i="34"/>
  <c r="BS4" i="34"/>
  <c r="BR4" i="34"/>
  <c r="BQ4" i="34"/>
  <c r="BP4" i="34"/>
  <c r="BO4" i="34"/>
  <c r="BN4" i="34"/>
  <c r="BM4" i="34"/>
  <c r="BL4" i="34"/>
  <c r="BK4" i="34"/>
  <c r="BJ4" i="34"/>
  <c r="BI4" i="34"/>
  <c r="BH4" i="34"/>
  <c r="BG4" i="34"/>
  <c r="BF4" i="34"/>
  <c r="BE4" i="34"/>
  <c r="BD4" i="34"/>
  <c r="BC4" i="34"/>
  <c r="BB4" i="34"/>
  <c r="BA4" i="34"/>
  <c r="AZ4" i="34"/>
  <c r="AY4" i="34"/>
  <c r="AX4" i="34"/>
  <c r="AW4" i="34"/>
  <c r="AV4" i="34"/>
  <c r="AU4" i="34"/>
  <c r="AT4" i="34"/>
  <c r="AS4" i="34"/>
  <c r="AR4" i="34"/>
  <c r="AQ4" i="34"/>
  <c r="AP4" i="34"/>
  <c r="DA3" i="34"/>
  <c r="DA6" i="34" s="1"/>
  <c r="CZ3" i="34"/>
  <c r="CZ6" i="34" s="1"/>
  <c r="CY3" i="34"/>
  <c r="CY6" i="34" s="1"/>
  <c r="CX3" i="34"/>
  <c r="CX6" i="34" s="1"/>
  <c r="CV3" i="34"/>
  <c r="CV6" i="34" s="1"/>
  <c r="CU3" i="34"/>
  <c r="CT3" i="34"/>
  <c r="CT6" i="34" s="1"/>
  <c r="CS3" i="34"/>
  <c r="CS6" i="34" s="1"/>
  <c r="CQ3" i="34"/>
  <c r="CP3" i="34"/>
  <c r="CP6" i="34" s="1"/>
  <c r="CO3" i="34"/>
  <c r="CO6" i="34" s="1"/>
  <c r="CN3" i="34"/>
  <c r="CN6" i="34" s="1"/>
  <c r="CL3" i="34"/>
  <c r="CL6" i="34" s="1"/>
  <c r="CK3" i="34"/>
  <c r="CK6" i="34" s="1"/>
  <c r="CJ3" i="34"/>
  <c r="CJ6" i="34" s="1"/>
  <c r="CI3" i="34"/>
  <c r="CG3" i="34"/>
  <c r="CG6" i="34" s="1"/>
  <c r="CF3" i="34"/>
  <c r="CF6" i="34" s="1"/>
  <c r="CE3" i="34"/>
  <c r="CE6" i="34" s="1"/>
  <c r="CD3" i="34"/>
  <c r="CD6" i="34" s="1"/>
  <c r="CB3" i="34"/>
  <c r="CB6" i="34" s="1"/>
  <c r="CA3" i="34"/>
  <c r="BZ3" i="34"/>
  <c r="BZ6" i="34" s="1"/>
  <c r="BY3" i="34"/>
  <c r="BY6" i="34" s="1"/>
  <c r="BX3" i="34"/>
  <c r="BW3" i="34"/>
  <c r="BV3" i="34"/>
  <c r="BV6" i="34" s="1"/>
  <c r="BU3" i="34"/>
  <c r="BU6" i="34" s="1"/>
  <c r="BT3" i="34"/>
  <c r="BT6" i="34" s="1"/>
  <c r="BS3" i="34"/>
  <c r="BR3" i="34"/>
  <c r="BR6" i="34" s="1"/>
  <c r="BQ3" i="34"/>
  <c r="BQ6" i="34" s="1"/>
  <c r="BP3" i="34"/>
  <c r="BP6" i="34" s="1"/>
  <c r="BO3" i="34"/>
  <c r="BN3" i="34"/>
  <c r="BM3" i="34"/>
  <c r="BM6" i="34" s="1"/>
  <c r="BL3" i="34"/>
  <c r="BL6" i="34" s="1"/>
  <c r="BK3" i="34"/>
  <c r="BJ3" i="34"/>
  <c r="BJ6" i="34" s="1"/>
  <c r="BI3" i="34"/>
  <c r="BH3" i="34"/>
  <c r="BH6" i="34" s="1"/>
  <c r="BG3" i="34"/>
  <c r="BF3" i="34"/>
  <c r="BF6" i="34" s="1"/>
  <c r="BE3" i="34"/>
  <c r="BE6" i="34" s="1"/>
  <c r="BD3" i="34"/>
  <c r="BC3" i="34"/>
  <c r="BB3" i="34"/>
  <c r="BB6" i="34" s="1"/>
  <c r="BA3" i="34"/>
  <c r="BA6" i="34" s="1"/>
  <c r="AZ3" i="34"/>
  <c r="AZ6" i="34" s="1"/>
  <c r="AY3" i="34"/>
  <c r="AX3" i="34"/>
  <c r="AX6" i="34" s="1"/>
  <c r="AW3" i="34"/>
  <c r="AW6" i="34" s="1"/>
  <c r="AV3" i="34"/>
  <c r="AV6" i="34" s="1"/>
  <c r="AU3" i="34"/>
  <c r="AT3" i="34"/>
  <c r="AS3" i="34"/>
  <c r="AR3" i="34"/>
  <c r="AQ3" i="34"/>
  <c r="AP3" i="34"/>
  <c r="BY82" i="37"/>
  <c r="AH82" i="37"/>
  <c r="K82" i="37"/>
  <c r="CJ77" i="37"/>
  <c r="CE77" i="37"/>
  <c r="BT77" i="37"/>
  <c r="BO77" i="37"/>
  <c r="AW77" i="37"/>
  <c r="AG77" i="37"/>
  <c r="Q77" i="37"/>
  <c r="CL76" i="37"/>
  <c r="CK76" i="37"/>
  <c r="CJ76" i="37"/>
  <c r="CI76" i="37"/>
  <c r="CG76" i="37"/>
  <c r="CF76" i="37"/>
  <c r="CE76" i="37"/>
  <c r="CD76" i="37"/>
  <c r="CB76" i="37"/>
  <c r="CA76" i="37"/>
  <c r="BZ76" i="37"/>
  <c r="BY76" i="37"/>
  <c r="BW76" i="37"/>
  <c r="BV76" i="37"/>
  <c r="BU76" i="37"/>
  <c r="BT76" i="37"/>
  <c r="BR76" i="37"/>
  <c r="BQ76" i="37"/>
  <c r="BP76" i="37"/>
  <c r="BO76" i="37"/>
  <c r="BM76" i="37"/>
  <c r="BL76" i="37"/>
  <c r="BK76" i="37"/>
  <c r="BJ76" i="37"/>
  <c r="BI76" i="37"/>
  <c r="BH76" i="37"/>
  <c r="BG76" i="37"/>
  <c r="BF76" i="37"/>
  <c r="BE76" i="37"/>
  <c r="BD76" i="37"/>
  <c r="BC76" i="37"/>
  <c r="BB76" i="37"/>
  <c r="BA76" i="37"/>
  <c r="AZ76" i="37"/>
  <c r="AY76" i="37"/>
  <c r="AX76" i="37"/>
  <c r="AW76" i="37"/>
  <c r="AV76" i="37"/>
  <c r="AU76" i="37"/>
  <c r="AT76" i="37"/>
  <c r="AS76" i="37"/>
  <c r="AR76" i="37"/>
  <c r="AQ76" i="37"/>
  <c r="AP76" i="37"/>
  <c r="AO76" i="37"/>
  <c r="AN76" i="37"/>
  <c r="AM76" i="37"/>
  <c r="AL76" i="37"/>
  <c r="AK76" i="37"/>
  <c r="AJ76" i="37"/>
  <c r="AI76" i="37"/>
  <c r="AH76" i="37"/>
  <c r="AG76" i="37"/>
  <c r="AF76" i="37"/>
  <c r="AE76" i="37"/>
  <c r="AD76" i="37"/>
  <c r="AC76" i="37"/>
  <c r="AB76" i="37"/>
  <c r="AA76" i="37"/>
  <c r="Z76" i="37"/>
  <c r="Y76" i="37"/>
  <c r="X76" i="37"/>
  <c r="W76" i="37"/>
  <c r="V76" i="37"/>
  <c r="U76" i="37"/>
  <c r="T76" i="37"/>
  <c r="S76" i="37"/>
  <c r="R76" i="37"/>
  <c r="Q76" i="37"/>
  <c r="P76" i="37"/>
  <c r="O76" i="37"/>
  <c r="N76" i="37"/>
  <c r="M76" i="37"/>
  <c r="L76" i="37"/>
  <c r="K76" i="37"/>
  <c r="J76" i="37"/>
  <c r="I76" i="37"/>
  <c r="H76" i="37"/>
  <c r="G76" i="37"/>
  <c r="F76" i="37"/>
  <c r="E76" i="37"/>
  <c r="D76" i="37"/>
  <c r="DA69" i="37"/>
  <c r="CZ69" i="37"/>
  <c r="CY69" i="37"/>
  <c r="CX69" i="37"/>
  <c r="CV69" i="37"/>
  <c r="CU69" i="37"/>
  <c r="CT69" i="37"/>
  <c r="CS69" i="37"/>
  <c r="CQ69" i="37"/>
  <c r="CP69" i="37"/>
  <c r="CO69" i="37"/>
  <c r="CN69" i="37"/>
  <c r="BY68" i="37"/>
  <c r="BI68" i="37"/>
  <c r="AS68" i="37"/>
  <c r="AC68" i="37"/>
  <c r="M68" i="37"/>
  <c r="CL67" i="37"/>
  <c r="CK67" i="37"/>
  <c r="CJ67" i="37"/>
  <c r="CI67" i="37"/>
  <c r="CG67" i="37"/>
  <c r="CF67" i="37"/>
  <c r="CE67" i="37"/>
  <c r="CD67" i="37"/>
  <c r="CB67" i="37"/>
  <c r="CA67" i="37"/>
  <c r="BZ67" i="37"/>
  <c r="BY67" i="37"/>
  <c r="BW67" i="37"/>
  <c r="BV67" i="37"/>
  <c r="BU67" i="37"/>
  <c r="BT67" i="37"/>
  <c r="BR67" i="37"/>
  <c r="BQ67" i="37"/>
  <c r="BP67" i="37"/>
  <c r="BO67" i="37"/>
  <c r="BM67" i="37"/>
  <c r="BM68" i="37" s="1"/>
  <c r="BL67" i="37"/>
  <c r="BK67" i="37"/>
  <c r="BJ67" i="37"/>
  <c r="BI67" i="37"/>
  <c r="BH67" i="37"/>
  <c r="BG67" i="37"/>
  <c r="BF67" i="37"/>
  <c r="BE67" i="37"/>
  <c r="BD67" i="37"/>
  <c r="BC67" i="37"/>
  <c r="BB67" i="37"/>
  <c r="BA67" i="37"/>
  <c r="AZ67" i="37"/>
  <c r="AY67" i="37"/>
  <c r="AX67" i="37"/>
  <c r="AW67" i="37"/>
  <c r="AW68" i="37" s="1"/>
  <c r="AV67" i="37"/>
  <c r="AU67" i="37"/>
  <c r="AT67" i="37"/>
  <c r="AS67" i="37"/>
  <c r="AR67" i="37"/>
  <c r="AQ67" i="37"/>
  <c r="AP67" i="37"/>
  <c r="AO67" i="37"/>
  <c r="AN67" i="37"/>
  <c r="AM67" i="37"/>
  <c r="AL67" i="37"/>
  <c r="AK67" i="37"/>
  <c r="AJ67" i="37"/>
  <c r="AI67" i="37"/>
  <c r="AH67" i="37"/>
  <c r="AG67" i="37"/>
  <c r="AG68" i="37" s="1"/>
  <c r="AF67" i="37"/>
  <c r="AE67" i="37"/>
  <c r="AD67" i="37"/>
  <c r="AC67" i="37"/>
  <c r="AB67" i="37"/>
  <c r="AA67" i="37"/>
  <c r="Z67" i="37"/>
  <c r="Y67" i="37"/>
  <c r="X67" i="37"/>
  <c r="W67" i="37"/>
  <c r="V67" i="37"/>
  <c r="U67" i="37"/>
  <c r="T67" i="37"/>
  <c r="S67" i="37"/>
  <c r="R67" i="37"/>
  <c r="Q67" i="37"/>
  <c r="P67" i="37"/>
  <c r="O67" i="37"/>
  <c r="N67" i="37"/>
  <c r="M67" i="37"/>
  <c r="L67" i="37"/>
  <c r="K67" i="37"/>
  <c r="J67" i="37"/>
  <c r="I67" i="37"/>
  <c r="H67" i="37"/>
  <c r="G67" i="37"/>
  <c r="F67" i="37"/>
  <c r="E67" i="37"/>
  <c r="D67" i="37"/>
  <c r="AB55" i="37"/>
  <c r="X53" i="37"/>
  <c r="BD52" i="37"/>
  <c r="DA51" i="37"/>
  <c r="CZ51" i="37"/>
  <c r="CY51" i="37"/>
  <c r="CX51" i="37"/>
  <c r="CV51" i="37"/>
  <c r="CU51" i="37"/>
  <c r="CT51" i="37"/>
  <c r="CS51" i="37"/>
  <c r="CQ51" i="37"/>
  <c r="CP51" i="37"/>
  <c r="CO51" i="37"/>
  <c r="CN51" i="37"/>
  <c r="L51" i="37"/>
  <c r="CB50" i="37"/>
  <c r="BH50" i="37"/>
  <c r="AR50" i="37"/>
  <c r="AB50" i="37"/>
  <c r="L50" i="37"/>
  <c r="CL49" i="37"/>
  <c r="CK49" i="37"/>
  <c r="CJ49" i="37"/>
  <c r="CI49" i="37"/>
  <c r="CG49" i="37"/>
  <c r="CF49" i="37"/>
  <c r="CE49" i="37"/>
  <c r="CD49" i="37"/>
  <c r="CB49" i="37"/>
  <c r="CA49" i="37"/>
  <c r="BZ49" i="37"/>
  <c r="BY49" i="37"/>
  <c r="BW49" i="37"/>
  <c r="BV49" i="37"/>
  <c r="BU49" i="37"/>
  <c r="BT49" i="37"/>
  <c r="BR49" i="37"/>
  <c r="BQ49" i="37"/>
  <c r="BP49" i="37"/>
  <c r="BO49" i="37"/>
  <c r="BM49" i="37"/>
  <c r="BL49" i="37"/>
  <c r="BK49" i="37"/>
  <c r="BJ49" i="37"/>
  <c r="BI49" i="37"/>
  <c r="BH49" i="37"/>
  <c r="BG49" i="37"/>
  <c r="BF49" i="37"/>
  <c r="BE49" i="37"/>
  <c r="BD49" i="37"/>
  <c r="BC49" i="37"/>
  <c r="BB49" i="37"/>
  <c r="BA49" i="37"/>
  <c r="AZ49" i="37"/>
  <c r="AY49" i="37"/>
  <c r="AX49" i="37"/>
  <c r="AW49" i="37"/>
  <c r="AV49" i="37"/>
  <c r="AU49" i="37"/>
  <c r="AT49" i="37"/>
  <c r="AS49" i="37"/>
  <c r="AR49" i="37"/>
  <c r="AQ49" i="37"/>
  <c r="AP49" i="37"/>
  <c r="AO49" i="37"/>
  <c r="AN49" i="37"/>
  <c r="AM49" i="37"/>
  <c r="AL49" i="37"/>
  <c r="AK49" i="37"/>
  <c r="AJ49" i="37"/>
  <c r="AI49" i="37"/>
  <c r="AH49" i="37"/>
  <c r="AG49" i="37"/>
  <c r="AF49" i="37"/>
  <c r="AE49" i="37"/>
  <c r="AD49" i="37"/>
  <c r="AC49" i="37"/>
  <c r="AB49" i="37"/>
  <c r="AA49" i="37"/>
  <c r="Z49" i="37"/>
  <c r="Y49" i="37"/>
  <c r="X49" i="37"/>
  <c r="W49" i="37"/>
  <c r="V49" i="37"/>
  <c r="U49" i="37"/>
  <c r="T49" i="37"/>
  <c r="S49" i="37"/>
  <c r="R49" i="37"/>
  <c r="Q49" i="37"/>
  <c r="P49" i="37"/>
  <c r="O49" i="37"/>
  <c r="N49" i="37"/>
  <c r="M49" i="37"/>
  <c r="L49" i="37"/>
  <c r="K49" i="37"/>
  <c r="J49" i="37"/>
  <c r="J51" i="37" s="1"/>
  <c r="I49" i="37"/>
  <c r="H49" i="37"/>
  <c r="G49" i="37"/>
  <c r="F49" i="37"/>
  <c r="E49" i="37"/>
  <c r="D49" i="37"/>
  <c r="CL44" i="37"/>
  <c r="Z44" i="37"/>
  <c r="BF43" i="37"/>
  <c r="AJ43" i="37"/>
  <c r="O43" i="37"/>
  <c r="CL42" i="37"/>
  <c r="BP42" i="37"/>
  <c r="AU42" i="37"/>
  <c r="AE42" i="37"/>
  <c r="O42" i="37"/>
  <c r="F43" i="37"/>
  <c r="CI41" i="37"/>
  <c r="CE41" i="37"/>
  <c r="CA41" i="37"/>
  <c r="BW41" i="37"/>
  <c r="BO41" i="37"/>
  <c r="BK41" i="37"/>
  <c r="BG41" i="37"/>
  <c r="BC41" i="37"/>
  <c r="AY41" i="37"/>
  <c r="AU41" i="37"/>
  <c r="AQ41" i="37"/>
  <c r="AM41" i="37"/>
  <c r="AI41" i="37"/>
  <c r="AE41" i="37"/>
  <c r="AA41" i="37"/>
  <c r="W41" i="37"/>
  <c r="S41" i="37"/>
  <c r="O41" i="37"/>
  <c r="K41" i="37"/>
  <c r="CN40" i="37"/>
  <c r="CL40" i="37"/>
  <c r="CL41" i="37" s="1"/>
  <c r="CK40" i="37"/>
  <c r="CJ40" i="37"/>
  <c r="CI40" i="37"/>
  <c r="CG40" i="37"/>
  <c r="CF40" i="37"/>
  <c r="CE40" i="37"/>
  <c r="CD40" i="37"/>
  <c r="CD41" i="37" s="1"/>
  <c r="CB40" i="37"/>
  <c r="CA40" i="37"/>
  <c r="BZ40" i="37"/>
  <c r="BY40" i="37"/>
  <c r="BW40" i="37"/>
  <c r="BV40" i="37"/>
  <c r="BV41" i="37" s="1"/>
  <c r="BU40" i="37"/>
  <c r="BT40" i="37"/>
  <c r="BR40" i="37"/>
  <c r="BQ40" i="37"/>
  <c r="BP40" i="37"/>
  <c r="BO40" i="37"/>
  <c r="BM40" i="37"/>
  <c r="BL40" i="37"/>
  <c r="BK40" i="37"/>
  <c r="BJ40" i="37"/>
  <c r="BJ46" i="37" s="1"/>
  <c r="BI40" i="37"/>
  <c r="BH40" i="37"/>
  <c r="BG40" i="37"/>
  <c r="BF40" i="37"/>
  <c r="BF41" i="37" s="1"/>
  <c r="BE40" i="37"/>
  <c r="BD40" i="37"/>
  <c r="BC40" i="37"/>
  <c r="BB40" i="37"/>
  <c r="BB41" i="37" s="1"/>
  <c r="BA40" i="37"/>
  <c r="AZ40" i="37"/>
  <c r="AZ41" i="37" s="1"/>
  <c r="AY40" i="37"/>
  <c r="AX40" i="37"/>
  <c r="AX41" i="37" s="1"/>
  <c r="AW40" i="37"/>
  <c r="AV40" i="37"/>
  <c r="AU40" i="37"/>
  <c r="AT40" i="37"/>
  <c r="AT46" i="37" s="1"/>
  <c r="AS40" i="37"/>
  <c r="AR40" i="37"/>
  <c r="AQ40" i="37"/>
  <c r="AP40" i="37"/>
  <c r="AP42" i="37" s="1"/>
  <c r="AO40" i="37"/>
  <c r="AN40" i="37"/>
  <c r="AM40" i="37"/>
  <c r="AL40" i="37"/>
  <c r="AL42" i="37" s="1"/>
  <c r="AK40" i="37"/>
  <c r="AJ40" i="37"/>
  <c r="AI40" i="37"/>
  <c r="AH40" i="37"/>
  <c r="AH42" i="37" s="1"/>
  <c r="AG40" i="37"/>
  <c r="AF40" i="37"/>
  <c r="AE40" i="37"/>
  <c r="AD40" i="37"/>
  <c r="AD46" i="37" s="1"/>
  <c r="AC40" i="37"/>
  <c r="AB40" i="37"/>
  <c r="AA40" i="37"/>
  <c r="Z40" i="37"/>
  <c r="Z42" i="37" s="1"/>
  <c r="Y40" i="37"/>
  <c r="X40" i="37"/>
  <c r="W40" i="37"/>
  <c r="V40" i="37"/>
  <c r="V42" i="37" s="1"/>
  <c r="U40" i="37"/>
  <c r="T40" i="37"/>
  <c r="T43" i="37" s="1"/>
  <c r="S40" i="37"/>
  <c r="R40" i="37"/>
  <c r="R42" i="37" s="1"/>
  <c r="Q40" i="37"/>
  <c r="P40" i="37"/>
  <c r="O40" i="37"/>
  <c r="N40" i="37"/>
  <c r="N46" i="37" s="1"/>
  <c r="N47" i="37" s="1"/>
  <c r="M40" i="37"/>
  <c r="L40" i="37"/>
  <c r="K40" i="37"/>
  <c r="J40" i="37"/>
  <c r="J42" i="37" s="1"/>
  <c r="I40" i="37"/>
  <c r="H40" i="37"/>
  <c r="G40" i="37"/>
  <c r="F40" i="37"/>
  <c r="F42" i="37" s="1"/>
  <c r="E40" i="37"/>
  <c r="D40" i="37"/>
  <c r="J35" i="37"/>
  <c r="H33" i="37"/>
  <c r="CA37" i="37"/>
  <c r="O37" i="37"/>
  <c r="AZ34" i="37"/>
  <c r="AR34" i="37"/>
  <c r="AJ34" i="37"/>
  <c r="AB34" i="37"/>
  <c r="T34" i="37"/>
  <c r="L34" i="37"/>
  <c r="DA33" i="37"/>
  <c r="CZ33" i="37"/>
  <c r="CY33" i="37"/>
  <c r="CX33" i="37"/>
  <c r="CV33" i="37"/>
  <c r="CU33" i="37"/>
  <c r="CT33" i="37"/>
  <c r="CS33" i="37"/>
  <c r="CQ33" i="37"/>
  <c r="CP33" i="37"/>
  <c r="CO33" i="37"/>
  <c r="CN33" i="37"/>
  <c r="CJ33" i="37"/>
  <c r="BT33" i="37"/>
  <c r="BL33" i="37"/>
  <c r="BD33" i="37"/>
  <c r="AS33" i="37"/>
  <c r="AN33" i="37"/>
  <c r="X33" i="37"/>
  <c r="CJ32" i="37"/>
  <c r="CE32" i="37"/>
  <c r="CA32" i="37"/>
  <c r="BW32" i="37"/>
  <c r="BO32" i="37"/>
  <c r="BI32" i="37"/>
  <c r="AS32" i="37"/>
  <c r="AC32" i="37"/>
  <c r="X32" i="37"/>
  <c r="M32" i="37"/>
  <c r="CL31" i="37"/>
  <c r="CK31" i="37"/>
  <c r="CJ31" i="37"/>
  <c r="CI31" i="37"/>
  <c r="CI33" i="37" s="1"/>
  <c r="CG31" i="37"/>
  <c r="CF31" i="37"/>
  <c r="CE31" i="37"/>
  <c r="CE37" i="37" s="1"/>
  <c r="CD31" i="37"/>
  <c r="CB31" i="37"/>
  <c r="CB33" i="37" s="1"/>
  <c r="CA31" i="37"/>
  <c r="CA33" i="37" s="1"/>
  <c r="BZ31" i="37"/>
  <c r="BY31" i="37"/>
  <c r="BW31" i="37"/>
  <c r="BV31" i="37"/>
  <c r="BU31" i="37"/>
  <c r="BT31" i="37"/>
  <c r="BT32" i="37" s="1"/>
  <c r="BR31" i="37"/>
  <c r="BQ31" i="37"/>
  <c r="BP31" i="37"/>
  <c r="BO31" i="37"/>
  <c r="BS31" i="37" s="1"/>
  <c r="BM31" i="37"/>
  <c r="BL31" i="37"/>
  <c r="BK31" i="37"/>
  <c r="BK34" i="37" s="1"/>
  <c r="BJ31" i="37"/>
  <c r="BI31" i="37"/>
  <c r="BH31" i="37"/>
  <c r="BG31" i="37"/>
  <c r="BF31" i="37"/>
  <c r="BE31" i="37"/>
  <c r="BE32" i="37" s="1"/>
  <c r="BD31" i="37"/>
  <c r="BC31" i="37"/>
  <c r="BB31" i="37"/>
  <c r="BA31" i="37"/>
  <c r="AZ31" i="37"/>
  <c r="AY31" i="37"/>
  <c r="BD32" i="37" s="1"/>
  <c r="AX31" i="37"/>
  <c r="AW31" i="37"/>
  <c r="AV31" i="37"/>
  <c r="AU31" i="37"/>
  <c r="AU37" i="37" s="1"/>
  <c r="AT31" i="37"/>
  <c r="AS31" i="37"/>
  <c r="AR31" i="37"/>
  <c r="AQ31" i="37"/>
  <c r="AP31" i="37"/>
  <c r="AO31" i="37"/>
  <c r="AN31" i="37"/>
  <c r="AM31" i="37"/>
  <c r="AL31" i="37"/>
  <c r="AK31" i="37"/>
  <c r="AJ31" i="37"/>
  <c r="AI31" i="37"/>
  <c r="AI33" i="37" s="1"/>
  <c r="AH31" i="37"/>
  <c r="AG31" i="37"/>
  <c r="AF31" i="37"/>
  <c r="AE31" i="37"/>
  <c r="AE37" i="37" s="1"/>
  <c r="AD31" i="37"/>
  <c r="AC31" i="37"/>
  <c r="AB31" i="37"/>
  <c r="AA31" i="37"/>
  <c r="Z31" i="37"/>
  <c r="Y31" i="37"/>
  <c r="X31" i="37"/>
  <c r="W31" i="37"/>
  <c r="V31" i="37"/>
  <c r="U31" i="37"/>
  <c r="T31" i="37"/>
  <c r="S31" i="37"/>
  <c r="R31" i="37"/>
  <c r="Q31" i="37"/>
  <c r="P31" i="37"/>
  <c r="O31" i="37"/>
  <c r="N31" i="37"/>
  <c r="M31" i="37"/>
  <c r="L31" i="37"/>
  <c r="K31" i="37"/>
  <c r="J31" i="37"/>
  <c r="I31" i="37"/>
  <c r="H31" i="37"/>
  <c r="G31" i="37"/>
  <c r="F31" i="37"/>
  <c r="E31" i="37"/>
  <c r="E34" i="37" s="1"/>
  <c r="D31" i="37"/>
  <c r="F26" i="37"/>
  <c r="H25" i="37"/>
  <c r="D24" i="37"/>
  <c r="BQ26" i="37"/>
  <c r="BA26" i="37"/>
  <c r="AK26" i="37"/>
  <c r="U26" i="37"/>
  <c r="BQ25" i="37"/>
  <c r="BA25" i="37"/>
  <c r="AK25" i="37"/>
  <c r="U25" i="37"/>
  <c r="DA24" i="37"/>
  <c r="CZ24" i="37"/>
  <c r="CY24" i="37"/>
  <c r="CX24" i="37"/>
  <c r="CV24" i="37"/>
  <c r="CU24" i="37"/>
  <c r="CT24" i="37"/>
  <c r="CS24" i="37"/>
  <c r="CQ24" i="37"/>
  <c r="CP24" i="37"/>
  <c r="CO24" i="37"/>
  <c r="CN24" i="37"/>
  <c r="CK24" i="37"/>
  <c r="AU35" i="45" s="1"/>
  <c r="BU24" i="37"/>
  <c r="BE24" i="37"/>
  <c r="AO24" i="37"/>
  <c r="Y24" i="37"/>
  <c r="CK23" i="37"/>
  <c r="BU23" i="37"/>
  <c r="BE23" i="37"/>
  <c r="AO23" i="37"/>
  <c r="Y23" i="37"/>
  <c r="CL22" i="37"/>
  <c r="CL58" i="37" s="1"/>
  <c r="CK22" i="37"/>
  <c r="CK58" i="37" s="1"/>
  <c r="CJ22" i="37"/>
  <c r="CJ58" i="37" s="1"/>
  <c r="CI22" i="37"/>
  <c r="CI58" i="37" s="1"/>
  <c r="CG22" i="37"/>
  <c r="CG58" i="37" s="1"/>
  <c r="CF22" i="37"/>
  <c r="CF58" i="37" s="1"/>
  <c r="CE22" i="37"/>
  <c r="CE58" i="37" s="1"/>
  <c r="CD22" i="37"/>
  <c r="CD58" i="37" s="1"/>
  <c r="CB22" i="37"/>
  <c r="CA22" i="37"/>
  <c r="CA58" i="37" s="1"/>
  <c r="BZ22" i="37"/>
  <c r="BZ58" i="37" s="1"/>
  <c r="BY22" i="37"/>
  <c r="BY58" i="37" s="1"/>
  <c r="BW22" i="37"/>
  <c r="BW58" i="37" s="1"/>
  <c r="BV22" i="37"/>
  <c r="BV58" i="37" s="1"/>
  <c r="BU22" i="37"/>
  <c r="BU58" i="37" s="1"/>
  <c r="BT22" i="37"/>
  <c r="BR22" i="37"/>
  <c r="BR58" i="37" s="1"/>
  <c r="BQ22" i="37"/>
  <c r="BQ58" i="37" s="1"/>
  <c r="BP22" i="37"/>
  <c r="BO22" i="37"/>
  <c r="BO58" i="37" s="1"/>
  <c r="BM22" i="37"/>
  <c r="BM58" i="37" s="1"/>
  <c r="BL22" i="37"/>
  <c r="BL58" i="37" s="1"/>
  <c r="BK22" i="37"/>
  <c r="BJ22" i="37"/>
  <c r="BJ58" i="37" s="1"/>
  <c r="BI22" i="37"/>
  <c r="BI28" i="37" s="1"/>
  <c r="BI29" i="37" s="1"/>
  <c r="BH22" i="37"/>
  <c r="BH58" i="37" s="1"/>
  <c r="BG22" i="37"/>
  <c r="BF22" i="37"/>
  <c r="BF58" i="37" s="1"/>
  <c r="BE22" i="37"/>
  <c r="BE58" i="37" s="1"/>
  <c r="BD22" i="37"/>
  <c r="BD28" i="37" s="1"/>
  <c r="BC22" i="37"/>
  <c r="BB22" i="37"/>
  <c r="BB58" i="37" s="1"/>
  <c r="BA22" i="37"/>
  <c r="BA58" i="37" s="1"/>
  <c r="AZ22" i="37"/>
  <c r="AZ58" i="37" s="1"/>
  <c r="AY22" i="37"/>
  <c r="AX22" i="37"/>
  <c r="AX58" i="37" s="1"/>
  <c r="AW22" i="37"/>
  <c r="AW58" i="37" s="1"/>
  <c r="AV22" i="37"/>
  <c r="AV58" i="37" s="1"/>
  <c r="AU22" i="37"/>
  <c r="AT22" i="37"/>
  <c r="AT28" i="37" s="1"/>
  <c r="AS22" i="37"/>
  <c r="AS58" i="37" s="1"/>
  <c r="AR22" i="37"/>
  <c r="AR58" i="37" s="1"/>
  <c r="AQ22" i="37"/>
  <c r="AP22" i="37"/>
  <c r="AP58" i="37" s="1"/>
  <c r="AO22" i="37"/>
  <c r="AO28" i="37" s="1"/>
  <c r="AO29" i="37" s="1"/>
  <c r="AN22" i="37"/>
  <c r="AN58" i="37" s="1"/>
  <c r="AM22" i="37"/>
  <c r="AL22" i="37"/>
  <c r="AL58" i="37" s="1"/>
  <c r="AK22" i="37"/>
  <c r="AK58" i="37" s="1"/>
  <c r="AJ22" i="37"/>
  <c r="AJ28" i="37" s="1"/>
  <c r="AI22" i="37"/>
  <c r="AH22" i="37"/>
  <c r="AH58" i="37" s="1"/>
  <c r="AG22" i="37"/>
  <c r="AG58" i="37" s="1"/>
  <c r="AF22" i="37"/>
  <c r="AF58" i="37" s="1"/>
  <c r="AE22" i="37"/>
  <c r="AD22" i="37"/>
  <c r="AD58" i="37" s="1"/>
  <c r="AC22" i="37"/>
  <c r="AC58" i="37" s="1"/>
  <c r="AB22" i="37"/>
  <c r="AB58" i="37" s="1"/>
  <c r="AA22" i="37"/>
  <c r="Z22" i="37"/>
  <c r="Z58" i="37" s="1"/>
  <c r="Y22" i="37"/>
  <c r="Y58" i="37" s="1"/>
  <c r="X22" i="37"/>
  <c r="X58" i="37" s="1"/>
  <c r="W22" i="37"/>
  <c r="V22" i="37"/>
  <c r="V58" i="37" s="1"/>
  <c r="U22" i="37"/>
  <c r="U58" i="37" s="1"/>
  <c r="T22" i="37"/>
  <c r="T28" i="37" s="1"/>
  <c r="S22" i="37"/>
  <c r="R22" i="37"/>
  <c r="R58" i="37" s="1"/>
  <c r="Q22" i="37"/>
  <c r="Q58" i="37" s="1"/>
  <c r="P22" i="37"/>
  <c r="P58" i="37" s="1"/>
  <c r="O22" i="37"/>
  <c r="N22" i="37"/>
  <c r="N58" i="37" s="1"/>
  <c r="M22" i="37"/>
  <c r="M58" i="37" s="1"/>
  <c r="L22" i="37"/>
  <c r="L58" i="37" s="1"/>
  <c r="K22" i="37"/>
  <c r="J22" i="37"/>
  <c r="I22" i="37"/>
  <c r="H22" i="37"/>
  <c r="G22" i="37"/>
  <c r="G26" i="37" s="1"/>
  <c r="F22" i="37"/>
  <c r="E22" i="37"/>
  <c r="D22" i="37"/>
  <c r="D25" i="37" s="1"/>
  <c r="B20" i="37"/>
  <c r="B19" i="37"/>
  <c r="B18" i="37"/>
  <c r="CM20" i="37"/>
  <c r="CL20" i="37"/>
  <c r="CL43" i="37" s="1"/>
  <c r="CK20" i="37"/>
  <c r="CJ20" i="37"/>
  <c r="CJ52" i="37" s="1"/>
  <c r="CI20" i="37"/>
  <c r="CI79" i="37" s="1"/>
  <c r="CH20" i="37"/>
  <c r="CG20" i="37"/>
  <c r="CF20" i="37"/>
  <c r="CF43" i="37" s="1"/>
  <c r="CE20" i="37"/>
  <c r="CE34" i="37" s="1"/>
  <c r="CD20" i="37"/>
  <c r="CC20" i="37"/>
  <c r="CB20" i="37"/>
  <c r="CA20" i="37"/>
  <c r="CA70" i="37" s="1"/>
  <c r="BZ20" i="37"/>
  <c r="BY20" i="37"/>
  <c r="BX20" i="37"/>
  <c r="BW20" i="37"/>
  <c r="BV20" i="37"/>
  <c r="BV43" i="37" s="1"/>
  <c r="BU20" i="37"/>
  <c r="BT20" i="37"/>
  <c r="BT52" i="37" s="1"/>
  <c r="BS20" i="37"/>
  <c r="BR20" i="37"/>
  <c r="BQ20" i="37"/>
  <c r="BP20" i="37"/>
  <c r="BO20" i="37"/>
  <c r="BN20" i="37"/>
  <c r="BM20" i="37"/>
  <c r="BL20" i="37"/>
  <c r="BK20" i="37"/>
  <c r="BJ20" i="37"/>
  <c r="BI20" i="37"/>
  <c r="BH20" i="37"/>
  <c r="BG20" i="37"/>
  <c r="BG79" i="37" s="1"/>
  <c r="BF20" i="37"/>
  <c r="BE20" i="37"/>
  <c r="BD20" i="37"/>
  <c r="BC20" i="37"/>
  <c r="BB20" i="37"/>
  <c r="BA20" i="37"/>
  <c r="AZ20" i="37"/>
  <c r="AY20" i="37"/>
  <c r="AY79" i="37" s="1"/>
  <c r="AX20" i="37"/>
  <c r="AW20" i="37"/>
  <c r="AV20" i="37"/>
  <c r="AU20" i="37"/>
  <c r="AT20" i="37"/>
  <c r="AS20" i="37"/>
  <c r="AS79" i="37" s="1"/>
  <c r="AR20" i="37"/>
  <c r="AQ20" i="37"/>
  <c r="AP20" i="37"/>
  <c r="AP43" i="37" s="1"/>
  <c r="AO20" i="37"/>
  <c r="AN20" i="37"/>
  <c r="AN79" i="37" s="1"/>
  <c r="AM20" i="37"/>
  <c r="AL20" i="37"/>
  <c r="AK20" i="37"/>
  <c r="AJ20" i="37"/>
  <c r="AJ70" i="37" s="1"/>
  <c r="AI20" i="37"/>
  <c r="AI79" i="37" s="1"/>
  <c r="AH20" i="37"/>
  <c r="AG20" i="37"/>
  <c r="AF20" i="37"/>
  <c r="AE20" i="37"/>
  <c r="AE43" i="37" s="1"/>
  <c r="AD20" i="37"/>
  <c r="AC20" i="37"/>
  <c r="AB20" i="37"/>
  <c r="AB70" i="37" s="1"/>
  <c r="AA20" i="37"/>
  <c r="Z20" i="37"/>
  <c r="Z43" i="37" s="1"/>
  <c r="Y20" i="37"/>
  <c r="X20" i="37"/>
  <c r="X79" i="37" s="1"/>
  <c r="W20" i="37"/>
  <c r="V20" i="37"/>
  <c r="U20" i="37"/>
  <c r="T20" i="37"/>
  <c r="T70" i="37" s="1"/>
  <c r="S20" i="37"/>
  <c r="S79" i="37" s="1"/>
  <c r="R20" i="37"/>
  <c r="Q20" i="37"/>
  <c r="P20" i="37"/>
  <c r="O20" i="37"/>
  <c r="N20" i="37"/>
  <c r="M20" i="37"/>
  <c r="L20" i="37"/>
  <c r="L70" i="37" s="1"/>
  <c r="K20" i="37"/>
  <c r="J20" i="37"/>
  <c r="J43" i="37" s="1"/>
  <c r="I20" i="37"/>
  <c r="I52" i="37" s="1"/>
  <c r="H20" i="37"/>
  <c r="G20" i="37"/>
  <c r="G43" i="37" s="1"/>
  <c r="F20" i="37"/>
  <c r="E20" i="37"/>
  <c r="D20"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AO19" i="37"/>
  <c r="AN19" i="37"/>
  <c r="AM19" i="37"/>
  <c r="AL19" i="37"/>
  <c r="AK19" i="37"/>
  <c r="AJ19" i="37"/>
  <c r="AI19" i="37"/>
  <c r="AH19" i="37"/>
  <c r="AG19" i="37"/>
  <c r="AF19" i="37"/>
  <c r="AE19" i="37"/>
  <c r="AD19" i="37"/>
  <c r="AC19" i="37"/>
  <c r="AB19" i="37"/>
  <c r="AA19" i="37"/>
  <c r="Z19" i="37"/>
  <c r="Y19" i="37"/>
  <c r="X19" i="37"/>
  <c r="W19" i="37"/>
  <c r="V19" i="37"/>
  <c r="U19" i="37"/>
  <c r="T19" i="37"/>
  <c r="S19" i="37"/>
  <c r="R19" i="37"/>
  <c r="Q19" i="37"/>
  <c r="P19" i="37"/>
  <c r="O19" i="37"/>
  <c r="N19" i="37"/>
  <c r="M19" i="37"/>
  <c r="L19" i="37"/>
  <c r="K19" i="37"/>
  <c r="J19" i="37"/>
  <c r="I19" i="37"/>
  <c r="H19" i="37"/>
  <c r="G19" i="37"/>
  <c r="F19" i="37"/>
  <c r="E19" i="37"/>
  <c r="D19" i="37"/>
  <c r="CM18" i="37"/>
  <c r="CL18" i="37"/>
  <c r="CK18" i="37"/>
  <c r="CJ18" i="37"/>
  <c r="CJ78" i="37" s="1"/>
  <c r="CI18" i="37"/>
  <c r="CH18" i="37"/>
  <c r="CG18" i="37"/>
  <c r="CF18" i="37"/>
  <c r="CE18" i="37"/>
  <c r="CE78" i="37" s="1"/>
  <c r="CD18" i="37"/>
  <c r="CC18" i="37"/>
  <c r="CB18" i="37"/>
  <c r="CB69" i="37" s="1"/>
  <c r="CA18" i="37"/>
  <c r="CA42" i="37" s="1"/>
  <c r="BZ18" i="37"/>
  <c r="BY18" i="37"/>
  <c r="BY78" i="37" s="1"/>
  <c r="BX18" i="37"/>
  <c r="BW18" i="37"/>
  <c r="BW33" i="37" s="1"/>
  <c r="BV18" i="37"/>
  <c r="BV42" i="37" s="1"/>
  <c r="BU18" i="37"/>
  <c r="BT18" i="37"/>
  <c r="BT78" i="37" s="1"/>
  <c r="BS18" i="37"/>
  <c r="BR18" i="37"/>
  <c r="BQ18" i="37"/>
  <c r="BP18" i="37"/>
  <c r="BO18" i="37"/>
  <c r="BO78" i="37" s="1"/>
  <c r="BN18" i="37"/>
  <c r="BM18" i="37"/>
  <c r="BL18" i="37"/>
  <c r="BL69" i="37" s="1"/>
  <c r="BK18" i="37"/>
  <c r="BK42" i="37" s="1"/>
  <c r="BJ18" i="37"/>
  <c r="BI18" i="37"/>
  <c r="BH18" i="37"/>
  <c r="BH51" i="37" s="1"/>
  <c r="BG18" i="37"/>
  <c r="BF18" i="37"/>
  <c r="BF42" i="37" s="1"/>
  <c r="BE18" i="37"/>
  <c r="BD18" i="37"/>
  <c r="BD78" i="37" s="1"/>
  <c r="BC18" i="37"/>
  <c r="BB18" i="37"/>
  <c r="BA18" i="37"/>
  <c r="BA69" i="37" s="1"/>
  <c r="AZ18" i="37"/>
  <c r="AY18" i="37"/>
  <c r="AY78" i="37" s="1"/>
  <c r="AX18" i="37"/>
  <c r="AW18" i="37"/>
  <c r="AV18" i="37"/>
  <c r="AV69" i="37" s="1"/>
  <c r="AU18" i="37"/>
  <c r="AT18" i="37"/>
  <c r="AS18" i="37"/>
  <c r="AR18" i="37"/>
  <c r="AR51" i="37" s="1"/>
  <c r="AQ18" i="37"/>
  <c r="AQ69" i="37" s="1"/>
  <c r="AP18" i="37"/>
  <c r="AO18" i="37"/>
  <c r="AN18" i="37"/>
  <c r="AN78" i="37" s="1"/>
  <c r="AM18" i="37"/>
  <c r="AM42" i="37" s="1"/>
  <c r="AL18" i="37"/>
  <c r="AK18" i="37"/>
  <c r="AJ18" i="37"/>
  <c r="AI18" i="37"/>
  <c r="AI78" i="37" s="1"/>
  <c r="AH18" i="37"/>
  <c r="AG18" i="37"/>
  <c r="AF18" i="37"/>
  <c r="AF69" i="37" s="1"/>
  <c r="AE18" i="37"/>
  <c r="AD18" i="37"/>
  <c r="AC18" i="37"/>
  <c r="AC33" i="37" s="1"/>
  <c r="AB18" i="37"/>
  <c r="AB51" i="37" s="1"/>
  <c r="AA18" i="37"/>
  <c r="AA69" i="37" s="1"/>
  <c r="Z18" i="37"/>
  <c r="Y18" i="37"/>
  <c r="X18" i="37"/>
  <c r="X78" i="37" s="1"/>
  <c r="W18" i="37"/>
  <c r="W42" i="37" s="1"/>
  <c r="V18" i="37"/>
  <c r="U18" i="37"/>
  <c r="T18" i="37"/>
  <c r="S18" i="37"/>
  <c r="S78" i="37" s="1"/>
  <c r="R18" i="37"/>
  <c r="Q18" i="37"/>
  <c r="P18" i="37"/>
  <c r="O18" i="37"/>
  <c r="N18" i="37"/>
  <c r="M18" i="37"/>
  <c r="L18" i="37"/>
  <c r="K18" i="37"/>
  <c r="K42" i="37" s="1"/>
  <c r="J18" i="37"/>
  <c r="I18" i="37"/>
  <c r="I42" i="37" s="1"/>
  <c r="H18" i="37"/>
  <c r="H69" i="37" s="1"/>
  <c r="G18" i="37"/>
  <c r="F18" i="37"/>
  <c r="E18" i="37"/>
  <c r="D18" i="37"/>
  <c r="J15" i="37"/>
  <c r="I15" i="37"/>
  <c r="H15" i="37"/>
  <c r="G15" i="37"/>
  <c r="G44" i="37" s="1"/>
  <c r="F15" i="37"/>
  <c r="F35" i="37" s="1"/>
  <c r="E15" i="37"/>
  <c r="D15" i="37"/>
  <c r="BQ16" i="37"/>
  <c r="BA16" i="37"/>
  <c r="AK16" i="37"/>
  <c r="U16" i="37"/>
  <c r="CM15" i="37"/>
  <c r="CM16" i="37" s="1"/>
  <c r="CL15" i="37"/>
  <c r="CL16" i="37" s="1"/>
  <c r="CK15" i="37"/>
  <c r="CK16" i="37" s="1"/>
  <c r="CJ15" i="37"/>
  <c r="CI15" i="37"/>
  <c r="CI80" i="37" s="1"/>
  <c r="CH15" i="37"/>
  <c r="CH16" i="37" s="1"/>
  <c r="CG15" i="37"/>
  <c r="CG16" i="37" s="1"/>
  <c r="CF15" i="37"/>
  <c r="CE15" i="37"/>
  <c r="CE16" i="37" s="1"/>
  <c r="CD15" i="37"/>
  <c r="CD16" i="37" s="1"/>
  <c r="CC15" i="37"/>
  <c r="CC16" i="37" s="1"/>
  <c r="CB15" i="37"/>
  <c r="CA15" i="37"/>
  <c r="CA35" i="37" s="1"/>
  <c r="BZ15" i="37"/>
  <c r="BZ16" i="37" s="1"/>
  <c r="BY15" i="37"/>
  <c r="BY16" i="37" s="1"/>
  <c r="BX15" i="37"/>
  <c r="BX16" i="37" s="1"/>
  <c r="BW15" i="37"/>
  <c r="BW16" i="37" s="1"/>
  <c r="BV15" i="37"/>
  <c r="BV16" i="37" s="1"/>
  <c r="BU15" i="37"/>
  <c r="BU16" i="37" s="1"/>
  <c r="BT15" i="37"/>
  <c r="BT53" i="37" s="1"/>
  <c r="BS15" i="37"/>
  <c r="BS16" i="37" s="1"/>
  <c r="BR15" i="37"/>
  <c r="BR16" i="37" s="1"/>
  <c r="BQ15" i="37"/>
  <c r="BP15" i="37"/>
  <c r="BP44" i="37" s="1"/>
  <c r="BO15" i="37"/>
  <c r="BO16" i="37" s="1"/>
  <c r="BN15" i="37"/>
  <c r="BN16" i="37" s="1"/>
  <c r="BM15" i="37"/>
  <c r="BM16" i="37" s="1"/>
  <c r="BL15" i="37"/>
  <c r="BK15" i="37"/>
  <c r="BJ15" i="37"/>
  <c r="BJ16" i="37" s="1"/>
  <c r="BI15" i="37"/>
  <c r="BI16" i="37" s="1"/>
  <c r="BH15" i="37"/>
  <c r="BH16" i="37" s="1"/>
  <c r="BG15" i="37"/>
  <c r="BG16" i="37" s="1"/>
  <c r="BF15" i="37"/>
  <c r="BF16" i="37" s="1"/>
  <c r="BE15" i="37"/>
  <c r="BE16" i="37" s="1"/>
  <c r="BD15" i="37"/>
  <c r="BD53" i="37" s="1"/>
  <c r="BC15" i="37"/>
  <c r="BC80" i="37" s="1"/>
  <c r="BB15" i="37"/>
  <c r="BB16" i="37" s="1"/>
  <c r="BA15" i="37"/>
  <c r="AZ15" i="37"/>
  <c r="AY15" i="37"/>
  <c r="AY16" i="37" s="1"/>
  <c r="AX15" i="37"/>
  <c r="AX16" i="37" s="1"/>
  <c r="AW15" i="37"/>
  <c r="AW16" i="37" s="1"/>
  <c r="AV15" i="37"/>
  <c r="AU15" i="37"/>
  <c r="AU71" i="37" s="1"/>
  <c r="AT15" i="37"/>
  <c r="AT16" i="37" s="1"/>
  <c r="AS15" i="37"/>
  <c r="AS16" i="37" s="1"/>
  <c r="AR15" i="37"/>
  <c r="AR16" i="37" s="1"/>
  <c r="AQ15" i="37"/>
  <c r="AV16" i="37" s="1"/>
  <c r="AP15" i="37"/>
  <c r="AP44" i="37" s="1"/>
  <c r="AO15" i="37"/>
  <c r="AO16" i="37" s="1"/>
  <c r="AN15" i="37"/>
  <c r="AN53" i="37" s="1"/>
  <c r="AM15" i="37"/>
  <c r="AM80" i="37" s="1"/>
  <c r="AL15" i="37"/>
  <c r="AL16" i="37" s="1"/>
  <c r="AK15" i="37"/>
  <c r="AJ15" i="37"/>
  <c r="AI15" i="37"/>
  <c r="AI16" i="37" s="1"/>
  <c r="AH15" i="37"/>
  <c r="AH16" i="37" s="1"/>
  <c r="AG15" i="37"/>
  <c r="AG16" i="37" s="1"/>
  <c r="AF15" i="37"/>
  <c r="AE15" i="37"/>
  <c r="AD15" i="37"/>
  <c r="AD16" i="37" s="1"/>
  <c r="AC15" i="37"/>
  <c r="AC16" i="37" s="1"/>
  <c r="AB15" i="37"/>
  <c r="AB16" i="37" s="1"/>
  <c r="AA15" i="37"/>
  <c r="AA16" i="37" s="1"/>
  <c r="Z15" i="37"/>
  <c r="Z16" i="37" s="1"/>
  <c r="Y15" i="37"/>
  <c r="Y16" i="37" s="1"/>
  <c r="X15" i="37"/>
  <c r="X16" i="37" s="1"/>
  <c r="W15" i="37"/>
  <c r="W80" i="37" s="1"/>
  <c r="V15" i="37"/>
  <c r="V16" i="37" s="1"/>
  <c r="U15" i="37"/>
  <c r="T15" i="37"/>
  <c r="S15" i="37"/>
  <c r="S16" i="37" s="1"/>
  <c r="R15" i="37"/>
  <c r="R16" i="37" s="1"/>
  <c r="Q15" i="37"/>
  <c r="Q16" i="37" s="1"/>
  <c r="P15" i="37"/>
  <c r="O15" i="37"/>
  <c r="O35" i="37" s="1"/>
  <c r="O36" i="37" s="1"/>
  <c r="N15" i="37"/>
  <c r="N16" i="37" s="1"/>
  <c r="M15" i="37"/>
  <c r="M16" i="37" s="1"/>
  <c r="L15" i="37"/>
  <c r="L16" i="37" s="1"/>
  <c r="K15" i="37"/>
  <c r="K16" i="37" s="1"/>
  <c r="CG14" i="37"/>
  <c r="BQ14" i="37"/>
  <c r="BA14" i="37"/>
  <c r="AK14" i="37"/>
  <c r="U14" i="37"/>
  <c r="CM13" i="37"/>
  <c r="CM14" i="37" s="1"/>
  <c r="CL13" i="37"/>
  <c r="CL14" i="37" s="1"/>
  <c r="CK13" i="37"/>
  <c r="CK14" i="37" s="1"/>
  <c r="CJ13" i="37"/>
  <c r="CJ14" i="37" s="1"/>
  <c r="CI13" i="37"/>
  <c r="CI14" i="37" s="1"/>
  <c r="CH13" i="37"/>
  <c r="CH14" i="37" s="1"/>
  <c r="CG13" i="37"/>
  <c r="CF13" i="37"/>
  <c r="CE13" i="37"/>
  <c r="CE14" i="37" s="1"/>
  <c r="CD13" i="37"/>
  <c r="CD14" i="37" s="1"/>
  <c r="CC13" i="37"/>
  <c r="CC14" i="37" s="1"/>
  <c r="CB13" i="37"/>
  <c r="CA13" i="37"/>
  <c r="CF14" i="37" s="1"/>
  <c r="BZ13" i="37"/>
  <c r="BZ14" i="37" s="1"/>
  <c r="BY13" i="37"/>
  <c r="BY14" i="37" s="1"/>
  <c r="BX13" i="37"/>
  <c r="BX14" i="37" s="1"/>
  <c r="BW13" i="37"/>
  <c r="BW14" i="37" s="1"/>
  <c r="BV13" i="37"/>
  <c r="BV14" i="37" s="1"/>
  <c r="BU13" i="37"/>
  <c r="BU14" i="37" s="1"/>
  <c r="BT13" i="37"/>
  <c r="BT14" i="37" s="1"/>
  <c r="BS13" i="37"/>
  <c r="BS14" i="37" s="1"/>
  <c r="BR13" i="37"/>
  <c r="BR14" i="37" s="1"/>
  <c r="BQ13" i="37"/>
  <c r="BP13" i="37"/>
  <c r="BO13" i="37"/>
  <c r="BO14" i="37" s="1"/>
  <c r="BN13" i="37"/>
  <c r="BN14" i="37" s="1"/>
  <c r="BM13" i="37"/>
  <c r="BM14" i="37" s="1"/>
  <c r="BL13" i="37"/>
  <c r="BK13" i="37"/>
  <c r="BP14" i="37" s="1"/>
  <c r="BJ13" i="37"/>
  <c r="BJ14" i="37" s="1"/>
  <c r="BI13" i="37"/>
  <c r="BI14" i="37" s="1"/>
  <c r="BH13" i="37"/>
  <c r="BH14" i="37" s="1"/>
  <c r="BG13" i="37"/>
  <c r="BL14" i="37" s="1"/>
  <c r="BF13" i="37"/>
  <c r="BF14" i="37" s="1"/>
  <c r="BE13" i="37"/>
  <c r="BE14" i="37" s="1"/>
  <c r="BD13" i="37"/>
  <c r="BD14" i="37" s="1"/>
  <c r="BC13" i="37"/>
  <c r="BC14" i="37" s="1"/>
  <c r="BB13" i="37"/>
  <c r="BB14" i="37" s="1"/>
  <c r="BA13" i="37"/>
  <c r="AZ13" i="37"/>
  <c r="AY13" i="37"/>
  <c r="AY14" i="37" s="1"/>
  <c r="AX13" i="37"/>
  <c r="AX14" i="37" s="1"/>
  <c r="AW13" i="37"/>
  <c r="AW14" i="37" s="1"/>
  <c r="AV13" i="37"/>
  <c r="AU13" i="37"/>
  <c r="AZ14" i="37" s="1"/>
  <c r="AT13" i="37"/>
  <c r="AT14" i="37" s="1"/>
  <c r="AS13" i="37"/>
  <c r="AS14" i="37" s="1"/>
  <c r="AR13" i="37"/>
  <c r="AR14" i="37" s="1"/>
  <c r="AQ13" i="37"/>
  <c r="AV14" i="37" s="1"/>
  <c r="AP13" i="37"/>
  <c r="AP14" i="37" s="1"/>
  <c r="AO13" i="37"/>
  <c r="AO14" i="37" s="1"/>
  <c r="AN13" i="37"/>
  <c r="AN14" i="37" s="1"/>
  <c r="AM13" i="37"/>
  <c r="AM14" i="37" s="1"/>
  <c r="AL13" i="37"/>
  <c r="AL14" i="37" s="1"/>
  <c r="AK13" i="37"/>
  <c r="AJ13" i="37"/>
  <c r="AI13" i="37"/>
  <c r="AI14" i="37" s="1"/>
  <c r="AH13" i="37"/>
  <c r="AH14" i="37" s="1"/>
  <c r="AG13" i="37"/>
  <c r="AG14" i="37" s="1"/>
  <c r="AF13" i="37"/>
  <c r="AE13" i="37"/>
  <c r="AJ14" i="37" s="1"/>
  <c r="AD13" i="37"/>
  <c r="AD14" i="37" s="1"/>
  <c r="AC13" i="37"/>
  <c r="AC14" i="37" s="1"/>
  <c r="AB13" i="37"/>
  <c r="AB14" i="37" s="1"/>
  <c r="AA13" i="37"/>
  <c r="AF14" i="37" s="1"/>
  <c r="Z13" i="37"/>
  <c r="Z14" i="37" s="1"/>
  <c r="Y13" i="37"/>
  <c r="Y14" i="37" s="1"/>
  <c r="X13" i="37"/>
  <c r="X14" i="37" s="1"/>
  <c r="W13" i="37"/>
  <c r="W14" i="37" s="1"/>
  <c r="V13" i="37"/>
  <c r="V14" i="37" s="1"/>
  <c r="U13" i="37"/>
  <c r="T13" i="37"/>
  <c r="S13" i="37"/>
  <c r="S14" i="37" s="1"/>
  <c r="R13" i="37"/>
  <c r="R14" i="37" s="1"/>
  <c r="Q13" i="37"/>
  <c r="Q14" i="37" s="1"/>
  <c r="P13" i="37"/>
  <c r="O13" i="37"/>
  <c r="T14" i="37" s="1"/>
  <c r="N13" i="37"/>
  <c r="N14" i="37" s="1"/>
  <c r="M13" i="37"/>
  <c r="M14" i="37" s="1"/>
  <c r="L13" i="37"/>
  <c r="L14" i="37" s="1"/>
  <c r="K13" i="37"/>
  <c r="P14" i="37" s="1"/>
  <c r="J13" i="37"/>
  <c r="I13" i="37"/>
  <c r="H13" i="37"/>
  <c r="G13" i="37"/>
  <c r="F13" i="37"/>
  <c r="E13" i="37"/>
  <c r="D13" i="37"/>
  <c r="J10" i="37"/>
  <c r="J28" i="37" s="1"/>
  <c r="I10" i="37"/>
  <c r="I46" i="37" s="1"/>
  <c r="H10" i="37"/>
  <c r="G10" i="37"/>
  <c r="F10" i="37"/>
  <c r="E10" i="37"/>
  <c r="E55" i="37" s="1"/>
  <c r="D10" i="37"/>
  <c r="D28" i="37" s="1"/>
  <c r="CE11" i="37"/>
  <c r="BO11" i="37"/>
  <c r="AY11" i="37"/>
  <c r="AI11" i="37"/>
  <c r="S11" i="37"/>
  <c r="N11" i="37"/>
  <c r="CM10" i="37"/>
  <c r="CM11" i="37" s="1"/>
  <c r="CL10" i="37"/>
  <c r="CL11" i="37" s="1"/>
  <c r="CK10" i="37"/>
  <c r="CK11" i="37" s="1"/>
  <c r="CJ10" i="37"/>
  <c r="CI10" i="37"/>
  <c r="CI55" i="37" s="1"/>
  <c r="CH10" i="37"/>
  <c r="CH11" i="37" s="1"/>
  <c r="CG10" i="37"/>
  <c r="CG11" i="37" s="1"/>
  <c r="CF10" i="37"/>
  <c r="CE10" i="37"/>
  <c r="CD10" i="37"/>
  <c r="CD11" i="37" s="1"/>
  <c r="CC10" i="37"/>
  <c r="CC11" i="37" s="1"/>
  <c r="CB10" i="37"/>
  <c r="CA10" i="37"/>
  <c r="CA73" i="37" s="1"/>
  <c r="BZ10" i="37"/>
  <c r="BY10" i="37"/>
  <c r="BY11" i="37" s="1"/>
  <c r="BX10" i="37"/>
  <c r="BW10" i="37"/>
  <c r="BW11" i="37" s="1"/>
  <c r="BV10" i="37"/>
  <c r="BV11" i="37" s="1"/>
  <c r="BU10" i="37"/>
  <c r="BZ11" i="37" s="1"/>
  <c r="BT10" i="37"/>
  <c r="BS10" i="37"/>
  <c r="BS11" i="37" s="1"/>
  <c r="BR10" i="37"/>
  <c r="BR11" i="37" s="1"/>
  <c r="BQ10" i="37"/>
  <c r="BQ28" i="37" s="1"/>
  <c r="BP10" i="37"/>
  <c r="BO10" i="37"/>
  <c r="BN10" i="37"/>
  <c r="BN11" i="37" s="1"/>
  <c r="BM10" i="37"/>
  <c r="BM55" i="37" s="1"/>
  <c r="BL10" i="37"/>
  <c r="BK10" i="37"/>
  <c r="BK73" i="37" s="1"/>
  <c r="BJ10" i="37"/>
  <c r="BI10" i="37"/>
  <c r="BI11" i="37" s="1"/>
  <c r="BH10" i="37"/>
  <c r="BG10" i="37"/>
  <c r="BG11" i="37" s="1"/>
  <c r="BF10" i="37"/>
  <c r="BF46" i="37" s="1"/>
  <c r="BE10" i="37"/>
  <c r="BJ11" i="37" s="1"/>
  <c r="BD10" i="37"/>
  <c r="BC10" i="37"/>
  <c r="BC55" i="37" s="1"/>
  <c r="BB10" i="37"/>
  <c r="BB11" i="37" s="1"/>
  <c r="BA10" i="37"/>
  <c r="BA28" i="37" s="1"/>
  <c r="AZ10" i="37"/>
  <c r="AY10" i="37"/>
  <c r="AX10" i="37"/>
  <c r="AX11" i="37" s="1"/>
  <c r="AW10" i="37"/>
  <c r="AW55" i="37" s="1"/>
  <c r="AV10" i="37"/>
  <c r="AU10" i="37"/>
  <c r="AU73" i="37" s="1"/>
  <c r="AT10" i="37"/>
  <c r="AS10" i="37"/>
  <c r="AS11" i="37" s="1"/>
  <c r="AR10" i="37"/>
  <c r="AQ10" i="37"/>
  <c r="AQ11" i="37" s="1"/>
  <c r="AP10" i="37"/>
  <c r="AP46" i="37" s="1"/>
  <c r="AO10" i="37"/>
  <c r="AT11" i="37" s="1"/>
  <c r="AN10" i="37"/>
  <c r="AM10" i="37"/>
  <c r="AM55" i="37" s="1"/>
  <c r="AL10" i="37"/>
  <c r="AL11" i="37" s="1"/>
  <c r="AK10" i="37"/>
  <c r="AK28" i="37" s="1"/>
  <c r="AJ10" i="37"/>
  <c r="AI10" i="37"/>
  <c r="AH10" i="37"/>
  <c r="AH11" i="37" s="1"/>
  <c r="AG10" i="37"/>
  <c r="AG55" i="37" s="1"/>
  <c r="AG56" i="37" s="1"/>
  <c r="AF10" i="37"/>
  <c r="AE10" i="37"/>
  <c r="AE11" i="37" s="1"/>
  <c r="AD10" i="37"/>
  <c r="AC10" i="37"/>
  <c r="AC11" i="37" s="1"/>
  <c r="AB10" i="37"/>
  <c r="AA10" i="37"/>
  <c r="AA11" i="37" s="1"/>
  <c r="Z10" i="37"/>
  <c r="Z46" i="37" s="1"/>
  <c r="Y10" i="37"/>
  <c r="AD11" i="37" s="1"/>
  <c r="X10" i="37"/>
  <c r="W10" i="37"/>
  <c r="W55" i="37" s="1"/>
  <c r="V10" i="37"/>
  <c r="V11" i="37" s="1"/>
  <c r="U10" i="37"/>
  <c r="U11" i="37" s="1"/>
  <c r="T10" i="37"/>
  <c r="S10" i="37"/>
  <c r="R10" i="37"/>
  <c r="R11" i="37" s="1"/>
  <c r="Q10" i="37"/>
  <c r="Q55" i="37" s="1"/>
  <c r="P10" i="37"/>
  <c r="O10" i="37"/>
  <c r="O11" i="37" s="1"/>
  <c r="N10" i="37"/>
  <c r="M10" i="37"/>
  <c r="M11" i="37" s="1"/>
  <c r="L10" i="37"/>
  <c r="L11" i="37" s="1"/>
  <c r="K10" i="37"/>
  <c r="K11" i="37" s="1"/>
  <c r="CK9" i="37"/>
  <c r="BU9" i="37"/>
  <c r="BE9" i="37"/>
  <c r="CM8" i="37"/>
  <c r="CL8" i="37"/>
  <c r="CL9" i="37" s="1"/>
  <c r="CK8" i="37"/>
  <c r="CJ8" i="37"/>
  <c r="CJ9" i="37" s="1"/>
  <c r="CI8" i="37"/>
  <c r="CI9" i="37" s="1"/>
  <c r="CH8" i="37"/>
  <c r="CM9" i="37" s="1"/>
  <c r="CG8" i="37"/>
  <c r="CG9" i="37" s="1"/>
  <c r="CF8" i="37"/>
  <c r="CF9" i="37" s="1"/>
  <c r="CE8" i="37"/>
  <c r="CD8" i="37"/>
  <c r="CD9" i="37" s="1"/>
  <c r="CC8" i="37"/>
  <c r="CB8" i="37"/>
  <c r="CB9" i="37" s="1"/>
  <c r="CA8" i="37"/>
  <c r="CA9" i="37" s="1"/>
  <c r="BZ8" i="37"/>
  <c r="BZ9" i="37" s="1"/>
  <c r="BY8" i="37"/>
  <c r="BY9" i="37" s="1"/>
  <c r="BX8" i="37"/>
  <c r="BX9" i="37" s="1"/>
  <c r="BW8" i="37"/>
  <c r="BV8" i="37"/>
  <c r="BV9" i="37" s="1"/>
  <c r="BU8" i="37"/>
  <c r="BT8" i="37"/>
  <c r="BT9" i="37" s="1"/>
  <c r="BS8" i="37"/>
  <c r="BS9" i="37" s="1"/>
  <c r="BR8" i="37"/>
  <c r="BW9" i="37" s="1"/>
  <c r="BQ8" i="37"/>
  <c r="BQ9" i="37" s="1"/>
  <c r="BP8" i="37"/>
  <c r="BP9" i="37" s="1"/>
  <c r="BO8" i="37"/>
  <c r="BN8" i="37"/>
  <c r="BN9" i="37" s="1"/>
  <c r="BM8" i="37"/>
  <c r="BL8" i="37"/>
  <c r="BL9" i="37" s="1"/>
  <c r="BK8" i="37"/>
  <c r="BK9" i="37" s="1"/>
  <c r="BJ8" i="37"/>
  <c r="BO9" i="37" s="1"/>
  <c r="BI8" i="37"/>
  <c r="BI9" i="37" s="1"/>
  <c r="BH8" i="37"/>
  <c r="BH9" i="37" s="1"/>
  <c r="BG8" i="37"/>
  <c r="BF8" i="37"/>
  <c r="BF9" i="37" s="1"/>
  <c r="BE8" i="37"/>
  <c r="BD8" i="37"/>
  <c r="BD9" i="37" s="1"/>
  <c r="BC8" i="37"/>
  <c r="BC9" i="37" s="1"/>
  <c r="BB8" i="37"/>
  <c r="BG9" i="37" s="1"/>
  <c r="BA8" i="37"/>
  <c r="BA9" i="37" s="1"/>
  <c r="AZ8" i="37"/>
  <c r="AZ9" i="37" s="1"/>
  <c r="AY8" i="37"/>
  <c r="AX8" i="37"/>
  <c r="AX9" i="37" s="1"/>
  <c r="AW8" i="37"/>
  <c r="AV8" i="37"/>
  <c r="AV9" i="37" s="1"/>
  <c r="AU8" i="37"/>
  <c r="AU9" i="37" s="1"/>
  <c r="AT8" i="37"/>
  <c r="AT9" i="37" s="1"/>
  <c r="AS8" i="37"/>
  <c r="AS9" i="37" s="1"/>
  <c r="AR8" i="37"/>
  <c r="AW9" i="37" s="1"/>
  <c r="AQ8" i="37"/>
  <c r="AQ9" i="37" s="1"/>
  <c r="AP8" i="37"/>
  <c r="AP9" i="37" s="1"/>
  <c r="AO8" i="37"/>
  <c r="AO9" i="37" s="1"/>
  <c r="AN8" i="37"/>
  <c r="AN9" i="37" s="1"/>
  <c r="AM8" i="37"/>
  <c r="AM9" i="37" s="1"/>
  <c r="AL8" i="37"/>
  <c r="AL9" i="37" s="1"/>
  <c r="AK8" i="37"/>
  <c r="AK9" i="37" s="1"/>
  <c r="AJ8" i="37"/>
  <c r="AJ9" i="37" s="1"/>
  <c r="AI8" i="37"/>
  <c r="AI9" i="37" s="1"/>
  <c r="AH8" i="37"/>
  <c r="AH9" i="37" s="1"/>
  <c r="AG8" i="37"/>
  <c r="AG9" i="37" s="1"/>
  <c r="AF8" i="37"/>
  <c r="AF9" i="37" s="1"/>
  <c r="AE8" i="37"/>
  <c r="AE9" i="37" s="1"/>
  <c r="AD8" i="37"/>
  <c r="AD9" i="37" s="1"/>
  <c r="AC8" i="37"/>
  <c r="AC9" i="37" s="1"/>
  <c r="AB8" i="37"/>
  <c r="AB9" i="37" s="1"/>
  <c r="AA8" i="37"/>
  <c r="AA9" i="37" s="1"/>
  <c r="Z8" i="37"/>
  <c r="Z9" i="37" s="1"/>
  <c r="Y8" i="37"/>
  <c r="Y9" i="37" s="1"/>
  <c r="X8" i="37"/>
  <c r="X9" i="37" s="1"/>
  <c r="W8" i="37"/>
  <c r="W9" i="37" s="1"/>
  <c r="V8" i="37"/>
  <c r="V9" i="37" s="1"/>
  <c r="U8" i="37"/>
  <c r="U9" i="37" s="1"/>
  <c r="T8" i="37"/>
  <c r="T9" i="37" s="1"/>
  <c r="S8" i="37"/>
  <c r="S9" i="37" s="1"/>
  <c r="R8" i="37"/>
  <c r="R9" i="37" s="1"/>
  <c r="Q8" i="37"/>
  <c r="Q9" i="37" s="1"/>
  <c r="P8" i="37"/>
  <c r="P9" i="37" s="1"/>
  <c r="O8" i="37"/>
  <c r="O9" i="37" s="1"/>
  <c r="N8" i="37"/>
  <c r="N9" i="37" s="1"/>
  <c r="M8" i="37"/>
  <c r="M9" i="37" s="1"/>
  <c r="L8" i="37"/>
  <c r="L9" i="37" s="1"/>
  <c r="K8" i="37"/>
  <c r="K9" i="37" s="1"/>
  <c r="J8" i="37"/>
  <c r="I8" i="37"/>
  <c r="H8" i="37"/>
  <c r="G8" i="37"/>
  <c r="F8" i="37"/>
  <c r="E8" i="37"/>
  <c r="D8" i="37"/>
  <c r="AO5" i="37"/>
  <c r="AO4" i="37"/>
  <c r="AJ5" i="37"/>
  <c r="AJ4" i="37"/>
  <c r="AE5" i="37"/>
  <c r="AE4" i="37"/>
  <c r="Z5" i="37"/>
  <c r="Z4" i="37"/>
  <c r="U5" i="37"/>
  <c r="U4" i="37"/>
  <c r="P5" i="37"/>
  <c r="P4" i="37"/>
  <c r="K5" i="37"/>
  <c r="K4" i="37"/>
  <c r="CQ5" i="37"/>
  <c r="CI5" i="37"/>
  <c r="BW5" i="37"/>
  <c r="BV5" i="37"/>
  <c r="BU5" i="37"/>
  <c r="BT5" i="37"/>
  <c r="BX5" i="37" s="1"/>
  <c r="BR5" i="37"/>
  <c r="BQ5" i="37"/>
  <c r="BP5" i="37"/>
  <c r="BO5" i="37"/>
  <c r="BS5" i="37" s="1"/>
  <c r="BM5" i="37"/>
  <c r="BL5" i="37"/>
  <c r="BK5" i="37"/>
  <c r="BJ5" i="37"/>
  <c r="BN5" i="37" s="1"/>
  <c r="BH5" i="37"/>
  <c r="BG5" i="37"/>
  <c r="BF5" i="37"/>
  <c r="BE5" i="37"/>
  <c r="BI5" i="37" s="1"/>
  <c r="BC5" i="37"/>
  <c r="BB5" i="37"/>
  <c r="BA5" i="37"/>
  <c r="AZ5" i="37"/>
  <c r="BD5" i="37" s="1"/>
  <c r="AX5" i="37"/>
  <c r="AW5" i="37"/>
  <c r="AV5" i="37"/>
  <c r="AU5" i="37"/>
  <c r="AY5" i="37" s="1"/>
  <c r="AT5" i="37"/>
  <c r="DB4" i="37"/>
  <c r="DA4" i="37"/>
  <c r="CZ4" i="37"/>
  <c r="CY4" i="37"/>
  <c r="CX4" i="37"/>
  <c r="CW4" i="37"/>
  <c r="CV4" i="37"/>
  <c r="CU4" i="37"/>
  <c r="CT4" i="37"/>
  <c r="CS4" i="37"/>
  <c r="CR4" i="37"/>
  <c r="CQ4" i="37"/>
  <c r="CP4" i="37"/>
  <c r="CO4" i="37"/>
  <c r="CN4" i="37"/>
  <c r="CM4" i="37"/>
  <c r="CL4" i="37"/>
  <c r="CK4" i="37"/>
  <c r="CJ4" i="37"/>
  <c r="CI4" i="37"/>
  <c r="CH4" i="37"/>
  <c r="CG4" i="37"/>
  <c r="CF4" i="37"/>
  <c r="CE4" i="37"/>
  <c r="CD4" i="37"/>
  <c r="CC4" i="37"/>
  <c r="CB4" i="37"/>
  <c r="CA4" i="37"/>
  <c r="BZ4" i="37"/>
  <c r="BY4" i="37"/>
  <c r="BX4" i="37"/>
  <c r="BW4" i="37"/>
  <c r="BV4" i="37"/>
  <c r="BU4" i="37"/>
  <c r="BT4" i="37"/>
  <c r="BS4" i="37"/>
  <c r="BR4" i="37"/>
  <c r="BQ4" i="37"/>
  <c r="BP4" i="37"/>
  <c r="BO4" i="37"/>
  <c r="BN4" i="37"/>
  <c r="BM4" i="37"/>
  <c r="BL4" i="37"/>
  <c r="BK4" i="37"/>
  <c r="BJ4" i="37"/>
  <c r="BI4" i="37"/>
  <c r="BH4" i="37"/>
  <c r="BG4" i="37"/>
  <c r="BF4" i="37"/>
  <c r="BE4" i="37"/>
  <c r="BD4" i="37"/>
  <c r="BC4" i="37"/>
  <c r="BB4" i="37"/>
  <c r="BA4" i="37"/>
  <c r="AZ4" i="37"/>
  <c r="AY4" i="37"/>
  <c r="AX4" i="37"/>
  <c r="AW4" i="37"/>
  <c r="AV4" i="37"/>
  <c r="AU4" i="37"/>
  <c r="AT4" i="37"/>
  <c r="AS4" i="37"/>
  <c r="AR4" i="37"/>
  <c r="AQ4" i="37"/>
  <c r="AP4" i="37"/>
  <c r="AN4" i="37"/>
  <c r="AM4" i="37"/>
  <c r="AL4" i="37"/>
  <c r="AK4" i="37"/>
  <c r="AI4" i="37"/>
  <c r="AH4" i="37"/>
  <c r="AG4" i="37"/>
  <c r="AF4" i="37"/>
  <c r="AD4" i="37"/>
  <c r="AC4" i="37"/>
  <c r="AB4" i="37"/>
  <c r="AA4" i="37"/>
  <c r="Y4" i="37"/>
  <c r="X4" i="37"/>
  <c r="W4" i="37"/>
  <c r="V4" i="37"/>
  <c r="T4" i="37"/>
  <c r="S4" i="37"/>
  <c r="R4" i="37"/>
  <c r="Q4" i="37"/>
  <c r="O4" i="37"/>
  <c r="N4" i="37"/>
  <c r="M4" i="37"/>
  <c r="L4" i="37"/>
  <c r="J4" i="37"/>
  <c r="I4" i="37"/>
  <c r="H4" i="37"/>
  <c r="G4" i="37"/>
  <c r="F4" i="37"/>
  <c r="E4" i="37"/>
  <c r="D4" i="37"/>
  <c r="DA3" i="37"/>
  <c r="DA5" i="37" s="1"/>
  <c r="CZ3" i="37"/>
  <c r="CZ5" i="37" s="1"/>
  <c r="CY3" i="37"/>
  <c r="CY5" i="37" s="1"/>
  <c r="CX3" i="37"/>
  <c r="CX5" i="37" s="1"/>
  <c r="CV3" i="37"/>
  <c r="CV5" i="37" s="1"/>
  <c r="CU3" i="37"/>
  <c r="CT3" i="37"/>
  <c r="CT5" i="37" s="1"/>
  <c r="CS3" i="37"/>
  <c r="CS5" i="37" s="1"/>
  <c r="CQ3" i="37"/>
  <c r="CP3" i="37"/>
  <c r="CP5" i="37" s="1"/>
  <c r="CO3" i="37"/>
  <c r="CO5" i="37" s="1"/>
  <c r="CN3" i="37"/>
  <c r="CN5" i="37" s="1"/>
  <c r="CL3" i="37"/>
  <c r="CL5" i="37" s="1"/>
  <c r="CK3" i="37"/>
  <c r="CK5" i="37" s="1"/>
  <c r="CJ3" i="37"/>
  <c r="CJ5" i="37" s="1"/>
  <c r="CI3" i="37"/>
  <c r="CG3" i="37"/>
  <c r="CG5" i="37" s="1"/>
  <c r="CF3" i="37"/>
  <c r="CF5" i="37" s="1"/>
  <c r="CE3" i="37"/>
  <c r="CE5" i="37" s="1"/>
  <c r="CD3" i="37"/>
  <c r="CD5" i="37" s="1"/>
  <c r="CB3" i="37"/>
  <c r="CB5" i="37" s="1"/>
  <c r="CA3" i="37"/>
  <c r="BZ3" i="37"/>
  <c r="BZ5" i="37" s="1"/>
  <c r="BY3" i="37"/>
  <c r="BY5" i="37" s="1"/>
  <c r="CH293" i="35"/>
  <c r="CH292" i="35"/>
  <c r="CH291" i="35"/>
  <c r="CC293" i="35"/>
  <c r="CC292" i="35"/>
  <c r="CC291" i="35"/>
  <c r="L289" i="35"/>
  <c r="K289" i="35"/>
  <c r="G289" i="35"/>
  <c r="F289" i="35"/>
  <c r="E289" i="35"/>
  <c r="D289" i="35"/>
  <c r="CH288" i="35"/>
  <c r="CH287" i="35"/>
  <c r="N288" i="35"/>
  <c r="N289" i="35" s="1"/>
  <c r="M288" i="35"/>
  <c r="M289" i="35" s="1"/>
  <c r="H288" i="35"/>
  <c r="H289" i="35" s="1"/>
  <c r="CH284" i="35"/>
  <c r="CH283" i="35"/>
  <c r="N283" i="35"/>
  <c r="M283" i="35"/>
  <c r="L283" i="35"/>
  <c r="K283" i="35"/>
  <c r="J283" i="35"/>
  <c r="I283" i="35"/>
  <c r="H283" i="35"/>
  <c r="G283" i="35"/>
  <c r="F283" i="35"/>
  <c r="E283" i="35"/>
  <c r="D283" i="35"/>
  <c r="CH281" i="35"/>
  <c r="CH280" i="35"/>
  <c r="CH277" i="35"/>
  <c r="CH276" i="35"/>
  <c r="CH274" i="35"/>
  <c r="CH273" i="35"/>
  <c r="CH272" i="35"/>
  <c r="CH271" i="35"/>
  <c r="CC273" i="35"/>
  <c r="CC272" i="35"/>
  <c r="CC271" i="35"/>
  <c r="CM256" i="35"/>
  <c r="CM255" i="35"/>
  <c r="CM254" i="35"/>
  <c r="Q252" i="35"/>
  <c r="P252" i="35"/>
  <c r="M252" i="35"/>
  <c r="L252" i="35"/>
  <c r="K252" i="35"/>
  <c r="G252" i="35"/>
  <c r="F252" i="35"/>
  <c r="E252" i="35"/>
  <c r="CM251" i="35"/>
  <c r="CM250" i="35"/>
  <c r="R251" i="35"/>
  <c r="R252" i="35" s="1"/>
  <c r="N251" i="35"/>
  <c r="N252" i="35" s="1"/>
  <c r="M251" i="35"/>
  <c r="H251" i="35"/>
  <c r="CM247" i="35"/>
  <c r="CM246" i="35"/>
  <c r="S246" i="35"/>
  <c r="R246" i="35"/>
  <c r="Q246" i="35"/>
  <c r="P246" i="35"/>
  <c r="O246" i="35"/>
  <c r="N246" i="35"/>
  <c r="M246" i="35"/>
  <c r="L246" i="35"/>
  <c r="K246" i="35"/>
  <c r="J246" i="35"/>
  <c r="I246" i="35"/>
  <c r="H246" i="35"/>
  <c r="G246" i="35"/>
  <c r="F246" i="35"/>
  <c r="E246" i="35"/>
  <c r="CM244" i="35"/>
  <c r="CM243" i="35"/>
  <c r="CM241" i="35"/>
  <c r="CM240" i="35"/>
  <c r="CM239" i="35"/>
  <c r="CM237" i="35"/>
  <c r="CM236" i="35"/>
  <c r="CM235" i="35"/>
  <c r="CM234" i="35"/>
  <c r="CL231" i="35"/>
  <c r="CL230" i="35"/>
  <c r="CL229" i="35"/>
  <c r="CL228" i="35"/>
  <c r="CK226" i="35"/>
  <c r="CJ226" i="35"/>
  <c r="CI226" i="35"/>
  <c r="CF226" i="35"/>
  <c r="CE226" i="35"/>
  <c r="CD226" i="35"/>
  <c r="CA226" i="35"/>
  <c r="BZ226" i="35"/>
  <c r="BY226" i="35"/>
  <c r="BV226" i="35"/>
  <c r="BU226" i="35"/>
  <c r="BT226" i="35"/>
  <c r="BQ226" i="35"/>
  <c r="BP226" i="35"/>
  <c r="BO226" i="35"/>
  <c r="BN226" i="35"/>
  <c r="BI226" i="35"/>
  <c r="BD226" i="35"/>
  <c r="AC226" i="35"/>
  <c r="X226" i="35"/>
  <c r="T226" i="35"/>
  <c r="S226" i="35"/>
  <c r="R226" i="35"/>
  <c r="Q226" i="35"/>
  <c r="P226" i="35"/>
  <c r="O226" i="35"/>
  <c r="N226" i="35"/>
  <c r="M226" i="35"/>
  <c r="L226" i="35"/>
  <c r="K226" i="35"/>
  <c r="CK225" i="35"/>
  <c r="CJ225" i="35"/>
  <c r="CI225" i="35"/>
  <c r="CF225" i="35"/>
  <c r="CE225" i="35"/>
  <c r="CD225" i="35"/>
  <c r="CA225" i="35"/>
  <c r="BZ225" i="35"/>
  <c r="BY225" i="35"/>
  <c r="BV225" i="35"/>
  <c r="BU225" i="35"/>
  <c r="BT225" i="35"/>
  <c r="BQ225" i="35"/>
  <c r="BP225" i="35"/>
  <c r="BO225" i="35"/>
  <c r="BK225" i="35"/>
  <c r="W225" i="35"/>
  <c r="T225" i="35"/>
  <c r="S225" i="35"/>
  <c r="R225" i="35"/>
  <c r="Q225" i="35"/>
  <c r="O225" i="35"/>
  <c r="N225" i="35"/>
  <c r="M225" i="35"/>
  <c r="L225" i="35"/>
  <c r="CK224" i="35"/>
  <c r="CJ224" i="35"/>
  <c r="CI224" i="35"/>
  <c r="CF224" i="35"/>
  <c r="CE224" i="35"/>
  <c r="CD224" i="35"/>
  <c r="CA224" i="35"/>
  <c r="BZ224" i="35"/>
  <c r="BY224" i="35"/>
  <c r="BV224" i="35"/>
  <c r="BU224" i="35"/>
  <c r="BT224" i="35"/>
  <c r="BQ224" i="35"/>
  <c r="BP224" i="35"/>
  <c r="BO224" i="35"/>
  <c r="BN224" i="35"/>
  <c r="BJ224" i="35"/>
  <c r="AT224" i="35"/>
  <c r="T224" i="35"/>
  <c r="S224" i="35"/>
  <c r="R224" i="35"/>
  <c r="Q224" i="35"/>
  <c r="O224" i="35"/>
  <c r="N224" i="35"/>
  <c r="M224" i="35"/>
  <c r="L224" i="35"/>
  <c r="CK223" i="35"/>
  <c r="CJ223" i="35"/>
  <c r="CI223" i="35"/>
  <c r="CF223" i="35"/>
  <c r="CE223" i="35"/>
  <c r="CD223" i="35"/>
  <c r="CA223" i="35"/>
  <c r="BZ223" i="35"/>
  <c r="BY223" i="35"/>
  <c r="BV223" i="35"/>
  <c r="BU223" i="35"/>
  <c r="BT223" i="35"/>
  <c r="BQ223" i="35"/>
  <c r="BP223" i="35"/>
  <c r="BO223" i="35"/>
  <c r="T223" i="35"/>
  <c r="S223" i="35"/>
  <c r="R223" i="35"/>
  <c r="Q223" i="35"/>
  <c r="O223" i="35"/>
  <c r="N223" i="35"/>
  <c r="M223" i="35"/>
  <c r="L223" i="35"/>
  <c r="F226" i="35"/>
  <c r="E226" i="35"/>
  <c r="BM221" i="35"/>
  <c r="BM220" i="35"/>
  <c r="BM219" i="35"/>
  <c r="BM218" i="35"/>
  <c r="P220" i="35"/>
  <c r="P219" i="35"/>
  <c r="P218" i="35"/>
  <c r="K220" i="35"/>
  <c r="K219" i="35"/>
  <c r="K218" i="35"/>
  <c r="CB221" i="35"/>
  <c r="CG226" i="35" s="1"/>
  <c r="CB220" i="35"/>
  <c r="CB219" i="35"/>
  <c r="CG224" i="35" s="1"/>
  <c r="CB218" i="35"/>
  <c r="CG223" i="35" s="1"/>
  <c r="BI221" i="35"/>
  <c r="BI231" i="35" s="1"/>
  <c r="BG221" i="35"/>
  <c r="BF221" i="35"/>
  <c r="BE221" i="35"/>
  <c r="BJ226" i="35" s="1"/>
  <c r="BD221" i="35"/>
  <c r="BB221" i="35"/>
  <c r="BA221" i="35"/>
  <c r="BA226" i="35" s="1"/>
  <c r="AZ221" i="35"/>
  <c r="AZ226" i="35" s="1"/>
  <c r="AY221" i="35"/>
  <c r="AX221" i="35"/>
  <c r="AW221" i="35"/>
  <c r="AV221" i="35"/>
  <c r="AU221" i="35"/>
  <c r="AT221" i="35"/>
  <c r="AR221" i="35"/>
  <c r="AQ221" i="35"/>
  <c r="AP221" i="35"/>
  <c r="AO221" i="35"/>
  <c r="AO231" i="35" s="1"/>
  <c r="AM221" i="35"/>
  <c r="AL221" i="35"/>
  <c r="AK221" i="35"/>
  <c r="AK226" i="35" s="1"/>
  <c r="AJ221" i="35"/>
  <c r="AJ226" i="35" s="1"/>
  <c r="AH221" i="35"/>
  <c r="AG221" i="35"/>
  <c r="AF221" i="35"/>
  <c r="AE221" i="35"/>
  <c r="AD221" i="35"/>
  <c r="AC221" i="35"/>
  <c r="AB221" i="35"/>
  <c r="AA221" i="35"/>
  <c r="Z221" i="35"/>
  <c r="X221" i="35"/>
  <c r="W221" i="35"/>
  <c r="V221" i="35"/>
  <c r="U221" i="35"/>
  <c r="U226" i="35" s="1"/>
  <c r="BI220" i="35"/>
  <c r="BG220" i="35"/>
  <c r="BG225" i="35" s="1"/>
  <c r="BF220" i="35"/>
  <c r="BE220" i="35"/>
  <c r="BD220" i="35"/>
  <c r="BB220" i="35"/>
  <c r="BA220" i="35"/>
  <c r="AZ220" i="35"/>
  <c r="AY220" i="35"/>
  <c r="AW220" i="35"/>
  <c r="AV220" i="35"/>
  <c r="AU220" i="35"/>
  <c r="AU225" i="35" s="1"/>
  <c r="AT220" i="35"/>
  <c r="AT230" i="35" s="1"/>
  <c r="AS220" i="35"/>
  <c r="AR220" i="35"/>
  <c r="AQ220" i="35"/>
  <c r="AQ225" i="35" s="1"/>
  <c r="AP220" i="35"/>
  <c r="AO220" i="35"/>
  <c r="AM220" i="35"/>
  <c r="AL220" i="35"/>
  <c r="AK220" i="35"/>
  <c r="AJ220" i="35"/>
  <c r="AI220" i="35"/>
  <c r="AH220" i="35"/>
  <c r="AG220" i="35"/>
  <c r="AF220" i="35"/>
  <c r="AE220" i="35"/>
  <c r="AC220" i="35"/>
  <c r="AB220" i="35"/>
  <c r="AA220" i="35"/>
  <c r="Z220" i="35"/>
  <c r="Z230" i="35" s="1"/>
  <c r="X220" i="35"/>
  <c r="W220" i="35"/>
  <c r="V220" i="35"/>
  <c r="U220" i="35"/>
  <c r="BI219" i="35"/>
  <c r="BI229" i="35" s="1"/>
  <c r="BH219" i="35"/>
  <c r="BG219" i="35"/>
  <c r="BL224" i="35" s="1"/>
  <c r="BF219" i="35"/>
  <c r="BE219" i="35"/>
  <c r="BD219" i="35"/>
  <c r="BB219" i="35"/>
  <c r="BA219" i="35"/>
  <c r="AZ219" i="35"/>
  <c r="AY219" i="35"/>
  <c r="AX219" i="35"/>
  <c r="AW219" i="35"/>
  <c r="AV219" i="35"/>
  <c r="AU219" i="35"/>
  <c r="AT219" i="35"/>
  <c r="AR219" i="35"/>
  <c r="AQ219" i="35"/>
  <c r="AP219" i="35"/>
  <c r="AO219" i="35"/>
  <c r="AM219" i="35"/>
  <c r="AL219" i="35"/>
  <c r="AK219" i="35"/>
  <c r="AJ219" i="35"/>
  <c r="AH219" i="35"/>
  <c r="AG219" i="35"/>
  <c r="AF219" i="35"/>
  <c r="AE219" i="35"/>
  <c r="AC219" i="35"/>
  <c r="AB219" i="35"/>
  <c r="AA219" i="35"/>
  <c r="Z219" i="35"/>
  <c r="Z229" i="35" s="1"/>
  <c r="Y219" i="35"/>
  <c r="X219" i="35"/>
  <c r="W219" i="35"/>
  <c r="W224" i="35" s="1"/>
  <c r="V219" i="35"/>
  <c r="U219" i="35"/>
  <c r="BI218" i="35"/>
  <c r="BG218" i="35"/>
  <c r="BF218" i="35"/>
  <c r="BE218" i="35"/>
  <c r="BD218" i="35"/>
  <c r="BB218" i="35"/>
  <c r="BA218" i="35"/>
  <c r="AZ218" i="35"/>
  <c r="BC218" i="35" s="1"/>
  <c r="AY218" i="35"/>
  <c r="AW218" i="35"/>
  <c r="AV218" i="35"/>
  <c r="AU218" i="35"/>
  <c r="AT218" i="35"/>
  <c r="AS218" i="35"/>
  <c r="AR218" i="35"/>
  <c r="AQ218" i="35"/>
  <c r="AP218" i="35"/>
  <c r="AO218" i="35"/>
  <c r="AM218" i="35"/>
  <c r="AL218" i="35"/>
  <c r="AK218" i="35"/>
  <c r="AJ218" i="35"/>
  <c r="AH218" i="35"/>
  <c r="AG218" i="35"/>
  <c r="AG223" i="35" s="1"/>
  <c r="AF218" i="35"/>
  <c r="AE218" i="35"/>
  <c r="AC218" i="35"/>
  <c r="AB218" i="35"/>
  <c r="AA218" i="35"/>
  <c r="Z218" i="35"/>
  <c r="Y218" i="35"/>
  <c r="X218" i="35"/>
  <c r="W218" i="35"/>
  <c r="W223" i="35" s="1"/>
  <c r="V218" i="35"/>
  <c r="U218" i="35"/>
  <c r="F220" i="35"/>
  <c r="E220" i="35"/>
  <c r="D220" i="35"/>
  <c r="F219" i="35"/>
  <c r="E219" i="35"/>
  <c r="E224" i="35" s="1"/>
  <c r="D219" i="35"/>
  <c r="F218" i="35"/>
  <c r="E218" i="35"/>
  <c r="D218" i="35"/>
  <c r="CL215" i="35"/>
  <c r="CK215" i="35"/>
  <c r="CJ215" i="35"/>
  <c r="CI215" i="35"/>
  <c r="CG215" i="35"/>
  <c r="CF215" i="35"/>
  <c r="CE215" i="35"/>
  <c r="CD215" i="35"/>
  <c r="CB215" i="35"/>
  <c r="CA215" i="35"/>
  <c r="BZ215" i="35"/>
  <c r="BY215" i="35"/>
  <c r="CC215" i="35" s="1"/>
  <c r="BW215" i="35"/>
  <c r="BV215" i="35"/>
  <c r="BU215" i="35"/>
  <c r="BT215" i="35"/>
  <c r="BX215" i="35" s="1"/>
  <c r="BR215" i="35"/>
  <c r="BQ215" i="35"/>
  <c r="BP215" i="35"/>
  <c r="BO215" i="35"/>
  <c r="BS215" i="35" s="1"/>
  <c r="BM215" i="35"/>
  <c r="BL215" i="35"/>
  <c r="BK215" i="35"/>
  <c r="BJ215" i="35"/>
  <c r="BH215" i="35"/>
  <c r="BG215" i="35"/>
  <c r="BF215" i="35"/>
  <c r="BE215" i="35"/>
  <c r="BI215" i="35" s="1"/>
  <c r="BC215" i="35"/>
  <c r="BB215" i="35"/>
  <c r="BA215" i="35"/>
  <c r="AZ215" i="35"/>
  <c r="BD215" i="35" s="1"/>
  <c r="AX215" i="35"/>
  <c r="AW215" i="35"/>
  <c r="AV215" i="35"/>
  <c r="AU215" i="35"/>
  <c r="AY215" i="35" s="1"/>
  <c r="AS215" i="35"/>
  <c r="AR215" i="35"/>
  <c r="AQ215" i="35"/>
  <c r="AP215" i="35"/>
  <c r="AT215" i="35" s="1"/>
  <c r="AN215" i="35"/>
  <c r="AM215" i="35"/>
  <c r="AL215" i="35"/>
  <c r="AK215" i="35"/>
  <c r="AO215" i="35" s="1"/>
  <c r="AI215" i="35"/>
  <c r="AH215" i="35"/>
  <c r="AG215" i="35"/>
  <c r="AF215" i="35"/>
  <c r="AD215" i="35"/>
  <c r="AC215" i="35"/>
  <c r="AB215" i="35"/>
  <c r="AA215" i="35"/>
  <c r="CL214" i="35"/>
  <c r="CK214" i="35"/>
  <c r="CJ214" i="35"/>
  <c r="CI214" i="35"/>
  <c r="CG214" i="35"/>
  <c r="CF214" i="35"/>
  <c r="CE214" i="35"/>
  <c r="CD214" i="35"/>
  <c r="CB214" i="35"/>
  <c r="CA214" i="35"/>
  <c r="BZ214" i="35"/>
  <c r="BY214" i="35"/>
  <c r="BW214" i="35"/>
  <c r="BV214" i="35"/>
  <c r="BU214" i="35"/>
  <c r="BT214" i="35"/>
  <c r="BR214" i="35"/>
  <c r="BQ214" i="35"/>
  <c r="BP214" i="35"/>
  <c r="BO214" i="35"/>
  <c r="BM214" i="35"/>
  <c r="BL214" i="35"/>
  <c r="BK214" i="35"/>
  <c r="BJ214" i="35"/>
  <c r="BH214" i="35"/>
  <c r="BG214" i="35"/>
  <c r="BF214" i="35"/>
  <c r="BE214" i="35"/>
  <c r="BC214" i="35"/>
  <c r="BB214" i="35"/>
  <c r="BA214" i="35"/>
  <c r="AZ214" i="35"/>
  <c r="AX214" i="35"/>
  <c r="AW214" i="35"/>
  <c r="AV214" i="35"/>
  <c r="AU214" i="35"/>
  <c r="AS214" i="35"/>
  <c r="AR214" i="35"/>
  <c r="AQ214" i="35"/>
  <c r="AP214" i="35"/>
  <c r="AN214" i="35"/>
  <c r="AM214" i="35"/>
  <c r="AL214" i="35"/>
  <c r="AK214" i="35"/>
  <c r="AI214" i="35"/>
  <c r="AH214" i="35"/>
  <c r="AG214" i="35"/>
  <c r="AF214" i="35"/>
  <c r="AD214" i="35"/>
  <c r="AC214" i="35"/>
  <c r="AB214" i="35"/>
  <c r="AA214" i="35"/>
  <c r="Y215" i="35"/>
  <c r="X215" i="35"/>
  <c r="W215" i="35"/>
  <c r="V215" i="35"/>
  <c r="Y214" i="35"/>
  <c r="X214" i="35"/>
  <c r="W214" i="35"/>
  <c r="V214" i="35"/>
  <c r="T215" i="35"/>
  <c r="S215" i="35"/>
  <c r="R215" i="35"/>
  <c r="Q215" i="35"/>
  <c r="T214" i="35"/>
  <c r="S214" i="35"/>
  <c r="R214" i="35"/>
  <c r="Q214" i="35"/>
  <c r="O215" i="35"/>
  <c r="N215" i="35"/>
  <c r="M215" i="35"/>
  <c r="L215" i="35"/>
  <c r="O214" i="35"/>
  <c r="N214" i="35"/>
  <c r="M214" i="35"/>
  <c r="L214" i="35"/>
  <c r="J215" i="35"/>
  <c r="I215" i="35"/>
  <c r="H215" i="35"/>
  <c r="G215" i="35"/>
  <c r="J214" i="35"/>
  <c r="I214" i="35"/>
  <c r="H214" i="35"/>
  <c r="G214" i="35"/>
  <c r="BN212" i="35"/>
  <c r="F208" i="35"/>
  <c r="E208" i="35"/>
  <c r="DA203" i="35"/>
  <c r="CZ203" i="35"/>
  <c r="CY203" i="35"/>
  <c r="CX203" i="35"/>
  <c r="CV203" i="35"/>
  <c r="CU203" i="35"/>
  <c r="CT203" i="35"/>
  <c r="CS203" i="35"/>
  <c r="CQ203" i="35"/>
  <c r="CP203" i="35"/>
  <c r="CO203" i="35"/>
  <c r="CN203" i="35"/>
  <c r="BZ199" i="35"/>
  <c r="BJ199" i="35"/>
  <c r="AT199" i="35"/>
  <c r="AD199" i="35"/>
  <c r="N199" i="35"/>
  <c r="F199" i="35"/>
  <c r="F196" i="35" s="1"/>
  <c r="CM194" i="35"/>
  <c r="CI194" i="35"/>
  <c r="CE194" i="35"/>
  <c r="CA194" i="35"/>
  <c r="BW194" i="35"/>
  <c r="BS194" i="35"/>
  <c r="BO194" i="35"/>
  <c r="BK194" i="35"/>
  <c r="BG194" i="35"/>
  <c r="BC194" i="35"/>
  <c r="AY194" i="35"/>
  <c r="AU194" i="35"/>
  <c r="AQ194" i="35"/>
  <c r="AM194" i="35"/>
  <c r="AI194" i="35"/>
  <c r="AE194" i="35"/>
  <c r="AA194" i="35"/>
  <c r="W194" i="35"/>
  <c r="S194" i="35"/>
  <c r="O194" i="35"/>
  <c r="K194" i="35"/>
  <c r="CM193" i="35"/>
  <c r="CL193" i="35"/>
  <c r="CK193" i="35"/>
  <c r="CJ193" i="35"/>
  <c r="CI193" i="35"/>
  <c r="CH193" i="35"/>
  <c r="CG193" i="35"/>
  <c r="CF193" i="35"/>
  <c r="CE193" i="35"/>
  <c r="CD193" i="35"/>
  <c r="CD194" i="35" s="1"/>
  <c r="CC193" i="35"/>
  <c r="CB193" i="35"/>
  <c r="CA193" i="35"/>
  <c r="BZ193" i="35"/>
  <c r="BY193" i="35"/>
  <c r="BX193" i="35"/>
  <c r="BW193" i="35"/>
  <c r="BV193" i="35"/>
  <c r="BU193" i="35"/>
  <c r="BT193" i="35"/>
  <c r="BS193" i="35"/>
  <c r="BR193" i="35"/>
  <c r="BQ193" i="35"/>
  <c r="BP193" i="35"/>
  <c r="BO193" i="35"/>
  <c r="BN193" i="35"/>
  <c r="BN194" i="35" s="1"/>
  <c r="BM193" i="35"/>
  <c r="BL193" i="35"/>
  <c r="BK193" i="35"/>
  <c r="BJ193" i="35"/>
  <c r="BI193" i="35"/>
  <c r="BH193" i="35"/>
  <c r="BG193" i="35"/>
  <c r="BF193" i="35"/>
  <c r="BE193" i="35"/>
  <c r="BD193" i="35"/>
  <c r="BC193" i="35"/>
  <c r="BB193" i="35"/>
  <c r="BA193" i="35"/>
  <c r="AZ193" i="35"/>
  <c r="AY193" i="35"/>
  <c r="AX193" i="35"/>
  <c r="AW193" i="35"/>
  <c r="AV193" i="35"/>
  <c r="AU193" i="35"/>
  <c r="AT193" i="35"/>
  <c r="AS193" i="35"/>
  <c r="AR193" i="35"/>
  <c r="AQ193" i="35"/>
  <c r="AP193" i="35"/>
  <c r="AO193" i="35"/>
  <c r="AN193" i="35"/>
  <c r="AM193" i="35"/>
  <c r="AL193" i="35"/>
  <c r="AK193" i="35"/>
  <c r="AJ193" i="35"/>
  <c r="AI193" i="35"/>
  <c r="AH193" i="35"/>
  <c r="AG193" i="35"/>
  <c r="AF193" i="35"/>
  <c r="AE193" i="35"/>
  <c r="AD193" i="35"/>
  <c r="AC193" i="35"/>
  <c r="AB193" i="35"/>
  <c r="AA193" i="35"/>
  <c r="Z193" i="35"/>
  <c r="Y193" i="35"/>
  <c r="X193" i="35"/>
  <c r="W193" i="35"/>
  <c r="V193" i="35"/>
  <c r="U193" i="35"/>
  <c r="T193" i="35"/>
  <c r="S193" i="35"/>
  <c r="R193" i="35"/>
  <c r="R194" i="35" s="1"/>
  <c r="Q193" i="35"/>
  <c r="P193" i="35"/>
  <c r="O193" i="35"/>
  <c r="N193" i="35"/>
  <c r="M193" i="35"/>
  <c r="L193" i="35"/>
  <c r="K193" i="35"/>
  <c r="J193" i="35"/>
  <c r="I193" i="35"/>
  <c r="H193" i="35"/>
  <c r="G193" i="35"/>
  <c r="CK190" i="35"/>
  <c r="CG190" i="35"/>
  <c r="CF190" i="35"/>
  <c r="BY190" i="35"/>
  <c r="CL189" i="35"/>
  <c r="CL191" i="35" s="1"/>
  <c r="CK189" i="35"/>
  <c r="CK191" i="35" s="1"/>
  <c r="CJ189" i="35"/>
  <c r="CI189" i="35"/>
  <c r="CG189" i="35"/>
  <c r="CG191" i="35" s="1"/>
  <c r="CF189" i="35"/>
  <c r="CE189" i="35"/>
  <c r="CD189" i="35"/>
  <c r="CD190" i="35" s="1"/>
  <c r="CB189" i="35"/>
  <c r="CA189" i="35"/>
  <c r="BZ189" i="35"/>
  <c r="BY189" i="35"/>
  <c r="BV191" i="35"/>
  <c r="BR191" i="35"/>
  <c r="BN191" i="35"/>
  <c r="BJ191" i="35"/>
  <c r="BI191" i="35"/>
  <c r="BF191" i="35"/>
  <c r="BC191" i="35"/>
  <c r="BB191" i="35"/>
  <c r="AX191" i="35"/>
  <c r="AT191" i="35"/>
  <c r="AS191" i="35"/>
  <c r="AP191" i="35"/>
  <c r="AM191" i="35"/>
  <c r="AL191" i="35"/>
  <c r="AH191" i="35"/>
  <c r="AD191" i="35"/>
  <c r="AC191" i="35"/>
  <c r="Z191" i="35"/>
  <c r="W191" i="35"/>
  <c r="V191" i="35"/>
  <c r="R191" i="35"/>
  <c r="N191" i="35"/>
  <c r="M191" i="35"/>
  <c r="BW189" i="35"/>
  <c r="BV189" i="35"/>
  <c r="BU189" i="35"/>
  <c r="BU191" i="35" s="1"/>
  <c r="BT189" i="35"/>
  <c r="BR189" i="35"/>
  <c r="BQ189" i="35"/>
  <c r="BQ191" i="35" s="1"/>
  <c r="BP189" i="35"/>
  <c r="BO189" i="35"/>
  <c r="BN189" i="35"/>
  <c r="BM189" i="35"/>
  <c r="BL189" i="35"/>
  <c r="BK189" i="35"/>
  <c r="BJ189" i="35"/>
  <c r="BI189" i="35"/>
  <c r="BH189" i="35"/>
  <c r="BG189" i="35"/>
  <c r="BF189" i="35"/>
  <c r="BE189" i="35"/>
  <c r="BE191" i="35" s="1"/>
  <c r="BD189" i="35"/>
  <c r="BC189" i="35"/>
  <c r="BB189" i="35"/>
  <c r="BA189" i="35"/>
  <c r="BA191" i="35" s="1"/>
  <c r="AZ189" i="35"/>
  <c r="AY189" i="35"/>
  <c r="AX189" i="35"/>
  <c r="AW189" i="35"/>
  <c r="AV189" i="35"/>
  <c r="AU189" i="35"/>
  <c r="AT189" i="35"/>
  <c r="AS189" i="35"/>
  <c r="AR189" i="35"/>
  <c r="AQ189" i="35"/>
  <c r="AP189" i="35"/>
  <c r="AO189" i="35"/>
  <c r="AO191" i="35" s="1"/>
  <c r="AN189" i="35"/>
  <c r="AM189" i="35"/>
  <c r="AL189" i="35"/>
  <c r="AK189" i="35"/>
  <c r="AK191" i="35" s="1"/>
  <c r="AJ189" i="35"/>
  <c r="AI189" i="35"/>
  <c r="AH189" i="35"/>
  <c r="AG189" i="35"/>
  <c r="AF189" i="35"/>
  <c r="AE189" i="35"/>
  <c r="AD189" i="35"/>
  <c r="AC189" i="35"/>
  <c r="AB189" i="35"/>
  <c r="AA189" i="35"/>
  <c r="Z189" i="35"/>
  <c r="Y189" i="35"/>
  <c r="Y191" i="35" s="1"/>
  <c r="X189" i="35"/>
  <c r="W189" i="35"/>
  <c r="V189" i="35"/>
  <c r="U189" i="35"/>
  <c r="U191" i="35" s="1"/>
  <c r="T189" i="35"/>
  <c r="S189" i="35"/>
  <c r="R189" i="35"/>
  <c r="Q189" i="35"/>
  <c r="P189" i="35"/>
  <c r="O189" i="35"/>
  <c r="N189" i="35"/>
  <c r="M189" i="35"/>
  <c r="L189" i="35"/>
  <c r="K189" i="35"/>
  <c r="J189" i="35"/>
  <c r="I189" i="35"/>
  <c r="H189" i="35"/>
  <c r="G189" i="35"/>
  <c r="CF187" i="35"/>
  <c r="T187" i="35"/>
  <c r="CJ186" i="35"/>
  <c r="CF186" i="35"/>
  <c r="CB186" i="35"/>
  <c r="BT186" i="35"/>
  <c r="BP186" i="35"/>
  <c r="BL186" i="35"/>
  <c r="BH186" i="35"/>
  <c r="BD186" i="35"/>
  <c r="AZ186" i="35"/>
  <c r="AV186" i="35"/>
  <c r="AR186" i="35"/>
  <c r="AN186" i="35"/>
  <c r="AJ186" i="35"/>
  <c r="AF186" i="35"/>
  <c r="AB186" i="35"/>
  <c r="AB187" i="35" s="1"/>
  <c r="X186" i="35"/>
  <c r="X187" i="35" s="1"/>
  <c r="T186" i="35"/>
  <c r="P186" i="35"/>
  <c r="L186" i="35"/>
  <c r="L187" i="35" s="1"/>
  <c r="H186" i="35"/>
  <c r="F186" i="35"/>
  <c r="E186" i="35"/>
  <c r="DA184" i="35"/>
  <c r="CZ184" i="35"/>
  <c r="CY184" i="35"/>
  <c r="CX184" i="35"/>
  <c r="CV184" i="35"/>
  <c r="CU184" i="35"/>
  <c r="CT184" i="35"/>
  <c r="CS184" i="35"/>
  <c r="CQ184" i="35"/>
  <c r="CP184" i="35"/>
  <c r="CO184" i="35"/>
  <c r="CN184" i="35"/>
  <c r="CL183" i="35"/>
  <c r="CJ183" i="35"/>
  <c r="CF183" i="35"/>
  <c r="CD183" i="35"/>
  <c r="CB183" i="35"/>
  <c r="BZ183" i="35"/>
  <c r="BV183" i="35"/>
  <c r="BT183" i="35"/>
  <c r="BR183" i="35"/>
  <c r="BP183" i="35"/>
  <c r="BN183" i="35"/>
  <c r="BL183" i="35"/>
  <c r="BJ183" i="35"/>
  <c r="BH183" i="35"/>
  <c r="BF183" i="35"/>
  <c r="BD183" i="35"/>
  <c r="BB183" i="35"/>
  <c r="AZ183" i="35"/>
  <c r="AX183" i="35"/>
  <c r="AV183" i="35"/>
  <c r="AT183" i="35"/>
  <c r="AR183" i="35"/>
  <c r="AP183" i="35"/>
  <c r="AN183" i="35"/>
  <c r="AL183" i="35"/>
  <c r="AJ183" i="35"/>
  <c r="AH183" i="35"/>
  <c r="AF183" i="35"/>
  <c r="AD183" i="35"/>
  <c r="AB183" i="35"/>
  <c r="Z183" i="35"/>
  <c r="X183" i="35"/>
  <c r="V183" i="35"/>
  <c r="T183" i="35"/>
  <c r="R183" i="35"/>
  <c r="P183" i="35"/>
  <c r="N183" i="35"/>
  <c r="L183" i="35"/>
  <c r="CJ182" i="35"/>
  <c r="CF182" i="35"/>
  <c r="CB182" i="35"/>
  <c r="BT182" i="35"/>
  <c r="BP182" i="35"/>
  <c r="BL182" i="35"/>
  <c r="BH182" i="35"/>
  <c r="BD182" i="35"/>
  <c r="AZ182" i="35"/>
  <c r="AV182" i="35"/>
  <c r="AR182" i="35"/>
  <c r="AN182" i="35"/>
  <c r="AJ182" i="35"/>
  <c r="X182" i="35"/>
  <c r="T182" i="35"/>
  <c r="CL181" i="35"/>
  <c r="CK181" i="35"/>
  <c r="CJ181" i="35"/>
  <c r="CI181" i="35"/>
  <c r="CI182" i="35" s="1"/>
  <c r="CG181" i="35"/>
  <c r="CF181" i="35"/>
  <c r="CE181" i="35"/>
  <c r="CE182" i="35" s="1"/>
  <c r="CD181" i="35"/>
  <c r="CD186" i="35" s="1"/>
  <c r="CB181" i="35"/>
  <c r="CA181" i="35"/>
  <c r="CA186" i="35" s="1"/>
  <c r="BZ181" i="35"/>
  <c r="BY181" i="35"/>
  <c r="BW181" i="35"/>
  <c r="BW186" i="35" s="1"/>
  <c r="BV181" i="35"/>
  <c r="BV199" i="35" s="1"/>
  <c r="BU181" i="35"/>
  <c r="BT181" i="35"/>
  <c r="BX181" i="35" s="1"/>
  <c r="BX182" i="35" s="1"/>
  <c r="BX183" i="35" s="1"/>
  <c r="BR181" i="35"/>
  <c r="BR199" i="35" s="1"/>
  <c r="BQ181" i="35"/>
  <c r="BP181" i="35"/>
  <c r="BO181" i="35"/>
  <c r="BO186" i="35" s="1"/>
  <c r="BN181" i="35"/>
  <c r="BN186" i="35" s="1"/>
  <c r="BM181" i="35"/>
  <c r="BL181" i="35"/>
  <c r="BK181" i="35"/>
  <c r="BK186" i="35" s="1"/>
  <c r="BJ181" i="35"/>
  <c r="BJ186" i="35" s="1"/>
  <c r="BI181" i="35"/>
  <c r="BH181" i="35"/>
  <c r="BG181" i="35"/>
  <c r="BG186" i="35" s="1"/>
  <c r="BF181" i="35"/>
  <c r="BF199" i="35" s="1"/>
  <c r="BE181" i="35"/>
  <c r="BD181" i="35"/>
  <c r="BC181" i="35"/>
  <c r="BC186" i="35" s="1"/>
  <c r="BB181" i="35"/>
  <c r="BB199" i="35" s="1"/>
  <c r="BA181" i="35"/>
  <c r="AZ181" i="35"/>
  <c r="AY181" i="35"/>
  <c r="AY186" i="35" s="1"/>
  <c r="AX181" i="35"/>
  <c r="AX186" i="35" s="1"/>
  <c r="AW181" i="35"/>
  <c r="AV181" i="35"/>
  <c r="AU181" i="35"/>
  <c r="AU186" i="35" s="1"/>
  <c r="AT181" i="35"/>
  <c r="AT186" i="35" s="1"/>
  <c r="AS181" i="35"/>
  <c r="AR181" i="35"/>
  <c r="AQ181" i="35"/>
  <c r="AQ186" i="35" s="1"/>
  <c r="AP181" i="35"/>
  <c r="AP199" i="35" s="1"/>
  <c r="AO181" i="35"/>
  <c r="AN181" i="35"/>
  <c r="AM181" i="35"/>
  <c r="AM186" i="35" s="1"/>
  <c r="AL181" i="35"/>
  <c r="AL199" i="35" s="1"/>
  <c r="AK181" i="35"/>
  <c r="AJ181" i="35"/>
  <c r="AI181" i="35"/>
  <c r="AI186" i="35" s="1"/>
  <c r="AH181" i="35"/>
  <c r="AH186" i="35" s="1"/>
  <c r="AG181" i="35"/>
  <c r="AF181" i="35"/>
  <c r="AE181" i="35"/>
  <c r="AD181" i="35"/>
  <c r="AD186" i="35" s="1"/>
  <c r="AD187" i="35" s="1"/>
  <c r="AC181" i="35"/>
  <c r="AB181" i="35"/>
  <c r="AA181" i="35"/>
  <c r="Z181" i="35"/>
  <c r="Z199" i="35" s="1"/>
  <c r="Y181" i="35"/>
  <c r="X181" i="35"/>
  <c r="W181" i="35"/>
  <c r="V181" i="35"/>
  <c r="V199" i="35" s="1"/>
  <c r="U181" i="35"/>
  <c r="T181" i="35"/>
  <c r="S181" i="35"/>
  <c r="R181" i="35"/>
  <c r="R186" i="35" s="1"/>
  <c r="R187" i="35" s="1"/>
  <c r="Q181" i="35"/>
  <c r="P181" i="35"/>
  <c r="O181" i="35"/>
  <c r="N181" i="35"/>
  <c r="N186" i="35" s="1"/>
  <c r="N187" i="35" s="1"/>
  <c r="M181" i="35"/>
  <c r="L181" i="35"/>
  <c r="K181" i="35"/>
  <c r="J181" i="35"/>
  <c r="J199" i="35" s="1"/>
  <c r="I181" i="35"/>
  <c r="I186" i="35" s="1"/>
  <c r="H181" i="35"/>
  <c r="G181" i="35"/>
  <c r="G186" i="35" s="1"/>
  <c r="J177" i="35"/>
  <c r="I177" i="35"/>
  <c r="H177" i="35"/>
  <c r="G177" i="35"/>
  <c r="I176" i="35"/>
  <c r="DA178" i="35"/>
  <c r="CZ178" i="35"/>
  <c r="CY178" i="35"/>
  <c r="CX178" i="35"/>
  <c r="CV178" i="35"/>
  <c r="CU178" i="35"/>
  <c r="CT178" i="35"/>
  <c r="CS178" i="35"/>
  <c r="CQ178" i="35"/>
  <c r="CP178" i="35"/>
  <c r="CO178" i="35"/>
  <c r="CN178" i="35"/>
  <c r="CL177" i="35"/>
  <c r="CK177" i="35"/>
  <c r="CJ177" i="35"/>
  <c r="CI177" i="35"/>
  <c r="CG177" i="35"/>
  <c r="CF177" i="35"/>
  <c r="CE177" i="35"/>
  <c r="CD177" i="35"/>
  <c r="CB177" i="35"/>
  <c r="CA177" i="35"/>
  <c r="BZ177" i="35"/>
  <c r="BY177" i="35"/>
  <c r="BW177" i="35"/>
  <c r="BV177" i="35"/>
  <c r="BU177" i="35"/>
  <c r="BT177" i="35"/>
  <c r="BR177" i="35"/>
  <c r="BQ177" i="35"/>
  <c r="BP177" i="35"/>
  <c r="BO177" i="35"/>
  <c r="BN177" i="35"/>
  <c r="BM177" i="35"/>
  <c r="BL177" i="35"/>
  <c r="BK177" i="35"/>
  <c r="BJ177" i="35"/>
  <c r="BI177" i="35"/>
  <c r="BH177" i="35"/>
  <c r="BG177" i="35"/>
  <c r="BG176" i="35" s="1"/>
  <c r="BF177" i="35"/>
  <c r="BE177" i="35"/>
  <c r="BD177" i="35"/>
  <c r="BC177" i="35"/>
  <c r="BB177" i="35"/>
  <c r="BA177" i="35"/>
  <c r="AZ177" i="35"/>
  <c r="AY177" i="35"/>
  <c r="AX177" i="35"/>
  <c r="AW177" i="35"/>
  <c r="AV177" i="35"/>
  <c r="AU177" i="35"/>
  <c r="AU176" i="35" s="1"/>
  <c r="AT177" i="35"/>
  <c r="AS177" i="35"/>
  <c r="AR177" i="35"/>
  <c r="AQ177" i="35"/>
  <c r="AQ176" i="35" s="1"/>
  <c r="AP177" i="35"/>
  <c r="AO177" i="35"/>
  <c r="AN177" i="35"/>
  <c r="AM177" i="35"/>
  <c r="AL177" i="35"/>
  <c r="AK177" i="35"/>
  <c r="AJ177" i="35"/>
  <c r="AI177" i="35"/>
  <c r="AI176" i="35" s="1"/>
  <c r="AH177" i="35"/>
  <c r="AG177" i="35"/>
  <c r="AF177" i="35"/>
  <c r="AE177" i="35"/>
  <c r="AD177" i="35"/>
  <c r="AC177" i="35"/>
  <c r="AB177" i="35"/>
  <c r="AA177" i="35"/>
  <c r="AA176" i="35" s="1"/>
  <c r="Z177" i="35"/>
  <c r="Y177" i="35"/>
  <c r="X177" i="35"/>
  <c r="W177" i="35"/>
  <c r="V177" i="35"/>
  <c r="U177" i="35"/>
  <c r="T177" i="35"/>
  <c r="S177" i="35"/>
  <c r="S176" i="35" s="1"/>
  <c r="R177" i="35"/>
  <c r="Q177" i="35"/>
  <c r="P177" i="35"/>
  <c r="O177" i="35"/>
  <c r="O176" i="35" s="1"/>
  <c r="N177" i="35"/>
  <c r="M177" i="35"/>
  <c r="L177" i="35"/>
  <c r="K177" i="35"/>
  <c r="BC176" i="35"/>
  <c r="BC205" i="35" s="1"/>
  <c r="AM176" i="35"/>
  <c r="AM205" i="35" s="1"/>
  <c r="W176" i="35"/>
  <c r="CL174" i="35"/>
  <c r="CK174" i="35"/>
  <c r="CJ174" i="35"/>
  <c r="CI174" i="35"/>
  <c r="CG174" i="35"/>
  <c r="CF174" i="35"/>
  <c r="CE174" i="35"/>
  <c r="CD174" i="35"/>
  <c r="CB174" i="35"/>
  <c r="CA174" i="35"/>
  <c r="BZ174" i="35"/>
  <c r="BY174" i="35"/>
  <c r="BW174" i="35"/>
  <c r="BV174" i="35"/>
  <c r="BU174" i="35"/>
  <c r="BT174" i="35"/>
  <c r="BR174" i="35"/>
  <c r="BQ174" i="35"/>
  <c r="BP174" i="35"/>
  <c r="BO174" i="35"/>
  <c r="BN174" i="35"/>
  <c r="BM174" i="35"/>
  <c r="BL174" i="35"/>
  <c r="BK174" i="35"/>
  <c r="BJ174" i="35"/>
  <c r="BI174" i="35"/>
  <c r="BH174" i="35"/>
  <c r="BG174" i="35"/>
  <c r="BF174" i="35"/>
  <c r="BE174" i="35"/>
  <c r="BD174" i="35"/>
  <c r="BC174" i="35"/>
  <c r="BC173" i="35" s="1"/>
  <c r="BB174" i="35"/>
  <c r="BA174" i="35"/>
  <c r="AZ174" i="35"/>
  <c r="AY174" i="35"/>
  <c r="AY173" i="35" s="1"/>
  <c r="AX174" i="35"/>
  <c r="AW174" i="35"/>
  <c r="AV174" i="35"/>
  <c r="AU174" i="35"/>
  <c r="AU173" i="35" s="1"/>
  <c r="AT174" i="35"/>
  <c r="AS174" i="35"/>
  <c r="AR174" i="35"/>
  <c r="AQ174" i="35"/>
  <c r="AP174" i="35"/>
  <c r="AO174" i="35"/>
  <c r="AN174" i="35"/>
  <c r="AM174" i="35"/>
  <c r="AM173" i="35" s="1"/>
  <c r="AL174" i="35"/>
  <c r="AK174" i="35"/>
  <c r="AJ174" i="35"/>
  <c r="AI174" i="35"/>
  <c r="AI173" i="35" s="1"/>
  <c r="AH174" i="35"/>
  <c r="AG174" i="35"/>
  <c r="AF174" i="35"/>
  <c r="AE174" i="35"/>
  <c r="AE173" i="35" s="1"/>
  <c r="AD174" i="35"/>
  <c r="AC174" i="35"/>
  <c r="AB174" i="35"/>
  <c r="AA174" i="35"/>
  <c r="Z174" i="35"/>
  <c r="Y174" i="35"/>
  <c r="X174" i="35"/>
  <c r="W174" i="35"/>
  <c r="W173" i="35" s="1"/>
  <c r="V174" i="35"/>
  <c r="U174" i="35"/>
  <c r="T174" i="35"/>
  <c r="S174" i="35"/>
  <c r="S173" i="35" s="1"/>
  <c r="R174" i="35"/>
  <c r="Q174" i="35"/>
  <c r="P174" i="35"/>
  <c r="O174" i="35"/>
  <c r="O173" i="35" s="1"/>
  <c r="N174" i="35"/>
  <c r="M174" i="35"/>
  <c r="L174" i="35"/>
  <c r="K174" i="35"/>
  <c r="BG173" i="35"/>
  <c r="BG202" i="35" s="1"/>
  <c r="AQ173" i="35"/>
  <c r="AQ202" i="35" s="1"/>
  <c r="AA173" i="35"/>
  <c r="AA202" i="35" s="1"/>
  <c r="K173" i="35"/>
  <c r="K202" i="35" s="1"/>
  <c r="J174" i="35"/>
  <c r="I174" i="35"/>
  <c r="H174" i="35"/>
  <c r="G174" i="35"/>
  <c r="G173" i="35" s="1"/>
  <c r="G202" i="35" s="1"/>
  <c r="CM171" i="35"/>
  <c r="CL171" i="35"/>
  <c r="CK171" i="35"/>
  <c r="CK165" i="35" s="1"/>
  <c r="CJ171" i="35"/>
  <c r="CI171" i="35"/>
  <c r="CH171" i="35"/>
  <c r="CG171" i="35"/>
  <c r="CG165" i="35" s="1"/>
  <c r="CF171" i="35"/>
  <c r="CE171" i="35"/>
  <c r="CD171" i="35"/>
  <c r="CC171" i="35"/>
  <c r="CB171" i="35"/>
  <c r="CA171" i="35"/>
  <c r="BZ171" i="35"/>
  <c r="BY171" i="35"/>
  <c r="BY165" i="35" s="1"/>
  <c r="BX171" i="35"/>
  <c r="BW171" i="35"/>
  <c r="BV171" i="35"/>
  <c r="BU171" i="35"/>
  <c r="BU165" i="35" s="1"/>
  <c r="BT171" i="35"/>
  <c r="BS171" i="35"/>
  <c r="BR171" i="35"/>
  <c r="BQ171" i="35"/>
  <c r="BQ165" i="35" s="1"/>
  <c r="BP171" i="35"/>
  <c r="BO171" i="35"/>
  <c r="BN171" i="35"/>
  <c r="BM171" i="35"/>
  <c r="BM165" i="35" s="1"/>
  <c r="BL171" i="35"/>
  <c r="BK171" i="35"/>
  <c r="BJ171" i="35"/>
  <c r="BI171" i="35"/>
  <c r="BI165" i="35" s="1"/>
  <c r="BH171" i="35"/>
  <c r="BG171" i="35"/>
  <c r="BF171" i="35"/>
  <c r="BE171" i="35"/>
  <c r="BD171" i="35"/>
  <c r="BC171" i="35"/>
  <c r="BB171" i="35"/>
  <c r="BA171" i="35"/>
  <c r="AZ171" i="35"/>
  <c r="AY171" i="35"/>
  <c r="AX171" i="35"/>
  <c r="AW171" i="35"/>
  <c r="AV171" i="35"/>
  <c r="AU171" i="35"/>
  <c r="AT171" i="35"/>
  <c r="AS171" i="35"/>
  <c r="AR171" i="35"/>
  <c r="AQ171" i="35"/>
  <c r="AP171" i="35"/>
  <c r="AO171" i="35"/>
  <c r="AN171" i="35"/>
  <c r="AM171" i="35"/>
  <c r="AL171" i="35"/>
  <c r="AK171" i="35"/>
  <c r="AJ171" i="35"/>
  <c r="AI171" i="35"/>
  <c r="AH171" i="35"/>
  <c r="AG171" i="35"/>
  <c r="AF171" i="35"/>
  <c r="AE171" i="35"/>
  <c r="AD171" i="35"/>
  <c r="AC171" i="35"/>
  <c r="AB171" i="35"/>
  <c r="AA171" i="35"/>
  <c r="Z171" i="35"/>
  <c r="Y171" i="35"/>
  <c r="X171" i="35"/>
  <c r="W171" i="35"/>
  <c r="V171" i="35"/>
  <c r="U171" i="35"/>
  <c r="T171" i="35"/>
  <c r="S171" i="35"/>
  <c r="R171" i="35"/>
  <c r="Q171" i="35"/>
  <c r="P171" i="35"/>
  <c r="O171" i="35"/>
  <c r="N171" i="35"/>
  <c r="M171" i="35"/>
  <c r="L171" i="35"/>
  <c r="K171" i="35"/>
  <c r="J171" i="35"/>
  <c r="I171" i="35"/>
  <c r="H171" i="35"/>
  <c r="G171" i="35"/>
  <c r="F171" i="35"/>
  <c r="E171" i="35"/>
  <c r="CL170" i="35"/>
  <c r="CI170" i="35"/>
  <c r="CD170" i="35"/>
  <c r="BO170" i="35"/>
  <c r="BK170" i="35"/>
  <c r="BG170" i="35"/>
  <c r="BC170" i="35"/>
  <c r="AY170" i="35"/>
  <c r="AU170" i="35"/>
  <c r="AQ170" i="35"/>
  <c r="AM170" i="35"/>
  <c r="AI170" i="35"/>
  <c r="AE170" i="35"/>
  <c r="AA170" i="35"/>
  <c r="W170" i="35"/>
  <c r="S170" i="35"/>
  <c r="O170" i="35"/>
  <c r="K170" i="35"/>
  <c r="CJ169" i="35"/>
  <c r="BP169" i="35"/>
  <c r="BL169" i="35"/>
  <c r="BD169" i="35"/>
  <c r="AZ169" i="35"/>
  <c r="AN169" i="35"/>
  <c r="AJ169" i="35"/>
  <c r="X169" i="35"/>
  <c r="T169" i="35"/>
  <c r="CL168" i="35"/>
  <c r="CL169" i="35" s="1"/>
  <c r="CK168" i="35"/>
  <c r="CJ168" i="35"/>
  <c r="CI168" i="35"/>
  <c r="CI169" i="35" s="1"/>
  <c r="CG168" i="35"/>
  <c r="CG169" i="35" s="1"/>
  <c r="CF168" i="35"/>
  <c r="CE168" i="35"/>
  <c r="CE169" i="35" s="1"/>
  <c r="CD168" i="35"/>
  <c r="CD169" i="35" s="1"/>
  <c r="CB168" i="35"/>
  <c r="CB169" i="35" s="1"/>
  <c r="CA168" i="35"/>
  <c r="CA169" i="35" s="1"/>
  <c r="BZ168" i="35"/>
  <c r="BZ169" i="35" s="1"/>
  <c r="BY168" i="35"/>
  <c r="BY169" i="35" s="1"/>
  <c r="BW168" i="35"/>
  <c r="BW170" i="35" s="1"/>
  <c r="BV168" i="35"/>
  <c r="BV170" i="35" s="1"/>
  <c r="BU168" i="35"/>
  <c r="BT168" i="35"/>
  <c r="BT165" i="35" s="1"/>
  <c r="BR168" i="35"/>
  <c r="BR169" i="35" s="1"/>
  <c r="BQ168" i="35"/>
  <c r="BP168" i="35"/>
  <c r="BO168" i="35"/>
  <c r="BO169" i="35" s="1"/>
  <c r="BN168" i="35"/>
  <c r="BN169" i="35" s="1"/>
  <c r="BM168" i="35"/>
  <c r="BL168" i="35"/>
  <c r="BK168" i="35"/>
  <c r="BK169" i="35" s="1"/>
  <c r="BJ168" i="35"/>
  <c r="BJ169" i="35" s="1"/>
  <c r="BI168" i="35"/>
  <c r="BH168" i="35"/>
  <c r="BH170" i="35" s="1"/>
  <c r="BG168" i="35"/>
  <c r="BG169" i="35" s="1"/>
  <c r="BD168" i="35"/>
  <c r="BD170" i="35" s="1"/>
  <c r="BC168" i="35"/>
  <c r="BC169" i="35" s="1"/>
  <c r="AZ168" i="35"/>
  <c r="AZ170" i="35" s="1"/>
  <c r="AY168" i="35"/>
  <c r="AY169" i="35" s="1"/>
  <c r="AV168" i="35"/>
  <c r="AV170" i="35" s="1"/>
  <c r="AU168" i="35"/>
  <c r="AU169" i="35" s="1"/>
  <c r="AR168" i="35"/>
  <c r="AR170" i="35" s="1"/>
  <c r="AQ168" i="35"/>
  <c r="AQ169" i="35" s="1"/>
  <c r="AN168" i="35"/>
  <c r="AN170" i="35" s="1"/>
  <c r="AM168" i="35"/>
  <c r="AM169" i="35" s="1"/>
  <c r="AJ168" i="35"/>
  <c r="AJ170" i="35" s="1"/>
  <c r="AI168" i="35"/>
  <c r="AI208" i="35" s="1"/>
  <c r="AF168" i="35"/>
  <c r="AF169" i="35" s="1"/>
  <c r="AE168" i="35"/>
  <c r="AE208" i="35" s="1"/>
  <c r="AB168" i="35"/>
  <c r="AA168" i="35"/>
  <c r="AA208" i="35" s="1"/>
  <c r="X168" i="35"/>
  <c r="W168" i="35"/>
  <c r="W208" i="35" s="1"/>
  <c r="T168" i="35"/>
  <c r="S168" i="35"/>
  <c r="S208" i="35" s="1"/>
  <c r="P168" i="35"/>
  <c r="P169" i="35" s="1"/>
  <c r="O168" i="35"/>
  <c r="O208" i="35" s="1"/>
  <c r="L168" i="35"/>
  <c r="K168" i="35"/>
  <c r="K208" i="35" s="1"/>
  <c r="H168" i="35"/>
  <c r="H208" i="35" s="1"/>
  <c r="G168" i="35"/>
  <c r="G208" i="35" s="1"/>
  <c r="BB166" i="35"/>
  <c r="AL166" i="35"/>
  <c r="V166" i="35"/>
  <c r="CL165" i="35"/>
  <c r="CD165" i="35"/>
  <c r="BZ165" i="35"/>
  <c r="BV165" i="35"/>
  <c r="BR165" i="35"/>
  <c r="BN165" i="35"/>
  <c r="BJ165" i="35"/>
  <c r="BH165" i="35"/>
  <c r="BH208" i="35" s="1"/>
  <c r="BG165" i="35"/>
  <c r="BG208" i="35" s="1"/>
  <c r="BF165" i="35"/>
  <c r="BE165" i="35"/>
  <c r="BE208" i="35" s="1"/>
  <c r="BD165" i="35"/>
  <c r="BD208" i="35" s="1"/>
  <c r="BC165" i="35"/>
  <c r="BC208" i="35" s="1"/>
  <c r="BB165" i="35"/>
  <c r="BA165" i="35"/>
  <c r="BA208" i="35" s="1"/>
  <c r="AZ165" i="35"/>
  <c r="AZ208" i="35" s="1"/>
  <c r="AY165" i="35"/>
  <c r="AY208" i="35" s="1"/>
  <c r="AX165" i="35"/>
  <c r="AW165" i="35"/>
  <c r="AW208" i="35" s="1"/>
  <c r="AV165" i="35"/>
  <c r="AV208" i="35" s="1"/>
  <c r="AU165" i="35"/>
  <c r="AU208" i="35" s="1"/>
  <c r="AT165" i="35"/>
  <c r="AT166" i="35" s="1"/>
  <c r="AS165" i="35"/>
  <c r="AS208" i="35" s="1"/>
  <c r="AR165" i="35"/>
  <c r="AR208" i="35" s="1"/>
  <c r="AQ165" i="35"/>
  <c r="AQ208" i="35" s="1"/>
  <c r="AP165" i="35"/>
  <c r="AO165" i="35"/>
  <c r="AO208" i="35" s="1"/>
  <c r="AN165" i="35"/>
  <c r="AN208" i="35" s="1"/>
  <c r="AM165" i="35"/>
  <c r="AM208" i="35" s="1"/>
  <c r="AL165" i="35"/>
  <c r="AK165" i="35"/>
  <c r="AK208" i="35" s="1"/>
  <c r="AJ165" i="35"/>
  <c r="AJ208" i="35" s="1"/>
  <c r="AI165" i="35"/>
  <c r="AI166" i="35" s="1"/>
  <c r="AH165" i="35"/>
  <c r="AG165" i="35"/>
  <c r="AG166" i="35" s="1"/>
  <c r="AF165" i="35"/>
  <c r="AF166" i="35" s="1"/>
  <c r="AE165" i="35"/>
  <c r="AE166" i="35" s="1"/>
  <c r="AD165" i="35"/>
  <c r="AD166" i="35" s="1"/>
  <c r="AC165" i="35"/>
  <c r="AC166" i="35" s="1"/>
  <c r="AB165" i="35"/>
  <c r="AB166" i="35" s="1"/>
  <c r="AA165" i="35"/>
  <c r="AA166" i="35" s="1"/>
  <c r="Z165" i="35"/>
  <c r="Y165" i="35"/>
  <c r="Y166" i="35" s="1"/>
  <c r="X165" i="35"/>
  <c r="X166" i="35" s="1"/>
  <c r="W165" i="35"/>
  <c r="W166" i="35" s="1"/>
  <c r="V165" i="35"/>
  <c r="U165" i="35"/>
  <c r="U166" i="35" s="1"/>
  <c r="T165" i="35"/>
  <c r="T166" i="35" s="1"/>
  <c r="S165" i="35"/>
  <c r="S166" i="35" s="1"/>
  <c r="R165" i="35"/>
  <c r="Q165" i="35"/>
  <c r="Q166" i="35" s="1"/>
  <c r="P165" i="35"/>
  <c r="P166" i="35" s="1"/>
  <c r="O165" i="35"/>
  <c r="O166" i="35" s="1"/>
  <c r="N165" i="35"/>
  <c r="N166" i="35" s="1"/>
  <c r="M165" i="35"/>
  <c r="M166" i="35" s="1"/>
  <c r="L165" i="35"/>
  <c r="L166" i="35" s="1"/>
  <c r="K165" i="35"/>
  <c r="K166" i="35" s="1"/>
  <c r="J165" i="35"/>
  <c r="I165" i="35"/>
  <c r="I173" i="35" s="1"/>
  <c r="I202" i="35" s="1"/>
  <c r="H165" i="35"/>
  <c r="H176" i="35" s="1"/>
  <c r="G165" i="35"/>
  <c r="G176" i="35" s="1"/>
  <c r="F165" i="35"/>
  <c r="E165" i="35"/>
  <c r="E176" i="35" s="1"/>
  <c r="CM160" i="35"/>
  <c r="CL160" i="35"/>
  <c r="CK160" i="35"/>
  <c r="CJ160" i="35"/>
  <c r="CI160" i="35"/>
  <c r="CH160" i="35"/>
  <c r="CG160" i="35"/>
  <c r="CF160" i="35"/>
  <c r="CE160" i="35"/>
  <c r="CD160" i="35"/>
  <c r="CC160" i="35"/>
  <c r="CB160" i="35"/>
  <c r="CA160" i="35"/>
  <c r="BZ160" i="35"/>
  <c r="BY160" i="35"/>
  <c r="BX160" i="35"/>
  <c r="BW160" i="35"/>
  <c r="BV160" i="35"/>
  <c r="BU160" i="35"/>
  <c r="BT160" i="35"/>
  <c r="BS160" i="35"/>
  <c r="BR160" i="35"/>
  <c r="BQ160" i="35"/>
  <c r="BP160" i="35"/>
  <c r="BO160" i="35"/>
  <c r="BN160" i="35"/>
  <c r="BM160" i="35"/>
  <c r="BR170" i="35" s="1"/>
  <c r="BL160" i="35"/>
  <c r="BK160" i="35"/>
  <c r="BJ160" i="35"/>
  <c r="BI160" i="35"/>
  <c r="BN170" i="35" s="1"/>
  <c r="BH160" i="35"/>
  <c r="BG160" i="35"/>
  <c r="BF160" i="35"/>
  <c r="BE160" i="35"/>
  <c r="BJ170" i="35" s="1"/>
  <c r="BD160" i="35"/>
  <c r="BC160" i="35"/>
  <c r="BB160" i="35"/>
  <c r="BA160" i="35"/>
  <c r="AZ160" i="35"/>
  <c r="AY160" i="35"/>
  <c r="AX160" i="35"/>
  <c r="AW160" i="35"/>
  <c r="AV160" i="35"/>
  <c r="AU160" i="35"/>
  <c r="AT160" i="35"/>
  <c r="AS160" i="35"/>
  <c r="AR160" i="35"/>
  <c r="AQ160" i="35"/>
  <c r="AP160" i="35"/>
  <c r="AO160" i="35"/>
  <c r="AN160" i="35"/>
  <c r="AM160" i="35"/>
  <c r="AL160" i="35"/>
  <c r="AK160" i="35"/>
  <c r="AJ160" i="35"/>
  <c r="AI160" i="35"/>
  <c r="AH160" i="35"/>
  <c r="AG160" i="35"/>
  <c r="AF160" i="35"/>
  <c r="AE160" i="35"/>
  <c r="AD160" i="35"/>
  <c r="AC160" i="35"/>
  <c r="AB160" i="35"/>
  <c r="AA160" i="35"/>
  <c r="Z160" i="35"/>
  <c r="Y160" i="35"/>
  <c r="X160" i="35"/>
  <c r="W160" i="35"/>
  <c r="V160" i="35"/>
  <c r="U160" i="35"/>
  <c r="T160" i="35"/>
  <c r="S160" i="35"/>
  <c r="R160" i="35"/>
  <c r="Q160" i="35"/>
  <c r="P160" i="35"/>
  <c r="O160" i="35"/>
  <c r="N160" i="35"/>
  <c r="M160" i="35"/>
  <c r="L160" i="35"/>
  <c r="K160" i="35"/>
  <c r="J160" i="35"/>
  <c r="I160" i="35"/>
  <c r="H160" i="35"/>
  <c r="G160" i="35"/>
  <c r="F160" i="35"/>
  <c r="E160" i="35"/>
  <c r="D160" i="35"/>
  <c r="B160" i="35"/>
  <c r="CL155" i="35"/>
  <c r="CK155" i="35"/>
  <c r="CJ155" i="35"/>
  <c r="CI155" i="35"/>
  <c r="CG155" i="35"/>
  <c r="CF155" i="35"/>
  <c r="CE155" i="35"/>
  <c r="CD155" i="35"/>
  <c r="CB155" i="35"/>
  <c r="CA155" i="35"/>
  <c r="BZ155" i="35"/>
  <c r="BY155" i="35"/>
  <c r="BW155" i="35"/>
  <c r="BV155" i="35"/>
  <c r="BU155" i="35"/>
  <c r="BT155" i="35"/>
  <c r="BR155" i="35"/>
  <c r="BQ155" i="35"/>
  <c r="BP155" i="35"/>
  <c r="BO155" i="35"/>
  <c r="BM155" i="35"/>
  <c r="BL155" i="35"/>
  <c r="BK155" i="35"/>
  <c r="BJ155" i="35"/>
  <c r="BH155" i="35"/>
  <c r="BG155" i="35"/>
  <c r="BF155" i="35"/>
  <c r="BE155" i="35"/>
  <c r="BC155" i="35"/>
  <c r="BB155" i="35"/>
  <c r="BA155" i="35"/>
  <c r="AZ155" i="35"/>
  <c r="AX155" i="35"/>
  <c r="AW155" i="35"/>
  <c r="AV155" i="35"/>
  <c r="AU155" i="35"/>
  <c r="AS155" i="35"/>
  <c r="AR155" i="35"/>
  <c r="AQ155" i="35"/>
  <c r="AP155" i="35"/>
  <c r="AN155" i="35"/>
  <c r="AM155" i="35"/>
  <c r="AL155" i="35"/>
  <c r="AK155" i="35"/>
  <c r="AI155" i="35"/>
  <c r="AH155" i="35"/>
  <c r="AG155" i="35"/>
  <c r="AF155" i="35"/>
  <c r="AD155" i="35"/>
  <c r="AC155" i="35"/>
  <c r="AB155" i="35"/>
  <c r="AA155" i="35"/>
  <c r="Y155" i="35"/>
  <c r="X155" i="35"/>
  <c r="W155" i="35"/>
  <c r="V155" i="35"/>
  <c r="T155" i="35"/>
  <c r="S155" i="35"/>
  <c r="R155" i="35"/>
  <c r="Q155" i="35"/>
  <c r="O155" i="35"/>
  <c r="N155" i="35"/>
  <c r="M155" i="35"/>
  <c r="L155" i="35"/>
  <c r="J155" i="35"/>
  <c r="I155" i="35"/>
  <c r="H155" i="35"/>
  <c r="G155" i="35"/>
  <c r="BS152" i="35"/>
  <c r="BR151" i="35"/>
  <c r="BQ151" i="35"/>
  <c r="BP151" i="35"/>
  <c r="BO151" i="35"/>
  <c r="BM151" i="35"/>
  <c r="BL151" i="35"/>
  <c r="BK151" i="35"/>
  <c r="BJ151" i="35"/>
  <c r="BH151" i="35"/>
  <c r="BG151" i="35"/>
  <c r="BF151" i="35"/>
  <c r="BE151" i="35"/>
  <c r="BC151" i="35"/>
  <c r="BB151" i="35"/>
  <c r="BA151" i="35"/>
  <c r="AZ151" i="35"/>
  <c r="AX151" i="35"/>
  <c r="AW151" i="35"/>
  <c r="AV151" i="35"/>
  <c r="AU151" i="35"/>
  <c r="AS151" i="35"/>
  <c r="AR151" i="35"/>
  <c r="AQ151" i="35"/>
  <c r="AP151" i="35"/>
  <c r="AN151" i="35"/>
  <c r="AM151" i="35"/>
  <c r="AL151" i="35"/>
  <c r="AK151" i="35"/>
  <c r="AI151" i="35"/>
  <c r="AH151" i="35"/>
  <c r="AG151" i="35"/>
  <c r="AF151" i="35"/>
  <c r="AD151" i="35"/>
  <c r="AC151" i="35"/>
  <c r="AB151" i="35"/>
  <c r="AA151" i="35"/>
  <c r="Y151" i="35"/>
  <c r="X151" i="35"/>
  <c r="W151" i="35"/>
  <c r="V151" i="35"/>
  <c r="T151" i="35"/>
  <c r="S151" i="35"/>
  <c r="R151" i="35"/>
  <c r="Q151" i="35"/>
  <c r="O151" i="35"/>
  <c r="N151" i="35"/>
  <c r="M151" i="35"/>
  <c r="L151" i="35"/>
  <c r="J151" i="35"/>
  <c r="I151" i="35"/>
  <c r="H151" i="35"/>
  <c r="G151" i="35"/>
  <c r="CL151" i="35"/>
  <c r="CK151" i="35"/>
  <c r="CJ151" i="35"/>
  <c r="CI151" i="35"/>
  <c r="CG151" i="35"/>
  <c r="CF151" i="35"/>
  <c r="CE151" i="35"/>
  <c r="CD151" i="35"/>
  <c r="CB151" i="35"/>
  <c r="CA151" i="35"/>
  <c r="BZ151" i="35"/>
  <c r="BY151" i="35"/>
  <c r="BW151" i="35"/>
  <c r="BV151" i="35"/>
  <c r="BU151" i="35"/>
  <c r="BT151" i="35"/>
  <c r="M133" i="35"/>
  <c r="BS126" i="35"/>
  <c r="BR126" i="35"/>
  <c r="BQ126" i="35"/>
  <c r="BP126" i="35"/>
  <c r="BO126" i="35"/>
  <c r="CG125" i="35"/>
  <c r="CF125" i="35"/>
  <c r="CE125" i="35"/>
  <c r="CD125" i="35"/>
  <c r="CB125" i="35"/>
  <c r="CA125" i="35"/>
  <c r="BZ125" i="35"/>
  <c r="BY125" i="35"/>
  <c r="BW125" i="35"/>
  <c r="BV125" i="35"/>
  <c r="BU125" i="35"/>
  <c r="BT125" i="35"/>
  <c r="BR125" i="35"/>
  <c r="BQ125" i="35"/>
  <c r="BP125" i="35"/>
  <c r="BO125" i="35"/>
  <c r="BM125" i="35"/>
  <c r="BL125" i="35"/>
  <c r="BK125" i="35"/>
  <c r="BJ125" i="35"/>
  <c r="BH125" i="35"/>
  <c r="BG125" i="35"/>
  <c r="BF125" i="35"/>
  <c r="BE125" i="35"/>
  <c r="BC125" i="35"/>
  <c r="BB125" i="35"/>
  <c r="BA125" i="35"/>
  <c r="AZ125" i="35"/>
  <c r="AX125" i="35"/>
  <c r="AW125" i="35"/>
  <c r="AV125" i="35"/>
  <c r="AU125" i="35"/>
  <c r="AS125" i="35"/>
  <c r="AR125" i="35"/>
  <c r="AQ125" i="35"/>
  <c r="AP125" i="35"/>
  <c r="AN125" i="35"/>
  <c r="AM125" i="35"/>
  <c r="AL125" i="35"/>
  <c r="AK125" i="35"/>
  <c r="AI125" i="35"/>
  <c r="AH125" i="35"/>
  <c r="AG125" i="35"/>
  <c r="AF125" i="35"/>
  <c r="AD125" i="35"/>
  <c r="AC125" i="35"/>
  <c r="AB125" i="35"/>
  <c r="AA125" i="35"/>
  <c r="Y125" i="35"/>
  <c r="X125" i="35"/>
  <c r="W125" i="35"/>
  <c r="V125" i="35"/>
  <c r="T125" i="35"/>
  <c r="S125" i="35"/>
  <c r="R125" i="35"/>
  <c r="Q125" i="35"/>
  <c r="O125" i="35"/>
  <c r="N125" i="35"/>
  <c r="M125" i="35"/>
  <c r="L125" i="35"/>
  <c r="J125" i="35"/>
  <c r="I125" i="35"/>
  <c r="H125" i="35"/>
  <c r="G125" i="35"/>
  <c r="F122" i="35"/>
  <c r="F121" i="35"/>
  <c r="BM122" i="35"/>
  <c r="AW122" i="35"/>
  <c r="AG122" i="35"/>
  <c r="Q122" i="35"/>
  <c r="DB121" i="35"/>
  <c r="DA121" i="35"/>
  <c r="CZ121" i="35"/>
  <c r="CY121" i="35"/>
  <c r="CX121" i="35"/>
  <c r="CW121" i="35"/>
  <c r="CV121" i="35"/>
  <c r="CU121" i="35"/>
  <c r="CT121" i="35"/>
  <c r="CS121" i="35"/>
  <c r="CR121" i="35"/>
  <c r="CQ121" i="35"/>
  <c r="CP121" i="35"/>
  <c r="CO121" i="35"/>
  <c r="CN121" i="35"/>
  <c r="CM121" i="35"/>
  <c r="CL121" i="35"/>
  <c r="CK121" i="35"/>
  <c r="CJ121" i="35"/>
  <c r="CI121" i="35"/>
  <c r="CH121" i="35"/>
  <c r="CG121" i="35"/>
  <c r="CF121" i="35"/>
  <c r="CE121" i="35"/>
  <c r="CD121" i="35"/>
  <c r="CC121" i="35"/>
  <c r="CB121" i="35"/>
  <c r="CA121" i="35"/>
  <c r="BZ121" i="35"/>
  <c r="BY121" i="35"/>
  <c r="BX121" i="35"/>
  <c r="BW121" i="35"/>
  <c r="BV121" i="35"/>
  <c r="BU121" i="35"/>
  <c r="BT121" i="35"/>
  <c r="BS121" i="35"/>
  <c r="BR121" i="35"/>
  <c r="BQ121" i="35"/>
  <c r="BP121" i="35"/>
  <c r="BO121" i="35"/>
  <c r="BN121" i="35"/>
  <c r="BM121" i="35"/>
  <c r="BL121" i="35"/>
  <c r="BK121" i="35"/>
  <c r="BJ121" i="35"/>
  <c r="BI121" i="35"/>
  <c r="BH121" i="35"/>
  <c r="BG121" i="35"/>
  <c r="BF121" i="35"/>
  <c r="BE121" i="35"/>
  <c r="BD121" i="35"/>
  <c r="BC121" i="35"/>
  <c r="BB121" i="35"/>
  <c r="BA121" i="35"/>
  <c r="AZ121" i="35"/>
  <c r="AY121" i="35"/>
  <c r="AX121" i="35"/>
  <c r="AX213" i="35" s="1"/>
  <c r="AW121" i="35"/>
  <c r="AV121" i="35"/>
  <c r="AU121" i="35"/>
  <c r="AT121" i="35"/>
  <c r="AS121" i="35"/>
  <c r="AR121" i="35"/>
  <c r="AQ121" i="35"/>
  <c r="AP121" i="35"/>
  <c r="AO121" i="35"/>
  <c r="AN121" i="35"/>
  <c r="AM121" i="35"/>
  <c r="AL121" i="35"/>
  <c r="AK121" i="35"/>
  <c r="AJ121" i="35"/>
  <c r="AI121" i="35"/>
  <c r="AH121" i="35"/>
  <c r="AG121" i="35"/>
  <c r="AF121" i="35"/>
  <c r="AE121" i="35"/>
  <c r="AD121" i="35"/>
  <c r="AC121" i="35"/>
  <c r="AB121" i="35"/>
  <c r="AA121" i="35"/>
  <c r="Z121" i="35"/>
  <c r="Y121" i="35"/>
  <c r="X121" i="35"/>
  <c r="W121" i="35"/>
  <c r="V121" i="35"/>
  <c r="U121" i="35"/>
  <c r="T121" i="35"/>
  <c r="S121" i="35"/>
  <c r="R121" i="35"/>
  <c r="Q121" i="35"/>
  <c r="P121" i="35"/>
  <c r="O121" i="35"/>
  <c r="N121" i="35"/>
  <c r="M121" i="35"/>
  <c r="L121" i="35"/>
  <c r="K121" i="35"/>
  <c r="J121" i="35"/>
  <c r="I121" i="35"/>
  <c r="H121" i="35"/>
  <c r="G121" i="35"/>
  <c r="E122" i="35"/>
  <c r="F123" i="35" s="1"/>
  <c r="D122" i="35"/>
  <c r="E121" i="35"/>
  <c r="D121" i="35"/>
  <c r="CD119" i="35"/>
  <c r="AM119" i="35"/>
  <c r="R119" i="35"/>
  <c r="F119" i="35"/>
  <c r="E119" i="35"/>
  <c r="D119" i="35"/>
  <c r="AR116" i="35"/>
  <c r="F114" i="35"/>
  <c r="E114" i="35"/>
  <c r="CG114" i="35"/>
  <c r="CB114" i="35"/>
  <c r="BQ114" i="35"/>
  <c r="BL114" i="35"/>
  <c r="BA114" i="35"/>
  <c r="AV114" i="35"/>
  <c r="AK114" i="35"/>
  <c r="AF114" i="35"/>
  <c r="AA114" i="35"/>
  <c r="CL113" i="35"/>
  <c r="CK113" i="35"/>
  <c r="CK122" i="35" s="1"/>
  <c r="CJ113" i="35"/>
  <c r="CI113" i="35"/>
  <c r="CG113" i="35"/>
  <c r="CG122" i="35" s="1"/>
  <c r="CF113" i="35"/>
  <c r="CE113" i="35"/>
  <c r="CD113" i="35"/>
  <c r="CB113" i="35"/>
  <c r="CA113" i="35"/>
  <c r="CA122" i="35" s="1"/>
  <c r="BZ113" i="35"/>
  <c r="BY113" i="35"/>
  <c r="BW113" i="35"/>
  <c r="BW122" i="35" s="1"/>
  <c r="BV113" i="35"/>
  <c r="BU113" i="35"/>
  <c r="BU122" i="35" s="1"/>
  <c r="BT113" i="35"/>
  <c r="BR113" i="35"/>
  <c r="BQ113" i="35"/>
  <c r="BP113" i="35"/>
  <c r="BO113" i="35"/>
  <c r="BO122" i="35" s="1"/>
  <c r="BM113" i="35"/>
  <c r="BL113" i="35"/>
  <c r="BK113" i="35"/>
  <c r="BK122" i="35" s="1"/>
  <c r="BJ113" i="35"/>
  <c r="BN113" i="35" s="1"/>
  <c r="BH113" i="35"/>
  <c r="BM114" i="35" s="1"/>
  <c r="BG113" i="35"/>
  <c r="BG122" i="35" s="1"/>
  <c r="BF113" i="35"/>
  <c r="BE113" i="35"/>
  <c r="BE122" i="35" s="1"/>
  <c r="BC113" i="35"/>
  <c r="BC122" i="35" s="1"/>
  <c r="BB113" i="35"/>
  <c r="BA113" i="35"/>
  <c r="AZ113" i="35"/>
  <c r="AX113" i="35"/>
  <c r="AX119" i="35" s="1"/>
  <c r="AW113" i="35"/>
  <c r="AV113" i="35"/>
  <c r="AU113" i="35"/>
  <c r="AU122" i="35" s="1"/>
  <c r="AS113" i="35"/>
  <c r="AR113" i="35"/>
  <c r="AW114" i="35" s="1"/>
  <c r="AQ113" i="35"/>
  <c r="AQ122" i="35" s="1"/>
  <c r="AP113" i="35"/>
  <c r="AN113" i="35"/>
  <c r="AM113" i="35"/>
  <c r="AM122" i="35" s="1"/>
  <c r="AL113" i="35"/>
  <c r="AK113" i="35"/>
  <c r="AI113" i="35"/>
  <c r="AI122" i="35" s="1"/>
  <c r="AH113" i="35"/>
  <c r="AG113" i="35"/>
  <c r="AF113" i="35"/>
  <c r="AD113" i="35"/>
  <c r="AC113" i="35"/>
  <c r="AB113" i="35"/>
  <c r="AG114" i="35" s="1"/>
  <c r="AA113" i="35"/>
  <c r="AA122" i="35" s="1"/>
  <c r="Y113" i="35"/>
  <c r="Y122" i="35" s="1"/>
  <c r="X113" i="35"/>
  <c r="X116" i="35" s="1"/>
  <c r="W113" i="35"/>
  <c r="W122" i="35" s="1"/>
  <c r="V113" i="35"/>
  <c r="T113" i="35"/>
  <c r="S113" i="35"/>
  <c r="S122" i="35" s="1"/>
  <c r="R113" i="35"/>
  <c r="Q113" i="35"/>
  <c r="O113" i="35"/>
  <c r="O122" i="35" s="1"/>
  <c r="N113" i="35"/>
  <c r="M113" i="35"/>
  <c r="L113" i="35"/>
  <c r="Q114" i="35" s="1"/>
  <c r="J113" i="35"/>
  <c r="I113" i="35"/>
  <c r="I122" i="35" s="1"/>
  <c r="H113" i="35"/>
  <c r="G113" i="35"/>
  <c r="G122" i="35" s="1"/>
  <c r="CG104" i="35"/>
  <c r="BT104" i="35"/>
  <c r="BP104" i="35"/>
  <c r="BO104" i="35"/>
  <c r="BL104" i="35"/>
  <c r="BK104" i="35"/>
  <c r="BH104" i="35"/>
  <c r="BG104" i="35"/>
  <c r="BC104" i="35"/>
  <c r="AZ104" i="35"/>
  <c r="AV104" i="35"/>
  <c r="AU104" i="35"/>
  <c r="AR104" i="35"/>
  <c r="AQ104" i="35"/>
  <c r="AN104" i="35"/>
  <c r="AM104" i="35"/>
  <c r="AI104" i="35"/>
  <c r="AF104" i="35"/>
  <c r="AB104" i="35"/>
  <c r="AA104" i="35"/>
  <c r="X104" i="35"/>
  <c r="W104" i="35"/>
  <c r="T104" i="35"/>
  <c r="S104" i="35"/>
  <c r="O104" i="35"/>
  <c r="L104" i="35"/>
  <c r="F103" i="35"/>
  <c r="E103" i="35"/>
  <c r="BY103" i="35"/>
  <c r="AS103" i="35"/>
  <c r="AC103" i="35"/>
  <c r="M103" i="35"/>
  <c r="CL102" i="35"/>
  <c r="CL99" i="35" s="1"/>
  <c r="CK102" i="35"/>
  <c r="CK104" i="35" s="1"/>
  <c r="CJ102" i="35"/>
  <c r="CJ104" i="35" s="1"/>
  <c r="CI102" i="35"/>
  <c r="CG102" i="35"/>
  <c r="CG103" i="35" s="1"/>
  <c r="CF102" i="35"/>
  <c r="CF104" i="35" s="1"/>
  <c r="CE102" i="35"/>
  <c r="CD102" i="35"/>
  <c r="CD99" i="35" s="1"/>
  <c r="CB102" i="35"/>
  <c r="CB104" i="35" s="1"/>
  <c r="CA102" i="35"/>
  <c r="BZ102" i="35"/>
  <c r="BZ99" i="35" s="1"/>
  <c r="BY102" i="35"/>
  <c r="BY104" i="35" s="1"/>
  <c r="BW102" i="35"/>
  <c r="BV102" i="35"/>
  <c r="BV99" i="35" s="1"/>
  <c r="BU102" i="35"/>
  <c r="BT102" i="35"/>
  <c r="BT103" i="35" s="1"/>
  <c r="BR102" i="35"/>
  <c r="BW190" i="35" s="1"/>
  <c r="BQ102" i="35"/>
  <c r="BP102" i="35"/>
  <c r="BP103" i="35" s="1"/>
  <c r="BO102" i="35"/>
  <c r="BT190" i="35" s="1"/>
  <c r="BM102" i="35"/>
  <c r="BM103" i="35" s="1"/>
  <c r="BL102" i="35"/>
  <c r="BL103" i="35" s="1"/>
  <c r="BK102" i="35"/>
  <c r="BJ102" i="35"/>
  <c r="BO190" i="35" s="1"/>
  <c r="BH102" i="35"/>
  <c r="BH103" i="35" s="1"/>
  <c r="BG102" i="35"/>
  <c r="BF102" i="35"/>
  <c r="BF104" i="35" s="1"/>
  <c r="BE102" i="35"/>
  <c r="BC102" i="35"/>
  <c r="BB102" i="35"/>
  <c r="BG190" i="35" s="1"/>
  <c r="BA102" i="35"/>
  <c r="BA103" i="35" s="1"/>
  <c r="AZ102" i="35"/>
  <c r="AZ103" i="35" s="1"/>
  <c r="AX102" i="35"/>
  <c r="AX104" i="35" s="1"/>
  <c r="AW102" i="35"/>
  <c r="AW103" i="35" s="1"/>
  <c r="AV102" i="35"/>
  <c r="AV103" i="35" s="1"/>
  <c r="AU102" i="35"/>
  <c r="AS102" i="35"/>
  <c r="AR102" i="35"/>
  <c r="AR103" i="35" s="1"/>
  <c r="AQ102" i="35"/>
  <c r="AP102" i="35"/>
  <c r="AP104" i="35" s="1"/>
  <c r="AN102" i="35"/>
  <c r="AN103" i="35" s="1"/>
  <c r="AM102" i="35"/>
  <c r="AL102" i="35"/>
  <c r="AL104" i="35" s="1"/>
  <c r="AK102" i="35"/>
  <c r="AI102" i="35"/>
  <c r="AN190" i="35" s="1"/>
  <c r="AH102" i="35"/>
  <c r="AH104" i="35" s="1"/>
  <c r="AG102" i="35"/>
  <c r="AG103" i="35" s="1"/>
  <c r="AF102" i="35"/>
  <c r="AF103" i="35" s="1"/>
  <c r="AD102" i="35"/>
  <c r="AI190" i="35" s="1"/>
  <c r="AC102" i="35"/>
  <c r="AB102" i="35"/>
  <c r="AB103" i="35" s="1"/>
  <c r="AA102" i="35"/>
  <c r="Y102" i="35"/>
  <c r="X102" i="35"/>
  <c r="X103" i="35" s="1"/>
  <c r="W102" i="35"/>
  <c r="V102" i="35"/>
  <c r="V104" i="35" s="1"/>
  <c r="T102" i="35"/>
  <c r="T103" i="35" s="1"/>
  <c r="S102" i="35"/>
  <c r="X190" i="35" s="1"/>
  <c r="R102" i="35"/>
  <c r="R104" i="35" s="1"/>
  <c r="Q102" i="35"/>
  <c r="O102" i="35"/>
  <c r="N102" i="35"/>
  <c r="S190" i="35" s="1"/>
  <c r="M102" i="35"/>
  <c r="L102" i="35"/>
  <c r="L103" i="35" s="1"/>
  <c r="J102" i="35"/>
  <c r="I102" i="35"/>
  <c r="H102" i="35"/>
  <c r="G102" i="35"/>
  <c r="G109" i="35" s="1"/>
  <c r="Y100" i="35"/>
  <c r="X100" i="35"/>
  <c r="W100" i="35"/>
  <c r="V100" i="35"/>
  <c r="T100" i="35"/>
  <c r="S100" i="35"/>
  <c r="R100" i="35"/>
  <c r="Q100" i="35"/>
  <c r="O100" i="35"/>
  <c r="N100" i="35"/>
  <c r="M100" i="35"/>
  <c r="L100" i="35"/>
  <c r="F100" i="35"/>
  <c r="E100" i="35"/>
  <c r="CE99" i="35"/>
  <c r="CE100" i="35" s="1"/>
  <c r="BW99" i="35"/>
  <c r="BO99" i="35"/>
  <c r="BL99" i="35"/>
  <c r="BH99" i="35"/>
  <c r="BG99" i="35"/>
  <c r="AZ99" i="35"/>
  <c r="AV99" i="35"/>
  <c r="AR99" i="35"/>
  <c r="AQ99" i="35"/>
  <c r="AN99" i="35"/>
  <c r="AF99" i="35"/>
  <c r="AB99" i="35"/>
  <c r="AB100" i="35" s="1"/>
  <c r="Z99" i="35"/>
  <c r="U99" i="35"/>
  <c r="Z100" i="35" s="1"/>
  <c r="P99" i="35"/>
  <c r="K99" i="35"/>
  <c r="K100" i="35" s="1"/>
  <c r="CG97" i="35"/>
  <c r="CB97" i="35"/>
  <c r="BW97" i="35"/>
  <c r="BQ97" i="35"/>
  <c r="BM97" i="35"/>
  <c r="BL97" i="35"/>
  <c r="BH97" i="35"/>
  <c r="BH116" i="35" s="1"/>
  <c r="BG97" i="35"/>
  <c r="BA97" i="35"/>
  <c r="AZ97" i="35"/>
  <c r="AV97" i="35"/>
  <c r="AR97" i="35"/>
  <c r="AQ97" i="35"/>
  <c r="AN97" i="35"/>
  <c r="AK97" i="35"/>
  <c r="AF97" i="35"/>
  <c r="AB97" i="35"/>
  <c r="AB116" i="35" s="1"/>
  <c r="X97" i="35"/>
  <c r="T97" i="35"/>
  <c r="L97" i="35"/>
  <c r="L116" i="35" s="1"/>
  <c r="H97" i="35"/>
  <c r="F97" i="35"/>
  <c r="F116" i="35" s="1"/>
  <c r="F117" i="35" s="1"/>
  <c r="E97" i="35"/>
  <c r="E116" i="35" s="1"/>
  <c r="D97" i="35"/>
  <c r="D116" i="35" s="1"/>
  <c r="BM94" i="35"/>
  <c r="BM93" i="35"/>
  <c r="CJ95" i="35"/>
  <c r="CE95" i="35"/>
  <c r="BY95" i="35"/>
  <c r="BT95" i="35"/>
  <c r="BO95" i="35"/>
  <c r="BL95" i="35"/>
  <c r="BH95" i="35"/>
  <c r="BC95" i="35"/>
  <c r="AZ95" i="35"/>
  <c r="AX95" i="35"/>
  <c r="AV95" i="35"/>
  <c r="AR95" i="35"/>
  <c r="AN95" i="35"/>
  <c r="AM95" i="35"/>
  <c r="AH95" i="35"/>
  <c r="AF95" i="35"/>
  <c r="AB95" i="35"/>
  <c r="X95" i="35"/>
  <c r="T95" i="35"/>
  <c r="R95" i="35"/>
  <c r="L95" i="35"/>
  <c r="CL94" i="35"/>
  <c r="CD94" i="35"/>
  <c r="BZ94" i="35"/>
  <c r="BV94" i="35"/>
  <c r="BR94" i="35"/>
  <c r="CL93" i="35"/>
  <c r="CK93" i="35"/>
  <c r="CK95" i="35" s="1"/>
  <c r="CJ93" i="35"/>
  <c r="CI93" i="35"/>
  <c r="CI95" i="35" s="1"/>
  <c r="CG93" i="35"/>
  <c r="CG95" i="35" s="1"/>
  <c r="CF93" i="35"/>
  <c r="CF99" i="35" s="1"/>
  <c r="CE93" i="35"/>
  <c r="CE97" i="35" s="1"/>
  <c r="CD93" i="35"/>
  <c r="CB93" i="35"/>
  <c r="CA93" i="35"/>
  <c r="CA97" i="35" s="1"/>
  <c r="BZ93" i="35"/>
  <c r="BY93" i="35"/>
  <c r="BY97" i="35" s="1"/>
  <c r="BW93" i="35"/>
  <c r="BV93" i="35"/>
  <c r="BU93" i="35"/>
  <c r="BU95" i="35" s="1"/>
  <c r="BT93" i="35"/>
  <c r="BT94" i="35" s="1"/>
  <c r="BR93" i="35"/>
  <c r="BQ93" i="35"/>
  <c r="BQ95" i="35" s="1"/>
  <c r="BP93" i="35"/>
  <c r="BP99" i="35" s="1"/>
  <c r="BO93" i="35"/>
  <c r="BO97" i="35" s="1"/>
  <c r="BL94" i="35"/>
  <c r="BH94" i="35"/>
  <c r="BG94" i="35"/>
  <c r="BB94" i="35"/>
  <c r="AV94" i="35"/>
  <c r="AR94" i="35"/>
  <c r="AQ94" i="35"/>
  <c r="AM94" i="35"/>
  <c r="AL94" i="35"/>
  <c r="V94" i="35"/>
  <c r="BL93" i="35"/>
  <c r="BK93" i="35"/>
  <c r="BK97" i="35" s="1"/>
  <c r="BJ93" i="35"/>
  <c r="BH93" i="35"/>
  <c r="BG93" i="35"/>
  <c r="BF93" i="35"/>
  <c r="BE93" i="35"/>
  <c r="BI93" i="35" s="1"/>
  <c r="BC93" i="35"/>
  <c r="BC119" i="35" s="1"/>
  <c r="BB93" i="35"/>
  <c r="BA93" i="35"/>
  <c r="AZ93" i="35"/>
  <c r="BD93" i="35" s="1"/>
  <c r="AX93" i="35"/>
  <c r="BC94" i="35" s="1"/>
  <c r="AW93" i="35"/>
  <c r="AV93" i="35"/>
  <c r="AU93" i="35"/>
  <c r="AU97" i="35" s="1"/>
  <c r="AS93" i="35"/>
  <c r="AR93" i="35"/>
  <c r="AQ93" i="35"/>
  <c r="AP93" i="35"/>
  <c r="AN93" i="35"/>
  <c r="AM93" i="35"/>
  <c r="AL93" i="35"/>
  <c r="AK93" i="35"/>
  <c r="AI93" i="35"/>
  <c r="AI97" i="35" s="1"/>
  <c r="AH93" i="35"/>
  <c r="AG93" i="35"/>
  <c r="AG97" i="35" s="1"/>
  <c r="AF93" i="35"/>
  <c r="AD93" i="35"/>
  <c r="AD95" i="35" s="1"/>
  <c r="AC93" i="35"/>
  <c r="AH94" i="35" s="1"/>
  <c r="AB93" i="35"/>
  <c r="AA93" i="35"/>
  <c r="Y93" i="35"/>
  <c r="X93" i="35"/>
  <c r="W93" i="35"/>
  <c r="V93" i="35"/>
  <c r="T93" i="35"/>
  <c r="S93" i="35"/>
  <c r="S97" i="35" s="1"/>
  <c r="R93" i="35"/>
  <c r="Q93" i="35"/>
  <c r="O93" i="35"/>
  <c r="O97" i="35" s="1"/>
  <c r="N93" i="35"/>
  <c r="N95" i="35" s="1"/>
  <c r="M93" i="35"/>
  <c r="M97" i="35" s="1"/>
  <c r="L93" i="35"/>
  <c r="J93" i="35"/>
  <c r="J106" i="35" s="1"/>
  <c r="I93" i="35"/>
  <c r="H93" i="35"/>
  <c r="G93" i="35"/>
  <c r="G119" i="35" s="1"/>
  <c r="M90" i="35"/>
  <c r="L90" i="35"/>
  <c r="L109" i="35" s="1"/>
  <c r="K90" i="35"/>
  <c r="J90" i="35"/>
  <c r="I90" i="35"/>
  <c r="H90" i="35"/>
  <c r="H109" i="35" s="1"/>
  <c r="G90" i="35"/>
  <c r="F90" i="35"/>
  <c r="F109" i="35" s="1"/>
  <c r="E90" i="35"/>
  <c r="N89" i="35"/>
  <c r="J89" i="35"/>
  <c r="F89" i="35"/>
  <c r="E89" i="35"/>
  <c r="L88" i="35"/>
  <c r="H88" i="35"/>
  <c r="F88" i="35"/>
  <c r="E88" i="35"/>
  <c r="D88" i="35"/>
  <c r="N87" i="35"/>
  <c r="O90" i="35" s="1"/>
  <c r="O106" i="35" s="1"/>
  <c r="O107" i="35" s="1"/>
  <c r="N85" i="35"/>
  <c r="N88" i="35" s="1"/>
  <c r="N83" i="35"/>
  <c r="K87" i="35"/>
  <c r="K83" i="35"/>
  <c r="K82" i="35"/>
  <c r="K81" i="35"/>
  <c r="O85" i="35"/>
  <c r="O88" i="35" s="1"/>
  <c r="F86" i="35"/>
  <c r="E86" i="35"/>
  <c r="CL87" i="35"/>
  <c r="CM87" i="35" s="1"/>
  <c r="CK87" i="35"/>
  <c r="CK90" i="35" s="1"/>
  <c r="CJ87" i="35"/>
  <c r="CJ88" i="35" s="1"/>
  <c r="CI87" i="35"/>
  <c r="CM90" i="35" s="1"/>
  <c r="CH87" i="35"/>
  <c r="CG87" i="35"/>
  <c r="CG90" i="35" s="1"/>
  <c r="CF87" i="35"/>
  <c r="CF90" i="35" s="1"/>
  <c r="CF109" i="35" s="1"/>
  <c r="CE87" i="35"/>
  <c r="CE90" i="35" s="1"/>
  <c r="CD87" i="35"/>
  <c r="BY87" i="35"/>
  <c r="BX87" i="35"/>
  <c r="BW87" i="35"/>
  <c r="BW90" i="35" s="1"/>
  <c r="BV87" i="35"/>
  <c r="BV90" i="35" s="1"/>
  <c r="BU87" i="35"/>
  <c r="BU90" i="35" s="1"/>
  <c r="BT87" i="35"/>
  <c r="BR87" i="35"/>
  <c r="BS87" i="35" s="1"/>
  <c r="BQ87" i="35"/>
  <c r="BQ90" i="35" s="1"/>
  <c r="BP87" i="35"/>
  <c r="BP88" i="35" s="1"/>
  <c r="BO87" i="35"/>
  <c r="BS90" i="35" s="1"/>
  <c r="BN87" i="35"/>
  <c r="BM87" i="35"/>
  <c r="BM90" i="35" s="1"/>
  <c r="BL87" i="35"/>
  <c r="BL90" i="35" s="1"/>
  <c r="BL109" i="35" s="1"/>
  <c r="BK87" i="35"/>
  <c r="BK90" i="35" s="1"/>
  <c r="BK106" i="35" s="1"/>
  <c r="BJ87" i="35"/>
  <c r="BH87" i="35"/>
  <c r="BH90" i="35" s="1"/>
  <c r="BH109" i="35" s="1"/>
  <c r="BG87" i="35"/>
  <c r="BG90" i="35" s="1"/>
  <c r="BF87" i="35"/>
  <c r="BF90" i="35" s="1"/>
  <c r="BE87" i="35"/>
  <c r="BI90" i="35" s="1"/>
  <c r="BD87" i="35"/>
  <c r="BC87" i="35"/>
  <c r="BC90" i="35" s="1"/>
  <c r="BB87" i="35"/>
  <c r="BB90" i="35" s="1"/>
  <c r="BA87" i="35"/>
  <c r="BA90" i="35" s="1"/>
  <c r="AZ87" i="35"/>
  <c r="AZ90" i="35" s="1"/>
  <c r="AZ109" i="35" s="1"/>
  <c r="AX87" i="35"/>
  <c r="AY87" i="35" s="1"/>
  <c r="AW87" i="35"/>
  <c r="AW90" i="35" s="1"/>
  <c r="AV87" i="35"/>
  <c r="AV90" i="35" s="1"/>
  <c r="AV109" i="35" s="1"/>
  <c r="AU87" i="35"/>
  <c r="AY90" i="35" s="1"/>
  <c r="AT87" i="35"/>
  <c r="AS87" i="35"/>
  <c r="AS90" i="35" s="1"/>
  <c r="AR87" i="35"/>
  <c r="AR88" i="35" s="1"/>
  <c r="AQ87" i="35"/>
  <c r="AQ90" i="35" s="1"/>
  <c r="AP87" i="35"/>
  <c r="AN87" i="35"/>
  <c r="AN90" i="35" s="1"/>
  <c r="AN109" i="35" s="1"/>
  <c r="AM87" i="35"/>
  <c r="AM90" i="35" s="1"/>
  <c r="AL87" i="35"/>
  <c r="AL90" i="35" s="1"/>
  <c r="AK87" i="35"/>
  <c r="AO90" i="35" s="1"/>
  <c r="AJ87" i="35"/>
  <c r="AI87" i="35"/>
  <c r="AI90" i="35" s="1"/>
  <c r="AH87" i="35"/>
  <c r="AH90" i="35" s="1"/>
  <c r="AG87" i="35"/>
  <c r="AG90" i="35" s="1"/>
  <c r="AF87" i="35"/>
  <c r="AD87" i="35"/>
  <c r="AE87" i="35" s="1"/>
  <c r="AC87" i="35"/>
  <c r="AC90" i="35" s="1"/>
  <c r="AB87" i="35"/>
  <c r="AB90" i="35" s="1"/>
  <c r="AB109" i="35" s="1"/>
  <c r="AA87" i="35"/>
  <c r="AE90" i="35" s="1"/>
  <c r="Z87" i="35"/>
  <c r="Y87" i="35"/>
  <c r="Y88" i="35" s="1"/>
  <c r="X87" i="35"/>
  <c r="X88" i="35" s="1"/>
  <c r="W87" i="35"/>
  <c r="W88" i="35" s="1"/>
  <c r="V87" i="35"/>
  <c r="W90" i="35" s="1"/>
  <c r="T87" i="35"/>
  <c r="T90" i="35" s="1"/>
  <c r="T109" i="35" s="1"/>
  <c r="S87" i="35"/>
  <c r="S90" i="35" s="1"/>
  <c r="R87" i="35"/>
  <c r="R90" i="35" s="1"/>
  <c r="Q87" i="35"/>
  <c r="Q90" i="35" s="1"/>
  <c r="P87" i="35"/>
  <c r="S86" i="35"/>
  <c r="CL85" i="35"/>
  <c r="CL86" i="35" s="1"/>
  <c r="CK85" i="35"/>
  <c r="CK89" i="35" s="1"/>
  <c r="CJ85" i="35"/>
  <c r="CJ89" i="35" s="1"/>
  <c r="CI85" i="35"/>
  <c r="CG85" i="35"/>
  <c r="CG89" i="35" s="1"/>
  <c r="CF85" i="35"/>
  <c r="CF89" i="35" s="1"/>
  <c r="CE85" i="35"/>
  <c r="CE89" i="35" s="1"/>
  <c r="CD85" i="35"/>
  <c r="CD86" i="35" s="1"/>
  <c r="CB85" i="35"/>
  <c r="CB89" i="35" s="1"/>
  <c r="CA85" i="35"/>
  <c r="BZ85" i="35"/>
  <c r="BZ86" i="35" s="1"/>
  <c r="BY85" i="35"/>
  <c r="BW85" i="35"/>
  <c r="BW89" i="35" s="1"/>
  <c r="BV85" i="35"/>
  <c r="BV86" i="35" s="1"/>
  <c r="BU85" i="35"/>
  <c r="BU89" i="35" s="1"/>
  <c r="BT85" i="35"/>
  <c r="BR85" i="35"/>
  <c r="BR86" i="35" s="1"/>
  <c r="BQ85" i="35"/>
  <c r="BQ89" i="35" s="1"/>
  <c r="BP85" i="35"/>
  <c r="BP89" i="35" s="1"/>
  <c r="BO85" i="35"/>
  <c r="BM85" i="35"/>
  <c r="BM89" i="35" s="1"/>
  <c r="BL85" i="35"/>
  <c r="BL89" i="35" s="1"/>
  <c r="BK85" i="35"/>
  <c r="BK89" i="35" s="1"/>
  <c r="BJ85" i="35"/>
  <c r="BJ86" i="35" s="1"/>
  <c r="BH85" i="35"/>
  <c r="BH89" i="35" s="1"/>
  <c r="BG85" i="35"/>
  <c r="BG89" i="35" s="1"/>
  <c r="BF85" i="35"/>
  <c r="BF86" i="35" s="1"/>
  <c r="BE85" i="35"/>
  <c r="BC85" i="35"/>
  <c r="BC89" i="35" s="1"/>
  <c r="BB85" i="35"/>
  <c r="BB86" i="35" s="1"/>
  <c r="BA85" i="35"/>
  <c r="BA89" i="35" s="1"/>
  <c r="AZ85" i="35"/>
  <c r="AX85" i="35"/>
  <c r="AX86" i="35" s="1"/>
  <c r="AW85" i="35"/>
  <c r="AW89" i="35" s="1"/>
  <c r="AV85" i="35"/>
  <c r="AV89" i="35" s="1"/>
  <c r="AU85" i="35"/>
  <c r="AS85" i="35"/>
  <c r="AS89" i="35" s="1"/>
  <c r="AR85" i="35"/>
  <c r="AR89" i="35" s="1"/>
  <c r="AQ85" i="35"/>
  <c r="AQ89" i="35" s="1"/>
  <c r="AP85" i="35"/>
  <c r="AP86" i="35" s="1"/>
  <c r="AN85" i="35"/>
  <c r="AN89" i="35" s="1"/>
  <c r="AM85" i="35"/>
  <c r="AM89" i="35" s="1"/>
  <c r="AL85" i="35"/>
  <c r="AL86" i="35" s="1"/>
  <c r="AK85" i="35"/>
  <c r="AI85" i="35"/>
  <c r="AI89" i="35" s="1"/>
  <c r="AH85" i="35"/>
  <c r="AH86" i="35" s="1"/>
  <c r="AG85" i="35"/>
  <c r="AG89" i="35" s="1"/>
  <c r="AF85" i="35"/>
  <c r="AD85" i="35"/>
  <c r="AD86" i="35" s="1"/>
  <c r="AC85" i="35"/>
  <c r="AC89" i="35" s="1"/>
  <c r="AB85" i="35"/>
  <c r="AB89" i="35" s="1"/>
  <c r="AA85" i="35"/>
  <c r="Y85" i="35"/>
  <c r="Y89" i="35" s="1"/>
  <c r="X85" i="35"/>
  <c r="X89" i="35" s="1"/>
  <c r="W85" i="35"/>
  <c r="W89" i="35" s="1"/>
  <c r="V85" i="35"/>
  <c r="V86" i="35" s="1"/>
  <c r="T85" i="35"/>
  <c r="T89" i="35" s="1"/>
  <c r="S85" i="35"/>
  <c r="S89" i="35" s="1"/>
  <c r="R85" i="35"/>
  <c r="R86" i="35" s="1"/>
  <c r="Q85" i="35"/>
  <c r="DB84" i="35"/>
  <c r="DB83" i="35"/>
  <c r="CW84" i="35"/>
  <c r="CR84" i="35"/>
  <c r="CR83" i="35"/>
  <c r="CM84" i="35"/>
  <c r="CH84" i="35"/>
  <c r="CH82" i="35"/>
  <c r="CC84" i="35"/>
  <c r="CC82" i="35"/>
  <c r="BX84" i="35"/>
  <c r="BX82" i="35"/>
  <c r="BS84" i="35"/>
  <c r="BS82" i="35"/>
  <c r="BN84" i="35"/>
  <c r="BN82" i="35"/>
  <c r="BI82" i="35"/>
  <c r="BF84" i="35"/>
  <c r="BD84" i="35"/>
  <c r="AX84" i="35"/>
  <c r="AR84" i="35"/>
  <c r="AA84" i="35"/>
  <c r="X84" i="35"/>
  <c r="R84" i="35"/>
  <c r="M85" i="35"/>
  <c r="M89" i="35" s="1"/>
  <c r="L85" i="35"/>
  <c r="J85" i="35"/>
  <c r="J88" i="35" s="1"/>
  <c r="I85" i="35"/>
  <c r="I89" i="35" s="1"/>
  <c r="H85" i="35"/>
  <c r="H89" i="35" s="1"/>
  <c r="G85" i="35"/>
  <c r="G88" i="35" s="1"/>
  <c r="G84" i="35"/>
  <c r="D84" i="35"/>
  <c r="CG83" i="35"/>
  <c r="CB83" i="35"/>
  <c r="BR83" i="35"/>
  <c r="BM83" i="35"/>
  <c r="BH83" i="35"/>
  <c r="BB83" i="35"/>
  <c r="AW83" i="35"/>
  <c r="AS83" i="35"/>
  <c r="AT83" i="35" s="1"/>
  <c r="AO83" i="35"/>
  <c r="AL83" i="35"/>
  <c r="AI83" i="35"/>
  <c r="AH83" i="35"/>
  <c r="AG83" i="35"/>
  <c r="AJ83" i="35" s="1"/>
  <c r="AD83" i="35"/>
  <c r="AE83" i="35" s="1"/>
  <c r="AC83" i="35"/>
  <c r="Z83" i="35"/>
  <c r="X83" i="35"/>
  <c r="X81" i="35"/>
  <c r="X82" i="35" s="1"/>
  <c r="Z82" i="35" s="1"/>
  <c r="U82" i="35"/>
  <c r="P83" i="35"/>
  <c r="P82" i="35"/>
  <c r="BD82" i="35"/>
  <c r="AY82" i="35"/>
  <c r="AC81" i="35"/>
  <c r="AC82" i="35" s="1"/>
  <c r="DA83" i="35"/>
  <c r="CZ83" i="35"/>
  <c r="CY83" i="35"/>
  <c r="DA82" i="35"/>
  <c r="CZ82" i="35"/>
  <c r="CY82" i="35"/>
  <c r="DB82" i="35" s="1"/>
  <c r="CV83" i="35"/>
  <c r="CU83" i="35"/>
  <c r="CW83" i="35" s="1"/>
  <c r="CT83" i="35"/>
  <c r="CV82" i="35"/>
  <c r="CU82" i="35"/>
  <c r="CT82" i="35"/>
  <c r="CW82" i="35" s="1"/>
  <c r="CQ83" i="35"/>
  <c r="CP83" i="35"/>
  <c r="CO83" i="35"/>
  <c r="CQ82" i="35"/>
  <c r="CP82" i="35"/>
  <c r="CO82" i="35"/>
  <c r="CR82" i="35" s="1"/>
  <c r="CL83" i="35"/>
  <c r="CK83" i="35"/>
  <c r="CM83" i="35" s="1"/>
  <c r="CJ83" i="35"/>
  <c r="CL82" i="35"/>
  <c r="CK82" i="35"/>
  <c r="CJ82" i="35"/>
  <c r="CM82" i="35" s="1"/>
  <c r="CL81" i="35"/>
  <c r="CK81" i="35"/>
  <c r="CJ81" i="35"/>
  <c r="CG81" i="35"/>
  <c r="CF81" i="35"/>
  <c r="CF83" i="35" s="1"/>
  <c r="CB81" i="35"/>
  <c r="BZ81" i="35"/>
  <c r="BV81" i="35"/>
  <c r="BU81" i="35"/>
  <c r="BU83" i="35" s="1"/>
  <c r="BR81" i="35"/>
  <c r="BQ81" i="35"/>
  <c r="BQ83" i="35" s="1"/>
  <c r="BP81" i="35"/>
  <c r="BP83" i="35" s="1"/>
  <c r="BM81" i="35"/>
  <c r="BL81" i="35"/>
  <c r="BL83" i="35" s="1"/>
  <c r="BH81" i="35"/>
  <c r="BF81" i="35"/>
  <c r="BB81" i="35"/>
  <c r="BA81" i="35"/>
  <c r="BA83" i="35" s="1"/>
  <c r="AX81" i="35"/>
  <c r="AW81" i="35"/>
  <c r="AV81" i="35"/>
  <c r="AV83" i="35" s="1"/>
  <c r="AY83" i="35" s="1"/>
  <c r="AS81" i="35"/>
  <c r="AS84" i="35" s="1"/>
  <c r="AR81" i="35"/>
  <c r="AN81" i="35"/>
  <c r="AN84" i="35" s="1"/>
  <c r="AL81" i="35"/>
  <c r="AH81" i="35"/>
  <c r="AG81" i="35"/>
  <c r="AG84" i="35" s="1"/>
  <c r="AD81" i="35"/>
  <c r="AB81" i="35"/>
  <c r="AB84" i="35" s="1"/>
  <c r="Y81" i="35"/>
  <c r="Y84" i="35" s="1"/>
  <c r="T81" i="35"/>
  <c r="T84" i="35" s="1"/>
  <c r="S81" i="35"/>
  <c r="S83" i="35" s="1"/>
  <c r="U83" i="35" s="1"/>
  <c r="R81" i="35"/>
  <c r="O81" i="35"/>
  <c r="N81" i="35"/>
  <c r="N84" i="35" s="1"/>
  <c r="M81" i="35"/>
  <c r="M84" i="35" s="1"/>
  <c r="J81" i="35"/>
  <c r="J84" i="35" s="1"/>
  <c r="I81" i="35"/>
  <c r="I84" i="35" s="1"/>
  <c r="G81" i="35"/>
  <c r="F81" i="35"/>
  <c r="F84" i="35" s="1"/>
  <c r="E81" i="35"/>
  <c r="E84" i="35" s="1"/>
  <c r="CL78" i="35"/>
  <c r="CK78" i="35"/>
  <c r="CJ78" i="35"/>
  <c r="CJ77" i="35" s="1"/>
  <c r="CI78" i="35"/>
  <c r="CG78" i="35"/>
  <c r="CH78" i="35" s="1"/>
  <c r="CF78" i="35"/>
  <c r="BM78" i="35"/>
  <c r="BL78" i="35"/>
  <c r="BK78" i="35"/>
  <c r="BJ78" i="35"/>
  <c r="BH78" i="35"/>
  <c r="BG78" i="35"/>
  <c r="BF78" i="35"/>
  <c r="BG74" i="35" s="1"/>
  <c r="BE78" i="35"/>
  <c r="BC78" i="35"/>
  <c r="BB78" i="35"/>
  <c r="BC74" i="35" s="1"/>
  <c r="BA78" i="35"/>
  <c r="AZ78" i="35"/>
  <c r="AX78" i="35"/>
  <c r="AW78" i="35"/>
  <c r="AV78" i="35"/>
  <c r="AV77" i="35" s="1"/>
  <c r="AU78" i="35"/>
  <c r="AS78" i="35"/>
  <c r="AR78" i="35"/>
  <c r="AQ78" i="35"/>
  <c r="AP78" i="35"/>
  <c r="AN78" i="35"/>
  <c r="AM78" i="35"/>
  <c r="AL78" i="35"/>
  <c r="AM74" i="35" s="1"/>
  <c r="AK78" i="35"/>
  <c r="AI78" i="35"/>
  <c r="AH78" i="35"/>
  <c r="AI74" i="35" s="1"/>
  <c r="AG78" i="35"/>
  <c r="AF78" i="35"/>
  <c r="AD78" i="35"/>
  <c r="AC78" i="35"/>
  <c r="AB78" i="35"/>
  <c r="AA78" i="35"/>
  <c r="Z78" i="35"/>
  <c r="AA74" i="35" s="1"/>
  <c r="Y78" i="35"/>
  <c r="X78" i="35"/>
  <c r="W78" i="35"/>
  <c r="V78" i="35"/>
  <c r="T78" i="35"/>
  <c r="U78" i="35" s="1"/>
  <c r="S78" i="35"/>
  <c r="R78" i="35"/>
  <c r="S74" i="35" s="1"/>
  <c r="Q78" i="35"/>
  <c r="O78" i="35"/>
  <c r="N78" i="35"/>
  <c r="O74" i="35" s="1"/>
  <c r="M78" i="35"/>
  <c r="L78" i="35"/>
  <c r="J78" i="35"/>
  <c r="I78" i="35"/>
  <c r="H78" i="35"/>
  <c r="G78" i="35"/>
  <c r="DB77" i="35"/>
  <c r="DB76" i="35"/>
  <c r="DB75" i="35"/>
  <c r="CW77" i="35"/>
  <c r="CW76" i="35"/>
  <c r="CW75" i="35"/>
  <c r="CR77" i="35"/>
  <c r="CR76" i="35"/>
  <c r="CR75" i="35"/>
  <c r="CK77" i="35"/>
  <c r="CH77" i="35"/>
  <c r="CH76" i="35"/>
  <c r="CH75" i="35"/>
  <c r="CH74" i="35"/>
  <c r="CC77" i="35"/>
  <c r="CC76" i="35"/>
  <c r="CC75" i="35"/>
  <c r="BX77" i="35"/>
  <c r="BX76" i="35"/>
  <c r="BX75" i="35"/>
  <c r="BS77" i="35"/>
  <c r="BS76" i="35"/>
  <c r="BS75" i="35"/>
  <c r="BN77" i="35"/>
  <c r="BN76" i="35"/>
  <c r="BN75" i="35"/>
  <c r="BI76" i="35"/>
  <c r="BI75" i="35"/>
  <c r="BD77" i="35"/>
  <c r="AY76" i="35"/>
  <c r="AY75" i="35"/>
  <c r="AW77" i="35"/>
  <c r="AS77" i="35"/>
  <c r="AT77" i="35" s="1"/>
  <c r="AO77" i="35"/>
  <c r="AO76" i="35"/>
  <c r="AO75" i="35"/>
  <c r="AJ77" i="35"/>
  <c r="AJ76" i="35"/>
  <c r="AJ75" i="35"/>
  <c r="AE77" i="35"/>
  <c r="AE76" i="35"/>
  <c r="AE75" i="35"/>
  <c r="AE74" i="35"/>
  <c r="AE78" i="35" s="1"/>
  <c r="Z77" i="35"/>
  <c r="Z76" i="35"/>
  <c r="Z75" i="35"/>
  <c r="U77" i="35"/>
  <c r="U76" i="35"/>
  <c r="U75" i="35"/>
  <c r="P77" i="35"/>
  <c r="P76" i="35"/>
  <c r="P75" i="35"/>
  <c r="K77" i="35"/>
  <c r="K76" i="35"/>
  <c r="K75" i="35"/>
  <c r="CM76" i="35"/>
  <c r="CM75" i="35"/>
  <c r="BD76" i="35"/>
  <c r="BD75" i="35"/>
  <c r="AT76" i="35"/>
  <c r="AT75" i="35"/>
  <c r="CL74" i="35"/>
  <c r="CL77" i="35" s="1"/>
  <c r="CK74" i="35"/>
  <c r="CJ74" i="35"/>
  <c r="CG74" i="35"/>
  <c r="CD74" i="35"/>
  <c r="CD78" i="35" s="1"/>
  <c r="CE74" i="35" s="1"/>
  <c r="CE78" i="35" s="1"/>
  <c r="CF74" i="35" s="1"/>
  <c r="BM74" i="35"/>
  <c r="BL74" i="35"/>
  <c r="BK74" i="35"/>
  <c r="BH74" i="35"/>
  <c r="BF74" i="35"/>
  <c r="BB74" i="35"/>
  <c r="BA74" i="35"/>
  <c r="AX74" i="35"/>
  <c r="AW74" i="35"/>
  <c r="AV74" i="35"/>
  <c r="AS74" i="35"/>
  <c r="AR74" i="35"/>
  <c r="AQ74" i="35"/>
  <c r="AN74" i="35"/>
  <c r="AL74" i="35"/>
  <c r="AH74" i="35"/>
  <c r="AG74" i="35"/>
  <c r="AD74" i="35"/>
  <c r="AC74" i="35"/>
  <c r="AB74" i="35"/>
  <c r="Y74" i="35"/>
  <c r="X74" i="35"/>
  <c r="W74" i="35"/>
  <c r="T74" i="35"/>
  <c r="R74" i="35"/>
  <c r="N74" i="35"/>
  <c r="M74" i="35"/>
  <c r="J74" i="35"/>
  <c r="I74" i="35"/>
  <c r="H74" i="35"/>
  <c r="E74" i="35"/>
  <c r="E78" i="35" s="1"/>
  <c r="F74" i="35" s="1"/>
  <c r="F78" i="35" s="1"/>
  <c r="CI71" i="35"/>
  <c r="CG71" i="35"/>
  <c r="CF71" i="35"/>
  <c r="CE71" i="35"/>
  <c r="CD71" i="35"/>
  <c r="CH71" i="35" s="1"/>
  <c r="CB71" i="35"/>
  <c r="CA71" i="35"/>
  <c r="BZ71" i="35"/>
  <c r="BY71" i="35"/>
  <c r="BW71" i="35"/>
  <c r="BV71" i="35"/>
  <c r="BU71" i="35"/>
  <c r="BT71" i="35"/>
  <c r="CI70" i="35"/>
  <c r="CG70" i="35"/>
  <c r="CF70" i="35"/>
  <c r="CE70" i="35"/>
  <c r="CD70" i="35"/>
  <c r="CH70" i="35" s="1"/>
  <c r="CB70" i="35"/>
  <c r="CA70" i="35"/>
  <c r="BZ70" i="35"/>
  <c r="BY70" i="35"/>
  <c r="CC70" i="35" s="1"/>
  <c r="BW70" i="35"/>
  <c r="BV70" i="35"/>
  <c r="BU70" i="35"/>
  <c r="BT70" i="35"/>
  <c r="AV71" i="35"/>
  <c r="AV70" i="35"/>
  <c r="AQ71" i="35"/>
  <c r="AQ70" i="35"/>
  <c r="X69" i="35"/>
  <c r="S71" i="35"/>
  <c r="S70" i="35"/>
  <c r="S69" i="35"/>
  <c r="DB68" i="35"/>
  <c r="DB67" i="35"/>
  <c r="DB66" i="35"/>
  <c r="DB65" i="35"/>
  <c r="DB64" i="35"/>
  <c r="DB63" i="35"/>
  <c r="DB62" i="35"/>
  <c r="DB61" i="35"/>
  <c r="DB60" i="35"/>
  <c r="DB59" i="35"/>
  <c r="DB58" i="35"/>
  <c r="DB57" i="35"/>
  <c r="DB56" i="35"/>
  <c r="DB55" i="35"/>
  <c r="DB54" i="35"/>
  <c r="DB53" i="35"/>
  <c r="DB52" i="35"/>
  <c r="DB51" i="35"/>
  <c r="DB50" i="35"/>
  <c r="DB49" i="35"/>
  <c r="DB48" i="35"/>
  <c r="DB47" i="35"/>
  <c r="DB46" i="35"/>
  <c r="DB45" i="35"/>
  <c r="DB44" i="35"/>
  <c r="DB43" i="35"/>
  <c r="DB42" i="35"/>
  <c r="DB41" i="35"/>
  <c r="DB40" i="35"/>
  <c r="DB39" i="35"/>
  <c r="DB38" i="35"/>
  <c r="DB37" i="35"/>
  <c r="DB36" i="35"/>
  <c r="DB35" i="35"/>
  <c r="DB34" i="35"/>
  <c r="DB33" i="35"/>
  <c r="DB32" i="35"/>
  <c r="DB31" i="35"/>
  <c r="DB30" i="35"/>
  <c r="DB29" i="35"/>
  <c r="DB28" i="35"/>
  <c r="DB27" i="35"/>
  <c r="DB26" i="35"/>
  <c r="DB25" i="35"/>
  <c r="DB24" i="35"/>
  <c r="DB23" i="35"/>
  <c r="DB22" i="35"/>
  <c r="DB21" i="35"/>
  <c r="DB20" i="35"/>
  <c r="DB19" i="35"/>
  <c r="DB18" i="35"/>
  <c r="DB17" i="35"/>
  <c r="DB16" i="35"/>
  <c r="DB15" i="35"/>
  <c r="CV68" i="35"/>
  <c r="CU68" i="35"/>
  <c r="CT68" i="35"/>
  <c r="CS68" i="35"/>
  <c r="CQ68" i="35"/>
  <c r="CP68" i="35"/>
  <c r="CO68" i="35"/>
  <c r="CN68" i="35"/>
  <c r="CL68" i="35"/>
  <c r="CL8" i="35" s="1"/>
  <c r="CK68" i="35"/>
  <c r="CI68" i="35"/>
  <c r="CG68" i="35"/>
  <c r="CF68" i="35"/>
  <c r="CE68" i="35"/>
  <c r="CD68" i="35"/>
  <c r="CD8" i="35" s="1"/>
  <c r="CB68" i="35"/>
  <c r="CA68" i="35"/>
  <c r="BZ68" i="35"/>
  <c r="BY68" i="35"/>
  <c r="BW68" i="35"/>
  <c r="BV68" i="35"/>
  <c r="BU68" i="35"/>
  <c r="BT68" i="35"/>
  <c r="BR68" i="35"/>
  <c r="BQ68" i="35"/>
  <c r="BP68" i="35"/>
  <c r="BO68" i="35"/>
  <c r="BM68" i="35"/>
  <c r="BL68" i="35"/>
  <c r="BK68" i="35"/>
  <c r="BJ68" i="35"/>
  <c r="BJ67" i="35" s="1"/>
  <c r="BH68" i="35"/>
  <c r="BH71" i="35" s="1"/>
  <c r="BH70" i="35" s="1"/>
  <c r="BG68" i="35"/>
  <c r="BG71" i="35" s="1"/>
  <c r="BG70" i="35" s="1"/>
  <c r="BF68" i="35"/>
  <c r="BE68" i="35"/>
  <c r="BE71" i="35" s="1"/>
  <c r="BC68" i="35"/>
  <c r="BC71" i="35" s="1"/>
  <c r="BB68" i="35"/>
  <c r="BB67" i="35" s="1"/>
  <c r="BA68" i="35"/>
  <c r="BA71" i="35" s="1"/>
  <c r="BA70" i="35" s="1"/>
  <c r="AZ68" i="35"/>
  <c r="AZ71" i="35" s="1"/>
  <c r="AX68" i="35"/>
  <c r="AW68" i="35"/>
  <c r="AW71" i="35" s="1"/>
  <c r="AV68" i="35"/>
  <c r="AU68" i="35"/>
  <c r="AU71" i="35" s="1"/>
  <c r="AU70" i="35" s="1"/>
  <c r="AS68" i="35"/>
  <c r="AS71" i="35" s="1"/>
  <c r="AR68" i="35"/>
  <c r="AR71" i="35" s="1"/>
  <c r="AR70" i="35" s="1"/>
  <c r="AQ68" i="35"/>
  <c r="AP68" i="35"/>
  <c r="AN68" i="35"/>
  <c r="AN71" i="35" s="1"/>
  <c r="AN70" i="35" s="1"/>
  <c r="AM68" i="35"/>
  <c r="AM71" i="35" s="1"/>
  <c r="AL68" i="35"/>
  <c r="AL67" i="35" s="1"/>
  <c r="AK68" i="35"/>
  <c r="AK71" i="35" s="1"/>
  <c r="AK70" i="35" s="1"/>
  <c r="AI68" i="35"/>
  <c r="AI71" i="35" s="1"/>
  <c r="AH68" i="35"/>
  <c r="AG68" i="35"/>
  <c r="AF68" i="35"/>
  <c r="AD68" i="35"/>
  <c r="AC68" i="35"/>
  <c r="AB68" i="35"/>
  <c r="AA68" i="35"/>
  <c r="AA71" i="35" s="1"/>
  <c r="Y68" i="35"/>
  <c r="X68" i="35"/>
  <c r="W68" i="35"/>
  <c r="W71" i="35" s="1"/>
  <c r="V68" i="35"/>
  <c r="T68" i="35"/>
  <c r="S68" i="35"/>
  <c r="R68" i="35"/>
  <c r="Q68" i="35"/>
  <c r="U68" i="35" s="1"/>
  <c r="O68" i="35"/>
  <c r="O71" i="35" s="1"/>
  <c r="O70" i="35" s="1"/>
  <c r="N68" i="35"/>
  <c r="N67" i="35" s="1"/>
  <c r="M68" i="35"/>
  <c r="L68" i="35"/>
  <c r="J68" i="35"/>
  <c r="I68" i="35"/>
  <c r="H68" i="35"/>
  <c r="H71" i="35" s="1"/>
  <c r="H70" i="35" s="1"/>
  <c r="G68" i="35"/>
  <c r="G71" i="35" s="1"/>
  <c r="F68" i="35"/>
  <c r="E68" i="35"/>
  <c r="D68" i="35"/>
  <c r="CW67" i="35"/>
  <c r="CW66" i="35"/>
  <c r="CW65" i="35"/>
  <c r="CW64" i="35"/>
  <c r="CW63" i="35"/>
  <c r="CW62" i="35"/>
  <c r="CW61" i="35"/>
  <c r="CW60" i="35"/>
  <c r="CW59" i="35"/>
  <c r="CW58" i="35"/>
  <c r="CW57" i="35"/>
  <c r="CW56" i="35"/>
  <c r="CW55" i="35"/>
  <c r="CW54" i="35"/>
  <c r="CW53" i="35"/>
  <c r="CW52" i="35"/>
  <c r="CW51" i="35"/>
  <c r="CW50" i="35"/>
  <c r="CW49" i="35"/>
  <c r="CW48" i="35"/>
  <c r="CW47" i="35"/>
  <c r="CW46" i="35"/>
  <c r="CW45" i="35"/>
  <c r="CW44" i="35"/>
  <c r="CW43" i="35"/>
  <c r="CW42" i="35"/>
  <c r="CW41" i="35"/>
  <c r="CW40" i="35"/>
  <c r="CW39" i="35"/>
  <c r="CW38" i="35"/>
  <c r="CW37" i="35"/>
  <c r="CW36" i="35"/>
  <c r="CW35" i="35"/>
  <c r="CW34" i="35"/>
  <c r="CW33" i="35"/>
  <c r="CW32" i="35"/>
  <c r="CW31" i="35"/>
  <c r="CW30" i="35"/>
  <c r="CW29" i="35"/>
  <c r="CW28" i="35"/>
  <c r="CW27" i="35"/>
  <c r="CW26" i="35"/>
  <c r="CW25" i="35"/>
  <c r="CW24" i="35"/>
  <c r="CW23" i="35"/>
  <c r="CW22" i="35"/>
  <c r="CW21" i="35"/>
  <c r="CW20" i="35"/>
  <c r="CW19" i="35"/>
  <c r="CW18" i="35"/>
  <c r="CW17" i="35"/>
  <c r="CW16" i="35"/>
  <c r="CW15" i="35"/>
  <c r="CR67" i="35"/>
  <c r="CR66" i="35"/>
  <c r="CR65" i="35"/>
  <c r="CR64" i="35"/>
  <c r="CR63" i="35"/>
  <c r="CR62" i="35"/>
  <c r="CR61" i="35"/>
  <c r="CR60" i="35"/>
  <c r="CR59" i="35"/>
  <c r="CR58" i="35"/>
  <c r="CR57" i="35"/>
  <c r="CR56" i="35"/>
  <c r="CR55" i="35"/>
  <c r="CR54" i="35"/>
  <c r="CR53" i="35"/>
  <c r="CR52" i="35"/>
  <c r="CR51" i="35"/>
  <c r="CR50" i="35"/>
  <c r="CR49" i="35"/>
  <c r="CR48" i="35"/>
  <c r="CR47" i="35"/>
  <c r="CR46" i="35"/>
  <c r="CR45" i="35"/>
  <c r="CR44" i="35"/>
  <c r="CR43" i="35"/>
  <c r="CR42" i="35"/>
  <c r="CR41" i="35"/>
  <c r="CR40" i="35"/>
  <c r="CR39" i="35"/>
  <c r="CR38" i="35"/>
  <c r="CR37" i="35"/>
  <c r="CR36" i="35"/>
  <c r="CR35" i="35"/>
  <c r="CR34" i="35"/>
  <c r="CR33" i="35"/>
  <c r="CR32" i="35"/>
  <c r="CR31" i="35"/>
  <c r="CR30" i="35"/>
  <c r="CR29" i="35"/>
  <c r="CR28" i="35"/>
  <c r="CR27" i="35"/>
  <c r="CR26" i="35"/>
  <c r="CR25" i="35"/>
  <c r="CR24" i="35"/>
  <c r="CR23" i="35"/>
  <c r="CR22" i="35"/>
  <c r="CR21" i="35"/>
  <c r="CR20" i="35"/>
  <c r="CR19" i="35"/>
  <c r="CR18" i="35"/>
  <c r="CR17" i="35"/>
  <c r="CR16" i="35"/>
  <c r="CR15" i="35"/>
  <c r="CM67" i="35"/>
  <c r="CM65" i="35"/>
  <c r="CM64" i="35"/>
  <c r="CM63" i="35"/>
  <c r="CM62" i="35"/>
  <c r="CM61" i="35"/>
  <c r="CM60" i="35"/>
  <c r="CM59" i="35"/>
  <c r="CM58" i="35"/>
  <c r="CM57" i="35"/>
  <c r="CM56" i="35"/>
  <c r="CM55" i="35"/>
  <c r="CM54" i="35"/>
  <c r="CM53" i="35"/>
  <c r="CM52" i="35"/>
  <c r="CM51" i="35"/>
  <c r="CM50" i="35"/>
  <c r="CM49" i="35"/>
  <c r="CM48" i="35"/>
  <c r="CM47" i="35"/>
  <c r="CM46" i="35"/>
  <c r="CM45" i="35"/>
  <c r="CM44" i="35"/>
  <c r="CM43" i="35"/>
  <c r="CM42" i="35"/>
  <c r="CM41" i="35"/>
  <c r="CM40" i="35"/>
  <c r="CM39" i="35"/>
  <c r="CM38" i="35"/>
  <c r="CM37" i="35"/>
  <c r="CM36" i="35"/>
  <c r="CM35" i="35"/>
  <c r="CM34" i="35"/>
  <c r="CM33" i="35"/>
  <c r="CM32" i="35"/>
  <c r="CM31" i="35"/>
  <c r="CM30" i="35"/>
  <c r="CM29" i="35"/>
  <c r="CM28" i="35"/>
  <c r="CM27" i="35"/>
  <c r="CM26" i="35"/>
  <c r="CM25" i="35"/>
  <c r="CM24" i="35"/>
  <c r="CM23" i="35"/>
  <c r="CM22" i="35"/>
  <c r="CM21" i="35"/>
  <c r="CM20" i="35"/>
  <c r="CM19" i="35"/>
  <c r="CM18" i="35"/>
  <c r="CM17" i="35"/>
  <c r="CM16" i="35"/>
  <c r="CM15" i="35"/>
  <c r="CH67" i="35"/>
  <c r="CH64" i="35"/>
  <c r="CH62" i="35"/>
  <c r="CH61" i="35"/>
  <c r="CH60" i="35"/>
  <c r="CH59" i="35"/>
  <c r="CH58" i="35"/>
  <c r="CH57" i="35"/>
  <c r="CH56" i="35"/>
  <c r="CH55" i="35"/>
  <c r="CH54" i="35"/>
  <c r="CH53" i="35"/>
  <c r="CH52" i="35"/>
  <c r="CH51" i="35"/>
  <c r="CH50" i="35"/>
  <c r="CH49" i="35"/>
  <c r="CH48" i="35"/>
  <c r="CH47" i="35"/>
  <c r="CH46" i="35"/>
  <c r="CH45" i="35"/>
  <c r="CH44" i="35"/>
  <c r="CH43" i="35"/>
  <c r="CH42" i="35"/>
  <c r="CH41" i="35"/>
  <c r="CH40" i="35"/>
  <c r="CH39" i="35"/>
  <c r="CH38" i="35"/>
  <c r="CH37" i="35"/>
  <c r="CH36" i="35"/>
  <c r="CH35" i="35"/>
  <c r="CH34" i="35"/>
  <c r="CH33" i="35"/>
  <c r="CH32" i="35"/>
  <c r="CH31" i="35"/>
  <c r="CH30" i="35"/>
  <c r="CH29" i="35"/>
  <c r="CH28" i="35"/>
  <c r="CH27" i="35"/>
  <c r="CH26" i="35"/>
  <c r="CH25" i="35"/>
  <c r="CH24" i="35"/>
  <c r="CH23" i="35"/>
  <c r="CH22" i="35"/>
  <c r="CH21" i="35"/>
  <c r="CH20" i="35"/>
  <c r="CH19" i="35"/>
  <c r="CH18" i="35"/>
  <c r="CH17" i="35"/>
  <c r="CH16" i="35"/>
  <c r="CH15" i="35"/>
  <c r="CB67" i="35"/>
  <c r="CA67" i="35"/>
  <c r="BT67" i="35"/>
  <c r="BQ67" i="35"/>
  <c r="BP67" i="35"/>
  <c r="BP69" i="35" s="1"/>
  <c r="BO67" i="35"/>
  <c r="BK67" i="35"/>
  <c r="AU67" i="35"/>
  <c r="AR67" i="35"/>
  <c r="AR69" i="35" s="1"/>
  <c r="AM67" i="35"/>
  <c r="W67" i="35"/>
  <c r="O67" i="35"/>
  <c r="M67" i="35"/>
  <c r="L67" i="35"/>
  <c r="I67" i="35"/>
  <c r="H67" i="35"/>
  <c r="G67" i="35"/>
  <c r="CJ66" i="35"/>
  <c r="CJ68" i="35" s="1"/>
  <c r="CC66" i="35"/>
  <c r="CC65" i="35"/>
  <c r="CC64" i="35"/>
  <c r="CC63" i="35"/>
  <c r="CC62" i="35"/>
  <c r="CC61" i="35"/>
  <c r="CC60" i="35"/>
  <c r="CG66" i="35"/>
  <c r="CF66" i="35"/>
  <c r="CH66" i="35" s="1"/>
  <c r="CG65" i="35"/>
  <c r="CF65" i="35"/>
  <c r="CH65" i="35" s="1"/>
  <c r="CH68" i="35" s="1"/>
  <c r="CE65" i="35"/>
  <c r="CG63" i="35"/>
  <c r="CF63" i="35"/>
  <c r="CE63" i="35"/>
  <c r="CD63" i="35"/>
  <c r="CH63" i="35" s="1"/>
  <c r="BT62" i="35"/>
  <c r="BX61" i="35"/>
  <c r="BX60" i="35"/>
  <c r="BX59" i="35"/>
  <c r="BS61" i="35"/>
  <c r="BS60" i="35"/>
  <c r="BS59" i="35"/>
  <c r="BS58" i="35"/>
  <c r="BS57" i="35"/>
  <c r="BS56" i="35"/>
  <c r="BS55" i="35"/>
  <c r="BS54" i="35"/>
  <c r="BS53" i="35"/>
  <c r="BS52" i="35"/>
  <c r="BS51" i="35"/>
  <c r="BS50" i="35"/>
  <c r="BS49" i="35"/>
  <c r="BS48" i="35"/>
  <c r="BS47" i="35"/>
  <c r="BS46" i="35"/>
  <c r="BS45" i="35"/>
  <c r="BS44" i="35"/>
  <c r="BS43" i="35"/>
  <c r="BS42" i="35"/>
  <c r="BS41" i="35"/>
  <c r="BS40" i="35"/>
  <c r="BS39" i="35"/>
  <c r="BS38" i="35"/>
  <c r="BS37" i="35"/>
  <c r="BS36" i="35"/>
  <c r="BS35" i="35"/>
  <c r="BS34" i="35"/>
  <c r="BS33" i="35"/>
  <c r="BS32" i="35"/>
  <c r="BS31" i="35"/>
  <c r="BS30" i="35"/>
  <c r="BS29" i="35"/>
  <c r="BS27" i="35"/>
  <c r="BS26" i="35"/>
  <c r="BS25" i="35"/>
  <c r="BS24" i="35"/>
  <c r="BS23" i="35"/>
  <c r="BS22" i="35"/>
  <c r="BS21" i="35"/>
  <c r="BS20" i="35"/>
  <c r="BS19" i="35"/>
  <c r="BS18" i="35"/>
  <c r="BS17" i="35"/>
  <c r="BS16" i="35"/>
  <c r="BS15" i="35"/>
  <c r="BY60" i="35"/>
  <c r="BY67" i="35" s="1"/>
  <c r="BW60" i="35"/>
  <c r="BW67" i="35" s="1"/>
  <c r="BV60" i="35"/>
  <c r="BU60" i="35"/>
  <c r="BU67" i="35" s="1"/>
  <c r="BN58" i="35"/>
  <c r="BN57" i="35"/>
  <c r="BN56" i="35"/>
  <c r="BN55" i="35"/>
  <c r="BN54" i="35"/>
  <c r="BN53" i="35"/>
  <c r="BN52" i="35"/>
  <c r="BN51" i="35"/>
  <c r="BN50" i="35"/>
  <c r="BN49" i="35"/>
  <c r="BN48" i="35"/>
  <c r="BN47" i="35"/>
  <c r="BN46" i="35"/>
  <c r="BN45" i="35"/>
  <c r="BN44" i="35"/>
  <c r="BN43" i="35"/>
  <c r="BN42" i="35"/>
  <c r="BN41" i="35"/>
  <c r="BN40" i="35"/>
  <c r="BN39" i="35"/>
  <c r="BN38" i="35"/>
  <c r="BN37" i="35"/>
  <c r="BN36" i="35"/>
  <c r="BN35" i="35"/>
  <c r="BN34" i="35"/>
  <c r="BN33" i="35"/>
  <c r="BN32" i="35"/>
  <c r="BN31" i="35"/>
  <c r="BN27" i="35"/>
  <c r="BN26" i="35"/>
  <c r="BN25" i="35"/>
  <c r="BN24" i="35"/>
  <c r="BN23" i="35"/>
  <c r="BN22" i="35"/>
  <c r="BN21" i="35"/>
  <c r="BN20" i="35"/>
  <c r="BN19" i="35"/>
  <c r="BN18" i="35"/>
  <c r="BN17" i="35"/>
  <c r="BN16" i="35"/>
  <c r="BN15" i="35"/>
  <c r="BI58" i="35"/>
  <c r="BI57" i="35"/>
  <c r="BI56" i="35"/>
  <c r="BI55" i="35"/>
  <c r="BI54" i="35"/>
  <c r="BI53" i="35"/>
  <c r="BI52" i="35"/>
  <c r="BI51" i="35"/>
  <c r="BI50" i="35"/>
  <c r="BI49" i="35"/>
  <c r="BI48" i="35"/>
  <c r="BI47" i="35"/>
  <c r="BI46" i="35"/>
  <c r="BI45" i="35"/>
  <c r="BI44" i="35"/>
  <c r="BI43" i="35"/>
  <c r="BI42" i="35"/>
  <c r="BI41" i="35"/>
  <c r="BI40" i="35"/>
  <c r="BI39" i="35"/>
  <c r="BI38" i="35"/>
  <c r="BI37" i="35"/>
  <c r="BI35" i="35"/>
  <c r="BD58" i="35"/>
  <c r="BD57" i="35"/>
  <c r="BD56" i="35"/>
  <c r="BD55" i="35"/>
  <c r="BD54" i="35"/>
  <c r="BD53" i="35"/>
  <c r="BD52" i="35"/>
  <c r="BD51" i="35"/>
  <c r="BD50" i="35"/>
  <c r="BD49" i="35"/>
  <c r="BD48" i="35"/>
  <c r="BD47" i="35"/>
  <c r="BD46" i="35"/>
  <c r="BD45" i="35"/>
  <c r="BD44" i="35"/>
  <c r="BD43" i="35"/>
  <c r="BD42" i="35"/>
  <c r="BD41" i="35"/>
  <c r="BD37" i="35"/>
  <c r="BD35" i="35"/>
  <c r="BD33" i="35"/>
  <c r="BD32" i="35"/>
  <c r="BD31" i="35"/>
  <c r="BD30" i="35"/>
  <c r="BD29" i="35"/>
  <c r="BD28" i="35"/>
  <c r="BD27" i="35"/>
  <c r="BD26" i="35"/>
  <c r="BD25" i="35"/>
  <c r="BD24" i="35"/>
  <c r="BD23" i="35"/>
  <c r="BD22" i="35"/>
  <c r="BD21" i="35"/>
  <c r="BD20" i="35"/>
  <c r="BD19" i="35"/>
  <c r="BD18" i="35"/>
  <c r="BD17" i="35"/>
  <c r="BD16" i="35"/>
  <c r="BD15" i="35"/>
  <c r="AY58" i="35"/>
  <c r="AY57" i="35"/>
  <c r="AY56" i="35"/>
  <c r="AY55" i="35"/>
  <c r="AY54" i="35"/>
  <c r="AY53" i="35"/>
  <c r="AY52" i="35"/>
  <c r="AY51" i="35"/>
  <c r="AY50" i="35"/>
  <c r="AY49" i="35"/>
  <c r="AY48" i="35"/>
  <c r="AY47" i="35"/>
  <c r="AY46" i="35"/>
  <c r="AY45" i="35"/>
  <c r="AY44" i="35"/>
  <c r="AY42" i="35"/>
  <c r="AY37" i="35"/>
  <c r="AY36" i="35"/>
  <c r="AY35" i="35"/>
  <c r="AY34" i="35"/>
  <c r="AY33" i="35"/>
  <c r="AY32" i="35"/>
  <c r="AY31" i="35"/>
  <c r="AY30" i="35"/>
  <c r="AY29" i="35"/>
  <c r="AY28" i="35"/>
  <c r="AY27" i="35"/>
  <c r="AY26" i="35"/>
  <c r="AY25" i="35"/>
  <c r="AY24" i="35"/>
  <c r="AY23" i="35"/>
  <c r="AY22" i="35"/>
  <c r="AY21" i="35"/>
  <c r="AY20" i="35"/>
  <c r="AY19" i="35"/>
  <c r="AY18" i="35"/>
  <c r="AY17" i="35"/>
  <c r="AY16" i="35"/>
  <c r="AY15" i="35"/>
  <c r="AT58" i="35"/>
  <c r="AT57" i="35"/>
  <c r="AT56" i="35"/>
  <c r="AT55" i="35"/>
  <c r="AT54" i="35"/>
  <c r="AT53" i="35"/>
  <c r="AT52" i="35"/>
  <c r="AT51" i="35"/>
  <c r="AT50" i="35"/>
  <c r="AT49" i="35"/>
  <c r="AT48" i="35"/>
  <c r="AT45" i="35"/>
  <c r="AT44" i="35"/>
  <c r="AT42" i="35"/>
  <c r="AT41" i="35"/>
  <c r="AT40" i="35"/>
  <c r="AT39" i="35"/>
  <c r="AT38" i="35"/>
  <c r="AT37" i="35"/>
  <c r="AT36" i="35"/>
  <c r="AT35" i="35"/>
  <c r="AT34" i="35"/>
  <c r="AT33" i="35"/>
  <c r="AT32" i="35"/>
  <c r="AT31" i="35"/>
  <c r="AT30" i="35"/>
  <c r="AT29" i="35"/>
  <c r="AT28" i="35"/>
  <c r="AT27" i="35"/>
  <c r="AT26" i="35"/>
  <c r="AT25" i="35"/>
  <c r="AT24" i="35"/>
  <c r="AT23" i="35"/>
  <c r="AT22" i="35"/>
  <c r="AT21" i="35"/>
  <c r="AT20" i="35"/>
  <c r="AT19" i="35"/>
  <c r="AT18" i="35"/>
  <c r="AT17" i="35"/>
  <c r="AT16" i="35"/>
  <c r="AT15" i="35"/>
  <c r="AO58" i="35"/>
  <c r="AO57" i="35"/>
  <c r="AO56" i="35"/>
  <c r="AO55" i="35"/>
  <c r="AO54" i="35"/>
  <c r="AO53" i="35"/>
  <c r="AO51" i="35"/>
  <c r="AO50" i="35"/>
  <c r="AO49" i="35"/>
  <c r="AO45" i="35"/>
  <c r="AO44" i="35"/>
  <c r="AO43" i="35"/>
  <c r="AO42" i="35"/>
  <c r="AO41" i="35"/>
  <c r="AO40" i="35"/>
  <c r="AO39" i="35"/>
  <c r="AO38" i="35"/>
  <c r="AO37" i="35"/>
  <c r="AO36" i="35"/>
  <c r="AO35" i="35"/>
  <c r="AO34" i="35"/>
  <c r="AO33" i="35"/>
  <c r="AO32" i="35"/>
  <c r="AO31" i="35"/>
  <c r="AO30" i="35"/>
  <c r="AO29" i="35"/>
  <c r="AO28" i="35"/>
  <c r="AO27" i="35"/>
  <c r="AO26" i="35"/>
  <c r="AO25" i="35"/>
  <c r="AO24" i="35"/>
  <c r="AO23" i="35"/>
  <c r="AO22" i="35"/>
  <c r="AO21" i="35"/>
  <c r="AO20" i="35"/>
  <c r="AO19" i="35"/>
  <c r="AO18" i="35"/>
  <c r="AO17" i="35"/>
  <c r="AO16" i="35"/>
  <c r="AO15" i="35"/>
  <c r="AJ57" i="35"/>
  <c r="AJ51" i="35"/>
  <c r="AJ50" i="35"/>
  <c r="AJ49" i="35"/>
  <c r="AJ47" i="35"/>
  <c r="AJ46" i="35"/>
  <c r="AJ45" i="35"/>
  <c r="AJ44" i="35"/>
  <c r="AJ43" i="35"/>
  <c r="AJ42" i="35"/>
  <c r="AJ41" i="35"/>
  <c r="AJ40" i="35"/>
  <c r="AJ39" i="35"/>
  <c r="AJ38" i="35"/>
  <c r="AJ37" i="35"/>
  <c r="AJ36" i="35"/>
  <c r="AJ35" i="35"/>
  <c r="AJ34" i="35"/>
  <c r="AJ33" i="35"/>
  <c r="AJ32" i="35"/>
  <c r="AJ31" i="35"/>
  <c r="AJ30" i="35"/>
  <c r="AJ29" i="35"/>
  <c r="AJ28" i="35"/>
  <c r="AJ27" i="35"/>
  <c r="AJ26" i="35"/>
  <c r="AJ25" i="35"/>
  <c r="AJ24" i="35"/>
  <c r="AJ23" i="35"/>
  <c r="AJ22" i="35"/>
  <c r="AJ21" i="35"/>
  <c r="AJ20" i="35"/>
  <c r="AJ19" i="35"/>
  <c r="AJ18" i="35"/>
  <c r="AJ17" i="35"/>
  <c r="AJ16" i="35"/>
  <c r="AJ15" i="35"/>
  <c r="AF58" i="35"/>
  <c r="AJ58" i="35" s="1"/>
  <c r="AD58" i="35"/>
  <c r="AC58" i="35"/>
  <c r="AB58" i="35"/>
  <c r="AA58" i="35"/>
  <c r="AE58" i="35" s="1"/>
  <c r="Z58" i="35"/>
  <c r="U58" i="35"/>
  <c r="U57" i="35"/>
  <c r="U56" i="35"/>
  <c r="U55" i="35"/>
  <c r="U54" i="35"/>
  <c r="U53" i="35"/>
  <c r="U52"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0" i="35"/>
  <c r="U19" i="35"/>
  <c r="U18" i="35"/>
  <c r="U17" i="35"/>
  <c r="U16" i="35"/>
  <c r="U15" i="35"/>
  <c r="P58" i="35"/>
  <c r="P57" i="35"/>
  <c r="P56" i="35"/>
  <c r="P55" i="35"/>
  <c r="P54" i="35"/>
  <c r="P53" i="35"/>
  <c r="P52" i="35"/>
  <c r="P51" i="35"/>
  <c r="P50" i="35"/>
  <c r="P49" i="35"/>
  <c r="P48" i="35"/>
  <c r="P47" i="35"/>
  <c r="P46" i="35"/>
  <c r="P45" i="35"/>
  <c r="P44" i="35"/>
  <c r="P43" i="35"/>
  <c r="P42" i="35"/>
  <c r="P41" i="35"/>
  <c r="P40" i="35"/>
  <c r="P39" i="35"/>
  <c r="P38" i="35"/>
  <c r="P37" i="35"/>
  <c r="P36" i="35"/>
  <c r="P35" i="35"/>
  <c r="P34" i="35"/>
  <c r="P33" i="35"/>
  <c r="P32" i="35"/>
  <c r="P31" i="35"/>
  <c r="P30" i="35"/>
  <c r="P29" i="35"/>
  <c r="P28" i="35"/>
  <c r="P27" i="35"/>
  <c r="P26" i="35"/>
  <c r="P25" i="35"/>
  <c r="P24" i="35"/>
  <c r="P23" i="35"/>
  <c r="P22" i="35"/>
  <c r="P21" i="35"/>
  <c r="P20" i="35"/>
  <c r="P19" i="35"/>
  <c r="P18" i="35"/>
  <c r="P17" i="35"/>
  <c r="P16" i="35"/>
  <c r="P15" i="35"/>
  <c r="K58" i="35"/>
  <c r="K57" i="35"/>
  <c r="K56" i="35"/>
  <c r="K55" i="35"/>
  <c r="K54" i="35"/>
  <c r="K53" i="35"/>
  <c r="K52" i="35"/>
  <c r="K51" i="35"/>
  <c r="K50" i="35"/>
  <c r="K49" i="35"/>
  <c r="K48" i="35"/>
  <c r="K47" i="35"/>
  <c r="K46" i="35"/>
  <c r="K45" i="35"/>
  <c r="K44" i="35"/>
  <c r="K43" i="35"/>
  <c r="K42" i="35"/>
  <c r="K41" i="35"/>
  <c r="K40" i="35"/>
  <c r="K39" i="35"/>
  <c r="K38" i="35"/>
  <c r="K37" i="35"/>
  <c r="K36" i="35"/>
  <c r="K35" i="35"/>
  <c r="K34" i="35"/>
  <c r="K33" i="35"/>
  <c r="K32" i="35"/>
  <c r="K31" i="35"/>
  <c r="K30" i="35"/>
  <c r="K29" i="35"/>
  <c r="K28" i="35"/>
  <c r="K27" i="35"/>
  <c r="K26" i="35"/>
  <c r="K25" i="35"/>
  <c r="K24" i="35"/>
  <c r="K23" i="35"/>
  <c r="K22" i="35"/>
  <c r="K21" i="35"/>
  <c r="K20" i="35"/>
  <c r="K19" i="35"/>
  <c r="K18" i="35"/>
  <c r="K17" i="35"/>
  <c r="K16" i="35"/>
  <c r="K15" i="35"/>
  <c r="AG57" i="35"/>
  <c r="AF57" i="35"/>
  <c r="AE57" i="35"/>
  <c r="AD57" i="35"/>
  <c r="AC57" i="35"/>
  <c r="Z57" i="35"/>
  <c r="Z56" i="35"/>
  <c r="Z55" i="35"/>
  <c r="Z54" i="35"/>
  <c r="Z53" i="35"/>
  <c r="Z52" i="35"/>
  <c r="Z51" i="35"/>
  <c r="Z50" i="35"/>
  <c r="Z49" i="35"/>
  <c r="Z48" i="35"/>
  <c r="Z47" i="35"/>
  <c r="Z46" i="35"/>
  <c r="Z45" i="35"/>
  <c r="Z44" i="35"/>
  <c r="Z43" i="35"/>
  <c r="Z42" i="35"/>
  <c r="Z41" i="35"/>
  <c r="Z40" i="35"/>
  <c r="Z39" i="35"/>
  <c r="Z38" i="35"/>
  <c r="Z37" i="35"/>
  <c r="Z36" i="35"/>
  <c r="Z35" i="35"/>
  <c r="Z34" i="35"/>
  <c r="Z33" i="35"/>
  <c r="Z32" i="35"/>
  <c r="Z31" i="35"/>
  <c r="Z30" i="35"/>
  <c r="Z29" i="35"/>
  <c r="Z28" i="35"/>
  <c r="Z27" i="35"/>
  <c r="Z24" i="35"/>
  <c r="Z23" i="35"/>
  <c r="Z22" i="35"/>
  <c r="Z20" i="35"/>
  <c r="Z19" i="35"/>
  <c r="Z18" i="35"/>
  <c r="Z17" i="35"/>
  <c r="Z16" i="35"/>
  <c r="Z15" i="35"/>
  <c r="AH56" i="35"/>
  <c r="AG56" i="35"/>
  <c r="AF56" i="35"/>
  <c r="AJ56" i="35" s="1"/>
  <c r="AD56" i="35"/>
  <c r="AE56" i="35" s="1"/>
  <c r="AH55" i="35"/>
  <c r="AG55" i="35"/>
  <c r="AF55" i="35"/>
  <c r="AD55" i="35"/>
  <c r="AE55" i="35" s="1"/>
  <c r="AH54" i="35"/>
  <c r="AG54" i="35"/>
  <c r="AF54" i="35"/>
  <c r="AD54" i="35"/>
  <c r="AK53" i="35"/>
  <c r="AK52" i="35"/>
  <c r="AO52" i="35" s="1"/>
  <c r="AI53" i="35"/>
  <c r="AH53" i="35"/>
  <c r="AJ53" i="35" s="1"/>
  <c r="AG53" i="35"/>
  <c r="AF53" i="35"/>
  <c r="AE53" i="35"/>
  <c r="AI52" i="35"/>
  <c r="AI67" i="35" s="1"/>
  <c r="AH52" i="35"/>
  <c r="AG52" i="35"/>
  <c r="AJ52" i="35" s="1"/>
  <c r="AE52" i="35"/>
  <c r="AE51" i="35"/>
  <c r="AE50" i="35"/>
  <c r="AE49" i="35"/>
  <c r="AE48" i="35"/>
  <c r="AE47" i="35"/>
  <c r="AE46" i="35"/>
  <c r="AE45" i="35"/>
  <c r="AE44" i="35"/>
  <c r="AE43" i="35"/>
  <c r="AE42" i="35"/>
  <c r="AE41" i="35"/>
  <c r="AE40" i="35"/>
  <c r="AE39" i="35"/>
  <c r="AE38" i="35"/>
  <c r="AE37" i="35"/>
  <c r="AE36" i="35"/>
  <c r="AE35" i="35"/>
  <c r="AE34" i="35"/>
  <c r="AE33" i="35"/>
  <c r="AE32" i="35"/>
  <c r="AE31" i="35"/>
  <c r="AE30" i="35"/>
  <c r="AE29" i="35"/>
  <c r="AE28" i="35"/>
  <c r="AE27" i="35"/>
  <c r="AE24" i="35"/>
  <c r="AE23" i="35"/>
  <c r="AE22" i="35"/>
  <c r="AE21" i="35"/>
  <c r="AE20" i="35"/>
  <c r="AE19" i="35"/>
  <c r="AE18" i="35"/>
  <c r="AE17" i="35"/>
  <c r="AE16" i="35"/>
  <c r="AE15" i="35"/>
  <c r="AN48" i="35"/>
  <c r="AM48" i="35"/>
  <c r="AL48" i="35"/>
  <c r="AK48" i="35"/>
  <c r="AI48" i="35"/>
  <c r="AJ48" i="35" s="1"/>
  <c r="AP47" i="35"/>
  <c r="AT47" i="35" s="1"/>
  <c r="AP46" i="35"/>
  <c r="AQ46" i="35"/>
  <c r="AN47" i="35"/>
  <c r="AM47" i="35"/>
  <c r="AL47" i="35"/>
  <c r="AO47" i="35" s="1"/>
  <c r="AN46" i="35"/>
  <c r="AM46" i="35"/>
  <c r="AM69" i="35" s="1"/>
  <c r="AL46" i="35"/>
  <c r="AL69" i="35" s="1"/>
  <c r="AW43" i="35"/>
  <c r="AV43" i="35"/>
  <c r="AU43" i="35"/>
  <c r="AS43" i="35"/>
  <c r="AS67" i="35" s="1"/>
  <c r="AS69" i="35" s="1"/>
  <c r="AZ41" i="35"/>
  <c r="AZ40" i="35"/>
  <c r="BD40" i="35" s="1"/>
  <c r="AZ39" i="35"/>
  <c r="AZ38" i="35"/>
  <c r="BD38" i="35" s="1"/>
  <c r="AZ37" i="35"/>
  <c r="AX41" i="35"/>
  <c r="AY41" i="35" s="1"/>
  <c r="AW41" i="35"/>
  <c r="AV41" i="35"/>
  <c r="AU41" i="35"/>
  <c r="AU69" i="35" s="1"/>
  <c r="BA39" i="35"/>
  <c r="BA38" i="35"/>
  <c r="BA37" i="35"/>
  <c r="AX40" i="35"/>
  <c r="AW40" i="35"/>
  <c r="AV40" i="35"/>
  <c r="AX39" i="35"/>
  <c r="AW39" i="35"/>
  <c r="AV39" i="35"/>
  <c r="AY39" i="35" s="1"/>
  <c r="AX38" i="35"/>
  <c r="AW38" i="35"/>
  <c r="AV38" i="35"/>
  <c r="BF36" i="35"/>
  <c r="BE36" i="35"/>
  <c r="BC37" i="35"/>
  <c r="BB37" i="35"/>
  <c r="BC36" i="35"/>
  <c r="BC67" i="35" s="1"/>
  <c r="BB36" i="35"/>
  <c r="BC34" i="35"/>
  <c r="BD34" i="35" s="1"/>
  <c r="BC33" i="35"/>
  <c r="BG34" i="35"/>
  <c r="BG67" i="35" s="1"/>
  <c r="BF34" i="35"/>
  <c r="BE34" i="35"/>
  <c r="BG33" i="35"/>
  <c r="BF33" i="35"/>
  <c r="BE33" i="35"/>
  <c r="BE67" i="35" s="1"/>
  <c r="BE69" i="35" s="1"/>
  <c r="BK31" i="35"/>
  <c r="BJ31" i="35"/>
  <c r="BI31" i="35"/>
  <c r="BH31" i="35"/>
  <c r="BG31" i="35"/>
  <c r="BF31" i="35"/>
  <c r="BL30" i="35"/>
  <c r="BK30" i="35"/>
  <c r="BJ30" i="35"/>
  <c r="BH30" i="35"/>
  <c r="BO28" i="35"/>
  <c r="BS28" i="35" s="1"/>
  <c r="BO27" i="35"/>
  <c r="BO69" i="35" s="1"/>
  <c r="BM29" i="35"/>
  <c r="BL29" i="35"/>
  <c r="BK29" i="35"/>
  <c r="BJ29" i="35"/>
  <c r="BI29" i="35"/>
  <c r="BM28" i="35"/>
  <c r="BM69" i="35" s="1"/>
  <c r="BL28" i="35"/>
  <c r="BK28" i="35"/>
  <c r="BK69" i="35" s="1"/>
  <c r="BJ28" i="35"/>
  <c r="BJ69" i="35" s="1"/>
  <c r="BI28" i="35"/>
  <c r="BM27" i="35"/>
  <c r="BM67" i="35" s="1"/>
  <c r="BL27" i="35"/>
  <c r="BI27" i="35"/>
  <c r="BI26" i="35"/>
  <c r="BI25" i="35"/>
  <c r="BI24" i="35"/>
  <c r="BI23" i="35"/>
  <c r="BI22" i="35"/>
  <c r="BI21" i="35"/>
  <c r="BI20" i="35"/>
  <c r="BI19" i="35"/>
  <c r="BI18" i="35"/>
  <c r="BI17" i="35"/>
  <c r="BI16" i="35"/>
  <c r="BI15" i="35"/>
  <c r="AC26" i="35"/>
  <c r="AC67" i="35" s="1"/>
  <c r="AB26" i="35"/>
  <c r="AA26" i="35"/>
  <c r="AB25" i="35"/>
  <c r="AA25" i="35"/>
  <c r="Y26" i="35"/>
  <c r="X26" i="35"/>
  <c r="Z26" i="35" s="1"/>
  <c r="Y25" i="35"/>
  <c r="Y67" i="35" s="1"/>
  <c r="X25" i="35"/>
  <c r="W21" i="35"/>
  <c r="V21" i="35"/>
  <c r="Z21" i="35" s="1"/>
  <c r="T21" i="35"/>
  <c r="S21" i="35"/>
  <c r="U21" i="35" s="1"/>
  <c r="T20" i="35"/>
  <c r="T67" i="35" s="1"/>
  <c r="S20" i="35"/>
  <c r="R20" i="35"/>
  <c r="Q20" i="35"/>
  <c r="Q67" i="35" s="1"/>
  <c r="J12" i="35"/>
  <c r="I12" i="35"/>
  <c r="H12" i="35"/>
  <c r="H69" i="35" s="1"/>
  <c r="G12" i="35"/>
  <c r="G69" i="35" s="1"/>
  <c r="F12" i="35"/>
  <c r="F13" i="35" s="1"/>
  <c r="E12" i="35"/>
  <c r="E13" i="35" s="1"/>
  <c r="D12" i="35"/>
  <c r="E11" i="35"/>
  <c r="J10" i="35"/>
  <c r="I10" i="35"/>
  <c r="H10" i="35"/>
  <c r="G10" i="35"/>
  <c r="F10" i="35"/>
  <c r="F11" i="35" s="1"/>
  <c r="E10" i="35"/>
  <c r="D10" i="35"/>
  <c r="BI13" i="35"/>
  <c r="BE13" i="35"/>
  <c r="BA13" i="35"/>
  <c r="AS13" i="35"/>
  <c r="AO13" i="35"/>
  <c r="AK13" i="35"/>
  <c r="AC13" i="35"/>
  <c r="Y13" i="35"/>
  <c r="U13" i="35"/>
  <c r="M13" i="35"/>
  <c r="CG12" i="35"/>
  <c r="BQ12" i="35"/>
  <c r="BQ13" i="35" s="1"/>
  <c r="BL12" i="35"/>
  <c r="BL13" i="35" s="1"/>
  <c r="BK12" i="35"/>
  <c r="BK13" i="35" s="1"/>
  <c r="BJ12" i="35"/>
  <c r="BJ13" i="35" s="1"/>
  <c r="BI12" i="35"/>
  <c r="BH12" i="35"/>
  <c r="BH13" i="35" s="1"/>
  <c r="BG12" i="35"/>
  <c r="BG13" i="35" s="1"/>
  <c r="BF12" i="35"/>
  <c r="BF13" i="35" s="1"/>
  <c r="BE12" i="35"/>
  <c r="BD12" i="35"/>
  <c r="BD13" i="35" s="1"/>
  <c r="BC12" i="35"/>
  <c r="BC13" i="35" s="1"/>
  <c r="BB12" i="35"/>
  <c r="BB13" i="35" s="1"/>
  <c r="BA12" i="35"/>
  <c r="AZ12" i="35"/>
  <c r="AZ13" i="35" s="1"/>
  <c r="AY12" i="35"/>
  <c r="AY13" i="35" s="1"/>
  <c r="AX12" i="35"/>
  <c r="AX13" i="35" s="1"/>
  <c r="AW12" i="35"/>
  <c r="AW13" i="35" s="1"/>
  <c r="AV12" i="35"/>
  <c r="AV13" i="35" s="1"/>
  <c r="AU12" i="35"/>
  <c r="AU13" i="35" s="1"/>
  <c r="AT12" i="35"/>
  <c r="AT13" i="35" s="1"/>
  <c r="AS12" i="35"/>
  <c r="AR12" i="35"/>
  <c r="AR13" i="35" s="1"/>
  <c r="AQ12" i="35"/>
  <c r="AQ13" i="35" s="1"/>
  <c r="AP12" i="35"/>
  <c r="AP13" i="35" s="1"/>
  <c r="AO12" i="35"/>
  <c r="AN12" i="35"/>
  <c r="AN13" i="35" s="1"/>
  <c r="AM12" i="35"/>
  <c r="AM13" i="35" s="1"/>
  <c r="AL12" i="35"/>
  <c r="AL13" i="35" s="1"/>
  <c r="AK12" i="35"/>
  <c r="AJ12" i="35"/>
  <c r="AJ13" i="35" s="1"/>
  <c r="AI12" i="35"/>
  <c r="AI13" i="35" s="1"/>
  <c r="AH12" i="35"/>
  <c r="AH13" i="35" s="1"/>
  <c r="AG12" i="35"/>
  <c r="AG13" i="35" s="1"/>
  <c r="AF12" i="35"/>
  <c r="AF13" i="35" s="1"/>
  <c r="AE12" i="35"/>
  <c r="AE13" i="35" s="1"/>
  <c r="AD12" i="35"/>
  <c r="AD13" i="35" s="1"/>
  <c r="AC12" i="35"/>
  <c r="AB12" i="35"/>
  <c r="AB13" i="35" s="1"/>
  <c r="AA12" i="35"/>
  <c r="AA13" i="35" s="1"/>
  <c r="Z12" i="35"/>
  <c r="Z13" i="35" s="1"/>
  <c r="Y12" i="35"/>
  <c r="X12" i="35"/>
  <c r="X13" i="35" s="1"/>
  <c r="W12" i="35"/>
  <c r="W69" i="35" s="1"/>
  <c r="V12" i="35"/>
  <c r="U12" i="35"/>
  <c r="T12" i="35"/>
  <c r="T13" i="35" s="1"/>
  <c r="S12" i="35"/>
  <c r="S13" i="35" s="1"/>
  <c r="R12" i="35"/>
  <c r="Q12" i="35"/>
  <c r="P12" i="35"/>
  <c r="P13" i="35" s="1"/>
  <c r="O12" i="35"/>
  <c r="O13" i="35" s="1"/>
  <c r="N12" i="35"/>
  <c r="N13" i="35" s="1"/>
  <c r="M12" i="35"/>
  <c r="L12" i="35"/>
  <c r="L13" i="35" s="1"/>
  <c r="K12" i="35"/>
  <c r="K13" i="35" s="1"/>
  <c r="CK11" i="35"/>
  <c r="BY11" i="35"/>
  <c r="BU11" i="35"/>
  <c r="BE11" i="35"/>
  <c r="AO11" i="35"/>
  <c r="Y11" i="35"/>
  <c r="CM10" i="35"/>
  <c r="CM11" i="35" s="1"/>
  <c r="CL10" i="35"/>
  <c r="CK10" i="35"/>
  <c r="CK12" i="35" s="1"/>
  <c r="CJ10" i="35"/>
  <c r="CJ11" i="35" s="1"/>
  <c r="CI10" i="35"/>
  <c r="CI11" i="35" s="1"/>
  <c r="CH10" i="35"/>
  <c r="CG10" i="35"/>
  <c r="CG11" i="35" s="1"/>
  <c r="CF10" i="35"/>
  <c r="CF11" i="35" s="1"/>
  <c r="CE10" i="35"/>
  <c r="CE11" i="35" s="1"/>
  <c r="CD10" i="35"/>
  <c r="CC10" i="35"/>
  <c r="CC11" i="35" s="1"/>
  <c r="CB10" i="35"/>
  <c r="CB11" i="35" s="1"/>
  <c r="CA10" i="35"/>
  <c r="CA11" i="35" s="1"/>
  <c r="BZ10" i="35"/>
  <c r="BY10" i="35"/>
  <c r="BY12" i="35" s="1"/>
  <c r="BX10" i="35"/>
  <c r="BX11" i="35" s="1"/>
  <c r="BW10" i="35"/>
  <c r="BW11" i="35" s="1"/>
  <c r="BV10" i="35"/>
  <c r="BU10" i="35"/>
  <c r="BU12" i="35" s="1"/>
  <c r="BT10" i="35"/>
  <c r="BT11" i="35" s="1"/>
  <c r="BS10" i="35"/>
  <c r="BS11" i="35" s="1"/>
  <c r="BR10" i="35"/>
  <c r="BQ10" i="35"/>
  <c r="BQ11" i="35" s="1"/>
  <c r="BP10" i="35"/>
  <c r="BP11" i="35" s="1"/>
  <c r="BO10" i="35"/>
  <c r="BO11" i="35" s="1"/>
  <c r="BN10" i="35"/>
  <c r="BM10" i="35"/>
  <c r="BM12" i="35" s="1"/>
  <c r="BM13" i="35" s="1"/>
  <c r="BL10" i="35"/>
  <c r="BL11" i="35" s="1"/>
  <c r="BK10" i="35"/>
  <c r="BK11" i="35" s="1"/>
  <c r="BJ10" i="35"/>
  <c r="BI10" i="35"/>
  <c r="BI11" i="35" s="1"/>
  <c r="BH10" i="35"/>
  <c r="BH11" i="35" s="1"/>
  <c r="BG10" i="35"/>
  <c r="BG11" i="35" s="1"/>
  <c r="BF10" i="35"/>
  <c r="BE10" i="35"/>
  <c r="BD10" i="35"/>
  <c r="BD11" i="35" s="1"/>
  <c r="BC10" i="35"/>
  <c r="BC11" i="35" s="1"/>
  <c r="BB10" i="35"/>
  <c r="BA10" i="35"/>
  <c r="BA11" i="35" s="1"/>
  <c r="AZ10" i="35"/>
  <c r="AZ11" i="35" s="1"/>
  <c r="AY10" i="35"/>
  <c r="AY11" i="35" s="1"/>
  <c r="AX10" i="35"/>
  <c r="AW10" i="35"/>
  <c r="AW11" i="35" s="1"/>
  <c r="AV10" i="35"/>
  <c r="AV11" i="35" s="1"/>
  <c r="AU10" i="35"/>
  <c r="AU11" i="35" s="1"/>
  <c r="AT10" i="35"/>
  <c r="AS10" i="35"/>
  <c r="AS11" i="35" s="1"/>
  <c r="AR10" i="35"/>
  <c r="AR11" i="35" s="1"/>
  <c r="AQ10" i="35"/>
  <c r="AQ11" i="35" s="1"/>
  <c r="AP10" i="35"/>
  <c r="AO10" i="35"/>
  <c r="AN10" i="35"/>
  <c r="AN11" i="35" s="1"/>
  <c r="AM10" i="35"/>
  <c r="AM11" i="35" s="1"/>
  <c r="AL10" i="35"/>
  <c r="AK10" i="35"/>
  <c r="AK11" i="35" s="1"/>
  <c r="AJ10" i="35"/>
  <c r="AJ11" i="35" s="1"/>
  <c r="AI10" i="35"/>
  <c r="AI11" i="35" s="1"/>
  <c r="AH10" i="35"/>
  <c r="AG10" i="35"/>
  <c r="AG11" i="35" s="1"/>
  <c r="AF10" i="35"/>
  <c r="AF11" i="35" s="1"/>
  <c r="AE10" i="35"/>
  <c r="AE11" i="35" s="1"/>
  <c r="AD10" i="35"/>
  <c r="AC10" i="35"/>
  <c r="AC11" i="35" s="1"/>
  <c r="AB10" i="35"/>
  <c r="AB11" i="35" s="1"/>
  <c r="AA10" i="35"/>
  <c r="AA11" i="35" s="1"/>
  <c r="Z10" i="35"/>
  <c r="Y10" i="35"/>
  <c r="X10" i="35"/>
  <c r="X11" i="35" s="1"/>
  <c r="W10" i="35"/>
  <c r="W11" i="35" s="1"/>
  <c r="V10" i="35"/>
  <c r="U10" i="35"/>
  <c r="U11" i="35" s="1"/>
  <c r="T10" i="35"/>
  <c r="T11" i="35" s="1"/>
  <c r="S10" i="35"/>
  <c r="S11" i="35" s="1"/>
  <c r="R10" i="35"/>
  <c r="Q10" i="35"/>
  <c r="Q11" i="35" s="1"/>
  <c r="P10" i="35"/>
  <c r="P11" i="35" s="1"/>
  <c r="O10" i="35"/>
  <c r="O11" i="35" s="1"/>
  <c r="N10" i="35"/>
  <c r="N11" i="35" s="1"/>
  <c r="M10" i="35"/>
  <c r="M11" i="35" s="1"/>
  <c r="L10" i="35"/>
  <c r="L11" i="35" s="1"/>
  <c r="K10" i="35"/>
  <c r="K11" i="35" s="1"/>
  <c r="BY9" i="35"/>
  <c r="BQ9" i="35"/>
  <c r="BM9" i="35"/>
  <c r="BJ9" i="35"/>
  <c r="BI9" i="35"/>
  <c r="BE9" i="35"/>
  <c r="BA9" i="35"/>
  <c r="AW9" i="35"/>
  <c r="AT9" i="35"/>
  <c r="AK9" i="35"/>
  <c r="AE9" i="35"/>
  <c r="AC9" i="35"/>
  <c r="AA9" i="35"/>
  <c r="Y9" i="35"/>
  <c r="U9" i="35"/>
  <c r="Q9" i="35"/>
  <c r="M9" i="35"/>
  <c r="E9" i="35"/>
  <c r="CK8" i="35"/>
  <c r="CG8" i="35"/>
  <c r="BY8" i="35"/>
  <c r="BU8" i="35"/>
  <c r="BT8" i="35"/>
  <c r="BQ8" i="35"/>
  <c r="BM8" i="35"/>
  <c r="BL8" i="35"/>
  <c r="BK8" i="35"/>
  <c r="BJ8" i="35"/>
  <c r="BH8" i="35"/>
  <c r="BG8" i="35"/>
  <c r="BF8" i="35"/>
  <c r="BE8" i="35"/>
  <c r="BD8" i="35"/>
  <c r="BC8" i="35"/>
  <c r="BB8" i="35"/>
  <c r="BA8" i="35"/>
  <c r="AZ8" i="35"/>
  <c r="AX8" i="35"/>
  <c r="AW8" i="35"/>
  <c r="AV8" i="35"/>
  <c r="AU8" i="35"/>
  <c r="AS8" i="35"/>
  <c r="AR8" i="35"/>
  <c r="AQ8" i="35"/>
  <c r="AP8" i="35"/>
  <c r="AN8" i="35"/>
  <c r="AM8" i="35"/>
  <c r="AL8" i="35"/>
  <c r="AL9" i="35" s="1"/>
  <c r="AK8" i="35"/>
  <c r="AJ8" i="35"/>
  <c r="AI8" i="35"/>
  <c r="AI153" i="35" s="1"/>
  <c r="AH8" i="35"/>
  <c r="AH9" i="35" s="1"/>
  <c r="AG8" i="35"/>
  <c r="AF8" i="35"/>
  <c r="AE8" i="35"/>
  <c r="AD8" i="35"/>
  <c r="AD9" i="35" s="1"/>
  <c r="AC8" i="35"/>
  <c r="AB8" i="35"/>
  <c r="AA8" i="35"/>
  <c r="Y8" i="35"/>
  <c r="X8" i="35"/>
  <c r="W8" i="35"/>
  <c r="V8" i="35"/>
  <c r="U8" i="35"/>
  <c r="Z9" i="35" s="1"/>
  <c r="T8" i="35"/>
  <c r="S8" i="35"/>
  <c r="R8" i="35"/>
  <c r="Q8" i="35"/>
  <c r="V9" i="35" s="1"/>
  <c r="P8" i="35"/>
  <c r="O8" i="35"/>
  <c r="N8" i="35"/>
  <c r="M8" i="35"/>
  <c r="R9" i="35" s="1"/>
  <c r="L8" i="35"/>
  <c r="K8" i="35"/>
  <c r="J8" i="35"/>
  <c r="I8" i="35"/>
  <c r="N9" i="35" s="1"/>
  <c r="H8" i="35"/>
  <c r="G8" i="35"/>
  <c r="F8" i="35"/>
  <c r="E8" i="35"/>
  <c r="F9" i="35" s="1"/>
  <c r="D8" i="35"/>
  <c r="CX6" i="35"/>
  <c r="CT6" i="35"/>
  <c r="CD6" i="35"/>
  <c r="BZ6" i="35"/>
  <c r="BW6" i="35"/>
  <c r="BV6" i="35"/>
  <c r="BU6" i="35"/>
  <c r="BT6" i="35"/>
  <c r="BR6" i="35"/>
  <c r="BQ6" i="35"/>
  <c r="BP6" i="35"/>
  <c r="BO6" i="35"/>
  <c r="BM6" i="35"/>
  <c r="BL6" i="35"/>
  <c r="BK6" i="35"/>
  <c r="BJ6" i="35"/>
  <c r="BN6" i="35" s="1"/>
  <c r="BH6" i="35"/>
  <c r="BG6" i="35"/>
  <c r="BF6" i="35"/>
  <c r="BE6" i="35"/>
  <c r="BI6" i="35" s="1"/>
  <c r="BC6" i="35"/>
  <c r="BB6" i="35"/>
  <c r="BA6" i="35"/>
  <c r="AZ6" i="35"/>
  <c r="BD6" i="35" s="1"/>
  <c r="AX6" i="35"/>
  <c r="AW6" i="35"/>
  <c r="AV6" i="35"/>
  <c r="AU6" i="35"/>
  <c r="AT6" i="35"/>
  <c r="AO6" i="35"/>
  <c r="AJ6" i="35"/>
  <c r="AE6" i="35"/>
  <c r="Z6" i="35"/>
  <c r="U6" i="35"/>
  <c r="P6" i="35"/>
  <c r="K6" i="35"/>
  <c r="DB4" i="35"/>
  <c r="DA4" i="35"/>
  <c r="CZ4" i="35"/>
  <c r="CY4" i="35"/>
  <c r="CX4" i="35"/>
  <c r="CW4" i="35"/>
  <c r="CV4" i="35"/>
  <c r="CU4" i="35"/>
  <c r="CT4" i="35"/>
  <c r="CS4" i="35"/>
  <c r="CR4" i="35"/>
  <c r="CQ4" i="35"/>
  <c r="CP4" i="35"/>
  <c r="CO4" i="35"/>
  <c r="CN4" i="35"/>
  <c r="CM4" i="35"/>
  <c r="CL4" i="35"/>
  <c r="CK4" i="35"/>
  <c r="CJ4" i="35"/>
  <c r="CI4" i="35"/>
  <c r="CH4" i="35"/>
  <c r="CG4" i="35"/>
  <c r="CF4" i="35"/>
  <c r="CE4" i="35"/>
  <c r="CD4" i="35"/>
  <c r="CC4" i="35"/>
  <c r="CB4" i="35"/>
  <c r="CA4" i="35"/>
  <c r="BZ4" i="35"/>
  <c r="BY4" i="35"/>
  <c r="BX4" i="35"/>
  <c r="BW4" i="35"/>
  <c r="BV4" i="35"/>
  <c r="BU4" i="35"/>
  <c r="BT4" i="35"/>
  <c r="BS4" i="35"/>
  <c r="BR4" i="35"/>
  <c r="BQ4" i="35"/>
  <c r="BP4" i="35"/>
  <c r="BO4" i="35"/>
  <c r="BN4" i="35"/>
  <c r="BM4" i="35"/>
  <c r="BL4" i="35"/>
  <c r="BK4" i="35"/>
  <c r="BJ4" i="35"/>
  <c r="BI4" i="35"/>
  <c r="BH4" i="35"/>
  <c r="BG4" i="35"/>
  <c r="BF4" i="35"/>
  <c r="BE4" i="35"/>
  <c r="BD4" i="35"/>
  <c r="BC4" i="35"/>
  <c r="BB4" i="35"/>
  <c r="BA4" i="35"/>
  <c r="AZ4" i="35"/>
  <c r="AY4" i="35"/>
  <c r="AX4" i="35"/>
  <c r="AW4" i="35"/>
  <c r="AV4" i="35"/>
  <c r="AU4" i="35"/>
  <c r="AT4" i="35"/>
  <c r="AS4" i="35"/>
  <c r="AR4" i="35"/>
  <c r="AQ4" i="35"/>
  <c r="AP4" i="35"/>
  <c r="AO4" i="35"/>
  <c r="AN4" i="35"/>
  <c r="AM4" i="35"/>
  <c r="AL4" i="35"/>
  <c r="AK4" i="35"/>
  <c r="AJ4" i="35"/>
  <c r="AI4" i="35"/>
  <c r="AH4" i="35"/>
  <c r="AG4" i="35"/>
  <c r="AF4" i="35"/>
  <c r="AE4" i="35"/>
  <c r="AD4" i="35"/>
  <c r="AC4" i="35"/>
  <c r="AB4" i="35"/>
  <c r="AA4" i="35"/>
  <c r="Z4" i="35"/>
  <c r="Y4" i="35"/>
  <c r="X4" i="35"/>
  <c r="W4" i="35"/>
  <c r="V4" i="35"/>
  <c r="U4" i="35"/>
  <c r="T4" i="35"/>
  <c r="S4" i="35"/>
  <c r="R4" i="35"/>
  <c r="Q4" i="35"/>
  <c r="P4" i="35"/>
  <c r="O4" i="35"/>
  <c r="N4" i="35"/>
  <c r="M4" i="35"/>
  <c r="L4" i="35"/>
  <c r="K4" i="35"/>
  <c r="J4" i="35"/>
  <c r="I4" i="35"/>
  <c r="H4" i="35"/>
  <c r="G4" i="35"/>
  <c r="F4" i="35"/>
  <c r="E4" i="35"/>
  <c r="D4" i="35"/>
  <c r="DA3" i="35"/>
  <c r="CZ3" i="35"/>
  <c r="CZ6" i="35" s="1"/>
  <c r="CY3" i="35"/>
  <c r="CY6" i="35" s="1"/>
  <c r="CX3" i="35"/>
  <c r="CV3" i="35"/>
  <c r="CU3" i="35"/>
  <c r="CU6" i="35" s="1"/>
  <c r="CT3" i="35"/>
  <c r="CS3" i="35"/>
  <c r="CS6" i="35" s="1"/>
  <c r="CQ3" i="35"/>
  <c r="CP3" i="35"/>
  <c r="CP6" i="35" s="1"/>
  <c r="CO3" i="35"/>
  <c r="CO6" i="35" s="1"/>
  <c r="CN3" i="35"/>
  <c r="CN6" i="35" s="1"/>
  <c r="CL3" i="35"/>
  <c r="CK3" i="35"/>
  <c r="CK6" i="35" s="1"/>
  <c r="CJ3" i="35"/>
  <c r="CJ6" i="35" s="1"/>
  <c r="CI3" i="35"/>
  <c r="CI6" i="35" s="1"/>
  <c r="CG3" i="35"/>
  <c r="CF3" i="35"/>
  <c r="CF6" i="35" s="1"/>
  <c r="CE3" i="35"/>
  <c r="CE6" i="35" s="1"/>
  <c r="CD3" i="35"/>
  <c r="CB3" i="35"/>
  <c r="CA3" i="35"/>
  <c r="CA6" i="35" s="1"/>
  <c r="BZ3" i="35"/>
  <c r="BY3" i="35"/>
  <c r="BY6" i="35" s="1"/>
  <c r="DA161" i="8"/>
  <c r="CZ161" i="8"/>
  <c r="CY161" i="8"/>
  <c r="CX161" i="8"/>
  <c r="CV161" i="8"/>
  <c r="CU161" i="8"/>
  <c r="CT161" i="8"/>
  <c r="CS161" i="8"/>
  <c r="CQ161" i="8"/>
  <c r="CP161" i="8"/>
  <c r="CO161" i="8"/>
  <c r="CN161" i="8"/>
  <c r="CI161" i="8"/>
  <c r="CD161" i="8"/>
  <c r="BY161" i="8"/>
  <c r="BT161" i="8"/>
  <c r="BQ161" i="8"/>
  <c r="BO161" i="8"/>
  <c r="BJ161" i="8"/>
  <c r="BE161" i="8"/>
  <c r="AZ161" i="8"/>
  <c r="AU161" i="8"/>
  <c r="AP161" i="8"/>
  <c r="AK161" i="8"/>
  <c r="AF161" i="8"/>
  <c r="AA161" i="8"/>
  <c r="V161" i="8"/>
  <c r="Q161" i="8"/>
  <c r="L161" i="8"/>
  <c r="G161" i="8"/>
  <c r="F161" i="8"/>
  <c r="E161" i="8"/>
  <c r="D161" i="8"/>
  <c r="DA160" i="8"/>
  <c r="CZ160" i="8"/>
  <c r="CY160" i="8"/>
  <c r="CX160" i="8"/>
  <c r="CV160" i="8"/>
  <c r="CU160" i="8"/>
  <c r="CT160" i="8"/>
  <c r="CS160" i="8"/>
  <c r="CQ160" i="8"/>
  <c r="CP160" i="8"/>
  <c r="CO160" i="8"/>
  <c r="CN160" i="8"/>
  <c r="CL160" i="8"/>
  <c r="CK160" i="8"/>
  <c r="CJ160" i="8"/>
  <c r="CI160" i="8"/>
  <c r="CG160" i="8"/>
  <c r="CF160" i="8"/>
  <c r="CE160" i="8"/>
  <c r="CD160" i="8"/>
  <c r="CB160" i="8"/>
  <c r="CA160" i="8"/>
  <c r="BZ160" i="8"/>
  <c r="BY160" i="8"/>
  <c r="CI158" i="8"/>
  <c r="CD158" i="8"/>
  <c r="BY158" i="8"/>
  <c r="BT158" i="8"/>
  <c r="BO158" i="8"/>
  <c r="BJ158" i="8"/>
  <c r="BE158" i="8"/>
  <c r="AU158" i="8"/>
  <c r="AP158" i="8"/>
  <c r="AK158" i="8"/>
  <c r="AF158" i="8"/>
  <c r="AA158" i="8"/>
  <c r="V158" i="8"/>
  <c r="Q158" i="8"/>
  <c r="L158" i="8"/>
  <c r="G158" i="8"/>
  <c r="F158" i="8"/>
  <c r="DB157" i="8"/>
  <c r="DA157" i="8"/>
  <c r="CZ157" i="8"/>
  <c r="CY157" i="8"/>
  <c r="CX157" i="8"/>
  <c r="CW157" i="8"/>
  <c r="CV157" i="8"/>
  <c r="CU157" i="8"/>
  <c r="CT157" i="8"/>
  <c r="CS157" i="8"/>
  <c r="CR157" i="8"/>
  <c r="CQ157" i="8"/>
  <c r="CP157" i="8"/>
  <c r="CO157" i="8"/>
  <c r="CN157" i="8"/>
  <c r="CM157" i="8"/>
  <c r="CL157" i="8"/>
  <c r="CK157" i="8"/>
  <c r="CJ157" i="8"/>
  <c r="CI157" i="8"/>
  <c r="CI153" i="8"/>
  <c r="CD153" i="8"/>
  <c r="BY153" i="8"/>
  <c r="BT153" i="8"/>
  <c r="BQ153" i="8"/>
  <c r="BO153" i="8"/>
  <c r="BJ153" i="8"/>
  <c r="BE153" i="8"/>
  <c r="AZ153" i="8"/>
  <c r="AU153" i="8"/>
  <c r="AP153" i="8"/>
  <c r="AK153" i="8"/>
  <c r="AF153" i="8"/>
  <c r="AA153" i="8"/>
  <c r="V153" i="8"/>
  <c r="Q153" i="8"/>
  <c r="L153" i="8"/>
  <c r="G153" i="8"/>
  <c r="BQ150" i="8"/>
  <c r="BQ155" i="8" s="1"/>
  <c r="E146" i="8"/>
  <c r="CL145" i="8"/>
  <c r="CK145" i="8"/>
  <c r="CJ145" i="8"/>
  <c r="CG145" i="8"/>
  <c r="CF145" i="8"/>
  <c r="CE145" i="8"/>
  <c r="CB145" i="8"/>
  <c r="CA145" i="8"/>
  <c r="BZ145" i="8"/>
  <c r="BW145" i="8"/>
  <c r="BV145" i="8"/>
  <c r="BU145" i="8"/>
  <c r="BR145" i="8"/>
  <c r="BQ145" i="8"/>
  <c r="BP145" i="8"/>
  <c r="BM145" i="8"/>
  <c r="F145" i="8"/>
  <c r="E145" i="8"/>
  <c r="E147" i="8" s="1"/>
  <c r="CI143" i="8"/>
  <c r="CD143" i="8"/>
  <c r="BY143" i="8"/>
  <c r="BT143" i="8"/>
  <c r="BQ143" i="8"/>
  <c r="BQ146" i="8" s="1"/>
  <c r="BO143" i="8"/>
  <c r="AZ143" i="8"/>
  <c r="AU143" i="8"/>
  <c r="AP143" i="8"/>
  <c r="AK143" i="8"/>
  <c r="AA143" i="8"/>
  <c r="V143" i="8"/>
  <c r="Q143" i="8"/>
  <c r="L143" i="8"/>
  <c r="G143" i="8"/>
  <c r="F143" i="8"/>
  <c r="DB142" i="8"/>
  <c r="DB141" i="8"/>
  <c r="DB160" i="8" s="1"/>
  <c r="DB140" i="8"/>
  <c r="DB137" i="8"/>
  <c r="DB135" i="8"/>
  <c r="DB134" i="8"/>
  <c r="DB133" i="8"/>
  <c r="DB132" i="8"/>
  <c r="DB131" i="8"/>
  <c r="DB130" i="8"/>
  <c r="DB129" i="8"/>
  <c r="DB128" i="8"/>
  <c r="CW142" i="8"/>
  <c r="CW141" i="8"/>
  <c r="CW160" i="8" s="1"/>
  <c r="CW140" i="8"/>
  <c r="CW137" i="8"/>
  <c r="CW135" i="8"/>
  <c r="CW134" i="8"/>
  <c r="CW133" i="8"/>
  <c r="CW132" i="8"/>
  <c r="CW131" i="8"/>
  <c r="CW130" i="8"/>
  <c r="CW129" i="8"/>
  <c r="CW128" i="8"/>
  <c r="CR142" i="8"/>
  <c r="CR141" i="8"/>
  <c r="CR160" i="8" s="1"/>
  <c r="CR140" i="8"/>
  <c r="CR137" i="8"/>
  <c r="CR135" i="8"/>
  <c r="CR134" i="8"/>
  <c r="CR133" i="8"/>
  <c r="CR132" i="8"/>
  <c r="CR131" i="8"/>
  <c r="CR130" i="8"/>
  <c r="CR129" i="8"/>
  <c r="CR128" i="8"/>
  <c r="CM142" i="8"/>
  <c r="CM141" i="8"/>
  <c r="CM160" i="8" s="1"/>
  <c r="CH142" i="8"/>
  <c r="CH141" i="8"/>
  <c r="CH160" i="8" s="1"/>
  <c r="CH138" i="8"/>
  <c r="CH134" i="8"/>
  <c r="CH133" i="8"/>
  <c r="CH132" i="8"/>
  <c r="CH131" i="8"/>
  <c r="CC142" i="8"/>
  <c r="CC141" i="8"/>
  <c r="CC160" i="8" s="1"/>
  <c r="CC138" i="8"/>
  <c r="CC133" i="8"/>
  <c r="CC131" i="8"/>
  <c r="BS142" i="8"/>
  <c r="BS141" i="8"/>
  <c r="BS133" i="8"/>
  <c r="BK142" i="8"/>
  <c r="BK141" i="8"/>
  <c r="AT140" i="8"/>
  <c r="Z140" i="8"/>
  <c r="BU142" i="8"/>
  <c r="BU141" i="8"/>
  <c r="BF142" i="8"/>
  <c r="BG142" i="8" s="1"/>
  <c r="BF141" i="8"/>
  <c r="BG141" i="8" s="1"/>
  <c r="BH141" i="8" s="1"/>
  <c r="BA142" i="8"/>
  <c r="BB142" i="8" s="1"/>
  <c r="BC142" i="8" s="1"/>
  <c r="BA141" i="8"/>
  <c r="BB141" i="8" s="1"/>
  <c r="BC141" i="8" s="1"/>
  <c r="AX142" i="8"/>
  <c r="AY142" i="8" s="1"/>
  <c r="AX141" i="8"/>
  <c r="AY141" i="8" s="1"/>
  <c r="AQ142" i="8"/>
  <c r="AQ141" i="8"/>
  <c r="AR141" i="8" s="1"/>
  <c r="AL142" i="8"/>
  <c r="AM142" i="8" s="1"/>
  <c r="AN142" i="8" s="1"/>
  <c r="AL141" i="8"/>
  <c r="AM141" i="8" s="1"/>
  <c r="AN141" i="8" s="1"/>
  <c r="AG142" i="8"/>
  <c r="AH142" i="8" s="1"/>
  <c r="AI142" i="8" s="1"/>
  <c r="AG141" i="8"/>
  <c r="AH141" i="8" s="1"/>
  <c r="AI141" i="8" s="1"/>
  <c r="AB142" i="8"/>
  <c r="AC142" i="8" s="1"/>
  <c r="AD142" i="8" s="1"/>
  <c r="AB141" i="8"/>
  <c r="AC141" i="8" s="1"/>
  <c r="AD141" i="8" s="1"/>
  <c r="W142" i="8"/>
  <c r="X142" i="8" s="1"/>
  <c r="W141" i="8"/>
  <c r="R142" i="8"/>
  <c r="S142" i="8" s="1"/>
  <c r="R141" i="8"/>
  <c r="S141" i="8" s="1"/>
  <c r="M142" i="8"/>
  <c r="N142" i="8" s="1"/>
  <c r="M141" i="8"/>
  <c r="N141" i="8" s="1"/>
  <c r="H142" i="8"/>
  <c r="I142" i="8" s="1"/>
  <c r="H141" i="8"/>
  <c r="I141" i="8" s="1"/>
  <c r="BR140" i="8"/>
  <c r="BR139" i="8"/>
  <c r="BP140" i="8"/>
  <c r="BS140" i="8" s="1"/>
  <c r="BP139" i="8"/>
  <c r="BS139" i="8" s="1"/>
  <c r="BP138" i="8"/>
  <c r="BS138" i="8" s="1"/>
  <c r="BP137" i="8"/>
  <c r="BP136" i="8"/>
  <c r="BS136" i="8" s="1"/>
  <c r="BP135" i="8"/>
  <c r="BS135" i="8" s="1"/>
  <c r="BP134" i="8"/>
  <c r="BS134" i="8" s="1"/>
  <c r="BL140" i="8"/>
  <c r="BI140" i="8"/>
  <c r="BD140" i="8"/>
  <c r="AY140" i="8"/>
  <c r="AY138" i="8"/>
  <c r="AO140" i="8"/>
  <c r="AJ140" i="8"/>
  <c r="AE140" i="8"/>
  <c r="U140" i="8"/>
  <c r="P140" i="8"/>
  <c r="K140" i="8"/>
  <c r="CE140" i="8"/>
  <c r="CG139" i="8"/>
  <c r="CF139" i="8"/>
  <c r="CE139" i="8"/>
  <c r="CA140" i="8"/>
  <c r="CB140" i="8" s="1"/>
  <c r="BZ140" i="8"/>
  <c r="BZ139" i="8"/>
  <c r="BE139" i="8"/>
  <c r="BE143" i="8" s="1"/>
  <c r="AV139" i="8"/>
  <c r="AW139" i="8" s="1"/>
  <c r="AX139" i="8" s="1"/>
  <c r="DA138" i="8"/>
  <c r="CZ138" i="8"/>
  <c r="CY138" i="8"/>
  <c r="CX138" i="8"/>
  <c r="CU138" i="8"/>
  <c r="CT138" i="8"/>
  <c r="CS138" i="8"/>
  <c r="CQ138" i="8"/>
  <c r="CP138" i="8"/>
  <c r="CO138" i="8"/>
  <c r="BK139" i="8"/>
  <c r="BJ139" i="8"/>
  <c r="BL139" i="8" s="1"/>
  <c r="BJ138" i="8"/>
  <c r="BK138" i="8" s="1"/>
  <c r="BR137" i="8"/>
  <c r="BR136" i="8"/>
  <c r="BR135" i="8"/>
  <c r="BR134" i="8"/>
  <c r="BK137" i="8"/>
  <c r="BL137" i="8" s="1"/>
  <c r="BK136" i="8"/>
  <c r="BL136" i="8" s="1"/>
  <c r="BM136" i="8" s="1"/>
  <c r="BK135" i="8"/>
  <c r="BL135" i="8" s="1"/>
  <c r="BK134" i="8"/>
  <c r="BL134" i="8" s="1"/>
  <c r="BM134" i="8" s="1"/>
  <c r="BK133" i="8"/>
  <c r="BK132" i="8"/>
  <c r="BK131" i="8"/>
  <c r="BK129" i="8"/>
  <c r="BK128" i="8"/>
  <c r="DA136" i="8"/>
  <c r="CZ136" i="8"/>
  <c r="CY136" i="8"/>
  <c r="CX136" i="8"/>
  <c r="CU136" i="8"/>
  <c r="CT136" i="8"/>
  <c r="CS136" i="8"/>
  <c r="CQ136" i="8"/>
  <c r="CP136" i="8"/>
  <c r="CO136" i="8"/>
  <c r="CN136" i="8"/>
  <c r="CE137" i="8"/>
  <c r="CG136" i="8"/>
  <c r="CF136" i="8"/>
  <c r="CE136" i="8"/>
  <c r="CF135" i="8"/>
  <c r="CG135" i="8" s="1"/>
  <c r="CE135" i="8"/>
  <c r="BZ137" i="8"/>
  <c r="BZ136" i="8"/>
  <c r="CA136" i="8" s="1"/>
  <c r="CB136" i="8" s="1"/>
  <c r="CB135" i="8"/>
  <c r="CA135" i="8"/>
  <c r="BZ135" i="8"/>
  <c r="CB134" i="8"/>
  <c r="CC134" i="8" s="1"/>
  <c r="BW140" i="8"/>
  <c r="BV140" i="8"/>
  <c r="BU140" i="8"/>
  <c r="BX140" i="8" s="1"/>
  <c r="BV139" i="8"/>
  <c r="BW139" i="8" s="1"/>
  <c r="BU139" i="8"/>
  <c r="BU138" i="8"/>
  <c r="BU137" i="8"/>
  <c r="BV137" i="8" s="1"/>
  <c r="BW136" i="8"/>
  <c r="BV136" i="8"/>
  <c r="BU136" i="8"/>
  <c r="BX136" i="8" s="1"/>
  <c r="BV135" i="8"/>
  <c r="BW135" i="8" s="1"/>
  <c r="BU135" i="8"/>
  <c r="BU134" i="8"/>
  <c r="AV137" i="8"/>
  <c r="AW137" i="8" s="1"/>
  <c r="AX137" i="8" s="1"/>
  <c r="AX136" i="8"/>
  <c r="AW136" i="8"/>
  <c r="AV136" i="8"/>
  <c r="AY136" i="8" s="1"/>
  <c r="AW135" i="8"/>
  <c r="AX135" i="8" s="1"/>
  <c r="AV135" i="8"/>
  <c r="AY135" i="8" s="1"/>
  <c r="AV134" i="8"/>
  <c r="AW134" i="8" s="1"/>
  <c r="AX134" i="8" s="1"/>
  <c r="BV133" i="8"/>
  <c r="BX133" i="8" s="1"/>
  <c r="BV132" i="8"/>
  <c r="BX132" i="8" s="1"/>
  <c r="BV129" i="8"/>
  <c r="CB132" i="8"/>
  <c r="BW132" i="8"/>
  <c r="BW129" i="8"/>
  <c r="BR132" i="8"/>
  <c r="BR129" i="8"/>
  <c r="BR128" i="8"/>
  <c r="BP132" i="8"/>
  <c r="BS132" i="8" s="1"/>
  <c r="BP131" i="8"/>
  <c r="BP130" i="8"/>
  <c r="BP129" i="8"/>
  <c r="BP128" i="8"/>
  <c r="BS128" i="8" s="1"/>
  <c r="AV132" i="8"/>
  <c r="AV131" i="8"/>
  <c r="AV130" i="8"/>
  <c r="AV129" i="8"/>
  <c r="AV128" i="8"/>
  <c r="BU131" i="8"/>
  <c r="BV131" i="8" s="1"/>
  <c r="BU130" i="8"/>
  <c r="BU129" i="8"/>
  <c r="BX129" i="8" s="1"/>
  <c r="BU128" i="8"/>
  <c r="BL131" i="8"/>
  <c r="BL129" i="8"/>
  <c r="BL128" i="8"/>
  <c r="BC139" i="8"/>
  <c r="BB139" i="8"/>
  <c r="BA139" i="8"/>
  <c r="BD139" i="8" s="1"/>
  <c r="BB138" i="8"/>
  <c r="BA138" i="8"/>
  <c r="BA137" i="8"/>
  <c r="BA136" i="8"/>
  <c r="BB136" i="8" s="1"/>
  <c r="BC135" i="8"/>
  <c r="BB135" i="8"/>
  <c r="BA135" i="8"/>
  <c r="BD135" i="8" s="1"/>
  <c r="BB134" i="8"/>
  <c r="BA134" i="8"/>
  <c r="BA133" i="8"/>
  <c r="BA132" i="8"/>
  <c r="BC131" i="8"/>
  <c r="BB131" i="8"/>
  <c r="BA131" i="8"/>
  <c r="BD131" i="8" s="1"/>
  <c r="BJ130" i="8"/>
  <c r="BJ143" i="8" s="1"/>
  <c r="BA130" i="8"/>
  <c r="BA129" i="8"/>
  <c r="BA128" i="8"/>
  <c r="AF130" i="8"/>
  <c r="AF143" i="8" s="1"/>
  <c r="T139" i="8"/>
  <c r="S139" i="8"/>
  <c r="R139" i="8"/>
  <c r="U139" i="8" s="1"/>
  <c r="S138" i="8"/>
  <c r="R138" i="8"/>
  <c r="T138" i="8" s="1"/>
  <c r="R137" i="8"/>
  <c r="S137" i="8" s="1"/>
  <c r="T136" i="8"/>
  <c r="S136" i="8"/>
  <c r="R136" i="8"/>
  <c r="U136" i="8" s="1"/>
  <c r="T135" i="8"/>
  <c r="S135" i="8"/>
  <c r="R135" i="8"/>
  <c r="U135" i="8" s="1"/>
  <c r="S134" i="8"/>
  <c r="R134" i="8"/>
  <c r="T134" i="8" s="1"/>
  <c r="R133" i="8"/>
  <c r="S133" i="8" s="1"/>
  <c r="T132" i="8"/>
  <c r="S132" i="8"/>
  <c r="R132" i="8"/>
  <c r="S131" i="8"/>
  <c r="T131" i="8" s="1"/>
  <c r="R131" i="8"/>
  <c r="S130" i="8"/>
  <c r="R130" i="8"/>
  <c r="T130" i="8" s="1"/>
  <c r="CE130" i="8"/>
  <c r="CF130" i="8" s="1"/>
  <c r="CG130" i="8" s="1"/>
  <c r="CG129" i="8"/>
  <c r="CF129" i="8"/>
  <c r="CE129" i="8"/>
  <c r="BB129" i="8"/>
  <c r="BB128" i="8"/>
  <c r="T129" i="8"/>
  <c r="U129" i="8" s="1"/>
  <c r="CK140" i="8"/>
  <c r="CL140" i="8" s="1"/>
  <c r="CJ140" i="8"/>
  <c r="CJ139" i="8"/>
  <c r="CJ138" i="8"/>
  <c r="CL137" i="8"/>
  <c r="CK137" i="8"/>
  <c r="CJ137" i="8"/>
  <c r="CK136" i="8"/>
  <c r="CL136" i="8" s="1"/>
  <c r="CJ136" i="8"/>
  <c r="CJ135" i="8"/>
  <c r="CJ134" i="8"/>
  <c r="CL133" i="8"/>
  <c r="CK133" i="8"/>
  <c r="CJ133" i="8"/>
  <c r="CK132" i="8"/>
  <c r="CJ132" i="8"/>
  <c r="CJ131" i="8"/>
  <c r="CJ130" i="8"/>
  <c r="CL129" i="8"/>
  <c r="CK129" i="8"/>
  <c r="CJ129" i="8"/>
  <c r="CK128" i="8"/>
  <c r="CJ128" i="8"/>
  <c r="CF128" i="8"/>
  <c r="CA130" i="8"/>
  <c r="CB130" i="8" s="1"/>
  <c r="BZ130" i="8"/>
  <c r="BZ129" i="8"/>
  <c r="BZ128" i="8"/>
  <c r="BN142" i="8"/>
  <c r="BM142" i="8"/>
  <c r="BM141" i="8"/>
  <c r="BN141" i="8" s="1"/>
  <c r="BN140" i="8"/>
  <c r="BM140" i="8"/>
  <c r="BN136" i="8"/>
  <c r="BM135" i="8"/>
  <c r="BN134" i="8"/>
  <c r="BM133" i="8"/>
  <c r="BN133" i="8" s="1"/>
  <c r="BN132" i="8"/>
  <c r="BM132" i="8"/>
  <c r="BM131" i="8"/>
  <c r="BN131" i="8" s="1"/>
  <c r="BM129" i="8"/>
  <c r="BN129" i="8" s="1"/>
  <c r="BM128" i="8"/>
  <c r="BF138" i="8"/>
  <c r="BF137" i="8"/>
  <c r="BG136" i="8"/>
  <c r="BH136" i="8" s="1"/>
  <c r="BF136" i="8"/>
  <c r="BF135" i="8"/>
  <c r="BF134" i="8"/>
  <c r="BF133" i="8"/>
  <c r="BG132" i="8"/>
  <c r="BF132" i="8"/>
  <c r="BF131" i="8"/>
  <c r="BF130" i="8"/>
  <c r="BF129" i="8"/>
  <c r="BG128" i="8"/>
  <c r="BF128" i="8"/>
  <c r="AX133" i="8"/>
  <c r="AW133" i="8"/>
  <c r="AX132" i="8"/>
  <c r="AW132" i="8"/>
  <c r="AX131" i="8"/>
  <c r="AW131" i="8"/>
  <c r="AX130" i="8"/>
  <c r="AW130" i="8"/>
  <c r="AX129" i="8"/>
  <c r="AW129" i="8"/>
  <c r="AX128" i="8"/>
  <c r="AW128" i="8"/>
  <c r="AQ139" i="8"/>
  <c r="AQ138" i="8"/>
  <c r="AQ137" i="8"/>
  <c r="AR136" i="8"/>
  <c r="AS136" i="8" s="1"/>
  <c r="AQ136" i="8"/>
  <c r="AQ135" i="8"/>
  <c r="AQ134" i="8"/>
  <c r="AQ133" i="8"/>
  <c r="AR132" i="8"/>
  <c r="AQ132" i="8"/>
  <c r="AQ131" i="8"/>
  <c r="AQ130" i="8"/>
  <c r="AQ129" i="8"/>
  <c r="AR128" i="8"/>
  <c r="AQ128" i="8"/>
  <c r="AL139" i="8"/>
  <c r="AL138" i="8"/>
  <c r="AL137" i="8"/>
  <c r="AM136" i="8"/>
  <c r="AN136" i="8" s="1"/>
  <c r="AL136" i="8"/>
  <c r="AL135" i="8"/>
  <c r="AL134" i="8"/>
  <c r="AL133" i="8"/>
  <c r="AM132" i="8"/>
  <c r="AL132" i="8"/>
  <c r="AL131" i="8"/>
  <c r="AL130" i="8"/>
  <c r="AM129" i="8"/>
  <c r="AN129" i="8" s="1"/>
  <c r="AL129" i="8"/>
  <c r="AL128" i="8"/>
  <c r="AH139" i="8"/>
  <c r="AG139" i="8"/>
  <c r="AG138" i="8"/>
  <c r="AH137" i="8"/>
  <c r="AI137" i="8" s="1"/>
  <c r="AG137" i="8"/>
  <c r="AG136" i="8"/>
  <c r="AH135" i="8"/>
  <c r="AG135" i="8"/>
  <c r="AG134" i="8"/>
  <c r="AH133" i="8"/>
  <c r="AI133" i="8" s="1"/>
  <c r="AG133" i="8"/>
  <c r="AG132" i="8"/>
  <c r="AH131" i="8"/>
  <c r="AG131" i="8"/>
  <c r="AG130" i="8"/>
  <c r="AH130" i="8" s="1"/>
  <c r="AI130" i="8" s="1"/>
  <c r="AH129" i="8"/>
  <c r="AI129" i="8" s="1"/>
  <c r="AG129" i="8"/>
  <c r="AG128" i="8"/>
  <c r="AB139" i="8"/>
  <c r="AB138" i="8"/>
  <c r="AC137" i="8"/>
  <c r="AD137" i="8" s="1"/>
  <c r="AB137" i="8"/>
  <c r="AB136" i="8"/>
  <c r="AB135" i="8"/>
  <c r="AB134" i="8"/>
  <c r="AC133" i="8"/>
  <c r="AD133" i="8" s="1"/>
  <c r="AB133" i="8"/>
  <c r="AB132" i="8"/>
  <c r="AB131" i="8"/>
  <c r="AB130" i="8"/>
  <c r="AC129" i="8"/>
  <c r="AD129" i="8" s="1"/>
  <c r="AB129" i="8"/>
  <c r="AB128" i="8"/>
  <c r="W139" i="8"/>
  <c r="W138" i="8"/>
  <c r="X137" i="8"/>
  <c r="Y137" i="8" s="1"/>
  <c r="W137" i="8"/>
  <c r="W136" i="8"/>
  <c r="W135" i="8"/>
  <c r="W134" i="8"/>
  <c r="X133" i="8"/>
  <c r="Y133" i="8" s="1"/>
  <c r="W133" i="8"/>
  <c r="W132" i="8"/>
  <c r="W131" i="8"/>
  <c r="W130" i="8"/>
  <c r="Y129" i="8"/>
  <c r="X129" i="8"/>
  <c r="W129" i="8"/>
  <c r="X128" i="8"/>
  <c r="W128" i="8"/>
  <c r="R128" i="8"/>
  <c r="O139" i="8"/>
  <c r="N139" i="8"/>
  <c r="M139" i="8"/>
  <c r="N138" i="8"/>
  <c r="M138" i="8"/>
  <c r="M137" i="8"/>
  <c r="M136" i="8"/>
  <c r="O135" i="8"/>
  <c r="N135" i="8"/>
  <c r="M135" i="8"/>
  <c r="N134" i="8"/>
  <c r="M134" i="8"/>
  <c r="M133" i="8"/>
  <c r="M132" i="8"/>
  <c r="O131" i="8"/>
  <c r="N131" i="8"/>
  <c r="M131" i="8"/>
  <c r="N130" i="8"/>
  <c r="M130" i="8"/>
  <c r="M129" i="8"/>
  <c r="M128" i="8"/>
  <c r="J139" i="8"/>
  <c r="I139" i="8"/>
  <c r="H139" i="8"/>
  <c r="I138" i="8"/>
  <c r="H138" i="8"/>
  <c r="H137" i="8"/>
  <c r="H136" i="8"/>
  <c r="J135" i="8"/>
  <c r="I135" i="8"/>
  <c r="H135" i="8"/>
  <c r="I134" i="8"/>
  <c r="H134" i="8"/>
  <c r="H133" i="8"/>
  <c r="H132" i="8"/>
  <c r="J131" i="8"/>
  <c r="I131" i="8"/>
  <c r="H131" i="8"/>
  <c r="I130" i="8"/>
  <c r="H130" i="8"/>
  <c r="H129" i="8"/>
  <c r="H128" i="8"/>
  <c r="CI126" i="8"/>
  <c r="BO126" i="8"/>
  <c r="BJ126" i="8"/>
  <c r="BE126" i="8"/>
  <c r="AZ126" i="8"/>
  <c r="AU126" i="8"/>
  <c r="AP126" i="8"/>
  <c r="AK126" i="8"/>
  <c r="AF126" i="8"/>
  <c r="AA126" i="8"/>
  <c r="V126" i="8"/>
  <c r="Q126" i="8"/>
  <c r="L126" i="8"/>
  <c r="G126" i="8"/>
  <c r="F126" i="8"/>
  <c r="DB125" i="8"/>
  <c r="DB124" i="8"/>
  <c r="CW125" i="8"/>
  <c r="CW124" i="8"/>
  <c r="CR125" i="8"/>
  <c r="CR124" i="8"/>
  <c r="CK125" i="8"/>
  <c r="CL125" i="8" s="1"/>
  <c r="CJ125" i="8"/>
  <c r="CI125" i="8"/>
  <c r="CD125" i="8"/>
  <c r="CE125" i="8" s="1"/>
  <c r="CF125" i="8" s="1"/>
  <c r="CG125" i="8" s="1"/>
  <c r="BY125" i="8"/>
  <c r="BZ125" i="8" s="1"/>
  <c r="CA125" i="8" s="1"/>
  <c r="CB125" i="8" s="1"/>
  <c r="BU125" i="8"/>
  <c r="BT125" i="8"/>
  <c r="BT126" i="8" s="1"/>
  <c r="BP125" i="8"/>
  <c r="BK125" i="8"/>
  <c r="BA125" i="8"/>
  <c r="BS124" i="8"/>
  <c r="BS121" i="8"/>
  <c r="BK124" i="8"/>
  <c r="BK123" i="8"/>
  <c r="BK122" i="8"/>
  <c r="BK153" i="8" s="1"/>
  <c r="BK121" i="8"/>
  <c r="BK126" i="8" s="1"/>
  <c r="CJ124" i="8"/>
  <c r="CK124" i="8" s="1"/>
  <c r="CL124" i="8" s="1"/>
  <c r="CJ123" i="8"/>
  <c r="CK123" i="8" s="1"/>
  <c r="CL123" i="8" s="1"/>
  <c r="BR121" i="8"/>
  <c r="BP123" i="8"/>
  <c r="BP122" i="8"/>
  <c r="BP153" i="8" s="1"/>
  <c r="BP121" i="8"/>
  <c r="BP126" i="8" s="1"/>
  <c r="BL123" i="8"/>
  <c r="BM123" i="8" s="1"/>
  <c r="BN123" i="8" s="1"/>
  <c r="BL122" i="8"/>
  <c r="BL153" i="8" s="1"/>
  <c r="BA123" i="8"/>
  <c r="BA122" i="8"/>
  <c r="BA153" i="8" s="1"/>
  <c r="BA121" i="8"/>
  <c r="BB121" i="8" s="1"/>
  <c r="CJ122" i="8"/>
  <c r="CJ153" i="8" s="1"/>
  <c r="DB121" i="8"/>
  <c r="CW121" i="8"/>
  <c r="CR121" i="8"/>
  <c r="CL121" i="8"/>
  <c r="CK121" i="8"/>
  <c r="CM121" i="8" s="1"/>
  <c r="CJ121" i="8"/>
  <c r="CJ126" i="8" s="1"/>
  <c r="CG124" i="8"/>
  <c r="CF124" i="8"/>
  <c r="CH124" i="8" s="1"/>
  <c r="CE124" i="8"/>
  <c r="CG123" i="8"/>
  <c r="CF123" i="8"/>
  <c r="CH123" i="8" s="1"/>
  <c r="CE123" i="8"/>
  <c r="CG122" i="8"/>
  <c r="CG153" i="8" s="1"/>
  <c r="CF122" i="8"/>
  <c r="CF153" i="8" s="1"/>
  <c r="CE122" i="8"/>
  <c r="CE153" i="8" s="1"/>
  <c r="CG121" i="8"/>
  <c r="CG126" i="8" s="1"/>
  <c r="CF121" i="8"/>
  <c r="CF126" i="8" s="1"/>
  <c r="CE121" i="8"/>
  <c r="CE126" i="8" s="1"/>
  <c r="CB124" i="8"/>
  <c r="CA124" i="8"/>
  <c r="CC124" i="8" s="1"/>
  <c r="BZ124" i="8"/>
  <c r="CB123" i="8"/>
  <c r="CA123" i="8"/>
  <c r="CC123" i="8" s="1"/>
  <c r="BZ123" i="8"/>
  <c r="CB122" i="8"/>
  <c r="CB153" i="8" s="1"/>
  <c r="CA122" i="8"/>
  <c r="CA153" i="8" s="1"/>
  <c r="BZ122" i="8"/>
  <c r="BZ153" i="8" s="1"/>
  <c r="CB121" i="8"/>
  <c r="CB126" i="8" s="1"/>
  <c r="CA121" i="8"/>
  <c r="CA126" i="8" s="1"/>
  <c r="BZ121" i="8"/>
  <c r="BZ126" i="8" s="1"/>
  <c r="BW124" i="8"/>
  <c r="BV124" i="8"/>
  <c r="BX124" i="8" s="1"/>
  <c r="BU124" i="8"/>
  <c r="BW123" i="8"/>
  <c r="BV123" i="8"/>
  <c r="BX123" i="8" s="1"/>
  <c r="BU123" i="8"/>
  <c r="BW122" i="8"/>
  <c r="BW153" i="8" s="1"/>
  <c r="BV122" i="8"/>
  <c r="BV153" i="8" s="1"/>
  <c r="BU122" i="8"/>
  <c r="BU153" i="8" s="1"/>
  <c r="BW121" i="8"/>
  <c r="BV121" i="8"/>
  <c r="BX121" i="8" s="1"/>
  <c r="BU121" i="8"/>
  <c r="BU126" i="8" s="1"/>
  <c r="BM124" i="8"/>
  <c r="BN124" i="8" s="1"/>
  <c r="BM122" i="8"/>
  <c r="BM153" i="8" s="1"/>
  <c r="BH125" i="8"/>
  <c r="BG125" i="8"/>
  <c r="BI125" i="8" s="1"/>
  <c r="BF125" i="8"/>
  <c r="BH124" i="8"/>
  <c r="BG124" i="8"/>
  <c r="BI124" i="8" s="1"/>
  <c r="BF124" i="8"/>
  <c r="BH123" i="8"/>
  <c r="BG123" i="8"/>
  <c r="BI123" i="8" s="1"/>
  <c r="BF123" i="8"/>
  <c r="BH122" i="8"/>
  <c r="BH153" i="8" s="1"/>
  <c r="BG122" i="8"/>
  <c r="BG153" i="8" s="1"/>
  <c r="BF122" i="8"/>
  <c r="BF153" i="8" s="1"/>
  <c r="BH121" i="8"/>
  <c r="BH126" i="8" s="1"/>
  <c r="BG121" i="8"/>
  <c r="BG126" i="8" s="1"/>
  <c r="BF121" i="8"/>
  <c r="BF126" i="8" s="1"/>
  <c r="BC124" i="8"/>
  <c r="BB124" i="8"/>
  <c r="BD124" i="8" s="1"/>
  <c r="BB123" i="8"/>
  <c r="BB122" i="8"/>
  <c r="BB153" i="8" s="1"/>
  <c r="AX125" i="8"/>
  <c r="AW125" i="8"/>
  <c r="AY125" i="8" s="1"/>
  <c r="AV125" i="8"/>
  <c r="AX124" i="8"/>
  <c r="AW124" i="8"/>
  <c r="AY124" i="8" s="1"/>
  <c r="AV124" i="8"/>
  <c r="AX123" i="8"/>
  <c r="AW123" i="8"/>
  <c r="AY123" i="8" s="1"/>
  <c r="AV123" i="8"/>
  <c r="AX122" i="8"/>
  <c r="AX153" i="8" s="1"/>
  <c r="AW122" i="8"/>
  <c r="AW153" i="8" s="1"/>
  <c r="AV122" i="8"/>
  <c r="AV153" i="8" s="1"/>
  <c r="AX121" i="8"/>
  <c r="AX126" i="8" s="1"/>
  <c r="AW121" i="8"/>
  <c r="AY121" i="8" s="1"/>
  <c r="AV121" i="8"/>
  <c r="AV126" i="8" s="1"/>
  <c r="AS125" i="8"/>
  <c r="AR125" i="8"/>
  <c r="AT125" i="8" s="1"/>
  <c r="AQ125" i="8"/>
  <c r="AS124" i="8"/>
  <c r="AR124" i="8"/>
  <c r="AT124" i="8" s="1"/>
  <c r="AQ124" i="8"/>
  <c r="AS123" i="8"/>
  <c r="AR123" i="8"/>
  <c r="AT123" i="8" s="1"/>
  <c r="AQ123" i="8"/>
  <c r="AS122" i="8"/>
  <c r="AS153" i="8" s="1"/>
  <c r="AR122" i="8"/>
  <c r="AR153" i="8" s="1"/>
  <c r="AQ122" i="8"/>
  <c r="AQ153" i="8" s="1"/>
  <c r="AS121" i="8"/>
  <c r="AS126" i="8" s="1"/>
  <c r="AR121" i="8"/>
  <c r="AT121" i="8" s="1"/>
  <c r="AQ121" i="8"/>
  <c r="AQ126" i="8" s="1"/>
  <c r="AN125" i="8"/>
  <c r="AM125" i="8"/>
  <c r="AO125" i="8" s="1"/>
  <c r="AL125" i="8"/>
  <c r="AN124" i="8"/>
  <c r="AM124" i="8"/>
  <c r="AO124" i="8" s="1"/>
  <c r="AL124" i="8"/>
  <c r="AN123" i="8"/>
  <c r="AM123" i="8"/>
  <c r="AO123" i="8" s="1"/>
  <c r="AL123" i="8"/>
  <c r="AN122" i="8"/>
  <c r="AN153" i="8" s="1"/>
  <c r="AM122" i="8"/>
  <c r="AM153" i="8" s="1"/>
  <c r="AL122" i="8"/>
  <c r="AL153" i="8" s="1"/>
  <c r="AN121" i="8"/>
  <c r="AN126" i="8" s="1"/>
  <c r="AM121" i="8"/>
  <c r="AM126" i="8" s="1"/>
  <c r="AL121" i="8"/>
  <c r="AL126" i="8" s="1"/>
  <c r="AI125" i="8"/>
  <c r="AH125" i="8"/>
  <c r="AJ125" i="8" s="1"/>
  <c r="AG125" i="8"/>
  <c r="AI124" i="8"/>
  <c r="AH124" i="8"/>
  <c r="AJ124" i="8" s="1"/>
  <c r="AG124" i="8"/>
  <c r="AI123" i="8"/>
  <c r="AH123" i="8"/>
  <c r="AJ123" i="8" s="1"/>
  <c r="AG123" i="8"/>
  <c r="AI122" i="8"/>
  <c r="AI153" i="8" s="1"/>
  <c r="AH122" i="8"/>
  <c r="AH153" i="8" s="1"/>
  <c r="AG122" i="8"/>
  <c r="AG153" i="8" s="1"/>
  <c r="AI121" i="8"/>
  <c r="AI126" i="8" s="1"/>
  <c r="AH121" i="8"/>
  <c r="AH126" i="8" s="1"/>
  <c r="AG121" i="8"/>
  <c r="AG126" i="8" s="1"/>
  <c r="AD125" i="8"/>
  <c r="AC125" i="8"/>
  <c r="AE125" i="8" s="1"/>
  <c r="AB125" i="8"/>
  <c r="AD124" i="8"/>
  <c r="AC124" i="8"/>
  <c r="AE124" i="8" s="1"/>
  <c r="AB124" i="8"/>
  <c r="AD123" i="8"/>
  <c r="AC123" i="8"/>
  <c r="AE123" i="8" s="1"/>
  <c r="AB123" i="8"/>
  <c r="AD122" i="8"/>
  <c r="AD153" i="8" s="1"/>
  <c r="AC122" i="8"/>
  <c r="AC153" i="8" s="1"/>
  <c r="AB122" i="8"/>
  <c r="AB153" i="8" s="1"/>
  <c r="AD121" i="8"/>
  <c r="AD126" i="8" s="1"/>
  <c r="AC121" i="8"/>
  <c r="AB121" i="8"/>
  <c r="AB126" i="8" s="1"/>
  <c r="Y125" i="8"/>
  <c r="X125" i="8"/>
  <c r="Z125" i="8" s="1"/>
  <c r="W125" i="8"/>
  <c r="Y124" i="8"/>
  <c r="X124" i="8"/>
  <c r="W124" i="8"/>
  <c r="Y123" i="8"/>
  <c r="X123" i="8"/>
  <c r="W123" i="8"/>
  <c r="Y122" i="8"/>
  <c r="Y153" i="8" s="1"/>
  <c r="X122" i="8"/>
  <c r="X153" i="8" s="1"/>
  <c r="W122" i="8"/>
  <c r="W153" i="8" s="1"/>
  <c r="Y121" i="8"/>
  <c r="X121" i="8"/>
  <c r="Z121" i="8" s="1"/>
  <c r="W121" i="8"/>
  <c r="W126" i="8" s="1"/>
  <c r="T125" i="8"/>
  <c r="S125" i="8"/>
  <c r="R125" i="8"/>
  <c r="T124" i="8"/>
  <c r="S124" i="8"/>
  <c r="R124" i="8"/>
  <c r="T123" i="8"/>
  <c r="S123" i="8"/>
  <c r="R123" i="8"/>
  <c r="S122" i="8"/>
  <c r="R122" i="8"/>
  <c r="R153" i="8" s="1"/>
  <c r="T121" i="8"/>
  <c r="S121" i="8"/>
  <c r="R121" i="8"/>
  <c r="R126" i="8" s="1"/>
  <c r="O125" i="8"/>
  <c r="N125" i="8"/>
  <c r="M125" i="8"/>
  <c r="O124" i="8"/>
  <c r="N124" i="8"/>
  <c r="M124" i="8"/>
  <c r="N123" i="8"/>
  <c r="M123" i="8"/>
  <c r="O122" i="8"/>
  <c r="O153" i="8" s="1"/>
  <c r="N122" i="8"/>
  <c r="M122" i="8"/>
  <c r="M153" i="8" s="1"/>
  <c r="O121" i="8"/>
  <c r="N121" i="8"/>
  <c r="M121" i="8"/>
  <c r="M126" i="8" s="1"/>
  <c r="J125" i="8"/>
  <c r="I125" i="8"/>
  <c r="H125" i="8"/>
  <c r="I124" i="8"/>
  <c r="H124" i="8"/>
  <c r="J123" i="8"/>
  <c r="I123" i="8"/>
  <c r="H123" i="8"/>
  <c r="J122" i="8"/>
  <c r="J153" i="8" s="1"/>
  <c r="I122" i="8"/>
  <c r="H122" i="8"/>
  <c r="H153" i="8" s="1"/>
  <c r="I121" i="8"/>
  <c r="H121" i="8"/>
  <c r="H126" i="8" s="1"/>
  <c r="BY118" i="8"/>
  <c r="BY150" i="8" s="1"/>
  <c r="CI117" i="8"/>
  <c r="CI118" i="8" s="1"/>
  <c r="CD117" i="8"/>
  <c r="BY117" i="8"/>
  <c r="BT117" i="8"/>
  <c r="AP118" i="8"/>
  <c r="AP150" i="8" s="1"/>
  <c r="V118" i="8"/>
  <c r="V150" i="8" s="1"/>
  <c r="BO117" i="8"/>
  <c r="BO118" i="8" s="1"/>
  <c r="BO150" i="8" s="1"/>
  <c r="BE117" i="8"/>
  <c r="AZ117" i="8"/>
  <c r="AU117" i="8"/>
  <c r="AU118" i="8" s="1"/>
  <c r="AU150" i="8" s="1"/>
  <c r="AP117" i="8"/>
  <c r="AK117" i="8"/>
  <c r="AF117" i="8"/>
  <c r="AA117" i="8"/>
  <c r="AA118" i="8" s="1"/>
  <c r="V117" i="8"/>
  <c r="Q117" i="8"/>
  <c r="L117" i="8"/>
  <c r="G117" i="8"/>
  <c r="G118" i="8" s="1"/>
  <c r="CL116" i="8"/>
  <c r="CM116" i="8" s="1"/>
  <c r="CK116" i="8"/>
  <c r="CJ116" i="8"/>
  <c r="BP116" i="8"/>
  <c r="BP115" i="8"/>
  <c r="BP114" i="8"/>
  <c r="BP117" i="8" s="1"/>
  <c r="BP113" i="8"/>
  <c r="BJ116" i="8"/>
  <c r="BJ117" i="8" s="1"/>
  <c r="BF116" i="8"/>
  <c r="BG116" i="8" s="1"/>
  <c r="F116" i="8"/>
  <c r="F117" i="8" s="1"/>
  <c r="F118" i="8" s="1"/>
  <c r="CJ115" i="8"/>
  <c r="CK115" i="8" s="1"/>
  <c r="CL114" i="8"/>
  <c r="CM114" i="8" s="1"/>
  <c r="CK114" i="8"/>
  <c r="CJ114" i="8"/>
  <c r="CK113" i="8"/>
  <c r="CJ113" i="8"/>
  <c r="CF116" i="8"/>
  <c r="CG116" i="8" s="1"/>
  <c r="CE116" i="8"/>
  <c r="CF115" i="8"/>
  <c r="CG115" i="8" s="1"/>
  <c r="CE115" i="8"/>
  <c r="CH115" i="8" s="1"/>
  <c r="CF114" i="8"/>
  <c r="CG114" i="8" s="1"/>
  <c r="CE114" i="8"/>
  <c r="CF113" i="8"/>
  <c r="CG113" i="8" s="1"/>
  <c r="CE113" i="8"/>
  <c r="CH113" i="8" s="1"/>
  <c r="CA116" i="8"/>
  <c r="CB116" i="8" s="1"/>
  <c r="BZ116" i="8"/>
  <c r="CA115" i="8"/>
  <c r="CB115" i="8" s="1"/>
  <c r="BZ115" i="8"/>
  <c r="CC115" i="8" s="1"/>
  <c r="CA114" i="8"/>
  <c r="CB114" i="8" s="1"/>
  <c r="BZ114" i="8"/>
  <c r="CA113" i="8"/>
  <c r="CB113" i="8" s="1"/>
  <c r="CB117" i="8" s="1"/>
  <c r="BZ113" i="8"/>
  <c r="CC113" i="8" s="1"/>
  <c r="BV116" i="8"/>
  <c r="BW116" i="8" s="1"/>
  <c r="BU116" i="8"/>
  <c r="BV115" i="8"/>
  <c r="BW115" i="8" s="1"/>
  <c r="BU115" i="8"/>
  <c r="BX115" i="8" s="1"/>
  <c r="BV114" i="8"/>
  <c r="BW114" i="8" s="1"/>
  <c r="BU114" i="8"/>
  <c r="BV113" i="8"/>
  <c r="BW113" i="8" s="1"/>
  <c r="BW117" i="8" s="1"/>
  <c r="BU113" i="8"/>
  <c r="BU117" i="8" s="1"/>
  <c r="BR116" i="8"/>
  <c r="BS116" i="8" s="1"/>
  <c r="BS115" i="8"/>
  <c r="BR115" i="8"/>
  <c r="BR114" i="8"/>
  <c r="BS114" i="8" s="1"/>
  <c r="BS113" i="8"/>
  <c r="BR113" i="8"/>
  <c r="BR117" i="8" s="1"/>
  <c r="BL115" i="8"/>
  <c r="BM115" i="8" s="1"/>
  <c r="BK115" i="8"/>
  <c r="BN115" i="8" s="1"/>
  <c r="BL114" i="8"/>
  <c r="BM114" i="8" s="1"/>
  <c r="BK114" i="8"/>
  <c r="BL113" i="8"/>
  <c r="BM113" i="8" s="1"/>
  <c r="BK113" i="8"/>
  <c r="BN113" i="8" s="1"/>
  <c r="BG115" i="8"/>
  <c r="BH115" i="8" s="1"/>
  <c r="BF115" i="8"/>
  <c r="BG114" i="8"/>
  <c r="BH114" i="8" s="1"/>
  <c r="BF114" i="8"/>
  <c r="BI114" i="8" s="1"/>
  <c r="BG113" i="8"/>
  <c r="BH113" i="8" s="1"/>
  <c r="BF113" i="8"/>
  <c r="BF117" i="8" s="1"/>
  <c r="BB116" i="8"/>
  <c r="BC116" i="8" s="1"/>
  <c r="BA116" i="8"/>
  <c r="BD116" i="8" s="1"/>
  <c r="BB115" i="8"/>
  <c r="BC115" i="8" s="1"/>
  <c r="BA115" i="8"/>
  <c r="BB114" i="8"/>
  <c r="BC114" i="8" s="1"/>
  <c r="BA114" i="8"/>
  <c r="BD114" i="8" s="1"/>
  <c r="BB113" i="8"/>
  <c r="BB117" i="8" s="1"/>
  <c r="BA113" i="8"/>
  <c r="AW116" i="8"/>
  <c r="AX116" i="8" s="1"/>
  <c r="AV116" i="8"/>
  <c r="AY116" i="8" s="1"/>
  <c r="AW115" i="8"/>
  <c r="AX115" i="8" s="1"/>
  <c r="AV115" i="8"/>
  <c r="AW114" i="8"/>
  <c r="AX114" i="8" s="1"/>
  <c r="AV114" i="8"/>
  <c r="AY114" i="8" s="1"/>
  <c r="AW113" i="8"/>
  <c r="AW117" i="8" s="1"/>
  <c r="AV113" i="8"/>
  <c r="AR116" i="8"/>
  <c r="AS116" i="8" s="1"/>
  <c r="AQ116" i="8"/>
  <c r="AT116" i="8" s="1"/>
  <c r="AR115" i="8"/>
  <c r="AS115" i="8" s="1"/>
  <c r="AQ115" i="8"/>
  <c r="AR114" i="8"/>
  <c r="AS114" i="8" s="1"/>
  <c r="AQ114" i="8"/>
  <c r="AT114" i="8" s="1"/>
  <c r="AR113" i="8"/>
  <c r="AS113" i="8" s="1"/>
  <c r="AS117" i="8" s="1"/>
  <c r="AQ113" i="8"/>
  <c r="AM116" i="8"/>
  <c r="AN116" i="8" s="1"/>
  <c r="AL116" i="8"/>
  <c r="AO116" i="8" s="1"/>
  <c r="AM115" i="8"/>
  <c r="AN115" i="8" s="1"/>
  <c r="AL115" i="8"/>
  <c r="AM114" i="8"/>
  <c r="AN114" i="8" s="1"/>
  <c r="AL114" i="8"/>
  <c r="AO114" i="8" s="1"/>
  <c r="AM113" i="8"/>
  <c r="AN113" i="8" s="1"/>
  <c r="AN117" i="8" s="1"/>
  <c r="AL113" i="8"/>
  <c r="AL117" i="8" s="1"/>
  <c r="AH116" i="8"/>
  <c r="AI116" i="8" s="1"/>
  <c r="AG116" i="8"/>
  <c r="AJ116" i="8" s="1"/>
  <c r="AH115" i="8"/>
  <c r="AI115" i="8" s="1"/>
  <c r="AG115" i="8"/>
  <c r="AH114" i="8"/>
  <c r="AI114" i="8" s="1"/>
  <c r="AG114" i="8"/>
  <c r="AJ114" i="8" s="1"/>
  <c r="AH113" i="8"/>
  <c r="AH117" i="8" s="1"/>
  <c r="AG113" i="8"/>
  <c r="AC116" i="8"/>
  <c r="AD116" i="8" s="1"/>
  <c r="AB116" i="8"/>
  <c r="AE116" i="8" s="1"/>
  <c r="AC115" i="8"/>
  <c r="AD115" i="8" s="1"/>
  <c r="AB115" i="8"/>
  <c r="AC114" i="8"/>
  <c r="AD114" i="8" s="1"/>
  <c r="AB114" i="8"/>
  <c r="AE114" i="8" s="1"/>
  <c r="AC113" i="8"/>
  <c r="AC117" i="8" s="1"/>
  <c r="AB113" i="8"/>
  <c r="X116" i="8"/>
  <c r="Y116" i="8" s="1"/>
  <c r="W116" i="8"/>
  <c r="Z116" i="8" s="1"/>
  <c r="X115" i="8"/>
  <c r="Y115" i="8" s="1"/>
  <c r="W115" i="8"/>
  <c r="X114" i="8"/>
  <c r="Y114" i="8" s="1"/>
  <c r="W114" i="8"/>
  <c r="Z114" i="8" s="1"/>
  <c r="X113" i="8"/>
  <c r="Y113" i="8" s="1"/>
  <c r="Y117" i="8" s="1"/>
  <c r="W113" i="8"/>
  <c r="S116" i="8"/>
  <c r="T116" i="8" s="1"/>
  <c r="R116" i="8"/>
  <c r="U116" i="8" s="1"/>
  <c r="S115" i="8"/>
  <c r="T115" i="8" s="1"/>
  <c r="R115" i="8"/>
  <c r="S114" i="8"/>
  <c r="T114" i="8" s="1"/>
  <c r="R114" i="8"/>
  <c r="U114" i="8" s="1"/>
  <c r="S113" i="8"/>
  <c r="T113" i="8" s="1"/>
  <c r="T117" i="8" s="1"/>
  <c r="R113" i="8"/>
  <c r="R117" i="8" s="1"/>
  <c r="N116" i="8"/>
  <c r="O116" i="8" s="1"/>
  <c r="M116" i="8"/>
  <c r="P116" i="8" s="1"/>
  <c r="N115" i="8"/>
  <c r="O115" i="8" s="1"/>
  <c r="M115" i="8"/>
  <c r="N114" i="8"/>
  <c r="O114" i="8" s="1"/>
  <c r="M114" i="8"/>
  <c r="P114" i="8" s="1"/>
  <c r="N113" i="8"/>
  <c r="N117" i="8" s="1"/>
  <c r="M113" i="8"/>
  <c r="I116" i="8"/>
  <c r="J116" i="8" s="1"/>
  <c r="H116" i="8"/>
  <c r="K116" i="8" s="1"/>
  <c r="I115" i="8"/>
  <c r="J115" i="8" s="1"/>
  <c r="H115" i="8"/>
  <c r="I114" i="8"/>
  <c r="J114" i="8" s="1"/>
  <c r="H114" i="8"/>
  <c r="K114" i="8" s="1"/>
  <c r="I113" i="8"/>
  <c r="I117" i="8" s="1"/>
  <c r="H113" i="8"/>
  <c r="BX112" i="8"/>
  <c r="BN112" i="8"/>
  <c r="BN103" i="8"/>
  <c r="BI112" i="8"/>
  <c r="BI104" i="8"/>
  <c r="BD112" i="8"/>
  <c r="BD104" i="8"/>
  <c r="AY112" i="8"/>
  <c r="AT112" i="8"/>
  <c r="AO112" i="8"/>
  <c r="AJ112" i="8"/>
  <c r="AE112" i="8"/>
  <c r="Z112" i="8"/>
  <c r="U112" i="8"/>
  <c r="U108" i="8"/>
  <c r="P112" i="8"/>
  <c r="K112" i="8"/>
  <c r="CL111" i="8"/>
  <c r="CM111" i="8" s="1"/>
  <c r="CK111" i="8"/>
  <c r="CJ111" i="8"/>
  <c r="CD111" i="8"/>
  <c r="CC111" i="8"/>
  <c r="BZ111" i="8"/>
  <c r="CA111" i="8" s="1"/>
  <c r="CB111" i="8" s="1"/>
  <c r="BW111" i="8"/>
  <c r="BV111" i="8"/>
  <c r="BX111" i="8" s="1"/>
  <c r="BU111" i="8"/>
  <c r="BP111" i="8"/>
  <c r="BM111" i="8"/>
  <c r="BL111" i="8"/>
  <c r="BK111" i="8"/>
  <c r="BN111" i="8" s="1"/>
  <c r="BG111" i="8"/>
  <c r="BH111" i="8" s="1"/>
  <c r="BF111" i="8"/>
  <c r="BE111" i="8"/>
  <c r="BE118" i="8" s="1"/>
  <c r="BB111" i="8"/>
  <c r="BC111" i="8" s="1"/>
  <c r="BA111" i="8"/>
  <c r="AW111" i="8"/>
  <c r="AV111" i="8"/>
  <c r="CM110" i="8"/>
  <c r="CM109" i="8"/>
  <c r="CG110" i="8"/>
  <c r="CH110" i="8" s="1"/>
  <c r="CC110" i="8"/>
  <c r="CC104" i="8"/>
  <c r="BM107" i="8"/>
  <c r="BM104" i="8"/>
  <c r="BN104" i="8" s="1"/>
  <c r="BK110" i="8"/>
  <c r="BK109" i="8"/>
  <c r="BK108" i="8"/>
  <c r="BK107" i="8"/>
  <c r="BK106" i="8"/>
  <c r="BK105" i="8"/>
  <c r="BA110" i="8"/>
  <c r="BD110" i="8" s="1"/>
  <c r="BA109" i="8"/>
  <c r="BA108" i="8"/>
  <c r="BA107" i="8"/>
  <c r="BA106" i="8"/>
  <c r="BA105" i="8"/>
  <c r="CH109" i="8"/>
  <c r="CH106" i="8"/>
  <c r="BZ109" i="8"/>
  <c r="CC109" i="8" s="1"/>
  <c r="BZ108" i="8"/>
  <c r="BZ107" i="8"/>
  <c r="BZ106" i="8"/>
  <c r="BZ105" i="8"/>
  <c r="BU109" i="8"/>
  <c r="BU108" i="8"/>
  <c r="BU107" i="8"/>
  <c r="BQ109" i="8"/>
  <c r="BS109" i="8" s="1"/>
  <c r="BP109" i="8"/>
  <c r="BL108" i="8"/>
  <c r="BM108" i="8" s="1"/>
  <c r="BF109" i="8"/>
  <c r="BF108" i="8"/>
  <c r="BF107" i="8"/>
  <c r="BF106" i="8"/>
  <c r="BF105" i="8"/>
  <c r="AV109" i="8"/>
  <c r="AV108" i="8"/>
  <c r="AV107" i="8"/>
  <c r="AV106" i="8"/>
  <c r="AV105" i="8"/>
  <c r="AV104" i="8"/>
  <c r="R111" i="8"/>
  <c r="R110" i="8"/>
  <c r="R109" i="8"/>
  <c r="BP108" i="8"/>
  <c r="BP107" i="8"/>
  <c r="BP106" i="8"/>
  <c r="BP105" i="8"/>
  <c r="BP104" i="8"/>
  <c r="T108" i="8"/>
  <c r="CE108" i="8"/>
  <c r="CF108" i="8" s="1"/>
  <c r="CG108" i="8" s="1"/>
  <c r="CE107" i="8"/>
  <c r="BV110" i="8"/>
  <c r="BV109" i="8"/>
  <c r="BV108" i="8"/>
  <c r="BW108" i="8" s="1"/>
  <c r="BV107" i="8"/>
  <c r="BS111" i="8"/>
  <c r="BR111" i="8"/>
  <c r="BR110" i="8"/>
  <c r="BS110" i="8" s="1"/>
  <c r="BR109" i="8"/>
  <c r="BR108" i="8"/>
  <c r="BR107" i="8"/>
  <c r="BS107" i="8" s="1"/>
  <c r="CR106" i="8"/>
  <c r="CE106" i="8"/>
  <c r="CE105" i="8"/>
  <c r="BV106" i="8"/>
  <c r="BX106" i="8" s="1"/>
  <c r="BV103" i="8"/>
  <c r="BV102" i="8"/>
  <c r="BS106" i="8"/>
  <c r="CO105" i="8"/>
  <c r="CJ108" i="8"/>
  <c r="CK108" i="8" s="1"/>
  <c r="CK107" i="8"/>
  <c r="CL107" i="8" s="1"/>
  <c r="CJ107" i="8"/>
  <c r="CJ106" i="8"/>
  <c r="CJ105" i="8"/>
  <c r="CA108" i="8"/>
  <c r="CB108" i="8" s="1"/>
  <c r="CB107" i="8"/>
  <c r="CA107" i="8"/>
  <c r="CC107" i="8" s="1"/>
  <c r="CA106" i="8"/>
  <c r="CB106" i="8" s="1"/>
  <c r="BU105" i="8"/>
  <c r="BU104" i="8"/>
  <c r="BU103" i="8"/>
  <c r="BU102" i="8"/>
  <c r="BQ105" i="8"/>
  <c r="BL105" i="8"/>
  <c r="BG110" i="8"/>
  <c r="BH109" i="8"/>
  <c r="BG109" i="8"/>
  <c r="BH107" i="8"/>
  <c r="BG107" i="8"/>
  <c r="BG106" i="8"/>
  <c r="BH106" i="8" s="1"/>
  <c r="BH105" i="8"/>
  <c r="BG105" i="8"/>
  <c r="BB109" i="8"/>
  <c r="BC109" i="8" s="1"/>
  <c r="BC108" i="8"/>
  <c r="BB108" i="8"/>
  <c r="BB107" i="8"/>
  <c r="BC107" i="8" s="1"/>
  <c r="BC106" i="8"/>
  <c r="BB106" i="8"/>
  <c r="BB105" i="8"/>
  <c r="BC105" i="8" s="1"/>
  <c r="CK104" i="8"/>
  <c r="CM104" i="8" s="1"/>
  <c r="CF104" i="8"/>
  <c r="CH104" i="8" s="1"/>
  <c r="CF103" i="8"/>
  <c r="AW110" i="8"/>
  <c r="AW108" i="8"/>
  <c r="AX108" i="8" s="1"/>
  <c r="AX107" i="8"/>
  <c r="AW107" i="8"/>
  <c r="AW106" i="8"/>
  <c r="AX106" i="8" s="1"/>
  <c r="AW104" i="8"/>
  <c r="AX104" i="8" s="1"/>
  <c r="AQ111" i="8"/>
  <c r="AR110" i="8"/>
  <c r="AS110" i="8" s="1"/>
  <c r="AQ110" i="8"/>
  <c r="AQ109" i="8"/>
  <c r="AQ108" i="8"/>
  <c r="AQ107" i="8"/>
  <c r="AR106" i="8"/>
  <c r="AS106" i="8" s="1"/>
  <c r="AQ106" i="8"/>
  <c r="AQ105" i="8"/>
  <c r="AQ104" i="8"/>
  <c r="AL111" i="8"/>
  <c r="AM110" i="8"/>
  <c r="AN110" i="8" s="1"/>
  <c r="AL110" i="8"/>
  <c r="AL109" i="8"/>
  <c r="AL108" i="8"/>
  <c r="AL107" i="8"/>
  <c r="AM106" i="8"/>
  <c r="AN106" i="8" s="1"/>
  <c r="AL106" i="8"/>
  <c r="AL105" i="8"/>
  <c r="AL104" i="8"/>
  <c r="AG111" i="8"/>
  <c r="AH110" i="8"/>
  <c r="AI110" i="8" s="1"/>
  <c r="AG110" i="8"/>
  <c r="AG109" i="8"/>
  <c r="AG108" i="8"/>
  <c r="AG107" i="8"/>
  <c r="AH106" i="8"/>
  <c r="AI106" i="8" s="1"/>
  <c r="AG106" i="8"/>
  <c r="AG105" i="8"/>
  <c r="AG104" i="8"/>
  <c r="AB111" i="8"/>
  <c r="AC110" i="8"/>
  <c r="AD110" i="8" s="1"/>
  <c r="AB110" i="8"/>
  <c r="AB109" i="8"/>
  <c r="AB108" i="8"/>
  <c r="AB107" i="8"/>
  <c r="AC106" i="8"/>
  <c r="AD106" i="8" s="1"/>
  <c r="AB106" i="8"/>
  <c r="AB105" i="8"/>
  <c r="AB104" i="8"/>
  <c r="W111" i="8"/>
  <c r="X110" i="8"/>
  <c r="Y110" i="8" s="1"/>
  <c r="W110" i="8"/>
  <c r="W109" i="8"/>
  <c r="W108" i="8"/>
  <c r="W107" i="8"/>
  <c r="X106" i="8"/>
  <c r="Y106" i="8" s="1"/>
  <c r="W106" i="8"/>
  <c r="W105" i="8"/>
  <c r="W104" i="8"/>
  <c r="S107" i="8"/>
  <c r="R107" i="8"/>
  <c r="R106" i="8"/>
  <c r="S105" i="8"/>
  <c r="T105" i="8" s="1"/>
  <c r="R105" i="8"/>
  <c r="R104" i="8"/>
  <c r="M111" i="8"/>
  <c r="N110" i="8"/>
  <c r="O110" i="8" s="1"/>
  <c r="M110" i="8"/>
  <c r="N109" i="8"/>
  <c r="M109" i="8"/>
  <c r="O109" i="8" s="1"/>
  <c r="M108" i="8"/>
  <c r="M107" i="8"/>
  <c r="O106" i="8"/>
  <c r="N106" i="8"/>
  <c r="M106" i="8"/>
  <c r="N105" i="8"/>
  <c r="M105" i="8"/>
  <c r="M104" i="8"/>
  <c r="H111" i="8"/>
  <c r="J110" i="8"/>
  <c r="I110" i="8"/>
  <c r="H110" i="8"/>
  <c r="I109" i="8"/>
  <c r="H109" i="8"/>
  <c r="H108" i="8"/>
  <c r="H107" i="8"/>
  <c r="I107" i="8" s="1"/>
  <c r="J107" i="8" s="1"/>
  <c r="J106" i="8"/>
  <c r="I106" i="8"/>
  <c r="H106" i="8"/>
  <c r="I105" i="8"/>
  <c r="H105" i="8"/>
  <c r="H104" i="8"/>
  <c r="CJ103" i="8"/>
  <c r="CK103" i="8" s="1"/>
  <c r="CL103" i="8" s="1"/>
  <c r="CJ102" i="8"/>
  <c r="CG103" i="8"/>
  <c r="CE103" i="8"/>
  <c r="CE102" i="8"/>
  <c r="BW103" i="8"/>
  <c r="BS103" i="8"/>
  <c r="CB103" i="8"/>
  <c r="CA103" i="8"/>
  <c r="BZ103" i="8"/>
  <c r="CC103" i="8" s="1"/>
  <c r="CA102" i="8"/>
  <c r="BZ102" i="8"/>
  <c r="BP102" i="8"/>
  <c r="BK102" i="8"/>
  <c r="BF102" i="8"/>
  <c r="AZ102" i="8"/>
  <c r="AV102" i="8"/>
  <c r="AQ102" i="8"/>
  <c r="AL102" i="8"/>
  <c r="AG102" i="8"/>
  <c r="AB102" i="8"/>
  <c r="W102" i="8"/>
  <c r="R102" i="8"/>
  <c r="M102" i="8"/>
  <c r="H102" i="8"/>
  <c r="CE100" i="8"/>
  <c r="BZ100" i="8"/>
  <c r="BW100" i="8"/>
  <c r="BV100" i="8"/>
  <c r="BU100" i="8"/>
  <c r="BT100" i="8"/>
  <c r="BQ100" i="8"/>
  <c r="BP100" i="8"/>
  <c r="BL100" i="8"/>
  <c r="BK100" i="8"/>
  <c r="BG100" i="8"/>
  <c r="BF100" i="8"/>
  <c r="BB100" i="8"/>
  <c r="BA100" i="8"/>
  <c r="AW100" i="8"/>
  <c r="AX100" i="8" s="1"/>
  <c r="AV100" i="8"/>
  <c r="AY100" i="8" s="1"/>
  <c r="AR100" i="8"/>
  <c r="AQ100" i="8"/>
  <c r="AM100" i="8"/>
  <c r="AL100" i="8"/>
  <c r="AH100" i="8"/>
  <c r="AG100" i="8"/>
  <c r="AC100" i="8"/>
  <c r="AB100" i="8"/>
  <c r="X100" i="8"/>
  <c r="W100" i="8"/>
  <c r="S100" i="8"/>
  <c r="R100" i="8"/>
  <c r="N100" i="8"/>
  <c r="M100" i="8"/>
  <c r="I100" i="8"/>
  <c r="H100" i="8"/>
  <c r="CJ100" i="8"/>
  <c r="B99" i="8"/>
  <c r="CB98" i="8"/>
  <c r="CA98" i="8"/>
  <c r="BZ98" i="8"/>
  <c r="BX98" i="8"/>
  <c r="BW98" i="8"/>
  <c r="BV98" i="8"/>
  <c r="BU98" i="8"/>
  <c r="BS98" i="8"/>
  <c r="BR98" i="8"/>
  <c r="BQ98" i="8"/>
  <c r="BP98" i="8"/>
  <c r="BN98" i="8"/>
  <c r="BM98" i="8"/>
  <c r="BL98" i="8"/>
  <c r="BK98" i="8"/>
  <c r="BI98" i="8"/>
  <c r="BH98" i="8"/>
  <c r="BG98" i="8"/>
  <c r="BF98" i="8"/>
  <c r="BD98" i="8"/>
  <c r="BC98" i="8"/>
  <c r="BB98" i="8"/>
  <c r="BA98" i="8"/>
  <c r="AY98" i="8"/>
  <c r="AX98" i="8"/>
  <c r="AW98" i="8"/>
  <c r="AV98" i="8"/>
  <c r="AT98" i="8"/>
  <c r="AS98" i="8"/>
  <c r="AR98" i="8"/>
  <c r="AQ98" i="8"/>
  <c r="AO98" i="8"/>
  <c r="AN98" i="8"/>
  <c r="AM98" i="8"/>
  <c r="AL98" i="8"/>
  <c r="AJ98" i="8"/>
  <c r="AI98" i="8"/>
  <c r="AH98" i="8"/>
  <c r="AG98" i="8"/>
  <c r="AE98" i="8"/>
  <c r="AD98" i="8"/>
  <c r="AC98" i="8"/>
  <c r="AB98" i="8"/>
  <c r="Z98" i="8"/>
  <c r="Y98" i="8"/>
  <c r="X98" i="8"/>
  <c r="W98" i="8"/>
  <c r="U98" i="8"/>
  <c r="T98" i="8"/>
  <c r="S98" i="8"/>
  <c r="R98" i="8"/>
  <c r="P98" i="8"/>
  <c r="O98" i="8"/>
  <c r="N98" i="8"/>
  <c r="M98" i="8"/>
  <c r="K98" i="8"/>
  <c r="J98" i="8"/>
  <c r="I98" i="8"/>
  <c r="H98" i="8"/>
  <c r="F98" i="8"/>
  <c r="E98" i="8"/>
  <c r="D98" i="8"/>
  <c r="F95" i="8"/>
  <c r="F94" i="8"/>
  <c r="CJ95" i="8"/>
  <c r="CF95" i="8"/>
  <c r="CB95" i="8"/>
  <c r="BP95" i="8"/>
  <c r="BL95" i="8"/>
  <c r="BH95" i="8"/>
  <c r="AV95" i="8"/>
  <c r="AR95" i="8"/>
  <c r="AN95" i="8"/>
  <c r="AB95" i="8"/>
  <c r="CL94" i="8"/>
  <c r="CL95" i="8" s="1"/>
  <c r="CK94" i="8"/>
  <c r="CK95" i="8" s="1"/>
  <c r="CJ94" i="8"/>
  <c r="CG94" i="8"/>
  <c r="CG95" i="8" s="1"/>
  <c r="CF94" i="8"/>
  <c r="CE94" i="8"/>
  <c r="CE95" i="8" s="1"/>
  <c r="CB94" i="8"/>
  <c r="CA94" i="8"/>
  <c r="CA95" i="8" s="1"/>
  <c r="BZ94" i="8"/>
  <c r="BZ95" i="8" s="1"/>
  <c r="BW94" i="8"/>
  <c r="BW95" i="8" s="1"/>
  <c r="BV94" i="8"/>
  <c r="BV95" i="8" s="1"/>
  <c r="BU94" i="8"/>
  <c r="BU95" i="8" s="1"/>
  <c r="BR94" i="8"/>
  <c r="BR95" i="8" s="1"/>
  <c r="BQ94" i="8"/>
  <c r="BQ95" i="8" s="1"/>
  <c r="BP94" i="8"/>
  <c r="BM94" i="8"/>
  <c r="BM95" i="8" s="1"/>
  <c r="BL94" i="8"/>
  <c r="BK94" i="8"/>
  <c r="BK95" i="8" s="1"/>
  <c r="BH94" i="8"/>
  <c r="BG94" i="8"/>
  <c r="BG95" i="8" s="1"/>
  <c r="BF94" i="8"/>
  <c r="BF95" i="8" s="1"/>
  <c r="BC94" i="8"/>
  <c r="BC95" i="8" s="1"/>
  <c r="BB94" i="8"/>
  <c r="BB95" i="8" s="1"/>
  <c r="BA94" i="8"/>
  <c r="BA95" i="8" s="1"/>
  <c r="AX94" i="8"/>
  <c r="AX95" i="8" s="1"/>
  <c r="AW94" i="8"/>
  <c r="AW95" i="8" s="1"/>
  <c r="AV94" i="8"/>
  <c r="AS94" i="8"/>
  <c r="AS95" i="8" s="1"/>
  <c r="AR94" i="8"/>
  <c r="AQ94" i="8"/>
  <c r="AQ95" i="8" s="1"/>
  <c r="AN94" i="8"/>
  <c r="AM94" i="8"/>
  <c r="AM95" i="8" s="1"/>
  <c r="AL94" i="8"/>
  <c r="AL95" i="8" s="1"/>
  <c r="AI94" i="8"/>
  <c r="AI95" i="8" s="1"/>
  <c r="AH94" i="8"/>
  <c r="AH95" i="8" s="1"/>
  <c r="AG94" i="8"/>
  <c r="AG95" i="8" s="1"/>
  <c r="AD94" i="8"/>
  <c r="AD95" i="8" s="1"/>
  <c r="AC94" i="8"/>
  <c r="AC95" i="8" s="1"/>
  <c r="AB94" i="8"/>
  <c r="J86" i="8"/>
  <c r="J84" i="8"/>
  <c r="J85" i="8" s="1"/>
  <c r="BH86" i="8"/>
  <c r="BG86" i="8"/>
  <c r="BF86" i="8"/>
  <c r="BE86" i="8"/>
  <c r="BC86" i="8"/>
  <c r="BB86" i="8"/>
  <c r="BA86" i="8"/>
  <c r="AZ86" i="8"/>
  <c r="AX86" i="8"/>
  <c r="AW86" i="8"/>
  <c r="AV86" i="8"/>
  <c r="AU86" i="8"/>
  <c r="AS86" i="8"/>
  <c r="AR86" i="8"/>
  <c r="AQ86" i="8"/>
  <c r="AP86" i="8"/>
  <c r="AN86" i="8"/>
  <c r="AM86" i="8"/>
  <c r="AL86" i="8"/>
  <c r="AK86" i="8"/>
  <c r="AI86" i="8"/>
  <c r="AH86" i="8"/>
  <c r="AG86" i="8"/>
  <c r="AF86" i="8"/>
  <c r="AD86" i="8"/>
  <c r="AC86" i="8"/>
  <c r="AB86" i="8"/>
  <c r="AA86" i="8"/>
  <c r="Y86" i="8"/>
  <c r="X86" i="8"/>
  <c r="W86" i="8"/>
  <c r="V86" i="8"/>
  <c r="T86" i="8"/>
  <c r="S86" i="8"/>
  <c r="R86" i="8"/>
  <c r="Q86" i="8"/>
  <c r="O86" i="8"/>
  <c r="N86" i="8"/>
  <c r="M86" i="8"/>
  <c r="L86" i="8"/>
  <c r="CI85" i="8"/>
  <c r="CA85" i="8"/>
  <c r="BK85" i="8"/>
  <c r="BC85" i="8"/>
  <c r="AU85" i="8"/>
  <c r="AM85" i="8"/>
  <c r="CL84" i="8"/>
  <c r="CL85" i="8" s="1"/>
  <c r="CK84" i="8"/>
  <c r="CJ84" i="8"/>
  <c r="CI84" i="8"/>
  <c r="CI91" i="8" s="1"/>
  <c r="CG84" i="8"/>
  <c r="CF84" i="8"/>
  <c r="CE84" i="8"/>
  <c r="CE85" i="8" s="1"/>
  <c r="CD84" i="8"/>
  <c r="CD85" i="8" s="1"/>
  <c r="CB84" i="8"/>
  <c r="CA84" i="8"/>
  <c r="BZ84" i="8"/>
  <c r="BZ85" i="8" s="1"/>
  <c r="BY84" i="8"/>
  <c r="BW84" i="8"/>
  <c r="BW85" i="8" s="1"/>
  <c r="BV84" i="8"/>
  <c r="BV85" i="8" s="1"/>
  <c r="BU84" i="8"/>
  <c r="BT84" i="8"/>
  <c r="BR84" i="8"/>
  <c r="BR85" i="8" s="1"/>
  <c r="BQ84" i="8"/>
  <c r="BP84" i="8"/>
  <c r="BO84" i="8"/>
  <c r="BO85" i="8" s="1"/>
  <c r="BM84" i="8"/>
  <c r="BL84" i="8"/>
  <c r="BK84" i="8"/>
  <c r="BK91" i="8" s="1"/>
  <c r="BJ84" i="8"/>
  <c r="BJ85" i="8" s="1"/>
  <c r="BH84" i="8"/>
  <c r="BH91" i="8" s="1"/>
  <c r="BI91" i="8" s="1"/>
  <c r="BG84" i="8"/>
  <c r="BG85" i="8" s="1"/>
  <c r="BF84" i="8"/>
  <c r="BF85" i="8" s="1"/>
  <c r="BE84" i="8"/>
  <c r="BC84" i="8"/>
  <c r="BC91" i="8" s="1"/>
  <c r="BD91" i="8" s="1"/>
  <c r="BB84" i="8"/>
  <c r="BB85" i="8" s="1"/>
  <c r="BA84" i="8"/>
  <c r="AZ84" i="8"/>
  <c r="AX84" i="8"/>
  <c r="AX85" i="8" s="1"/>
  <c r="AW84" i="8"/>
  <c r="AV84" i="8"/>
  <c r="AU84" i="8"/>
  <c r="AU91" i="8" s="1"/>
  <c r="AS84" i="8"/>
  <c r="AR84" i="8"/>
  <c r="AQ84" i="8"/>
  <c r="AQ85" i="8" s="1"/>
  <c r="AP84" i="8"/>
  <c r="AP85" i="8" s="1"/>
  <c r="AN84" i="8"/>
  <c r="AN91" i="8" s="1"/>
  <c r="AO91" i="8" s="1"/>
  <c r="AM84" i="8"/>
  <c r="AM91" i="8" s="1"/>
  <c r="AL84" i="8"/>
  <c r="AL85" i="8" s="1"/>
  <c r="AK84" i="8"/>
  <c r="AI84" i="8"/>
  <c r="AI85" i="8" s="1"/>
  <c r="AH84" i="8"/>
  <c r="AH85" i="8" s="1"/>
  <c r="AG84" i="8"/>
  <c r="AF84" i="8"/>
  <c r="AD84" i="8"/>
  <c r="AD85" i="8" s="1"/>
  <c r="AC84" i="8"/>
  <c r="AB84" i="8"/>
  <c r="AA84" i="8"/>
  <c r="AA85" i="8" s="1"/>
  <c r="Y84" i="8"/>
  <c r="X84" i="8"/>
  <c r="W84" i="8"/>
  <c r="W91" i="8" s="1"/>
  <c r="V84" i="8"/>
  <c r="V91" i="8" s="1"/>
  <c r="T84" i="8"/>
  <c r="T91" i="8" s="1"/>
  <c r="U91" i="8" s="1"/>
  <c r="S84" i="8"/>
  <c r="S85" i="8" s="1"/>
  <c r="R84" i="8"/>
  <c r="R85" i="8" s="1"/>
  <c r="Q84" i="8"/>
  <c r="O84" i="8"/>
  <c r="O91" i="8" s="1"/>
  <c r="P91" i="8" s="1"/>
  <c r="N84" i="8"/>
  <c r="N91" i="8" s="1"/>
  <c r="M84" i="8"/>
  <c r="L84" i="8"/>
  <c r="I86" i="8"/>
  <c r="H86" i="8"/>
  <c r="G86" i="8"/>
  <c r="H85" i="8"/>
  <c r="G85" i="8"/>
  <c r="I84" i="8"/>
  <c r="I85" i="8" s="1"/>
  <c r="H84" i="8"/>
  <c r="G84" i="8"/>
  <c r="K84" i="8" s="1"/>
  <c r="K85" i="8" s="1"/>
  <c r="F85" i="8"/>
  <c r="E85" i="8"/>
  <c r="F84" i="8"/>
  <c r="E84" i="8"/>
  <c r="D84" i="8"/>
  <c r="D85" i="8" s="1"/>
  <c r="E83" i="8"/>
  <c r="CL81" i="8"/>
  <c r="CK81" i="8"/>
  <c r="CJ81" i="8"/>
  <c r="CJ79" i="8" s="1"/>
  <c r="CI81" i="8"/>
  <c r="CG81" i="8"/>
  <c r="CF81" i="8"/>
  <c r="CF79" i="8" s="1"/>
  <c r="CE81" i="8"/>
  <c r="CD81" i="8"/>
  <c r="CB81" i="8"/>
  <c r="CB79" i="8" s="1"/>
  <c r="CA81" i="8"/>
  <c r="BZ81" i="8"/>
  <c r="BY81" i="8"/>
  <c r="BW81" i="8"/>
  <c r="BV81" i="8"/>
  <c r="BU81" i="8"/>
  <c r="BT81" i="8"/>
  <c r="BT79" i="8" s="1"/>
  <c r="BR81" i="8"/>
  <c r="BQ81" i="8"/>
  <c r="BP81" i="8"/>
  <c r="BP79" i="8" s="1"/>
  <c r="BO81" i="8"/>
  <c r="BM81" i="8"/>
  <c r="BL81" i="8"/>
  <c r="BL79" i="8" s="1"/>
  <c r="BK81" i="8"/>
  <c r="BJ81" i="8"/>
  <c r="BH81" i="8"/>
  <c r="BH79" i="8" s="1"/>
  <c r="BG81" i="8"/>
  <c r="BF81" i="8"/>
  <c r="BE81" i="8"/>
  <c r="BC81" i="8"/>
  <c r="BB81" i="8"/>
  <c r="BA81" i="8"/>
  <c r="AZ81" i="8"/>
  <c r="AZ79" i="8" s="1"/>
  <c r="AX81" i="8"/>
  <c r="AW81" i="8"/>
  <c r="AV81" i="8"/>
  <c r="AV79" i="8" s="1"/>
  <c r="AU81" i="8"/>
  <c r="AS81" i="8"/>
  <c r="AR81" i="8"/>
  <c r="AR79" i="8" s="1"/>
  <c r="AQ81" i="8"/>
  <c r="AP81" i="8"/>
  <c r="AN81" i="8"/>
  <c r="AN79" i="8" s="1"/>
  <c r="AM81" i="8"/>
  <c r="AL81" i="8"/>
  <c r="AK81" i="8"/>
  <c r="AI81" i="8"/>
  <c r="AH81" i="8"/>
  <c r="AG81" i="8"/>
  <c r="AF81" i="8"/>
  <c r="AF79" i="8" s="1"/>
  <c r="AD81" i="8"/>
  <c r="AC81" i="8"/>
  <c r="AB81" i="8"/>
  <c r="AB79" i="8" s="1"/>
  <c r="AA81" i="8"/>
  <c r="Y81" i="8"/>
  <c r="X81" i="8"/>
  <c r="X79" i="8" s="1"/>
  <c r="W81" i="8"/>
  <c r="V81" i="8"/>
  <c r="T81" i="8"/>
  <c r="T79" i="8" s="1"/>
  <c r="S81" i="8"/>
  <c r="R81" i="8"/>
  <c r="Q81" i="8"/>
  <c r="O81" i="8"/>
  <c r="N81" i="8"/>
  <c r="M81" i="8"/>
  <c r="L81" i="8"/>
  <c r="J81" i="8"/>
  <c r="I81" i="8"/>
  <c r="H81" i="8"/>
  <c r="G81" i="8"/>
  <c r="F81" i="8"/>
  <c r="E81" i="8"/>
  <c r="E79" i="8" s="1"/>
  <c r="F80" i="8"/>
  <c r="F88" i="8" s="1"/>
  <c r="E80" i="8"/>
  <c r="E88" i="8" s="1"/>
  <c r="D80" i="8"/>
  <c r="DB80" i="8"/>
  <c r="DB88" i="8" s="1"/>
  <c r="DA80" i="8"/>
  <c r="DA88" i="8" s="1"/>
  <c r="CZ80" i="8"/>
  <c r="CZ88" i="8" s="1"/>
  <c r="CY80" i="8"/>
  <c r="CY88" i="8" s="1"/>
  <c r="CX80" i="8"/>
  <c r="CX88" i="8" s="1"/>
  <c r="CW80" i="8"/>
  <c r="CW88" i="8" s="1"/>
  <c r="CV80" i="8"/>
  <c r="CV88" i="8" s="1"/>
  <c r="CU80" i="8"/>
  <c r="CU88" i="8" s="1"/>
  <c r="CT80" i="8"/>
  <c r="CT88" i="8" s="1"/>
  <c r="CS80" i="8"/>
  <c r="CS88" i="8" s="1"/>
  <c r="CR80" i="8"/>
  <c r="CR88" i="8" s="1"/>
  <c r="CQ80" i="8"/>
  <c r="CQ88" i="8" s="1"/>
  <c r="CP80" i="8"/>
  <c r="CP88" i="8" s="1"/>
  <c r="CO80" i="8"/>
  <c r="CO88" i="8" s="1"/>
  <c r="CN80" i="8"/>
  <c r="CN88" i="8" s="1"/>
  <c r="CM80" i="8"/>
  <c r="CM88" i="8" s="1"/>
  <c r="CL80" i="8"/>
  <c r="CL88" i="8" s="1"/>
  <c r="CK80" i="8"/>
  <c r="CK88" i="8" s="1"/>
  <c r="CK89" i="8" s="1"/>
  <c r="CJ80" i="8"/>
  <c r="CJ88" i="8" s="1"/>
  <c r="CI80" i="8"/>
  <c r="CI88" i="8" s="1"/>
  <c r="CH80" i="8"/>
  <c r="CH88" i="8" s="1"/>
  <c r="CG80" i="8"/>
  <c r="CG88" i="8" s="1"/>
  <c r="CF80" i="8"/>
  <c r="CF88" i="8" s="1"/>
  <c r="CE80" i="8"/>
  <c r="CE88" i="8" s="1"/>
  <c r="CD80" i="8"/>
  <c r="CD88" i="8" s="1"/>
  <c r="CB80" i="8"/>
  <c r="CB88" i="8" s="1"/>
  <c r="CA80" i="8"/>
  <c r="CA88" i="8" s="1"/>
  <c r="BZ80" i="8"/>
  <c r="BZ88" i="8" s="1"/>
  <c r="BZ89" i="8" s="1"/>
  <c r="BY80" i="8"/>
  <c r="BY88" i="8" s="1"/>
  <c r="BW80" i="8"/>
  <c r="BW88" i="8" s="1"/>
  <c r="BV80" i="8"/>
  <c r="BV88" i="8" s="1"/>
  <c r="BU80" i="8"/>
  <c r="BU88" i="8" s="1"/>
  <c r="BU89" i="8" s="1"/>
  <c r="BT80" i="8"/>
  <c r="BT88" i="8" s="1"/>
  <c r="BR80" i="8"/>
  <c r="BR88" i="8" s="1"/>
  <c r="BR89" i="8" s="1"/>
  <c r="BQ80" i="8"/>
  <c r="BQ88" i="8" s="1"/>
  <c r="BP80" i="8"/>
  <c r="BP88" i="8" s="1"/>
  <c r="BO80" i="8"/>
  <c r="BO88" i="8" s="1"/>
  <c r="BM80" i="8"/>
  <c r="BM88" i="8" s="1"/>
  <c r="BM89" i="8" s="1"/>
  <c r="BL80" i="8"/>
  <c r="BL88" i="8" s="1"/>
  <c r="BK80" i="8"/>
  <c r="BK88" i="8" s="1"/>
  <c r="BJ80" i="8"/>
  <c r="BJ88" i="8" s="1"/>
  <c r="BJ89" i="8" s="1"/>
  <c r="BH80" i="8"/>
  <c r="BH88" i="8" s="1"/>
  <c r="BG80" i="8"/>
  <c r="BG88" i="8" s="1"/>
  <c r="BF80" i="8"/>
  <c r="BF88" i="8" s="1"/>
  <c r="BE80" i="8"/>
  <c r="BE88" i="8" s="1"/>
  <c r="BE89" i="8" s="1"/>
  <c r="BC80" i="8"/>
  <c r="BC88" i="8" s="1"/>
  <c r="BB80" i="8"/>
  <c r="BB88" i="8" s="1"/>
  <c r="BB89" i="8" s="1"/>
  <c r="BA80" i="8"/>
  <c r="BA88" i="8" s="1"/>
  <c r="AZ80" i="8"/>
  <c r="AZ88" i="8" s="1"/>
  <c r="AW80" i="8"/>
  <c r="AW88" i="8" s="1"/>
  <c r="AW89" i="8" s="1"/>
  <c r="AV80" i="8"/>
  <c r="AV88" i="8" s="1"/>
  <c r="AU80" i="8"/>
  <c r="AU88" i="8" s="1"/>
  <c r="AS80" i="8"/>
  <c r="AS88" i="8" s="1"/>
  <c r="AR80" i="8"/>
  <c r="AR88" i="8" s="1"/>
  <c r="AQ80" i="8"/>
  <c r="AQ88" i="8" s="1"/>
  <c r="AP80" i="8"/>
  <c r="AP88" i="8" s="1"/>
  <c r="AN80" i="8"/>
  <c r="AN88" i="8" s="1"/>
  <c r="AM80" i="8"/>
  <c r="AM88" i="8" s="1"/>
  <c r="AL80" i="8"/>
  <c r="AL88" i="8" s="1"/>
  <c r="AL89" i="8" s="1"/>
  <c r="AK80" i="8"/>
  <c r="AK88" i="8" s="1"/>
  <c r="AI80" i="8"/>
  <c r="AI88" i="8" s="1"/>
  <c r="AH80" i="8"/>
  <c r="AH88" i="8" s="1"/>
  <c r="AG80" i="8"/>
  <c r="AG88" i="8" s="1"/>
  <c r="AG89" i="8" s="1"/>
  <c r="AF80" i="8"/>
  <c r="AF88" i="8" s="1"/>
  <c r="AD80" i="8"/>
  <c r="AD88" i="8" s="1"/>
  <c r="AD89" i="8" s="1"/>
  <c r="AC80" i="8"/>
  <c r="AC88" i="8" s="1"/>
  <c r="AB80" i="8"/>
  <c r="AB88" i="8" s="1"/>
  <c r="AA80" i="8"/>
  <c r="AA88" i="8" s="1"/>
  <c r="Y80" i="8"/>
  <c r="Y88" i="8" s="1"/>
  <c r="Y89" i="8" s="1"/>
  <c r="X80" i="8"/>
  <c r="X88" i="8" s="1"/>
  <c r="W80" i="8"/>
  <c r="W88" i="8" s="1"/>
  <c r="V80" i="8"/>
  <c r="V88" i="8" s="1"/>
  <c r="V89" i="8" s="1"/>
  <c r="T80" i="8"/>
  <c r="T88" i="8" s="1"/>
  <c r="S80" i="8"/>
  <c r="S88" i="8" s="1"/>
  <c r="R80" i="8"/>
  <c r="R88" i="8" s="1"/>
  <c r="S83" i="8" s="1"/>
  <c r="CL79" i="8"/>
  <c r="CK79" i="8"/>
  <c r="CI79" i="8"/>
  <c r="CG79" i="8"/>
  <c r="CE79" i="8"/>
  <c r="CD79" i="8"/>
  <c r="CA79" i="8"/>
  <c r="BZ79" i="8"/>
  <c r="BY79" i="8"/>
  <c r="BW79" i="8"/>
  <c r="BV79" i="8"/>
  <c r="BU79" i="8"/>
  <c r="BR79" i="8"/>
  <c r="BQ79" i="8"/>
  <c r="BO79" i="8"/>
  <c r="BM79" i="8"/>
  <c r="BK79" i="8"/>
  <c r="BJ79" i="8"/>
  <c r="BG79" i="8"/>
  <c r="BF79" i="8"/>
  <c r="BE79" i="8"/>
  <c r="BC79" i="8"/>
  <c r="BB79" i="8"/>
  <c r="BA79" i="8"/>
  <c r="AW79" i="8"/>
  <c r="AU79" i="8"/>
  <c r="AS79" i="8"/>
  <c r="AQ79" i="8"/>
  <c r="AP79" i="8"/>
  <c r="AM79" i="8"/>
  <c r="AL79" i="8"/>
  <c r="AK79" i="8"/>
  <c r="AI79" i="8"/>
  <c r="AH79" i="8"/>
  <c r="AG79" i="8"/>
  <c r="AD79" i="8"/>
  <c r="AC79" i="8"/>
  <c r="AA79" i="8"/>
  <c r="Y79" i="8"/>
  <c r="W79" i="8"/>
  <c r="V79" i="8"/>
  <c r="S79" i="8"/>
  <c r="R79" i="8"/>
  <c r="O80" i="8"/>
  <c r="O79" i="8"/>
  <c r="J80" i="8"/>
  <c r="J88" i="8" s="1"/>
  <c r="J87" i="8" s="1"/>
  <c r="J79" i="8"/>
  <c r="F79" i="8"/>
  <c r="DB75" i="8"/>
  <c r="DB74" i="8"/>
  <c r="DB72" i="8"/>
  <c r="CY76" i="8"/>
  <c r="DB76" i="8" s="1"/>
  <c r="CW76" i="8"/>
  <c r="CW75" i="8"/>
  <c r="CW72" i="8"/>
  <c r="CT76" i="8"/>
  <c r="CR76" i="8"/>
  <c r="CR75" i="8"/>
  <c r="CR74" i="8"/>
  <c r="CR72" i="8"/>
  <c r="CT74" i="8"/>
  <c r="CW74" i="8" s="1"/>
  <c r="CL76" i="8"/>
  <c r="CK76" i="8"/>
  <c r="CJ76" i="8"/>
  <c r="CI76" i="8"/>
  <c r="CM76" i="8" s="1"/>
  <c r="CG76" i="8"/>
  <c r="CF76" i="8"/>
  <c r="CE76" i="8"/>
  <c r="CD76" i="8"/>
  <c r="CH76" i="8" s="1"/>
  <c r="CB76" i="8"/>
  <c r="CA76" i="8"/>
  <c r="BZ76" i="8"/>
  <c r="BY76" i="8"/>
  <c r="CC76" i="8" s="1"/>
  <c r="BW76" i="8"/>
  <c r="BV76" i="8"/>
  <c r="BU76" i="8"/>
  <c r="BT76" i="8"/>
  <c r="BX76" i="8" s="1"/>
  <c r="BR76" i="8"/>
  <c r="BQ76" i="8"/>
  <c r="BP76" i="8"/>
  <c r="BO76" i="8"/>
  <c r="BS76" i="8" s="1"/>
  <c r="BM76" i="8"/>
  <c r="BL76" i="8"/>
  <c r="BK76" i="8"/>
  <c r="BJ76" i="8"/>
  <c r="BN76" i="8" s="1"/>
  <c r="BH76" i="8"/>
  <c r="BG76" i="8"/>
  <c r="BF76" i="8"/>
  <c r="BE76" i="8"/>
  <c r="BI76" i="8" s="1"/>
  <c r="BC76" i="8"/>
  <c r="BB76" i="8"/>
  <c r="BA76" i="8"/>
  <c r="AZ76" i="8"/>
  <c r="BD76" i="8" s="1"/>
  <c r="AX76" i="8"/>
  <c r="AW76" i="8"/>
  <c r="AV76" i="8"/>
  <c r="AU76" i="8"/>
  <c r="AY76" i="8" s="1"/>
  <c r="AS76" i="8"/>
  <c r="AR76" i="8"/>
  <c r="AQ76" i="8"/>
  <c r="AM76" i="8"/>
  <c r="AL76" i="8"/>
  <c r="AK76" i="8"/>
  <c r="AI76" i="8"/>
  <c r="AH76" i="8"/>
  <c r="AG76" i="8"/>
  <c r="AF76" i="8"/>
  <c r="AJ76" i="8" s="1"/>
  <c r="AD76" i="8"/>
  <c r="AC76" i="8"/>
  <c r="AB76" i="8"/>
  <c r="AA76" i="8"/>
  <c r="AE76" i="8" s="1"/>
  <c r="Y76" i="8"/>
  <c r="X76" i="8"/>
  <c r="W76" i="8"/>
  <c r="V76" i="8"/>
  <c r="Z76" i="8" s="1"/>
  <c r="T76" i="8"/>
  <c r="S76" i="8"/>
  <c r="R76" i="8"/>
  <c r="Q76" i="8"/>
  <c r="U76" i="8" s="1"/>
  <c r="O76" i="8"/>
  <c r="N76" i="8"/>
  <c r="M76" i="8"/>
  <c r="L76" i="8"/>
  <c r="P76" i="8" s="1"/>
  <c r="J76" i="8"/>
  <c r="I76" i="8"/>
  <c r="H76" i="8"/>
  <c r="G76" i="8"/>
  <c r="K76" i="8" s="1"/>
  <c r="F76" i="8"/>
  <c r="E76" i="8"/>
  <c r="CL75" i="8"/>
  <c r="CK75" i="8"/>
  <c r="CJ75" i="8"/>
  <c r="CI75" i="8"/>
  <c r="CM75" i="8" s="1"/>
  <c r="CG75" i="8"/>
  <c r="CF75" i="8"/>
  <c r="CE75" i="8"/>
  <c r="CD75" i="8"/>
  <c r="CH75" i="8" s="1"/>
  <c r="CB75" i="8"/>
  <c r="CA75" i="8"/>
  <c r="BZ75" i="8"/>
  <c r="BY75" i="8"/>
  <c r="CC75" i="8" s="1"/>
  <c r="BW75" i="8"/>
  <c r="BV75" i="8"/>
  <c r="BU75" i="8"/>
  <c r="BT75" i="8"/>
  <c r="BX75" i="8" s="1"/>
  <c r="BR75" i="8"/>
  <c r="BQ75" i="8"/>
  <c r="BP75" i="8"/>
  <c r="BO75" i="8"/>
  <c r="BS75" i="8" s="1"/>
  <c r="BM75" i="8"/>
  <c r="BL75" i="8"/>
  <c r="BK75" i="8"/>
  <c r="BJ75" i="8"/>
  <c r="BN75" i="8" s="1"/>
  <c r="BH75" i="8"/>
  <c r="BG75" i="8"/>
  <c r="BF75" i="8"/>
  <c r="BE75" i="8"/>
  <c r="BI75" i="8" s="1"/>
  <c r="BC75" i="8"/>
  <c r="BB75" i="8"/>
  <c r="BA75" i="8"/>
  <c r="AZ75" i="8"/>
  <c r="BD75" i="8" s="1"/>
  <c r="AX75" i="8"/>
  <c r="AW75" i="8"/>
  <c r="AV75" i="8"/>
  <c r="AU75" i="8"/>
  <c r="AY75" i="8" s="1"/>
  <c r="AS75" i="8"/>
  <c r="AR75" i="8"/>
  <c r="AQ75" i="8"/>
  <c r="AP75" i="8"/>
  <c r="AT75" i="8" s="1"/>
  <c r="AN75" i="8"/>
  <c r="AM75" i="8"/>
  <c r="AL75" i="8"/>
  <c r="AK75" i="8"/>
  <c r="AO75" i="8" s="1"/>
  <c r="AI75" i="8"/>
  <c r="AH75" i="8"/>
  <c r="AG75" i="8"/>
  <c r="AF75" i="8"/>
  <c r="AJ75" i="8" s="1"/>
  <c r="AD75" i="8"/>
  <c r="AC75" i="8"/>
  <c r="AB75" i="8"/>
  <c r="AA75" i="8"/>
  <c r="AE75" i="8" s="1"/>
  <c r="Y75" i="8"/>
  <c r="X75" i="8"/>
  <c r="W75" i="8"/>
  <c r="V75" i="8"/>
  <c r="Z75" i="8" s="1"/>
  <c r="T75" i="8"/>
  <c r="S75" i="8"/>
  <c r="R75" i="8"/>
  <c r="Q75" i="8"/>
  <c r="U75" i="8" s="1"/>
  <c r="O75" i="8"/>
  <c r="N75" i="8"/>
  <c r="M75" i="8"/>
  <c r="L75" i="8"/>
  <c r="P75" i="8" s="1"/>
  <c r="J75" i="8"/>
  <c r="I75" i="8"/>
  <c r="H75" i="8"/>
  <c r="G75" i="8"/>
  <c r="F75" i="8"/>
  <c r="E75" i="8"/>
  <c r="CL74" i="8"/>
  <c r="CK74" i="8"/>
  <c r="CJ74" i="8"/>
  <c r="CI74" i="8"/>
  <c r="CM74" i="8" s="1"/>
  <c r="CG74" i="8"/>
  <c r="CF74" i="8"/>
  <c r="CE74" i="8"/>
  <c r="CD74" i="8"/>
  <c r="CH74" i="8" s="1"/>
  <c r="CB74" i="8"/>
  <c r="CA74" i="8"/>
  <c r="BZ74" i="8"/>
  <c r="BY74" i="8"/>
  <c r="BW74" i="8"/>
  <c r="BV74" i="8"/>
  <c r="BU74" i="8"/>
  <c r="BT74" i="8"/>
  <c r="BX74" i="8" s="1"/>
  <c r="BR74" i="8"/>
  <c r="BQ74" i="8"/>
  <c r="BP74" i="8"/>
  <c r="BO74" i="8"/>
  <c r="BS74" i="8" s="1"/>
  <c r="BM74" i="8"/>
  <c r="BL74" i="8"/>
  <c r="BK74" i="8"/>
  <c r="BJ74" i="8"/>
  <c r="BN74" i="8" s="1"/>
  <c r="BH74" i="8"/>
  <c r="BG74" i="8"/>
  <c r="BF74" i="8"/>
  <c r="BE74" i="8"/>
  <c r="BI74" i="8" s="1"/>
  <c r="BC74" i="8"/>
  <c r="BB74" i="8"/>
  <c r="BA74" i="8"/>
  <c r="AZ74" i="8"/>
  <c r="BD74" i="8" s="1"/>
  <c r="AX74" i="8"/>
  <c r="AW74" i="8"/>
  <c r="AV74" i="8"/>
  <c r="AU74" i="8"/>
  <c r="AY74" i="8" s="1"/>
  <c r="AS74" i="8"/>
  <c r="AR74" i="8"/>
  <c r="AQ74" i="8"/>
  <c r="AP74" i="8"/>
  <c r="AT74" i="8" s="1"/>
  <c r="AN74" i="8"/>
  <c r="AM74" i="8"/>
  <c r="AL74" i="8"/>
  <c r="AK74" i="8"/>
  <c r="AI74" i="8"/>
  <c r="AH74" i="8"/>
  <c r="AG74" i="8"/>
  <c r="AF74" i="8"/>
  <c r="AJ74" i="8" s="1"/>
  <c r="AD74" i="8"/>
  <c r="AC74" i="8"/>
  <c r="AB74" i="8"/>
  <c r="AA74" i="8"/>
  <c r="AE74" i="8" s="1"/>
  <c r="Y74" i="8"/>
  <c r="X74" i="8"/>
  <c r="W74" i="8"/>
  <c r="V74" i="8"/>
  <c r="Z74" i="8" s="1"/>
  <c r="T74" i="8"/>
  <c r="S74" i="8"/>
  <c r="R74" i="8"/>
  <c r="Q74" i="8"/>
  <c r="O74" i="8"/>
  <c r="N74" i="8"/>
  <c r="M74" i="8"/>
  <c r="L74" i="8"/>
  <c r="P74" i="8" s="1"/>
  <c r="J74" i="8"/>
  <c r="I74" i="8"/>
  <c r="H74" i="8"/>
  <c r="G74" i="8"/>
  <c r="K74" i="8" s="1"/>
  <c r="F74" i="8"/>
  <c r="E74" i="8"/>
  <c r="CL73" i="8"/>
  <c r="CK73" i="8"/>
  <c r="CJ73" i="8"/>
  <c r="CI73" i="8"/>
  <c r="CG73" i="8"/>
  <c r="CF73" i="8"/>
  <c r="CE73" i="8"/>
  <c r="CD73" i="8"/>
  <c r="CH73" i="8" s="1"/>
  <c r="CB73" i="8"/>
  <c r="CA73" i="8"/>
  <c r="BZ73" i="8"/>
  <c r="BY73" i="8"/>
  <c r="CC73" i="8" s="1"/>
  <c r="BW73" i="8"/>
  <c r="BV73" i="8"/>
  <c r="BU73" i="8"/>
  <c r="BT73" i="8"/>
  <c r="BX73" i="8" s="1"/>
  <c r="BR73" i="8"/>
  <c r="BQ73" i="8"/>
  <c r="BP73" i="8"/>
  <c r="BO73" i="8"/>
  <c r="BM73" i="8"/>
  <c r="BL73" i="8"/>
  <c r="BK73" i="8"/>
  <c r="BJ73" i="8"/>
  <c r="BN73" i="8" s="1"/>
  <c r="BH73" i="8"/>
  <c r="BG73" i="8"/>
  <c r="BF73" i="8"/>
  <c r="BE73" i="8"/>
  <c r="BI73" i="8" s="1"/>
  <c r="BC73" i="8"/>
  <c r="BB73" i="8"/>
  <c r="BA73" i="8"/>
  <c r="AZ73" i="8"/>
  <c r="BD73" i="8" s="1"/>
  <c r="AX73" i="8"/>
  <c r="AW73" i="8"/>
  <c r="AV73" i="8"/>
  <c r="AU73" i="8"/>
  <c r="AS73" i="8"/>
  <c r="AR73" i="8"/>
  <c r="AQ73" i="8"/>
  <c r="AP73" i="8"/>
  <c r="AT73" i="8" s="1"/>
  <c r="AN73" i="8"/>
  <c r="AM73" i="8"/>
  <c r="AL73" i="8"/>
  <c r="AK73" i="8"/>
  <c r="AO73" i="8" s="1"/>
  <c r="AI73" i="8"/>
  <c r="AH73" i="8"/>
  <c r="AG73" i="8"/>
  <c r="AF73" i="8"/>
  <c r="AJ73" i="8" s="1"/>
  <c r="AD73" i="8"/>
  <c r="AC73" i="8"/>
  <c r="AB73" i="8"/>
  <c r="AA73" i="8"/>
  <c r="AE73" i="8" s="1"/>
  <c r="Y73" i="8"/>
  <c r="X73" i="8"/>
  <c r="W73" i="8"/>
  <c r="V73" i="8"/>
  <c r="Z73" i="8" s="1"/>
  <c r="T73" i="8"/>
  <c r="S73" i="8"/>
  <c r="R73" i="8"/>
  <c r="Q73" i="8"/>
  <c r="U73" i="8" s="1"/>
  <c r="O73" i="8"/>
  <c r="N73" i="8"/>
  <c r="M73" i="8"/>
  <c r="L73" i="8"/>
  <c r="P73" i="8" s="1"/>
  <c r="J73" i="8"/>
  <c r="I73" i="8"/>
  <c r="H73" i="8"/>
  <c r="G73" i="8"/>
  <c r="CL72" i="8"/>
  <c r="CK72" i="8"/>
  <c r="CJ72" i="8"/>
  <c r="CI72" i="8"/>
  <c r="CM72" i="8" s="1"/>
  <c r="CG72" i="8"/>
  <c r="CF72" i="8"/>
  <c r="CE72" i="8"/>
  <c r="CD72" i="8"/>
  <c r="CH72" i="8" s="1"/>
  <c r="CB72" i="8"/>
  <c r="CA72" i="8"/>
  <c r="BZ72" i="8"/>
  <c r="BY72" i="8"/>
  <c r="CC72" i="8" s="1"/>
  <c r="BW72" i="8"/>
  <c r="BV72" i="8"/>
  <c r="BU72" i="8"/>
  <c r="BT72" i="8"/>
  <c r="BR72" i="8"/>
  <c r="BQ72" i="8"/>
  <c r="BP72" i="8"/>
  <c r="BO72" i="8"/>
  <c r="BS72" i="8" s="1"/>
  <c r="BM72" i="8"/>
  <c r="BL72" i="8"/>
  <c r="BK72" i="8"/>
  <c r="BJ72" i="8"/>
  <c r="BN72" i="8" s="1"/>
  <c r="BH72" i="8"/>
  <c r="BG72" i="8"/>
  <c r="BF72" i="8"/>
  <c r="BE72" i="8"/>
  <c r="BI72" i="8" s="1"/>
  <c r="BC72" i="8"/>
  <c r="BB72" i="8"/>
  <c r="BA72" i="8"/>
  <c r="AZ72" i="8"/>
  <c r="AX72" i="8"/>
  <c r="AW72" i="8"/>
  <c r="AV72" i="8"/>
  <c r="AU72" i="8"/>
  <c r="AY72" i="8" s="1"/>
  <c r="AS72" i="8"/>
  <c r="AR72" i="8"/>
  <c r="AQ72" i="8"/>
  <c r="AP72" i="8"/>
  <c r="AT72" i="8" s="1"/>
  <c r="AN72" i="8"/>
  <c r="AM72" i="8"/>
  <c r="AL72" i="8"/>
  <c r="AK72" i="8"/>
  <c r="AO72" i="8" s="1"/>
  <c r="AI72" i="8"/>
  <c r="AH72" i="8"/>
  <c r="AG72" i="8"/>
  <c r="AF72" i="8"/>
  <c r="AJ72" i="8" s="1"/>
  <c r="AD72" i="8"/>
  <c r="AC72" i="8"/>
  <c r="AB72" i="8"/>
  <c r="AA72" i="8"/>
  <c r="AE72" i="8" s="1"/>
  <c r="Y72" i="8"/>
  <c r="X72" i="8"/>
  <c r="W72" i="8"/>
  <c r="V72" i="8"/>
  <c r="Z72" i="8" s="1"/>
  <c r="T72" i="8"/>
  <c r="S72" i="8"/>
  <c r="R72" i="8"/>
  <c r="Q72" i="8"/>
  <c r="U72" i="8" s="1"/>
  <c r="O72" i="8"/>
  <c r="N72" i="8"/>
  <c r="M72" i="8"/>
  <c r="L72" i="8"/>
  <c r="P72" i="8" s="1"/>
  <c r="J72" i="8"/>
  <c r="I72" i="8"/>
  <c r="H72" i="8"/>
  <c r="G72" i="8"/>
  <c r="K72" i="8" s="1"/>
  <c r="CO69" i="8"/>
  <c r="CN69" i="8"/>
  <c r="CJ69" i="8"/>
  <c r="CI69" i="8"/>
  <c r="CE69" i="8"/>
  <c r="CD69" i="8"/>
  <c r="BZ69" i="8"/>
  <c r="BY69" i="8"/>
  <c r="BU69" i="8"/>
  <c r="BT69" i="8"/>
  <c r="BQ69" i="8"/>
  <c r="BP69" i="8"/>
  <c r="BO69" i="8"/>
  <c r="BL69" i="8"/>
  <c r="BK69" i="8"/>
  <c r="BJ69" i="8"/>
  <c r="BF69" i="8"/>
  <c r="BE69" i="8"/>
  <c r="BA69" i="8"/>
  <c r="AZ69" i="8"/>
  <c r="AV69" i="8"/>
  <c r="AU69" i="8"/>
  <c r="AQ69" i="8"/>
  <c r="AP69" i="8"/>
  <c r="AL69" i="8"/>
  <c r="AK69" i="8"/>
  <c r="AG69" i="8"/>
  <c r="AF69" i="8"/>
  <c r="AB69" i="8"/>
  <c r="AA69" i="8"/>
  <c r="W69" i="8"/>
  <c r="V69" i="8"/>
  <c r="R69" i="8"/>
  <c r="Q69" i="8"/>
  <c r="M69" i="8"/>
  <c r="L69" i="8"/>
  <c r="H69" i="8"/>
  <c r="G69" i="8"/>
  <c r="F69" i="8"/>
  <c r="E69" i="8"/>
  <c r="D69" i="8"/>
  <c r="CN65" i="8"/>
  <c r="CD65" i="8"/>
  <c r="BV65" i="8"/>
  <c r="BT65" i="8"/>
  <c r="BJ65" i="8"/>
  <c r="AZ65" i="8"/>
  <c r="AU65" i="8"/>
  <c r="AF65" i="8"/>
  <c r="AA65" i="8"/>
  <c r="L65" i="8"/>
  <c r="K65" i="8"/>
  <c r="CM64" i="8"/>
  <c r="CL64" i="8"/>
  <c r="CK64" i="8"/>
  <c r="CJ64" i="8"/>
  <c r="CI64" i="8"/>
  <c r="CH64" i="8"/>
  <c r="CG64" i="8"/>
  <c r="CF64" i="8"/>
  <c r="CE64" i="8"/>
  <c r="CD64" i="8"/>
  <c r="CC64" i="8"/>
  <c r="CB64" i="8"/>
  <c r="CA64" i="8"/>
  <c r="BZ64" i="8"/>
  <c r="BY64" i="8"/>
  <c r="BX64" i="8"/>
  <c r="BW64" i="8"/>
  <c r="BV64" i="8"/>
  <c r="BU64" i="8"/>
  <c r="BT64" i="8"/>
  <c r="BS64" i="8"/>
  <c r="BR64" i="8"/>
  <c r="BQ64" i="8"/>
  <c r="BP64" i="8"/>
  <c r="BO64" i="8"/>
  <c r="BN64" i="8"/>
  <c r="BM64" i="8"/>
  <c r="BL64" i="8"/>
  <c r="BK64" i="8"/>
  <c r="BJ64" i="8"/>
  <c r="BI64" i="8"/>
  <c r="BH64" i="8"/>
  <c r="BG64" i="8"/>
  <c r="BF64" i="8"/>
  <c r="BE64" i="8"/>
  <c r="BD64" i="8"/>
  <c r="BC64" i="8"/>
  <c r="BB64" i="8"/>
  <c r="BA64" i="8"/>
  <c r="AZ64" i="8"/>
  <c r="AY64" i="8"/>
  <c r="AX64" i="8"/>
  <c r="AW64" i="8"/>
  <c r="AV64" i="8"/>
  <c r="AU64" i="8"/>
  <c r="AT64" i="8"/>
  <c r="AS64" i="8"/>
  <c r="AR64" i="8"/>
  <c r="AQ64" i="8"/>
  <c r="AP64" i="8"/>
  <c r="AO64" i="8"/>
  <c r="AN64" i="8"/>
  <c r="AM64" i="8"/>
  <c r="AL64" i="8"/>
  <c r="AK64" i="8"/>
  <c r="AJ64" i="8"/>
  <c r="AI64" i="8"/>
  <c r="AH64" i="8"/>
  <c r="AG64" i="8"/>
  <c r="AF64" i="8"/>
  <c r="AE64" i="8"/>
  <c r="AD64" i="8"/>
  <c r="AC64" i="8"/>
  <c r="AB64" i="8"/>
  <c r="AA64" i="8"/>
  <c r="Z64" i="8"/>
  <c r="Y64" i="8"/>
  <c r="X64" i="8"/>
  <c r="W64" i="8"/>
  <c r="V64" i="8"/>
  <c r="U64" i="8"/>
  <c r="T64" i="8"/>
  <c r="S64" i="8"/>
  <c r="R64" i="8"/>
  <c r="Q64" i="8"/>
  <c r="P64" i="8"/>
  <c r="O64" i="8"/>
  <c r="N64" i="8"/>
  <c r="M64" i="8"/>
  <c r="L64" i="8"/>
  <c r="K64" i="8"/>
  <c r="CM63" i="8"/>
  <c r="CL63" i="8"/>
  <c r="CK63" i="8"/>
  <c r="CJ63" i="8"/>
  <c r="CI63" i="8"/>
  <c r="CH63" i="8"/>
  <c r="CG63" i="8"/>
  <c r="CF63" i="8"/>
  <c r="CE63" i="8"/>
  <c r="CD63" i="8"/>
  <c r="CC63" i="8"/>
  <c r="CB63" i="8"/>
  <c r="CA63" i="8"/>
  <c r="BZ63" i="8"/>
  <c r="BY63" i="8"/>
  <c r="BX63" i="8"/>
  <c r="BW63" i="8"/>
  <c r="BV63" i="8"/>
  <c r="BU63" i="8"/>
  <c r="BT63" i="8"/>
  <c r="BS63" i="8"/>
  <c r="BR63" i="8"/>
  <c r="BQ63" i="8"/>
  <c r="BP63" i="8"/>
  <c r="BO63" i="8"/>
  <c r="BN63" i="8"/>
  <c r="BM63" i="8"/>
  <c r="BL63" i="8"/>
  <c r="BK63" i="8"/>
  <c r="BJ63" i="8"/>
  <c r="BI63" i="8"/>
  <c r="BH63" i="8"/>
  <c r="BG63" i="8"/>
  <c r="BF63" i="8"/>
  <c r="BE63" i="8"/>
  <c r="BD63" i="8"/>
  <c r="BC63" i="8"/>
  <c r="BB63" i="8"/>
  <c r="BA63" i="8"/>
  <c r="AZ63" i="8"/>
  <c r="AY63" i="8"/>
  <c r="AX63" i="8"/>
  <c r="AW63" i="8"/>
  <c r="AV63" i="8"/>
  <c r="AU63" i="8"/>
  <c r="AT63" i="8"/>
  <c r="AS63" i="8"/>
  <c r="AR63" i="8"/>
  <c r="AQ63" i="8"/>
  <c r="AP63" i="8"/>
  <c r="AO63" i="8"/>
  <c r="AN63" i="8"/>
  <c r="AM63" i="8"/>
  <c r="AL63" i="8"/>
  <c r="AK63" i="8"/>
  <c r="AJ63" i="8"/>
  <c r="AI63" i="8"/>
  <c r="AH63" i="8"/>
  <c r="AG63" i="8"/>
  <c r="AF63" i="8"/>
  <c r="AE63" i="8"/>
  <c r="AD63" i="8"/>
  <c r="AC63" i="8"/>
  <c r="AB63" i="8"/>
  <c r="AA63" i="8"/>
  <c r="Z63" i="8"/>
  <c r="Y63" i="8"/>
  <c r="X63" i="8"/>
  <c r="W63" i="8"/>
  <c r="V63" i="8"/>
  <c r="U63" i="8"/>
  <c r="T63" i="8"/>
  <c r="S63" i="8"/>
  <c r="R63" i="8"/>
  <c r="Q63" i="8"/>
  <c r="P63" i="8"/>
  <c r="O63" i="8"/>
  <c r="N63" i="8"/>
  <c r="M63" i="8"/>
  <c r="L63" i="8"/>
  <c r="K63" i="8"/>
  <c r="J64" i="8"/>
  <c r="I64" i="8"/>
  <c r="H64" i="8"/>
  <c r="G64" i="8"/>
  <c r="F64" i="8"/>
  <c r="J63" i="8"/>
  <c r="I63" i="8"/>
  <c r="H63" i="8"/>
  <c r="G63" i="8"/>
  <c r="F63" i="8"/>
  <c r="CM61" i="8"/>
  <c r="CL61" i="8"/>
  <c r="CK61" i="8"/>
  <c r="CJ61" i="8"/>
  <c r="CI61" i="8"/>
  <c r="CM60" i="8"/>
  <c r="CL60" i="8"/>
  <c r="CK60" i="8"/>
  <c r="CJ60" i="8"/>
  <c r="CI60" i="8"/>
  <c r="CL59" i="8"/>
  <c r="CK59" i="8"/>
  <c r="CJ59" i="8"/>
  <c r="CI59" i="8"/>
  <c r="CL58" i="8"/>
  <c r="CK58" i="8"/>
  <c r="CJ58" i="8"/>
  <c r="CI58" i="8"/>
  <c r="CG59" i="8"/>
  <c r="CF59" i="8"/>
  <c r="CE59" i="8"/>
  <c r="CD59" i="8"/>
  <c r="CB59" i="8"/>
  <c r="CA59" i="8"/>
  <c r="BZ59" i="8"/>
  <c r="BY59" i="8"/>
  <c r="BW59" i="8"/>
  <c r="BV59" i="8"/>
  <c r="BU59" i="8"/>
  <c r="BT59" i="8"/>
  <c r="BR59" i="8"/>
  <c r="BQ59" i="8"/>
  <c r="BP59" i="8"/>
  <c r="BO59" i="8"/>
  <c r="BM59" i="8"/>
  <c r="BL59" i="8"/>
  <c r="BK59" i="8"/>
  <c r="BJ59" i="8"/>
  <c r="BH59" i="8"/>
  <c r="BG59" i="8"/>
  <c r="BF59" i="8"/>
  <c r="BE59" i="8"/>
  <c r="BC59" i="8"/>
  <c r="BB59" i="8"/>
  <c r="BA59" i="8"/>
  <c r="AZ59" i="8"/>
  <c r="AX59" i="8"/>
  <c r="AW59" i="8"/>
  <c r="AV59" i="8"/>
  <c r="AU59" i="8"/>
  <c r="AS59" i="8"/>
  <c r="AR59" i="8"/>
  <c r="AQ59" i="8"/>
  <c r="AP59" i="8"/>
  <c r="AN59" i="8"/>
  <c r="AM59" i="8"/>
  <c r="AL59" i="8"/>
  <c r="AK59" i="8"/>
  <c r="AI59" i="8"/>
  <c r="AH59" i="8"/>
  <c r="AG59" i="8"/>
  <c r="AF59" i="8"/>
  <c r="AD59" i="8"/>
  <c r="AC59" i="8"/>
  <c r="AB59" i="8"/>
  <c r="AA59" i="8"/>
  <c r="Y59" i="8"/>
  <c r="X59" i="8"/>
  <c r="W59" i="8"/>
  <c r="V59" i="8"/>
  <c r="T59" i="8"/>
  <c r="S59" i="8"/>
  <c r="R59" i="8"/>
  <c r="Q59" i="8"/>
  <c r="O59" i="8"/>
  <c r="N59" i="8"/>
  <c r="M59" i="8"/>
  <c r="L59" i="8"/>
  <c r="J59" i="8"/>
  <c r="I59" i="8"/>
  <c r="H59" i="8"/>
  <c r="G59" i="8"/>
  <c r="F59" i="8"/>
  <c r="E59" i="8"/>
  <c r="CG58" i="8"/>
  <c r="CF58" i="8"/>
  <c r="CE58" i="8"/>
  <c r="CD58" i="8"/>
  <c r="CB58" i="8"/>
  <c r="CA58" i="8"/>
  <c r="BZ58" i="8"/>
  <c r="BY58" i="8"/>
  <c r="BW58" i="8"/>
  <c r="BV58" i="8"/>
  <c r="BU58" i="8"/>
  <c r="BT58" i="8"/>
  <c r="BR58" i="8"/>
  <c r="BQ58" i="8"/>
  <c r="BP58" i="8"/>
  <c r="BO58" i="8"/>
  <c r="BM58" i="8"/>
  <c r="BL58" i="8"/>
  <c r="BK58" i="8"/>
  <c r="BJ58" i="8"/>
  <c r="BH58" i="8"/>
  <c r="BG58" i="8"/>
  <c r="BF58" i="8"/>
  <c r="BE58" i="8"/>
  <c r="BC58" i="8"/>
  <c r="BB58" i="8"/>
  <c r="BA58" i="8"/>
  <c r="AZ58" i="8"/>
  <c r="AX58" i="8"/>
  <c r="AW58" i="8"/>
  <c r="AV58" i="8"/>
  <c r="AU58" i="8"/>
  <c r="AS58" i="8"/>
  <c r="AR58" i="8"/>
  <c r="AQ58" i="8"/>
  <c r="AP58" i="8"/>
  <c r="AN58" i="8"/>
  <c r="AM58" i="8"/>
  <c r="AL58" i="8"/>
  <c r="AK58" i="8"/>
  <c r="AI58" i="8"/>
  <c r="AH58" i="8"/>
  <c r="AG58" i="8"/>
  <c r="AF58" i="8"/>
  <c r="AD58" i="8"/>
  <c r="AC58" i="8"/>
  <c r="AB58" i="8"/>
  <c r="AA58" i="8"/>
  <c r="Y58" i="8"/>
  <c r="X58" i="8"/>
  <c r="W58" i="8"/>
  <c r="V58" i="8"/>
  <c r="T58" i="8"/>
  <c r="S58" i="8"/>
  <c r="R58" i="8"/>
  <c r="Q58" i="8"/>
  <c r="O58" i="8"/>
  <c r="N58" i="8"/>
  <c r="M58" i="8"/>
  <c r="L58" i="8"/>
  <c r="J58" i="8"/>
  <c r="I58" i="8"/>
  <c r="H58" i="8"/>
  <c r="G58" i="8"/>
  <c r="F58" i="8"/>
  <c r="E58" i="8"/>
  <c r="CL56" i="8"/>
  <c r="CK56" i="8"/>
  <c r="CJ56" i="8"/>
  <c r="CI56" i="8"/>
  <c r="CG56" i="8"/>
  <c r="CF56" i="8"/>
  <c r="CE56" i="8"/>
  <c r="CD56" i="8"/>
  <c r="CB56" i="8"/>
  <c r="CA56" i="8"/>
  <c r="BZ56" i="8"/>
  <c r="BY56" i="8"/>
  <c r="BW56" i="8"/>
  <c r="BV56" i="8"/>
  <c r="BU56" i="8"/>
  <c r="BT56" i="8"/>
  <c r="BR56" i="8"/>
  <c r="BQ56" i="8"/>
  <c r="BP56" i="8"/>
  <c r="BO56" i="8"/>
  <c r="BM56" i="8"/>
  <c r="BL56" i="8"/>
  <c r="BK56" i="8"/>
  <c r="BJ56" i="8"/>
  <c r="BH56" i="8"/>
  <c r="BG56" i="8"/>
  <c r="BF56" i="8"/>
  <c r="BE56" i="8"/>
  <c r="BC56" i="8"/>
  <c r="BB56" i="8"/>
  <c r="BA56" i="8"/>
  <c r="AZ56" i="8"/>
  <c r="AX56" i="8"/>
  <c r="AW56" i="8"/>
  <c r="AV56" i="8"/>
  <c r="AU56" i="8"/>
  <c r="AS56" i="8"/>
  <c r="AR56" i="8"/>
  <c r="AQ56" i="8"/>
  <c r="AP56" i="8"/>
  <c r="AN56" i="8"/>
  <c r="AM56" i="8"/>
  <c r="AL56" i="8"/>
  <c r="AK56" i="8"/>
  <c r="AI56" i="8"/>
  <c r="AH56" i="8"/>
  <c r="AG56" i="8"/>
  <c r="AF56" i="8"/>
  <c r="AD56" i="8"/>
  <c r="AC56" i="8"/>
  <c r="AB56" i="8"/>
  <c r="AA56" i="8"/>
  <c r="Y56" i="8"/>
  <c r="X56" i="8"/>
  <c r="W56" i="8"/>
  <c r="V56" i="8"/>
  <c r="T56" i="8"/>
  <c r="S56" i="8"/>
  <c r="R56" i="8"/>
  <c r="Q56" i="8"/>
  <c r="O56" i="8"/>
  <c r="N56" i="8"/>
  <c r="M56" i="8"/>
  <c r="L56" i="8"/>
  <c r="J56" i="8"/>
  <c r="I56" i="8"/>
  <c r="H56" i="8"/>
  <c r="G56" i="8"/>
  <c r="F56" i="8"/>
  <c r="E56" i="8"/>
  <c r="CL55" i="8"/>
  <c r="CK55" i="8"/>
  <c r="CJ55" i="8"/>
  <c r="CI55" i="8"/>
  <c r="CG55" i="8"/>
  <c r="CF55" i="8"/>
  <c r="CE55" i="8"/>
  <c r="CD55" i="8"/>
  <c r="CB55" i="8"/>
  <c r="CA55" i="8"/>
  <c r="BZ55" i="8"/>
  <c r="BY55" i="8"/>
  <c r="BW55" i="8"/>
  <c r="BV55" i="8"/>
  <c r="BU55" i="8"/>
  <c r="BT55" i="8"/>
  <c r="BR55" i="8"/>
  <c r="BQ55" i="8"/>
  <c r="BP55" i="8"/>
  <c r="BO55" i="8"/>
  <c r="BM55" i="8"/>
  <c r="BL55" i="8"/>
  <c r="BK55" i="8"/>
  <c r="BJ55" i="8"/>
  <c r="BH55" i="8"/>
  <c r="BG55" i="8"/>
  <c r="BF55" i="8"/>
  <c r="BE55" i="8"/>
  <c r="BC55" i="8"/>
  <c r="BB55" i="8"/>
  <c r="BA55" i="8"/>
  <c r="AZ55" i="8"/>
  <c r="AX55" i="8"/>
  <c r="AW55" i="8"/>
  <c r="AV55" i="8"/>
  <c r="AU55" i="8"/>
  <c r="AS55" i="8"/>
  <c r="AR55" i="8"/>
  <c r="AQ55" i="8"/>
  <c r="AP55" i="8"/>
  <c r="AN55" i="8"/>
  <c r="AM55" i="8"/>
  <c r="AL55" i="8"/>
  <c r="AK55" i="8"/>
  <c r="AI55" i="8"/>
  <c r="AH55" i="8"/>
  <c r="AG55" i="8"/>
  <c r="AF55" i="8"/>
  <c r="AD55" i="8"/>
  <c r="AC55" i="8"/>
  <c r="AB55" i="8"/>
  <c r="AA55" i="8"/>
  <c r="Y55" i="8"/>
  <c r="X55" i="8"/>
  <c r="W55" i="8"/>
  <c r="V55" i="8"/>
  <c r="T55" i="8"/>
  <c r="S55" i="8"/>
  <c r="R55" i="8"/>
  <c r="Q55" i="8"/>
  <c r="O55" i="8"/>
  <c r="N55" i="8"/>
  <c r="M55" i="8"/>
  <c r="L55" i="8"/>
  <c r="J55" i="8"/>
  <c r="I55" i="8"/>
  <c r="H55" i="8"/>
  <c r="G55" i="8"/>
  <c r="F55" i="8"/>
  <c r="E55" i="8"/>
  <c r="BV53" i="8"/>
  <c r="BU53" i="8"/>
  <c r="BV52" i="8"/>
  <c r="BU52" i="8"/>
  <c r="BV50" i="8"/>
  <c r="BU50" i="8"/>
  <c r="BV49" i="8"/>
  <c r="BU49" i="8"/>
  <c r="CH44" i="8"/>
  <c r="CH42" i="8"/>
  <c r="CH41" i="8"/>
  <c r="CH39" i="8"/>
  <c r="CH38" i="8"/>
  <c r="CC44" i="8"/>
  <c r="CC42" i="8"/>
  <c r="CC41" i="8"/>
  <c r="CC40" i="8"/>
  <c r="CC39" i="8"/>
  <c r="BX44" i="8"/>
  <c r="BX42" i="8"/>
  <c r="BX41" i="8"/>
  <c r="BX40" i="8"/>
  <c r="BX39" i="8"/>
  <c r="BX38" i="8"/>
  <c r="BX43" i="8" s="1"/>
  <c r="BS44" i="8"/>
  <c r="BS42" i="8"/>
  <c r="BS41" i="8"/>
  <c r="BS40" i="8"/>
  <c r="BS39" i="8"/>
  <c r="BS43" i="8" s="1"/>
  <c r="BS38" i="8"/>
  <c r="BN44" i="8"/>
  <c r="BN42" i="8"/>
  <c r="BN41" i="8"/>
  <c r="BN40" i="8"/>
  <c r="BN39" i="8"/>
  <c r="BN38" i="8"/>
  <c r="BN43" i="8" s="1"/>
  <c r="BI44" i="8"/>
  <c r="BI42" i="8"/>
  <c r="BI41" i="8"/>
  <c r="BI40" i="8"/>
  <c r="BI39" i="8"/>
  <c r="BI43" i="8" s="1"/>
  <c r="BI38" i="8"/>
  <c r="BD44" i="8"/>
  <c r="BD42" i="8"/>
  <c r="BD41" i="8"/>
  <c r="BD40" i="8"/>
  <c r="BD39" i="8"/>
  <c r="BD38" i="8"/>
  <c r="AY44" i="8"/>
  <c r="AY42" i="8"/>
  <c r="AY39" i="8"/>
  <c r="AY38" i="8"/>
  <c r="AT44" i="8"/>
  <c r="AT42" i="8"/>
  <c r="AT41" i="8"/>
  <c r="AT40" i="8"/>
  <c r="AT39" i="8"/>
  <c r="AT43" i="8" s="1"/>
  <c r="AT38" i="8"/>
  <c r="AO44" i="8"/>
  <c r="AO42" i="8"/>
  <c r="AO41" i="8"/>
  <c r="AO40" i="8"/>
  <c r="AO39" i="8"/>
  <c r="AO38" i="8"/>
  <c r="AO43" i="8" s="1"/>
  <c r="AJ44" i="8"/>
  <c r="AJ42" i="8"/>
  <c r="AJ41" i="8"/>
  <c r="AJ40" i="8"/>
  <c r="AJ39" i="8"/>
  <c r="AJ38" i="8"/>
  <c r="AJ43" i="8" s="1"/>
  <c r="AE44" i="8"/>
  <c r="AE42" i="8"/>
  <c r="AE40" i="8"/>
  <c r="AE39" i="8"/>
  <c r="AE38" i="8"/>
  <c r="Z44" i="8"/>
  <c r="Z42" i="8"/>
  <c r="Z41" i="8"/>
  <c r="Z40" i="8"/>
  <c r="Z39" i="8"/>
  <c r="Z43" i="8" s="1"/>
  <c r="Z38" i="8"/>
  <c r="U44" i="8"/>
  <c r="U42" i="8"/>
  <c r="U40" i="8"/>
  <c r="U39" i="8"/>
  <c r="U38" i="8"/>
  <c r="P44" i="8"/>
  <c r="P42" i="8"/>
  <c r="P41" i="8"/>
  <c r="P40" i="8"/>
  <c r="P39" i="8"/>
  <c r="P38" i="8"/>
  <c r="P43" i="8" s="1"/>
  <c r="K44" i="8"/>
  <c r="K42" i="8"/>
  <c r="K40" i="8"/>
  <c r="K39" i="8"/>
  <c r="K38" i="8"/>
  <c r="CF43" i="8"/>
  <c r="CF49" i="8" s="1"/>
  <c r="CE43" i="8"/>
  <c r="CD43" i="8"/>
  <c r="CA43" i="8"/>
  <c r="BY43" i="8"/>
  <c r="BY49" i="8" s="1"/>
  <c r="BW43" i="8"/>
  <c r="BT43" i="8"/>
  <c r="BR43" i="8"/>
  <c r="BQ43" i="8"/>
  <c r="BQ49" i="8" s="1"/>
  <c r="BP43" i="8"/>
  <c r="BO43" i="8"/>
  <c r="BM43" i="8"/>
  <c r="BL43" i="8"/>
  <c r="BL49" i="8" s="1"/>
  <c r="BK43" i="8"/>
  <c r="BK50" i="8" s="1"/>
  <c r="BJ43" i="8"/>
  <c r="BJ49" i="8" s="1"/>
  <c r="BH43" i="8"/>
  <c r="BG43" i="8"/>
  <c r="BG50" i="8" s="1"/>
  <c r="BF43" i="8"/>
  <c r="BF49" i="8" s="1"/>
  <c r="BE43" i="8"/>
  <c r="BE49" i="8" s="1"/>
  <c r="BC43" i="8"/>
  <c r="BB43" i="8"/>
  <c r="BB49" i="8" s="1"/>
  <c r="BA43" i="8"/>
  <c r="BA49" i="8" s="1"/>
  <c r="AZ43" i="8"/>
  <c r="AZ49" i="8" s="1"/>
  <c r="AW43" i="8"/>
  <c r="AW49" i="8" s="1"/>
  <c r="AV43" i="8"/>
  <c r="AV49" i="8" s="1"/>
  <c r="AU43" i="8"/>
  <c r="AS43" i="8"/>
  <c r="AR43" i="8"/>
  <c r="AR49" i="8" s="1"/>
  <c r="AQ43" i="8"/>
  <c r="AP43" i="8"/>
  <c r="AN43" i="8"/>
  <c r="AM43" i="8"/>
  <c r="AL43" i="8"/>
  <c r="AK43" i="8"/>
  <c r="AI43" i="8"/>
  <c r="AH43" i="8"/>
  <c r="AG43" i="8"/>
  <c r="AG52" i="8" s="1"/>
  <c r="AF43" i="8"/>
  <c r="AD43" i="8"/>
  <c r="AA43" i="8"/>
  <c r="AA50" i="8" s="1"/>
  <c r="Y43" i="8"/>
  <c r="X43" i="8"/>
  <c r="W43" i="8"/>
  <c r="V43" i="8"/>
  <c r="T43" i="8"/>
  <c r="Q43" i="8"/>
  <c r="O43" i="8"/>
  <c r="L43" i="8"/>
  <c r="J43" i="8"/>
  <c r="G43" i="8"/>
  <c r="F43" i="8"/>
  <c r="BV42" i="8"/>
  <c r="BV41" i="8"/>
  <c r="BV40" i="8"/>
  <c r="BV38" i="8"/>
  <c r="AX41" i="8"/>
  <c r="AY41" i="8" s="1"/>
  <c r="AX40" i="8"/>
  <c r="AY40" i="8" s="1"/>
  <c r="AD41" i="8"/>
  <c r="AE41" i="8" s="1"/>
  <c r="AC41" i="8"/>
  <c r="AC43" i="8" s="1"/>
  <c r="AB41" i="8"/>
  <c r="AB43" i="8" s="1"/>
  <c r="AA41" i="8"/>
  <c r="T41" i="8"/>
  <c r="U41" i="8" s="1"/>
  <c r="S41" i="8"/>
  <c r="S43" i="8" s="1"/>
  <c r="R41" i="8"/>
  <c r="R43" i="8" s="1"/>
  <c r="Q41" i="8"/>
  <c r="O41" i="8"/>
  <c r="N41" i="8"/>
  <c r="N43" i="8" s="1"/>
  <c r="M41" i="8"/>
  <c r="M43" i="8" s="1"/>
  <c r="L41" i="8"/>
  <c r="J41" i="8"/>
  <c r="K41" i="8" s="1"/>
  <c r="I41" i="8"/>
  <c r="I43" i="8" s="1"/>
  <c r="H41" i="8"/>
  <c r="H43" i="8" s="1"/>
  <c r="G41" i="8"/>
  <c r="F41" i="8"/>
  <c r="E41" i="8"/>
  <c r="E43" i="8" s="1"/>
  <c r="CG40" i="8"/>
  <c r="CG43" i="8" s="1"/>
  <c r="CF40" i="8"/>
  <c r="BZ40" i="8"/>
  <c r="CO44" i="8"/>
  <c r="CP44" i="8" s="1"/>
  <c r="CQ44" i="8" s="1"/>
  <c r="CR44" i="8" s="1"/>
  <c r="CS44" i="8" s="1"/>
  <c r="CT44" i="8" s="1"/>
  <c r="CU44" i="8" s="1"/>
  <c r="CV44" i="8" s="1"/>
  <c r="CW44" i="8" s="1"/>
  <c r="CX44" i="8" s="1"/>
  <c r="CY44" i="8" s="1"/>
  <c r="CZ44" i="8" s="1"/>
  <c r="DA44" i="8" s="1"/>
  <c r="DB44" i="8" s="1"/>
  <c r="CN44" i="8"/>
  <c r="CM44" i="8"/>
  <c r="CM42" i="8"/>
  <c r="CO41" i="8"/>
  <c r="CP41" i="8" s="1"/>
  <c r="CQ41" i="8" s="1"/>
  <c r="CR41" i="8" s="1"/>
  <c r="CS41" i="8" s="1"/>
  <c r="CT41" i="8" s="1"/>
  <c r="CU41" i="8" s="1"/>
  <c r="CV41" i="8" s="1"/>
  <c r="CW41" i="8" s="1"/>
  <c r="CX41" i="8" s="1"/>
  <c r="CY41" i="8" s="1"/>
  <c r="CZ41" i="8" s="1"/>
  <c r="DA41" i="8" s="1"/>
  <c r="DB41" i="8" s="1"/>
  <c r="CN41" i="8"/>
  <c r="CM41" i="8"/>
  <c r="CO39" i="8"/>
  <c r="CN39" i="8"/>
  <c r="CM39" i="8"/>
  <c r="CO38" i="8"/>
  <c r="CP38" i="8" s="1"/>
  <c r="CN38" i="8"/>
  <c r="CM38" i="8"/>
  <c r="CB38" i="8"/>
  <c r="CC38" i="8" s="1"/>
  <c r="CC43" i="8" s="1"/>
  <c r="BZ38" i="8"/>
  <c r="BZ43" i="8" s="1"/>
  <c r="CM36" i="8"/>
  <c r="CN36" i="8" s="1"/>
  <c r="CO36" i="8" s="1"/>
  <c r="CP36" i="8" s="1"/>
  <c r="CQ36" i="8" s="1"/>
  <c r="CR36" i="8" s="1"/>
  <c r="CS36" i="8" s="1"/>
  <c r="CT36" i="8" s="1"/>
  <c r="CU36" i="8" s="1"/>
  <c r="CV36" i="8" s="1"/>
  <c r="CW36" i="8" s="1"/>
  <c r="CX36" i="8" s="1"/>
  <c r="CY36" i="8" s="1"/>
  <c r="CZ36" i="8" s="1"/>
  <c r="DA36" i="8" s="1"/>
  <c r="DB36" i="8" s="1"/>
  <c r="CH36" i="8"/>
  <c r="CC36" i="8"/>
  <c r="BX36" i="8"/>
  <c r="BS36" i="8"/>
  <c r="BN36" i="8"/>
  <c r="BI36" i="8"/>
  <c r="BD36" i="8"/>
  <c r="AY36" i="8"/>
  <c r="AT36" i="8"/>
  <c r="AO36" i="8"/>
  <c r="AJ36" i="8"/>
  <c r="AE36" i="8"/>
  <c r="Z36" i="8"/>
  <c r="U36" i="8"/>
  <c r="P36" i="8"/>
  <c r="K36" i="8"/>
  <c r="CH33" i="8"/>
  <c r="CH32" i="8"/>
  <c r="CH31" i="8"/>
  <c r="CC33" i="8"/>
  <c r="CC32" i="8"/>
  <c r="CC31" i="8"/>
  <c r="BX33" i="8"/>
  <c r="BX32" i="8"/>
  <c r="BX31" i="8"/>
  <c r="BS33" i="8"/>
  <c r="BS32" i="8"/>
  <c r="BS31" i="8"/>
  <c r="BN33" i="8"/>
  <c r="BN32" i="8"/>
  <c r="BN31" i="8"/>
  <c r="BI33" i="8"/>
  <c r="BI32" i="8"/>
  <c r="BI31" i="8"/>
  <c r="BD33" i="8"/>
  <c r="BD32" i="8"/>
  <c r="BD31" i="8"/>
  <c r="BB33" i="8"/>
  <c r="AY33" i="8"/>
  <c r="AY32" i="8"/>
  <c r="AY31" i="8"/>
  <c r="AU33" i="8"/>
  <c r="AT33" i="8"/>
  <c r="AO33" i="8"/>
  <c r="AO32" i="8"/>
  <c r="AO31" i="8"/>
  <c r="AJ33" i="8"/>
  <c r="AJ32" i="8"/>
  <c r="AJ31" i="8"/>
  <c r="AE33" i="8"/>
  <c r="AE32" i="8"/>
  <c r="AE31" i="8"/>
  <c r="Z33" i="8"/>
  <c r="Z32" i="8"/>
  <c r="Z31" i="8"/>
  <c r="U33" i="8"/>
  <c r="U32" i="8"/>
  <c r="U31" i="8"/>
  <c r="P33" i="8"/>
  <c r="P32" i="8"/>
  <c r="P31" i="8"/>
  <c r="K33" i="8"/>
  <c r="K32" i="8"/>
  <c r="K31" i="8"/>
  <c r="AT32" i="8"/>
  <c r="AT31" i="8"/>
  <c r="CM33" i="8"/>
  <c r="CN33" i="8" s="1"/>
  <c r="CO33" i="8" s="1"/>
  <c r="CP33" i="8" s="1"/>
  <c r="CQ33" i="8" s="1"/>
  <c r="CR33" i="8" s="1"/>
  <c r="CS33" i="8" s="1"/>
  <c r="CT33" i="8" s="1"/>
  <c r="CU33" i="8" s="1"/>
  <c r="CV33" i="8" s="1"/>
  <c r="CW33" i="8" s="1"/>
  <c r="CX33" i="8" s="1"/>
  <c r="CY33" i="8" s="1"/>
  <c r="CZ33" i="8" s="1"/>
  <c r="DA33" i="8" s="1"/>
  <c r="DB33" i="8" s="1"/>
  <c r="CM32" i="8"/>
  <c r="CN32" i="8" s="1"/>
  <c r="CO32" i="8" s="1"/>
  <c r="CP32" i="8" s="1"/>
  <c r="CQ32" i="8" s="1"/>
  <c r="CR32" i="8" s="1"/>
  <c r="CS32" i="8" s="1"/>
  <c r="CT32" i="8" s="1"/>
  <c r="CU32" i="8" s="1"/>
  <c r="CV32" i="8" s="1"/>
  <c r="CW32" i="8" s="1"/>
  <c r="CX32" i="8" s="1"/>
  <c r="CY32" i="8" s="1"/>
  <c r="CZ32" i="8" s="1"/>
  <c r="DA32" i="8" s="1"/>
  <c r="DB32" i="8" s="1"/>
  <c r="CM31" i="8"/>
  <c r="CA29" i="8"/>
  <c r="CA34" i="8" s="1"/>
  <c r="BT29" i="8"/>
  <c r="BT34" i="8" s="1"/>
  <c r="BR29" i="8"/>
  <c r="BR34" i="8" s="1"/>
  <c r="BP29" i="8"/>
  <c r="BP34" i="8" s="1"/>
  <c r="BO29" i="8"/>
  <c r="BO34" i="8" s="1"/>
  <c r="BM29" i="8"/>
  <c r="BM34" i="8" s="1"/>
  <c r="BL29" i="8"/>
  <c r="BL34" i="8" s="1"/>
  <c r="BL45" i="8" s="1"/>
  <c r="BL67" i="8" s="1"/>
  <c r="BK29" i="8"/>
  <c r="BK34" i="8" s="1"/>
  <c r="BJ29" i="8"/>
  <c r="BJ34" i="8" s="1"/>
  <c r="BH29" i="8"/>
  <c r="BH34" i="8" s="1"/>
  <c r="BG29" i="8"/>
  <c r="BG34" i="8" s="1"/>
  <c r="BG45" i="8" s="1"/>
  <c r="BC29" i="8"/>
  <c r="BC34" i="8" s="1"/>
  <c r="AU29" i="8"/>
  <c r="AU34" i="8" s="1"/>
  <c r="AR29" i="8"/>
  <c r="AR34" i="8" s="1"/>
  <c r="AQ29" i="8"/>
  <c r="AQ34" i="8" s="1"/>
  <c r="AP29" i="8"/>
  <c r="AP34" i="8" s="1"/>
  <c r="AM29" i="8"/>
  <c r="AM34" i="8" s="1"/>
  <c r="AL29" i="8"/>
  <c r="AL34" i="8" s="1"/>
  <c r="AK29" i="8"/>
  <c r="AK34" i="8" s="1"/>
  <c r="AH29" i="8"/>
  <c r="AH34" i="8" s="1"/>
  <c r="AG29" i="8"/>
  <c r="AG34" i="8" s="1"/>
  <c r="AF29" i="8"/>
  <c r="AF34" i="8" s="1"/>
  <c r="W29" i="8"/>
  <c r="W34" i="8" s="1"/>
  <c r="S29" i="8"/>
  <c r="S34" i="8" s="1"/>
  <c r="R29" i="8"/>
  <c r="R34" i="8" s="1"/>
  <c r="Q29" i="8"/>
  <c r="Q34" i="8" s="1"/>
  <c r="O29" i="8"/>
  <c r="O34" i="8" s="1"/>
  <c r="N29" i="8"/>
  <c r="N34" i="8" s="1"/>
  <c r="M29" i="8"/>
  <c r="M34" i="8" s="1"/>
  <c r="L29" i="8"/>
  <c r="L34" i="8" s="1"/>
  <c r="I29" i="8"/>
  <c r="I34" i="8" s="1"/>
  <c r="H29" i="8"/>
  <c r="H34" i="8" s="1"/>
  <c r="G29" i="8"/>
  <c r="G34" i="8" s="1"/>
  <c r="CD28" i="8"/>
  <c r="CE28" i="8" s="1"/>
  <c r="CC28" i="8"/>
  <c r="CA28" i="8"/>
  <c r="BZ28" i="8"/>
  <c r="BZ29" i="8" s="1"/>
  <c r="BZ34" i="8" s="1"/>
  <c r="BY28" i="8"/>
  <c r="BY29" i="8" s="1"/>
  <c r="BY34" i="8" s="1"/>
  <c r="BX28" i="8"/>
  <c r="BV28" i="8"/>
  <c r="BV29" i="8" s="1"/>
  <c r="BV34" i="8" s="1"/>
  <c r="BV45" i="8" s="1"/>
  <c r="BU28" i="8"/>
  <c r="BU29" i="8" s="1"/>
  <c r="BU34" i="8" s="1"/>
  <c r="BU45" i="8" s="1"/>
  <c r="BS28" i="8"/>
  <c r="BS27" i="8"/>
  <c r="BS29" i="8" s="1"/>
  <c r="BS34" i="8" s="1"/>
  <c r="BS26" i="8"/>
  <c r="BS25" i="8"/>
  <c r="BS24" i="8"/>
  <c r="BQ28" i="8"/>
  <c r="BQ29" i="8" s="1"/>
  <c r="BQ34" i="8" s="1"/>
  <c r="BN28" i="8"/>
  <c r="BN27" i="8"/>
  <c r="BN26" i="8"/>
  <c r="BN25" i="8"/>
  <c r="BN24" i="8"/>
  <c r="BI28" i="8"/>
  <c r="BI27" i="8"/>
  <c r="BI26" i="8"/>
  <c r="BI25" i="8"/>
  <c r="BI24" i="8"/>
  <c r="BE28" i="8"/>
  <c r="BD28" i="8"/>
  <c r="AZ28" i="8"/>
  <c r="BA28" i="8" s="1"/>
  <c r="BB28" i="8" s="1"/>
  <c r="AY28" i="8"/>
  <c r="AT28" i="8"/>
  <c r="AT26" i="8"/>
  <c r="AT25" i="8"/>
  <c r="AT24" i="8"/>
  <c r="AO28" i="8"/>
  <c r="AO26" i="8"/>
  <c r="AO25" i="8"/>
  <c r="AO24" i="8"/>
  <c r="AO49" i="8" s="1"/>
  <c r="AJ28" i="8"/>
  <c r="AJ26" i="8"/>
  <c r="AJ25" i="8"/>
  <c r="AJ24" i="8"/>
  <c r="AJ49" i="8" s="1"/>
  <c r="AE28" i="8"/>
  <c r="AE26" i="8"/>
  <c r="AE25" i="8"/>
  <c r="AE24" i="8"/>
  <c r="Z28" i="8"/>
  <c r="Z26" i="8"/>
  <c r="Z25" i="8"/>
  <c r="Z24" i="8"/>
  <c r="U28" i="8"/>
  <c r="U26" i="8"/>
  <c r="U25" i="8"/>
  <c r="U24" i="8"/>
  <c r="P28" i="8"/>
  <c r="P27" i="8"/>
  <c r="P26" i="8"/>
  <c r="P25" i="8"/>
  <c r="P24" i="8"/>
  <c r="P49" i="8" s="1"/>
  <c r="K28" i="8"/>
  <c r="K26" i="8"/>
  <c r="K25" i="8"/>
  <c r="K24" i="8"/>
  <c r="CM27" i="8"/>
  <c r="CN27" i="8" s="1"/>
  <c r="CO27" i="8" s="1"/>
  <c r="CP27" i="8" s="1"/>
  <c r="CQ27" i="8" s="1"/>
  <c r="CR27" i="8" s="1"/>
  <c r="CS27" i="8" s="1"/>
  <c r="CT27" i="8" s="1"/>
  <c r="CU27" i="8" s="1"/>
  <c r="CV27" i="8" s="1"/>
  <c r="CW27" i="8" s="1"/>
  <c r="CX27" i="8" s="1"/>
  <c r="CY27" i="8" s="1"/>
  <c r="CZ27" i="8" s="1"/>
  <c r="DA27" i="8" s="1"/>
  <c r="DB27" i="8" s="1"/>
  <c r="CL27" i="8"/>
  <c r="CG27" i="8"/>
  <c r="CC27" i="8"/>
  <c r="CB27" i="8"/>
  <c r="CB29" i="8" s="1"/>
  <c r="CB34" i="8" s="1"/>
  <c r="CA27" i="8"/>
  <c r="BW27" i="8"/>
  <c r="BX27" i="8" s="1"/>
  <c r="BG27" i="8"/>
  <c r="BF27" i="8"/>
  <c r="BF29" i="8" s="1"/>
  <c r="BF34" i="8" s="1"/>
  <c r="BE27" i="8"/>
  <c r="BD27" i="8"/>
  <c r="BC27" i="8"/>
  <c r="BB27" i="8"/>
  <c r="BB29" i="8" s="1"/>
  <c r="BB34" i="8" s="1"/>
  <c r="BB45" i="8" s="1"/>
  <c r="BA27" i="8"/>
  <c r="BA29" i="8" s="1"/>
  <c r="BA34" i="8" s="1"/>
  <c r="AZ27" i="8"/>
  <c r="AZ29" i="8" s="1"/>
  <c r="AZ34" i="8" s="1"/>
  <c r="AY27" i="8"/>
  <c r="AX27" i="8"/>
  <c r="AX29" i="8" s="1"/>
  <c r="AX34" i="8" s="1"/>
  <c r="AW27" i="8"/>
  <c r="AW29" i="8" s="1"/>
  <c r="AW34" i="8" s="1"/>
  <c r="AV27" i="8"/>
  <c r="AV29" i="8" s="1"/>
  <c r="AV34" i="8" s="1"/>
  <c r="AU27" i="8"/>
  <c r="AS27" i="8"/>
  <c r="AS29" i="8" s="1"/>
  <c r="AS34" i="8" s="1"/>
  <c r="AN27" i="8"/>
  <c r="AN29" i="8" s="1"/>
  <c r="AN34" i="8" s="1"/>
  <c r="AI27" i="8"/>
  <c r="AI29" i="8" s="1"/>
  <c r="AI34" i="8" s="1"/>
  <c r="AD27" i="8"/>
  <c r="AD29" i="8" s="1"/>
  <c r="AD34" i="8" s="1"/>
  <c r="AC27" i="8"/>
  <c r="AC29" i="8" s="1"/>
  <c r="AC34" i="8" s="1"/>
  <c r="AB27" i="8"/>
  <c r="AB29" i="8" s="1"/>
  <c r="AB34" i="8" s="1"/>
  <c r="AA27" i="8"/>
  <c r="AA29" i="8" s="1"/>
  <c r="AA34" i="8" s="1"/>
  <c r="Y27" i="8"/>
  <c r="Y29" i="8" s="1"/>
  <c r="Y34" i="8" s="1"/>
  <c r="X27" i="8"/>
  <c r="X29" i="8" s="1"/>
  <c r="X34" i="8" s="1"/>
  <c r="W27" i="8"/>
  <c r="V27" i="8"/>
  <c r="V29" i="8" s="1"/>
  <c r="V34" i="8" s="1"/>
  <c r="T27" i="8"/>
  <c r="T29" i="8" s="1"/>
  <c r="T34" i="8" s="1"/>
  <c r="O27" i="8"/>
  <c r="J27" i="8"/>
  <c r="J29" i="8" s="1"/>
  <c r="J34" i="8" s="1"/>
  <c r="F27" i="8"/>
  <c r="F29" i="8" s="1"/>
  <c r="F34" i="8" s="1"/>
  <c r="E27" i="8"/>
  <c r="E29" i="8" s="1"/>
  <c r="E34" i="8" s="1"/>
  <c r="CH26" i="8"/>
  <c r="CH25" i="8"/>
  <c r="CH24" i="8"/>
  <c r="CC26" i="8"/>
  <c r="CC25" i="8"/>
  <c r="CC24" i="8"/>
  <c r="BX26" i="8"/>
  <c r="BX25" i="8"/>
  <c r="BX24" i="8"/>
  <c r="BX29" i="8" s="1"/>
  <c r="BX34" i="8" s="1"/>
  <c r="BE26" i="8"/>
  <c r="BE29" i="8" s="1"/>
  <c r="BE34" i="8" s="1"/>
  <c r="BD26" i="8"/>
  <c r="AY26" i="8"/>
  <c r="AY25" i="8"/>
  <c r="AY24" i="8"/>
  <c r="AY29" i="8" s="1"/>
  <c r="AY34" i="8" s="1"/>
  <c r="BD25" i="8"/>
  <c r="BD24" i="8"/>
  <c r="CN26" i="8"/>
  <c r="CO26" i="8" s="1"/>
  <c r="CP26" i="8" s="1"/>
  <c r="CQ26" i="8" s="1"/>
  <c r="CR26" i="8" s="1"/>
  <c r="CS26" i="8" s="1"/>
  <c r="CT26" i="8" s="1"/>
  <c r="CU26" i="8" s="1"/>
  <c r="CV26" i="8" s="1"/>
  <c r="CW26" i="8" s="1"/>
  <c r="CX26" i="8" s="1"/>
  <c r="CY26" i="8" s="1"/>
  <c r="CZ26" i="8" s="1"/>
  <c r="DA26" i="8" s="1"/>
  <c r="DB26" i="8" s="1"/>
  <c r="CM26" i="8"/>
  <c r="CM25" i="8"/>
  <c r="CM24" i="8"/>
  <c r="CB22" i="8"/>
  <c r="BT22" i="8"/>
  <c r="BP22" i="8"/>
  <c r="BL22" i="8"/>
  <c r="BH22" i="8"/>
  <c r="AZ22" i="8"/>
  <c r="AV22" i="8"/>
  <c r="CL21" i="8"/>
  <c r="CM21" i="8" s="1"/>
  <c r="CN21" i="8" s="1"/>
  <c r="CO21" i="8" s="1"/>
  <c r="CP21" i="8" s="1"/>
  <c r="CQ21" i="8" s="1"/>
  <c r="CR21" i="8" s="1"/>
  <c r="CH21" i="8"/>
  <c r="CH20" i="8"/>
  <c r="CH19" i="8"/>
  <c r="CC21" i="8"/>
  <c r="CC20" i="8"/>
  <c r="CC19" i="8"/>
  <c r="BX21" i="8"/>
  <c r="BX20" i="8"/>
  <c r="BX19" i="8"/>
  <c r="BS21" i="8"/>
  <c r="BS20" i="8"/>
  <c r="BS19" i="8"/>
  <c r="BN21" i="8"/>
  <c r="BN20" i="8"/>
  <c r="BN19" i="8"/>
  <c r="BI21" i="8"/>
  <c r="BI20" i="8"/>
  <c r="BI19" i="8"/>
  <c r="BD21" i="8"/>
  <c r="BD20" i="8"/>
  <c r="BD19" i="8"/>
  <c r="AY21" i="8"/>
  <c r="AY20" i="8"/>
  <c r="AY19" i="8"/>
  <c r="AU21" i="8"/>
  <c r="AS21" i="8"/>
  <c r="AT21" i="8" s="1"/>
  <c r="AR21" i="8"/>
  <c r="AQ21" i="8"/>
  <c r="AP21" i="8"/>
  <c r="AN21" i="8"/>
  <c r="AO21" i="8" s="1"/>
  <c r="AM21" i="8"/>
  <c r="AL21" i="8"/>
  <c r="AK21" i="8"/>
  <c r="AJ21" i="8"/>
  <c r="AI21" i="8"/>
  <c r="AH21" i="8"/>
  <c r="AG21" i="8"/>
  <c r="AF21" i="8"/>
  <c r="AE21" i="8"/>
  <c r="AD21" i="8"/>
  <c r="AC21" i="8"/>
  <c r="AB21" i="8"/>
  <c r="AA21" i="8"/>
  <c r="Y21" i="8"/>
  <c r="Z21" i="8" s="1"/>
  <c r="X21" i="8"/>
  <c r="W21" i="8"/>
  <c r="V21" i="8"/>
  <c r="T21" i="8"/>
  <c r="U21" i="8" s="1"/>
  <c r="S21" i="8"/>
  <c r="R21" i="8"/>
  <c r="Q21" i="8"/>
  <c r="P21" i="8"/>
  <c r="O21" i="8"/>
  <c r="N21" i="8"/>
  <c r="M21" i="8"/>
  <c r="L21" i="8"/>
  <c r="K21" i="8"/>
  <c r="AU20" i="8"/>
  <c r="AT20" i="8"/>
  <c r="AO20" i="8"/>
  <c r="AO19" i="8"/>
  <c r="AJ20" i="8"/>
  <c r="AJ19" i="8"/>
  <c r="AE20" i="8"/>
  <c r="AE19" i="8"/>
  <c r="Z20" i="8"/>
  <c r="Z19" i="8"/>
  <c r="U20" i="8"/>
  <c r="U19" i="8"/>
  <c r="P20" i="8"/>
  <c r="P19" i="8"/>
  <c r="K20" i="8"/>
  <c r="K19" i="8"/>
  <c r="CN20" i="8"/>
  <c r="CO20" i="8" s="1"/>
  <c r="CP20" i="8" s="1"/>
  <c r="CQ20" i="8" s="1"/>
  <c r="CR20" i="8" s="1"/>
  <c r="CS20" i="8" s="1"/>
  <c r="CT20" i="8" s="1"/>
  <c r="CU20" i="8" s="1"/>
  <c r="CV20" i="8" s="1"/>
  <c r="CW20" i="8" s="1"/>
  <c r="CX20" i="8" s="1"/>
  <c r="CY20" i="8" s="1"/>
  <c r="CZ20" i="8" s="1"/>
  <c r="DA20" i="8" s="1"/>
  <c r="DB20" i="8" s="1"/>
  <c r="CM20" i="8"/>
  <c r="CM19" i="8"/>
  <c r="AT19" i="8"/>
  <c r="CL17" i="8"/>
  <c r="CL22" i="8" s="1"/>
  <c r="CB17" i="8"/>
  <c r="CA17" i="8"/>
  <c r="CA22" i="8" s="1"/>
  <c r="BZ17" i="8"/>
  <c r="BZ22" i="8" s="1"/>
  <c r="BY17" i="8"/>
  <c r="BY22" i="8" s="1"/>
  <c r="BW17" i="8"/>
  <c r="BW22" i="8" s="1"/>
  <c r="BV17" i="8"/>
  <c r="BV22" i="8" s="1"/>
  <c r="BU17" i="8"/>
  <c r="BU22" i="8" s="1"/>
  <c r="BT17" i="8"/>
  <c r="BR17" i="8"/>
  <c r="BR22" i="8" s="1"/>
  <c r="BQ17" i="8"/>
  <c r="BQ22" i="8" s="1"/>
  <c r="BP17" i="8"/>
  <c r="BO17" i="8"/>
  <c r="BO22" i="8" s="1"/>
  <c r="BM17" i="8"/>
  <c r="BM22" i="8" s="1"/>
  <c r="BL17" i="8"/>
  <c r="BK17" i="8"/>
  <c r="BK22" i="8" s="1"/>
  <c r="BJ17" i="8"/>
  <c r="BJ22" i="8" s="1"/>
  <c r="BH17" i="8"/>
  <c r="BG17" i="8"/>
  <c r="BG22" i="8" s="1"/>
  <c r="BF17" i="8"/>
  <c r="BF22" i="8" s="1"/>
  <c r="BE17" i="8"/>
  <c r="BE22" i="8" s="1"/>
  <c r="BC17" i="8"/>
  <c r="BC22" i="8" s="1"/>
  <c r="BB17" i="8"/>
  <c r="BB22" i="8" s="1"/>
  <c r="BA17" i="8"/>
  <c r="BA22" i="8" s="1"/>
  <c r="AZ17" i="8"/>
  <c r="AX17" i="8"/>
  <c r="AX22" i="8" s="1"/>
  <c r="AW17" i="8"/>
  <c r="AW22" i="8" s="1"/>
  <c r="AV17" i="8"/>
  <c r="AU17" i="8"/>
  <c r="AU22" i="8" s="1"/>
  <c r="AS17" i="8"/>
  <c r="AS22" i="8" s="1"/>
  <c r="AR17" i="8"/>
  <c r="AR22" i="8" s="1"/>
  <c r="AQ17" i="8"/>
  <c r="AQ22" i="8" s="1"/>
  <c r="AM17" i="8"/>
  <c r="AM22" i="8" s="1"/>
  <c r="AL17" i="8"/>
  <c r="AL22" i="8" s="1"/>
  <c r="AK17" i="8"/>
  <c r="AK22" i="8" s="1"/>
  <c r="AI17" i="8"/>
  <c r="AI22" i="8" s="1"/>
  <c r="AH17" i="8"/>
  <c r="AH22" i="8" s="1"/>
  <c r="AG17" i="8"/>
  <c r="AG22" i="8" s="1"/>
  <c r="AF17" i="8"/>
  <c r="AF22" i="8" s="1"/>
  <c r="AD17" i="8"/>
  <c r="AD22" i="8" s="1"/>
  <c r="AC17" i="8"/>
  <c r="AC22" i="8" s="1"/>
  <c r="AB17" i="8"/>
  <c r="AB22" i="8" s="1"/>
  <c r="AA17" i="8"/>
  <c r="AA22" i="8" s="1"/>
  <c r="Y17" i="8"/>
  <c r="Y22" i="8" s="1"/>
  <c r="X17" i="8"/>
  <c r="X22" i="8" s="1"/>
  <c r="W17" i="8"/>
  <c r="W22" i="8" s="1"/>
  <c r="V17" i="8"/>
  <c r="V22" i="8" s="1"/>
  <c r="T17" i="8"/>
  <c r="T22" i="8" s="1"/>
  <c r="S17" i="8"/>
  <c r="S22" i="8" s="1"/>
  <c r="R17" i="8"/>
  <c r="R22" i="8" s="1"/>
  <c r="Q17" i="8"/>
  <c r="Q22" i="8" s="1"/>
  <c r="O17" i="8"/>
  <c r="O22" i="8" s="1"/>
  <c r="N17" i="8"/>
  <c r="N22" i="8" s="1"/>
  <c r="M17" i="8"/>
  <c r="M22" i="8" s="1"/>
  <c r="L17" i="8"/>
  <c r="L22" i="8" s="1"/>
  <c r="J17" i="8"/>
  <c r="J22" i="8" s="1"/>
  <c r="I17" i="8"/>
  <c r="I22" i="8" s="1"/>
  <c r="H17" i="8"/>
  <c r="H22" i="8" s="1"/>
  <c r="G17" i="8"/>
  <c r="G22" i="8" s="1"/>
  <c r="F17" i="8"/>
  <c r="F22" i="8" s="1"/>
  <c r="E17" i="8"/>
  <c r="E22" i="8" s="1"/>
  <c r="CH16" i="8"/>
  <c r="CH15" i="8"/>
  <c r="CH13" i="8"/>
  <c r="CH12" i="8"/>
  <c r="CH11" i="8"/>
  <c r="CC16" i="8"/>
  <c r="CC15" i="8"/>
  <c r="CC14" i="8"/>
  <c r="CC13" i="8"/>
  <c r="CC12" i="8"/>
  <c r="CC11" i="8"/>
  <c r="CC10" i="8"/>
  <c r="CC80" i="8" s="1"/>
  <c r="CC88" i="8" s="1"/>
  <c r="BX16" i="8"/>
  <c r="BX15" i="8"/>
  <c r="BX14" i="8"/>
  <c r="BX13" i="8"/>
  <c r="BX12" i="8"/>
  <c r="BX11" i="8"/>
  <c r="BX10" i="8"/>
  <c r="BX80" i="8" s="1"/>
  <c r="BX88" i="8" s="1"/>
  <c r="BS16" i="8"/>
  <c r="BS15" i="8"/>
  <c r="BS14" i="8"/>
  <c r="BS13" i="8"/>
  <c r="BS12" i="8"/>
  <c r="BS11" i="8"/>
  <c r="BS10" i="8"/>
  <c r="BS80" i="8" s="1"/>
  <c r="BS88" i="8" s="1"/>
  <c r="BN16" i="8"/>
  <c r="BN15" i="8"/>
  <c r="BN14" i="8"/>
  <c r="BN13" i="8"/>
  <c r="BN12" i="8"/>
  <c r="BN11" i="8"/>
  <c r="BN10" i="8"/>
  <c r="BN80" i="8" s="1"/>
  <c r="BN88" i="8" s="1"/>
  <c r="BN8" i="8"/>
  <c r="BI16" i="8"/>
  <c r="BI15" i="8"/>
  <c r="BI14" i="8"/>
  <c r="BI13" i="8"/>
  <c r="BI17" i="8" s="1"/>
  <c r="BI22" i="8" s="1"/>
  <c r="BI12" i="8"/>
  <c r="BI11" i="8"/>
  <c r="BI10" i="8"/>
  <c r="BI80" i="8" s="1"/>
  <c r="BI88" i="8" s="1"/>
  <c r="BI9" i="8"/>
  <c r="BI8" i="8"/>
  <c r="BD16" i="8"/>
  <c r="BD15" i="8"/>
  <c r="BD14" i="8"/>
  <c r="BD13" i="8"/>
  <c r="BD12" i="8"/>
  <c r="BD11" i="8"/>
  <c r="BD17" i="8" s="1"/>
  <c r="BD22" i="8" s="1"/>
  <c r="BD10" i="8"/>
  <c r="BD80" i="8" s="1"/>
  <c r="BD88" i="8" s="1"/>
  <c r="BD8" i="8"/>
  <c r="AY16" i="8"/>
  <c r="AY15" i="8"/>
  <c r="AY14" i="8"/>
  <c r="AY13" i="8"/>
  <c r="AY12" i="8"/>
  <c r="AY11" i="8"/>
  <c r="AY8" i="8"/>
  <c r="AY17" i="8" s="1"/>
  <c r="AY22" i="8" s="1"/>
  <c r="AT16" i="8"/>
  <c r="AT15" i="8"/>
  <c r="AT14" i="8"/>
  <c r="AT13" i="8"/>
  <c r="AT12" i="8"/>
  <c r="AT11" i="8"/>
  <c r="AT10" i="8"/>
  <c r="AT80" i="8" s="1"/>
  <c r="AT88" i="8" s="1"/>
  <c r="AT8" i="8"/>
  <c r="AT17" i="8" s="1"/>
  <c r="AT22" i="8" s="1"/>
  <c r="AO16" i="8"/>
  <c r="AO14" i="8"/>
  <c r="AO13" i="8"/>
  <c r="AO12" i="8"/>
  <c r="AO11" i="8"/>
  <c r="AO10" i="8"/>
  <c r="AO80" i="8" s="1"/>
  <c r="AO88" i="8" s="1"/>
  <c r="AO9" i="8"/>
  <c r="AO8" i="8"/>
  <c r="AJ16" i="8"/>
  <c r="AJ15" i="8"/>
  <c r="AJ14" i="8"/>
  <c r="AJ13" i="8"/>
  <c r="AJ12" i="8"/>
  <c r="AJ11" i="8"/>
  <c r="AJ10" i="8"/>
  <c r="AJ80" i="8" s="1"/>
  <c r="AJ88" i="8" s="1"/>
  <c r="AJ8" i="8"/>
  <c r="AJ17" i="8" s="1"/>
  <c r="AJ22" i="8" s="1"/>
  <c r="AE16" i="8"/>
  <c r="AE15" i="8"/>
  <c r="AE14" i="8"/>
  <c r="AE13" i="8"/>
  <c r="AE12" i="8"/>
  <c r="AE11" i="8"/>
  <c r="AE10" i="8"/>
  <c r="AE80" i="8" s="1"/>
  <c r="AE88" i="8" s="1"/>
  <c r="AE8" i="8"/>
  <c r="AE17" i="8" s="1"/>
  <c r="AE22" i="8" s="1"/>
  <c r="Z16" i="8"/>
  <c r="Z15" i="8"/>
  <c r="Z14" i="8"/>
  <c r="Z13" i="8"/>
  <c r="Z12" i="8"/>
  <c r="Z11" i="8"/>
  <c r="Z10" i="8"/>
  <c r="Z80" i="8" s="1"/>
  <c r="Z88" i="8" s="1"/>
  <c r="Z8" i="8"/>
  <c r="Z17" i="8" s="1"/>
  <c r="Z22" i="8" s="1"/>
  <c r="U16" i="8"/>
  <c r="U15" i="8"/>
  <c r="U14" i="8"/>
  <c r="U13" i="8"/>
  <c r="U17" i="8" s="1"/>
  <c r="U22" i="8" s="1"/>
  <c r="U12" i="8"/>
  <c r="U11" i="8"/>
  <c r="U10" i="8"/>
  <c r="U80" i="8" s="1"/>
  <c r="U88" i="8" s="1"/>
  <c r="U9" i="8"/>
  <c r="U8" i="8"/>
  <c r="P16" i="8"/>
  <c r="P15" i="8"/>
  <c r="P14" i="8"/>
  <c r="P13" i="8"/>
  <c r="P12" i="8"/>
  <c r="P11" i="8"/>
  <c r="P10" i="8"/>
  <c r="P80" i="8" s="1"/>
  <c r="P88" i="8" s="1"/>
  <c r="P8" i="8"/>
  <c r="P17" i="8" s="1"/>
  <c r="P22" i="8" s="1"/>
  <c r="K16" i="8"/>
  <c r="K15" i="8"/>
  <c r="K14" i="8"/>
  <c r="K13" i="8"/>
  <c r="K12" i="8"/>
  <c r="K11" i="8"/>
  <c r="K10" i="8"/>
  <c r="K80" i="8" s="1"/>
  <c r="K88" i="8" s="1"/>
  <c r="K8" i="8"/>
  <c r="K17" i="8" s="1"/>
  <c r="K22" i="8" s="1"/>
  <c r="AP15" i="8"/>
  <c r="AP76" i="8" s="1"/>
  <c r="AT76" i="8" s="1"/>
  <c r="AN15" i="8"/>
  <c r="AN76" i="8" s="1"/>
  <c r="CD14" i="8"/>
  <c r="CD17" i="8" s="1"/>
  <c r="CD22" i="8" s="1"/>
  <c r="CM16" i="8"/>
  <c r="CN16" i="8" s="1"/>
  <c r="CO16" i="8" s="1"/>
  <c r="CP16" i="8" s="1"/>
  <c r="CQ16" i="8" s="1"/>
  <c r="CR16" i="8" s="1"/>
  <c r="CS16" i="8" s="1"/>
  <c r="CT16" i="8" s="1"/>
  <c r="CU16" i="8" s="1"/>
  <c r="CV16" i="8" s="1"/>
  <c r="CW16" i="8" s="1"/>
  <c r="CX16" i="8" s="1"/>
  <c r="CY16" i="8" s="1"/>
  <c r="CZ16" i="8" s="1"/>
  <c r="DA16" i="8" s="1"/>
  <c r="DB16" i="8" s="1"/>
  <c r="CM15" i="8"/>
  <c r="CM14" i="8"/>
  <c r="CN14" i="8" s="1"/>
  <c r="CO14" i="8" s="1"/>
  <c r="CP14" i="8" s="1"/>
  <c r="CQ14" i="8" s="1"/>
  <c r="CR14" i="8" s="1"/>
  <c r="CS14" i="8" s="1"/>
  <c r="CT14" i="8" s="1"/>
  <c r="CU14" i="8" s="1"/>
  <c r="CV14" i="8" s="1"/>
  <c r="CW14" i="8" s="1"/>
  <c r="CX14" i="8" s="1"/>
  <c r="CY14" i="8" s="1"/>
  <c r="CZ14" i="8" s="1"/>
  <c r="DA14" i="8" s="1"/>
  <c r="DB14" i="8" s="1"/>
  <c r="CM13" i="8"/>
  <c r="CN13" i="8" s="1"/>
  <c r="CO13" i="8" s="1"/>
  <c r="CP13" i="8" s="1"/>
  <c r="CQ13" i="8" s="1"/>
  <c r="CR13" i="8" s="1"/>
  <c r="CS13" i="8" s="1"/>
  <c r="CT13" i="8" s="1"/>
  <c r="CU13" i="8" s="1"/>
  <c r="CV13" i="8" s="1"/>
  <c r="CW13" i="8" s="1"/>
  <c r="CX13" i="8" s="1"/>
  <c r="CY13" i="8" s="1"/>
  <c r="CZ13" i="8" s="1"/>
  <c r="DA13" i="8" s="1"/>
  <c r="DB13" i="8" s="1"/>
  <c r="CM12" i="8"/>
  <c r="CM11" i="8"/>
  <c r="AX10" i="8"/>
  <c r="AX80" i="8" s="1"/>
  <c r="CL9" i="8"/>
  <c r="CK9" i="8"/>
  <c r="CJ9" i="8"/>
  <c r="CI9" i="8"/>
  <c r="CG9" i="8"/>
  <c r="CF9" i="8"/>
  <c r="CE9" i="8"/>
  <c r="CD9" i="8"/>
  <c r="CB9" i="8"/>
  <c r="CA9" i="8"/>
  <c r="BZ9" i="8"/>
  <c r="BU9" i="8"/>
  <c r="BR9" i="8"/>
  <c r="BQ9" i="8"/>
  <c r="BP9" i="8"/>
  <c r="BO9" i="8"/>
  <c r="BM9" i="8"/>
  <c r="BN9" i="8" s="1"/>
  <c r="BL9" i="8"/>
  <c r="BK9" i="8"/>
  <c r="BJ9" i="8"/>
  <c r="BH9" i="8"/>
  <c r="BG9" i="8"/>
  <c r="BF9" i="8"/>
  <c r="BE9" i="8"/>
  <c r="BC9" i="8"/>
  <c r="BD9" i="8" s="1"/>
  <c r="BB9" i="8"/>
  <c r="BA9" i="8"/>
  <c r="AZ9" i="8"/>
  <c r="AW9" i="8"/>
  <c r="AV9" i="8"/>
  <c r="AU9" i="8"/>
  <c r="AS9" i="8"/>
  <c r="AT9" i="8" s="1"/>
  <c r="AR9" i="8"/>
  <c r="AQ9" i="8"/>
  <c r="AP9" i="8"/>
  <c r="AN9" i="8"/>
  <c r="AM9" i="8"/>
  <c r="AL9" i="8"/>
  <c r="AK9" i="8"/>
  <c r="AI9" i="8"/>
  <c r="AJ9" i="8" s="1"/>
  <c r="AH9" i="8"/>
  <c r="AG9" i="8"/>
  <c r="AF9" i="8"/>
  <c r="AD9" i="8"/>
  <c r="AE9" i="8" s="1"/>
  <c r="AC9" i="8"/>
  <c r="AB9" i="8"/>
  <c r="AA9" i="8"/>
  <c r="Y9" i="8"/>
  <c r="Z9" i="8" s="1"/>
  <c r="X9" i="8"/>
  <c r="W9" i="8"/>
  <c r="V9" i="8"/>
  <c r="T9" i="8"/>
  <c r="S9" i="8"/>
  <c r="R9" i="8"/>
  <c r="O9" i="8"/>
  <c r="P9" i="8" s="1"/>
  <c r="J9" i="8"/>
  <c r="K9" i="8" s="1"/>
  <c r="F9" i="8"/>
  <c r="E9" i="8"/>
  <c r="CM8" i="8"/>
  <c r="CN145" i="8" s="1"/>
  <c r="CH8" i="8"/>
  <c r="CI145" i="8" s="1"/>
  <c r="CC8" i="8"/>
  <c r="CD145" i="8" s="1"/>
  <c r="BX8" i="8"/>
  <c r="BY145" i="8" s="1"/>
  <c r="BS8" i="8"/>
  <c r="BT145" i="8" s="1"/>
  <c r="DB6" i="8"/>
  <c r="DA6" i="8"/>
  <c r="CZ6" i="8"/>
  <c r="CY6" i="8"/>
  <c r="CX6" i="8"/>
  <c r="CW6" i="8"/>
  <c r="CV6" i="8"/>
  <c r="CU6" i="8"/>
  <c r="CT6" i="8"/>
  <c r="CS6" i="8"/>
  <c r="CR6" i="8"/>
  <c r="CQ6" i="8"/>
  <c r="CP6" i="8"/>
  <c r="CO6" i="8"/>
  <c r="CN6" i="8"/>
  <c r="CM6" i="8"/>
  <c r="CL6" i="8"/>
  <c r="CK6" i="8"/>
  <c r="CJ6" i="8"/>
  <c r="CI6" i="8"/>
  <c r="CH6" i="8"/>
  <c r="CG6" i="8"/>
  <c r="CF6" i="8"/>
  <c r="CE6" i="8"/>
  <c r="CD6" i="8"/>
  <c r="CC6" i="8"/>
  <c r="CB6" i="8"/>
  <c r="CA6" i="8"/>
  <c r="BZ6" i="8"/>
  <c r="BY6" i="8"/>
  <c r="BX6" i="8"/>
  <c r="BW6" i="8"/>
  <c r="BV6" i="8"/>
  <c r="BU6" i="8"/>
  <c r="BT6" i="8"/>
  <c r="BS6" i="8"/>
  <c r="BR6" i="8"/>
  <c r="BQ6" i="8"/>
  <c r="BP6" i="8"/>
  <c r="BO6" i="8"/>
  <c r="BN6" i="8"/>
  <c r="BM6" i="8"/>
  <c r="BL6" i="8"/>
  <c r="BK6" i="8"/>
  <c r="BJ6" i="8"/>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E6" i="8"/>
  <c r="D6" i="8"/>
  <c r="B6" i="8"/>
  <c r="DB4" i="8"/>
  <c r="DB99" i="8" s="1"/>
  <c r="CX98" i="8" s="1"/>
  <c r="DA4" i="8"/>
  <c r="DA99" i="8" s="1"/>
  <c r="CZ4" i="8"/>
  <c r="CZ99" i="8" s="1"/>
  <c r="CY4" i="8"/>
  <c r="CY99" i="8" s="1"/>
  <c r="CX4" i="8"/>
  <c r="CX99" i="8" s="1"/>
  <c r="CW4" i="8"/>
  <c r="CW99" i="8" s="1"/>
  <c r="CS98" i="8" s="1"/>
  <c r="CV4" i="8"/>
  <c r="CV99" i="8" s="1"/>
  <c r="CU4" i="8"/>
  <c r="CU99" i="8" s="1"/>
  <c r="CT4" i="8"/>
  <c r="CT99" i="8" s="1"/>
  <c r="CS4" i="8"/>
  <c r="CS99" i="8" s="1"/>
  <c r="CR4" i="8"/>
  <c r="CR99" i="8" s="1"/>
  <c r="CN98" i="8" s="1"/>
  <c r="CQ4" i="8"/>
  <c r="CQ99" i="8" s="1"/>
  <c r="CP4" i="8"/>
  <c r="CP99" i="8" s="1"/>
  <c r="CO4" i="8"/>
  <c r="CO99" i="8" s="1"/>
  <c r="CN4" i="8"/>
  <c r="CN99" i="8" s="1"/>
  <c r="CM4" i="8"/>
  <c r="CM99" i="8" s="1"/>
  <c r="CI98" i="8" s="1"/>
  <c r="CL4" i="8"/>
  <c r="CL99" i="8" s="1"/>
  <c r="CK4" i="8"/>
  <c r="CK99" i="8" s="1"/>
  <c r="CJ4" i="8"/>
  <c r="CJ99" i="8" s="1"/>
  <c r="CI4" i="8"/>
  <c r="CI99" i="8" s="1"/>
  <c r="CH4" i="8"/>
  <c r="CH99" i="8" s="1"/>
  <c r="CD98" i="8" s="1"/>
  <c r="CG4" i="8"/>
  <c r="CG99" i="8" s="1"/>
  <c r="CF4" i="8"/>
  <c r="CF99" i="8" s="1"/>
  <c r="CE4" i="8"/>
  <c r="CE99" i="8" s="1"/>
  <c r="CD4" i="8"/>
  <c r="CD99" i="8" s="1"/>
  <c r="CC4" i="8"/>
  <c r="CC99" i="8" s="1"/>
  <c r="CB4" i="8"/>
  <c r="CB99" i="8" s="1"/>
  <c r="CA4" i="8"/>
  <c r="CA99" i="8" s="1"/>
  <c r="BZ4" i="8"/>
  <c r="BZ99" i="8" s="1"/>
  <c r="BY4" i="8"/>
  <c r="BY99" i="8" s="1"/>
  <c r="BX4" i="8"/>
  <c r="BX99" i="8" s="1"/>
  <c r="BW4" i="8"/>
  <c r="BW99" i="8" s="1"/>
  <c r="BV4" i="8"/>
  <c r="BV99" i="8" s="1"/>
  <c r="BU4" i="8"/>
  <c r="BU99" i="8" s="1"/>
  <c r="BT4" i="8"/>
  <c r="BT99" i="8" s="1"/>
  <c r="BS4" i="8"/>
  <c r="BS99" i="8" s="1"/>
  <c r="BR4" i="8"/>
  <c r="BR99" i="8" s="1"/>
  <c r="BQ4" i="8"/>
  <c r="BQ99" i="8" s="1"/>
  <c r="BP4" i="8"/>
  <c r="BP99" i="8" s="1"/>
  <c r="BO4" i="8"/>
  <c r="BO99" i="8" s="1"/>
  <c r="BN4" i="8"/>
  <c r="BN99" i="8" s="1"/>
  <c r="BM4" i="8"/>
  <c r="BM99" i="8" s="1"/>
  <c r="BL4" i="8"/>
  <c r="BL99" i="8" s="1"/>
  <c r="BK4" i="8"/>
  <c r="BK99" i="8" s="1"/>
  <c r="BJ4" i="8"/>
  <c r="BJ99" i="8" s="1"/>
  <c r="BI4" i="8"/>
  <c r="BI99" i="8" s="1"/>
  <c r="BH4" i="8"/>
  <c r="BH99" i="8" s="1"/>
  <c r="BG4" i="8"/>
  <c r="BG99" i="8" s="1"/>
  <c r="BF4" i="8"/>
  <c r="BF99" i="8" s="1"/>
  <c r="BE4" i="8"/>
  <c r="BE99" i="8" s="1"/>
  <c r="BD4" i="8"/>
  <c r="BD99" i="8" s="1"/>
  <c r="BC4" i="8"/>
  <c r="BC99" i="8" s="1"/>
  <c r="BB4" i="8"/>
  <c r="BB99" i="8" s="1"/>
  <c r="BA4" i="8"/>
  <c r="BA99" i="8" s="1"/>
  <c r="AZ4" i="8"/>
  <c r="AZ99" i="8" s="1"/>
  <c r="AY4" i="8"/>
  <c r="AY99" i="8" s="1"/>
  <c r="AX4" i="8"/>
  <c r="AX99" i="8" s="1"/>
  <c r="AW4" i="8"/>
  <c r="AW99" i="8" s="1"/>
  <c r="AV4" i="8"/>
  <c r="AV99" i="8" s="1"/>
  <c r="AU4" i="8"/>
  <c r="AU99" i="8" s="1"/>
  <c r="AT4" i="8"/>
  <c r="AT99" i="8" s="1"/>
  <c r="AS4" i="8"/>
  <c r="AS99" i="8" s="1"/>
  <c r="AR4" i="8"/>
  <c r="AR99" i="8" s="1"/>
  <c r="AQ4" i="8"/>
  <c r="AQ99" i="8" s="1"/>
  <c r="AP4" i="8"/>
  <c r="AP99" i="8" s="1"/>
  <c r="AO4" i="8"/>
  <c r="AO99" i="8" s="1"/>
  <c r="AN4" i="8"/>
  <c r="AN99" i="8" s="1"/>
  <c r="AM4" i="8"/>
  <c r="AM99" i="8" s="1"/>
  <c r="AL4" i="8"/>
  <c r="AL99" i="8" s="1"/>
  <c r="AK4" i="8"/>
  <c r="AK99" i="8" s="1"/>
  <c r="AJ4" i="8"/>
  <c r="AJ99" i="8" s="1"/>
  <c r="AI4" i="8"/>
  <c r="AI99" i="8" s="1"/>
  <c r="AH4" i="8"/>
  <c r="AH99" i="8" s="1"/>
  <c r="AG4" i="8"/>
  <c r="AG99" i="8" s="1"/>
  <c r="AF4" i="8"/>
  <c r="AF99" i="8" s="1"/>
  <c r="AE4" i="8"/>
  <c r="AE99" i="8" s="1"/>
  <c r="AD4" i="8"/>
  <c r="AD99" i="8" s="1"/>
  <c r="AC4" i="8"/>
  <c r="AC99" i="8" s="1"/>
  <c r="AB4" i="8"/>
  <c r="AB99" i="8" s="1"/>
  <c r="AA4" i="8"/>
  <c r="AA99" i="8" s="1"/>
  <c r="Z4" i="8"/>
  <c r="Z99" i="8" s="1"/>
  <c r="Y4" i="8"/>
  <c r="Y99" i="8" s="1"/>
  <c r="X4" i="8"/>
  <c r="X99" i="8" s="1"/>
  <c r="W4" i="8"/>
  <c r="W99" i="8" s="1"/>
  <c r="V4" i="8"/>
  <c r="V99" i="8" s="1"/>
  <c r="U4" i="8"/>
  <c r="U99" i="8" s="1"/>
  <c r="T4" i="8"/>
  <c r="T99" i="8" s="1"/>
  <c r="S4" i="8"/>
  <c r="S99" i="8" s="1"/>
  <c r="R4" i="8"/>
  <c r="R99" i="8" s="1"/>
  <c r="Q4" i="8"/>
  <c r="Q99" i="8" s="1"/>
  <c r="P4" i="8"/>
  <c r="P99" i="8" s="1"/>
  <c r="O4" i="8"/>
  <c r="O99" i="8" s="1"/>
  <c r="N4" i="8"/>
  <c r="N99" i="8" s="1"/>
  <c r="M4" i="8"/>
  <c r="M99" i="8" s="1"/>
  <c r="L4" i="8"/>
  <c r="L99" i="8" s="1"/>
  <c r="K4" i="8"/>
  <c r="K99" i="8" s="1"/>
  <c r="J4" i="8"/>
  <c r="J99" i="8" s="1"/>
  <c r="I4" i="8"/>
  <c r="I99" i="8" s="1"/>
  <c r="H4" i="8"/>
  <c r="H99" i="8" s="1"/>
  <c r="G4" i="8"/>
  <c r="G99" i="8" s="1"/>
  <c r="F4" i="8"/>
  <c r="F99" i="8" s="1"/>
  <c r="E4" i="8"/>
  <c r="E99" i="8" s="1"/>
  <c r="D4" i="8"/>
  <c r="D99" i="8" s="1"/>
  <c r="CX3" i="8"/>
  <c r="CS3" i="8"/>
  <c r="CN3" i="8"/>
  <c r="CI3" i="8"/>
  <c r="CD3" i="8"/>
  <c r="BY3" i="8"/>
  <c r="BY98" i="8" s="1"/>
  <c r="BT3" i="8"/>
  <c r="BT98" i="8" s="1"/>
  <c r="BO3" i="8"/>
  <c r="BO98" i="8" s="1"/>
  <c r="BJ3" i="8"/>
  <c r="BJ98" i="8" s="1"/>
  <c r="BE3" i="8"/>
  <c r="BE98" i="8" s="1"/>
  <c r="AZ3" i="8"/>
  <c r="AZ98" i="8" s="1"/>
  <c r="AU3" i="8"/>
  <c r="AU98" i="8" s="1"/>
  <c r="AP3" i="8"/>
  <c r="AP98" i="8" s="1"/>
  <c r="AK3" i="8"/>
  <c r="AK98" i="8" s="1"/>
  <c r="AA3" i="8"/>
  <c r="AA98" i="8" s="1"/>
  <c r="V3" i="8"/>
  <c r="V98" i="8" s="1"/>
  <c r="Q3" i="8"/>
  <c r="Q98" i="8" s="1"/>
  <c r="G3" i="8"/>
  <c r="G98" i="8" s="1"/>
  <c r="BI96" i="3"/>
  <c r="BH96" i="3" s="1"/>
  <c r="BE96" i="3"/>
  <c r="BD96" i="3"/>
  <c r="BC96" i="3" s="1"/>
  <c r="BA96" i="3"/>
  <c r="AZ96" i="3"/>
  <c r="AY96" i="3"/>
  <c r="AX96" i="3" s="1"/>
  <c r="AW96" i="3"/>
  <c r="AV96" i="3"/>
  <c r="AU96" i="3"/>
  <c r="AT96" i="3"/>
  <c r="AS96" i="3" s="1"/>
  <c r="AP96" i="3"/>
  <c r="AO96" i="3"/>
  <c r="AN96" i="3" s="1"/>
  <c r="AK96" i="3"/>
  <c r="AJ96" i="3"/>
  <c r="AI96" i="3" s="1"/>
  <c r="AH96" i="3"/>
  <c r="AG96" i="3"/>
  <c r="AF96" i="3"/>
  <c r="AE96" i="3"/>
  <c r="AC96" i="3" s="1"/>
  <c r="AB96" i="3"/>
  <c r="AA96" i="3"/>
  <c r="Z96" i="3"/>
  <c r="Y96" i="3" s="1"/>
  <c r="V96" i="3"/>
  <c r="U96" i="3"/>
  <c r="T96" i="3" s="1"/>
  <c r="R96" i="3"/>
  <c r="Q96" i="3"/>
  <c r="P96" i="3"/>
  <c r="O96" i="3"/>
  <c r="N96" i="3"/>
  <c r="M96" i="3"/>
  <c r="L96" i="3"/>
  <c r="K96" i="3"/>
  <c r="H96" i="3" s="1"/>
  <c r="I96" i="3"/>
  <c r="G96" i="3"/>
  <c r="F96" i="3"/>
  <c r="BP92" i="3"/>
  <c r="BO92" i="3"/>
  <c r="BL92" i="3"/>
  <c r="BK92" i="3"/>
  <c r="BJ92" i="3"/>
  <c r="BG92" i="3"/>
  <c r="BF92" i="3"/>
  <c r="BE92" i="3"/>
  <c r="BC92" i="3"/>
  <c r="BB92" i="3"/>
  <c r="BA92" i="3"/>
  <c r="AZ92" i="3"/>
  <c r="AX92" i="3"/>
  <c r="AW92" i="3"/>
  <c r="AV92" i="3"/>
  <c r="AU92" i="3"/>
  <c r="AS92" i="3"/>
  <c r="AR92" i="3"/>
  <c r="AQ92" i="3"/>
  <c r="AP92" i="3"/>
  <c r="AM92" i="3"/>
  <c r="AL92" i="3"/>
  <c r="AK92" i="3"/>
  <c r="AH92" i="3"/>
  <c r="AG92" i="3"/>
  <c r="AF92" i="3"/>
  <c r="AC92" i="3"/>
  <c r="AB92" i="3"/>
  <c r="AA92" i="3"/>
  <c r="X92" i="3"/>
  <c r="W92" i="3"/>
  <c r="V92" i="3"/>
  <c r="S92" i="3"/>
  <c r="R92" i="3"/>
  <c r="Q92" i="3"/>
  <c r="N92" i="3"/>
  <c r="M92" i="3"/>
  <c r="L92" i="3"/>
  <c r="CL91" i="3"/>
  <c r="CK91" i="3"/>
  <c r="CJ91" i="3"/>
  <c r="CI91" i="3"/>
  <c r="CG91" i="3"/>
  <c r="CF91" i="3"/>
  <c r="CE91" i="3"/>
  <c r="CD91" i="3"/>
  <c r="CB91" i="3"/>
  <c r="CA91" i="3"/>
  <c r="BZ91" i="3"/>
  <c r="BY91" i="3"/>
  <c r="BW91" i="3"/>
  <c r="BV91" i="3"/>
  <c r="BU91" i="3"/>
  <c r="BT91" i="3"/>
  <c r="BR91" i="3"/>
  <c r="BQ91" i="3"/>
  <c r="BP91" i="3"/>
  <c r="BO91" i="3"/>
  <c r="BM91" i="3"/>
  <c r="BL91" i="3"/>
  <c r="BK91" i="3"/>
  <c r="BJ91" i="3"/>
  <c r="BH91" i="3"/>
  <c r="BG91" i="3"/>
  <c r="BF91" i="3"/>
  <c r="BE91" i="3"/>
  <c r="BC91" i="3"/>
  <c r="BB91" i="3"/>
  <c r="BA91" i="3"/>
  <c r="AZ91" i="3"/>
  <c r="AX91" i="3"/>
  <c r="AW91" i="3"/>
  <c r="AV91" i="3"/>
  <c r="AU91" i="3"/>
  <c r="AS91" i="3"/>
  <c r="AR91" i="3"/>
  <c r="AQ91" i="3"/>
  <c r="AP91" i="3"/>
  <c r="AN91" i="3"/>
  <c r="AM91" i="3"/>
  <c r="AL91" i="3"/>
  <c r="AK91" i="3"/>
  <c r="AI91" i="3"/>
  <c r="AH91" i="3"/>
  <c r="AG91" i="3"/>
  <c r="AF91" i="3"/>
  <c r="AD91" i="3"/>
  <c r="AC91" i="3"/>
  <c r="AB91" i="3"/>
  <c r="AA91" i="3"/>
  <c r="Y91" i="3"/>
  <c r="X91" i="3"/>
  <c r="W91" i="3"/>
  <c r="V91" i="3"/>
  <c r="T91" i="3"/>
  <c r="S91" i="3"/>
  <c r="R91" i="3"/>
  <c r="Q91" i="3"/>
  <c r="O91" i="3"/>
  <c r="N91" i="3"/>
  <c r="M91" i="3"/>
  <c r="L91" i="3"/>
  <c r="CL90" i="3"/>
  <c r="CK90" i="3"/>
  <c r="CJ90" i="3"/>
  <c r="CI90" i="3"/>
  <c r="CG90" i="3"/>
  <c r="CF90" i="3"/>
  <c r="CE90" i="3"/>
  <c r="CD90" i="3"/>
  <c r="CB90" i="3"/>
  <c r="CA90" i="3"/>
  <c r="BZ90" i="3"/>
  <c r="BY90" i="3"/>
  <c r="BW90" i="3"/>
  <c r="BV90" i="3"/>
  <c r="BU90" i="3"/>
  <c r="BT90" i="3"/>
  <c r="BR90" i="3"/>
  <c r="BQ90" i="3"/>
  <c r="BP90" i="3"/>
  <c r="BO90" i="3"/>
  <c r="BM90" i="3"/>
  <c r="BL90" i="3"/>
  <c r="BK90" i="3"/>
  <c r="BJ90" i="3"/>
  <c r="BH90" i="3"/>
  <c r="BG90" i="3"/>
  <c r="BF90" i="3"/>
  <c r="BE90" i="3"/>
  <c r="BC90" i="3"/>
  <c r="BB90" i="3"/>
  <c r="BA90" i="3"/>
  <c r="AZ90" i="3"/>
  <c r="AX90" i="3"/>
  <c r="AW90" i="3"/>
  <c r="AV90" i="3"/>
  <c r="AU90" i="3"/>
  <c r="AS90" i="3"/>
  <c r="AR90" i="3"/>
  <c r="AQ90" i="3"/>
  <c r="AP90" i="3"/>
  <c r="AN90" i="3"/>
  <c r="AM90" i="3"/>
  <c r="AL90" i="3"/>
  <c r="AK90" i="3"/>
  <c r="AI90" i="3"/>
  <c r="AH90" i="3"/>
  <c r="AG90" i="3"/>
  <c r="AF90" i="3"/>
  <c r="AD90" i="3"/>
  <c r="AC90" i="3"/>
  <c r="AB90" i="3"/>
  <c r="AA90" i="3"/>
  <c r="Y90" i="3"/>
  <c r="X90" i="3"/>
  <c r="W90" i="3"/>
  <c r="V90" i="3"/>
  <c r="T90" i="3"/>
  <c r="S90" i="3"/>
  <c r="R90" i="3"/>
  <c r="Q90" i="3"/>
  <c r="O90" i="3"/>
  <c r="N90" i="3"/>
  <c r="M90" i="3"/>
  <c r="L90" i="3"/>
  <c r="CL89" i="3"/>
  <c r="CK89" i="3"/>
  <c r="CJ89" i="3"/>
  <c r="CI89" i="3"/>
  <c r="CG89" i="3"/>
  <c r="CF89" i="3"/>
  <c r="CE89" i="3"/>
  <c r="CD89" i="3"/>
  <c r="CB89" i="3"/>
  <c r="CA89" i="3"/>
  <c r="BZ89" i="3"/>
  <c r="BY89" i="3"/>
  <c r="BW89" i="3"/>
  <c r="BV89" i="3"/>
  <c r="BU89" i="3"/>
  <c r="BT89" i="3"/>
  <c r="BR89" i="3"/>
  <c r="BQ89" i="3"/>
  <c r="BP89" i="3"/>
  <c r="BO89" i="3"/>
  <c r="BM89" i="3"/>
  <c r="BL89" i="3"/>
  <c r="BK89" i="3"/>
  <c r="BJ89" i="3"/>
  <c r="BH89" i="3"/>
  <c r="BG89" i="3"/>
  <c r="BF89" i="3"/>
  <c r="BE89" i="3"/>
  <c r="BC89" i="3"/>
  <c r="BB89" i="3"/>
  <c r="BA89" i="3"/>
  <c r="AZ89" i="3"/>
  <c r="AX89" i="3"/>
  <c r="AW89" i="3"/>
  <c r="AV89" i="3"/>
  <c r="AU89" i="3"/>
  <c r="AS89" i="3"/>
  <c r="AR89" i="3"/>
  <c r="AQ89" i="3"/>
  <c r="AP89" i="3"/>
  <c r="AN89" i="3"/>
  <c r="AM89" i="3"/>
  <c r="AL89" i="3"/>
  <c r="AK89" i="3"/>
  <c r="AI89" i="3"/>
  <c r="AH89" i="3"/>
  <c r="AG89" i="3"/>
  <c r="AF89" i="3"/>
  <c r="AD89" i="3"/>
  <c r="AC89" i="3"/>
  <c r="AB89" i="3"/>
  <c r="AA89" i="3"/>
  <c r="Y89" i="3"/>
  <c r="X89" i="3"/>
  <c r="W89" i="3"/>
  <c r="V89" i="3"/>
  <c r="T89" i="3"/>
  <c r="S89" i="3"/>
  <c r="R89" i="3"/>
  <c r="Q89" i="3"/>
  <c r="O89" i="3"/>
  <c r="N89" i="3"/>
  <c r="M89" i="3"/>
  <c r="L89" i="3"/>
  <c r="CL86" i="3"/>
  <c r="CK86" i="3"/>
  <c r="CJ86" i="3"/>
  <c r="CI86" i="3"/>
  <c r="CG86" i="3"/>
  <c r="CF86" i="3"/>
  <c r="CE86" i="3"/>
  <c r="CD86" i="3"/>
  <c r="CB86" i="3"/>
  <c r="CA86" i="3"/>
  <c r="BZ86" i="3"/>
  <c r="BY86" i="3"/>
  <c r="BW86" i="3"/>
  <c r="BV86" i="3"/>
  <c r="BU86" i="3"/>
  <c r="BT86" i="3"/>
  <c r="BR86" i="3"/>
  <c r="BQ86" i="3"/>
  <c r="BP86" i="3"/>
  <c r="BO86" i="3"/>
  <c r="BM86" i="3"/>
  <c r="BL86" i="3"/>
  <c r="BK86" i="3"/>
  <c r="BJ86" i="3"/>
  <c r="BH86" i="3"/>
  <c r="BG86" i="3"/>
  <c r="BF86" i="3"/>
  <c r="BE86" i="3"/>
  <c r="BC86" i="3"/>
  <c r="BB86" i="3"/>
  <c r="BA86" i="3"/>
  <c r="AZ86" i="3"/>
  <c r="AX86" i="3"/>
  <c r="AW86" i="3"/>
  <c r="AV86" i="3"/>
  <c r="AU86" i="3"/>
  <c r="AS86" i="3"/>
  <c r="AR86" i="3"/>
  <c r="AQ86" i="3"/>
  <c r="AP86" i="3"/>
  <c r="AN86" i="3"/>
  <c r="AM86" i="3"/>
  <c r="AL86" i="3"/>
  <c r="AK86" i="3"/>
  <c r="AI86" i="3"/>
  <c r="AH86" i="3"/>
  <c r="AG86" i="3"/>
  <c r="AF86" i="3"/>
  <c r="AD86" i="3"/>
  <c r="AC86" i="3"/>
  <c r="AB86" i="3"/>
  <c r="AA86" i="3"/>
  <c r="Y86" i="3"/>
  <c r="X86" i="3"/>
  <c r="W86" i="3"/>
  <c r="V86" i="3"/>
  <c r="T86" i="3"/>
  <c r="S86" i="3"/>
  <c r="R86" i="3"/>
  <c r="Q86" i="3"/>
  <c r="O86" i="3"/>
  <c r="N86" i="3"/>
  <c r="M86" i="3"/>
  <c r="L86" i="3"/>
  <c r="F91" i="3"/>
  <c r="E91" i="3"/>
  <c r="F90" i="3"/>
  <c r="E90" i="3"/>
  <c r="F89" i="3"/>
  <c r="E89" i="3"/>
  <c r="F86" i="3"/>
  <c r="E86" i="3"/>
  <c r="CL76" i="3"/>
  <c r="CK76" i="3"/>
  <c r="CJ76" i="3"/>
  <c r="CI76" i="3"/>
  <c r="CG76" i="3"/>
  <c r="CF76" i="3"/>
  <c r="CE76" i="3"/>
  <c r="CD76" i="3"/>
  <c r="CB76" i="3"/>
  <c r="CA76" i="3"/>
  <c r="BZ76" i="3"/>
  <c r="BY76" i="3"/>
  <c r="BW76" i="3"/>
  <c r="BV76" i="3"/>
  <c r="BU76" i="3"/>
  <c r="BT76" i="3"/>
  <c r="BR76" i="3"/>
  <c r="BQ76" i="3"/>
  <c r="BP76" i="3"/>
  <c r="BO76" i="3"/>
  <c r="BM76" i="3"/>
  <c r="BL76" i="3"/>
  <c r="BK76" i="3"/>
  <c r="BJ76" i="3"/>
  <c r="BH76" i="3"/>
  <c r="BG76" i="3"/>
  <c r="BF76" i="3"/>
  <c r="BE76" i="3"/>
  <c r="BC76" i="3"/>
  <c r="BB76" i="3"/>
  <c r="BA76" i="3"/>
  <c r="AZ76" i="3"/>
  <c r="AX76" i="3"/>
  <c r="AW76" i="3"/>
  <c r="AV76" i="3"/>
  <c r="AU76" i="3"/>
  <c r="AS76" i="3"/>
  <c r="AR76" i="3"/>
  <c r="AQ76" i="3"/>
  <c r="AP76" i="3"/>
  <c r="AN76" i="3"/>
  <c r="AM76" i="3"/>
  <c r="AL76" i="3"/>
  <c r="AK76" i="3"/>
  <c r="AI76" i="3"/>
  <c r="AH76" i="3"/>
  <c r="AG76" i="3"/>
  <c r="AF76" i="3"/>
  <c r="AD76" i="3"/>
  <c r="AC76" i="3"/>
  <c r="AB76" i="3"/>
  <c r="AA76" i="3"/>
  <c r="Y76" i="3"/>
  <c r="X76" i="3"/>
  <c r="W76" i="3"/>
  <c r="V76" i="3"/>
  <c r="T76" i="3"/>
  <c r="S76" i="3"/>
  <c r="R76" i="3"/>
  <c r="Q76" i="3"/>
  <c r="O76" i="3"/>
  <c r="N76" i="3"/>
  <c r="M76" i="3"/>
  <c r="L76" i="3"/>
  <c r="J76" i="3"/>
  <c r="I76" i="3"/>
  <c r="H76" i="3"/>
  <c r="G76" i="3"/>
  <c r="F76" i="3"/>
  <c r="E76" i="3"/>
  <c r="D76" i="3"/>
  <c r="DI72" i="3"/>
  <c r="DB66" i="3"/>
  <c r="DA66" i="3"/>
  <c r="CZ66" i="3"/>
  <c r="CY66" i="3"/>
  <c r="CX66" i="3"/>
  <c r="CW66" i="3"/>
  <c r="CV66" i="3"/>
  <c r="CU66" i="3"/>
  <c r="CT66" i="3"/>
  <c r="CS66" i="3"/>
  <c r="CR66" i="3"/>
  <c r="CQ66" i="3"/>
  <c r="CP66" i="3"/>
  <c r="CO66" i="3"/>
  <c r="CN66" i="3"/>
  <c r="CM66" i="3"/>
  <c r="CL66" i="3"/>
  <c r="CK66" i="3"/>
  <c r="CJ66" i="3"/>
  <c r="CI66" i="3"/>
  <c r="CH66" i="3"/>
  <c r="CG66" i="3"/>
  <c r="CF66" i="3"/>
  <c r="CE66" i="3"/>
  <c r="CD66" i="3"/>
  <c r="CC66" i="3"/>
  <c r="CB66" i="3"/>
  <c r="CA66" i="3"/>
  <c r="BZ66" i="3"/>
  <c r="BY66" i="3"/>
  <c r="BX66" i="3"/>
  <c r="BW66" i="3"/>
  <c r="BV66" i="3"/>
  <c r="BU66" i="3"/>
  <c r="BT66" i="3"/>
  <c r="BS66" i="3"/>
  <c r="BR66" i="3"/>
  <c r="BQ66" i="3"/>
  <c r="BP66" i="3"/>
  <c r="BO66" i="3"/>
  <c r="BN66" i="3"/>
  <c r="BM66" i="3"/>
  <c r="BL66" i="3"/>
  <c r="BK66" i="3"/>
  <c r="BJ66" i="3"/>
  <c r="BI66" i="3"/>
  <c r="BH66" i="3"/>
  <c r="BG66" i="3"/>
  <c r="BF66" i="3"/>
  <c r="BE66" i="3"/>
  <c r="BD66" i="3"/>
  <c r="BC66" i="3"/>
  <c r="BB66" i="3"/>
  <c r="BA66" i="3"/>
  <c r="AZ66" i="3"/>
  <c r="AY66" i="3"/>
  <c r="AX66" i="3"/>
  <c r="AW66" i="3"/>
  <c r="AV66" i="3"/>
  <c r="AU66" i="3"/>
  <c r="AT66" i="3"/>
  <c r="AS66" i="3"/>
  <c r="AR66" i="3"/>
  <c r="AQ66" i="3"/>
  <c r="AP66" i="3"/>
  <c r="AO66" i="3"/>
  <c r="AN66" i="3"/>
  <c r="AM66" i="3"/>
  <c r="AL66" i="3"/>
  <c r="AK66" i="3"/>
  <c r="AJ66" i="3"/>
  <c r="AI66" i="3"/>
  <c r="AH66" i="3"/>
  <c r="AG66" i="3"/>
  <c r="AF66" i="3"/>
  <c r="AE66" i="3"/>
  <c r="AD66" i="3"/>
  <c r="AC66" i="3"/>
  <c r="AB66" i="3"/>
  <c r="AA66" i="3"/>
  <c r="Z66" i="3"/>
  <c r="Y66" i="3"/>
  <c r="X66" i="3"/>
  <c r="W66" i="3"/>
  <c r="V66" i="3"/>
  <c r="U66" i="3"/>
  <c r="T66" i="3"/>
  <c r="S66" i="3"/>
  <c r="R66" i="3"/>
  <c r="Q66" i="3"/>
  <c r="P66" i="3"/>
  <c r="O66" i="3"/>
  <c r="N66" i="3"/>
  <c r="M66" i="3"/>
  <c r="L66" i="3"/>
  <c r="K66" i="3"/>
  <c r="J66" i="3"/>
  <c r="I66" i="3"/>
  <c r="H66" i="3"/>
  <c r="G66" i="3"/>
  <c r="F66" i="3"/>
  <c r="E66" i="3"/>
  <c r="D66" i="3"/>
  <c r="B66" i="3"/>
  <c r="B65" i="3"/>
  <c r="DB63" i="3"/>
  <c r="CW63" i="3"/>
  <c r="CR63" i="3"/>
  <c r="CM63" i="3"/>
  <c r="CH63" i="3"/>
  <c r="CC63" i="3"/>
  <c r="BX63" i="3"/>
  <c r="BS63" i="3"/>
  <c r="BP63" i="3"/>
  <c r="BO63" i="3"/>
  <c r="BM63" i="3"/>
  <c r="BL63" i="3"/>
  <c r="BK63" i="3"/>
  <c r="BJ63" i="3"/>
  <c r="BG63" i="3"/>
  <c r="BF63" i="3"/>
  <c r="BE63" i="3"/>
  <c r="BA63" i="3"/>
  <c r="AZ63" i="3"/>
  <c r="AX63" i="3"/>
  <c r="AW63" i="3"/>
  <c r="AV63" i="3"/>
  <c r="AU63" i="3"/>
  <c r="AR63" i="3"/>
  <c r="AQ63" i="3"/>
  <c r="AP63" i="3"/>
  <c r="AM63" i="3"/>
  <c r="AL63" i="3"/>
  <c r="AK63" i="3"/>
  <c r="AG63" i="3"/>
  <c r="AF63" i="3"/>
  <c r="AB63" i="3"/>
  <c r="AA63" i="3"/>
  <c r="W63" i="3"/>
  <c r="V63" i="3"/>
  <c r="T63" i="3"/>
  <c r="S63" i="3"/>
  <c r="R63" i="3"/>
  <c r="Q63" i="3"/>
  <c r="M63" i="3"/>
  <c r="L63" i="3"/>
  <c r="H63" i="3"/>
  <c r="G63" i="3"/>
  <c r="F63" i="3"/>
  <c r="E63" i="3"/>
  <c r="D63" i="3"/>
  <c r="BB62" i="3"/>
  <c r="BB61" i="3"/>
  <c r="CL61" i="3"/>
  <c r="CN61" i="3" s="1"/>
  <c r="CK61" i="3"/>
  <c r="CJ61" i="3"/>
  <c r="CI61" i="3"/>
  <c r="CG61" i="3"/>
  <c r="CF61" i="3"/>
  <c r="CE61" i="3"/>
  <c r="CD61" i="3"/>
  <c r="CB61" i="3"/>
  <c r="CA61" i="3"/>
  <c r="BZ61" i="3"/>
  <c r="BY61" i="3"/>
  <c r="AR61" i="3"/>
  <c r="AF61" i="3"/>
  <c r="AC61" i="3"/>
  <c r="AB61" i="3"/>
  <c r="CH58" i="3"/>
  <c r="BZ58" i="3"/>
  <c r="BY58" i="3"/>
  <c r="BW58" i="3"/>
  <c r="BX58" i="3" s="1"/>
  <c r="BV58" i="3"/>
  <c r="BS58" i="3"/>
  <c r="BS57" i="3"/>
  <c r="BS56" i="3"/>
  <c r="BP58" i="3"/>
  <c r="BN58" i="3"/>
  <c r="BM58" i="3"/>
  <c r="BK58" i="3"/>
  <c r="BJ58" i="3"/>
  <c r="BI58" i="3"/>
  <c r="BH58" i="3"/>
  <c r="BG58" i="3"/>
  <c r="BF58" i="3"/>
  <c r="BE58" i="3"/>
  <c r="BD58" i="3"/>
  <c r="BC58" i="3"/>
  <c r="BB58" i="3"/>
  <c r="BA58" i="3"/>
  <c r="AZ58" i="3"/>
  <c r="AX58" i="3"/>
  <c r="AY58" i="3" s="1"/>
  <c r="AW58" i="3"/>
  <c r="AV58" i="3"/>
  <c r="AU58" i="3"/>
  <c r="AS58" i="3"/>
  <c r="AT58" i="3" s="1"/>
  <c r="AR58" i="3"/>
  <c r="AQ58" i="3"/>
  <c r="AP58" i="3"/>
  <c r="AO58" i="3"/>
  <c r="AN58" i="3"/>
  <c r="AM58" i="3"/>
  <c r="AL58" i="3"/>
  <c r="AK58" i="3"/>
  <c r="AJ58" i="3"/>
  <c r="AI58" i="3"/>
  <c r="AH58" i="3"/>
  <c r="AG58" i="3"/>
  <c r="AF58" i="3"/>
  <c r="AD58" i="3"/>
  <c r="AE58" i="3" s="1"/>
  <c r="AC58" i="3"/>
  <c r="AB58" i="3"/>
  <c r="AA58" i="3"/>
  <c r="Y58" i="3"/>
  <c r="Z58" i="3" s="1"/>
  <c r="X58" i="3"/>
  <c r="W58" i="3"/>
  <c r="V58" i="3"/>
  <c r="U58" i="3"/>
  <c r="T58" i="3"/>
  <c r="S58" i="3"/>
  <c r="R58" i="3"/>
  <c r="Q58" i="3"/>
  <c r="P58" i="3"/>
  <c r="O58" i="3"/>
  <c r="N58" i="3"/>
  <c r="M58" i="3"/>
  <c r="L58" i="3"/>
  <c r="J58" i="3"/>
  <c r="K58" i="3" s="1"/>
  <c r="I58" i="3"/>
  <c r="H58" i="3"/>
  <c r="G58" i="3"/>
  <c r="F58" i="3"/>
  <c r="E58" i="3"/>
  <c r="D58" i="3"/>
  <c r="BN57" i="3"/>
  <c r="BN56" i="3"/>
  <c r="CM58" i="3"/>
  <c r="CM57" i="3"/>
  <c r="CM56" i="3"/>
  <c r="DB53" i="3"/>
  <c r="CX53" i="3"/>
  <c r="CS53" i="3"/>
  <c r="CW53" i="3" s="1"/>
  <c r="CN53" i="3"/>
  <c r="CL53" i="3"/>
  <c r="CK53" i="3"/>
  <c r="CJ53" i="3"/>
  <c r="CI53" i="3"/>
  <c r="CM53" i="3" s="1"/>
  <c r="CG53" i="3"/>
  <c r="CF53" i="3"/>
  <c r="CE53" i="3"/>
  <c r="CD53" i="3"/>
  <c r="CB53" i="3"/>
  <c r="CA53" i="3"/>
  <c r="BZ53" i="3"/>
  <c r="BY53" i="3"/>
  <c r="BW53" i="3"/>
  <c r="BV53" i="3"/>
  <c r="BU53" i="3"/>
  <c r="BT53" i="3"/>
  <c r="BX53" i="3" s="1"/>
  <c r="BR53" i="3"/>
  <c r="BQ53" i="3"/>
  <c r="BP53" i="3"/>
  <c r="BO53" i="3"/>
  <c r="BS53" i="3" s="1"/>
  <c r="BM53" i="3"/>
  <c r="BL53" i="3"/>
  <c r="BK53" i="3"/>
  <c r="BJ53" i="3"/>
  <c r="BN53" i="3" s="1"/>
  <c r="BH53" i="3"/>
  <c r="BG53" i="3"/>
  <c r="BF53" i="3"/>
  <c r="BE53" i="3"/>
  <c r="BI53" i="3" s="1"/>
  <c r="BC53" i="3"/>
  <c r="BB53" i="3"/>
  <c r="BA53" i="3"/>
  <c r="AZ53" i="3"/>
  <c r="BD53" i="3" s="1"/>
  <c r="AX53" i="3"/>
  <c r="AW53" i="3"/>
  <c r="AV53" i="3"/>
  <c r="AU53" i="3"/>
  <c r="AY53" i="3" s="1"/>
  <c r="AS53" i="3"/>
  <c r="AR53" i="3"/>
  <c r="AQ53" i="3"/>
  <c r="AP53" i="3"/>
  <c r="AN53" i="3"/>
  <c r="AM53" i="3"/>
  <c r="AL53" i="3"/>
  <c r="AK53" i="3"/>
  <c r="AI53" i="3"/>
  <c r="AH53" i="3"/>
  <c r="AG53" i="3"/>
  <c r="AF53" i="3"/>
  <c r="AJ53" i="3" s="1"/>
  <c r="AD53" i="3"/>
  <c r="AC53" i="3"/>
  <c r="AB53" i="3"/>
  <c r="AA53" i="3"/>
  <c r="AE53" i="3" s="1"/>
  <c r="Y53" i="3"/>
  <c r="X53" i="3"/>
  <c r="W53" i="3"/>
  <c r="V53" i="3"/>
  <c r="Z53" i="3" s="1"/>
  <c r="T53" i="3"/>
  <c r="S53" i="3"/>
  <c r="R53" i="3"/>
  <c r="Q53" i="3"/>
  <c r="U53" i="3" s="1"/>
  <c r="O53" i="3"/>
  <c r="N53" i="3"/>
  <c r="M53" i="3"/>
  <c r="L53" i="3"/>
  <c r="P53" i="3" s="1"/>
  <c r="J53" i="3"/>
  <c r="I53" i="3"/>
  <c r="H53" i="3"/>
  <c r="G53" i="3"/>
  <c r="K53" i="3" s="1"/>
  <c r="F53" i="3"/>
  <c r="E53" i="3"/>
  <c r="D53" i="3"/>
  <c r="CL52" i="3"/>
  <c r="CK52" i="3"/>
  <c r="CJ52" i="3"/>
  <c r="CI52" i="3"/>
  <c r="CM52" i="3" s="1"/>
  <c r="CG52" i="3"/>
  <c r="CF52" i="3"/>
  <c r="CE52" i="3"/>
  <c r="CD52" i="3"/>
  <c r="CH52" i="3" s="1"/>
  <c r="CB52" i="3"/>
  <c r="CA52" i="3"/>
  <c r="BZ52" i="3"/>
  <c r="BY52" i="3"/>
  <c r="CC52" i="3" s="1"/>
  <c r="BW52" i="3"/>
  <c r="BV52" i="3"/>
  <c r="BT52" i="3"/>
  <c r="BR52" i="3"/>
  <c r="BQ52" i="3"/>
  <c r="BP52" i="3"/>
  <c r="BO52" i="3"/>
  <c r="BM52" i="3"/>
  <c r="BL52" i="3"/>
  <c r="BK52" i="3"/>
  <c r="BJ52" i="3"/>
  <c r="BH52" i="3"/>
  <c r="BG52" i="3"/>
  <c r="BF52" i="3"/>
  <c r="BE52" i="3"/>
  <c r="BI52" i="3" s="1"/>
  <c r="BC52" i="3"/>
  <c r="BB52" i="3"/>
  <c r="BA52" i="3"/>
  <c r="AZ52" i="3"/>
  <c r="BD52" i="3" s="1"/>
  <c r="AX52" i="3"/>
  <c r="AW52" i="3"/>
  <c r="AV52" i="3"/>
  <c r="CS41" i="3"/>
  <c r="CC41" i="3"/>
  <c r="AG41" i="3"/>
  <c r="O41" i="3"/>
  <c r="DB40" i="3"/>
  <c r="DB39" i="3"/>
  <c r="CW40" i="3"/>
  <c r="CW39" i="3"/>
  <c r="CR40" i="3"/>
  <c r="CR39" i="3"/>
  <c r="CM40" i="3"/>
  <c r="CH40" i="3"/>
  <c r="BY40" i="3"/>
  <c r="BX40" i="3"/>
  <c r="BT40" i="3"/>
  <c r="BO40" i="3"/>
  <c r="BS40" i="3" s="1"/>
  <c r="BN40" i="3"/>
  <c r="BL40" i="3"/>
  <c r="BD40" i="3"/>
  <c r="BD39" i="3"/>
  <c r="AW40" i="3"/>
  <c r="AV40" i="3"/>
  <c r="AY40" i="3" s="1"/>
  <c r="AN40" i="3"/>
  <c r="AO40" i="3" s="1"/>
  <c r="AJ40" i="3"/>
  <c r="AJ39" i="3"/>
  <c r="AE40" i="3"/>
  <c r="AE39" i="3"/>
  <c r="Z40" i="3"/>
  <c r="U40" i="3"/>
  <c r="U39" i="3"/>
  <c r="P40" i="3"/>
  <c r="P39" i="3"/>
  <c r="K40" i="3"/>
  <c r="K39" i="3"/>
  <c r="CG39" i="3"/>
  <c r="CF39" i="3"/>
  <c r="CE39" i="3"/>
  <c r="CD39" i="3"/>
  <c r="CH39" i="3" s="1"/>
  <c r="CC39" i="3"/>
  <c r="CB39" i="3"/>
  <c r="CB41" i="3" s="1"/>
  <c r="CA39" i="3"/>
  <c r="BZ39" i="3"/>
  <c r="BZ41" i="3" s="1"/>
  <c r="BY39" i="3"/>
  <c r="BW39" i="3"/>
  <c r="BV39" i="3"/>
  <c r="BU39" i="3"/>
  <c r="BT39" i="3"/>
  <c r="BX39" i="3" s="1"/>
  <c r="BS39" i="3"/>
  <c r="BQ39" i="3"/>
  <c r="BM39" i="3"/>
  <c r="BJ40" i="3"/>
  <c r="BI40" i="3"/>
  <c r="BJ39" i="3"/>
  <c r="BI39" i="3"/>
  <c r="AX39" i="3"/>
  <c r="AY39" i="3" s="1"/>
  <c r="AS40" i="3"/>
  <c r="AT40" i="3" s="1"/>
  <c r="AS39" i="3"/>
  <c r="AO39" i="3"/>
  <c r="CL39" i="3"/>
  <c r="CK39" i="3"/>
  <c r="CJ39" i="3"/>
  <c r="CI39" i="3"/>
  <c r="CM39" i="3" s="1"/>
  <c r="CK38" i="3"/>
  <c r="CK41" i="3" s="1"/>
  <c r="CE38" i="3"/>
  <c r="CA38" i="3"/>
  <c r="BY38" i="3"/>
  <c r="BY41" i="3" s="1"/>
  <c r="BW38" i="3"/>
  <c r="BV38" i="3"/>
  <c r="BV41" i="3" s="1"/>
  <c r="BU38" i="3"/>
  <c r="BU41" i="3" s="1"/>
  <c r="BT38" i="3"/>
  <c r="BT41" i="3" s="1"/>
  <c r="BC38" i="3"/>
  <c r="BC41" i="3" s="1"/>
  <c r="X39" i="3"/>
  <c r="Q38" i="3"/>
  <c r="DB35" i="3"/>
  <c r="DB33" i="3"/>
  <c r="DB30" i="3"/>
  <c r="DB29" i="3"/>
  <c r="DB28" i="3"/>
  <c r="CW35" i="3"/>
  <c r="CW33" i="3"/>
  <c r="CW30" i="3"/>
  <c r="CW29" i="3"/>
  <c r="CW28" i="3"/>
  <c r="CW31" i="3" s="1"/>
  <c r="CR35" i="3"/>
  <c r="CR33" i="3"/>
  <c r="CR30" i="3"/>
  <c r="CR29" i="3"/>
  <c r="CR28" i="3"/>
  <c r="CM35" i="3"/>
  <c r="CM33" i="3"/>
  <c r="CM30" i="3"/>
  <c r="CM29" i="3"/>
  <c r="CM28" i="3"/>
  <c r="CM31" i="3" s="1"/>
  <c r="CH35" i="3"/>
  <c r="CH33" i="3"/>
  <c r="CH30" i="3"/>
  <c r="CH29" i="3"/>
  <c r="CH28" i="3"/>
  <c r="CC35" i="3"/>
  <c r="CC33" i="3"/>
  <c r="CC30" i="3"/>
  <c r="CC29" i="3"/>
  <c r="CC28" i="3"/>
  <c r="CC31" i="3" s="1"/>
  <c r="BX35" i="3"/>
  <c r="BX33" i="3"/>
  <c r="BX30" i="3"/>
  <c r="BX29" i="3"/>
  <c r="BX28" i="3"/>
  <c r="BS35" i="3"/>
  <c r="BS33" i="3"/>
  <c r="BS30" i="3"/>
  <c r="BS29" i="3"/>
  <c r="BS28" i="3"/>
  <c r="BS31" i="3" s="1"/>
  <c r="BN35" i="3"/>
  <c r="BN33" i="3"/>
  <c r="BN30" i="3"/>
  <c r="BN29" i="3"/>
  <c r="BN28" i="3"/>
  <c r="BI35" i="3"/>
  <c r="BI33" i="3"/>
  <c r="BI30" i="3"/>
  <c r="BI29" i="3"/>
  <c r="BI28" i="3"/>
  <c r="BD35" i="3"/>
  <c r="BD33" i="3"/>
  <c r="BD30" i="3"/>
  <c r="BD29" i="3"/>
  <c r="BD28" i="3"/>
  <c r="AY35" i="3"/>
  <c r="AY33" i="3"/>
  <c r="AY30" i="3"/>
  <c r="AY29" i="3"/>
  <c r="AY28" i="3"/>
  <c r="AT35" i="3"/>
  <c r="AT33" i="3"/>
  <c r="AT30" i="3"/>
  <c r="AT29" i="3"/>
  <c r="AT28" i="3"/>
  <c r="AO35" i="3"/>
  <c r="AO33" i="3"/>
  <c r="AO30" i="3"/>
  <c r="AO29" i="3"/>
  <c r="AO28" i="3"/>
  <c r="AJ35" i="3"/>
  <c r="AJ33" i="3"/>
  <c r="AJ30" i="3"/>
  <c r="AJ29" i="3"/>
  <c r="AJ28" i="3"/>
  <c r="AE35" i="3"/>
  <c r="AE33" i="3"/>
  <c r="AE30" i="3"/>
  <c r="AE29" i="3"/>
  <c r="AE28" i="3"/>
  <c r="Z35" i="3"/>
  <c r="Z33" i="3"/>
  <c r="Z30" i="3"/>
  <c r="Z29" i="3"/>
  <c r="Z28" i="3"/>
  <c r="U35" i="3"/>
  <c r="U33" i="3"/>
  <c r="U30" i="3"/>
  <c r="U29" i="3"/>
  <c r="U28" i="3"/>
  <c r="K35" i="3"/>
  <c r="K33" i="3"/>
  <c r="K30" i="3"/>
  <c r="K29" i="3"/>
  <c r="K28" i="3"/>
  <c r="P33" i="3"/>
  <c r="P30" i="3"/>
  <c r="P29" i="3"/>
  <c r="P28" i="3"/>
  <c r="DA31" i="3"/>
  <c r="DA38" i="3" s="1"/>
  <c r="DA41" i="3" s="1"/>
  <c r="CZ31" i="3"/>
  <c r="CZ38" i="3" s="1"/>
  <c r="CZ41" i="3" s="1"/>
  <c r="CY31" i="3"/>
  <c r="CY38" i="3" s="1"/>
  <c r="CY41" i="3" s="1"/>
  <c r="CX31" i="3"/>
  <c r="CX38" i="3" s="1"/>
  <c r="CX41" i="3" s="1"/>
  <c r="CV31" i="3"/>
  <c r="CV38" i="3" s="1"/>
  <c r="CV41" i="3" s="1"/>
  <c r="CU31" i="3"/>
  <c r="CU38" i="3" s="1"/>
  <c r="CU41" i="3" s="1"/>
  <c r="CT31" i="3"/>
  <c r="CT38" i="3" s="1"/>
  <c r="CT41" i="3" s="1"/>
  <c r="CS31" i="3"/>
  <c r="CS38" i="3" s="1"/>
  <c r="CQ31" i="3"/>
  <c r="CQ38" i="3" s="1"/>
  <c r="CQ41" i="3" s="1"/>
  <c r="CP31" i="3"/>
  <c r="CP38" i="3" s="1"/>
  <c r="CP41" i="3" s="1"/>
  <c r="CO31" i="3"/>
  <c r="CO38" i="3" s="1"/>
  <c r="CO41" i="3" s="1"/>
  <c r="CN31" i="3"/>
  <c r="CN38" i="3" s="1"/>
  <c r="CN41" i="3" s="1"/>
  <c r="CL31" i="3"/>
  <c r="CL38" i="3" s="1"/>
  <c r="CL41" i="3" s="1"/>
  <c r="CK31" i="3"/>
  <c r="CJ31" i="3"/>
  <c r="CJ38" i="3" s="1"/>
  <c r="CJ41" i="3" s="1"/>
  <c r="CI31" i="3"/>
  <c r="CI38" i="3" s="1"/>
  <c r="CG31" i="3"/>
  <c r="CG38" i="3" s="1"/>
  <c r="CG41" i="3" s="1"/>
  <c r="CF31" i="3"/>
  <c r="CF38" i="3" s="1"/>
  <c r="CF41" i="3" s="1"/>
  <c r="CE31" i="3"/>
  <c r="CD31" i="3"/>
  <c r="CD38" i="3" s="1"/>
  <c r="CB31" i="3"/>
  <c r="CA31" i="3"/>
  <c r="BZ31" i="3"/>
  <c r="BY31" i="3"/>
  <c r="BW31" i="3"/>
  <c r="BV31" i="3"/>
  <c r="BU31" i="3"/>
  <c r="BT31" i="3"/>
  <c r="BR31" i="3"/>
  <c r="BR38" i="3" s="1"/>
  <c r="BR41" i="3" s="1"/>
  <c r="BQ31" i="3"/>
  <c r="BQ38" i="3" s="1"/>
  <c r="BQ41" i="3" s="1"/>
  <c r="BP31" i="3"/>
  <c r="BP38" i="3" s="1"/>
  <c r="BP41" i="3" s="1"/>
  <c r="BO31" i="3"/>
  <c r="BO38" i="3" s="1"/>
  <c r="BM31" i="3"/>
  <c r="BM38" i="3" s="1"/>
  <c r="BM41" i="3" s="1"/>
  <c r="BL31" i="3"/>
  <c r="BL38" i="3" s="1"/>
  <c r="BL41" i="3" s="1"/>
  <c r="BK31" i="3"/>
  <c r="BK38" i="3" s="1"/>
  <c r="BK41" i="3" s="1"/>
  <c r="BJ31" i="3"/>
  <c r="BJ38" i="3" s="1"/>
  <c r="BH31" i="3"/>
  <c r="BH38" i="3" s="1"/>
  <c r="BH41" i="3" s="1"/>
  <c r="BG31" i="3"/>
  <c r="BG38" i="3" s="1"/>
  <c r="BG41" i="3" s="1"/>
  <c r="BF31" i="3"/>
  <c r="BF38" i="3" s="1"/>
  <c r="BF41" i="3" s="1"/>
  <c r="BE31" i="3"/>
  <c r="BC31" i="3"/>
  <c r="BB31" i="3"/>
  <c r="BB38" i="3" s="1"/>
  <c r="BB41" i="3" s="1"/>
  <c r="BA31" i="3"/>
  <c r="BA38" i="3" s="1"/>
  <c r="BA41" i="3" s="1"/>
  <c r="AZ31" i="3"/>
  <c r="AX31" i="3"/>
  <c r="AX38" i="3" s="1"/>
  <c r="AX41" i="3" s="1"/>
  <c r="AW31" i="3"/>
  <c r="AW38" i="3" s="1"/>
  <c r="AW41" i="3" s="1"/>
  <c r="AV31" i="3"/>
  <c r="AV38" i="3" s="1"/>
  <c r="AV41" i="3" s="1"/>
  <c r="AU31" i="3"/>
  <c r="AS31" i="3"/>
  <c r="AS38" i="3" s="1"/>
  <c r="AS41" i="3" s="1"/>
  <c r="AR31" i="3"/>
  <c r="AR38" i="3" s="1"/>
  <c r="AR41" i="3" s="1"/>
  <c r="AQ31" i="3"/>
  <c r="AQ38" i="3" s="1"/>
  <c r="AP31" i="3"/>
  <c r="AN31" i="3"/>
  <c r="AN38" i="3" s="1"/>
  <c r="AN41" i="3" s="1"/>
  <c r="AM31" i="3"/>
  <c r="AM38" i="3" s="1"/>
  <c r="AM41" i="3" s="1"/>
  <c r="AL31" i="3"/>
  <c r="AL38" i="3" s="1"/>
  <c r="AL41" i="3" s="1"/>
  <c r="AK31" i="3"/>
  <c r="AI31" i="3"/>
  <c r="AI38" i="3" s="1"/>
  <c r="AI41" i="3" s="1"/>
  <c r="AH31" i="3"/>
  <c r="AH38" i="3" s="1"/>
  <c r="AH41" i="3" s="1"/>
  <c r="AG31" i="3"/>
  <c r="AG38" i="3" s="1"/>
  <c r="AF31" i="3"/>
  <c r="AD31" i="3"/>
  <c r="AD38" i="3" s="1"/>
  <c r="AD41" i="3" s="1"/>
  <c r="AC31" i="3"/>
  <c r="AC38" i="3" s="1"/>
  <c r="AC41" i="3" s="1"/>
  <c r="AB31" i="3"/>
  <c r="AB38" i="3" s="1"/>
  <c r="AB41" i="3" s="1"/>
  <c r="AA31" i="3"/>
  <c r="Y31" i="3"/>
  <c r="Y38" i="3" s="1"/>
  <c r="X31" i="3"/>
  <c r="X38" i="3" s="1"/>
  <c r="X41" i="3" s="1"/>
  <c r="W31" i="3"/>
  <c r="W38" i="3" s="1"/>
  <c r="W41" i="3" s="1"/>
  <c r="V31" i="3"/>
  <c r="V38" i="3" s="1"/>
  <c r="T31" i="3"/>
  <c r="T38" i="3" s="1"/>
  <c r="T41" i="3" s="1"/>
  <c r="S31" i="3"/>
  <c r="S38" i="3" s="1"/>
  <c r="S41" i="3" s="1"/>
  <c r="R31" i="3"/>
  <c r="R38" i="3" s="1"/>
  <c r="R41" i="3" s="1"/>
  <c r="Q31" i="3"/>
  <c r="O31" i="3"/>
  <c r="O38" i="3" s="1"/>
  <c r="N31" i="3"/>
  <c r="N38" i="3" s="1"/>
  <c r="N41" i="3" s="1"/>
  <c r="M31" i="3"/>
  <c r="M38" i="3" s="1"/>
  <c r="M41" i="3" s="1"/>
  <c r="L31" i="3"/>
  <c r="L38" i="3" s="1"/>
  <c r="J31" i="3"/>
  <c r="J38" i="3" s="1"/>
  <c r="J41" i="3" s="1"/>
  <c r="I31" i="3"/>
  <c r="I38" i="3" s="1"/>
  <c r="I41" i="3" s="1"/>
  <c r="H31" i="3"/>
  <c r="H38" i="3" s="1"/>
  <c r="H41" i="3" s="1"/>
  <c r="G31" i="3"/>
  <c r="G38" i="3" s="1"/>
  <c r="F31" i="3"/>
  <c r="F38" i="3" s="1"/>
  <c r="F41" i="3" s="1"/>
  <c r="E31" i="3"/>
  <c r="E38" i="3" s="1"/>
  <c r="E41" i="3" s="1"/>
  <c r="D31" i="3"/>
  <c r="D38" i="3" s="1"/>
  <c r="D41" i="3" s="1"/>
  <c r="CH25" i="3"/>
  <c r="CH22" i="3"/>
  <c r="CH21" i="3"/>
  <c r="CH20" i="3"/>
  <c r="CH18" i="3"/>
  <c r="CH16" i="3"/>
  <c r="CH15" i="3"/>
  <c r="CH14" i="3"/>
  <c r="CH12" i="3"/>
  <c r="CH11" i="3"/>
  <c r="CH9" i="3"/>
  <c r="CH8" i="3"/>
  <c r="CC25" i="3"/>
  <c r="CC22" i="3"/>
  <c r="CC21" i="3"/>
  <c r="CC20" i="3"/>
  <c r="CC18" i="3"/>
  <c r="CC16" i="3"/>
  <c r="CC15" i="3"/>
  <c r="CC14" i="3"/>
  <c r="CC12" i="3"/>
  <c r="CC11" i="3"/>
  <c r="CC9" i="3"/>
  <c r="CC8" i="3"/>
  <c r="CC86" i="3" s="1"/>
  <c r="BX25" i="3"/>
  <c r="BX22" i="3"/>
  <c r="BX21" i="3"/>
  <c r="BX20" i="3"/>
  <c r="BX16" i="3"/>
  <c r="BX15" i="3"/>
  <c r="BX14" i="3"/>
  <c r="BX12" i="3"/>
  <c r="BX11" i="3"/>
  <c r="BX9" i="3"/>
  <c r="BX8" i="3"/>
  <c r="BV25" i="3"/>
  <c r="BV23" i="3"/>
  <c r="BS25" i="3"/>
  <c r="BS22" i="3"/>
  <c r="BS21" i="3"/>
  <c r="BS20" i="3"/>
  <c r="BS18" i="3"/>
  <c r="BS16" i="3"/>
  <c r="BN25" i="3"/>
  <c r="BN23" i="3"/>
  <c r="BN22" i="3"/>
  <c r="BN21" i="3"/>
  <c r="BN20" i="3"/>
  <c r="BN18" i="3"/>
  <c r="BN16" i="3"/>
  <c r="BI25" i="3"/>
  <c r="BI23" i="3"/>
  <c r="BI22" i="3"/>
  <c r="BI21" i="3"/>
  <c r="BI20" i="3"/>
  <c r="BI18" i="3"/>
  <c r="BI16" i="3"/>
  <c r="BD25" i="3"/>
  <c r="BD23" i="3"/>
  <c r="BD22" i="3"/>
  <c r="BD21" i="3"/>
  <c r="BD20" i="3"/>
  <c r="BD18" i="3"/>
  <c r="BD16" i="3"/>
  <c r="AY25" i="3"/>
  <c r="AY23" i="3"/>
  <c r="AY22" i="3"/>
  <c r="AY21" i="3"/>
  <c r="AY20" i="3"/>
  <c r="AY18" i="3"/>
  <c r="AY82" i="3" s="1"/>
  <c r="AY16" i="3"/>
  <c r="AT25" i="3"/>
  <c r="AT23" i="3"/>
  <c r="AT22" i="3"/>
  <c r="AT21" i="3"/>
  <c r="AO25" i="3"/>
  <c r="AO23" i="3"/>
  <c r="AO22" i="3"/>
  <c r="AO21" i="3"/>
  <c r="AJ25" i="3"/>
  <c r="AJ23" i="3"/>
  <c r="AJ22" i="3"/>
  <c r="AJ21" i="3"/>
  <c r="AE25" i="3"/>
  <c r="AE23" i="3"/>
  <c r="AE22" i="3"/>
  <c r="AE21" i="3"/>
  <c r="Z25" i="3"/>
  <c r="Z23" i="3"/>
  <c r="Z22" i="3"/>
  <c r="Z21" i="3"/>
  <c r="Z20" i="3"/>
  <c r="Z16" i="3"/>
  <c r="U25" i="3"/>
  <c r="U23" i="3"/>
  <c r="U22" i="3"/>
  <c r="U21" i="3"/>
  <c r="U20" i="3"/>
  <c r="U16" i="3"/>
  <c r="P25" i="3"/>
  <c r="P23" i="3"/>
  <c r="P21" i="3"/>
  <c r="P20" i="3"/>
  <c r="P16" i="3"/>
  <c r="N25" i="3"/>
  <c r="J25" i="3"/>
  <c r="CM25" i="3"/>
  <c r="DB23" i="3"/>
  <c r="DB22" i="3"/>
  <c r="DB21" i="3"/>
  <c r="CW23" i="3"/>
  <c r="CW22" i="3"/>
  <c r="CW21" i="3"/>
  <c r="CR23" i="3"/>
  <c r="CR22" i="3"/>
  <c r="CR16" i="3"/>
  <c r="CM23" i="3"/>
  <c r="CM22" i="3"/>
  <c r="CM21" i="3"/>
  <c r="CM20" i="3"/>
  <c r="CM18" i="3"/>
  <c r="CM16" i="3"/>
  <c r="CM14" i="3"/>
  <c r="CM12" i="3"/>
  <c r="CM11" i="3"/>
  <c r="CM9" i="3"/>
  <c r="CM8" i="3"/>
  <c r="CM86" i="3" s="1"/>
  <c r="CE23" i="3"/>
  <c r="CH23" i="3" s="1"/>
  <c r="CB23" i="3"/>
  <c r="CC23" i="3" s="1"/>
  <c r="BY23" i="3"/>
  <c r="BU23" i="3"/>
  <c r="BT23" i="3"/>
  <c r="BX23" i="3" s="1"/>
  <c r="BQ23" i="3"/>
  <c r="BS23" i="3" s="1"/>
  <c r="K23" i="3"/>
  <c r="K21" i="3"/>
  <c r="K20" i="3"/>
  <c r="K83" i="3" s="1"/>
  <c r="K16" i="3"/>
  <c r="N22" i="3"/>
  <c r="P22" i="3" s="1"/>
  <c r="J22" i="3"/>
  <c r="K22" i="3" s="1"/>
  <c r="CO21" i="3"/>
  <c r="BU18" i="3"/>
  <c r="AU18" i="3"/>
  <c r="AS18" i="3"/>
  <c r="AR18" i="3"/>
  <c r="AQ18" i="3"/>
  <c r="AP18" i="3"/>
  <c r="AT18" i="3" s="1"/>
  <c r="AT82" i="3" s="1"/>
  <c r="AN18" i="3"/>
  <c r="AM18" i="3"/>
  <c r="AL18" i="3"/>
  <c r="AK18" i="3"/>
  <c r="AI18" i="3"/>
  <c r="AH18" i="3"/>
  <c r="AG18" i="3"/>
  <c r="AF18" i="3"/>
  <c r="AD18" i="3"/>
  <c r="AC18" i="3"/>
  <c r="AB18" i="3"/>
  <c r="AA18" i="3"/>
  <c r="CA17" i="3"/>
  <c r="BL17" i="3"/>
  <c r="BF17" i="3"/>
  <c r="BF19" i="3" s="1"/>
  <c r="AZ17" i="3"/>
  <c r="AU17" i="3"/>
  <c r="AQ17" i="3"/>
  <c r="AQ19" i="3" s="1"/>
  <c r="AM17" i="3"/>
  <c r="AM19" i="3" s="1"/>
  <c r="AA17" i="3"/>
  <c r="Y18" i="3"/>
  <c r="X18" i="3"/>
  <c r="W18" i="3"/>
  <c r="V18" i="3"/>
  <c r="V17" i="3"/>
  <c r="T18" i="3"/>
  <c r="S18" i="3"/>
  <c r="R18" i="3"/>
  <c r="Q18" i="3"/>
  <c r="Q17" i="3"/>
  <c r="O18" i="3"/>
  <c r="N18" i="3"/>
  <c r="N52" i="3" s="1"/>
  <c r="M18" i="3"/>
  <c r="L18" i="3"/>
  <c r="L17" i="3"/>
  <c r="J18" i="3"/>
  <c r="I18" i="3"/>
  <c r="H18" i="3"/>
  <c r="G18" i="3"/>
  <c r="K18" i="3" s="1"/>
  <c r="K82" i="3" s="1"/>
  <c r="F18" i="3"/>
  <c r="E18" i="3"/>
  <c r="D18" i="3"/>
  <c r="I17" i="3"/>
  <c r="I49" i="3" s="1"/>
  <c r="E17" i="3"/>
  <c r="AT16" i="3"/>
  <c r="AO16" i="3"/>
  <c r="AE16" i="3"/>
  <c r="AE81" i="3" s="1"/>
  <c r="CN14" i="3"/>
  <c r="CI15" i="3"/>
  <c r="CM15" i="3" s="1"/>
  <c r="BS14" i="3"/>
  <c r="BS12" i="3"/>
  <c r="BS11" i="3"/>
  <c r="BS10" i="3"/>
  <c r="BS9" i="3"/>
  <c r="BS8" i="3"/>
  <c r="BS86" i="3" s="1"/>
  <c r="BN14" i="3"/>
  <c r="BN80" i="3" s="1"/>
  <c r="BN13" i="3"/>
  <c r="BN12" i="3"/>
  <c r="BN11" i="3"/>
  <c r="BN10" i="3"/>
  <c r="BN17" i="3" s="1"/>
  <c r="BN9" i="3"/>
  <c r="BN8" i="3"/>
  <c r="BI14" i="3"/>
  <c r="BI12" i="3"/>
  <c r="BI11" i="3"/>
  <c r="BI9" i="3"/>
  <c r="BI8" i="3"/>
  <c r="BD14" i="3"/>
  <c r="BD13" i="3"/>
  <c r="BD12" i="3"/>
  <c r="BD11" i="3"/>
  <c r="BD9" i="3"/>
  <c r="BD8" i="3"/>
  <c r="BD86" i="3" s="1"/>
  <c r="AY14" i="3"/>
  <c r="AY13" i="3"/>
  <c r="AY12" i="3"/>
  <c r="AY11" i="3"/>
  <c r="AY10" i="3"/>
  <c r="AY9" i="3"/>
  <c r="AY8" i="3"/>
  <c r="AY86" i="3" s="1"/>
  <c r="AT14" i="3"/>
  <c r="AT13" i="3"/>
  <c r="AT12" i="3"/>
  <c r="AT11" i="3"/>
  <c r="AT10" i="3"/>
  <c r="AT83" i="3" s="1"/>
  <c r="AT9" i="3"/>
  <c r="AT8" i="3"/>
  <c r="AO14" i="3"/>
  <c r="AO13" i="3"/>
  <c r="AO12" i="3"/>
  <c r="AO11" i="3"/>
  <c r="AO9" i="3"/>
  <c r="AO8" i="3"/>
  <c r="AJ14" i="3"/>
  <c r="AJ12" i="3"/>
  <c r="AJ11" i="3"/>
  <c r="AJ9" i="3"/>
  <c r="AJ8" i="3"/>
  <c r="AJ86" i="3" s="1"/>
  <c r="CI13" i="3"/>
  <c r="CG13" i="3"/>
  <c r="CF13" i="3"/>
  <c r="CE13" i="3"/>
  <c r="CH13" i="3" s="1"/>
  <c r="CD13" i="3"/>
  <c r="CB13" i="3"/>
  <c r="CA13" i="3"/>
  <c r="BZ13" i="3"/>
  <c r="BY13" i="3"/>
  <c r="BW13" i="3"/>
  <c r="BV13" i="3"/>
  <c r="BU13" i="3"/>
  <c r="BT13" i="3"/>
  <c r="BR13" i="3"/>
  <c r="BQ13" i="3"/>
  <c r="BH13" i="3"/>
  <c r="AI13" i="3"/>
  <c r="AD14" i="3"/>
  <c r="AE13" i="3"/>
  <c r="AD13" i="3"/>
  <c r="Y14" i="3"/>
  <c r="Z13" i="3"/>
  <c r="Y13" i="3"/>
  <c r="T14" i="3"/>
  <c r="U13" i="3"/>
  <c r="T13" i="3"/>
  <c r="O14" i="3"/>
  <c r="P13" i="3"/>
  <c r="O13" i="3"/>
  <c r="J14" i="3"/>
  <c r="K13" i="3"/>
  <c r="J13" i="3"/>
  <c r="E13" i="3"/>
  <c r="AE12" i="3"/>
  <c r="AE11" i="3"/>
  <c r="AE10" i="3"/>
  <c r="AE83" i="3" s="1"/>
  <c r="AE9" i="3"/>
  <c r="AE8" i="3"/>
  <c r="Z12" i="3"/>
  <c r="Z11" i="3"/>
  <c r="Z9" i="3"/>
  <c r="Z8" i="3"/>
  <c r="U12" i="3"/>
  <c r="U11" i="3"/>
  <c r="U9" i="3"/>
  <c r="U8" i="3"/>
  <c r="P12" i="3"/>
  <c r="P11" i="3"/>
  <c r="P10" i="3"/>
  <c r="P9" i="3"/>
  <c r="P8" i="3"/>
  <c r="K12" i="3"/>
  <c r="K11" i="3"/>
  <c r="K10" i="3"/>
  <c r="K9" i="3"/>
  <c r="K8" i="3"/>
  <c r="CL10" i="3"/>
  <c r="CL17" i="3" s="1"/>
  <c r="CK10" i="3"/>
  <c r="CJ10" i="3"/>
  <c r="CI10" i="3"/>
  <c r="CG10" i="3"/>
  <c r="CF10" i="3"/>
  <c r="CE10" i="3"/>
  <c r="CD10" i="3"/>
  <c r="CB10" i="3"/>
  <c r="CA10" i="3"/>
  <c r="BZ10" i="3"/>
  <c r="BY10" i="3"/>
  <c r="BY17" i="3" s="1"/>
  <c r="BW10" i="3"/>
  <c r="BV10" i="3"/>
  <c r="BU10" i="3"/>
  <c r="BT10" i="3"/>
  <c r="BR10" i="3"/>
  <c r="BQ10" i="3"/>
  <c r="BP10" i="3"/>
  <c r="BO10" i="3"/>
  <c r="BM10" i="3"/>
  <c r="BL10" i="3"/>
  <c r="BK10" i="3"/>
  <c r="BK17" i="3" s="1"/>
  <c r="BJ10" i="3"/>
  <c r="BH10" i="3"/>
  <c r="BG10" i="3"/>
  <c r="BF10" i="3"/>
  <c r="BE10" i="3"/>
  <c r="BC10" i="3"/>
  <c r="BC17" i="3" s="1"/>
  <c r="BB10" i="3"/>
  <c r="BA10" i="3"/>
  <c r="BA17" i="3" s="1"/>
  <c r="AZ10" i="3"/>
  <c r="AX10" i="3"/>
  <c r="AW10" i="3"/>
  <c r="AV10" i="3"/>
  <c r="AV17" i="3" s="1"/>
  <c r="AU10" i="3"/>
  <c r="AS10" i="3"/>
  <c r="AR10" i="3"/>
  <c r="AQ10" i="3"/>
  <c r="AP10" i="3"/>
  <c r="AP17" i="3" s="1"/>
  <c r="AN10" i="3"/>
  <c r="AN17" i="3" s="1"/>
  <c r="AM10" i="3"/>
  <c r="AL10" i="3"/>
  <c r="AL17" i="3" s="1"/>
  <c r="AK10" i="3"/>
  <c r="AI10" i="3"/>
  <c r="AH10" i="3"/>
  <c r="AG10" i="3"/>
  <c r="AF10" i="3"/>
  <c r="AD10" i="3"/>
  <c r="AD17" i="3" s="1"/>
  <c r="AC10" i="3"/>
  <c r="AB10" i="3"/>
  <c r="AB17" i="3" s="1"/>
  <c r="AA10" i="3"/>
  <c r="Y10" i="3"/>
  <c r="Y17" i="3" s="1"/>
  <c r="X10" i="3"/>
  <c r="W10" i="3"/>
  <c r="W17" i="3" s="1"/>
  <c r="V10" i="3"/>
  <c r="T10" i="3"/>
  <c r="S10" i="3"/>
  <c r="R10" i="3"/>
  <c r="R17" i="3" s="1"/>
  <c r="Q10" i="3"/>
  <c r="O10" i="3"/>
  <c r="O17" i="3" s="1"/>
  <c r="N10" i="3"/>
  <c r="M10" i="3"/>
  <c r="M17" i="3" s="1"/>
  <c r="L10" i="3"/>
  <c r="J10" i="3"/>
  <c r="J17" i="3" s="1"/>
  <c r="I10" i="3"/>
  <c r="H10" i="3"/>
  <c r="H17" i="3" s="1"/>
  <c r="G10" i="3"/>
  <c r="F10" i="3"/>
  <c r="E10" i="3"/>
  <c r="D10" i="3"/>
  <c r="D17" i="3" s="1"/>
  <c r="CU16" i="3"/>
  <c r="CV16" i="3" s="1"/>
  <c r="CT16" i="3"/>
  <c r="CS16" i="3"/>
  <c r="CT15" i="3"/>
  <c r="CY15" i="3" s="1"/>
  <c r="CQ15" i="3"/>
  <c r="CV15" i="3" s="1"/>
  <c r="DA15" i="3" s="1"/>
  <c r="CP15" i="3"/>
  <c r="CU15" i="3" s="1"/>
  <c r="CZ15" i="3" s="1"/>
  <c r="DA6" i="3"/>
  <c r="CZ6" i="3"/>
  <c r="CY6" i="3"/>
  <c r="CX6" i="3"/>
  <c r="DB6" i="3" s="1"/>
  <c r="CV6" i="3"/>
  <c r="CU6" i="3"/>
  <c r="CT6" i="3"/>
  <c r="CS6" i="3"/>
  <c r="CW6" i="3" s="1"/>
  <c r="CQ6" i="3"/>
  <c r="CP6" i="3"/>
  <c r="CO6" i="3"/>
  <c r="CN6" i="3"/>
  <c r="CR6" i="3" s="1"/>
  <c r="CL6" i="3"/>
  <c r="CK6" i="3"/>
  <c r="CJ6" i="3"/>
  <c r="CI6" i="3"/>
  <c r="CM6" i="3" s="1"/>
  <c r="CG6" i="3"/>
  <c r="CF6" i="3"/>
  <c r="CE6" i="3"/>
  <c r="CD6" i="3"/>
  <c r="CH6" i="3" s="1"/>
  <c r="CB6" i="3"/>
  <c r="CA6" i="3"/>
  <c r="BZ6" i="3"/>
  <c r="BY6" i="3"/>
  <c r="CC6" i="3" s="1"/>
  <c r="BW6" i="3"/>
  <c r="BV6" i="3"/>
  <c r="BU6" i="3"/>
  <c r="BT6" i="3"/>
  <c r="BX6" i="3" s="1"/>
  <c r="BR6" i="3"/>
  <c r="BQ6" i="3"/>
  <c r="BP6" i="3"/>
  <c r="BO6" i="3"/>
  <c r="BS6" i="3" s="1"/>
  <c r="BM6" i="3"/>
  <c r="BL6" i="3"/>
  <c r="BK6" i="3"/>
  <c r="BJ6" i="3"/>
  <c r="BN6" i="3" s="1"/>
  <c r="BH6" i="3"/>
  <c r="BG6" i="3"/>
  <c r="BF6" i="3"/>
  <c r="BE6" i="3"/>
  <c r="BI6" i="3" s="1"/>
  <c r="BC6" i="3"/>
  <c r="BB6" i="3"/>
  <c r="BA6" i="3"/>
  <c r="AZ6" i="3"/>
  <c r="BD6" i="3" s="1"/>
  <c r="AX6" i="3"/>
  <c r="AW6" i="3"/>
  <c r="AV6" i="3"/>
  <c r="AU6" i="3"/>
  <c r="AY6" i="3" s="1"/>
  <c r="AT6" i="3"/>
  <c r="AO6" i="3"/>
  <c r="AJ6" i="3"/>
  <c r="AE6" i="3"/>
  <c r="Z6" i="3"/>
  <c r="U6" i="3"/>
  <c r="P6" i="3"/>
  <c r="K6" i="3"/>
  <c r="DB3" i="3"/>
  <c r="CW3" i="3"/>
  <c r="CR3" i="3"/>
  <c r="CM3" i="3"/>
  <c r="CH3" i="3"/>
  <c r="CC3" i="3"/>
  <c r="BX3" i="3"/>
  <c r="BS3" i="3"/>
  <c r="BN3" i="3"/>
  <c r="BI3" i="3"/>
  <c r="BD3" i="3"/>
  <c r="AY3" i="3"/>
  <c r="AT3" i="3"/>
  <c r="AO3" i="3"/>
  <c r="AJ3" i="3"/>
  <c r="AE3" i="3"/>
  <c r="Z3" i="3"/>
  <c r="U3" i="3"/>
  <c r="P3" i="3"/>
  <c r="K3" i="3"/>
  <c r="BK46" i="45"/>
  <c r="BJ46" i="45"/>
  <c r="BI46" i="45"/>
  <c r="BH46" i="45"/>
  <c r="BF46" i="45"/>
  <c r="BE46" i="45"/>
  <c r="BD46" i="45"/>
  <c r="BC46" i="45"/>
  <c r="BA46" i="45"/>
  <c r="AZ46" i="45"/>
  <c r="AY46" i="45"/>
  <c r="AX46" i="45"/>
  <c r="BL45" i="45"/>
  <c r="BK44" i="45"/>
  <c r="BJ44" i="45"/>
  <c r="BI44" i="45"/>
  <c r="BH44" i="45"/>
  <c r="BF44" i="45"/>
  <c r="BE44" i="45"/>
  <c r="BD44" i="45"/>
  <c r="BC44" i="45"/>
  <c r="BA44" i="45"/>
  <c r="AZ44" i="45"/>
  <c r="AY44" i="45"/>
  <c r="AX44" i="45"/>
  <c r="BK41" i="45"/>
  <c r="BJ41" i="45"/>
  <c r="BI41" i="45"/>
  <c r="BH41" i="45"/>
  <c r="BF41" i="45"/>
  <c r="BE41" i="45"/>
  <c r="BD41" i="45"/>
  <c r="BC41" i="45"/>
  <c r="BA41" i="45"/>
  <c r="AZ41" i="45"/>
  <c r="AY41" i="45"/>
  <c r="AX41" i="45"/>
  <c r="BL40" i="45"/>
  <c r="AT40" i="45"/>
  <c r="AS40" i="45"/>
  <c r="BK39" i="45"/>
  <c r="BJ39" i="45"/>
  <c r="BI39" i="45"/>
  <c r="BH39" i="45"/>
  <c r="BF39" i="45"/>
  <c r="BE39" i="45"/>
  <c r="BD39" i="45"/>
  <c r="BC39" i="45"/>
  <c r="BA39" i="45"/>
  <c r="AZ39" i="45"/>
  <c r="AY39" i="45"/>
  <c r="AX39" i="45"/>
  <c r="BK36" i="45"/>
  <c r="BJ36" i="45"/>
  <c r="BI36" i="45"/>
  <c r="BH36" i="45"/>
  <c r="BF36" i="45"/>
  <c r="BE36" i="45"/>
  <c r="BD36" i="45"/>
  <c r="BC36" i="45"/>
  <c r="BA36" i="45"/>
  <c r="AZ36" i="45"/>
  <c r="AY36" i="45"/>
  <c r="AX36" i="45"/>
  <c r="BL35" i="45"/>
  <c r="BK34" i="45"/>
  <c r="BJ34" i="45"/>
  <c r="BI34" i="45"/>
  <c r="BH34" i="45"/>
  <c r="BF34" i="45"/>
  <c r="BE34" i="45"/>
  <c r="BD34" i="45"/>
  <c r="BC34" i="45"/>
  <c r="BA34" i="45"/>
  <c r="AZ34" i="45"/>
  <c r="AY34" i="45"/>
  <c r="AX34" i="45"/>
  <c r="BK31" i="45"/>
  <c r="BJ31" i="45"/>
  <c r="BI31" i="45"/>
  <c r="BH31" i="45"/>
  <c r="BF31" i="45"/>
  <c r="BE31" i="45"/>
  <c r="BD31" i="45"/>
  <c r="BC31" i="45"/>
  <c r="BA31" i="45"/>
  <c r="AZ31" i="45"/>
  <c r="AY31" i="45"/>
  <c r="AX31" i="45"/>
  <c r="BL30" i="45"/>
  <c r="AL30" i="45"/>
  <c r="V30" i="45"/>
  <c r="K30" i="45"/>
  <c r="F30" i="45"/>
  <c r="BK29" i="45"/>
  <c r="BJ29" i="45"/>
  <c r="BI29" i="45"/>
  <c r="BH29" i="45"/>
  <c r="BF29" i="45"/>
  <c r="BE29" i="45"/>
  <c r="BD29" i="45"/>
  <c r="BC29" i="45"/>
  <c r="BA29" i="45"/>
  <c r="AZ29" i="45"/>
  <c r="AY29" i="45"/>
  <c r="AX29" i="45"/>
  <c r="C26" i="45"/>
  <c r="BK24" i="45"/>
  <c r="BI24" i="45"/>
  <c r="BG24" i="45"/>
  <c r="BE24" i="45"/>
  <c r="BC24" i="45"/>
  <c r="BA24" i="45"/>
  <c r="AY24" i="45"/>
  <c r="AW24" i="45"/>
  <c r="AU24" i="45"/>
  <c r="AS24" i="45"/>
  <c r="AQ24" i="45"/>
  <c r="AO24" i="45"/>
  <c r="AM24" i="45"/>
  <c r="AK24" i="45"/>
  <c r="AI24" i="45"/>
  <c r="AG24" i="45"/>
  <c r="AE24" i="45"/>
  <c r="AC24" i="45"/>
  <c r="AA24" i="45"/>
  <c r="Y24" i="45"/>
  <c r="W24" i="45"/>
  <c r="U24" i="45"/>
  <c r="S24" i="45"/>
  <c r="Q24" i="45"/>
  <c r="O24" i="45"/>
  <c r="M24" i="45"/>
  <c r="K24" i="45"/>
  <c r="I24" i="45"/>
  <c r="G24" i="45"/>
  <c r="E24" i="45"/>
  <c r="BK21" i="45"/>
  <c r="BJ21" i="45"/>
  <c r="BI21" i="45"/>
  <c r="BH21" i="45"/>
  <c r="BF21" i="45"/>
  <c r="BE21" i="45"/>
  <c r="BD21" i="45"/>
  <c r="BC21" i="45"/>
  <c r="BA21" i="45"/>
  <c r="AZ21" i="45"/>
  <c r="AY21" i="45"/>
  <c r="AX21" i="45"/>
  <c r="BK19" i="45"/>
  <c r="BJ19" i="45"/>
  <c r="BI19" i="45"/>
  <c r="BH19" i="45"/>
  <c r="BF19" i="45"/>
  <c r="BE19" i="45"/>
  <c r="BD19" i="45"/>
  <c r="BC19" i="45"/>
  <c r="BA19" i="45"/>
  <c r="AZ19" i="45"/>
  <c r="AY19" i="45"/>
  <c r="AX19" i="45"/>
  <c r="BK17" i="45"/>
  <c r="BJ17" i="45"/>
  <c r="BI17" i="45"/>
  <c r="BH17" i="45"/>
  <c r="BF17" i="45"/>
  <c r="BE17" i="45"/>
  <c r="BD17" i="45"/>
  <c r="BC17" i="45"/>
  <c r="BA17" i="45"/>
  <c r="AZ17" i="45"/>
  <c r="AY17" i="45"/>
  <c r="AX17" i="45"/>
  <c r="BL16" i="45"/>
  <c r="BG16" i="45"/>
  <c r="BB16" i="45"/>
  <c r="AV16" i="45"/>
  <c r="AT16" i="45"/>
  <c r="AP16" i="45"/>
  <c r="AN16" i="45"/>
  <c r="AL16" i="45"/>
  <c r="AJ16" i="45"/>
  <c r="AH16" i="45"/>
  <c r="AD16" i="45"/>
  <c r="Z16" i="45"/>
  <c r="V16" i="45"/>
  <c r="R16" i="45"/>
  <c r="N16" i="45"/>
  <c r="J16" i="45"/>
  <c r="F16" i="45"/>
  <c r="BK15" i="45"/>
  <c r="BJ15" i="45"/>
  <c r="BI15" i="45"/>
  <c r="BH15" i="45"/>
  <c r="BF15" i="45"/>
  <c r="BE15" i="45"/>
  <c r="BD15" i="45"/>
  <c r="BC15" i="45"/>
  <c r="BA15" i="45"/>
  <c r="AZ15" i="45"/>
  <c r="AY15" i="45"/>
  <c r="AX15" i="45"/>
  <c r="BK13" i="45"/>
  <c r="BJ13" i="45"/>
  <c r="BI13" i="45"/>
  <c r="BH13" i="45"/>
  <c r="BF13" i="45"/>
  <c r="BE13" i="45"/>
  <c r="BD13" i="45"/>
  <c r="BC13" i="45"/>
  <c r="BA13" i="45"/>
  <c r="AZ13" i="45"/>
  <c r="AY13" i="45"/>
  <c r="AX13" i="45"/>
  <c r="BL12" i="45"/>
  <c r="BK11" i="45"/>
  <c r="BJ11" i="45"/>
  <c r="BI11" i="45"/>
  <c r="BH11" i="45"/>
  <c r="BF11" i="45"/>
  <c r="BE11" i="45"/>
  <c r="BD11" i="45"/>
  <c r="BC11" i="45"/>
  <c r="BA11" i="45"/>
  <c r="AZ11" i="45"/>
  <c r="AY11" i="45"/>
  <c r="AX11" i="45"/>
  <c r="BL6" i="45"/>
  <c r="BL24" i="45" s="1"/>
  <c r="BK6" i="45"/>
  <c r="BJ6" i="45"/>
  <c r="BJ24" i="45" s="1"/>
  <c r="BI6" i="45"/>
  <c r="BH6" i="45"/>
  <c r="BH24" i="45" s="1"/>
  <c r="BG6" i="45"/>
  <c r="BF6" i="45"/>
  <c r="BF24" i="45" s="1"/>
  <c r="BE6" i="45"/>
  <c r="BD6" i="45"/>
  <c r="BD24" i="45" s="1"/>
  <c r="BC6" i="45"/>
  <c r="BB6" i="45"/>
  <c r="BB24" i="45" s="1"/>
  <c r="BA6" i="45"/>
  <c r="AZ6" i="45"/>
  <c r="AZ24" i="45" s="1"/>
  <c r="AY6" i="45"/>
  <c r="AX6" i="45"/>
  <c r="AX24" i="45" s="1"/>
  <c r="AW6" i="45"/>
  <c r="AV6" i="45"/>
  <c r="AV24" i="45" s="1"/>
  <c r="AU6" i="45"/>
  <c r="AT6" i="45"/>
  <c r="AT24" i="45" s="1"/>
  <c r="AS6" i="45"/>
  <c r="AR6" i="45"/>
  <c r="AR24" i="45" s="1"/>
  <c r="AQ6" i="45"/>
  <c r="AP6" i="45"/>
  <c r="AP24" i="45" s="1"/>
  <c r="AO6" i="45"/>
  <c r="AN6" i="45"/>
  <c r="AN24" i="45" s="1"/>
  <c r="AM6" i="45"/>
  <c r="AL6" i="45"/>
  <c r="AL24" i="45" s="1"/>
  <c r="AK6" i="45"/>
  <c r="AJ6" i="45"/>
  <c r="AJ24" i="45" s="1"/>
  <c r="AI6" i="45"/>
  <c r="AH6" i="45"/>
  <c r="AH24" i="45" s="1"/>
  <c r="AG6" i="45"/>
  <c r="AF6" i="45"/>
  <c r="AF24" i="45" s="1"/>
  <c r="AE6" i="45"/>
  <c r="AD6" i="45"/>
  <c r="AD24" i="45" s="1"/>
  <c r="AC6" i="45"/>
  <c r="AB6" i="45"/>
  <c r="AB24" i="45" s="1"/>
  <c r="AA6" i="45"/>
  <c r="Z6" i="45"/>
  <c r="Z24" i="45" s="1"/>
  <c r="Y6" i="45"/>
  <c r="X6" i="45"/>
  <c r="X24" i="45" s="1"/>
  <c r="W6" i="45"/>
  <c r="V6" i="45"/>
  <c r="V24" i="45" s="1"/>
  <c r="U6" i="45"/>
  <c r="T6" i="45"/>
  <c r="T24" i="45" s="1"/>
  <c r="S6" i="45"/>
  <c r="R6" i="45"/>
  <c r="R24" i="45" s="1"/>
  <c r="Q6" i="45"/>
  <c r="P6" i="45"/>
  <c r="P24" i="45" s="1"/>
  <c r="O6" i="45"/>
  <c r="N6" i="45"/>
  <c r="N24" i="45" s="1"/>
  <c r="M6" i="45"/>
  <c r="L6" i="45"/>
  <c r="L24" i="45" s="1"/>
  <c r="K6" i="45"/>
  <c r="J6" i="45"/>
  <c r="J24" i="45" s="1"/>
  <c r="I6" i="45"/>
  <c r="H6" i="45"/>
  <c r="H24" i="45" s="1"/>
  <c r="G6" i="45"/>
  <c r="F6" i="45"/>
  <c r="F24" i="45" s="1"/>
  <c r="E6" i="45"/>
  <c r="A5" i="33"/>
  <c r="I8" i="27"/>
  <c r="I13" i="27"/>
  <c r="I10" i="27"/>
  <c r="I9" i="27"/>
  <c r="CH6" i="34" l="1"/>
  <c r="CR6" i="34"/>
  <c r="DB6" i="34"/>
  <c r="CM6" i="34"/>
  <c r="AY6" i="34"/>
  <c r="AY11" i="34"/>
  <c r="BN11" i="34"/>
  <c r="BS6" i="34"/>
  <c r="CI16" i="34"/>
  <c r="CO21" i="34"/>
  <c r="CN24" i="8"/>
  <c r="BO22" i="34"/>
  <c r="BS49" i="34"/>
  <c r="CJ63" i="34"/>
  <c r="CJ64" i="34" s="1"/>
  <c r="CJ66" i="34" s="1"/>
  <c r="BX38" i="34"/>
  <c r="BR32" i="34"/>
  <c r="BQ37" i="34"/>
  <c r="BX36" i="34"/>
  <c r="CC33" i="34" s="1"/>
  <c r="BY33" i="34"/>
  <c r="BO37" i="34"/>
  <c r="BO39" i="34" s="1"/>
  <c r="BP33" i="34"/>
  <c r="BP36" i="34" s="1"/>
  <c r="BQ33" i="34" s="1"/>
  <c r="BN52" i="34"/>
  <c r="CC52" i="34"/>
  <c r="CJ51" i="34"/>
  <c r="CJ52" i="34"/>
  <c r="CK47" i="34"/>
  <c r="CK50" i="34" s="1"/>
  <c r="BC6" i="34"/>
  <c r="BD6" i="34" s="1"/>
  <c r="BK6" i="34"/>
  <c r="BN6" i="34" s="1"/>
  <c r="BW6" i="34"/>
  <c r="BX6" i="34" s="1"/>
  <c r="BB11" i="34"/>
  <c r="BD11" i="34" s="1"/>
  <c r="BG8" i="34"/>
  <c r="BG11" i="34" s="1"/>
  <c r="BI11" i="34" s="1"/>
  <c r="BN38" i="34"/>
  <c r="BP38" i="34"/>
  <c r="BS38" i="34" s="1"/>
  <c r="CF37" i="34"/>
  <c r="CG39" i="34" s="1"/>
  <c r="CJ39" i="34"/>
  <c r="CK38" i="34"/>
  <c r="CL37" i="34"/>
  <c r="CM37" i="34" s="1"/>
  <c r="CI39" i="34"/>
  <c r="BW32" i="34"/>
  <c r="BV37" i="34"/>
  <c r="BD33" i="34"/>
  <c r="BD36" i="34" s="1"/>
  <c r="AY37" i="34"/>
  <c r="AY39" i="34" s="1"/>
  <c r="BS52" i="34"/>
  <c r="BG6" i="34"/>
  <c r="BI6" i="34" s="1"/>
  <c r="CA6" i="34"/>
  <c r="CC6" i="34" s="1"/>
  <c r="CU6" i="34"/>
  <c r="CW6" i="34" s="1"/>
  <c r="CL39" i="34"/>
  <c r="CD39" i="34"/>
  <c r="BN34" i="34"/>
  <c r="CI23" i="34"/>
  <c r="CM49" i="34"/>
  <c r="BQ38" i="34"/>
  <c r="CE39" i="34"/>
  <c r="CF38" i="34"/>
  <c r="CH38" i="34" s="1"/>
  <c r="CK39" i="34"/>
  <c r="CN33" i="34"/>
  <c r="CN36" i="34" s="1"/>
  <c r="CM36" i="34"/>
  <c r="CR33" i="34" s="1"/>
  <c r="BD38" i="34"/>
  <c r="CM38" i="34"/>
  <c r="BZ39" i="34"/>
  <c r="CJ53" i="34"/>
  <c r="CF51" i="34"/>
  <c r="CG53" i="34" s="1"/>
  <c r="CG47" i="34"/>
  <c r="CF52" i="34"/>
  <c r="CH63" i="34"/>
  <c r="BV23" i="34"/>
  <c r="BW61" i="34"/>
  <c r="BW64" i="34" s="1"/>
  <c r="CH32" i="34"/>
  <c r="BP37" i="34"/>
  <c r="BP39" i="34" s="1"/>
  <c r="CB37" i="34"/>
  <c r="CC37" i="34" s="1"/>
  <c r="CH34" i="34" s="1"/>
  <c r="BU49" i="34"/>
  <c r="BU22" i="34" s="1"/>
  <c r="BZ49" i="34"/>
  <c r="BZ23" i="34" s="1"/>
  <c r="CE49" i="34"/>
  <c r="BM51" i="34"/>
  <c r="BV52" i="34"/>
  <c r="CD52" i="34"/>
  <c r="BN65" i="34"/>
  <c r="BM67" i="34"/>
  <c r="BN63" i="34"/>
  <c r="BD63" i="34"/>
  <c r="CF80" i="34"/>
  <c r="CG75" i="34"/>
  <c r="CM32" i="34"/>
  <c r="CR32" i="34"/>
  <c r="BM37" i="34"/>
  <c r="BN37" i="34" s="1"/>
  <c r="BU37" i="34"/>
  <c r="BV39" i="34" s="1"/>
  <c r="BW52" i="34"/>
  <c r="CI52" i="34"/>
  <c r="BN60" i="34"/>
  <c r="BO60" i="34" s="1"/>
  <c r="BT74" i="34"/>
  <c r="CV32" i="34"/>
  <c r="CZ32" i="34"/>
  <c r="BN36" i="34"/>
  <c r="BT52" i="34"/>
  <c r="BX52" i="34" s="1"/>
  <c r="BV66" i="34"/>
  <c r="BX66" i="34" s="1"/>
  <c r="CF66" i="34"/>
  <c r="CH66" i="34" s="1"/>
  <c r="BL66" i="34"/>
  <c r="BN66" i="34" s="1"/>
  <c r="CI66" i="34"/>
  <c r="BN67" i="34"/>
  <c r="CG94" i="34"/>
  <c r="BY53" i="34"/>
  <c r="CI53" i="34"/>
  <c r="BY49" i="34"/>
  <c r="CC49" i="34" s="1"/>
  <c r="BW66" i="34"/>
  <c r="CG66" i="34"/>
  <c r="CC63" i="34"/>
  <c r="CH91" i="34"/>
  <c r="CM92" i="34"/>
  <c r="CR89" i="34" s="1"/>
  <c r="CN89" i="34"/>
  <c r="CN92" i="34" s="1"/>
  <c r="CO89" i="34" s="1"/>
  <c r="CO92" i="34" s="1"/>
  <c r="CP89" i="34" s="1"/>
  <c r="CP92" i="34" s="1"/>
  <c r="CQ89" i="34" s="1"/>
  <c r="CQ92" i="34" s="1"/>
  <c r="CQ94" i="34" s="1"/>
  <c r="CR101" i="34"/>
  <c r="CN101" i="34"/>
  <c r="CN104" i="34" s="1"/>
  <c r="CO101" i="34" s="1"/>
  <c r="CO104" i="34" s="1"/>
  <c r="CP101" i="34" s="1"/>
  <c r="CP104" i="34" s="1"/>
  <c r="CQ101" i="34" s="1"/>
  <c r="CQ104" i="34" s="1"/>
  <c r="CR104" i="34" s="1"/>
  <c r="BW77" i="34"/>
  <c r="BW22" i="34" s="1"/>
  <c r="CB77" i="34"/>
  <c r="CB23" i="34" s="1"/>
  <c r="BU80" i="34"/>
  <c r="BX80" i="34" s="1"/>
  <c r="BY80" i="34"/>
  <c r="CC80" i="34" s="1"/>
  <c r="CF94" i="34"/>
  <c r="CH94" i="34" s="1"/>
  <c r="BS113" i="34"/>
  <c r="BO113" i="34"/>
  <c r="BO116" i="34" s="1"/>
  <c r="BV80" i="34"/>
  <c r="CE77" i="34"/>
  <c r="CA80" i="34"/>
  <c r="BX94" i="34"/>
  <c r="CN94" i="34"/>
  <c r="BX88" i="34"/>
  <c r="BY88" i="34" s="1"/>
  <c r="BM105" i="34"/>
  <c r="BO100" i="34"/>
  <c r="CC102" i="34"/>
  <c r="BJ103" i="34"/>
  <c r="BJ105" i="34"/>
  <c r="BN105" i="34" s="1"/>
  <c r="CH115" i="34"/>
  <c r="CN113" i="34"/>
  <c r="CN116" i="34" s="1"/>
  <c r="CO113" i="34" s="1"/>
  <c r="CO116" i="34" s="1"/>
  <c r="CP113" i="34" s="1"/>
  <c r="CP116" i="34" s="1"/>
  <c r="CQ113" i="34" s="1"/>
  <c r="CQ116" i="34" s="1"/>
  <c r="CR116" i="34" s="1"/>
  <c r="CR113" i="34"/>
  <c r="CB94" i="34"/>
  <c r="CC94" i="34" s="1"/>
  <c r="CJ94" i="34"/>
  <c r="CM94" i="34" s="1"/>
  <c r="CH103" i="34"/>
  <c r="BX115" i="34"/>
  <c r="CR123" i="34"/>
  <c r="CN123" i="34"/>
  <c r="BK103" i="34"/>
  <c r="BL117" i="34"/>
  <c r="BN117" i="34" s="1"/>
  <c r="CN145" i="34"/>
  <c r="CN148" i="34" s="1"/>
  <c r="CO145" i="34" s="1"/>
  <c r="CO148" i="34" s="1"/>
  <c r="CP145" i="34" s="1"/>
  <c r="CP148" i="34" s="1"/>
  <c r="CQ145" i="34" s="1"/>
  <c r="CR145" i="34"/>
  <c r="BU127" i="34"/>
  <c r="BT127" i="34" s="1"/>
  <c r="BX127" i="34" s="1"/>
  <c r="BS137" i="34"/>
  <c r="BP112" i="34"/>
  <c r="BY122" i="34"/>
  <c r="CH123" i="34"/>
  <c r="CD123" i="34"/>
  <c r="CD125" i="34" s="1"/>
  <c r="BS145" i="34"/>
  <c r="BO145" i="34"/>
  <c r="BO148" i="34" s="1"/>
  <c r="BP145" i="34" s="1"/>
  <c r="BP148" i="34" s="1"/>
  <c r="BQ145" i="34" s="1"/>
  <c r="BQ148" i="34" s="1"/>
  <c r="BR145" i="34" s="1"/>
  <c r="BT101" i="34"/>
  <c r="BT103" i="34" s="1"/>
  <c r="BX103" i="34" s="1"/>
  <c r="CN135" i="34"/>
  <c r="CN138" i="34" s="1"/>
  <c r="CO135" i="34" s="1"/>
  <c r="CO138" i="34" s="1"/>
  <c r="CP135" i="34" s="1"/>
  <c r="CP138" i="34" s="1"/>
  <c r="CQ135" i="34" s="1"/>
  <c r="CQ138" i="34" s="1"/>
  <c r="CR138" i="34" s="1"/>
  <c r="CR135" i="34"/>
  <c r="CC147" i="34"/>
  <c r="BJ139" i="34"/>
  <c r="BN139" i="34" s="1"/>
  <c r="BM149" i="34"/>
  <c r="BL137" i="34"/>
  <c r="BN137" i="34" s="1"/>
  <c r="BO144" i="34"/>
  <c r="BL149" i="34"/>
  <c r="BN149" i="34" s="1"/>
  <c r="BV154" i="34"/>
  <c r="BO134" i="34"/>
  <c r="CN155" i="34"/>
  <c r="CN158" i="34" s="1"/>
  <c r="CO155" i="34" s="1"/>
  <c r="CO158" i="34" s="1"/>
  <c r="CP155" i="34" s="1"/>
  <c r="CP158" i="34" s="1"/>
  <c r="CQ155" i="34" s="1"/>
  <c r="CQ158" i="34" s="1"/>
  <c r="CR158" i="34" s="1"/>
  <c r="CK169" i="34"/>
  <c r="CL164" i="34"/>
  <c r="CK175" i="34"/>
  <c r="CK178" i="34" s="1"/>
  <c r="CL175" i="34" s="1"/>
  <c r="CL178" i="34" s="1"/>
  <c r="CM178" i="34" s="1"/>
  <c r="CJ179" i="34"/>
  <c r="CH156" i="34"/>
  <c r="CH22" i="34" s="1"/>
  <c r="BX157" i="34"/>
  <c r="CR165" i="34"/>
  <c r="CN165" i="34"/>
  <c r="CN168" i="34" s="1"/>
  <c r="CO165" i="34" s="1"/>
  <c r="CO168" i="34" s="1"/>
  <c r="CP165" i="34" s="1"/>
  <c r="CP168" i="34" s="1"/>
  <c r="CQ165" i="34" s="1"/>
  <c r="CQ168" i="34" s="1"/>
  <c r="CR168" i="34" s="1"/>
  <c r="CR185" i="34"/>
  <c r="CN185" i="34"/>
  <c r="CN188" i="34" s="1"/>
  <c r="CO185" i="34" s="1"/>
  <c r="CO188" i="34" s="1"/>
  <c r="CP185" i="34" s="1"/>
  <c r="CP188" i="34" s="1"/>
  <c r="CQ185" i="34" s="1"/>
  <c r="CQ188" i="34" s="1"/>
  <c r="CR188" i="34" s="1"/>
  <c r="BP197" i="34"/>
  <c r="BQ192" i="34"/>
  <c r="CI166" i="34"/>
  <c r="CL174" i="34"/>
  <c r="BM189" i="34"/>
  <c r="BO184" i="34"/>
  <c r="CC187" i="34"/>
  <c r="BX195" i="34"/>
  <c r="BT155" i="34"/>
  <c r="CJ169" i="34"/>
  <c r="CC195" i="34"/>
  <c r="CH195" i="34"/>
  <c r="BY155" i="34"/>
  <c r="BY157" i="34" s="1"/>
  <c r="BS187" i="34"/>
  <c r="CN193" i="34"/>
  <c r="CN196" i="34" s="1"/>
  <c r="CO193" i="34" s="1"/>
  <c r="CO196" i="34" s="1"/>
  <c r="CP193" i="34" s="1"/>
  <c r="CP196" i="34" s="1"/>
  <c r="CQ193" i="34" s="1"/>
  <c r="CQ196" i="34" s="1"/>
  <c r="CR196" i="34" s="1"/>
  <c r="CR193" i="34"/>
  <c r="CC194" i="34"/>
  <c r="BK187" i="34"/>
  <c r="BN187" i="34" s="1"/>
  <c r="BJ189" i="34"/>
  <c r="BN189" i="34" s="1"/>
  <c r="BK195" i="34"/>
  <c r="BN195" i="34" s="1"/>
  <c r="BJ197" i="34"/>
  <c r="BN197" i="34" s="1"/>
  <c r="BL187" i="34"/>
  <c r="BI187" i="34"/>
  <c r="AY187" i="34"/>
  <c r="AY22" i="34" s="1"/>
  <c r="BD195" i="34"/>
  <c r="BL195" i="34"/>
  <c r="AY197" i="34"/>
  <c r="BO197" i="34"/>
  <c r="BI195" i="34"/>
  <c r="BA29" i="37"/>
  <c r="CM5" i="37"/>
  <c r="CA38" i="37"/>
  <c r="CH5" i="37"/>
  <c r="CR5" i="37"/>
  <c r="DB5" i="37"/>
  <c r="BA27" i="37"/>
  <c r="CA5" i="37"/>
  <c r="CC5" i="37" s="1"/>
  <c r="CU5" i="37"/>
  <c r="CW5" i="37" s="1"/>
  <c r="AY9" i="37"/>
  <c r="BJ9" i="37"/>
  <c r="Y11" i="37"/>
  <c r="AO11" i="37"/>
  <c r="BE11" i="37"/>
  <c r="BU11" i="37"/>
  <c r="K14" i="37"/>
  <c r="AA14" i="37"/>
  <c r="CB14" i="37"/>
  <c r="CI81" i="37"/>
  <c r="AQ16" i="37"/>
  <c r="BL16" i="37"/>
  <c r="CB16" i="37"/>
  <c r="CC22" i="37"/>
  <c r="CG25" i="37"/>
  <c r="CG26" i="37"/>
  <c r="U28" i="37"/>
  <c r="CG28" i="37"/>
  <c r="CG29" i="37" s="1"/>
  <c r="BT44" i="37"/>
  <c r="BT45" i="37" s="1"/>
  <c r="BT43" i="37"/>
  <c r="BT42" i="37"/>
  <c r="BT41" i="37"/>
  <c r="BT46" i="37"/>
  <c r="Z11" i="37"/>
  <c r="AK11" i="37"/>
  <c r="AP11" i="37"/>
  <c r="AU11" i="37"/>
  <c r="BA11" i="37"/>
  <c r="BF11" i="37"/>
  <c r="BK11" i="37"/>
  <c r="BQ11" i="37"/>
  <c r="CA11" i="37"/>
  <c r="CJ16" i="37"/>
  <c r="W16" i="37"/>
  <c r="AM16" i="37"/>
  <c r="BC16" i="37"/>
  <c r="E51" i="37"/>
  <c r="E42" i="37"/>
  <c r="M78" i="37"/>
  <c r="M69" i="37"/>
  <c r="AY28" i="37"/>
  <c r="AY29" i="37" s="1"/>
  <c r="BU64" i="37"/>
  <c r="BU62" i="37"/>
  <c r="BU61" i="37"/>
  <c r="BU60" i="37"/>
  <c r="BU59" i="37"/>
  <c r="M23" i="37"/>
  <c r="AC23" i="37"/>
  <c r="AS23" i="37"/>
  <c r="BI23" i="37"/>
  <c r="BY23" i="37"/>
  <c r="M24" i="37"/>
  <c r="AC24" i="37"/>
  <c r="AS24" i="37"/>
  <c r="BI24" i="37"/>
  <c r="BY24" i="37"/>
  <c r="Y25" i="37"/>
  <c r="AO25" i="37"/>
  <c r="BE25" i="37"/>
  <c r="BU25" i="37"/>
  <c r="CK25" i="37"/>
  <c r="Y26" i="37"/>
  <c r="Y27" i="37" s="1"/>
  <c r="AO26" i="37"/>
  <c r="BE26" i="37"/>
  <c r="BU26" i="37"/>
  <c r="CK26" i="37"/>
  <c r="CK27" i="37" s="1"/>
  <c r="Y28" i="37"/>
  <c r="Y29" i="37" s="1"/>
  <c r="BE28" i="37"/>
  <c r="BU28" i="37"/>
  <c r="CK28" i="37"/>
  <c r="CK29" i="37" s="1"/>
  <c r="Y33" i="37"/>
  <c r="AO33" i="37"/>
  <c r="BW37" i="37"/>
  <c r="CF37" i="37"/>
  <c r="CF38" i="37" s="1"/>
  <c r="CF35" i="37"/>
  <c r="CF36" i="37" s="1"/>
  <c r="CF34" i="37"/>
  <c r="CF33" i="37"/>
  <c r="CF32" i="37"/>
  <c r="CK37" i="37"/>
  <c r="CK35" i="37"/>
  <c r="CK36" i="37" s="1"/>
  <c r="CK34" i="37"/>
  <c r="CK33" i="37"/>
  <c r="AU40" i="45" s="1"/>
  <c r="CK32" i="37"/>
  <c r="AY32" i="37"/>
  <c r="AY33" i="37"/>
  <c r="AE35" i="37"/>
  <c r="AE36" i="37" s="1"/>
  <c r="CJ53" i="37"/>
  <c r="CE9" i="37"/>
  <c r="BM56" i="37"/>
  <c r="AQ14" i="37"/>
  <c r="BG14" i="37"/>
  <c r="AE71" i="37"/>
  <c r="AE72" i="37" s="1"/>
  <c r="AE44" i="37"/>
  <c r="AE45" i="37" s="1"/>
  <c r="P16" i="37"/>
  <c r="AF16" i="37"/>
  <c r="BY64" i="37"/>
  <c r="BY62" i="37"/>
  <c r="BY61" i="37"/>
  <c r="BY60" i="37"/>
  <c r="CB44" i="37"/>
  <c r="CB45" i="37" s="1"/>
  <c r="CB43" i="37"/>
  <c r="CB42" i="37"/>
  <c r="CB41" i="37"/>
  <c r="CB46" i="37"/>
  <c r="CB47" i="37" s="1"/>
  <c r="AR9" i="37"/>
  <c r="BB9" i="37"/>
  <c r="BM9" i="37"/>
  <c r="BR9" i="37"/>
  <c r="CC9" i="37"/>
  <c r="CH9" i="37"/>
  <c r="O73" i="37"/>
  <c r="O46" i="37"/>
  <c r="O47" i="37" s="1"/>
  <c r="AE73" i="37"/>
  <c r="AE46" i="37"/>
  <c r="AE47" i="37" s="1"/>
  <c r="AM56" i="37"/>
  <c r="CA74" i="37"/>
  <c r="Q11" i="37"/>
  <c r="AG11" i="37"/>
  <c r="AW11" i="37"/>
  <c r="BM11" i="37"/>
  <c r="AN16" i="37"/>
  <c r="BD16" i="37"/>
  <c r="BT16" i="37"/>
  <c r="BD29" i="37"/>
  <c r="BQ64" i="37"/>
  <c r="BQ65" i="37" s="1"/>
  <c r="BQ62" i="37"/>
  <c r="BQ61" i="37"/>
  <c r="BQ60" i="37"/>
  <c r="BQ59" i="37"/>
  <c r="Q23" i="37"/>
  <c r="AG23" i="37"/>
  <c r="AW23" i="37"/>
  <c r="BM23" i="37"/>
  <c r="Q24" i="37"/>
  <c r="AG24" i="37"/>
  <c r="AW24" i="37"/>
  <c r="BM24" i="37"/>
  <c r="M25" i="37"/>
  <c r="AC25" i="37"/>
  <c r="AS25" i="37"/>
  <c r="BI25" i="37"/>
  <c r="BY25" i="37"/>
  <c r="M26" i="37"/>
  <c r="AC26" i="37"/>
  <c r="AS26" i="37"/>
  <c r="BI26" i="37"/>
  <c r="BY26" i="37"/>
  <c r="M28" i="37"/>
  <c r="AC28" i="37"/>
  <c r="AC29" i="37" s="1"/>
  <c r="AS28" i="37"/>
  <c r="BY28" i="37"/>
  <c r="BS33" i="37"/>
  <c r="BS37" i="37"/>
  <c r="BS35" i="37"/>
  <c r="BS34" i="37"/>
  <c r="BT37" i="37"/>
  <c r="BT35" i="37"/>
  <c r="BT34" i="37"/>
  <c r="BX31" i="37"/>
  <c r="CB37" i="37"/>
  <c r="CB38" i="37" s="1"/>
  <c r="CB35" i="37"/>
  <c r="CB34" i="37"/>
  <c r="CB32" i="37"/>
  <c r="AI32" i="37"/>
  <c r="M33" i="37"/>
  <c r="CA34" i="37"/>
  <c r="AU35" i="37"/>
  <c r="AU44" i="37"/>
  <c r="AU45" i="37" s="1"/>
  <c r="O71" i="37"/>
  <c r="O44" i="37"/>
  <c r="BK71" i="37"/>
  <c r="BK72" i="37" s="1"/>
  <c r="BK44" i="37"/>
  <c r="BP45" i="37" s="1"/>
  <c r="CA71" i="37"/>
  <c r="CA44" i="37"/>
  <c r="CI16" i="37"/>
  <c r="AT29" i="37"/>
  <c r="CG64" i="37"/>
  <c r="CG61" i="37"/>
  <c r="CG62" i="37"/>
  <c r="CG60" i="37"/>
  <c r="BX40" i="37"/>
  <c r="P11" i="37"/>
  <c r="T11" i="37"/>
  <c r="X11" i="37"/>
  <c r="AB11" i="37"/>
  <c r="AF11" i="37"/>
  <c r="AJ11" i="37"/>
  <c r="AN11" i="37"/>
  <c r="AR11" i="37"/>
  <c r="AV11" i="37"/>
  <c r="AZ11" i="37"/>
  <c r="BD11" i="37"/>
  <c r="BH11" i="37"/>
  <c r="BL11" i="37"/>
  <c r="BP11" i="37"/>
  <c r="BT11" i="37"/>
  <c r="BX11" i="37"/>
  <c r="CB11" i="37"/>
  <c r="CF11" i="37"/>
  <c r="CJ11" i="37"/>
  <c r="W11" i="37"/>
  <c r="AM11" i="37"/>
  <c r="BC11" i="37"/>
  <c r="CI11" i="37"/>
  <c r="O14" i="37"/>
  <c r="AE14" i="37"/>
  <c r="AU14" i="37"/>
  <c r="BK14" i="37"/>
  <c r="CA14" i="37"/>
  <c r="O16" i="37"/>
  <c r="T16" i="37"/>
  <c r="AE16" i="37"/>
  <c r="AJ16" i="37"/>
  <c r="AU16" i="37"/>
  <c r="AZ16" i="37"/>
  <c r="BK16" i="37"/>
  <c r="BP16" i="37"/>
  <c r="CA16" i="37"/>
  <c r="CF16" i="37"/>
  <c r="AU70" i="37"/>
  <c r="AU43" i="37"/>
  <c r="BK70" i="37"/>
  <c r="BK43" i="37"/>
  <c r="BO79" i="37"/>
  <c r="BO34" i="37"/>
  <c r="BW79" i="37"/>
  <c r="BW43" i="37"/>
  <c r="E58" i="37"/>
  <c r="E28" i="37"/>
  <c r="E26" i="37"/>
  <c r="E25" i="37"/>
  <c r="E24" i="37"/>
  <c r="I58" i="37"/>
  <c r="I28" i="37"/>
  <c r="I26" i="37"/>
  <c r="I25" i="37"/>
  <c r="M64" i="37"/>
  <c r="M62" i="37"/>
  <c r="M61" i="37"/>
  <c r="M60" i="37"/>
  <c r="Q64" i="37"/>
  <c r="Q61" i="37"/>
  <c r="Q60" i="37"/>
  <c r="Q59" i="37"/>
  <c r="Q62" i="37"/>
  <c r="U64" i="37"/>
  <c r="U65" i="37" s="1"/>
  <c r="U62" i="37"/>
  <c r="U61" i="37"/>
  <c r="U60" i="37"/>
  <c r="U59" i="37"/>
  <c r="Y64" i="37"/>
  <c r="Y62" i="37"/>
  <c r="Y61" i="37"/>
  <c r="Y60" i="37"/>
  <c r="AC64" i="37"/>
  <c r="AC62" i="37"/>
  <c r="AC61" i="37"/>
  <c r="AC60" i="37"/>
  <c r="AC59" i="37"/>
  <c r="AG64" i="37"/>
  <c r="AG60" i="37"/>
  <c r="AG59" i="37"/>
  <c r="AG61" i="37"/>
  <c r="AG62" i="37"/>
  <c r="AK64" i="37"/>
  <c r="AK62" i="37"/>
  <c r="AK61" i="37"/>
  <c r="AK60" i="37"/>
  <c r="AK59" i="37"/>
  <c r="AS64" i="37"/>
  <c r="AS62" i="37"/>
  <c r="AS61" i="37"/>
  <c r="AS60" i="37"/>
  <c r="AS59" i="37"/>
  <c r="AW64" i="37"/>
  <c r="AW60" i="37"/>
  <c r="AW59" i="37"/>
  <c r="AW61" i="37"/>
  <c r="BA64" i="37"/>
  <c r="BA62" i="37"/>
  <c r="BA63" i="37" s="1"/>
  <c r="BA61" i="37"/>
  <c r="BA60" i="37"/>
  <c r="BA59" i="37"/>
  <c r="BE64" i="37"/>
  <c r="BE65" i="37" s="1"/>
  <c r="BE62" i="37"/>
  <c r="BE61" i="37"/>
  <c r="BE60" i="37"/>
  <c r="BE59" i="37"/>
  <c r="BM64" i="37"/>
  <c r="BM60" i="37"/>
  <c r="BM59" i="37"/>
  <c r="BM62" i="37"/>
  <c r="BM61" i="37"/>
  <c r="CF61" i="37"/>
  <c r="CF64" i="37"/>
  <c r="CF62" i="37"/>
  <c r="CF59" i="37"/>
  <c r="CF60" i="37"/>
  <c r="CK64" i="37"/>
  <c r="CK65" i="37" s="1"/>
  <c r="CK62" i="37"/>
  <c r="CK63" i="37" s="1"/>
  <c r="CK61" i="37"/>
  <c r="CK60" i="37"/>
  <c r="CK59" i="37"/>
  <c r="U23" i="37"/>
  <c r="AK23" i="37"/>
  <c r="BA23" i="37"/>
  <c r="BQ23" i="37"/>
  <c r="CG23" i="37"/>
  <c r="U24" i="37"/>
  <c r="AK24" i="37"/>
  <c r="BA24" i="37"/>
  <c r="BQ24" i="37"/>
  <c r="CG24" i="37"/>
  <c r="Q25" i="37"/>
  <c r="AG25" i="37"/>
  <c r="AW25" i="37"/>
  <c r="BM25" i="37"/>
  <c r="Q26" i="37"/>
  <c r="AG26" i="37"/>
  <c r="AG27" i="37" s="1"/>
  <c r="AW26" i="37"/>
  <c r="BM26" i="37"/>
  <c r="Q28" i="37"/>
  <c r="AG28" i="37"/>
  <c r="AG29" i="37" s="1"/>
  <c r="AW28" i="37"/>
  <c r="BM28" i="37"/>
  <c r="I24" i="37"/>
  <c r="G33" i="37"/>
  <c r="G34" i="37"/>
  <c r="G35" i="37"/>
  <c r="G37" i="37"/>
  <c r="K37" i="37"/>
  <c r="K35" i="37"/>
  <c r="K36" i="37" s="1"/>
  <c r="K34" i="37"/>
  <c r="K33" i="37"/>
  <c r="K32" i="37"/>
  <c r="O34" i="37"/>
  <c r="O33" i="37"/>
  <c r="O32" i="37"/>
  <c r="S34" i="37"/>
  <c r="S37" i="37"/>
  <c r="S35" i="37"/>
  <c r="W33" i="37"/>
  <c r="W32" i="37"/>
  <c r="W37" i="37"/>
  <c r="W35" i="37"/>
  <c r="W34" i="37"/>
  <c r="AA37" i="37"/>
  <c r="AA35" i="37"/>
  <c r="AA34" i="37"/>
  <c r="AA33" i="37"/>
  <c r="AA32" i="37"/>
  <c r="AE34" i="37"/>
  <c r="AE33" i="37"/>
  <c r="AE32" i="37"/>
  <c r="AI34" i="37"/>
  <c r="AI37" i="37"/>
  <c r="AI35" i="37"/>
  <c r="AM33" i="37"/>
  <c r="AM32" i="37"/>
  <c r="AM37" i="37"/>
  <c r="AM35" i="37"/>
  <c r="AM34" i="37"/>
  <c r="AQ37" i="37"/>
  <c r="AQ35" i="37"/>
  <c r="AQ34" i="37"/>
  <c r="AQ33" i="37"/>
  <c r="AQ32" i="37"/>
  <c r="AU34" i="37"/>
  <c r="AU33" i="37"/>
  <c r="AU32" i="37"/>
  <c r="AY34" i="37"/>
  <c r="AY37" i="37"/>
  <c r="AY35" i="37"/>
  <c r="BC33" i="37"/>
  <c r="BC32" i="37"/>
  <c r="BC37" i="37"/>
  <c r="BC35" i="37"/>
  <c r="BC34" i="37"/>
  <c r="BG37" i="37"/>
  <c r="BG35" i="37"/>
  <c r="BG34" i="37"/>
  <c r="BG32" i="37"/>
  <c r="BG33" i="37"/>
  <c r="BK33" i="37"/>
  <c r="BK32" i="37"/>
  <c r="BP37" i="37"/>
  <c r="BP35" i="37"/>
  <c r="BP36" i="37" s="1"/>
  <c r="BP34" i="37"/>
  <c r="BP33" i="37"/>
  <c r="BP32" i="37"/>
  <c r="S32" i="37"/>
  <c r="AN32" i="37"/>
  <c r="BY32" i="37"/>
  <c r="S33" i="37"/>
  <c r="BK35" i="37"/>
  <c r="BK37" i="37"/>
  <c r="CA43" i="37"/>
  <c r="AU46" i="37"/>
  <c r="AU47" i="37" s="1"/>
  <c r="BY55" i="37"/>
  <c r="CI53" i="37"/>
  <c r="AB56" i="37"/>
  <c r="AW62" i="37"/>
  <c r="F58" i="37"/>
  <c r="F24" i="37"/>
  <c r="J58" i="37"/>
  <c r="J24" i="37"/>
  <c r="N64" i="37"/>
  <c r="N62" i="37"/>
  <c r="N61" i="37"/>
  <c r="N60" i="37"/>
  <c r="N59" i="37"/>
  <c r="R64" i="37"/>
  <c r="R65" i="37" s="1"/>
  <c r="R61" i="37"/>
  <c r="R60" i="37"/>
  <c r="R59" i="37"/>
  <c r="R62" i="37"/>
  <c r="R63" i="37" s="1"/>
  <c r="V64" i="37"/>
  <c r="V65" i="37" s="1"/>
  <c r="V61" i="37"/>
  <c r="V60" i="37"/>
  <c r="V59" i="37"/>
  <c r="V62" i="37"/>
  <c r="V63" i="37" s="1"/>
  <c r="Z64" i="37"/>
  <c r="Z65" i="37" s="1"/>
  <c r="Z62" i="37"/>
  <c r="Z63" i="37" s="1"/>
  <c r="Z61" i="37"/>
  <c r="Z60" i="37"/>
  <c r="Z59" i="37"/>
  <c r="AD64" i="37"/>
  <c r="AD65" i="37" s="1"/>
  <c r="AD62" i="37"/>
  <c r="AD63" i="37" s="1"/>
  <c r="AD61" i="37"/>
  <c r="AD60" i="37"/>
  <c r="AD59" i="37"/>
  <c r="AH64" i="37"/>
  <c r="AH65" i="37" s="1"/>
  <c r="AH60" i="37"/>
  <c r="AH59" i="37"/>
  <c r="AH62" i="37"/>
  <c r="AH63" i="37" s="1"/>
  <c r="AH61" i="37"/>
  <c r="AL64" i="37"/>
  <c r="AL65" i="37" s="1"/>
  <c r="AL60" i="37"/>
  <c r="AL59" i="37"/>
  <c r="AL62" i="37"/>
  <c r="AL63" i="37" s="1"/>
  <c r="AL61" i="37"/>
  <c r="AP64" i="37"/>
  <c r="AP65" i="37" s="1"/>
  <c r="AP62" i="37"/>
  <c r="AP63" i="37" s="1"/>
  <c r="AP61" i="37"/>
  <c r="AP60" i="37"/>
  <c r="AP59" i="37"/>
  <c r="AX64" i="37"/>
  <c r="AX65" i="37" s="1"/>
  <c r="AX60" i="37"/>
  <c r="AX59" i="37"/>
  <c r="AX62" i="37"/>
  <c r="AX63" i="37" s="1"/>
  <c r="AX61" i="37"/>
  <c r="BB64" i="37"/>
  <c r="BB65" i="37" s="1"/>
  <c r="BB60" i="37"/>
  <c r="BB59" i="37"/>
  <c r="BB61" i="37"/>
  <c r="BB62" i="37"/>
  <c r="BF64" i="37"/>
  <c r="BF65" i="37" s="1"/>
  <c r="BF62" i="37"/>
  <c r="BF61" i="37"/>
  <c r="BF60" i="37"/>
  <c r="BF59" i="37"/>
  <c r="BJ64" i="37"/>
  <c r="BJ62" i="37"/>
  <c r="BJ63" i="37" s="1"/>
  <c r="BJ61" i="37"/>
  <c r="BJ60" i="37"/>
  <c r="BJ59" i="37"/>
  <c r="BN22" i="37"/>
  <c r="BR64" i="37"/>
  <c r="BR65" i="37" s="1"/>
  <c r="BR60" i="37"/>
  <c r="BR59" i="37"/>
  <c r="BR61" i="37"/>
  <c r="BR62" i="37"/>
  <c r="BR63" i="37" s="1"/>
  <c r="BV64" i="37"/>
  <c r="BV62" i="37"/>
  <c r="BV63" i="37" s="1"/>
  <c r="BV61" i="37"/>
  <c r="BV60" i="37"/>
  <c r="BV59" i="37"/>
  <c r="BZ64" i="37"/>
  <c r="BZ62" i="37"/>
  <c r="BZ63" i="37" s="1"/>
  <c r="BZ61" i="37"/>
  <c r="BZ60" i="37"/>
  <c r="BZ59" i="37"/>
  <c r="CD64" i="37"/>
  <c r="CD65" i="37" s="1"/>
  <c r="CD62" i="37"/>
  <c r="CD63" i="37" s="1"/>
  <c r="CD60" i="37"/>
  <c r="CD59" i="37"/>
  <c r="CH58" i="37"/>
  <c r="CD61" i="37"/>
  <c r="CH22" i="37"/>
  <c r="CL64" i="37"/>
  <c r="CL65" i="37" s="1"/>
  <c r="CL62" i="37"/>
  <c r="CL61" i="37"/>
  <c r="CL60" i="37"/>
  <c r="CL59" i="37"/>
  <c r="N23" i="37"/>
  <c r="R23" i="37"/>
  <c r="V23" i="37"/>
  <c r="Z23" i="37"/>
  <c r="AD23" i="37"/>
  <c r="AH23" i="37"/>
  <c r="AL23" i="37"/>
  <c r="AP23" i="37"/>
  <c r="AT23" i="37"/>
  <c r="AX23" i="37"/>
  <c r="BB23" i="37"/>
  <c r="BF23" i="37"/>
  <c r="BJ23" i="37"/>
  <c r="BR23" i="37"/>
  <c r="BV23" i="37"/>
  <c r="BZ23" i="37"/>
  <c r="CD23" i="37"/>
  <c r="CL23" i="37"/>
  <c r="N24" i="37"/>
  <c r="R24" i="37"/>
  <c r="V24" i="37"/>
  <c r="Z24" i="37"/>
  <c r="AD24" i="37"/>
  <c r="AH24" i="37"/>
  <c r="AL24" i="37"/>
  <c r="AP24" i="37"/>
  <c r="AT24" i="37"/>
  <c r="AX24" i="37"/>
  <c r="BB24" i="37"/>
  <c r="BF24" i="37"/>
  <c r="BJ24" i="37"/>
  <c r="BR24" i="37"/>
  <c r="BV24" i="37"/>
  <c r="BZ24" i="37"/>
  <c r="CD24" i="37"/>
  <c r="CL24" i="37"/>
  <c r="AV35" i="45" s="1"/>
  <c r="N25" i="37"/>
  <c r="R25" i="37"/>
  <c r="V25" i="37"/>
  <c r="Z25" i="37"/>
  <c r="AD25" i="37"/>
  <c r="AH25" i="37"/>
  <c r="AL25" i="37"/>
  <c r="AP25" i="37"/>
  <c r="AT25" i="37"/>
  <c r="AX25" i="37"/>
  <c r="BB25" i="37"/>
  <c r="BF25" i="37"/>
  <c r="BJ25" i="37"/>
  <c r="BR25" i="37"/>
  <c r="BV25" i="37"/>
  <c r="BZ25" i="37"/>
  <c r="CD25" i="37"/>
  <c r="CL25" i="37"/>
  <c r="N26" i="37"/>
  <c r="R26" i="37"/>
  <c r="R27" i="37" s="1"/>
  <c r="V26" i="37"/>
  <c r="V27" i="37" s="1"/>
  <c r="Z26" i="37"/>
  <c r="Z27" i="37" s="1"/>
  <c r="AD26" i="37"/>
  <c r="AH26" i="37"/>
  <c r="AH27" i="37" s="1"/>
  <c r="AL26" i="37"/>
  <c r="AP26" i="37"/>
  <c r="AP27" i="37" s="1"/>
  <c r="AT26" i="37"/>
  <c r="AT27" i="37" s="1"/>
  <c r="AX26" i="37"/>
  <c r="BB26" i="37"/>
  <c r="BB27" i="37" s="1"/>
  <c r="BF26" i="37"/>
  <c r="BF27" i="37" s="1"/>
  <c r="BJ26" i="37"/>
  <c r="BJ27" i="37" s="1"/>
  <c r="BR26" i="37"/>
  <c r="BR27" i="37" s="1"/>
  <c r="BV26" i="37"/>
  <c r="BV27" i="37" s="1"/>
  <c r="BZ26" i="37"/>
  <c r="BZ27" i="37" s="1"/>
  <c r="CD26" i="37"/>
  <c r="CD27" i="37" s="1"/>
  <c r="CL26" i="37"/>
  <c r="CL27" i="37" s="1"/>
  <c r="N28" i="37"/>
  <c r="N29" i="37" s="1"/>
  <c r="R28" i="37"/>
  <c r="R29" i="37" s="1"/>
  <c r="V28" i="37"/>
  <c r="V29" i="37" s="1"/>
  <c r="Z28" i="37"/>
  <c r="Z29" i="37" s="1"/>
  <c r="AD28" i="37"/>
  <c r="AD29" i="37" s="1"/>
  <c r="AH28" i="37"/>
  <c r="AH29" i="37" s="1"/>
  <c r="AL28" i="37"/>
  <c r="AP28" i="37"/>
  <c r="AP29" i="37" s="1"/>
  <c r="AX28" i="37"/>
  <c r="AX29" i="37" s="1"/>
  <c r="BB28" i="37"/>
  <c r="BB29" i="37" s="1"/>
  <c r="BF28" i="37"/>
  <c r="BF29" i="37" s="1"/>
  <c r="BJ28" i="37"/>
  <c r="BJ29" i="37" s="1"/>
  <c r="BR28" i="37"/>
  <c r="BR29" i="37" s="1"/>
  <c r="BV28" i="37"/>
  <c r="BV29" i="37" s="1"/>
  <c r="BZ28" i="37"/>
  <c r="BZ29" i="37" s="1"/>
  <c r="CD28" i="37"/>
  <c r="CD29" i="37" s="1"/>
  <c r="CL28" i="37"/>
  <c r="F28" i="37"/>
  <c r="D34" i="37"/>
  <c r="D35" i="37"/>
  <c r="D37" i="37"/>
  <c r="H34" i="37"/>
  <c r="H35" i="37"/>
  <c r="H37" i="37"/>
  <c r="L37" i="37"/>
  <c r="L38" i="37" s="1"/>
  <c r="L35" i="37"/>
  <c r="L36" i="37" s="1"/>
  <c r="P37" i="37"/>
  <c r="P35" i="37"/>
  <c r="P36" i="37" s="1"/>
  <c r="T37" i="37"/>
  <c r="T38" i="37" s="1"/>
  <c r="T35" i="37"/>
  <c r="T36" i="37" s="1"/>
  <c r="X37" i="37"/>
  <c r="X38" i="37" s="1"/>
  <c r="X35" i="37"/>
  <c r="X36" i="37" s="1"/>
  <c r="AB37" i="37"/>
  <c r="AB38" i="37" s="1"/>
  <c r="AB35" i="37"/>
  <c r="AB36" i="37" s="1"/>
  <c r="AF37" i="37"/>
  <c r="AF35" i="37"/>
  <c r="AF36" i="37" s="1"/>
  <c r="AJ37" i="37"/>
  <c r="AJ38" i="37" s="1"/>
  <c r="AJ35" i="37"/>
  <c r="AJ36" i="37" s="1"/>
  <c r="AN37" i="37"/>
  <c r="AN38" i="37" s="1"/>
  <c r="AN35" i="37"/>
  <c r="AN36" i="37" s="1"/>
  <c r="AR37" i="37"/>
  <c r="AR38" i="37" s="1"/>
  <c r="AR35" i="37"/>
  <c r="AR36" i="37" s="1"/>
  <c r="AV37" i="37"/>
  <c r="AV35" i="37"/>
  <c r="AV36" i="37" s="1"/>
  <c r="AZ37" i="37"/>
  <c r="AZ38" i="37" s="1"/>
  <c r="AZ35" i="37"/>
  <c r="AZ36" i="37" s="1"/>
  <c r="BD37" i="37"/>
  <c r="BD38" i="37" s="1"/>
  <c r="BD35" i="37"/>
  <c r="BD36" i="37" s="1"/>
  <c r="BH37" i="37"/>
  <c r="BH38" i="37" s="1"/>
  <c r="BH35" i="37"/>
  <c r="BH36" i="37" s="1"/>
  <c r="BH34" i="37"/>
  <c r="BL37" i="37"/>
  <c r="BL35" i="37"/>
  <c r="BL36" i="37" s="1"/>
  <c r="BL34" i="37"/>
  <c r="BQ37" i="37"/>
  <c r="BQ35" i="37"/>
  <c r="BQ36" i="37" s="1"/>
  <c r="BQ34" i="37"/>
  <c r="BQ33" i="37"/>
  <c r="BU37" i="37"/>
  <c r="BU38" i="37" s="1"/>
  <c r="BU35" i="37"/>
  <c r="BU34" i="37"/>
  <c r="BU33" i="37"/>
  <c r="BY37" i="37"/>
  <c r="BY35" i="37"/>
  <c r="BY36" i="37" s="1"/>
  <c r="BY34" i="37"/>
  <c r="BY33" i="37"/>
  <c r="CC31" i="37"/>
  <c r="CG37" i="37"/>
  <c r="CG35" i="37"/>
  <c r="CG36" i="37" s="1"/>
  <c r="CG34" i="37"/>
  <c r="CG33" i="37"/>
  <c r="CL37" i="37"/>
  <c r="CL38" i="37" s="1"/>
  <c r="T32" i="37"/>
  <c r="Y32" i="37"/>
  <c r="AJ32" i="37"/>
  <c r="AO32" i="37"/>
  <c r="AZ32" i="37"/>
  <c r="BU32" i="37"/>
  <c r="T33" i="37"/>
  <c r="AJ33" i="37"/>
  <c r="AZ33" i="37"/>
  <c r="BO33" i="37"/>
  <c r="CE33" i="37"/>
  <c r="BO35" i="37"/>
  <c r="CE35" i="37"/>
  <c r="BO37" i="37"/>
  <c r="BO38" i="37" s="1"/>
  <c r="G46" i="37"/>
  <c r="K46" i="37"/>
  <c r="S46" i="37"/>
  <c r="S47" i="37" s="1"/>
  <c r="W46" i="37"/>
  <c r="W47" i="37" s="1"/>
  <c r="AA46" i="37"/>
  <c r="AI46" i="37"/>
  <c r="AI47" i="37" s="1"/>
  <c r="AM46" i="37"/>
  <c r="AQ46" i="37"/>
  <c r="AQ47" i="37" s="1"/>
  <c r="AY46" i="37"/>
  <c r="AY47" i="37" s="1"/>
  <c r="BC46" i="37"/>
  <c r="BG46" i="37"/>
  <c r="BP46" i="37"/>
  <c r="BP47" i="37" s="1"/>
  <c r="BP41" i="37"/>
  <c r="CI44" i="37"/>
  <c r="S42" i="37"/>
  <c r="AI42" i="37"/>
  <c r="AZ42" i="37"/>
  <c r="AZ44" i="37"/>
  <c r="BV44" i="37"/>
  <c r="BV45" i="37" s="1"/>
  <c r="AZ46" i="37"/>
  <c r="G55" i="37"/>
  <c r="K55" i="37"/>
  <c r="O53" i="37"/>
  <c r="O54" i="37" s="1"/>
  <c r="S53" i="37"/>
  <c r="W53" i="37"/>
  <c r="AA55" i="37"/>
  <c r="AE53" i="37"/>
  <c r="AE54" i="37" s="1"/>
  <c r="AI53" i="37"/>
  <c r="AM53" i="37"/>
  <c r="AQ55" i="37"/>
  <c r="AU53" i="37"/>
  <c r="AU54" i="37" s="1"/>
  <c r="AY53" i="37"/>
  <c r="BD54" i="37" s="1"/>
  <c r="BC53" i="37"/>
  <c r="BG55" i="37"/>
  <c r="BK53" i="37"/>
  <c r="BK54" i="37" s="1"/>
  <c r="BP55" i="37"/>
  <c r="BP53" i="37"/>
  <c r="BP52" i="37"/>
  <c r="BP51" i="37"/>
  <c r="BP50" i="37"/>
  <c r="BU55" i="37"/>
  <c r="BU56" i="37" s="1"/>
  <c r="G53" i="37"/>
  <c r="BG69" i="37"/>
  <c r="Q30" i="45" s="1"/>
  <c r="BG42" i="37"/>
  <c r="BW69" i="37"/>
  <c r="AG30" i="45" s="1"/>
  <c r="BW42" i="37"/>
  <c r="G58" i="37"/>
  <c r="G25" i="37"/>
  <c r="K58" i="37"/>
  <c r="O58" i="37"/>
  <c r="S58" i="37"/>
  <c r="W58" i="37"/>
  <c r="AA58" i="37"/>
  <c r="AE58" i="37"/>
  <c r="AI58" i="37"/>
  <c r="AM58" i="37"/>
  <c r="AQ58" i="37"/>
  <c r="AU58" i="37"/>
  <c r="BC58" i="37"/>
  <c r="BG58" i="37"/>
  <c r="BK58" i="37"/>
  <c r="BO64" i="37"/>
  <c r="BO65" i="37" s="1"/>
  <c r="BO62" i="37"/>
  <c r="BO63" i="37" s="1"/>
  <c r="BO61" i="37"/>
  <c r="BO60" i="37"/>
  <c r="BO59" i="37"/>
  <c r="BS22" i="37"/>
  <c r="BW64" i="37"/>
  <c r="BW62" i="37"/>
  <c r="BW63" i="37" s="1"/>
  <c r="BW61" i="37"/>
  <c r="BW60" i="37"/>
  <c r="BW59" i="37"/>
  <c r="CA64" i="37"/>
  <c r="CA65" i="37" s="1"/>
  <c r="CA62" i="37"/>
  <c r="CA63" i="37" s="1"/>
  <c r="CA61" i="37"/>
  <c r="CA60" i="37"/>
  <c r="CA59" i="37"/>
  <c r="CE64" i="37"/>
  <c r="CE65" i="37" s="1"/>
  <c r="CE62" i="37"/>
  <c r="CE63" i="37" s="1"/>
  <c r="CE61" i="37"/>
  <c r="CE60" i="37"/>
  <c r="CE59" i="37"/>
  <c r="CI64" i="37"/>
  <c r="CI65" i="37" s="1"/>
  <c r="CI62" i="37"/>
  <c r="CI61" i="37"/>
  <c r="CI60" i="37"/>
  <c r="CI59" i="37"/>
  <c r="CM58" i="37"/>
  <c r="CM22" i="37"/>
  <c r="K23" i="37"/>
  <c r="O23" i="37"/>
  <c r="S23" i="37"/>
  <c r="W23" i="37"/>
  <c r="AA23" i="37"/>
  <c r="AE23" i="37"/>
  <c r="AI23" i="37"/>
  <c r="AM23" i="37"/>
  <c r="AQ23" i="37"/>
  <c r="AU23" i="37"/>
  <c r="AY23" i="37"/>
  <c r="BC23" i="37"/>
  <c r="BG23" i="37"/>
  <c r="BK23" i="37"/>
  <c r="BO23" i="37"/>
  <c r="BW23" i="37"/>
  <c r="CA23" i="37"/>
  <c r="CE23" i="37"/>
  <c r="CI23" i="37"/>
  <c r="K24" i="37"/>
  <c r="O24" i="37"/>
  <c r="S24" i="37"/>
  <c r="W24" i="37"/>
  <c r="AA24" i="37"/>
  <c r="AE24" i="37"/>
  <c r="AI24" i="37"/>
  <c r="AM24" i="37"/>
  <c r="AQ24" i="37"/>
  <c r="AU24" i="37"/>
  <c r="AY24" i="37"/>
  <c r="BC24" i="37"/>
  <c r="BG24" i="37"/>
  <c r="BK24" i="37"/>
  <c r="BO24" i="37"/>
  <c r="BW24" i="37"/>
  <c r="CA24" i="37"/>
  <c r="CE24" i="37"/>
  <c r="CI24" i="37"/>
  <c r="AS35" i="45" s="1"/>
  <c r="K25" i="37"/>
  <c r="O25" i="37"/>
  <c r="S25" i="37"/>
  <c r="W25" i="37"/>
  <c r="AA25" i="37"/>
  <c r="AE25" i="37"/>
  <c r="AI25" i="37"/>
  <c r="AM25" i="37"/>
  <c r="AQ25" i="37"/>
  <c r="AU25" i="37"/>
  <c r="AY25" i="37"/>
  <c r="BC25" i="37"/>
  <c r="BG25" i="37"/>
  <c r="BK25" i="37"/>
  <c r="BO25" i="37"/>
  <c r="BW25" i="37"/>
  <c r="CA25" i="37"/>
  <c r="CE25" i="37"/>
  <c r="CI25" i="37"/>
  <c r="K26" i="37"/>
  <c r="K27" i="37" s="1"/>
  <c r="O26" i="37"/>
  <c r="S26" i="37"/>
  <c r="S27" i="37" s="1"/>
  <c r="W26" i="37"/>
  <c r="W27" i="37" s="1"/>
  <c r="AA26" i="37"/>
  <c r="AA27" i="37" s="1"/>
  <c r="AE26" i="37"/>
  <c r="AI26" i="37"/>
  <c r="AI27" i="37" s="1"/>
  <c r="AM26" i="37"/>
  <c r="AM27" i="37" s="1"/>
  <c r="AQ26" i="37"/>
  <c r="AQ27" i="37" s="1"/>
  <c r="AU26" i="37"/>
  <c r="AY26" i="37"/>
  <c r="AY27" i="37" s="1"/>
  <c r="BC26" i="37"/>
  <c r="BC27" i="37" s="1"/>
  <c r="BG26" i="37"/>
  <c r="BG27" i="37" s="1"/>
  <c r="BK26" i="37"/>
  <c r="BO26" i="37"/>
  <c r="BO27" i="37" s="1"/>
  <c r="BW26" i="37"/>
  <c r="BW27" i="37" s="1"/>
  <c r="CA26" i="37"/>
  <c r="CA27" i="37" s="1"/>
  <c r="CE26" i="37"/>
  <c r="CI26" i="37"/>
  <c r="CI27" i="37" s="1"/>
  <c r="K28" i="37"/>
  <c r="O28" i="37"/>
  <c r="O29" i="37" s="1"/>
  <c r="S28" i="37"/>
  <c r="S29" i="37" s="1"/>
  <c r="W28" i="37"/>
  <c r="W29" i="37" s="1"/>
  <c r="AA28" i="37"/>
  <c r="AA29" i="37" s="1"/>
  <c r="AE28" i="37"/>
  <c r="AE29" i="37" s="1"/>
  <c r="AI28" i="37"/>
  <c r="AI29" i="37" s="1"/>
  <c r="AM28" i="37"/>
  <c r="AM29" i="37" s="1"/>
  <c r="AQ28" i="37"/>
  <c r="AQ29" i="37" s="1"/>
  <c r="AU28" i="37"/>
  <c r="AU29" i="37" s="1"/>
  <c r="BC28" i="37"/>
  <c r="BC29" i="37" s="1"/>
  <c r="BG28" i="37"/>
  <c r="BG29" i="37" s="1"/>
  <c r="BK28" i="37"/>
  <c r="BK29" i="37" s="1"/>
  <c r="BO28" i="37"/>
  <c r="BO29" i="37" s="1"/>
  <c r="BW28" i="37"/>
  <c r="BW29" i="37" s="1"/>
  <c r="CA28" i="37"/>
  <c r="CA29" i="37" s="1"/>
  <c r="CE28" i="37"/>
  <c r="CE29" i="37" s="1"/>
  <c r="CI28" i="37"/>
  <c r="CI29" i="37" s="1"/>
  <c r="G24" i="37"/>
  <c r="J25" i="37"/>
  <c r="G28" i="37"/>
  <c r="E35" i="37"/>
  <c r="E37" i="37"/>
  <c r="E33" i="37"/>
  <c r="I35" i="37"/>
  <c r="I37" i="37"/>
  <c r="I33" i="37"/>
  <c r="M37" i="37"/>
  <c r="M38" i="37" s="1"/>
  <c r="M35" i="37"/>
  <c r="M36" i="37" s="1"/>
  <c r="M34" i="37"/>
  <c r="Q37" i="37"/>
  <c r="Q38" i="37" s="1"/>
  <c r="Q35" i="37"/>
  <c r="Q36" i="37" s="1"/>
  <c r="Q34" i="37"/>
  <c r="U37" i="37"/>
  <c r="U38" i="37" s="1"/>
  <c r="U35" i="37"/>
  <c r="U36" i="37" s="1"/>
  <c r="U34" i="37"/>
  <c r="Y37" i="37"/>
  <c r="Y38" i="37" s="1"/>
  <c r="Y35" i="37"/>
  <c r="Y34" i="37"/>
  <c r="AC37" i="37"/>
  <c r="AC38" i="37" s="1"/>
  <c r="AC35" i="37"/>
  <c r="AC36" i="37" s="1"/>
  <c r="AC34" i="37"/>
  <c r="AG37" i="37"/>
  <c r="AG38" i="37" s="1"/>
  <c r="AG35" i="37"/>
  <c r="AG36" i="37" s="1"/>
  <c r="AG34" i="37"/>
  <c r="AK37" i="37"/>
  <c r="AK38" i="37" s="1"/>
  <c r="AK35" i="37"/>
  <c r="AK36" i="37" s="1"/>
  <c r="AK34" i="37"/>
  <c r="AO37" i="37"/>
  <c r="AO38" i="37" s="1"/>
  <c r="AO35" i="37"/>
  <c r="AO34" i="37"/>
  <c r="AS37" i="37"/>
  <c r="AS38" i="37" s="1"/>
  <c r="AS35" i="37"/>
  <c r="AS36" i="37" s="1"/>
  <c r="AS34" i="37"/>
  <c r="AW37" i="37"/>
  <c r="AW38" i="37" s="1"/>
  <c r="AW35" i="37"/>
  <c r="AW36" i="37" s="1"/>
  <c r="AW34" i="37"/>
  <c r="BA37" i="37"/>
  <c r="BA38" i="37" s="1"/>
  <c r="BA35" i="37"/>
  <c r="BA36" i="37" s="1"/>
  <c r="BA34" i="37"/>
  <c r="BE37" i="37"/>
  <c r="BE38" i="37" s="1"/>
  <c r="BE35" i="37"/>
  <c r="BE34" i="37"/>
  <c r="BE33" i="37"/>
  <c r="BI37" i="37"/>
  <c r="BI38" i="37" s="1"/>
  <c r="BI35" i="37"/>
  <c r="BI36" i="37" s="1"/>
  <c r="BI34" i="37"/>
  <c r="BI33" i="37"/>
  <c r="BM37" i="37"/>
  <c r="BM38" i="37" s="1"/>
  <c r="BM35" i="37"/>
  <c r="BM34" i="37"/>
  <c r="BM33" i="37"/>
  <c r="BR37" i="37"/>
  <c r="BR38" i="37" s="1"/>
  <c r="BV37" i="37"/>
  <c r="BV38" i="37" s="1"/>
  <c r="BZ37" i="37"/>
  <c r="BZ38" i="37" s="1"/>
  <c r="CD37" i="37"/>
  <c r="CD38" i="37" s="1"/>
  <c r="CM31" i="37"/>
  <c r="P32" i="37"/>
  <c r="U32" i="37"/>
  <c r="AF32" i="37"/>
  <c r="AK32" i="37"/>
  <c r="AV32" i="37"/>
  <c r="BA32" i="37"/>
  <c r="BL32" i="37"/>
  <c r="BQ32" i="37"/>
  <c r="CG32" i="37"/>
  <c r="P33" i="37"/>
  <c r="U33" i="37"/>
  <c r="AF33" i="37"/>
  <c r="AK33" i="37"/>
  <c r="AV33" i="37"/>
  <c r="BA33" i="37"/>
  <c r="BH33" i="37"/>
  <c r="P34" i="37"/>
  <c r="X34" i="37"/>
  <c r="AF34" i="37"/>
  <c r="AN34" i="37"/>
  <c r="AV34" i="37"/>
  <c r="BD34" i="37"/>
  <c r="CI34" i="37"/>
  <c r="CI35" i="37"/>
  <c r="CI37" i="37"/>
  <c r="I34" i="37"/>
  <c r="D46" i="37"/>
  <c r="D42" i="37"/>
  <c r="D43" i="37"/>
  <c r="D44" i="37"/>
  <c r="H46" i="37"/>
  <c r="H42" i="37"/>
  <c r="H43" i="37"/>
  <c r="H44" i="37"/>
  <c r="L46" i="37"/>
  <c r="L47" i="37" s="1"/>
  <c r="L44" i="37"/>
  <c r="L45" i="37" s="1"/>
  <c r="L43" i="37"/>
  <c r="L42" i="37"/>
  <c r="L41" i="37"/>
  <c r="P46" i="37"/>
  <c r="P47" i="37" s="1"/>
  <c r="P44" i="37"/>
  <c r="P43" i="37"/>
  <c r="P42" i="37"/>
  <c r="P41" i="37"/>
  <c r="T42" i="37"/>
  <c r="T41" i="37"/>
  <c r="X46" i="37"/>
  <c r="X47" i="37" s="1"/>
  <c r="X44" i="37"/>
  <c r="X43" i="37"/>
  <c r="X42" i="37"/>
  <c r="X41" i="37"/>
  <c r="AB46" i="37"/>
  <c r="AB44" i="37"/>
  <c r="AB43" i="37"/>
  <c r="AB42" i="37"/>
  <c r="AB41" i="37"/>
  <c r="AF46" i="37"/>
  <c r="AF47" i="37" s="1"/>
  <c r="AF44" i="37"/>
  <c r="AF43" i="37"/>
  <c r="AF42" i="37"/>
  <c r="AF41" i="37"/>
  <c r="AJ42" i="37"/>
  <c r="AJ41" i="37"/>
  <c r="AN46" i="37"/>
  <c r="AN47" i="37" s="1"/>
  <c r="AN44" i="37"/>
  <c r="AN43" i="37"/>
  <c r="AN42" i="37"/>
  <c r="AN41" i="37"/>
  <c r="AR46" i="37"/>
  <c r="AR47" i="37" s="1"/>
  <c r="AR44" i="37"/>
  <c r="AR43" i="37"/>
  <c r="AR42" i="37"/>
  <c r="AR41" i="37"/>
  <c r="AV46" i="37"/>
  <c r="AV44" i="37"/>
  <c r="AV45" i="37" s="1"/>
  <c r="AV43" i="37"/>
  <c r="AV42" i="37"/>
  <c r="AV41" i="37"/>
  <c r="BD46" i="37"/>
  <c r="BD47" i="37" s="1"/>
  <c r="BD44" i="37"/>
  <c r="BD43" i="37"/>
  <c r="BD42" i="37"/>
  <c r="BD41" i="37"/>
  <c r="BH46" i="37"/>
  <c r="BH47" i="37" s="1"/>
  <c r="BH44" i="37"/>
  <c r="BH43" i="37"/>
  <c r="BH42" i="37"/>
  <c r="BH41" i="37"/>
  <c r="BL44" i="37"/>
  <c r="BL43" i="37"/>
  <c r="BL42" i="37"/>
  <c r="BL41" i="37"/>
  <c r="BZ46" i="37"/>
  <c r="CJ44" i="37"/>
  <c r="CJ43" i="37"/>
  <c r="CJ42" i="37"/>
  <c r="CJ41" i="37"/>
  <c r="CO40" i="37"/>
  <c r="CS40" i="37"/>
  <c r="BP43" i="37"/>
  <c r="AJ44" i="37"/>
  <c r="AJ45" i="37" s="1"/>
  <c r="BF44" i="37"/>
  <c r="AJ46" i="37"/>
  <c r="AJ47" i="37" s="1"/>
  <c r="CJ46" i="37"/>
  <c r="L55" i="37"/>
  <c r="L56" i="37" s="1"/>
  <c r="AB53" i="37"/>
  <c r="AB54" i="37" s="1"/>
  <c r="AR55" i="37"/>
  <c r="AR56" i="37" s="1"/>
  <c r="BH55" i="37"/>
  <c r="BH56" i="37" s="1"/>
  <c r="X52" i="37"/>
  <c r="T58" i="37"/>
  <c r="K73" i="37"/>
  <c r="K74" i="37" s="1"/>
  <c r="O69" i="37"/>
  <c r="S70" i="37"/>
  <c r="W73" i="37"/>
  <c r="AA73" i="37"/>
  <c r="AA74" i="37" s="1"/>
  <c r="AE69" i="37"/>
  <c r="AI70" i="37"/>
  <c r="AM73" i="37"/>
  <c r="AQ73" i="37"/>
  <c r="AQ74" i="37" s="1"/>
  <c r="AU69" i="37"/>
  <c r="E30" i="45" s="1"/>
  <c r="AY69" i="37"/>
  <c r="BC73" i="37"/>
  <c r="BG73" i="37"/>
  <c r="BG74" i="37" s="1"/>
  <c r="BK69" i="37"/>
  <c r="U30" i="45" s="1"/>
  <c r="BU73" i="37"/>
  <c r="BU71" i="37"/>
  <c r="BU70" i="37"/>
  <c r="BU69" i="37"/>
  <c r="AE30" i="45" s="1"/>
  <c r="BU68" i="37"/>
  <c r="AP16" i="37"/>
  <c r="D26" i="37"/>
  <c r="D58" i="37"/>
  <c r="H58" i="37"/>
  <c r="H26" i="37"/>
  <c r="L64" i="37"/>
  <c r="L61" i="37"/>
  <c r="L60" i="37"/>
  <c r="L59" i="37"/>
  <c r="L62" i="37"/>
  <c r="P64" i="37"/>
  <c r="P62" i="37"/>
  <c r="P61" i="37"/>
  <c r="P60" i="37"/>
  <c r="P59" i="37"/>
  <c r="X64" i="37"/>
  <c r="X62" i="37"/>
  <c r="X61" i="37"/>
  <c r="X60" i="37"/>
  <c r="X59" i="37"/>
  <c r="AB64" i="37"/>
  <c r="AB61" i="37"/>
  <c r="AB60" i="37"/>
  <c r="AB59" i="37"/>
  <c r="AB62" i="37"/>
  <c r="AF64" i="37"/>
  <c r="AF62" i="37"/>
  <c r="AF61" i="37"/>
  <c r="AF60" i="37"/>
  <c r="AF59" i="37"/>
  <c r="AJ58" i="37"/>
  <c r="AN64" i="37"/>
  <c r="AN62" i="37"/>
  <c r="AN61" i="37"/>
  <c r="AN60" i="37"/>
  <c r="AN59" i="37"/>
  <c r="AR64" i="37"/>
  <c r="AR62" i="37"/>
  <c r="AR60" i="37"/>
  <c r="AR59" i="37"/>
  <c r="AR61" i="37"/>
  <c r="AV64" i="37"/>
  <c r="AV62" i="37"/>
  <c r="AV61" i="37"/>
  <c r="AV60" i="37"/>
  <c r="AV59" i="37"/>
  <c r="AZ62" i="37"/>
  <c r="AZ61" i="37"/>
  <c r="AZ64" i="37"/>
  <c r="BD58" i="37"/>
  <c r="AZ60" i="37"/>
  <c r="BH64" i="37"/>
  <c r="BH62" i="37"/>
  <c r="BH60" i="37"/>
  <c r="BH59" i="37"/>
  <c r="BL64" i="37"/>
  <c r="BL62" i="37"/>
  <c r="BL61" i="37"/>
  <c r="BL60" i="37"/>
  <c r="BL59" i="37"/>
  <c r="BP58" i="37"/>
  <c r="BT58" i="37"/>
  <c r="BX22" i="37"/>
  <c r="CB58" i="37"/>
  <c r="CJ62" i="37"/>
  <c r="CJ63" i="37" s="1"/>
  <c r="CJ64" i="37"/>
  <c r="CJ65" i="37" s="1"/>
  <c r="CJ61" i="37"/>
  <c r="CJ60" i="37"/>
  <c r="CJ59" i="37"/>
  <c r="L23" i="37"/>
  <c r="P23" i="37"/>
  <c r="T23" i="37"/>
  <c r="X23" i="37"/>
  <c r="AB23" i="37"/>
  <c r="AF23" i="37"/>
  <c r="AJ23" i="37"/>
  <c r="AN23" i="37"/>
  <c r="AR23" i="37"/>
  <c r="AV23" i="37"/>
  <c r="AZ23" i="37"/>
  <c r="BD23" i="37"/>
  <c r="BH23" i="37"/>
  <c r="BL23" i="37"/>
  <c r="BP23" i="37"/>
  <c r="BT23" i="37"/>
  <c r="CB23" i="37"/>
  <c r="CF23" i="37"/>
  <c r="CJ23" i="37"/>
  <c r="L24" i="37"/>
  <c r="P24" i="37"/>
  <c r="T24" i="37"/>
  <c r="X24" i="37"/>
  <c r="AB24" i="37"/>
  <c r="AF24" i="37"/>
  <c r="AJ24" i="37"/>
  <c r="AN24" i="37"/>
  <c r="AR24" i="37"/>
  <c r="AV24" i="37"/>
  <c r="AZ24" i="37"/>
  <c r="BD24" i="37"/>
  <c r="BH24" i="37"/>
  <c r="BL24" i="37"/>
  <c r="BP24" i="37"/>
  <c r="BT24" i="37"/>
  <c r="CB24" i="37"/>
  <c r="CF24" i="37"/>
  <c r="CJ24" i="37"/>
  <c r="AT35" i="45" s="1"/>
  <c r="L25" i="37"/>
  <c r="P25" i="37"/>
  <c r="T25" i="37"/>
  <c r="X25" i="37"/>
  <c r="AB25" i="37"/>
  <c r="AF25" i="37"/>
  <c r="AJ25" i="37"/>
  <c r="AN25" i="37"/>
  <c r="AR25" i="37"/>
  <c r="AV25" i="37"/>
  <c r="AZ25" i="37"/>
  <c r="BD25" i="37"/>
  <c r="BH25" i="37"/>
  <c r="BL25" i="37"/>
  <c r="BP25" i="37"/>
  <c r="BT25" i="37"/>
  <c r="CB25" i="37"/>
  <c r="CF25" i="37"/>
  <c r="CJ25" i="37"/>
  <c r="L26" i="37"/>
  <c r="L27" i="37" s="1"/>
  <c r="P26" i="37"/>
  <c r="P27" i="37" s="1"/>
  <c r="T26" i="37"/>
  <c r="T27" i="37" s="1"/>
  <c r="X26" i="37"/>
  <c r="X27" i="37" s="1"/>
  <c r="AB26" i="37"/>
  <c r="AB27" i="37" s="1"/>
  <c r="AF26" i="37"/>
  <c r="AF27" i="37" s="1"/>
  <c r="AJ26" i="37"/>
  <c r="AJ27" i="37" s="1"/>
  <c r="AN26" i="37"/>
  <c r="AN27" i="37" s="1"/>
  <c r="AR26" i="37"/>
  <c r="AR27" i="37" s="1"/>
  <c r="AV26" i="37"/>
  <c r="AV27" i="37" s="1"/>
  <c r="AZ26" i="37"/>
  <c r="AZ27" i="37" s="1"/>
  <c r="BD26" i="37"/>
  <c r="BD27" i="37" s="1"/>
  <c r="BH26" i="37"/>
  <c r="BH27" i="37" s="1"/>
  <c r="BL26" i="37"/>
  <c r="BL27" i="37" s="1"/>
  <c r="BP26" i="37"/>
  <c r="BP27" i="37" s="1"/>
  <c r="BT26" i="37"/>
  <c r="BT27" i="37" s="1"/>
  <c r="CB26" i="37"/>
  <c r="CB27" i="37" s="1"/>
  <c r="CF26" i="37"/>
  <c r="CF27" i="37" s="1"/>
  <c r="CJ26" i="37"/>
  <c r="CJ27" i="37" s="1"/>
  <c r="L28" i="37"/>
  <c r="L29" i="37" s="1"/>
  <c r="P28" i="37"/>
  <c r="P29" i="37" s="1"/>
  <c r="X28" i="37"/>
  <c r="X29" i="37" s="1"/>
  <c r="AB28" i="37"/>
  <c r="AF28" i="37"/>
  <c r="AF29" i="37" s="1"/>
  <c r="AN28" i="37"/>
  <c r="AN29" i="37" s="1"/>
  <c r="AR28" i="37"/>
  <c r="AV28" i="37"/>
  <c r="AV29" i="37" s="1"/>
  <c r="AZ28" i="37"/>
  <c r="AZ29" i="37" s="1"/>
  <c r="BH28" i="37"/>
  <c r="BH29" i="37" s="1"/>
  <c r="BL28" i="37"/>
  <c r="BP28" i="37"/>
  <c r="BP29" i="37" s="1"/>
  <c r="BT28" i="37"/>
  <c r="BT29" i="37" s="1"/>
  <c r="CB28" i="37"/>
  <c r="CB29" i="37" s="1"/>
  <c r="CF28" i="37"/>
  <c r="CJ28" i="37"/>
  <c r="CJ29" i="37" s="1"/>
  <c r="H24" i="37"/>
  <c r="F25" i="37"/>
  <c r="J26" i="37"/>
  <c r="H28" i="37"/>
  <c r="F37" i="37"/>
  <c r="J37" i="37"/>
  <c r="O38" i="37" s="1"/>
  <c r="N37" i="37"/>
  <c r="N38" i="37" s="1"/>
  <c r="R37" i="37"/>
  <c r="V37" i="37"/>
  <c r="V38" i="37" s="1"/>
  <c r="Z37" i="37"/>
  <c r="Z38" i="37" s="1"/>
  <c r="AD37" i="37"/>
  <c r="AD38" i="37" s="1"/>
  <c r="AH37" i="37"/>
  <c r="AL37" i="37"/>
  <c r="AL38" i="37" s="1"/>
  <c r="AP37" i="37"/>
  <c r="AP38" i="37" s="1"/>
  <c r="AT37" i="37"/>
  <c r="AT38" i="37" s="1"/>
  <c r="AX37" i="37"/>
  <c r="BB37" i="37"/>
  <c r="BB38" i="37" s="1"/>
  <c r="BF37" i="37"/>
  <c r="BF38" i="37" s="1"/>
  <c r="BJ37" i="37"/>
  <c r="BJ38" i="37" s="1"/>
  <c r="CJ37" i="37"/>
  <c r="CJ38" i="37" s="1"/>
  <c r="CJ35" i="37"/>
  <c r="CJ36" i="37" s="1"/>
  <c r="CJ34" i="37"/>
  <c r="L32" i="37"/>
  <c r="Q32" i="37"/>
  <c r="AB32" i="37"/>
  <c r="AG32" i="37"/>
  <c r="AR32" i="37"/>
  <c r="AW32" i="37"/>
  <c r="BH32" i="37"/>
  <c r="BM32" i="37"/>
  <c r="CI32" i="37"/>
  <c r="L33" i="37"/>
  <c r="Q33" i="37"/>
  <c r="AB33" i="37"/>
  <c r="AG33" i="37"/>
  <c r="AR33" i="37"/>
  <c r="AW33" i="37"/>
  <c r="BW34" i="37"/>
  <c r="BW35" i="37"/>
  <c r="BW36" i="37" s="1"/>
  <c r="D33" i="37"/>
  <c r="E43" i="37"/>
  <c r="I43" i="37"/>
  <c r="BR46" i="37"/>
  <c r="BW44" i="37"/>
  <c r="CF46" i="37"/>
  <c r="CF47" i="37" s="1"/>
  <c r="CF41" i="37"/>
  <c r="AA42" i="37"/>
  <c r="AQ42" i="37"/>
  <c r="CF42" i="37"/>
  <c r="AZ43" i="37"/>
  <c r="T44" i="37"/>
  <c r="T45" i="37" s="1"/>
  <c r="CF44" i="37"/>
  <c r="CF45" i="37" s="1"/>
  <c r="T46" i="37"/>
  <c r="T47" i="37" s="1"/>
  <c r="BL46" i="37"/>
  <c r="BL47" i="37" s="1"/>
  <c r="CB53" i="37"/>
  <c r="AN52" i="37"/>
  <c r="BH61" i="37"/>
  <c r="F34" i="37"/>
  <c r="J34" i="37"/>
  <c r="M46" i="37"/>
  <c r="M44" i="37"/>
  <c r="M45" i="37" s="1"/>
  <c r="M43" i="37"/>
  <c r="Q46" i="37"/>
  <c r="Q44" i="37"/>
  <c r="Q45" i="37" s="1"/>
  <c r="Q43" i="37"/>
  <c r="U46" i="37"/>
  <c r="U47" i="37" s="1"/>
  <c r="U44" i="37"/>
  <c r="U45" i="37" s="1"/>
  <c r="U43" i="37"/>
  <c r="Y46" i="37"/>
  <c r="Y47" i="37" s="1"/>
  <c r="Y44" i="37"/>
  <c r="Y43" i="37"/>
  <c r="AC46" i="37"/>
  <c r="AC44" i="37"/>
  <c r="AC45" i="37" s="1"/>
  <c r="AC43" i="37"/>
  <c r="AG46" i="37"/>
  <c r="AG47" i="37" s="1"/>
  <c r="AG44" i="37"/>
  <c r="AG45" i="37" s="1"/>
  <c r="AG43" i="37"/>
  <c r="AK46" i="37"/>
  <c r="AP47" i="37" s="1"/>
  <c r="AK44" i="37"/>
  <c r="AK45" i="37" s="1"/>
  <c r="AK43" i="37"/>
  <c r="AO46" i="37"/>
  <c r="AO47" i="37" s="1"/>
  <c r="AO44" i="37"/>
  <c r="AO43" i="37"/>
  <c r="AS46" i="37"/>
  <c r="AS47" i="37" s="1"/>
  <c r="AS44" i="37"/>
  <c r="AS45" i="37" s="1"/>
  <c r="AS43" i="37"/>
  <c r="AW46" i="37"/>
  <c r="AW47" i="37" s="1"/>
  <c r="AW44" i="37"/>
  <c r="AW45" i="37" s="1"/>
  <c r="AW43" i="37"/>
  <c r="AW42" i="37"/>
  <c r="BA46" i="37"/>
  <c r="BA47" i="37" s="1"/>
  <c r="BA44" i="37"/>
  <c r="BA43" i="37"/>
  <c r="BA42" i="37"/>
  <c r="BE46" i="37"/>
  <c r="BE47" i="37" s="1"/>
  <c r="BE44" i="37"/>
  <c r="BE45" i="37" s="1"/>
  <c r="BE43" i="37"/>
  <c r="BE42" i="37"/>
  <c r="BI46" i="37"/>
  <c r="BI44" i="37"/>
  <c r="BI45" i="37" s="1"/>
  <c r="BI43" i="37"/>
  <c r="BI42" i="37"/>
  <c r="BM46" i="37"/>
  <c r="BM47" i="37" s="1"/>
  <c r="BM44" i="37"/>
  <c r="BM45" i="37" s="1"/>
  <c r="BM43" i="37"/>
  <c r="BM42" i="37"/>
  <c r="BQ46" i="37"/>
  <c r="BQ47" i="37" s="1"/>
  <c r="BQ44" i="37"/>
  <c r="BQ45" i="37" s="1"/>
  <c r="BQ43" i="37"/>
  <c r="BQ42" i="37"/>
  <c r="BU46" i="37"/>
  <c r="BU44" i="37"/>
  <c r="BU45" i="37" s="1"/>
  <c r="BU43" i="37"/>
  <c r="BU42" i="37"/>
  <c r="BY46" i="37"/>
  <c r="BY47" i="37" s="1"/>
  <c r="BY44" i="37"/>
  <c r="BY43" i="37"/>
  <c r="BY42" i="37"/>
  <c r="CC40" i="37"/>
  <c r="CG46" i="37"/>
  <c r="CG44" i="37"/>
  <c r="CG45" i="37" s="1"/>
  <c r="CG43" i="37"/>
  <c r="CG42" i="37"/>
  <c r="CK46" i="37"/>
  <c r="CK44" i="37"/>
  <c r="CK45" i="37" s="1"/>
  <c r="CK43" i="37"/>
  <c r="CK42" i="37"/>
  <c r="BB42" i="37"/>
  <c r="BR42" i="37"/>
  <c r="K43" i="37"/>
  <c r="V43" i="37"/>
  <c r="AA43" i="37"/>
  <c r="AL43" i="37"/>
  <c r="AQ43" i="37"/>
  <c r="BB43" i="37"/>
  <c r="BG43" i="37"/>
  <c r="BR43" i="37"/>
  <c r="K44" i="37"/>
  <c r="V44" i="37"/>
  <c r="V45" i="37" s="1"/>
  <c r="AA44" i="37"/>
  <c r="AL44" i="37"/>
  <c r="AL45" i="37" s="1"/>
  <c r="AQ44" i="37"/>
  <c r="BB44" i="37"/>
  <c r="BB45" i="37" s="1"/>
  <c r="BG44" i="37"/>
  <c r="BR44" i="37"/>
  <c r="BR45" i="37" s="1"/>
  <c r="V46" i="37"/>
  <c r="AL46" i="37"/>
  <c r="AL47" i="37" s="1"/>
  <c r="BB46" i="37"/>
  <c r="BB47" i="37" s="1"/>
  <c r="BV46" i="37"/>
  <c r="BV47" i="37" s="1"/>
  <c r="CD46" i="37"/>
  <c r="CL46" i="37"/>
  <c r="CL47" i="37" s="1"/>
  <c r="D52" i="37"/>
  <c r="D55" i="37"/>
  <c r="D51" i="37"/>
  <c r="D53" i="37"/>
  <c r="H52" i="37"/>
  <c r="H55" i="37"/>
  <c r="H51" i="37"/>
  <c r="H53" i="37"/>
  <c r="P55" i="37"/>
  <c r="P56" i="37" s="1"/>
  <c r="T55" i="37"/>
  <c r="X55" i="37"/>
  <c r="AF55" i="37"/>
  <c r="AF56" i="37" s="1"/>
  <c r="AJ55" i="37"/>
  <c r="AJ56" i="37" s="1"/>
  <c r="AN55" i="37"/>
  <c r="AV55" i="37"/>
  <c r="AV56" i="37" s="1"/>
  <c r="AZ55" i="37"/>
  <c r="BD55" i="37"/>
  <c r="BD56" i="37" s="1"/>
  <c r="BL55" i="37"/>
  <c r="BL56" i="37" s="1"/>
  <c r="BQ55" i="37"/>
  <c r="CE53" i="37"/>
  <c r="CE54" i="37" s="1"/>
  <c r="CJ55" i="37"/>
  <c r="P50" i="37"/>
  <c r="AF50" i="37"/>
  <c r="AV50" i="37"/>
  <c r="BL50" i="37"/>
  <c r="P51" i="37"/>
  <c r="AF51" i="37"/>
  <c r="AV51" i="37"/>
  <c r="BL51" i="37"/>
  <c r="CB51" i="37"/>
  <c r="L52" i="37"/>
  <c r="AB52" i="37"/>
  <c r="AR52" i="37"/>
  <c r="BH52" i="37"/>
  <c r="L53" i="37"/>
  <c r="AR53" i="37"/>
  <c r="AR54" i="37" s="1"/>
  <c r="BH53" i="37"/>
  <c r="BH54" i="37" s="1"/>
  <c r="F33" i="37"/>
  <c r="J33" i="37"/>
  <c r="F46" i="37"/>
  <c r="J46" i="37"/>
  <c r="BN40" i="37"/>
  <c r="CH40" i="37"/>
  <c r="CP40" i="37"/>
  <c r="M41" i="37"/>
  <c r="Q41" i="37"/>
  <c r="U41" i="37"/>
  <c r="Y41" i="37"/>
  <c r="AC41" i="37"/>
  <c r="AG41" i="37"/>
  <c r="AK41" i="37"/>
  <c r="AO41" i="37"/>
  <c r="AS41" i="37"/>
  <c r="AW41" i="37"/>
  <c r="BA41" i="37"/>
  <c r="BE41" i="37"/>
  <c r="BI41" i="37"/>
  <c r="BM41" i="37"/>
  <c r="BQ41" i="37"/>
  <c r="BU41" i="37"/>
  <c r="BY41" i="37"/>
  <c r="CG41" i="37"/>
  <c r="CK41" i="37"/>
  <c r="G42" i="37"/>
  <c r="E44" i="37"/>
  <c r="I44" i="37"/>
  <c r="M42" i="37"/>
  <c r="Q42" i="37"/>
  <c r="U42" i="37"/>
  <c r="Y42" i="37"/>
  <c r="AC42" i="37"/>
  <c r="AG42" i="37"/>
  <c r="AK42" i="37"/>
  <c r="AO42" i="37"/>
  <c r="AS42" i="37"/>
  <c r="AX42" i="37"/>
  <c r="BC42" i="37"/>
  <c r="CD42" i="37"/>
  <c r="CI42" i="37"/>
  <c r="R43" i="37"/>
  <c r="W43" i="37"/>
  <c r="AH43" i="37"/>
  <c r="AM43" i="37"/>
  <c r="AX43" i="37"/>
  <c r="BC43" i="37"/>
  <c r="CD43" i="37"/>
  <c r="CI43" i="37"/>
  <c r="R44" i="37"/>
  <c r="W44" i="37"/>
  <c r="AH44" i="37"/>
  <c r="AH45" i="37" s="1"/>
  <c r="AM44" i="37"/>
  <c r="AX44" i="37"/>
  <c r="BC44" i="37"/>
  <c r="CD44" i="37"/>
  <c r="CD45" i="37" s="1"/>
  <c r="R46" i="37"/>
  <c r="AH46" i="37"/>
  <c r="AH47" i="37" s="1"/>
  <c r="AX46" i="37"/>
  <c r="AX47" i="37" s="1"/>
  <c r="E46" i="37"/>
  <c r="M55" i="37"/>
  <c r="Q53" i="37"/>
  <c r="Q54" i="37" s="1"/>
  <c r="U55" i="37"/>
  <c r="U56" i="37" s="1"/>
  <c r="Y55" i="37"/>
  <c r="Y56" i="37" s="1"/>
  <c r="AC55" i="37"/>
  <c r="AC56" i="37" s="1"/>
  <c r="AG53" i="37"/>
  <c r="AG54" i="37" s="1"/>
  <c r="AK55" i="37"/>
  <c r="AK56" i="37" s="1"/>
  <c r="AO55" i="37"/>
  <c r="AO56" i="37" s="1"/>
  <c r="AS55" i="37"/>
  <c r="AW53" i="37"/>
  <c r="AW54" i="37" s="1"/>
  <c r="BA55" i="37"/>
  <c r="BA56" i="37" s="1"/>
  <c r="BE55" i="37"/>
  <c r="BE56" i="37" s="1"/>
  <c r="BI55" i="37"/>
  <c r="BM53" i="37"/>
  <c r="BM54" i="37" s="1"/>
  <c r="BW55" i="37"/>
  <c r="CA53" i="37"/>
  <c r="CF55" i="37"/>
  <c r="CK55" i="37"/>
  <c r="CK56" i="37" s="1"/>
  <c r="T50" i="37"/>
  <c r="AJ50" i="37"/>
  <c r="AZ50" i="37"/>
  <c r="CF50" i="37"/>
  <c r="T51" i="37"/>
  <c r="AJ51" i="37"/>
  <c r="AZ51" i="37"/>
  <c r="CF51" i="37"/>
  <c r="P52" i="37"/>
  <c r="AF52" i="37"/>
  <c r="AV52" i="37"/>
  <c r="BL52" i="37"/>
  <c r="CB52" i="37"/>
  <c r="P53" i="37"/>
  <c r="AF53" i="37"/>
  <c r="AV53" i="37"/>
  <c r="BL53" i="37"/>
  <c r="BN31" i="37"/>
  <c r="CH31" i="37"/>
  <c r="N32" i="37"/>
  <c r="R32" i="37"/>
  <c r="V32" i="37"/>
  <c r="Z32" i="37"/>
  <c r="AD32" i="37"/>
  <c r="AH32" i="37"/>
  <c r="AL32" i="37"/>
  <c r="AP32" i="37"/>
  <c r="AT32" i="37"/>
  <c r="AX32" i="37"/>
  <c r="BB32" i="37"/>
  <c r="BF32" i="37"/>
  <c r="BJ32" i="37"/>
  <c r="BR32" i="37"/>
  <c r="BV32" i="37"/>
  <c r="BZ32" i="37"/>
  <c r="CD32" i="37"/>
  <c r="CL32" i="37"/>
  <c r="N33" i="37"/>
  <c r="R33" i="37"/>
  <c r="V33" i="37"/>
  <c r="Z33" i="37"/>
  <c r="AD33" i="37"/>
  <c r="AH33" i="37"/>
  <c r="AL33" i="37"/>
  <c r="AP33" i="37"/>
  <c r="AT33" i="37"/>
  <c r="AX33" i="37"/>
  <c r="BB33" i="37"/>
  <c r="BF33" i="37"/>
  <c r="BJ33" i="37"/>
  <c r="BR33" i="37"/>
  <c r="BV33" i="37"/>
  <c r="BZ33" i="37"/>
  <c r="CD33" i="37"/>
  <c r="CL33" i="37"/>
  <c r="AV40" i="45" s="1"/>
  <c r="N34" i="37"/>
  <c r="R34" i="37"/>
  <c r="V34" i="37"/>
  <c r="Z34" i="37"/>
  <c r="AD34" i="37"/>
  <c r="AH34" i="37"/>
  <c r="AL34" i="37"/>
  <c r="AP34" i="37"/>
  <c r="AT34" i="37"/>
  <c r="AX34" i="37"/>
  <c r="BB34" i="37"/>
  <c r="BF34" i="37"/>
  <c r="BJ34" i="37"/>
  <c r="BR34" i="37"/>
  <c r="BV34" i="37"/>
  <c r="BZ34" i="37"/>
  <c r="CD34" i="37"/>
  <c r="CL34" i="37"/>
  <c r="N35" i="37"/>
  <c r="N36" i="37" s="1"/>
  <c r="R35" i="37"/>
  <c r="R36" i="37" s="1"/>
  <c r="V35" i="37"/>
  <c r="Z35" i="37"/>
  <c r="Z36" i="37" s="1"/>
  <c r="AD35" i="37"/>
  <c r="AD36" i="37" s="1"/>
  <c r="AH35" i="37"/>
  <c r="AH36" i="37" s="1"/>
  <c r="AL35" i="37"/>
  <c r="AP35" i="37"/>
  <c r="AP36" i="37" s="1"/>
  <c r="AT35" i="37"/>
  <c r="AT36" i="37" s="1"/>
  <c r="AX35" i="37"/>
  <c r="AX36" i="37" s="1"/>
  <c r="BB35" i="37"/>
  <c r="BF35" i="37"/>
  <c r="BF36" i="37" s="1"/>
  <c r="BJ35" i="37"/>
  <c r="BJ36" i="37" s="1"/>
  <c r="BR35" i="37"/>
  <c r="BR36" i="37" s="1"/>
  <c r="BV35" i="37"/>
  <c r="BV36" i="37" s="1"/>
  <c r="BZ35" i="37"/>
  <c r="BZ36" i="37" s="1"/>
  <c r="CD35" i="37"/>
  <c r="CD36" i="37" s="1"/>
  <c r="CL35" i="37"/>
  <c r="CL36" i="37" s="1"/>
  <c r="BK46" i="37"/>
  <c r="BK47" i="37" s="1"/>
  <c r="BO46" i="37"/>
  <c r="BO47" i="37" s="1"/>
  <c r="BS40" i="37"/>
  <c r="BW46" i="37"/>
  <c r="CA46" i="37"/>
  <c r="CE46" i="37"/>
  <c r="CE47" i="37" s="1"/>
  <c r="CI46" i="37"/>
  <c r="CI47" i="37" s="1"/>
  <c r="CM40" i="37"/>
  <c r="CQ40" i="37"/>
  <c r="N41" i="37"/>
  <c r="R41" i="37"/>
  <c r="V41" i="37"/>
  <c r="Z41" i="37"/>
  <c r="AD41" i="37"/>
  <c r="AH41" i="37"/>
  <c r="AL41" i="37"/>
  <c r="AP41" i="37"/>
  <c r="AT41" i="37"/>
  <c r="BJ41" i="37"/>
  <c r="BR41" i="37"/>
  <c r="BZ41" i="37"/>
  <c r="F44" i="37"/>
  <c r="J44" i="37"/>
  <c r="N42" i="37"/>
  <c r="AD42" i="37"/>
  <c r="AT42" i="37"/>
  <c r="AY42" i="37"/>
  <c r="BJ42" i="37"/>
  <c r="BO42" i="37"/>
  <c r="BZ42" i="37"/>
  <c r="CE42" i="37"/>
  <c r="N43" i="37"/>
  <c r="S43" i="37"/>
  <c r="AD43" i="37"/>
  <c r="AI43" i="37"/>
  <c r="AT43" i="37"/>
  <c r="AY43" i="37"/>
  <c r="BJ43" i="37"/>
  <c r="BO43" i="37"/>
  <c r="BZ43" i="37"/>
  <c r="CE43" i="37"/>
  <c r="N44" i="37"/>
  <c r="S44" i="37"/>
  <c r="S45" i="37" s="1"/>
  <c r="AD44" i="37"/>
  <c r="AD45" i="37" s="1"/>
  <c r="AI44" i="37"/>
  <c r="AI45" i="37" s="1"/>
  <c r="AT44" i="37"/>
  <c r="AT45" i="37" s="1"/>
  <c r="AY44" i="37"/>
  <c r="AY45" i="37" s="1"/>
  <c r="BJ44" i="37"/>
  <c r="BO44" i="37"/>
  <c r="BO45" i="37" s="1"/>
  <c r="BZ44" i="37"/>
  <c r="BZ45" i="37" s="1"/>
  <c r="CE44" i="37"/>
  <c r="CE45" i="37" s="1"/>
  <c r="F55" i="37"/>
  <c r="F53" i="37"/>
  <c r="F52" i="37"/>
  <c r="F51" i="37"/>
  <c r="J55" i="37"/>
  <c r="J53" i="37"/>
  <c r="J52" i="37"/>
  <c r="N55" i="37"/>
  <c r="N56" i="37" s="1"/>
  <c r="BO53" i="37"/>
  <c r="BT54" i="37" s="1"/>
  <c r="BT55" i="37"/>
  <c r="BX49" i="37"/>
  <c r="CB55" i="37"/>
  <c r="CB56" i="37" s="1"/>
  <c r="CG55" i="37"/>
  <c r="X50" i="37"/>
  <c r="AN50" i="37"/>
  <c r="BD50" i="37"/>
  <c r="BT50" i="37"/>
  <c r="CJ50" i="37"/>
  <c r="X51" i="37"/>
  <c r="AN51" i="37"/>
  <c r="BD51" i="37"/>
  <c r="BT51" i="37"/>
  <c r="CJ51" i="37"/>
  <c r="AT45" i="45" s="1"/>
  <c r="T52" i="37"/>
  <c r="AJ52" i="37"/>
  <c r="AZ52" i="37"/>
  <c r="CF52" i="37"/>
  <c r="T53" i="37"/>
  <c r="T54" i="37" s="1"/>
  <c r="AJ53" i="37"/>
  <c r="AZ53" i="37"/>
  <c r="CF53" i="37"/>
  <c r="E53" i="37"/>
  <c r="I53" i="37"/>
  <c r="CC49" i="37"/>
  <c r="M50" i="37"/>
  <c r="Q50" i="37"/>
  <c r="U50" i="37"/>
  <c r="Y50" i="37"/>
  <c r="AC50" i="37"/>
  <c r="AG50" i="37"/>
  <c r="AK50" i="37"/>
  <c r="AO50" i="37"/>
  <c r="AS50" i="37"/>
  <c r="AW50" i="37"/>
  <c r="BA50" i="37"/>
  <c r="BE50" i="37"/>
  <c r="BI50" i="37"/>
  <c r="BM50" i="37"/>
  <c r="BQ50" i="37"/>
  <c r="BU50" i="37"/>
  <c r="BY50" i="37"/>
  <c r="CG50" i="37"/>
  <c r="CK50" i="37"/>
  <c r="M51" i="37"/>
  <c r="Q51" i="37"/>
  <c r="U51" i="37"/>
  <c r="Y51" i="37"/>
  <c r="AC51" i="37"/>
  <c r="AG51" i="37"/>
  <c r="AK51" i="37"/>
  <c r="AO51" i="37"/>
  <c r="AS51" i="37"/>
  <c r="AW51" i="37"/>
  <c r="BA51" i="37"/>
  <c r="BE51" i="37"/>
  <c r="BI51" i="37"/>
  <c r="BM51" i="37"/>
  <c r="BQ51" i="37"/>
  <c r="BU51" i="37"/>
  <c r="BY51" i="37"/>
  <c r="CG51" i="37"/>
  <c r="CK51" i="37"/>
  <c r="AU45" i="45" s="1"/>
  <c r="M52" i="37"/>
  <c r="Q52" i="37"/>
  <c r="U52" i="37"/>
  <c r="Y52" i="37"/>
  <c r="AC52" i="37"/>
  <c r="AG52" i="37"/>
  <c r="AK52" i="37"/>
  <c r="AO52" i="37"/>
  <c r="AS52" i="37"/>
  <c r="AW52" i="37"/>
  <c r="BA52" i="37"/>
  <c r="BE52" i="37"/>
  <c r="BI52" i="37"/>
  <c r="BM52" i="37"/>
  <c r="BQ52" i="37"/>
  <c r="BU52" i="37"/>
  <c r="BY52" i="37"/>
  <c r="CG52" i="37"/>
  <c r="CK52" i="37"/>
  <c r="M53" i="37"/>
  <c r="M54" i="37" s="1"/>
  <c r="U53" i="37"/>
  <c r="Y53" i="37"/>
  <c r="AC53" i="37"/>
  <c r="AC54" i="37" s="1"/>
  <c r="AK53" i="37"/>
  <c r="AK54" i="37" s="1"/>
  <c r="AO53" i="37"/>
  <c r="AO54" i="37" s="1"/>
  <c r="AS53" i="37"/>
  <c r="AS54" i="37" s="1"/>
  <c r="BA53" i="37"/>
  <c r="BA54" i="37" s="1"/>
  <c r="BE53" i="37"/>
  <c r="BE54" i="37" s="1"/>
  <c r="BI53" i="37"/>
  <c r="BI54" i="37" s="1"/>
  <c r="BQ53" i="37"/>
  <c r="BQ54" i="37" s="1"/>
  <c r="BU53" i="37"/>
  <c r="BU54" i="37" s="1"/>
  <c r="BY53" i="37"/>
  <c r="BY54" i="37" s="1"/>
  <c r="CG53" i="37"/>
  <c r="CK53" i="37"/>
  <c r="CK54" i="37" s="1"/>
  <c r="S55" i="37"/>
  <c r="AI55" i="37"/>
  <c r="AY55" i="37"/>
  <c r="BO55" i="37"/>
  <c r="CE55" i="37"/>
  <c r="E52" i="37"/>
  <c r="R55" i="37"/>
  <c r="R56" i="37" s="1"/>
  <c r="V55" i="37"/>
  <c r="V56" i="37" s="1"/>
  <c r="Z55" i="37"/>
  <c r="Z56" i="37" s="1"/>
  <c r="AD55" i="37"/>
  <c r="AD56" i="37" s="1"/>
  <c r="AH55" i="37"/>
  <c r="AH56" i="37" s="1"/>
  <c r="AL55" i="37"/>
  <c r="AL56" i="37" s="1"/>
  <c r="AP55" i="37"/>
  <c r="AP56" i="37" s="1"/>
  <c r="AT55" i="37"/>
  <c r="AT56" i="37" s="1"/>
  <c r="AX55" i="37"/>
  <c r="AX56" i="37" s="1"/>
  <c r="BB55" i="37"/>
  <c r="BB56" i="37" s="1"/>
  <c r="BF55" i="37"/>
  <c r="BF56" i="37" s="1"/>
  <c r="BJ55" i="37"/>
  <c r="BJ56" i="37" s="1"/>
  <c r="BN49" i="37"/>
  <c r="BR55" i="37"/>
  <c r="BR56" i="37" s="1"/>
  <c r="BV55" i="37"/>
  <c r="BV56" i="37" s="1"/>
  <c r="BZ55" i="37"/>
  <c r="BZ56" i="37" s="1"/>
  <c r="CD55" i="37"/>
  <c r="CD56" i="37" s="1"/>
  <c r="CH49" i="37"/>
  <c r="CL55" i="37"/>
  <c r="CL56" i="37" s="1"/>
  <c r="N50" i="37"/>
  <c r="R50" i="37"/>
  <c r="V50" i="37"/>
  <c r="Z50" i="37"/>
  <c r="AD50" i="37"/>
  <c r="AH50" i="37"/>
  <c r="AL50" i="37"/>
  <c r="AP50" i="37"/>
  <c r="AT50" i="37"/>
  <c r="AX50" i="37"/>
  <c r="BB50" i="37"/>
  <c r="BF50" i="37"/>
  <c r="BJ50" i="37"/>
  <c r="BR50" i="37"/>
  <c r="BV50" i="37"/>
  <c r="BZ50" i="37"/>
  <c r="CD50" i="37"/>
  <c r="CL50" i="37"/>
  <c r="N51" i="37"/>
  <c r="R51" i="37"/>
  <c r="V51" i="37"/>
  <c r="Z51" i="37"/>
  <c r="AD51" i="37"/>
  <c r="AH51" i="37"/>
  <c r="AL51" i="37"/>
  <c r="AP51" i="37"/>
  <c r="AT51" i="37"/>
  <c r="AX51" i="37"/>
  <c r="BB51" i="37"/>
  <c r="BF51" i="37"/>
  <c r="BJ51" i="37"/>
  <c r="BR51" i="37"/>
  <c r="BV51" i="37"/>
  <c r="BZ51" i="37"/>
  <c r="CD51" i="37"/>
  <c r="CL51" i="37"/>
  <c r="AV45" i="45" s="1"/>
  <c r="N52" i="37"/>
  <c r="R52" i="37"/>
  <c r="V52" i="37"/>
  <c r="Z52" i="37"/>
  <c r="AD52" i="37"/>
  <c r="AH52" i="37"/>
  <c r="AL52" i="37"/>
  <c r="AP52" i="37"/>
  <c r="AT52" i="37"/>
  <c r="AX52" i="37"/>
  <c r="BB52" i="37"/>
  <c r="BF52" i="37"/>
  <c r="BJ52" i="37"/>
  <c r="BR52" i="37"/>
  <c r="BV52" i="37"/>
  <c r="BZ52" i="37"/>
  <c r="CD52" i="37"/>
  <c r="CL52" i="37"/>
  <c r="N53" i="37"/>
  <c r="N54" i="37" s="1"/>
  <c r="R53" i="37"/>
  <c r="V53" i="37"/>
  <c r="V54" i="37" s="1"/>
  <c r="Z53" i="37"/>
  <c r="Z54" i="37" s="1"/>
  <c r="AD53" i="37"/>
  <c r="AD54" i="37" s="1"/>
  <c r="AH53" i="37"/>
  <c r="AH54" i="37" s="1"/>
  <c r="AL53" i="37"/>
  <c r="AL54" i="37" s="1"/>
  <c r="AP53" i="37"/>
  <c r="AT53" i="37"/>
  <c r="AT54" i="37" s="1"/>
  <c r="AX53" i="37"/>
  <c r="BB53" i="37"/>
  <c r="BB54" i="37" s="1"/>
  <c r="BF53" i="37"/>
  <c r="BJ53" i="37"/>
  <c r="BR53" i="37"/>
  <c r="BR54" i="37" s="1"/>
  <c r="BV53" i="37"/>
  <c r="BV54" i="37" s="1"/>
  <c r="BZ53" i="37"/>
  <c r="CD53" i="37"/>
  <c r="CL53" i="37"/>
  <c r="CL54" i="37" s="1"/>
  <c r="O55" i="37"/>
  <c r="O56" i="37" s="1"/>
  <c r="AE55" i="37"/>
  <c r="AU55" i="37"/>
  <c r="AU56" i="37" s="1"/>
  <c r="BK55" i="37"/>
  <c r="BK56" i="37" s="1"/>
  <c r="CA55" i="37"/>
  <c r="CA56" i="37" s="1"/>
  <c r="Q69" i="37"/>
  <c r="AK69" i="37"/>
  <c r="CG69" i="37"/>
  <c r="AQ30" i="45" s="1"/>
  <c r="G51" i="37"/>
  <c r="BS49" i="37"/>
  <c r="CM49" i="37"/>
  <c r="K50" i="37"/>
  <c r="O50" i="37"/>
  <c r="S50" i="37"/>
  <c r="W50" i="37"/>
  <c r="AA50" i="37"/>
  <c r="AE50" i="37"/>
  <c r="AI50" i="37"/>
  <c r="AM50" i="37"/>
  <c r="AQ50" i="37"/>
  <c r="AU50" i="37"/>
  <c r="AY50" i="37"/>
  <c r="BC50" i="37"/>
  <c r="BG50" i="37"/>
  <c r="BK50" i="37"/>
  <c r="BO50" i="37"/>
  <c r="BW50" i="37"/>
  <c r="CA50" i="37"/>
  <c r="CE50" i="37"/>
  <c r="CI50" i="37"/>
  <c r="K51" i="37"/>
  <c r="O51" i="37"/>
  <c r="S51" i="37"/>
  <c r="W51" i="37"/>
  <c r="AA51" i="37"/>
  <c r="AE51" i="37"/>
  <c r="AI51" i="37"/>
  <c r="AM51" i="37"/>
  <c r="AQ51" i="37"/>
  <c r="AU51" i="37"/>
  <c r="AY51" i="37"/>
  <c r="BC51" i="37"/>
  <c r="BG51" i="37"/>
  <c r="BK51" i="37"/>
  <c r="BO51" i="37"/>
  <c r="BW51" i="37"/>
  <c r="CA51" i="37"/>
  <c r="CE51" i="37"/>
  <c r="CI51" i="37"/>
  <c r="K52" i="37"/>
  <c r="O52" i="37"/>
  <c r="S52" i="37"/>
  <c r="W52" i="37"/>
  <c r="AA52" i="37"/>
  <c r="AE52" i="37"/>
  <c r="AI52" i="37"/>
  <c r="AM52" i="37"/>
  <c r="AQ52" i="37"/>
  <c r="AU52" i="37"/>
  <c r="AY52" i="37"/>
  <c r="BC52" i="37"/>
  <c r="BG52" i="37"/>
  <c r="BK52" i="37"/>
  <c r="BO52" i="37"/>
  <c r="BW52" i="37"/>
  <c r="CA52" i="37"/>
  <c r="CE52" i="37"/>
  <c r="CI52" i="37"/>
  <c r="K53" i="37"/>
  <c r="K54" i="37" s="1"/>
  <c r="AA53" i="37"/>
  <c r="AQ53" i="37"/>
  <c r="BG53" i="37"/>
  <c r="BW53" i="37"/>
  <c r="BW54" i="37" s="1"/>
  <c r="I51" i="37"/>
  <c r="G52" i="37"/>
  <c r="I55" i="37"/>
  <c r="CI73" i="37"/>
  <c r="CI74" i="37" s="1"/>
  <c r="D71" i="37"/>
  <c r="P70" i="37"/>
  <c r="X70" i="37"/>
  <c r="AB69" i="37"/>
  <c r="AF70" i="37"/>
  <c r="AN70" i="37"/>
  <c r="AR69" i="37"/>
  <c r="BD69" i="37"/>
  <c r="BH69" i="37"/>
  <c r="R30" i="45" s="1"/>
  <c r="BQ73" i="37"/>
  <c r="BQ71" i="37"/>
  <c r="BQ72" i="37" s="1"/>
  <c r="BQ70" i="37"/>
  <c r="CA69" i="37"/>
  <c r="AK30" i="45" s="1"/>
  <c r="CE69" i="37"/>
  <c r="AO30" i="45" s="1"/>
  <c r="CJ69" i="37"/>
  <c r="AT30" i="45" s="1"/>
  <c r="Q68" i="37"/>
  <c r="P79" i="37"/>
  <c r="T79" i="37"/>
  <c r="AF79" i="37"/>
  <c r="AJ79" i="37"/>
  <c r="AV79" i="37"/>
  <c r="AZ79" i="37"/>
  <c r="BH79" i="37"/>
  <c r="BL78" i="37"/>
  <c r="BQ83" i="37"/>
  <c r="BQ82" i="37"/>
  <c r="BQ80" i="37"/>
  <c r="BQ81" i="37" s="1"/>
  <c r="BQ79" i="37"/>
  <c r="BQ78" i="37"/>
  <c r="BQ77" i="37"/>
  <c r="CA78" i="37"/>
  <c r="E70" i="37"/>
  <c r="E73" i="37"/>
  <c r="E71" i="37"/>
  <c r="E69" i="37"/>
  <c r="I70" i="37"/>
  <c r="I73" i="37"/>
  <c r="I71" i="37"/>
  <c r="I69" i="37"/>
  <c r="M73" i="37"/>
  <c r="M71" i="37"/>
  <c r="M70" i="37"/>
  <c r="Q73" i="37"/>
  <c r="Q74" i="37" s="1"/>
  <c r="Q71" i="37"/>
  <c r="Q70" i="37"/>
  <c r="U73" i="37"/>
  <c r="U71" i="37"/>
  <c r="U70" i="37"/>
  <c r="Y73" i="37"/>
  <c r="Y74" i="37" s="1"/>
  <c r="Y71" i="37"/>
  <c r="Y70" i="37"/>
  <c r="Y69" i="37"/>
  <c r="AC73" i="37"/>
  <c r="AC71" i="37"/>
  <c r="AC70" i="37"/>
  <c r="AC69" i="37"/>
  <c r="AG73" i="37"/>
  <c r="AG74" i="37" s="1"/>
  <c r="AG71" i="37"/>
  <c r="AG70" i="37"/>
  <c r="AG69" i="37"/>
  <c r="AK73" i="37"/>
  <c r="AK71" i="37"/>
  <c r="AK70" i="37"/>
  <c r="AO73" i="37"/>
  <c r="AO71" i="37"/>
  <c r="AO70" i="37"/>
  <c r="AO69" i="37"/>
  <c r="AS73" i="37"/>
  <c r="AS71" i="37"/>
  <c r="AS70" i="37"/>
  <c r="AS69" i="37"/>
  <c r="AW73" i="37"/>
  <c r="AW71" i="37"/>
  <c r="AW70" i="37"/>
  <c r="AW69" i="37"/>
  <c r="G30" i="45" s="1"/>
  <c r="BA73" i="37"/>
  <c r="BA71" i="37"/>
  <c r="BA72" i="37" s="1"/>
  <c r="BA70" i="37"/>
  <c r="BE73" i="37"/>
  <c r="BE74" i="37" s="1"/>
  <c r="BE71" i="37"/>
  <c r="BE70" i="37"/>
  <c r="BE69" i="37"/>
  <c r="O30" i="45" s="1"/>
  <c r="BI73" i="37"/>
  <c r="BI74" i="37" s="1"/>
  <c r="BI71" i="37"/>
  <c r="BI70" i="37"/>
  <c r="BI69" i="37"/>
  <c r="BM73" i="37"/>
  <c r="BM74" i="37" s="1"/>
  <c r="BM71" i="37"/>
  <c r="BM70" i="37"/>
  <c r="BM69" i="37"/>
  <c r="W30" i="45" s="1"/>
  <c r="BW73" i="37"/>
  <c r="BW74" i="37" s="1"/>
  <c r="CK73" i="37"/>
  <c r="CK71" i="37"/>
  <c r="CK70" i="37"/>
  <c r="CK69" i="37"/>
  <c r="AU30" i="45" s="1"/>
  <c r="U68" i="37"/>
  <c r="AK68" i="37"/>
  <c r="BA68" i="37"/>
  <c r="BQ68" i="37"/>
  <c r="CG68" i="37"/>
  <c r="U69" i="37"/>
  <c r="BO69" i="37"/>
  <c r="Y30" i="45" s="1"/>
  <c r="BT69" i="37"/>
  <c r="AD30" i="45" s="1"/>
  <c r="BY73" i="37"/>
  <c r="BY71" i="37"/>
  <c r="BY70" i="37"/>
  <c r="BY69" i="37"/>
  <c r="AI30" i="45" s="1"/>
  <c r="CC67" i="37"/>
  <c r="CG73" i="37"/>
  <c r="CG71" i="37"/>
  <c r="CG72" i="37" s="1"/>
  <c r="CG70" i="37"/>
  <c r="Y68" i="37"/>
  <c r="AO68" i="37"/>
  <c r="BE68" i="37"/>
  <c r="CK68" i="37"/>
  <c r="BQ69" i="37"/>
  <c r="AA30" i="45" s="1"/>
  <c r="F71" i="37"/>
  <c r="F69" i="37"/>
  <c r="F73" i="37"/>
  <c r="J71" i="37"/>
  <c r="J73" i="37"/>
  <c r="J70" i="37"/>
  <c r="J69" i="37"/>
  <c r="N73" i="37"/>
  <c r="N71" i="37"/>
  <c r="N72" i="37" s="1"/>
  <c r="N70" i="37"/>
  <c r="R73" i="37"/>
  <c r="R74" i="37" s="1"/>
  <c r="R71" i="37"/>
  <c r="R70" i="37"/>
  <c r="V73" i="37"/>
  <c r="V71" i="37"/>
  <c r="V72" i="37" s="1"/>
  <c r="V70" i="37"/>
  <c r="V69" i="37"/>
  <c r="Z73" i="37"/>
  <c r="Z71" i="37"/>
  <c r="Z70" i="37"/>
  <c r="Z69" i="37"/>
  <c r="AD73" i="37"/>
  <c r="AD71" i="37"/>
  <c r="AD72" i="37" s="1"/>
  <c r="AD70" i="37"/>
  <c r="AD69" i="37"/>
  <c r="AH73" i="37"/>
  <c r="AH71" i="37"/>
  <c r="AH72" i="37" s="1"/>
  <c r="AH70" i="37"/>
  <c r="AH69" i="37"/>
  <c r="AL73" i="37"/>
  <c r="AL71" i="37"/>
  <c r="AL72" i="37" s="1"/>
  <c r="AL70" i="37"/>
  <c r="AL69" i="37"/>
  <c r="AP73" i="37"/>
  <c r="AP71" i="37"/>
  <c r="AP72" i="37" s="1"/>
  <c r="AP70" i="37"/>
  <c r="AP69" i="37"/>
  <c r="AT73" i="37"/>
  <c r="AT74" i="37" s="1"/>
  <c r="AT71" i="37"/>
  <c r="AT72" i="37" s="1"/>
  <c r="AT70" i="37"/>
  <c r="AT69" i="37"/>
  <c r="AX73" i="37"/>
  <c r="AX74" i="37" s="1"/>
  <c r="AX71" i="37"/>
  <c r="AX72" i="37" s="1"/>
  <c r="AX70" i="37"/>
  <c r="AX69" i="37"/>
  <c r="H30" i="45" s="1"/>
  <c r="BB73" i="37"/>
  <c r="BB74" i="37" s="1"/>
  <c r="BB71" i="37"/>
  <c r="BB72" i="37" s="1"/>
  <c r="BB70" i="37"/>
  <c r="BB69" i="37"/>
  <c r="L30" i="45" s="1"/>
  <c r="BF73" i="37"/>
  <c r="BF74" i="37" s="1"/>
  <c r="BF71" i="37"/>
  <c r="BF72" i="37" s="1"/>
  <c r="BF70" i="37"/>
  <c r="BF69" i="37"/>
  <c r="P30" i="45" s="1"/>
  <c r="BJ73" i="37"/>
  <c r="BJ71" i="37"/>
  <c r="BJ72" i="37" s="1"/>
  <c r="BJ70" i="37"/>
  <c r="BJ69" i="37"/>
  <c r="T30" i="45" s="1"/>
  <c r="BN67" i="37"/>
  <c r="BR73" i="37"/>
  <c r="BR71" i="37"/>
  <c r="BR72" i="37" s="1"/>
  <c r="BR70" i="37"/>
  <c r="BR69" i="37"/>
  <c r="AB30" i="45" s="1"/>
  <c r="BV73" i="37"/>
  <c r="BV74" i="37" s="1"/>
  <c r="BV71" i="37"/>
  <c r="BV72" i="37" s="1"/>
  <c r="BV70" i="37"/>
  <c r="BV69" i="37"/>
  <c r="AF30" i="45" s="1"/>
  <c r="BZ73" i="37"/>
  <c r="BZ74" i="37" s="1"/>
  <c r="BZ71" i="37"/>
  <c r="BZ72" i="37" s="1"/>
  <c r="BZ70" i="37"/>
  <c r="BZ69" i="37"/>
  <c r="AJ30" i="45" s="1"/>
  <c r="CD73" i="37"/>
  <c r="CD74" i="37" s="1"/>
  <c r="CD71" i="37"/>
  <c r="CD72" i="37" s="1"/>
  <c r="CD70" i="37"/>
  <c r="CD69" i="37"/>
  <c r="AN30" i="45" s="1"/>
  <c r="CH67" i="37"/>
  <c r="CL73" i="37"/>
  <c r="CL74" i="37" s="1"/>
  <c r="CL71" i="37"/>
  <c r="CL72" i="37" s="1"/>
  <c r="CL70" i="37"/>
  <c r="CL69" i="37"/>
  <c r="AV30" i="45" s="1"/>
  <c r="N68" i="37"/>
  <c r="R68" i="37"/>
  <c r="V68" i="37"/>
  <c r="Z68" i="37"/>
  <c r="AD68" i="37"/>
  <c r="AH68" i="37"/>
  <c r="AL68" i="37"/>
  <c r="AP68" i="37"/>
  <c r="AT68" i="37"/>
  <c r="AX68" i="37"/>
  <c r="BB68" i="37"/>
  <c r="BF68" i="37"/>
  <c r="BJ68" i="37"/>
  <c r="BR68" i="37"/>
  <c r="BV68" i="37"/>
  <c r="BZ68" i="37"/>
  <c r="CD68" i="37"/>
  <c r="CL68" i="37"/>
  <c r="N69" i="37"/>
  <c r="R69" i="37"/>
  <c r="W69" i="37"/>
  <c r="AM69" i="37"/>
  <c r="BC69" i="37"/>
  <c r="M30" i="45" s="1"/>
  <c r="CI69" i="37"/>
  <c r="AS30" i="45" s="1"/>
  <c r="O70" i="37"/>
  <c r="W70" i="37"/>
  <c r="AE70" i="37"/>
  <c r="AM70" i="37"/>
  <c r="AY70" i="37"/>
  <c r="BO70" i="37"/>
  <c r="CE70" i="37"/>
  <c r="S71" i="37"/>
  <c r="AI71" i="37"/>
  <c r="AY71" i="37"/>
  <c r="AY72" i="37" s="1"/>
  <c r="BO71" i="37"/>
  <c r="CE71" i="37"/>
  <c r="CE72" i="37" s="1"/>
  <c r="S73" i="37"/>
  <c r="S74" i="37" s="1"/>
  <c r="AI73" i="37"/>
  <c r="AI74" i="37" s="1"/>
  <c r="AY73" i="37"/>
  <c r="AY74" i="37" s="1"/>
  <c r="BO73" i="37"/>
  <c r="BO74" i="37" s="1"/>
  <c r="CE73" i="37"/>
  <c r="F70" i="37"/>
  <c r="G73" i="37"/>
  <c r="G69" i="37"/>
  <c r="G71" i="37"/>
  <c r="G70" i="37"/>
  <c r="BS67" i="37"/>
  <c r="CM67" i="37"/>
  <c r="K68" i="37"/>
  <c r="O68" i="37"/>
  <c r="S68" i="37"/>
  <c r="W68" i="37"/>
  <c r="AA68" i="37"/>
  <c r="AE68" i="37"/>
  <c r="AI68" i="37"/>
  <c r="AM68" i="37"/>
  <c r="AQ68" i="37"/>
  <c r="AU68" i="37"/>
  <c r="AY68" i="37"/>
  <c r="BC68" i="37"/>
  <c r="BG68" i="37"/>
  <c r="BK68" i="37"/>
  <c r="BO68" i="37"/>
  <c r="BW68" i="37"/>
  <c r="CA68" i="37"/>
  <c r="CE68" i="37"/>
  <c r="CI68" i="37"/>
  <c r="K69" i="37"/>
  <c r="S69" i="37"/>
  <c r="X69" i="37"/>
  <c r="AI69" i="37"/>
  <c r="AN69" i="37"/>
  <c r="BC70" i="37"/>
  <c r="CI70" i="37"/>
  <c r="W71" i="37"/>
  <c r="AM71" i="37"/>
  <c r="AM72" i="37" s="1"/>
  <c r="BC71" i="37"/>
  <c r="CI71" i="37"/>
  <c r="CI72" i="37" s="1"/>
  <c r="D70" i="37"/>
  <c r="H71" i="37"/>
  <c r="H73" i="37"/>
  <c r="H70" i="37"/>
  <c r="L73" i="37"/>
  <c r="L74" i="37" s="1"/>
  <c r="L71" i="37"/>
  <c r="L72" i="37" s="1"/>
  <c r="P73" i="37"/>
  <c r="P71" i="37"/>
  <c r="P72" i="37" s="1"/>
  <c r="T73" i="37"/>
  <c r="T74" i="37" s="1"/>
  <c r="T71" i="37"/>
  <c r="T72" i="37" s="1"/>
  <c r="X73" i="37"/>
  <c r="X74" i="37" s="1"/>
  <c r="X71" i="37"/>
  <c r="X72" i="37" s="1"/>
  <c r="AB73" i="37"/>
  <c r="AB74" i="37" s="1"/>
  <c r="AB71" i="37"/>
  <c r="AB72" i="37" s="1"/>
  <c r="AF73" i="37"/>
  <c r="AF71" i="37"/>
  <c r="AF72" i="37" s="1"/>
  <c r="AJ73" i="37"/>
  <c r="AJ74" i="37" s="1"/>
  <c r="AJ71" i="37"/>
  <c r="AN73" i="37"/>
  <c r="AN71" i="37"/>
  <c r="AN72" i="37" s="1"/>
  <c r="AR73" i="37"/>
  <c r="AR74" i="37" s="1"/>
  <c r="AR71" i="37"/>
  <c r="AR72" i="37" s="1"/>
  <c r="AR70" i="37"/>
  <c r="AV73" i="37"/>
  <c r="AV74" i="37" s="1"/>
  <c r="AV71" i="37"/>
  <c r="AV70" i="37"/>
  <c r="AZ73" i="37"/>
  <c r="AZ74" i="37" s="1"/>
  <c r="AZ71" i="37"/>
  <c r="AZ72" i="37" s="1"/>
  <c r="AZ70" i="37"/>
  <c r="BD73" i="37"/>
  <c r="BD74" i="37" s="1"/>
  <c r="BD71" i="37"/>
  <c r="BD70" i="37"/>
  <c r="BH73" i="37"/>
  <c r="BH74" i="37" s="1"/>
  <c r="BH71" i="37"/>
  <c r="BH72" i="37" s="1"/>
  <c r="BH70" i="37"/>
  <c r="BL73" i="37"/>
  <c r="BL74" i="37" s="1"/>
  <c r="BL71" i="37"/>
  <c r="BL70" i="37"/>
  <c r="BP73" i="37"/>
  <c r="BP74" i="37" s="1"/>
  <c r="BP71" i="37"/>
  <c r="BP72" i="37" s="1"/>
  <c r="BP70" i="37"/>
  <c r="BT73" i="37"/>
  <c r="BT74" i="37" s="1"/>
  <c r="BT71" i="37"/>
  <c r="BT72" i="37" s="1"/>
  <c r="BT70" i="37"/>
  <c r="BX67" i="37"/>
  <c r="CB73" i="37"/>
  <c r="CB71" i="37"/>
  <c r="CB70" i="37"/>
  <c r="CF73" i="37"/>
  <c r="CF74" i="37" s="1"/>
  <c r="CF71" i="37"/>
  <c r="CF72" i="37" s="1"/>
  <c r="CF70" i="37"/>
  <c r="CJ73" i="37"/>
  <c r="CJ74" i="37" s="1"/>
  <c r="CJ71" i="37"/>
  <c r="CJ70" i="37"/>
  <c r="L68" i="37"/>
  <c r="P68" i="37"/>
  <c r="T68" i="37"/>
  <c r="X68" i="37"/>
  <c r="AB68" i="37"/>
  <c r="AF68" i="37"/>
  <c r="AJ68" i="37"/>
  <c r="AN68" i="37"/>
  <c r="AR68" i="37"/>
  <c r="AV68" i="37"/>
  <c r="AZ68" i="37"/>
  <c r="BD68" i="37"/>
  <c r="BH68" i="37"/>
  <c r="BL68" i="37"/>
  <c r="BP68" i="37"/>
  <c r="BT68" i="37"/>
  <c r="CB68" i="37"/>
  <c r="CF68" i="37"/>
  <c r="CJ68" i="37"/>
  <c r="L69" i="37"/>
  <c r="P69" i="37"/>
  <c r="T69" i="37"/>
  <c r="AJ69" i="37"/>
  <c r="AZ69" i="37"/>
  <c r="J30" i="45" s="1"/>
  <c r="BP69" i="37"/>
  <c r="Z30" i="45" s="1"/>
  <c r="CF69" i="37"/>
  <c r="AP30" i="45" s="1"/>
  <c r="K70" i="37"/>
  <c r="AA70" i="37"/>
  <c r="AQ70" i="37"/>
  <c r="BG70" i="37"/>
  <c r="BW70" i="37"/>
  <c r="K71" i="37"/>
  <c r="AA71" i="37"/>
  <c r="AA72" i="37" s="1"/>
  <c r="AQ71" i="37"/>
  <c r="AQ72" i="37" s="1"/>
  <c r="BG71" i="37"/>
  <c r="BW71" i="37"/>
  <c r="BW72" i="37" s="1"/>
  <c r="D69" i="37"/>
  <c r="D73" i="37"/>
  <c r="E82" i="37"/>
  <c r="E78" i="37"/>
  <c r="E83" i="37"/>
  <c r="E79" i="37"/>
  <c r="E80" i="37"/>
  <c r="I82" i="37"/>
  <c r="I78" i="37"/>
  <c r="I83" i="37"/>
  <c r="I79" i="37"/>
  <c r="I80" i="37"/>
  <c r="M80" i="37"/>
  <c r="M82" i="37"/>
  <c r="M83" i="37"/>
  <c r="Q80" i="37"/>
  <c r="Q83" i="37"/>
  <c r="Q84" i="37" s="1"/>
  <c r="Q79" i="37"/>
  <c r="Q78" i="37"/>
  <c r="Q82" i="37"/>
  <c r="U82" i="37"/>
  <c r="U83" i="37"/>
  <c r="U80" i="37"/>
  <c r="U79" i="37"/>
  <c r="U78" i="37"/>
  <c r="Y83" i="37"/>
  <c r="Y84" i="37" s="1"/>
  <c r="Y82" i="37"/>
  <c r="Y80" i="37"/>
  <c r="Y81" i="37" s="1"/>
  <c r="Y79" i="37"/>
  <c r="Y78" i="37"/>
  <c r="AC80" i="37"/>
  <c r="AC82" i="37"/>
  <c r="AC83" i="37"/>
  <c r="AG82" i="37"/>
  <c r="AG80" i="37"/>
  <c r="AG83" i="37"/>
  <c r="AG84" i="37" s="1"/>
  <c r="AG79" i="37"/>
  <c r="AG78" i="37"/>
  <c r="AK83" i="37"/>
  <c r="AK80" i="37"/>
  <c r="AK82" i="37"/>
  <c r="AK79" i="37"/>
  <c r="AK78" i="37"/>
  <c r="AO83" i="37"/>
  <c r="AO82" i="37"/>
  <c r="AO80" i="37"/>
  <c r="AO81" i="37" s="1"/>
  <c r="AO79" i="37"/>
  <c r="AO78" i="37"/>
  <c r="AS80" i="37"/>
  <c r="AS82" i="37"/>
  <c r="AW82" i="37"/>
  <c r="AW80" i="37"/>
  <c r="AW83" i="37"/>
  <c r="AW84" i="37" s="1"/>
  <c r="AW79" i="37"/>
  <c r="AW78" i="37"/>
  <c r="BA83" i="37"/>
  <c r="BA80" i="37"/>
  <c r="BA79" i="37"/>
  <c r="BA82" i="37"/>
  <c r="BA78" i="37"/>
  <c r="BE83" i="37"/>
  <c r="BE82" i="37"/>
  <c r="BE80" i="37"/>
  <c r="BE79" i="37"/>
  <c r="BE78" i="37"/>
  <c r="BI80" i="37"/>
  <c r="BI79" i="37"/>
  <c r="BI82" i="37"/>
  <c r="BI83" i="37"/>
  <c r="BM80" i="37"/>
  <c r="BM81" i="37" s="1"/>
  <c r="BM79" i="37"/>
  <c r="BM83" i="37"/>
  <c r="BM84" i="37" s="1"/>
  <c r="BM82" i="37"/>
  <c r="BM78" i="37"/>
  <c r="BM77" i="37"/>
  <c r="BW80" i="37"/>
  <c r="CB78" i="37"/>
  <c r="CF78" i="37"/>
  <c r="CK83" i="37"/>
  <c r="CK82" i="37"/>
  <c r="CK80" i="37"/>
  <c r="CK79" i="37"/>
  <c r="CK78" i="37"/>
  <c r="CK77" i="37"/>
  <c r="U77" i="37"/>
  <c r="AK77" i="37"/>
  <c r="BA77" i="37"/>
  <c r="BI78" i="37"/>
  <c r="AC79" i="37"/>
  <c r="AS83" i="37"/>
  <c r="AS84" i="37" s="1"/>
  <c r="BY80" i="37"/>
  <c r="BY79" i="37"/>
  <c r="BY83" i="37"/>
  <c r="CC76" i="37"/>
  <c r="CG83" i="37"/>
  <c r="CG82" i="37"/>
  <c r="CG80" i="37"/>
  <c r="CG79" i="37"/>
  <c r="CG78" i="37"/>
  <c r="CG77" i="37"/>
  <c r="Y77" i="37"/>
  <c r="AO77" i="37"/>
  <c r="BE77" i="37"/>
  <c r="BY77" i="37"/>
  <c r="AS78" i="37"/>
  <c r="M79" i="37"/>
  <c r="G80" i="37"/>
  <c r="G82" i="37"/>
  <c r="G78" i="37"/>
  <c r="G83" i="37"/>
  <c r="G79" i="37"/>
  <c r="K80" i="37"/>
  <c r="O79" i="37"/>
  <c r="AA80" i="37"/>
  <c r="AA81" i="37" s="1"/>
  <c r="AE79" i="37"/>
  <c r="AQ80" i="37"/>
  <c r="AU79" i="37"/>
  <c r="BG80" i="37"/>
  <c r="BG81" i="37" s="1"/>
  <c r="BK78" i="37"/>
  <c r="BP79" i="37"/>
  <c r="BU83" i="37"/>
  <c r="BU82" i="37"/>
  <c r="BU80" i="37"/>
  <c r="BU79" i="37"/>
  <c r="BU78" i="37"/>
  <c r="BU77" i="37"/>
  <c r="M77" i="37"/>
  <c r="AC77" i="37"/>
  <c r="AS77" i="37"/>
  <c r="BI77" i="37"/>
  <c r="AC78" i="37"/>
  <c r="F83" i="37"/>
  <c r="F79" i="37"/>
  <c r="F80" i="37"/>
  <c r="F82" i="37"/>
  <c r="J83" i="37"/>
  <c r="J79" i="37"/>
  <c r="J80" i="37"/>
  <c r="J82" i="37"/>
  <c r="J78" i="37"/>
  <c r="N83" i="37"/>
  <c r="N80" i="37"/>
  <c r="N81" i="37" s="1"/>
  <c r="N79" i="37"/>
  <c r="N78" i="37"/>
  <c r="N82" i="37"/>
  <c r="R83" i="37"/>
  <c r="R84" i="37" s="1"/>
  <c r="R80" i="37"/>
  <c r="W81" i="37" s="1"/>
  <c r="R79" i="37"/>
  <c r="R78" i="37"/>
  <c r="R82" i="37"/>
  <c r="V83" i="37"/>
  <c r="V80" i="37"/>
  <c r="V81" i="37" s="1"/>
  <c r="V79" i="37"/>
  <c r="V78" i="37"/>
  <c r="Z83" i="37"/>
  <c r="Z82" i="37"/>
  <c r="Z80" i="37"/>
  <c r="Z81" i="37" s="1"/>
  <c r="Z79" i="37"/>
  <c r="Z78" i="37"/>
  <c r="AD83" i="37"/>
  <c r="AD80" i="37"/>
  <c r="AD79" i="37"/>
  <c r="AD78" i="37"/>
  <c r="AD82" i="37"/>
  <c r="AH83" i="37"/>
  <c r="AH84" i="37" s="1"/>
  <c r="AH80" i="37"/>
  <c r="AH81" i="37" s="1"/>
  <c r="AH79" i="37"/>
  <c r="AH78" i="37"/>
  <c r="AL83" i="37"/>
  <c r="AL80" i="37"/>
  <c r="AL81" i="37" s="1"/>
  <c r="AL79" i="37"/>
  <c r="AL78" i="37"/>
  <c r="AL82" i="37"/>
  <c r="AP83" i="37"/>
  <c r="AP84" i="37" s="1"/>
  <c r="AP80" i="37"/>
  <c r="AP79" i="37"/>
  <c r="AP78" i="37"/>
  <c r="AT83" i="37"/>
  <c r="AT84" i="37" s="1"/>
  <c r="AT80" i="37"/>
  <c r="AT79" i="37"/>
  <c r="AT78" i="37"/>
  <c r="AT82" i="37"/>
  <c r="AX83" i="37"/>
  <c r="AX80" i="37"/>
  <c r="AX81" i="37" s="1"/>
  <c r="AX79" i="37"/>
  <c r="AX78" i="37"/>
  <c r="BB83" i="37"/>
  <c r="BB80" i="37"/>
  <c r="BB81" i="37" s="1"/>
  <c r="BB79" i="37"/>
  <c r="BB78" i="37"/>
  <c r="BB82" i="37"/>
  <c r="BF83" i="37"/>
  <c r="BF84" i="37" s="1"/>
  <c r="BF82" i="37"/>
  <c r="BF80" i="37"/>
  <c r="BF81" i="37" s="1"/>
  <c r="BF79" i="37"/>
  <c r="BF78" i="37"/>
  <c r="BJ83" i="37"/>
  <c r="BJ84" i="37" s="1"/>
  <c r="BJ82" i="37"/>
  <c r="BJ80" i="37"/>
  <c r="BJ81" i="37" s="1"/>
  <c r="BJ79" i="37"/>
  <c r="BJ78" i="37"/>
  <c r="BJ77" i="37"/>
  <c r="BN76" i="37"/>
  <c r="BR83" i="37"/>
  <c r="BR84" i="37" s="1"/>
  <c r="BR82" i="37"/>
  <c r="BR80" i="37"/>
  <c r="BR81" i="37" s="1"/>
  <c r="BR79" i="37"/>
  <c r="BR78" i="37"/>
  <c r="BR77" i="37"/>
  <c r="BV83" i="37"/>
  <c r="BV84" i="37" s="1"/>
  <c r="BV82" i="37"/>
  <c r="BV80" i="37"/>
  <c r="BV79" i="37"/>
  <c r="BV78" i="37"/>
  <c r="BV77" i="37"/>
  <c r="BZ83" i="37"/>
  <c r="BZ84" i="37" s="1"/>
  <c r="BZ82" i="37"/>
  <c r="BZ80" i="37"/>
  <c r="BZ81" i="37" s="1"/>
  <c r="BZ79" i="37"/>
  <c r="BZ78" i="37"/>
  <c r="BZ77" i="37"/>
  <c r="CD83" i="37"/>
  <c r="CD84" i="37" s="1"/>
  <c r="CD82" i="37"/>
  <c r="CD80" i="37"/>
  <c r="CD81" i="37" s="1"/>
  <c r="CD79" i="37"/>
  <c r="CD78" i="37"/>
  <c r="CD77" i="37"/>
  <c r="CH76" i="37"/>
  <c r="CL83" i="37"/>
  <c r="CL84" i="37" s="1"/>
  <c r="CL82" i="37"/>
  <c r="CL80" i="37"/>
  <c r="CL79" i="37"/>
  <c r="CL78" i="37"/>
  <c r="CL77" i="37"/>
  <c r="N77" i="37"/>
  <c r="R77" i="37"/>
  <c r="V77" i="37"/>
  <c r="Z77" i="37"/>
  <c r="AD77" i="37"/>
  <c r="AH77" i="37"/>
  <c r="AL77" i="37"/>
  <c r="AP77" i="37"/>
  <c r="AT77" i="37"/>
  <c r="AX77" i="37"/>
  <c r="BB77" i="37"/>
  <c r="BF77" i="37"/>
  <c r="BK77" i="37"/>
  <c r="BP77" i="37"/>
  <c r="CA77" i="37"/>
  <c r="CF77" i="37"/>
  <c r="O78" i="37"/>
  <c r="T78" i="37"/>
  <c r="AE78" i="37"/>
  <c r="AJ78" i="37"/>
  <c r="AU78" i="37"/>
  <c r="AZ78" i="37"/>
  <c r="BP78" i="37"/>
  <c r="AP82" i="37"/>
  <c r="K83" i="37"/>
  <c r="O83" i="37"/>
  <c r="O84" i="37" s="1"/>
  <c r="O82" i="37"/>
  <c r="S83" i="37"/>
  <c r="S84" i="37" s="1"/>
  <c r="S82" i="37"/>
  <c r="W83" i="37"/>
  <c r="W82" i="37"/>
  <c r="AA83" i="37"/>
  <c r="AA84" i="37" s="1"/>
  <c r="AE83" i="37"/>
  <c r="AE84" i="37" s="1"/>
  <c r="AE82" i="37"/>
  <c r="AI83" i="37"/>
  <c r="AI82" i="37"/>
  <c r="AM83" i="37"/>
  <c r="AM82" i="37"/>
  <c r="AQ83" i="37"/>
  <c r="AQ84" i="37" s="1"/>
  <c r="AQ82" i="37"/>
  <c r="AU83" i="37"/>
  <c r="AU82" i="37"/>
  <c r="AY83" i="37"/>
  <c r="AY82" i="37"/>
  <c r="BC83" i="37"/>
  <c r="BC84" i="37" s="1"/>
  <c r="BC82" i="37"/>
  <c r="BG83" i="37"/>
  <c r="BG84" i="37" s="1"/>
  <c r="BG82" i="37"/>
  <c r="BK83" i="37"/>
  <c r="BK82" i="37"/>
  <c r="BO83" i="37"/>
  <c r="BO84" i="37" s="1"/>
  <c r="BO82" i="37"/>
  <c r="BS76" i="37"/>
  <c r="BW83" i="37"/>
  <c r="BW84" i="37" s="1"/>
  <c r="BW82" i="37"/>
  <c r="CA83" i="37"/>
  <c r="CA84" i="37" s="1"/>
  <c r="CA82" i="37"/>
  <c r="CE83" i="37"/>
  <c r="CE84" i="37" s="1"/>
  <c r="CE82" i="37"/>
  <c r="CI83" i="37"/>
  <c r="CI84" i="37" s="1"/>
  <c r="CI82" i="37"/>
  <c r="CM76" i="37"/>
  <c r="K77" i="37"/>
  <c r="O77" i="37"/>
  <c r="S77" i="37"/>
  <c r="W77" i="37"/>
  <c r="AA77" i="37"/>
  <c r="AE77" i="37"/>
  <c r="AI77" i="37"/>
  <c r="AM77" i="37"/>
  <c r="AQ77" i="37"/>
  <c r="AU77" i="37"/>
  <c r="AY77" i="37"/>
  <c r="BC77" i="37"/>
  <c r="BG77" i="37"/>
  <c r="BL77" i="37"/>
  <c r="BW77" i="37"/>
  <c r="CB77" i="37"/>
  <c r="K78" i="37"/>
  <c r="P78" i="37"/>
  <c r="AA78" i="37"/>
  <c r="AF78" i="37"/>
  <c r="AQ78" i="37"/>
  <c r="AV78" i="37"/>
  <c r="BG78" i="37"/>
  <c r="BW78" i="37"/>
  <c r="K79" i="37"/>
  <c r="AA79" i="37"/>
  <c r="AQ79" i="37"/>
  <c r="BC79" i="37"/>
  <c r="BK79" i="37"/>
  <c r="CA79" i="37"/>
  <c r="O80" i="37"/>
  <c r="AE80" i="37"/>
  <c r="AE81" i="37" s="1"/>
  <c r="AU80" i="37"/>
  <c r="AU81" i="37" s="1"/>
  <c r="BK80" i="37"/>
  <c r="BK81" i="37" s="1"/>
  <c r="CA80" i="37"/>
  <c r="V82" i="37"/>
  <c r="AX82" i="37"/>
  <c r="F78" i="37"/>
  <c r="D78" i="37"/>
  <c r="D83" i="37"/>
  <c r="D79" i="37"/>
  <c r="D80" i="37"/>
  <c r="H82" i="37"/>
  <c r="H78" i="37"/>
  <c r="H83" i="37"/>
  <c r="H79" i="37"/>
  <c r="L83" i="37"/>
  <c r="L82" i="37"/>
  <c r="L80" i="37"/>
  <c r="L81" i="37" s="1"/>
  <c r="P83" i="37"/>
  <c r="P84" i="37" s="1"/>
  <c r="P82" i="37"/>
  <c r="P80" i="37"/>
  <c r="P81" i="37" s="1"/>
  <c r="T83" i="37"/>
  <c r="T82" i="37"/>
  <c r="T80" i="37"/>
  <c r="T81" i="37" s="1"/>
  <c r="X83" i="37"/>
  <c r="X82" i="37"/>
  <c r="X80" i="37"/>
  <c r="X81" i="37" s="1"/>
  <c r="AB83" i="37"/>
  <c r="AB82" i="37"/>
  <c r="AB80" i="37"/>
  <c r="AB81" i="37" s="1"/>
  <c r="AF83" i="37"/>
  <c r="AF84" i="37" s="1"/>
  <c r="AF82" i="37"/>
  <c r="AF80" i="37"/>
  <c r="AJ83" i="37"/>
  <c r="AJ84" i="37" s="1"/>
  <c r="AJ82" i="37"/>
  <c r="AJ80" i="37"/>
  <c r="AN83" i="37"/>
  <c r="AN84" i="37" s="1"/>
  <c r="AN82" i="37"/>
  <c r="AN80" i="37"/>
  <c r="AN81" i="37" s="1"/>
  <c r="AR83" i="37"/>
  <c r="AR84" i="37" s="1"/>
  <c r="AR82" i="37"/>
  <c r="AR80" i="37"/>
  <c r="AR81" i="37" s="1"/>
  <c r="AV83" i="37"/>
  <c r="AV84" i="37" s="1"/>
  <c r="AV82" i="37"/>
  <c r="AV80" i="37"/>
  <c r="AV81" i="37" s="1"/>
  <c r="AZ83" i="37"/>
  <c r="AZ84" i="37" s="1"/>
  <c r="AZ82" i="37"/>
  <c r="AZ80" i="37"/>
  <c r="BD83" i="37"/>
  <c r="BD84" i="37" s="1"/>
  <c r="BD82" i="37"/>
  <c r="BD80" i="37"/>
  <c r="BD81" i="37" s="1"/>
  <c r="BH83" i="37"/>
  <c r="BH84" i="37" s="1"/>
  <c r="BH82" i="37"/>
  <c r="BH80" i="37"/>
  <c r="BH81" i="37" s="1"/>
  <c r="BL83" i="37"/>
  <c r="BL84" i="37" s="1"/>
  <c r="BL82" i="37"/>
  <c r="BL80" i="37"/>
  <c r="BP83" i="37"/>
  <c r="BP84" i="37" s="1"/>
  <c r="BP82" i="37"/>
  <c r="BP80" i="37"/>
  <c r="BT83" i="37"/>
  <c r="BT84" i="37" s="1"/>
  <c r="BT82" i="37"/>
  <c r="BT80" i="37"/>
  <c r="BX76" i="37"/>
  <c r="CB83" i="37"/>
  <c r="CB84" i="37" s="1"/>
  <c r="CB82" i="37"/>
  <c r="CB80" i="37"/>
  <c r="CB81" i="37" s="1"/>
  <c r="CB79" i="37"/>
  <c r="CF83" i="37"/>
  <c r="CF82" i="37"/>
  <c r="CF80" i="37"/>
  <c r="CF81" i="37" s="1"/>
  <c r="CF79" i="37"/>
  <c r="CJ83" i="37"/>
  <c r="CJ84" i="37" s="1"/>
  <c r="CJ82" i="37"/>
  <c r="CJ80" i="37"/>
  <c r="CJ81" i="37" s="1"/>
  <c r="CJ79" i="37"/>
  <c r="L77" i="37"/>
  <c r="P77" i="37"/>
  <c r="T77" i="37"/>
  <c r="X77" i="37"/>
  <c r="AB77" i="37"/>
  <c r="AF77" i="37"/>
  <c r="AJ77" i="37"/>
  <c r="AN77" i="37"/>
  <c r="AR77" i="37"/>
  <c r="AV77" i="37"/>
  <c r="AZ77" i="37"/>
  <c r="BD77" i="37"/>
  <c r="BH77" i="37"/>
  <c r="CI77" i="37"/>
  <c r="L78" i="37"/>
  <c r="W78" i="37"/>
  <c r="AB78" i="37"/>
  <c r="AM78" i="37"/>
  <c r="AR78" i="37"/>
  <c r="BC78" i="37"/>
  <c r="BH78" i="37"/>
  <c r="CI78" i="37"/>
  <c r="L79" i="37"/>
  <c r="W79" i="37"/>
  <c r="AB79" i="37"/>
  <c r="AM79" i="37"/>
  <c r="AR79" i="37"/>
  <c r="BD79" i="37"/>
  <c r="BL79" i="37"/>
  <c r="BT79" i="37"/>
  <c r="CE79" i="37"/>
  <c r="S80" i="37"/>
  <c r="AI80" i="37"/>
  <c r="AI81" i="37" s="1"/>
  <c r="AY80" i="37"/>
  <c r="AY81" i="37" s="1"/>
  <c r="BO80" i="37"/>
  <c r="BO81" i="37" s="1"/>
  <c r="CE80" i="37"/>
  <c r="AA82" i="37"/>
  <c r="H80" i="37"/>
  <c r="CH6" i="35"/>
  <c r="BY13" i="35"/>
  <c r="BF149" i="35"/>
  <c r="BF133" i="35"/>
  <c r="BF153" i="35"/>
  <c r="BF9" i="35"/>
  <c r="CM68" i="35"/>
  <c r="AH67" i="35"/>
  <c r="AF74" i="35"/>
  <c r="AJ74" i="35"/>
  <c r="AJ78" i="35" s="1"/>
  <c r="CB6" i="35"/>
  <c r="CC6" i="35" s="1"/>
  <c r="CG6" i="35"/>
  <c r="CQ6" i="35"/>
  <c r="CV6" i="35"/>
  <c r="DA6" i="35"/>
  <c r="DB6" i="35" s="1"/>
  <c r="AY6" i="35"/>
  <c r="CL6" i="35"/>
  <c r="G230" i="35"/>
  <c r="G231" i="35"/>
  <c r="G229" i="35"/>
  <c r="G228" i="35"/>
  <c r="G153" i="35"/>
  <c r="G133" i="35"/>
  <c r="K231" i="35"/>
  <c r="K9" i="35"/>
  <c r="O230" i="35"/>
  <c r="O231" i="35"/>
  <c r="O229" i="35"/>
  <c r="O228" i="35"/>
  <c r="O153" i="35"/>
  <c r="O133" i="35"/>
  <c r="O9" i="35"/>
  <c r="S230" i="35"/>
  <c r="S231" i="35"/>
  <c r="S229" i="35"/>
  <c r="S228" i="35"/>
  <c r="S153" i="35"/>
  <c r="S133" i="35"/>
  <c r="S9" i="35"/>
  <c r="W153" i="35"/>
  <c r="W133" i="35"/>
  <c r="W9" i="35"/>
  <c r="AB153" i="35"/>
  <c r="AB149" i="35"/>
  <c r="AB133" i="35"/>
  <c r="AB134" i="35" s="1"/>
  <c r="AB9" i="35"/>
  <c r="AF153" i="35"/>
  <c r="AF149" i="35"/>
  <c r="AF133" i="35"/>
  <c r="AF9" i="35"/>
  <c r="AJ9" i="35"/>
  <c r="AN153" i="35"/>
  <c r="AN149" i="35"/>
  <c r="AN133" i="35"/>
  <c r="AN9" i="35"/>
  <c r="AS153" i="35"/>
  <c r="AS149" i="35"/>
  <c r="AS133" i="35"/>
  <c r="AS134" i="35" s="1"/>
  <c r="AX133" i="35"/>
  <c r="AX134" i="35" s="1"/>
  <c r="AX153" i="35"/>
  <c r="AX149" i="35"/>
  <c r="AX9" i="35"/>
  <c r="AO9" i="35"/>
  <c r="X67" i="35"/>
  <c r="Z25" i="35"/>
  <c r="AE25" i="35"/>
  <c r="BH67" i="35"/>
  <c r="BH69" i="35" s="1"/>
  <c r="BI30" i="35"/>
  <c r="BI69" i="35" s="1"/>
  <c r="BC69" i="35"/>
  <c r="AV69" i="35"/>
  <c r="AH69" i="35"/>
  <c r="AJ69" i="35"/>
  <c r="S67" i="35"/>
  <c r="U67" i="35"/>
  <c r="V67" i="35"/>
  <c r="Z68" i="35"/>
  <c r="AD67" i="35"/>
  <c r="AI70" i="35"/>
  <c r="BZ8" i="35"/>
  <c r="BZ67" i="35"/>
  <c r="CL71" i="35"/>
  <c r="CI74" i="35"/>
  <c r="CM74" i="35"/>
  <c r="AE84" i="35"/>
  <c r="U90" i="35"/>
  <c r="BI95" i="35"/>
  <c r="BI94" i="35"/>
  <c r="BW106" i="35"/>
  <c r="BN114" i="35"/>
  <c r="BN122" i="35"/>
  <c r="BK230" i="35"/>
  <c r="BK231" i="35"/>
  <c r="BK228" i="35"/>
  <c r="BK229" i="35"/>
  <c r="BK153" i="35"/>
  <c r="BK133" i="35"/>
  <c r="BK134" i="35" s="1"/>
  <c r="BK9" i="35"/>
  <c r="J67" i="35"/>
  <c r="BF67" i="35"/>
  <c r="BF69" i="35" s="1"/>
  <c r="CM6" i="35"/>
  <c r="CR6" i="35"/>
  <c r="CW6" i="35"/>
  <c r="BS6" i="35"/>
  <c r="BX6" i="35"/>
  <c r="AS9" i="35"/>
  <c r="BM11" i="35"/>
  <c r="AB69" i="35"/>
  <c r="BN30" i="35"/>
  <c r="BG69" i="35"/>
  <c r="BI34" i="35"/>
  <c r="AW67" i="35"/>
  <c r="AW69" i="35" s="1"/>
  <c r="BA67" i="35"/>
  <c r="BA69" i="35" s="1"/>
  <c r="AD69" i="35"/>
  <c r="AE54" i="35"/>
  <c r="CC67" i="35"/>
  <c r="CC68" i="35" s="1"/>
  <c r="R67" i="35"/>
  <c r="AP71" i="35"/>
  <c r="AP70" i="35" s="1"/>
  <c r="AP67" i="35"/>
  <c r="AP69" i="35" s="1"/>
  <c r="AT68" i="35"/>
  <c r="AX67" i="35"/>
  <c r="AX71" i="35"/>
  <c r="BV8" i="35"/>
  <c r="BV67" i="35"/>
  <c r="BX67" i="35" s="1"/>
  <c r="BX68" i="35" s="1"/>
  <c r="AC69" i="35"/>
  <c r="G74" i="35"/>
  <c r="K74" i="35"/>
  <c r="K78" i="35" s="1"/>
  <c r="V74" i="35"/>
  <c r="Z74" i="35"/>
  <c r="AF90" i="35"/>
  <c r="AF109" i="35" s="1"/>
  <c r="BK107" i="35"/>
  <c r="BT90" i="35"/>
  <c r="BT109" i="35" s="1"/>
  <c r="W106" i="35"/>
  <c r="AQ106" i="35"/>
  <c r="BB153" i="35"/>
  <c r="BB133" i="35"/>
  <c r="BB149" i="35"/>
  <c r="BB9" i="35"/>
  <c r="AN67" i="35"/>
  <c r="AN69" i="35" s="1"/>
  <c r="AO48" i="35"/>
  <c r="AK67" i="35"/>
  <c r="AK69" i="35" s="1"/>
  <c r="CR68" i="35"/>
  <c r="CD133" i="35"/>
  <c r="CD153" i="35"/>
  <c r="CD149" i="35"/>
  <c r="CD12" i="35"/>
  <c r="CD9" i="35"/>
  <c r="K84" i="35"/>
  <c r="K85" i="35" s="1"/>
  <c r="CF100" i="35"/>
  <c r="AG9" i="35"/>
  <c r="R11" i="35"/>
  <c r="V11" i="35"/>
  <c r="Z11" i="35"/>
  <c r="AD11" i="35"/>
  <c r="AH11" i="35"/>
  <c r="AL11" i="35"/>
  <c r="AP11" i="35"/>
  <c r="AT11" i="35"/>
  <c r="AX11" i="35"/>
  <c r="BB11" i="35"/>
  <c r="BF11" i="35"/>
  <c r="BJ11" i="35"/>
  <c r="BN11" i="35"/>
  <c r="BR11" i="35"/>
  <c r="BV11" i="35"/>
  <c r="BZ11" i="35"/>
  <c r="CD11" i="35"/>
  <c r="CH11" i="35"/>
  <c r="CL11" i="35"/>
  <c r="Q13" i="35"/>
  <c r="AE26" i="35"/>
  <c r="AE69" i="35" s="1"/>
  <c r="BN29" i="35"/>
  <c r="BD36" i="35"/>
  <c r="BD69" i="35" s="1"/>
  <c r="BI36" i="35"/>
  <c r="AX69" i="35"/>
  <c r="AY40" i="35"/>
  <c r="BD39" i="35"/>
  <c r="AY43" i="35"/>
  <c r="AJ54" i="35"/>
  <c r="AJ55" i="35"/>
  <c r="BS68" i="35"/>
  <c r="AA67" i="35"/>
  <c r="AA69" i="35" s="1"/>
  <c r="AQ67" i="35"/>
  <c r="AQ69" i="35" s="1"/>
  <c r="AZ70" i="35"/>
  <c r="BN68" i="35"/>
  <c r="BR67" i="35"/>
  <c r="BR8" i="35"/>
  <c r="CL149" i="35"/>
  <c r="CL133" i="35"/>
  <c r="CL153" i="35"/>
  <c r="CL12" i="35"/>
  <c r="CL13" i="35" s="1"/>
  <c r="CL9" i="35"/>
  <c r="BX70" i="35"/>
  <c r="BF71" i="35"/>
  <c r="BF70" i="35" s="1"/>
  <c r="BX71" i="35"/>
  <c r="CC71" i="35"/>
  <c r="CM77" i="35"/>
  <c r="AB110" i="35"/>
  <c r="BL110" i="35"/>
  <c r="L110" i="35"/>
  <c r="AM106" i="35"/>
  <c r="BG106" i="35"/>
  <c r="BH117" i="35"/>
  <c r="AU86" i="35"/>
  <c r="BG86" i="35"/>
  <c r="CE86" i="35"/>
  <c r="AB88" i="35"/>
  <c r="AN88" i="35"/>
  <c r="AZ88" i="35"/>
  <c r="BL88" i="35"/>
  <c r="AL89" i="35"/>
  <c r="AX89" i="35"/>
  <c r="BV89" i="35"/>
  <c r="AR90" i="35"/>
  <c r="AR109" i="35" s="1"/>
  <c r="BD90" i="35"/>
  <c r="BP90" i="35"/>
  <c r="BP109" i="35" s="1"/>
  <c r="BX90" i="35"/>
  <c r="CJ90" i="35"/>
  <c r="CJ109" i="35" s="1"/>
  <c r="AE93" i="35"/>
  <c r="CI94" i="35"/>
  <c r="W95" i="35"/>
  <c r="V190" i="35"/>
  <c r="Q104" i="35"/>
  <c r="Q109" i="35"/>
  <c r="BG109" i="35"/>
  <c r="BE123" i="35"/>
  <c r="BR114" i="35"/>
  <c r="BR122" i="35"/>
  <c r="BR123" i="35" s="1"/>
  <c r="BR119" i="35"/>
  <c r="D231" i="35"/>
  <c r="D153" i="35"/>
  <c r="D149" i="35"/>
  <c r="D133" i="35"/>
  <c r="H231" i="35"/>
  <c r="H228" i="35"/>
  <c r="H229" i="35"/>
  <c r="H230" i="35"/>
  <c r="H153" i="35"/>
  <c r="H130" i="35" s="1"/>
  <c r="H149" i="35"/>
  <c r="H133" i="35"/>
  <c r="L231" i="35"/>
  <c r="L228" i="35"/>
  <c r="L229" i="35"/>
  <c r="L230" i="35"/>
  <c r="L153" i="35"/>
  <c r="L149" i="35"/>
  <c r="L133" i="35"/>
  <c r="P231" i="35"/>
  <c r="P133" i="35"/>
  <c r="T231" i="35"/>
  <c r="T228" i="35"/>
  <c r="T229" i="35"/>
  <c r="T230" i="35"/>
  <c r="T153" i="35"/>
  <c r="T149" i="35"/>
  <c r="T133" i="35"/>
  <c r="X153" i="35"/>
  <c r="X149" i="35"/>
  <c r="X133" i="35"/>
  <c r="AC153" i="35"/>
  <c r="AC149" i="35"/>
  <c r="AC133" i="35"/>
  <c r="AG153" i="35"/>
  <c r="AG149" i="35"/>
  <c r="AG133" i="35"/>
  <c r="AG134" i="35" s="1"/>
  <c r="AK153" i="35"/>
  <c r="AK149" i="35"/>
  <c r="AK133" i="35"/>
  <c r="AK134" i="35" s="1"/>
  <c r="AP149" i="35"/>
  <c r="AU175" i="35" s="1"/>
  <c r="AP133" i="35"/>
  <c r="AP153" i="35"/>
  <c r="AU153" i="35"/>
  <c r="AU133" i="35"/>
  <c r="AU134" i="35" s="1"/>
  <c r="BC153" i="35"/>
  <c r="BC133" i="35"/>
  <c r="BC134" i="35" s="1"/>
  <c r="BG153" i="35"/>
  <c r="BG133" i="35"/>
  <c r="BG134" i="35" s="1"/>
  <c r="BL231" i="35"/>
  <c r="BL228" i="35"/>
  <c r="BL229" i="35"/>
  <c r="BL230" i="35"/>
  <c r="BL153" i="35"/>
  <c r="BL149" i="35"/>
  <c r="BL133" i="35"/>
  <c r="BT153" i="35"/>
  <c r="BT133" i="35"/>
  <c r="AP9" i="35"/>
  <c r="BN12" i="35"/>
  <c r="BN13" i="35" s="1"/>
  <c r="R13" i="35"/>
  <c r="V13" i="35"/>
  <c r="AO46" i="35"/>
  <c r="AT46" i="35"/>
  <c r="AY38" i="35"/>
  <c r="AY69" i="35" s="1"/>
  <c r="BN28" i="35"/>
  <c r="AB67" i="35"/>
  <c r="AF67" i="35"/>
  <c r="AF69" i="35" s="1"/>
  <c r="AV67" i="35"/>
  <c r="AZ67" i="35"/>
  <c r="AZ69" i="35" s="1"/>
  <c r="BL67" i="35"/>
  <c r="BL69" i="35" s="1"/>
  <c r="K68" i="35"/>
  <c r="K67" i="35" s="1"/>
  <c r="AE68" i="35"/>
  <c r="AE67" i="35" s="1"/>
  <c r="AY68" i="35"/>
  <c r="AY67" i="35" s="1"/>
  <c r="O69" i="35"/>
  <c r="T69" i="35"/>
  <c r="BB69" i="35"/>
  <c r="BK81" i="35"/>
  <c r="BK83" i="35" s="1"/>
  <c r="CE81" i="35"/>
  <c r="CE83" i="35" s="1"/>
  <c r="M86" i="35"/>
  <c r="T86" i="35"/>
  <c r="X86" i="35"/>
  <c r="AB86" i="35"/>
  <c r="AF86" i="35"/>
  <c r="AN86" i="35"/>
  <c r="AR86" i="35"/>
  <c r="AV86" i="35"/>
  <c r="AZ86" i="35"/>
  <c r="BH86" i="35"/>
  <c r="BL86" i="35"/>
  <c r="BP86" i="35"/>
  <c r="BT86" i="35"/>
  <c r="CB86" i="35"/>
  <c r="CF86" i="35"/>
  <c r="CJ86" i="35"/>
  <c r="U87" i="35"/>
  <c r="AO87" i="35"/>
  <c r="BI87" i="35"/>
  <c r="O84" i="35"/>
  <c r="I88" i="35"/>
  <c r="M88" i="35"/>
  <c r="Q88" i="35"/>
  <c r="AC88" i="35"/>
  <c r="AG88" i="35"/>
  <c r="AK88" i="35"/>
  <c r="AS88" i="35"/>
  <c r="AW88" i="35"/>
  <c r="BA88" i="35"/>
  <c r="BE88" i="35"/>
  <c r="BM88" i="35"/>
  <c r="BQ88" i="35"/>
  <c r="BU88" i="35"/>
  <c r="BY88" i="35"/>
  <c r="BZ88" i="35" s="1"/>
  <c r="CA88" i="35" s="1"/>
  <c r="CB88" i="35" s="1"/>
  <c r="CB87" i="35" s="1"/>
  <c r="CG88" i="35"/>
  <c r="CK88" i="35"/>
  <c r="G89" i="35"/>
  <c r="K89" i="35"/>
  <c r="O89" i="35"/>
  <c r="CA89" i="35"/>
  <c r="E106" i="35"/>
  <c r="E109" i="35"/>
  <c r="F110" i="35" s="1"/>
  <c r="Y90" i="35"/>
  <c r="Y109" i="35" s="1"/>
  <c r="Y110" i="35" s="1"/>
  <c r="AK90" i="35"/>
  <c r="BE90" i="35"/>
  <c r="BY90" i="35"/>
  <c r="K93" i="35"/>
  <c r="T106" i="35"/>
  <c r="T107" i="35" s="1"/>
  <c r="X106" i="35"/>
  <c r="AB106" i="35"/>
  <c r="AJ93" i="35"/>
  <c r="AK95" i="35"/>
  <c r="AK94" i="35"/>
  <c r="AK106" i="35"/>
  <c r="AO93" i="35"/>
  <c r="AS95" i="35"/>
  <c r="AS94" i="35"/>
  <c r="AS106" i="35"/>
  <c r="AW95" i="35"/>
  <c r="AW94" i="35"/>
  <c r="AW106" i="35"/>
  <c r="BA95" i="35"/>
  <c r="BA94" i="35"/>
  <c r="BA106" i="35"/>
  <c r="BF106" i="35"/>
  <c r="BF107" i="35" s="1"/>
  <c r="BN93" i="35"/>
  <c r="W94" i="35"/>
  <c r="AB94" i="35"/>
  <c r="AX94" i="35"/>
  <c r="BS93" i="35"/>
  <c r="CJ106" i="35"/>
  <c r="BO94" i="35"/>
  <c r="CE94" i="35"/>
  <c r="CJ94" i="35"/>
  <c r="S95" i="35"/>
  <c r="AI95" i="35"/>
  <c r="BD95" i="35"/>
  <c r="BJ95" i="35"/>
  <c r="BP95" i="35"/>
  <c r="CA95" i="35"/>
  <c r="CF95" i="35"/>
  <c r="G97" i="35"/>
  <c r="G116" i="35" s="1"/>
  <c r="Q97" i="35"/>
  <c r="W97" i="35"/>
  <c r="W116" i="35" s="1"/>
  <c r="AB117" i="35" s="1"/>
  <c r="AM97" i="35"/>
  <c r="AM116" i="35" s="1"/>
  <c r="AW97" i="35"/>
  <c r="AW70" i="35" s="1"/>
  <c r="BC97" i="35"/>
  <c r="BC116" i="35" s="1"/>
  <c r="P100" i="35"/>
  <c r="AZ100" i="35"/>
  <c r="R190" i="35"/>
  <c r="M104" i="35"/>
  <c r="M109" i="35"/>
  <c r="M110" i="35" s="1"/>
  <c r="AP190" i="35"/>
  <c r="AK104" i="35"/>
  <c r="AK99" i="35"/>
  <c r="AK109" i="35"/>
  <c r="AO102" i="35"/>
  <c r="AX190" i="35"/>
  <c r="AS104" i="35"/>
  <c r="AS99" i="35"/>
  <c r="AS100" i="35" s="1"/>
  <c r="AS109" i="35"/>
  <c r="AS110" i="35" s="1"/>
  <c r="BC109" i="35"/>
  <c r="BV190" i="35"/>
  <c r="BQ104" i="35"/>
  <c r="BQ99" i="35"/>
  <c r="BQ109" i="35"/>
  <c r="BQ110" i="35" s="1"/>
  <c r="CE109" i="35"/>
  <c r="Q103" i="35"/>
  <c r="S106" i="35"/>
  <c r="AI106" i="35"/>
  <c r="AI107" i="35" s="1"/>
  <c r="CE106" i="35"/>
  <c r="J122" i="35"/>
  <c r="J119" i="35"/>
  <c r="AH114" i="35"/>
  <c r="AH122" i="35"/>
  <c r="BA119" i="35"/>
  <c r="BF114" i="35"/>
  <c r="BF122" i="35"/>
  <c r="BF119" i="35"/>
  <c r="CD114" i="35"/>
  <c r="CD122" i="35"/>
  <c r="CD123" i="35" s="1"/>
  <c r="CH113" i="35"/>
  <c r="CL114" i="35"/>
  <c r="CL122" i="35"/>
  <c r="BW114" i="35"/>
  <c r="W119" i="35"/>
  <c r="AS119" i="35"/>
  <c r="CL119" i="35"/>
  <c r="AI133" i="35"/>
  <c r="L86" i="35"/>
  <c r="AA86" i="35"/>
  <c r="AM86" i="35"/>
  <c r="BK86" i="35"/>
  <c r="BW86" i="35"/>
  <c r="CI86" i="35"/>
  <c r="T88" i="35"/>
  <c r="AF88" i="35"/>
  <c r="AV88" i="35"/>
  <c r="BH88" i="35"/>
  <c r="BT88" i="35"/>
  <c r="CF88" i="35"/>
  <c r="R89" i="35"/>
  <c r="AD89" i="35"/>
  <c r="BB89" i="35"/>
  <c r="BZ89" i="35"/>
  <c r="CL89" i="35"/>
  <c r="X90" i="35"/>
  <c r="X109" i="35" s="1"/>
  <c r="AJ90" i="35"/>
  <c r="AN106" i="35"/>
  <c r="AN107" i="35" s="1"/>
  <c r="AF94" i="35"/>
  <c r="BV106" i="35"/>
  <c r="AI99" i="35"/>
  <c r="AD190" i="35"/>
  <c r="Y104" i="35"/>
  <c r="BB190" i="35"/>
  <c r="AW104" i="35"/>
  <c r="AW99" i="35"/>
  <c r="AW100" i="35" s="1"/>
  <c r="AW109" i="35"/>
  <c r="AW110" i="35" s="1"/>
  <c r="BU99" i="35"/>
  <c r="BU100" i="35" s="1"/>
  <c r="BU109" i="35"/>
  <c r="BU110" i="35" s="1"/>
  <c r="BU104" i="35"/>
  <c r="N114" i="35"/>
  <c r="N122" i="35"/>
  <c r="N123" i="35" s="1"/>
  <c r="N119" i="35"/>
  <c r="CK125" i="35"/>
  <c r="E231" i="35"/>
  <c r="E153" i="35"/>
  <c r="E149" i="35"/>
  <c r="E133" i="35"/>
  <c r="I228" i="35"/>
  <c r="I229" i="35"/>
  <c r="I230" i="35"/>
  <c r="I231" i="35"/>
  <c r="I153" i="35"/>
  <c r="I130" i="35" s="1"/>
  <c r="I149" i="35"/>
  <c r="I133" i="35"/>
  <c r="M228" i="35"/>
  <c r="M229" i="35"/>
  <c r="M230" i="35"/>
  <c r="M231" i="35"/>
  <c r="M153" i="35"/>
  <c r="M149" i="35"/>
  <c r="Q228" i="35"/>
  <c r="Q229" i="35"/>
  <c r="Q230" i="35"/>
  <c r="Q231" i="35"/>
  <c r="Q153" i="35"/>
  <c r="Q149" i="35"/>
  <c r="Q133" i="35"/>
  <c r="Y153" i="35"/>
  <c r="Y149" i="35"/>
  <c r="Y133" i="35"/>
  <c r="Y134" i="35" s="1"/>
  <c r="AD153" i="35"/>
  <c r="AD133" i="35"/>
  <c r="AD134" i="35" s="1"/>
  <c r="AD149" i="35"/>
  <c r="AI175" i="35" s="1"/>
  <c r="AH153" i="35"/>
  <c r="AH133" i="35"/>
  <c r="AH134" i="35" s="1"/>
  <c r="AH149" i="35"/>
  <c r="AL133" i="35"/>
  <c r="AL134" i="35" s="1"/>
  <c r="AL149" i="35"/>
  <c r="AQ153" i="35"/>
  <c r="AQ133" i="35"/>
  <c r="AV153" i="35"/>
  <c r="AV149" i="35"/>
  <c r="AV133" i="35"/>
  <c r="AV134" i="35" s="1"/>
  <c r="AZ153" i="35"/>
  <c r="AZ149" i="35"/>
  <c r="AZ133" i="35"/>
  <c r="BH153" i="35"/>
  <c r="BH149" i="35"/>
  <c r="BH133" i="35"/>
  <c r="BH134" i="35" s="1"/>
  <c r="BM153" i="35"/>
  <c r="BM149" i="35"/>
  <c r="BM133" i="35"/>
  <c r="BQ228" i="35"/>
  <c r="BQ229" i="35"/>
  <c r="BQ230" i="35"/>
  <c r="BQ231" i="35"/>
  <c r="BQ153" i="35"/>
  <c r="BQ149" i="35"/>
  <c r="BQ133" i="35"/>
  <c r="BQ134" i="35" s="1"/>
  <c r="BU153" i="35"/>
  <c r="BU149" i="35"/>
  <c r="BU133" i="35"/>
  <c r="BY153" i="35"/>
  <c r="BY149" i="35"/>
  <c r="CG153" i="35"/>
  <c r="CG149" i="35"/>
  <c r="CG133" i="35"/>
  <c r="CK153" i="35"/>
  <c r="CK149" i="35"/>
  <c r="CK133" i="35"/>
  <c r="AI9" i="35"/>
  <c r="AM9" i="35"/>
  <c r="AQ9" i="35"/>
  <c r="AU9" i="35"/>
  <c r="BC9" i="35"/>
  <c r="BG9" i="35"/>
  <c r="W13" i="35"/>
  <c r="AT43" i="35"/>
  <c r="BI33" i="35"/>
  <c r="AG67" i="35"/>
  <c r="AG69" i="35" s="1"/>
  <c r="CM66" i="35"/>
  <c r="P68" i="35"/>
  <c r="P67" i="35" s="1"/>
  <c r="AJ68" i="35"/>
  <c r="AJ67" i="35" s="1"/>
  <c r="BD68" i="35"/>
  <c r="BD67" i="35" s="1"/>
  <c r="L69" i="35"/>
  <c r="AI69" i="35"/>
  <c r="BG81" i="35"/>
  <c r="BG84" i="35" s="1"/>
  <c r="CA81" i="35"/>
  <c r="CA83" i="35" s="1"/>
  <c r="AI81" i="35"/>
  <c r="AI82" i="35" s="1"/>
  <c r="AJ82" i="35" s="1"/>
  <c r="AQ81" i="35"/>
  <c r="AQ82" i="35" s="1"/>
  <c r="AT82" i="35" s="1"/>
  <c r="BZ83" i="35"/>
  <c r="AD84" i="35"/>
  <c r="AH84" i="35"/>
  <c r="Q86" i="35"/>
  <c r="Y86" i="35"/>
  <c r="AC86" i="35"/>
  <c r="AG86" i="35"/>
  <c r="AK86" i="35"/>
  <c r="AS86" i="35"/>
  <c r="AW86" i="35"/>
  <c r="BA86" i="35"/>
  <c r="BE86" i="35"/>
  <c r="BM86" i="35"/>
  <c r="BQ86" i="35"/>
  <c r="BU86" i="35"/>
  <c r="BY86" i="35"/>
  <c r="CG86" i="35"/>
  <c r="CK86" i="35"/>
  <c r="BZ87" i="35"/>
  <c r="BZ90" i="35" s="1"/>
  <c r="BZ106" i="35" s="1"/>
  <c r="BZ107" i="35" s="1"/>
  <c r="N86" i="35"/>
  <c r="R88" i="35"/>
  <c r="V88" i="35"/>
  <c r="AD88" i="35"/>
  <c r="AH88" i="35"/>
  <c r="AL88" i="35"/>
  <c r="AP88" i="35"/>
  <c r="AX88" i="35"/>
  <c r="BB88" i="35"/>
  <c r="BF88" i="35"/>
  <c r="BJ88" i="35"/>
  <c r="BR88" i="35"/>
  <c r="BV88" i="35"/>
  <c r="CD88" i="35"/>
  <c r="CL88" i="35"/>
  <c r="N90" i="35"/>
  <c r="N109" i="35" s="1"/>
  <c r="N110" i="35" s="1"/>
  <c r="V90" i="35"/>
  <c r="AD90" i="35"/>
  <c r="AP90" i="35"/>
  <c r="AX90" i="35"/>
  <c r="AX106" i="35" s="1"/>
  <c r="AX107" i="35" s="1"/>
  <c r="BJ90" i="35"/>
  <c r="BJ106" i="35" s="1"/>
  <c r="BR90" i="35"/>
  <c r="CL90" i="35"/>
  <c r="CL106" i="35" s="1"/>
  <c r="CL107" i="35" s="1"/>
  <c r="H106" i="35"/>
  <c r="P93" i="35"/>
  <c r="P95" i="35" s="1"/>
  <c r="Q95" i="35"/>
  <c r="Q106" i="35"/>
  <c r="U93" i="35"/>
  <c r="U95" i="35" s="1"/>
  <c r="Y95" i="35"/>
  <c r="Y94" i="35"/>
  <c r="Y106" i="35"/>
  <c r="Y107" i="35" s="1"/>
  <c r="AC95" i="35"/>
  <c r="AC94" i="35"/>
  <c r="AC106" i="35"/>
  <c r="AC107" i="35" s="1"/>
  <c r="AG95" i="35"/>
  <c r="AG94" i="35"/>
  <c r="AG106" i="35"/>
  <c r="AG107" i="35" s="1"/>
  <c r="AL106" i="35"/>
  <c r="AP106" i="35"/>
  <c r="AT93" i="35"/>
  <c r="BB106" i="35"/>
  <c r="BB107" i="35" s="1"/>
  <c r="X94" i="35"/>
  <c r="AD94" i="35"/>
  <c r="AI94" i="35"/>
  <c r="AN94" i="35"/>
  <c r="BJ94" i="35"/>
  <c r="BP106" i="35"/>
  <c r="BP107" i="35" s="1"/>
  <c r="BT106" i="35"/>
  <c r="BX93" i="35"/>
  <c r="CF106" i="35"/>
  <c r="CK94" i="35"/>
  <c r="CK106" i="35"/>
  <c r="CK107" i="35" s="1"/>
  <c r="BP94" i="35"/>
  <c r="CA94" i="35"/>
  <c r="CF94" i="35"/>
  <c r="O95" i="35"/>
  <c r="AP95" i="35"/>
  <c r="AU95" i="35"/>
  <c r="BF95" i="35"/>
  <c r="BK95" i="35"/>
  <c r="BW95" i="35"/>
  <c r="CB95" i="35"/>
  <c r="AC97" i="35"/>
  <c r="AS97" i="35"/>
  <c r="AS70" i="35" s="1"/>
  <c r="BT97" i="35"/>
  <c r="BT116" i="35" s="1"/>
  <c r="AM99" i="35"/>
  <c r="AR100" i="35" s="1"/>
  <c r="AU99" i="35"/>
  <c r="BC99" i="35"/>
  <c r="BK99" i="35"/>
  <c r="BK100" i="35" s="1"/>
  <c r="CA99" i="35"/>
  <c r="CA100" i="35" s="1"/>
  <c r="CI99" i="35"/>
  <c r="U100" i="35"/>
  <c r="N190" i="35"/>
  <c r="I109" i="35"/>
  <c r="W109" i="35"/>
  <c r="AL190" i="35"/>
  <c r="AG104" i="35"/>
  <c r="AG99" i="35"/>
  <c r="AG109" i="35"/>
  <c r="AG110" i="35" s="1"/>
  <c r="AU109" i="35"/>
  <c r="BJ190" i="35"/>
  <c r="BE104" i="35"/>
  <c r="BE99" i="35"/>
  <c r="BE109" i="35"/>
  <c r="BI102" i="35"/>
  <c r="BR190" i="35"/>
  <c r="BM104" i="35"/>
  <c r="BM99" i="35"/>
  <c r="BM100" i="35" s="1"/>
  <c r="BM109" i="35"/>
  <c r="BM110" i="35" s="1"/>
  <c r="BW109" i="35"/>
  <c r="CK99" i="35"/>
  <c r="CK100" i="35" s="1"/>
  <c r="CK109" i="35"/>
  <c r="CK110" i="35" s="1"/>
  <c r="AK103" i="35"/>
  <c r="BQ103" i="35"/>
  <c r="G106" i="35"/>
  <c r="BC106" i="35"/>
  <c r="V114" i="35"/>
  <c r="V122" i="35"/>
  <c r="V123" i="35" s="1"/>
  <c r="V119" i="35"/>
  <c r="Z113" i="35"/>
  <c r="AD114" i="35"/>
  <c r="AD122" i="35"/>
  <c r="AD123" i="35" s="1"/>
  <c r="AD119" i="35"/>
  <c r="AN116" i="35"/>
  <c r="BB114" i="35"/>
  <c r="BB122" i="35"/>
  <c r="BB123" i="35" s="1"/>
  <c r="BB119" i="35"/>
  <c r="BZ114" i="35"/>
  <c r="BZ122" i="35"/>
  <c r="BZ123" i="35" s="1"/>
  <c r="BZ119" i="35"/>
  <c r="BZ116" i="35"/>
  <c r="BG114" i="35"/>
  <c r="AC119" i="35"/>
  <c r="BD133" i="35"/>
  <c r="W86" i="35"/>
  <c r="AI86" i="35"/>
  <c r="AQ86" i="35"/>
  <c r="BC86" i="35"/>
  <c r="BO86" i="35"/>
  <c r="CA86" i="35"/>
  <c r="AH89" i="35"/>
  <c r="BF89" i="35"/>
  <c r="BR89" i="35"/>
  <c r="AV106" i="35"/>
  <c r="AV107" i="35" s="1"/>
  <c r="BE95" i="35"/>
  <c r="BE94" i="35"/>
  <c r="BE106" i="35"/>
  <c r="AA94" i="35"/>
  <c r="BR106" i="35"/>
  <c r="CM93" i="35"/>
  <c r="AA97" i="35"/>
  <c r="AA70" i="35" s="1"/>
  <c r="AA99" i="35"/>
  <c r="AF187" i="35" s="1"/>
  <c r="U102" i="35"/>
  <c r="BK109" i="35"/>
  <c r="AL114" i="35"/>
  <c r="AL122" i="35"/>
  <c r="AL123" i="35" s="1"/>
  <c r="AL119" i="35"/>
  <c r="AL116" i="35"/>
  <c r="AL117" i="35" s="1"/>
  <c r="BJ114" i="35"/>
  <c r="BJ122" i="35"/>
  <c r="BJ123" i="35" s="1"/>
  <c r="BJ119" i="35"/>
  <c r="BJ116" i="35"/>
  <c r="F231" i="35"/>
  <c r="F153" i="35"/>
  <c r="F133" i="35"/>
  <c r="F149" i="35"/>
  <c r="J229" i="35"/>
  <c r="J230" i="35"/>
  <c r="J231" i="35"/>
  <c r="J228" i="35"/>
  <c r="J149" i="35"/>
  <c r="J133" i="35"/>
  <c r="J153" i="35"/>
  <c r="J130" i="35" s="1"/>
  <c r="N229" i="35"/>
  <c r="N230" i="35"/>
  <c r="N231" i="35"/>
  <c r="N228" i="35"/>
  <c r="N133" i="35"/>
  <c r="N149" i="35"/>
  <c r="R229" i="35"/>
  <c r="R230" i="35"/>
  <c r="R231" i="35"/>
  <c r="R228" i="35"/>
  <c r="R133" i="35"/>
  <c r="R153" i="35"/>
  <c r="R149" i="35"/>
  <c r="V153" i="35"/>
  <c r="V133" i="35"/>
  <c r="V134" i="35" s="1"/>
  <c r="V149" i="35"/>
  <c r="AA153" i="35"/>
  <c r="AA133" i="35"/>
  <c r="AA134" i="35" s="1"/>
  <c r="AI154" i="35"/>
  <c r="AI130" i="35"/>
  <c r="AM153" i="35"/>
  <c r="AM133" i="35"/>
  <c r="AM134" i="35" s="1"/>
  <c r="AR153" i="35"/>
  <c r="AR149" i="35"/>
  <c r="AR133" i="35"/>
  <c r="AR134" i="35" s="1"/>
  <c r="AW153" i="35"/>
  <c r="AW149" i="35"/>
  <c r="AW133" i="35"/>
  <c r="BA153" i="35"/>
  <c r="BA149" i="35"/>
  <c r="BA133" i="35"/>
  <c r="BA134" i="35" s="1"/>
  <c r="BE153" i="35"/>
  <c r="BE149" i="35"/>
  <c r="BE133" i="35"/>
  <c r="BE134" i="35" s="1"/>
  <c r="BJ229" i="35"/>
  <c r="BJ230" i="35"/>
  <c r="BJ231" i="35"/>
  <c r="BJ228" i="35"/>
  <c r="BJ133" i="35"/>
  <c r="BJ134" i="35" s="1"/>
  <c r="BJ149" i="35"/>
  <c r="BN8" i="35"/>
  <c r="L9" i="35"/>
  <c r="P9" i="35"/>
  <c r="T9" i="35"/>
  <c r="X9" i="35"/>
  <c r="AR9" i="35"/>
  <c r="AV9" i="35"/>
  <c r="AZ9" i="35"/>
  <c r="BH9" i="35"/>
  <c r="BL9" i="35"/>
  <c r="BT12" i="35"/>
  <c r="AO68" i="35"/>
  <c r="BI68" i="35"/>
  <c r="BI67" i="35" s="1"/>
  <c r="CW68" i="35"/>
  <c r="H81" i="35"/>
  <c r="H84" i="35" s="1"/>
  <c r="W81" i="35"/>
  <c r="W84" i="35" s="1"/>
  <c r="AM81" i="35"/>
  <c r="AM84" i="35" s="1"/>
  <c r="BC81" i="35"/>
  <c r="BC83" i="35" s="1"/>
  <c r="BW81" i="35"/>
  <c r="BW83" i="35" s="1"/>
  <c r="BF83" i="35"/>
  <c r="BI83" i="35" s="1"/>
  <c r="BV83" i="35"/>
  <c r="AL84" i="35"/>
  <c r="O86" i="35"/>
  <c r="S88" i="35"/>
  <c r="AA88" i="35"/>
  <c r="AI88" i="35"/>
  <c r="AM88" i="35"/>
  <c r="AQ88" i="35"/>
  <c r="AU88" i="35"/>
  <c r="BC88" i="35"/>
  <c r="BG88" i="35"/>
  <c r="BK88" i="35"/>
  <c r="BO88" i="35"/>
  <c r="BW88" i="35"/>
  <c r="CE88" i="35"/>
  <c r="CI88" i="35"/>
  <c r="AA90" i="35"/>
  <c r="AA109" i="35" s="1"/>
  <c r="AU90" i="35"/>
  <c r="AU106" i="35" s="1"/>
  <c r="BO90" i="35"/>
  <c r="BO106" i="35" s="1"/>
  <c r="CI90" i="35"/>
  <c r="CI106" i="35" s="1"/>
  <c r="I106" i="35"/>
  <c r="M95" i="35"/>
  <c r="M106" i="35"/>
  <c r="M107" i="35" s="1"/>
  <c r="R106" i="35"/>
  <c r="R107" i="35" s="1"/>
  <c r="V106" i="35"/>
  <c r="Z93" i="35"/>
  <c r="AD106" i="35"/>
  <c r="AH106" i="35"/>
  <c r="AH107" i="35" s="1"/>
  <c r="AY93" i="35"/>
  <c r="BD94" i="35" s="1"/>
  <c r="BH106" i="35"/>
  <c r="BL106" i="35"/>
  <c r="BL107" i="35" s="1"/>
  <c r="AP94" i="35"/>
  <c r="AU94" i="35"/>
  <c r="AZ94" i="35"/>
  <c r="BF94" i="35"/>
  <c r="BK94" i="35"/>
  <c r="BQ94" i="35"/>
  <c r="BQ106" i="35"/>
  <c r="BQ107" i="35" s="1"/>
  <c r="BU94" i="35"/>
  <c r="BU106" i="35"/>
  <c r="BU107" i="35" s="1"/>
  <c r="BY94" i="35"/>
  <c r="BY106" i="35"/>
  <c r="CC93" i="35"/>
  <c r="CG94" i="35"/>
  <c r="CG106" i="35"/>
  <c r="BW94" i="35"/>
  <c r="CB94" i="35"/>
  <c r="V95" i="35"/>
  <c r="AA95" i="35"/>
  <c r="AL95" i="35"/>
  <c r="AQ95" i="35"/>
  <c r="BB95" i="35"/>
  <c r="BG95" i="35"/>
  <c r="BM95" i="35"/>
  <c r="BM96" i="35" s="1"/>
  <c r="BM106" i="35"/>
  <c r="BM107" i="35" s="1"/>
  <c r="E117" i="35"/>
  <c r="I97" i="35"/>
  <c r="I116" i="35" s="1"/>
  <c r="Y97" i="35"/>
  <c r="Y116" i="35" s="1"/>
  <c r="Y117" i="35" s="1"/>
  <c r="BE97" i="35"/>
  <c r="BE116" i="35" s="1"/>
  <c r="BP97" i="35"/>
  <c r="BU97" i="35"/>
  <c r="BU116" i="35" s="1"/>
  <c r="BU117" i="35" s="1"/>
  <c r="CF97" i="35"/>
  <c r="AF100" i="35"/>
  <c r="AN100" i="35"/>
  <c r="AV100" i="35"/>
  <c r="BL100" i="35"/>
  <c r="BT99" i="35"/>
  <c r="CB99" i="35"/>
  <c r="CB100" i="35" s="1"/>
  <c r="CJ99" i="35"/>
  <c r="CJ100" i="35" s="1"/>
  <c r="CD100" i="35"/>
  <c r="J97" i="35"/>
  <c r="J116" i="35" s="1"/>
  <c r="O109" i="35"/>
  <c r="T110" i="35" s="1"/>
  <c r="AH190" i="35"/>
  <c r="AC104" i="35"/>
  <c r="AC99" i="35"/>
  <c r="AC100" i="35" s="1"/>
  <c r="AC109" i="35"/>
  <c r="AC110" i="35" s="1"/>
  <c r="AM109" i="35"/>
  <c r="AM110" i="35" s="1"/>
  <c r="AQ109" i="35"/>
  <c r="AQ110" i="35" s="1"/>
  <c r="BF190" i="35"/>
  <c r="BA104" i="35"/>
  <c r="BA99" i="35"/>
  <c r="BA100" i="35" s="1"/>
  <c r="BA109" i="35"/>
  <c r="BA110" i="35" s="1"/>
  <c r="BY99" i="35"/>
  <c r="BY109" i="35"/>
  <c r="CC102" i="35"/>
  <c r="CG99" i="35"/>
  <c r="CG109" i="35"/>
  <c r="Y103" i="35"/>
  <c r="BE103" i="35"/>
  <c r="BU103" i="35"/>
  <c r="CK103" i="35"/>
  <c r="F106" i="35"/>
  <c r="F107" i="35" s="1"/>
  <c r="H116" i="35"/>
  <c r="R114" i="35"/>
  <c r="R122" i="35"/>
  <c r="AK119" i="35"/>
  <c r="AP114" i="35"/>
  <c r="AP122" i="35"/>
  <c r="AP119" i="35"/>
  <c r="AT113" i="35"/>
  <c r="AX114" i="35"/>
  <c r="AX122" i="35"/>
  <c r="BQ119" i="35"/>
  <c r="BV114" i="35"/>
  <c r="BV122" i="35"/>
  <c r="BV123" i="35" s="1"/>
  <c r="BV119" i="35"/>
  <c r="BV116" i="35"/>
  <c r="AQ114" i="35"/>
  <c r="M119" i="35"/>
  <c r="AH119" i="35"/>
  <c r="BY119" i="35"/>
  <c r="BY133" i="35"/>
  <c r="BY134" i="35" s="1"/>
  <c r="Z102" i="35"/>
  <c r="AT102" i="35"/>
  <c r="BN102" i="35"/>
  <c r="CH102" i="35"/>
  <c r="N103" i="35"/>
  <c r="R103" i="35"/>
  <c r="V103" i="35"/>
  <c r="AD103" i="35"/>
  <c r="AH103" i="35"/>
  <c r="AL103" i="35"/>
  <c r="AP103" i="35"/>
  <c r="AX103" i="35"/>
  <c r="BB103" i="35"/>
  <c r="BF103" i="35"/>
  <c r="BJ103" i="35"/>
  <c r="BR103" i="35"/>
  <c r="BV103" i="35"/>
  <c r="BZ103" i="35"/>
  <c r="CD103" i="35"/>
  <c r="CL103" i="35"/>
  <c r="BZ104" i="35"/>
  <c r="CD104" i="35"/>
  <c r="CL104" i="35"/>
  <c r="L106" i="35"/>
  <c r="AF106" i="35"/>
  <c r="AZ106" i="35"/>
  <c r="K113" i="35"/>
  <c r="O123" i="35"/>
  <c r="S123" i="35"/>
  <c r="W123" i="35"/>
  <c r="AA123" i="35"/>
  <c r="AE113" i="35"/>
  <c r="AM123" i="35"/>
  <c r="AQ123" i="35"/>
  <c r="AY113" i="35"/>
  <c r="BC123" i="35"/>
  <c r="BG123" i="35"/>
  <c r="BK123" i="35"/>
  <c r="BO123" i="35"/>
  <c r="BS113" i="35"/>
  <c r="BW123" i="35"/>
  <c r="CE122" i="35"/>
  <c r="CE123" i="35" s="1"/>
  <c r="CE119" i="35"/>
  <c r="CI122" i="35"/>
  <c r="CI119" i="35"/>
  <c r="CM113" i="35"/>
  <c r="L114" i="35"/>
  <c r="W114" i="35"/>
  <c r="AB114" i="35"/>
  <c r="AM114" i="35"/>
  <c r="AR114" i="35"/>
  <c r="BC114" i="35"/>
  <c r="BH114" i="35"/>
  <c r="CI114" i="35"/>
  <c r="S116" i="35"/>
  <c r="AI116" i="35"/>
  <c r="BO116" i="35"/>
  <c r="CE116" i="35"/>
  <c r="I119" i="35"/>
  <c r="S119" i="35"/>
  <c r="Y119" i="35"/>
  <c r="AI119" i="35"/>
  <c r="BE119" i="35"/>
  <c r="BO119" i="35"/>
  <c r="BU119" i="35"/>
  <c r="CG119" i="35"/>
  <c r="AK122" i="35"/>
  <c r="BA122" i="35"/>
  <c r="BQ122" i="35"/>
  <c r="K102" i="35"/>
  <c r="AE102" i="35"/>
  <c r="AE133" i="35" s="1"/>
  <c r="AY102" i="35"/>
  <c r="BS102" i="35"/>
  <c r="CM102" i="35"/>
  <c r="O103" i="35"/>
  <c r="S103" i="35"/>
  <c r="W103" i="35"/>
  <c r="AA103" i="35"/>
  <c r="AI103" i="35"/>
  <c r="AM103" i="35"/>
  <c r="AQ103" i="35"/>
  <c r="AU103" i="35"/>
  <c r="BC103" i="35"/>
  <c r="BG103" i="35"/>
  <c r="BK103" i="35"/>
  <c r="BO103" i="35"/>
  <c r="BW103" i="35"/>
  <c r="CA103" i="35"/>
  <c r="CE103" i="35"/>
  <c r="CI103" i="35"/>
  <c r="BV104" i="35"/>
  <c r="CA104" i="35"/>
  <c r="CE104" i="35"/>
  <c r="CI104" i="35"/>
  <c r="J109" i="35"/>
  <c r="R109" i="35"/>
  <c r="V109" i="35"/>
  <c r="AD109" i="35"/>
  <c r="AH109" i="35"/>
  <c r="AL109" i="35"/>
  <c r="AL110" i="35" s="1"/>
  <c r="AP109" i="35"/>
  <c r="AX109" i="35"/>
  <c r="AX110" i="35" s="1"/>
  <c r="BB109" i="35"/>
  <c r="BB110" i="35" s="1"/>
  <c r="BF109" i="35"/>
  <c r="BJ109" i="35"/>
  <c r="BR109" i="35"/>
  <c r="BR110" i="35" s="1"/>
  <c r="BV109" i="35"/>
  <c r="BV110" i="35" s="1"/>
  <c r="CL109" i="35"/>
  <c r="CL110" i="35" s="1"/>
  <c r="H122" i="35"/>
  <c r="H119" i="35"/>
  <c r="L122" i="35"/>
  <c r="L123" i="35" s="1"/>
  <c r="L119" i="35"/>
  <c r="P113" i="35"/>
  <c r="T122" i="35"/>
  <c r="T123" i="35" s="1"/>
  <c r="T119" i="35"/>
  <c r="X122" i="35"/>
  <c r="X123" i="35" s="1"/>
  <c r="X119" i="35"/>
  <c r="AB122" i="35"/>
  <c r="AB123" i="35" s="1"/>
  <c r="AB119" i="35"/>
  <c r="AF122" i="35"/>
  <c r="AF123" i="35" s="1"/>
  <c r="AF119" i="35"/>
  <c r="AJ113" i="35"/>
  <c r="AN122" i="35"/>
  <c r="AN123" i="35" s="1"/>
  <c r="AN119" i="35"/>
  <c r="AR122" i="35"/>
  <c r="AR119" i="35"/>
  <c r="AV122" i="35"/>
  <c r="AV123" i="35" s="1"/>
  <c r="AV119" i="35"/>
  <c r="AZ122" i="35"/>
  <c r="AZ123" i="35" s="1"/>
  <c r="AZ119" i="35"/>
  <c r="BD113" i="35"/>
  <c r="BH122" i="35"/>
  <c r="BH119" i="35"/>
  <c r="BL122" i="35"/>
  <c r="BL123" i="35" s="1"/>
  <c r="BL119" i="35"/>
  <c r="BP122" i="35"/>
  <c r="BP123" i="35" s="1"/>
  <c r="BP119" i="35"/>
  <c r="BT122" i="35"/>
  <c r="BT123" i="35" s="1"/>
  <c r="BT119" i="35"/>
  <c r="BX113" i="35"/>
  <c r="CB122" i="35"/>
  <c r="CB123" i="35" s="1"/>
  <c r="CB119" i="35"/>
  <c r="CF122" i="35"/>
  <c r="CF123" i="35" s="1"/>
  <c r="CF119" i="35"/>
  <c r="CJ122" i="35"/>
  <c r="CJ119" i="35"/>
  <c r="M114" i="35"/>
  <c r="S114" i="35"/>
  <c r="X114" i="35"/>
  <c r="AC114" i="35"/>
  <c r="AI114" i="35"/>
  <c r="AN114" i="35"/>
  <c r="AS114" i="35"/>
  <c r="BO114" i="35"/>
  <c r="BT114" i="35"/>
  <c r="BY114" i="35"/>
  <c r="CE114" i="35"/>
  <c r="CJ114" i="35"/>
  <c r="O116" i="35"/>
  <c r="T116" i="35"/>
  <c r="T117" i="35" s="1"/>
  <c r="AU116" i="35"/>
  <c r="AZ116" i="35"/>
  <c r="BK116" i="35"/>
  <c r="BP116" i="35"/>
  <c r="BP117" i="35" s="1"/>
  <c r="CA116" i="35"/>
  <c r="CF116" i="35"/>
  <c r="CF117" i="35" s="1"/>
  <c r="O119" i="35"/>
  <c r="AU119" i="35"/>
  <c r="BK119" i="35"/>
  <c r="CA119" i="35"/>
  <c r="CH93" i="35"/>
  <c r="BR95" i="35"/>
  <c r="BV95" i="35"/>
  <c r="BZ95" i="35"/>
  <c r="CD95" i="35"/>
  <c r="CL95" i="35"/>
  <c r="N97" i="35"/>
  <c r="N116" i="35" s="1"/>
  <c r="N117" i="35" s="1"/>
  <c r="R97" i="35"/>
  <c r="R116" i="35" s="1"/>
  <c r="R117" i="35" s="1"/>
  <c r="V97" i="35"/>
  <c r="V116" i="35" s="1"/>
  <c r="AD97" i="35"/>
  <c r="AD116" i="35" s="1"/>
  <c r="AH97" i="35"/>
  <c r="AH116" i="35" s="1"/>
  <c r="AH117" i="35" s="1"/>
  <c r="AL97" i="35"/>
  <c r="AP97" i="35"/>
  <c r="AP116" i="35" s="1"/>
  <c r="AX97" i="35"/>
  <c r="AX116" i="35" s="1"/>
  <c r="AX117" i="35" s="1"/>
  <c r="BB97" i="35"/>
  <c r="BB116" i="35" s="1"/>
  <c r="BF97" i="35"/>
  <c r="BF116" i="35" s="1"/>
  <c r="BF117" i="35" s="1"/>
  <c r="BJ97" i="35"/>
  <c r="BR97" i="35"/>
  <c r="BR116" i="35" s="1"/>
  <c r="BR117" i="35" s="1"/>
  <c r="BV97" i="35"/>
  <c r="BZ97" i="35"/>
  <c r="CD97" i="35"/>
  <c r="CD116" i="35" s="1"/>
  <c r="AD99" i="35"/>
  <c r="AD100" i="35" s="1"/>
  <c r="AH99" i="35"/>
  <c r="AH100" i="35" s="1"/>
  <c r="AL99" i="35"/>
  <c r="AL100" i="35" s="1"/>
  <c r="AP99" i="35"/>
  <c r="AX99" i="35"/>
  <c r="AX100" i="35" s="1"/>
  <c r="BB99" i="35"/>
  <c r="BB100" i="35" s="1"/>
  <c r="BF99" i="35"/>
  <c r="BF100" i="35" s="1"/>
  <c r="BJ99" i="35"/>
  <c r="BR99" i="35"/>
  <c r="BR100" i="35" s="1"/>
  <c r="P102" i="35"/>
  <c r="AJ102" i="35"/>
  <c r="BD102" i="35"/>
  <c r="BX102" i="35"/>
  <c r="CB103" i="35"/>
  <c r="CF103" i="35"/>
  <c r="CJ103" i="35"/>
  <c r="N104" i="35"/>
  <c r="AD104" i="35"/>
  <c r="BB104" i="35"/>
  <c r="BJ104" i="35"/>
  <c r="BR104" i="35"/>
  <c r="BW104" i="35"/>
  <c r="S109" i="35"/>
  <c r="AI109" i="35"/>
  <c r="BO109" i="35"/>
  <c r="M116" i="35"/>
  <c r="M117" i="35" s="1"/>
  <c r="Q116" i="35"/>
  <c r="U113" i="35"/>
  <c r="AC116" i="35"/>
  <c r="AC117" i="35" s="1"/>
  <c r="AG116" i="35"/>
  <c r="AG117" i="35" s="1"/>
  <c r="AK116" i="35"/>
  <c r="AO113" i="35"/>
  <c r="AS116" i="35"/>
  <c r="AS117" i="35" s="1"/>
  <c r="BA116" i="35"/>
  <c r="BA117" i="35" s="1"/>
  <c r="BI113" i="35"/>
  <c r="BM116" i="35"/>
  <c r="BM117" i="35" s="1"/>
  <c r="BQ116" i="35"/>
  <c r="BQ117" i="35" s="1"/>
  <c r="BY116" i="35"/>
  <c r="CC113" i="35"/>
  <c r="CG116" i="35"/>
  <c r="CG117" i="35" s="1"/>
  <c r="O114" i="35"/>
  <c r="T114" i="35"/>
  <c r="Y114" i="35"/>
  <c r="AU114" i="35"/>
  <c r="AZ114" i="35"/>
  <c r="BE114" i="35"/>
  <c r="BK114" i="35"/>
  <c r="BP114" i="35"/>
  <c r="BU114" i="35"/>
  <c r="CA114" i="35"/>
  <c r="CF114" i="35"/>
  <c r="CK114" i="35"/>
  <c r="AA116" i="35"/>
  <c r="AF116" i="35"/>
  <c r="AQ116" i="35"/>
  <c r="AQ117" i="35" s="1"/>
  <c r="AV116" i="35"/>
  <c r="BG116" i="35"/>
  <c r="BL116" i="35"/>
  <c r="BW116" i="35"/>
  <c r="CB116" i="35"/>
  <c r="Q119" i="35"/>
  <c r="AA119" i="35"/>
  <c r="AG119" i="35"/>
  <c r="AQ119" i="35"/>
  <c r="AW119" i="35"/>
  <c r="BG119" i="35"/>
  <c r="BM119" i="35"/>
  <c r="BW119" i="35"/>
  <c r="CK119" i="35"/>
  <c r="M122" i="35"/>
  <c r="M123" i="35" s="1"/>
  <c r="AC122" i="35"/>
  <c r="AC123" i="35" s="1"/>
  <c r="AS122" i="35"/>
  <c r="BY122" i="35"/>
  <c r="BY123" i="35" s="1"/>
  <c r="W149" i="35"/>
  <c r="BK149" i="35"/>
  <c r="N153" i="35"/>
  <c r="G149" i="35"/>
  <c r="O149" i="35"/>
  <c r="S149" i="35"/>
  <c r="AU149" i="35"/>
  <c r="BC149" i="35"/>
  <c r="BG149" i="35"/>
  <c r="AZ187" i="35"/>
  <c r="BT149" i="35"/>
  <c r="AQ149" i="35"/>
  <c r="BJ153" i="35"/>
  <c r="BR153" i="35"/>
  <c r="O178" i="35"/>
  <c r="AI205" i="35"/>
  <c r="AI178" i="35"/>
  <c r="AQ205" i="35"/>
  <c r="AU205" i="35"/>
  <c r="BG205" i="35"/>
  <c r="AA149" i="35"/>
  <c r="AI149" i="35"/>
  <c r="AM149" i="35"/>
  <c r="AL153" i="35"/>
  <c r="K176" i="35"/>
  <c r="O202" i="35"/>
  <c r="O175" i="35"/>
  <c r="S202" i="35"/>
  <c r="S175" i="35"/>
  <c r="W202" i="35"/>
  <c r="W175" i="35"/>
  <c r="AE202" i="35"/>
  <c r="AI202" i="35"/>
  <c r="AM202" i="35"/>
  <c r="AM175" i="35"/>
  <c r="AU202" i="35"/>
  <c r="AY202" i="35"/>
  <c r="BC202" i="35"/>
  <c r="BO173" i="35"/>
  <c r="BJ208" i="35"/>
  <c r="BJ176" i="35"/>
  <c r="BJ173" i="35"/>
  <c r="BZ208" i="35"/>
  <c r="BZ176" i="35"/>
  <c r="BZ173" i="35"/>
  <c r="BJ166" i="35"/>
  <c r="BZ166" i="35"/>
  <c r="BI170" i="35"/>
  <c r="BM170" i="35"/>
  <c r="BQ170" i="35"/>
  <c r="CJ165" i="35"/>
  <c r="CJ8" i="35" s="1"/>
  <c r="CJ170" i="35"/>
  <c r="AV169" i="35"/>
  <c r="CJ176" i="35"/>
  <c r="AR187" i="35"/>
  <c r="BH187" i="35"/>
  <c r="CB187" i="35"/>
  <c r="F176" i="35"/>
  <c r="F173" i="35"/>
  <c r="F202" i="35" s="1"/>
  <c r="F168" i="35"/>
  <c r="J176" i="35"/>
  <c r="J173" i="35"/>
  <c r="J202" i="35" s="1"/>
  <c r="J168" i="35"/>
  <c r="J208" i="35" s="1"/>
  <c r="J71" i="35" s="1"/>
  <c r="J70" i="35" s="1"/>
  <c r="N176" i="35"/>
  <c r="N178" i="35" s="1"/>
  <c r="N173" i="35"/>
  <c r="N168" i="35"/>
  <c r="R176" i="35"/>
  <c r="R173" i="35"/>
  <c r="R168" i="35"/>
  <c r="V176" i="35"/>
  <c r="AA178" i="35" s="1"/>
  <c r="V173" i="35"/>
  <c r="V168" i="35"/>
  <c r="Z173" i="35"/>
  <c r="Z168" i="35"/>
  <c r="AD176" i="35"/>
  <c r="AD173" i="35"/>
  <c r="AD168" i="35"/>
  <c r="AH176" i="35"/>
  <c r="AH173" i="35"/>
  <c r="AH168" i="35"/>
  <c r="AL208" i="35"/>
  <c r="AL176" i="35"/>
  <c r="AQ178" i="35" s="1"/>
  <c r="AL173" i="35"/>
  <c r="AL168" i="35"/>
  <c r="AP208" i="35"/>
  <c r="AP209" i="35" s="1"/>
  <c r="AP176" i="35"/>
  <c r="AU178" i="35" s="1"/>
  <c r="E12" i="45" s="1"/>
  <c r="AP173" i="35"/>
  <c r="AP168" i="35"/>
  <c r="AT208" i="35"/>
  <c r="AT173" i="35"/>
  <c r="AT168" i="35"/>
  <c r="AX208" i="35"/>
  <c r="AX209" i="35" s="1"/>
  <c r="AX176" i="35"/>
  <c r="AX173" i="35"/>
  <c r="AX168" i="35"/>
  <c r="BB208" i="35"/>
  <c r="BB209" i="35" s="1"/>
  <c r="BB176" i="35"/>
  <c r="BB173" i="35"/>
  <c r="BB168" i="35"/>
  <c r="BF208" i="35"/>
  <c r="BF176" i="35"/>
  <c r="BF173" i="35"/>
  <c r="BF168" i="35"/>
  <c r="BN208" i="35"/>
  <c r="BN173" i="35"/>
  <c r="CD208" i="35"/>
  <c r="CD209" i="35" s="1"/>
  <c r="CD176" i="35"/>
  <c r="CD173" i="35"/>
  <c r="R166" i="35"/>
  <c r="AH166" i="35"/>
  <c r="AX166" i="35"/>
  <c r="BN166" i="35"/>
  <c r="CD166" i="35"/>
  <c r="P208" i="35"/>
  <c r="P170" i="35"/>
  <c r="X208" i="35"/>
  <c r="X170" i="35"/>
  <c r="AF208" i="35"/>
  <c r="AF209" i="35" s="1"/>
  <c r="AF170" i="35"/>
  <c r="CF170" i="35"/>
  <c r="CF165" i="35"/>
  <c r="CK170" i="35"/>
  <c r="CF169" i="35"/>
  <c r="CK176" i="35"/>
  <c r="CK183" i="35"/>
  <c r="AU16" i="45" s="1"/>
  <c r="CK186" i="35"/>
  <c r="CK187" i="35" s="1"/>
  <c r="CK182" i="35"/>
  <c r="P187" i="35"/>
  <c r="AV187" i="35"/>
  <c r="BL187" i="35"/>
  <c r="BC209" i="35"/>
  <c r="BR208" i="35"/>
  <c r="BR209" i="35" s="1"/>
  <c r="BR176" i="35"/>
  <c r="BR173" i="35"/>
  <c r="BR166" i="35"/>
  <c r="BT208" i="35"/>
  <c r="BT176" i="35"/>
  <c r="BT173" i="35"/>
  <c r="BX168" i="35"/>
  <c r="BX169" i="35" s="1"/>
  <c r="CG170" i="35"/>
  <c r="CB170" i="35"/>
  <c r="CB165" i="35"/>
  <c r="BT169" i="35"/>
  <c r="BT170" i="35"/>
  <c r="BI208" i="35"/>
  <c r="BI166" i="35"/>
  <c r="BI173" i="35"/>
  <c r="BM208" i="35"/>
  <c r="BM71" i="35" s="1"/>
  <c r="BM70" i="35" s="1"/>
  <c r="BM166" i="35"/>
  <c r="BM176" i="35"/>
  <c r="BM173" i="35"/>
  <c r="BQ208" i="35"/>
  <c r="BQ209" i="35" s="1"/>
  <c r="BQ166" i="35"/>
  <c r="BQ176" i="35"/>
  <c r="BQ173" i="35"/>
  <c r="BU208" i="35"/>
  <c r="BU176" i="35"/>
  <c r="BU173" i="35"/>
  <c r="BY208" i="35"/>
  <c r="BY166" i="35"/>
  <c r="CC165" i="35"/>
  <c r="BY176" i="35"/>
  <c r="BY173" i="35"/>
  <c r="CG208" i="35"/>
  <c r="CG166" i="35"/>
  <c r="CG176" i="35"/>
  <c r="CG173" i="35"/>
  <c r="CK208" i="35"/>
  <c r="CK166" i="35"/>
  <c r="CK173" i="35"/>
  <c r="BC178" i="35"/>
  <c r="M12" i="45" s="1"/>
  <c r="AH187" i="35"/>
  <c r="AL200" i="35"/>
  <c r="AX187" i="35"/>
  <c r="BB200" i="35"/>
  <c r="BJ187" i="35"/>
  <c r="BR200" i="35"/>
  <c r="H196" i="35"/>
  <c r="L213" i="35"/>
  <c r="L212" i="35"/>
  <c r="L194" i="35"/>
  <c r="P213" i="35"/>
  <c r="P212" i="35"/>
  <c r="P196" i="35"/>
  <c r="P194" i="35"/>
  <c r="T213" i="35"/>
  <c r="T212" i="35"/>
  <c r="T194" i="35"/>
  <c r="X213" i="35"/>
  <c r="X212" i="35"/>
  <c r="X196" i="35"/>
  <c r="X194" i="35"/>
  <c r="AB213" i="35"/>
  <c r="AB212" i="35"/>
  <c r="AB194" i="35"/>
  <c r="AF213" i="35"/>
  <c r="AF212" i="35"/>
  <c r="AF196" i="35"/>
  <c r="AF194" i="35"/>
  <c r="AJ213" i="35"/>
  <c r="AJ212" i="35"/>
  <c r="AJ194" i="35"/>
  <c r="AN213" i="35"/>
  <c r="AN212" i="35"/>
  <c r="AN194" i="35"/>
  <c r="AR213" i="35"/>
  <c r="AR212" i="35"/>
  <c r="AR194" i="35"/>
  <c r="AV213" i="35"/>
  <c r="AV212" i="35"/>
  <c r="AV194" i="35"/>
  <c r="AZ213" i="35"/>
  <c r="AZ212" i="35"/>
  <c r="AZ194" i="35"/>
  <c r="BD213" i="35"/>
  <c r="BD212" i="35"/>
  <c r="BD194" i="35"/>
  <c r="BH213" i="35"/>
  <c r="BH212" i="35"/>
  <c r="BH196" i="35"/>
  <c r="BH194" i="35"/>
  <c r="BL213" i="35"/>
  <c r="BL212" i="35"/>
  <c r="BL196" i="35"/>
  <c r="BL194" i="35"/>
  <c r="BP213" i="35"/>
  <c r="BP212" i="35"/>
  <c r="BP196" i="35"/>
  <c r="BP197" i="35" s="1"/>
  <c r="BP194" i="35"/>
  <c r="BT213" i="35"/>
  <c r="BT212" i="35"/>
  <c r="BT196" i="35"/>
  <c r="BT194" i="35"/>
  <c r="BX213" i="35"/>
  <c r="BX212" i="35"/>
  <c r="BX194" i="35"/>
  <c r="CB213" i="35"/>
  <c r="CB212" i="35"/>
  <c r="CB194" i="35"/>
  <c r="CF213" i="35"/>
  <c r="CF212" i="35"/>
  <c r="CF194" i="35"/>
  <c r="CJ213" i="35"/>
  <c r="CJ212" i="35"/>
  <c r="CJ194" i="35"/>
  <c r="BV208" i="35"/>
  <c r="BV209" i="35" s="1"/>
  <c r="BV176" i="35"/>
  <c r="BV173" i="35"/>
  <c r="CL208" i="35"/>
  <c r="CL176" i="35"/>
  <c r="CL173" i="35"/>
  <c r="Z166" i="35"/>
  <c r="AP166" i="35"/>
  <c r="BF166" i="35"/>
  <c r="BV166" i="35"/>
  <c r="CL166" i="35"/>
  <c r="L208" i="35"/>
  <c r="L71" i="35" s="1"/>
  <c r="L70" i="35" s="1"/>
  <c r="L170" i="35"/>
  <c r="T208" i="35"/>
  <c r="T209" i="35" s="1"/>
  <c r="T170" i="35"/>
  <c r="AB208" i="35"/>
  <c r="AB170" i="35"/>
  <c r="BL165" i="35"/>
  <c r="BL170" i="35"/>
  <c r="BP165" i="35"/>
  <c r="BP170" i="35"/>
  <c r="BU170" i="35"/>
  <c r="L169" i="35"/>
  <c r="AB169" i="35"/>
  <c r="AR169" i="35"/>
  <c r="BH169" i="35"/>
  <c r="BY170" i="35"/>
  <c r="K175" i="35"/>
  <c r="AQ175" i="35"/>
  <c r="BG175" i="35"/>
  <c r="AN187" i="35"/>
  <c r="AM209" i="35"/>
  <c r="AU209" i="35"/>
  <c r="BG209" i="35"/>
  <c r="BK165" i="35"/>
  <c r="BK173" i="35" s="1"/>
  <c r="BO165" i="35"/>
  <c r="BW165" i="35"/>
  <c r="BW176" i="35" s="1"/>
  <c r="CA165" i="35"/>
  <c r="CE165" i="35"/>
  <c r="CI165" i="35"/>
  <c r="AM166" i="35"/>
  <c r="AQ166" i="35"/>
  <c r="AU166" i="35"/>
  <c r="AY166" i="35"/>
  <c r="BC166" i="35"/>
  <c r="BG166" i="35"/>
  <c r="E168" i="35"/>
  <c r="I168" i="35"/>
  <c r="I208" i="35" s="1"/>
  <c r="I71" i="35" s="1"/>
  <c r="I70" i="35" s="1"/>
  <c r="M168" i="35"/>
  <c r="Q168" i="35"/>
  <c r="Q69" i="35" s="1"/>
  <c r="U168" i="35"/>
  <c r="Y168" i="35"/>
  <c r="AC168" i="35"/>
  <c r="AG168" i="35"/>
  <c r="AK168" i="35"/>
  <c r="AO168" i="35"/>
  <c r="AS168" i="35"/>
  <c r="AW168" i="35"/>
  <c r="BA168" i="35"/>
  <c r="BE168" i="35"/>
  <c r="CC168" i="35"/>
  <c r="CC169" i="35" s="1"/>
  <c r="BI169" i="35"/>
  <c r="BM169" i="35"/>
  <c r="BQ169" i="35"/>
  <c r="BU169" i="35"/>
  <c r="CK169" i="35"/>
  <c r="BZ170" i="35"/>
  <c r="CE170" i="35"/>
  <c r="H173" i="35"/>
  <c r="H202" i="35" s="1"/>
  <c r="L173" i="35"/>
  <c r="P173" i="35"/>
  <c r="T173" i="35"/>
  <c r="X173" i="35"/>
  <c r="AB173" i="35"/>
  <c r="AF173" i="35"/>
  <c r="AJ173" i="35"/>
  <c r="AN173" i="35"/>
  <c r="AR173" i="35"/>
  <c r="AV173" i="35"/>
  <c r="AZ173" i="35"/>
  <c r="BD173" i="35"/>
  <c r="BH173" i="35"/>
  <c r="L176" i="35"/>
  <c r="T176" i="35"/>
  <c r="T178" i="35" s="1"/>
  <c r="X176" i="35"/>
  <c r="X178" i="35" s="1"/>
  <c r="AB176" i="35"/>
  <c r="AF176" i="35"/>
  <c r="AN176" i="35"/>
  <c r="AR176" i="35"/>
  <c r="AV176" i="35"/>
  <c r="AZ176" i="35"/>
  <c r="BH176" i="35"/>
  <c r="K186" i="35"/>
  <c r="K187" i="35" s="1"/>
  <c r="K182" i="35"/>
  <c r="K183" i="35"/>
  <c r="O186" i="35"/>
  <c r="O187" i="35" s="1"/>
  <c r="O182" i="35"/>
  <c r="O183" i="35"/>
  <c r="S186" i="35"/>
  <c r="S187" i="35" s="1"/>
  <c r="S182" i="35"/>
  <c r="S183" i="35"/>
  <c r="W186" i="35"/>
  <c r="W187" i="35" s="1"/>
  <c r="W182" i="35"/>
  <c r="W183" i="35"/>
  <c r="AA186" i="35"/>
  <c r="AA187" i="35" s="1"/>
  <c r="AA182" i="35"/>
  <c r="AA183" i="35"/>
  <c r="AE186" i="35"/>
  <c r="AE187" i="35" s="1"/>
  <c r="AE182" i="35"/>
  <c r="AE183" i="35"/>
  <c r="AM187" i="35"/>
  <c r="AQ187" i="35"/>
  <c r="AU187" i="35"/>
  <c r="BG187" i="35"/>
  <c r="BK187" i="35"/>
  <c r="BO187" i="35"/>
  <c r="BY183" i="35"/>
  <c r="AI16" i="45" s="1"/>
  <c r="BY186" i="35"/>
  <c r="BY182" i="35"/>
  <c r="CC181" i="35"/>
  <c r="CC182" i="35" s="1"/>
  <c r="CG183" i="35"/>
  <c r="AQ16" i="45" s="1"/>
  <c r="CG186" i="35"/>
  <c r="CG187" i="35" s="1"/>
  <c r="CG182" i="35"/>
  <c r="L182" i="35"/>
  <c r="AB182" i="35"/>
  <c r="BT187" i="35"/>
  <c r="AN209" i="35"/>
  <c r="AR209" i="35"/>
  <c r="AV209" i="35"/>
  <c r="BH209" i="35"/>
  <c r="AJ166" i="35"/>
  <c r="AN166" i="35"/>
  <c r="AR166" i="35"/>
  <c r="AV166" i="35"/>
  <c r="AZ166" i="35"/>
  <c r="BD166" i="35"/>
  <c r="BH166" i="35"/>
  <c r="CH168" i="35"/>
  <c r="CH169" i="35" s="1"/>
  <c r="BV169" i="35"/>
  <c r="CA170" i="35"/>
  <c r="E173" i="35"/>
  <c r="E202" i="35" s="1"/>
  <c r="M173" i="35"/>
  <c r="Q173" i="35"/>
  <c r="U173" i="35"/>
  <c r="Y173" i="35"/>
  <c r="AC173" i="35"/>
  <c r="AG173" i="35"/>
  <c r="AK173" i="35"/>
  <c r="AO173" i="35"/>
  <c r="AS173" i="35"/>
  <c r="AW173" i="35"/>
  <c r="BA173" i="35"/>
  <c r="BE173" i="35"/>
  <c r="M176" i="35"/>
  <c r="M178" i="35" s="1"/>
  <c r="Q176" i="35"/>
  <c r="Y176" i="35"/>
  <c r="Y178" i="35" s="1"/>
  <c r="AC176" i="35"/>
  <c r="AG176" i="35"/>
  <c r="AK176" i="35"/>
  <c r="AS176" i="35"/>
  <c r="AW176" i="35"/>
  <c r="AY176" i="35" s="1"/>
  <c r="BA176" i="35"/>
  <c r="BE176" i="35"/>
  <c r="BU183" i="35"/>
  <c r="BU186" i="35"/>
  <c r="BU187" i="35" s="1"/>
  <c r="BU182" i="35"/>
  <c r="AE16" i="45" s="1"/>
  <c r="BZ182" i="35"/>
  <c r="CD187" i="35"/>
  <c r="CH186" i="35"/>
  <c r="P182" i="35"/>
  <c r="AF182" i="35"/>
  <c r="CI190" i="35"/>
  <c r="CI191" i="35"/>
  <c r="CI186" i="35"/>
  <c r="CI199" i="35"/>
  <c r="CM189" i="35"/>
  <c r="AK209" i="35"/>
  <c r="AS209" i="35"/>
  <c r="AW209" i="35"/>
  <c r="BA209" i="35"/>
  <c r="BE209" i="35"/>
  <c r="AK166" i="35"/>
  <c r="AO166" i="35"/>
  <c r="AS166" i="35"/>
  <c r="AW166" i="35"/>
  <c r="BA166" i="35"/>
  <c r="BE166" i="35"/>
  <c r="O209" i="35"/>
  <c r="S209" i="35"/>
  <c r="W209" i="35"/>
  <c r="AA209" i="35"/>
  <c r="AI209" i="35"/>
  <c r="BS168" i="35"/>
  <c r="BS169" i="35" s="1"/>
  <c r="CM168" i="35"/>
  <c r="CM169" i="35" s="1"/>
  <c r="K169" i="35"/>
  <c r="O169" i="35"/>
  <c r="S169" i="35"/>
  <c r="W169" i="35"/>
  <c r="AA169" i="35"/>
  <c r="AE169" i="35"/>
  <c r="AI169" i="35"/>
  <c r="BW169" i="35"/>
  <c r="M183" i="35"/>
  <c r="M186" i="35"/>
  <c r="M187" i="35" s="1"/>
  <c r="M182" i="35"/>
  <c r="Q183" i="35"/>
  <c r="Q186" i="35"/>
  <c r="Q187" i="35" s="1"/>
  <c r="Q182" i="35"/>
  <c r="U183" i="35"/>
  <c r="U186" i="35"/>
  <c r="U187" i="35" s="1"/>
  <c r="U182" i="35"/>
  <c r="Y183" i="35"/>
  <c r="Y186" i="35"/>
  <c r="Y187" i="35" s="1"/>
  <c r="Y182" i="35"/>
  <c r="AC183" i="35"/>
  <c r="AC186" i="35"/>
  <c r="AC187" i="35" s="1"/>
  <c r="AC182" i="35"/>
  <c r="AG183" i="35"/>
  <c r="AG186" i="35"/>
  <c r="AG187" i="35" s="1"/>
  <c r="AG182" i="35"/>
  <c r="AK183" i="35"/>
  <c r="AK186" i="35"/>
  <c r="AK187" i="35" s="1"/>
  <c r="AK182" i="35"/>
  <c r="AO183" i="35"/>
  <c r="AO186" i="35"/>
  <c r="AO182" i="35"/>
  <c r="AS183" i="35"/>
  <c r="AS186" i="35"/>
  <c r="AS187" i="35" s="1"/>
  <c r="AS182" i="35"/>
  <c r="AW183" i="35"/>
  <c r="AW186" i="35"/>
  <c r="AW187" i="35" s="1"/>
  <c r="AW182" i="35"/>
  <c r="G16" i="45" s="1"/>
  <c r="BA183" i="35"/>
  <c r="BA186" i="35"/>
  <c r="BA187" i="35" s="1"/>
  <c r="BA182" i="35"/>
  <c r="K16" i="45" s="1"/>
  <c r="BE183" i="35"/>
  <c r="BE186" i="35"/>
  <c r="BE187" i="35" s="1"/>
  <c r="BE182" i="35"/>
  <c r="O16" i="45" s="1"/>
  <c r="BI183" i="35"/>
  <c r="BI186" i="35"/>
  <c r="BI182" i="35"/>
  <c r="S16" i="45" s="1"/>
  <c r="BM183" i="35"/>
  <c r="BM186" i="35"/>
  <c r="BM187" i="35" s="1"/>
  <c r="BM182" i="35"/>
  <c r="W16" i="45" s="1"/>
  <c r="BQ183" i="35"/>
  <c r="BQ186" i="35"/>
  <c r="BQ187" i="35" s="1"/>
  <c r="BQ182" i="35"/>
  <c r="AA16" i="45" s="1"/>
  <c r="T190" i="35"/>
  <c r="AZ190" i="35"/>
  <c r="BP190" i="35"/>
  <c r="BZ190" i="35"/>
  <c r="BZ191" i="35"/>
  <c r="BZ186" i="35"/>
  <c r="CE190" i="35"/>
  <c r="CE199" i="35"/>
  <c r="CE196" i="35" s="1"/>
  <c r="CE197" i="35" s="1"/>
  <c r="CE191" i="35"/>
  <c r="CE186" i="35"/>
  <c r="CE187" i="35" s="1"/>
  <c r="CJ190" i="35"/>
  <c r="BJ200" i="35"/>
  <c r="CH181" i="35"/>
  <c r="AI183" i="35"/>
  <c r="AM183" i="35"/>
  <c r="AQ183" i="35"/>
  <c r="AU183" i="35"/>
  <c r="AY183" i="35"/>
  <c r="BC183" i="35"/>
  <c r="BG183" i="35"/>
  <c r="BK183" i="35"/>
  <c r="BO183" i="35"/>
  <c r="BW183" i="35"/>
  <c r="CA183" i="35"/>
  <c r="AK16" i="45" s="1"/>
  <c r="CE183" i="35"/>
  <c r="AO16" i="45" s="1"/>
  <c r="CI183" i="35"/>
  <c r="AS16" i="45" s="1"/>
  <c r="G199" i="35"/>
  <c r="K199" i="35"/>
  <c r="O199" i="35"/>
  <c r="S199" i="35"/>
  <c r="W199" i="35"/>
  <c r="AA199" i="35"/>
  <c r="AE199" i="35"/>
  <c r="AI199" i="35"/>
  <c r="AI196" i="35" s="1"/>
  <c r="AI197" i="35" s="1"/>
  <c r="AM199" i="35"/>
  <c r="AM200" i="35" s="1"/>
  <c r="AQ199" i="35"/>
  <c r="AQ200" i="35" s="1"/>
  <c r="AU199" i="35"/>
  <c r="AU200" i="35" s="1"/>
  <c r="AY199" i="35"/>
  <c r="BC199" i="35"/>
  <c r="BC200" i="35" s="1"/>
  <c r="BG199" i="35"/>
  <c r="BG200" i="35" s="1"/>
  <c r="BK199" i="35"/>
  <c r="BO199" i="35"/>
  <c r="BS189" i="35"/>
  <c r="BW191" i="35"/>
  <c r="BW199" i="35"/>
  <c r="O190" i="35"/>
  <c r="AE190" i="35"/>
  <c r="AU190" i="35"/>
  <c r="BK190" i="35"/>
  <c r="S191" i="35"/>
  <c r="AI191" i="35"/>
  <c r="AY191" i="35"/>
  <c r="BO191" i="35"/>
  <c r="CA190" i="35"/>
  <c r="CA199" i="35"/>
  <c r="CA191" i="35"/>
  <c r="CB190" i="35"/>
  <c r="R199" i="35"/>
  <c r="R196" i="35" s="1"/>
  <c r="R197" i="35" s="1"/>
  <c r="AH199" i="35"/>
  <c r="AX199" i="35"/>
  <c r="AX200" i="35" s="1"/>
  <c r="BN199" i="35"/>
  <c r="CD199" i="35"/>
  <c r="CD200" i="35" s="1"/>
  <c r="BS181" i="35"/>
  <c r="BS182" i="35" s="1"/>
  <c r="CM181" i="35"/>
  <c r="N182" i="35"/>
  <c r="R182" i="35"/>
  <c r="V182" i="35"/>
  <c r="Z182" i="35"/>
  <c r="AD182" i="35"/>
  <c r="AH182" i="35"/>
  <c r="AL182" i="35"/>
  <c r="AP182" i="35"/>
  <c r="AT182" i="35"/>
  <c r="AX182" i="35"/>
  <c r="H16" i="45" s="1"/>
  <c r="BB182" i="35"/>
  <c r="L16" i="45" s="1"/>
  <c r="BF182" i="35"/>
  <c r="P16" i="45" s="1"/>
  <c r="BJ182" i="35"/>
  <c r="T16" i="45" s="1"/>
  <c r="BN182" i="35"/>
  <c r="X16" i="45" s="1"/>
  <c r="BR182" i="35"/>
  <c r="AB16" i="45" s="1"/>
  <c r="BV182" i="35"/>
  <c r="AF16" i="45" s="1"/>
  <c r="CD182" i="35"/>
  <c r="CL182" i="35"/>
  <c r="J186" i="35"/>
  <c r="V186" i="35"/>
  <c r="V187" i="35" s="1"/>
  <c r="Z186" i="35"/>
  <c r="Z187" i="35" s="1"/>
  <c r="AL186" i="35"/>
  <c r="AL187" i="35" s="1"/>
  <c r="AP186" i="35"/>
  <c r="BB186" i="35"/>
  <c r="BB187" i="35" s="1"/>
  <c r="BF186" i="35"/>
  <c r="BF187" i="35" s="1"/>
  <c r="BR186" i="35"/>
  <c r="BV186" i="35"/>
  <c r="BV187" i="35" s="1"/>
  <c r="CL186" i="35"/>
  <c r="CL187" i="35" s="1"/>
  <c r="H199" i="35"/>
  <c r="L191" i="35"/>
  <c r="L199" i="35"/>
  <c r="L196" i="35" s="1"/>
  <c r="L197" i="35" s="1"/>
  <c r="P191" i="35"/>
  <c r="P199" i="35"/>
  <c r="T191" i="35"/>
  <c r="T199" i="35"/>
  <c r="T196" i="35" s="1"/>
  <c r="T197" i="35" s="1"/>
  <c r="X191" i="35"/>
  <c r="X199" i="35"/>
  <c r="AB191" i="35"/>
  <c r="AB199" i="35"/>
  <c r="AB196" i="35" s="1"/>
  <c r="AB197" i="35" s="1"/>
  <c r="AF191" i="35"/>
  <c r="AF199" i="35"/>
  <c r="AJ191" i="35"/>
  <c r="AJ199" i="35"/>
  <c r="AN191" i="35"/>
  <c r="AN199" i="35"/>
  <c r="AR191" i="35"/>
  <c r="AR199" i="35"/>
  <c r="AV191" i="35"/>
  <c r="AV199" i="35"/>
  <c r="AZ191" i="35"/>
  <c r="AZ199" i="35"/>
  <c r="AZ200" i="35" s="1"/>
  <c r="BD191" i="35"/>
  <c r="BD199" i="35"/>
  <c r="BH191" i="35"/>
  <c r="BH199" i="35"/>
  <c r="BH200" i="35" s="1"/>
  <c r="BL191" i="35"/>
  <c r="BL199" i="35"/>
  <c r="BP191" i="35"/>
  <c r="BP199" i="35"/>
  <c r="BX189" i="35"/>
  <c r="BT191" i="35"/>
  <c r="BT199" i="35"/>
  <c r="BT200" i="35" s="1"/>
  <c r="K190" i="35"/>
  <c r="P190" i="35"/>
  <c r="AA190" i="35"/>
  <c r="AF190" i="35"/>
  <c r="AQ190" i="35"/>
  <c r="AV190" i="35"/>
  <c r="BL190" i="35"/>
  <c r="O191" i="35"/>
  <c r="AE191" i="35"/>
  <c r="AU191" i="35"/>
  <c r="BK191" i="35"/>
  <c r="CB199" i="35"/>
  <c r="CB196" i="35" s="1"/>
  <c r="CB197" i="35" s="1"/>
  <c r="J196" i="35"/>
  <c r="N196" i="35"/>
  <c r="N197" i="35" s="1"/>
  <c r="V196" i="35"/>
  <c r="Z196" i="35"/>
  <c r="AD196" i="35"/>
  <c r="AD197" i="35" s="1"/>
  <c r="AH213" i="35"/>
  <c r="AL196" i="35"/>
  <c r="AP196" i="35"/>
  <c r="AX212" i="35"/>
  <c r="BB196" i="35"/>
  <c r="BF196" i="35"/>
  <c r="BJ196" i="35"/>
  <c r="BR196" i="35"/>
  <c r="BV196" i="35"/>
  <c r="BZ196" i="35"/>
  <c r="AI182" i="35"/>
  <c r="AM182" i="35"/>
  <c r="AQ182" i="35"/>
  <c r="AU182" i="35"/>
  <c r="E16" i="45" s="1"/>
  <c r="AY182" i="35"/>
  <c r="I16" i="45" s="1"/>
  <c r="BC182" i="35"/>
  <c r="M16" i="45" s="1"/>
  <c r="BG182" i="35"/>
  <c r="Q16" i="45" s="1"/>
  <c r="BK182" i="35"/>
  <c r="U16" i="45" s="1"/>
  <c r="BO182" i="35"/>
  <c r="Y16" i="45" s="1"/>
  <c r="BW182" i="35"/>
  <c r="AG16" i="45" s="1"/>
  <c r="CA182" i="35"/>
  <c r="I199" i="35"/>
  <c r="I196" i="35" s="1"/>
  <c r="M199" i="35"/>
  <c r="M196" i="35" s="1"/>
  <c r="M197" i="35" s="1"/>
  <c r="M190" i="35"/>
  <c r="Q199" i="35"/>
  <c r="Q196" i="35" s="1"/>
  <c r="Q190" i="35"/>
  <c r="U199" i="35"/>
  <c r="U196" i="35" s="1"/>
  <c r="U197" i="35" s="1"/>
  <c r="U190" i="35"/>
  <c r="Y199" i="35"/>
  <c r="Y196" i="35" s="1"/>
  <c r="Y190" i="35"/>
  <c r="AC199" i="35"/>
  <c r="AC196" i="35" s="1"/>
  <c r="AC197" i="35" s="1"/>
  <c r="AC190" i="35"/>
  <c r="AG199" i="35"/>
  <c r="AG196" i="35" s="1"/>
  <c r="AG190" i="35"/>
  <c r="AK199" i="35"/>
  <c r="AK190" i="35"/>
  <c r="AO199" i="35"/>
  <c r="AO190" i="35"/>
  <c r="AS199" i="35"/>
  <c r="AS190" i="35"/>
  <c r="AW199" i="35"/>
  <c r="AW190" i="35"/>
  <c r="BA199" i="35"/>
  <c r="BA190" i="35"/>
  <c r="BE199" i="35"/>
  <c r="BE190" i="35"/>
  <c r="BI199" i="35"/>
  <c r="BI190" i="35"/>
  <c r="BM199" i="35"/>
  <c r="BM190" i="35"/>
  <c r="BQ199" i="35"/>
  <c r="BQ190" i="35"/>
  <c r="BU199" i="35"/>
  <c r="BU190" i="35"/>
  <c r="L190" i="35"/>
  <c r="W190" i="35"/>
  <c r="AB190" i="35"/>
  <c r="AM190" i="35"/>
  <c r="AR190" i="35"/>
  <c r="BC190" i="35"/>
  <c r="BH190" i="35"/>
  <c r="K191" i="35"/>
  <c r="Q191" i="35"/>
  <c r="AA191" i="35"/>
  <c r="AG191" i="35"/>
  <c r="AQ191" i="35"/>
  <c r="AW191" i="35"/>
  <c r="BG191" i="35"/>
  <c r="BM191" i="35"/>
  <c r="BY199" i="35"/>
  <c r="CH189" i="35"/>
  <c r="CL199" i="35"/>
  <c r="CL190" i="35"/>
  <c r="CD191" i="35"/>
  <c r="G196" i="35"/>
  <c r="K196" i="35"/>
  <c r="K197" i="35" s="1"/>
  <c r="O196" i="35"/>
  <c r="S196" i="35"/>
  <c r="W196" i="35"/>
  <c r="AA196" i="35"/>
  <c r="AM196" i="35"/>
  <c r="AU196" i="35"/>
  <c r="BK196" i="35"/>
  <c r="BK197" i="35" s="1"/>
  <c r="BO196" i="35"/>
  <c r="BW196" i="35"/>
  <c r="CA196" i="35"/>
  <c r="CI196" i="35"/>
  <c r="M213" i="35"/>
  <c r="M212" i="35"/>
  <c r="Q213" i="35"/>
  <c r="Q212" i="35"/>
  <c r="U213" i="35"/>
  <c r="U212" i="35"/>
  <c r="Y213" i="35"/>
  <c r="Y212" i="35"/>
  <c r="AC213" i="35"/>
  <c r="AC212" i="35"/>
  <c r="AG213" i="35"/>
  <c r="AG212" i="35"/>
  <c r="AK213" i="35"/>
  <c r="AK212" i="35"/>
  <c r="AO213" i="35"/>
  <c r="AO212" i="35"/>
  <c r="AS213" i="35"/>
  <c r="AS212" i="35"/>
  <c r="AW213" i="35"/>
  <c r="AW212" i="35"/>
  <c r="BA213" i="35"/>
  <c r="BA212" i="35"/>
  <c r="BE213" i="35"/>
  <c r="BE212" i="35"/>
  <c r="BI213" i="35"/>
  <c r="BI212" i="35"/>
  <c r="BM213" i="35"/>
  <c r="BM212" i="35"/>
  <c r="BQ213" i="35"/>
  <c r="BQ212" i="35"/>
  <c r="BU213" i="35"/>
  <c r="BU212" i="35"/>
  <c r="BY213" i="35"/>
  <c r="BY212" i="35"/>
  <c r="CC213" i="35"/>
  <c r="CC212" i="35"/>
  <c r="CG213" i="35"/>
  <c r="CG212" i="35"/>
  <c r="CK213" i="35"/>
  <c r="CK212" i="35"/>
  <c r="AH196" i="35"/>
  <c r="AH197" i="35" s="1"/>
  <c r="CD196" i="35"/>
  <c r="CK199" i="35"/>
  <c r="R212" i="35"/>
  <c r="CD212" i="35"/>
  <c r="BN213" i="35"/>
  <c r="CF199" i="35"/>
  <c r="CF196" i="35" s="1"/>
  <c r="CF197" i="35" s="1"/>
  <c r="CJ199" i="35"/>
  <c r="CJ196" i="35" s="1"/>
  <c r="CJ197" i="35" s="1"/>
  <c r="CB191" i="35"/>
  <c r="CF191" i="35"/>
  <c r="CJ191" i="35"/>
  <c r="N213" i="35"/>
  <c r="N212" i="35"/>
  <c r="V213" i="35"/>
  <c r="V212" i="35"/>
  <c r="Z213" i="35"/>
  <c r="Z212" i="35"/>
  <c r="AD213" i="35"/>
  <c r="AD212" i="35"/>
  <c r="AL213" i="35"/>
  <c r="AL212" i="35"/>
  <c r="AP213" i="35"/>
  <c r="AP212" i="35"/>
  <c r="AT213" i="35"/>
  <c r="AT212" i="35"/>
  <c r="BB213" i="35"/>
  <c r="BB212" i="35"/>
  <c r="BF213" i="35"/>
  <c r="BF212" i="35"/>
  <c r="BJ213" i="35"/>
  <c r="BJ212" i="35"/>
  <c r="BR213" i="35"/>
  <c r="BR212" i="35"/>
  <c r="BV213" i="35"/>
  <c r="BV212" i="35"/>
  <c r="BZ213" i="35"/>
  <c r="BZ212" i="35"/>
  <c r="CH213" i="35"/>
  <c r="CH212" i="35"/>
  <c r="CL213" i="35"/>
  <c r="CL212" i="35"/>
  <c r="M194" i="35"/>
  <c r="Q194" i="35"/>
  <c r="U194" i="35"/>
  <c r="Y194" i="35"/>
  <c r="AC194" i="35"/>
  <c r="AG194" i="35"/>
  <c r="AK194" i="35"/>
  <c r="AO194" i="35"/>
  <c r="AS194" i="35"/>
  <c r="AW194" i="35"/>
  <c r="BA194" i="35"/>
  <c r="BE194" i="35"/>
  <c r="BI194" i="35"/>
  <c r="BM194" i="35"/>
  <c r="BQ194" i="35"/>
  <c r="BU194" i="35"/>
  <c r="BY194" i="35"/>
  <c r="CC194" i="35"/>
  <c r="CG194" i="35"/>
  <c r="CK194" i="35"/>
  <c r="CG199" i="35"/>
  <c r="AH212" i="35"/>
  <c r="R213" i="35"/>
  <c r="CD213" i="35"/>
  <c r="AO228" i="35"/>
  <c r="AN218" i="35"/>
  <c r="AO223" i="35"/>
  <c r="AS228" i="35"/>
  <c r="AS223" i="35"/>
  <c r="AW228" i="35"/>
  <c r="AX218" i="35"/>
  <c r="AW223" i="35"/>
  <c r="AP229" i="35"/>
  <c r="AP224" i="35"/>
  <c r="CC189" i="35"/>
  <c r="BY191" i="35"/>
  <c r="K212" i="35"/>
  <c r="O213" i="35"/>
  <c r="O212" i="35"/>
  <c r="S213" i="35"/>
  <c r="S212" i="35"/>
  <c r="W213" i="35"/>
  <c r="W212" i="35"/>
  <c r="AA213" i="35"/>
  <c r="AA212" i="35"/>
  <c r="AE213" i="35"/>
  <c r="AE212" i="35"/>
  <c r="AI213" i="35"/>
  <c r="AI212" i="35"/>
  <c r="AM213" i="35"/>
  <c r="AM212" i="35"/>
  <c r="AQ213" i="35"/>
  <c r="AQ212" i="35"/>
  <c r="AU213" i="35"/>
  <c r="AU212" i="35"/>
  <c r="AY213" i="35"/>
  <c r="AY212" i="35"/>
  <c r="BC213" i="35"/>
  <c r="BC212" i="35"/>
  <c r="BG213" i="35"/>
  <c r="BG212" i="35"/>
  <c r="BK213" i="35"/>
  <c r="BK212" i="35"/>
  <c r="BO213" i="35"/>
  <c r="BO212" i="35"/>
  <c r="BS213" i="35"/>
  <c r="BS212" i="35"/>
  <c r="BW213" i="35"/>
  <c r="BW212" i="35"/>
  <c r="CA213" i="35"/>
  <c r="CA212" i="35"/>
  <c r="CE213" i="35"/>
  <c r="CE212" i="35"/>
  <c r="CI213" i="35"/>
  <c r="CI212" i="35"/>
  <c r="CM213" i="35"/>
  <c r="CM212" i="35"/>
  <c r="N194" i="35"/>
  <c r="V194" i="35"/>
  <c r="Z194" i="35"/>
  <c r="AD194" i="35"/>
  <c r="AH194" i="35"/>
  <c r="AL194" i="35"/>
  <c r="AP194" i="35"/>
  <c r="AT194" i="35"/>
  <c r="AX194" i="35"/>
  <c r="BB194" i="35"/>
  <c r="BF194" i="35"/>
  <c r="BJ194" i="35"/>
  <c r="BR194" i="35"/>
  <c r="BV194" i="35"/>
  <c r="BZ194" i="35"/>
  <c r="CH194" i="35"/>
  <c r="CL194" i="35"/>
  <c r="BN215" i="35"/>
  <c r="AK228" i="35"/>
  <c r="AK223" i="35"/>
  <c r="AG229" i="35"/>
  <c r="AG224" i="35"/>
  <c r="AL229" i="35"/>
  <c r="AL224" i="35"/>
  <c r="BE230" i="35"/>
  <c r="BJ225" i="35"/>
  <c r="BE225" i="35"/>
  <c r="Z231" i="35"/>
  <c r="Y221" i="35"/>
  <c r="Z226" i="35"/>
  <c r="AD231" i="35"/>
  <c r="AD226" i="35"/>
  <c r="AH231" i="35"/>
  <c r="BK226" i="35"/>
  <c r="BF231" i="35"/>
  <c r="BF226" i="35"/>
  <c r="BH221" i="35"/>
  <c r="K228" i="35"/>
  <c r="AH226" i="35"/>
  <c r="CH215" i="35"/>
  <c r="CM215" i="35"/>
  <c r="AG228" i="35"/>
  <c r="AI218" i="35"/>
  <c r="BC228" i="35"/>
  <c r="BE228" i="35"/>
  <c r="BJ223" i="35"/>
  <c r="BE223" i="35"/>
  <c r="U229" i="35"/>
  <c r="U224" i="35"/>
  <c r="Y229" i="35"/>
  <c r="Y224" i="35"/>
  <c r="AC229" i="35"/>
  <c r="AC224" i="35"/>
  <c r="AD219" i="35"/>
  <c r="AE230" i="35"/>
  <c r="AD220" i="35"/>
  <c r="AE225" i="35"/>
  <c r="AI230" i="35"/>
  <c r="AI225" i="35"/>
  <c r="AM230" i="35"/>
  <c r="BA230" i="35"/>
  <c r="BA225" i="35"/>
  <c r="BC220" i="35"/>
  <c r="AE215" i="35"/>
  <c r="AJ215" i="35"/>
  <c r="E228" i="35"/>
  <c r="E223" i="35"/>
  <c r="F229" i="35"/>
  <c r="F224" i="35"/>
  <c r="U228" i="35"/>
  <c r="U223" i="35"/>
  <c r="Y228" i="35"/>
  <c r="Y223" i="35"/>
  <c r="AC228" i="35"/>
  <c r="AC223" i="35"/>
  <c r="AD218" i="35"/>
  <c r="BA228" i="35"/>
  <c r="BA223" i="35"/>
  <c r="AN219" i="35"/>
  <c r="AT229" i="35"/>
  <c r="AS219" i="35"/>
  <c r="AX229" i="35"/>
  <c r="AX224" i="35"/>
  <c r="BB229" i="35"/>
  <c r="BB224" i="35"/>
  <c r="AM225" i="35"/>
  <c r="F223" i="35"/>
  <c r="F228" i="35"/>
  <c r="D230" i="35"/>
  <c r="V228" i="35"/>
  <c r="V223" i="35"/>
  <c r="Z228" i="35"/>
  <c r="Z223" i="35"/>
  <c r="AH228" i="35"/>
  <c r="AH223" i="35"/>
  <c r="AL228" i="35"/>
  <c r="AL223" i="35"/>
  <c r="AP228" i="35"/>
  <c r="AP223" i="35"/>
  <c r="AT228" i="35"/>
  <c r="AT223" i="35"/>
  <c r="BB228" i="35"/>
  <c r="BB223" i="35"/>
  <c r="BF228" i="35"/>
  <c r="BK223" i="35"/>
  <c r="BF223" i="35"/>
  <c r="V229" i="35"/>
  <c r="AH229" i="35"/>
  <c r="AM224" i="35"/>
  <c r="AQ224" i="35"/>
  <c r="AU224" i="35"/>
  <c r="AY224" i="35"/>
  <c r="BD229" i="35"/>
  <c r="BC219" i="35"/>
  <c r="BD224" i="35"/>
  <c r="BH229" i="35"/>
  <c r="BH224" i="35"/>
  <c r="W230" i="35"/>
  <c r="AA230" i="35"/>
  <c r="AO230" i="35"/>
  <c r="AO225" i="35"/>
  <c r="AN220" i="35"/>
  <c r="AS230" i="35"/>
  <c r="AW230" i="35"/>
  <c r="AW225" i="35"/>
  <c r="V231" i="35"/>
  <c r="V226" i="35"/>
  <c r="AT231" i="35"/>
  <c r="AS221" i="35"/>
  <c r="AT226" i="35"/>
  <c r="AX231" i="35"/>
  <c r="BB231" i="35"/>
  <c r="BB226" i="35"/>
  <c r="CG225" i="35"/>
  <c r="AH224" i="35"/>
  <c r="AA225" i="35"/>
  <c r="D229" i="35"/>
  <c r="E230" i="35"/>
  <c r="E225" i="35"/>
  <c r="AA223" i="35"/>
  <c r="AA228" i="35"/>
  <c r="AE228" i="35"/>
  <c r="AE223" i="35"/>
  <c r="AM223" i="35"/>
  <c r="AQ223" i="35"/>
  <c r="AQ228" i="35"/>
  <c r="AU228" i="35"/>
  <c r="AU223" i="35"/>
  <c r="AY223" i="35"/>
  <c r="BG228" i="35"/>
  <c r="BL223" i="35"/>
  <c r="BG223" i="35"/>
  <c r="AA224" i="35"/>
  <c r="AE224" i="35"/>
  <c r="AJ229" i="35"/>
  <c r="AI219" i="35"/>
  <c r="AJ224" i="35"/>
  <c r="AR229" i="35"/>
  <c r="AR224" i="35"/>
  <c r="AV229" i="35"/>
  <c r="AV224" i="35"/>
  <c r="AZ229" i="35"/>
  <c r="AZ224" i="35"/>
  <c r="AG230" i="35"/>
  <c r="AG225" i="35"/>
  <c r="AK230" i="35"/>
  <c r="AK225" i="35"/>
  <c r="AX220" i="35"/>
  <c r="BG230" i="35"/>
  <c r="BL225" i="35"/>
  <c r="AP231" i="35"/>
  <c r="AP226" i="35"/>
  <c r="BC221" i="35"/>
  <c r="V224" i="35"/>
  <c r="W228" i="35"/>
  <c r="D228" i="35"/>
  <c r="E229" i="35"/>
  <c r="F230" i="35"/>
  <c r="F225" i="35"/>
  <c r="X228" i="35"/>
  <c r="X223" i="35"/>
  <c r="AB228" i="35"/>
  <c r="AB223" i="35"/>
  <c r="AF228" i="35"/>
  <c r="AF223" i="35"/>
  <c r="AJ228" i="35"/>
  <c r="AJ223" i="35"/>
  <c r="AR228" i="35"/>
  <c r="AR223" i="35"/>
  <c r="AV228" i="35"/>
  <c r="AV223" i="35"/>
  <c r="AZ228" i="35"/>
  <c r="AZ223" i="35"/>
  <c r="BI228" i="35"/>
  <c r="BH218" i="35"/>
  <c r="BN223" i="35"/>
  <c r="X229" i="35"/>
  <c r="X224" i="35"/>
  <c r="AB229" i="35"/>
  <c r="AB224" i="35"/>
  <c r="AF229" i="35"/>
  <c r="AF224" i="35"/>
  <c r="AK229" i="35"/>
  <c r="AK224" i="35"/>
  <c r="AO229" i="35"/>
  <c r="AO224" i="35"/>
  <c r="AW229" i="35"/>
  <c r="AW224" i="35"/>
  <c r="BF229" i="35"/>
  <c r="BK224" i="35"/>
  <c r="U230" i="35"/>
  <c r="U225" i="35"/>
  <c r="Y220" i="35"/>
  <c r="AC230" i="35"/>
  <c r="AC225" i="35"/>
  <c r="AQ230" i="35"/>
  <c r="AU230" i="35"/>
  <c r="BI230" i="35"/>
  <c r="BN225" i="35"/>
  <c r="BI225" i="35"/>
  <c r="BH220" i="35"/>
  <c r="X231" i="35"/>
  <c r="AL231" i="35"/>
  <c r="AL226" i="35"/>
  <c r="AN221" i="35"/>
  <c r="K223" i="35"/>
  <c r="P229" i="35"/>
  <c r="P224" i="35"/>
  <c r="BM230" i="35"/>
  <c r="BM225" i="35"/>
  <c r="BI223" i="35"/>
  <c r="Z224" i="35"/>
  <c r="BF224" i="35"/>
  <c r="K225" i="35"/>
  <c r="AY225" i="35"/>
  <c r="AX226" i="35"/>
  <c r="AM228" i="35"/>
  <c r="BA229" i="35"/>
  <c r="BE229" i="35"/>
  <c r="X230" i="35"/>
  <c r="AB230" i="35"/>
  <c r="AF230" i="35"/>
  <c r="AJ230" i="35"/>
  <c r="AR230" i="35"/>
  <c r="AV230" i="35"/>
  <c r="AZ230" i="35"/>
  <c r="BD230" i="35"/>
  <c r="W231" i="35"/>
  <c r="AA226" i="35"/>
  <c r="AA231" i="35"/>
  <c r="AE226" i="35"/>
  <c r="AE231" i="35"/>
  <c r="AI221" i="35"/>
  <c r="AM226" i="35"/>
  <c r="AM231" i="35"/>
  <c r="AQ226" i="35"/>
  <c r="AQ231" i="35"/>
  <c r="AU226" i="35"/>
  <c r="AU231" i="35"/>
  <c r="AY226" i="35"/>
  <c r="BG226" i="35"/>
  <c r="BG231" i="35"/>
  <c r="K229" i="35"/>
  <c r="P230" i="35"/>
  <c r="BM231" i="35"/>
  <c r="K224" i="35"/>
  <c r="BG224" i="35"/>
  <c r="P225" i="35"/>
  <c r="X225" i="35"/>
  <c r="AB225" i="35"/>
  <c r="AF225" i="35"/>
  <c r="AJ225" i="35"/>
  <c r="AR225" i="35"/>
  <c r="AV225" i="35"/>
  <c r="AZ225" i="35"/>
  <c r="BD225" i="35"/>
  <c r="AO226" i="35"/>
  <c r="BE226" i="35"/>
  <c r="AB231" i="35"/>
  <c r="AF231" i="35"/>
  <c r="AJ231" i="35"/>
  <c r="AR231" i="35"/>
  <c r="AV231" i="35"/>
  <c r="AZ231" i="35"/>
  <c r="BD231" i="35"/>
  <c r="K230" i="35"/>
  <c r="BM228" i="35"/>
  <c r="AF226" i="35"/>
  <c r="AV226" i="35"/>
  <c r="BL226" i="35"/>
  <c r="BD228" i="35"/>
  <c r="W229" i="35"/>
  <c r="AA229" i="35"/>
  <c r="AE229" i="35"/>
  <c r="AM229" i="35"/>
  <c r="AQ229" i="35"/>
  <c r="AU229" i="35"/>
  <c r="BG229" i="35"/>
  <c r="V230" i="35"/>
  <c r="AH230" i="35"/>
  <c r="AL230" i="35"/>
  <c r="AP230" i="35"/>
  <c r="BB230" i="35"/>
  <c r="BF230" i="35"/>
  <c r="U231" i="35"/>
  <c r="AC231" i="35"/>
  <c r="AG231" i="35"/>
  <c r="AK231" i="35"/>
  <c r="AW231" i="35"/>
  <c r="BA231" i="35"/>
  <c r="BE231" i="35"/>
  <c r="P228" i="35"/>
  <c r="BM229" i="35"/>
  <c r="P223" i="35"/>
  <c r="BD223" i="35"/>
  <c r="BA224" i="35"/>
  <c r="BE224" i="35"/>
  <c r="BI224" i="35"/>
  <c r="BM224" i="35"/>
  <c r="V225" i="35"/>
  <c r="Z225" i="35"/>
  <c r="AH225" i="35"/>
  <c r="AL225" i="35"/>
  <c r="AP225" i="35"/>
  <c r="AT225" i="35"/>
  <c r="BB225" i="35"/>
  <c r="BF225" i="35"/>
  <c r="W226" i="35"/>
  <c r="AB226" i="35"/>
  <c r="AG226" i="35"/>
  <c r="AR226" i="35"/>
  <c r="AW226" i="35"/>
  <c r="BM226" i="35"/>
  <c r="I251" i="35"/>
  <c r="I252" i="35" s="1"/>
  <c r="O251" i="35"/>
  <c r="O252" i="35" s="1"/>
  <c r="H252" i="35"/>
  <c r="I288" i="35"/>
  <c r="I289" i="35" s="1"/>
  <c r="J288" i="35"/>
  <c r="J289" i="35" s="1"/>
  <c r="S251" i="35"/>
  <c r="S252" i="35" s="1"/>
  <c r="CS21" i="8"/>
  <c r="BB67" i="8"/>
  <c r="BG67" i="8"/>
  <c r="AP45" i="8"/>
  <c r="AU45" i="8"/>
  <c r="AU67" i="8" s="1"/>
  <c r="BP45" i="8"/>
  <c r="BP67" i="8" s="1"/>
  <c r="AY43" i="8"/>
  <c r="AY45" i="8" s="1"/>
  <c r="AY67" i="8" s="1"/>
  <c r="CE29" i="8"/>
  <c r="CE34" i="8" s="1"/>
  <c r="CF28" i="8"/>
  <c r="BZ52" i="8"/>
  <c r="BZ49" i="8"/>
  <c r="BZ53" i="8"/>
  <c r="BZ50" i="8"/>
  <c r="BZ45" i="8"/>
  <c r="BZ67" i="8" s="1"/>
  <c r="CQ38" i="8"/>
  <c r="AL45" i="8"/>
  <c r="AL67" i="8" s="1"/>
  <c r="AQ45" i="8"/>
  <c r="AQ67" i="8" s="1"/>
  <c r="U43" i="8"/>
  <c r="AE43" i="8"/>
  <c r="BU67" i="8"/>
  <c r="CG53" i="8"/>
  <c r="CG50" i="8"/>
  <c r="CG52" i="8"/>
  <c r="CG49" i="8"/>
  <c r="H53" i="8"/>
  <c r="H50" i="8"/>
  <c r="H52" i="8"/>
  <c r="H49" i="8"/>
  <c r="H45" i="8"/>
  <c r="H67" i="8" s="1"/>
  <c r="M53" i="8"/>
  <c r="M50" i="8"/>
  <c r="M45" i="8"/>
  <c r="M67" i="8" s="1"/>
  <c r="M49" i="8"/>
  <c r="M52" i="8"/>
  <c r="R52" i="8"/>
  <c r="R53" i="8"/>
  <c r="R50" i="8"/>
  <c r="R49" i="8"/>
  <c r="R45" i="8"/>
  <c r="R67" i="8" s="1"/>
  <c r="AB53" i="8"/>
  <c r="AB50" i="8"/>
  <c r="AB52" i="8"/>
  <c r="AB49" i="8"/>
  <c r="AB45" i="8"/>
  <c r="AB67" i="8" s="1"/>
  <c r="AH45" i="8"/>
  <c r="AH67" i="8" s="1"/>
  <c r="AM45" i="8"/>
  <c r="AM67" i="8" s="1"/>
  <c r="CA45" i="8"/>
  <c r="CA67" i="8" s="1"/>
  <c r="BS45" i="8"/>
  <c r="BV67" i="8"/>
  <c r="E53" i="8"/>
  <c r="E50" i="8"/>
  <c r="E45" i="8"/>
  <c r="E67" i="8" s="1"/>
  <c r="E52" i="8"/>
  <c r="E49" i="8"/>
  <c r="I53" i="8"/>
  <c r="I50" i="8"/>
  <c r="I45" i="8"/>
  <c r="I67" i="8" s="1"/>
  <c r="I52" i="8"/>
  <c r="I49" i="8"/>
  <c r="N52" i="8"/>
  <c r="N53" i="8"/>
  <c r="N50" i="8"/>
  <c r="N45" i="8"/>
  <c r="N67" i="8" s="1"/>
  <c r="N49" i="8"/>
  <c r="S52" i="8"/>
  <c r="S49" i="8"/>
  <c r="S53" i="8"/>
  <c r="S45" i="8"/>
  <c r="S67" i="8" s="1"/>
  <c r="S50" i="8"/>
  <c r="AC53" i="8"/>
  <c r="AC50" i="8"/>
  <c r="AC45" i="8"/>
  <c r="AC67" i="8" s="1"/>
  <c r="AC49" i="8"/>
  <c r="AC52" i="8"/>
  <c r="K43" i="8"/>
  <c r="BX45" i="8"/>
  <c r="AX88" i="8"/>
  <c r="AX79" i="8"/>
  <c r="P83" i="8"/>
  <c r="AE94" i="8"/>
  <c r="AE95" i="8" s="1"/>
  <c r="AA94" i="8"/>
  <c r="AA95" i="8" s="1"/>
  <c r="Z81" i="8"/>
  <c r="Z79" i="8" s="1"/>
  <c r="AJ83" i="8"/>
  <c r="AF83" i="8"/>
  <c r="AY94" i="8"/>
  <c r="AY95" i="8" s="1"/>
  <c r="AU94" i="8"/>
  <c r="AU95" i="8" s="1"/>
  <c r="AT81" i="8"/>
  <c r="AT79" i="8" s="1"/>
  <c r="AY10" i="8"/>
  <c r="AY80" i="8" s="1"/>
  <c r="AY88" i="8" s="1"/>
  <c r="BS94" i="8"/>
  <c r="BS95" i="8" s="1"/>
  <c r="BO94" i="8"/>
  <c r="BO95" i="8" s="1"/>
  <c r="BN81" i="8"/>
  <c r="BN79" i="8" s="1"/>
  <c r="CH83" i="8"/>
  <c r="CD83" i="8"/>
  <c r="AN17" i="8"/>
  <c r="AN22" i="8" s="1"/>
  <c r="BX17" i="8"/>
  <c r="BX22" i="8" s="1"/>
  <c r="CM55" i="8"/>
  <c r="CM59" i="8"/>
  <c r="CM58" i="8"/>
  <c r="CM56" i="8"/>
  <c r="BD59" i="8"/>
  <c r="BD56" i="8"/>
  <c r="BD58" i="8"/>
  <c r="BD55" i="8"/>
  <c r="K27" i="8"/>
  <c r="Z58" i="8"/>
  <c r="Z55" i="8"/>
  <c r="Z52" i="8"/>
  <c r="Z59" i="8"/>
  <c r="Z56" i="8"/>
  <c r="Z53" i="8"/>
  <c r="Z50" i="8"/>
  <c r="AE27" i="8"/>
  <c r="AT58" i="8"/>
  <c r="AT55" i="8"/>
  <c r="AT52" i="8"/>
  <c r="AT59" i="8"/>
  <c r="AT56" i="8"/>
  <c r="AT53" i="8"/>
  <c r="AT50" i="8"/>
  <c r="BN58" i="8"/>
  <c r="BN55" i="8"/>
  <c r="BN52" i="8"/>
  <c r="BN49" i="8"/>
  <c r="BN59" i="8"/>
  <c r="BN56" i="8"/>
  <c r="BN53" i="8"/>
  <c r="BN50" i="8"/>
  <c r="BN29" i="8"/>
  <c r="BN34" i="8" s="1"/>
  <c r="BN45" i="8" s="1"/>
  <c r="BN67" i="8" s="1"/>
  <c r="CD29" i="8"/>
  <c r="CD34" i="8" s="1"/>
  <c r="CD45" i="8" s="1"/>
  <c r="CD67" i="8" s="1"/>
  <c r="F52" i="8"/>
  <c r="F53" i="8"/>
  <c r="F50" i="8"/>
  <c r="J52" i="8"/>
  <c r="J53" i="8"/>
  <c r="J50" i="8"/>
  <c r="O52" i="8"/>
  <c r="O49" i="8"/>
  <c r="O53" i="8"/>
  <c r="T53" i="8"/>
  <c r="T50" i="8"/>
  <c r="T52" i="8"/>
  <c r="Y53" i="8"/>
  <c r="Y50" i="8"/>
  <c r="Y45" i="8"/>
  <c r="Y67" i="8" s="1"/>
  <c r="AD52" i="8"/>
  <c r="AD53" i="8"/>
  <c r="AD50" i="8"/>
  <c r="AI52" i="8"/>
  <c r="AI49" i="8"/>
  <c r="AI53" i="8"/>
  <c r="AN53" i="8"/>
  <c r="AN50" i="8"/>
  <c r="AN52" i="8"/>
  <c r="AS53" i="8"/>
  <c r="AS50" i="8"/>
  <c r="AS45" i="8"/>
  <c r="AS67" i="8" s="1"/>
  <c r="AS52" i="8"/>
  <c r="AX43" i="8"/>
  <c r="BC52" i="8"/>
  <c r="BC49" i="8"/>
  <c r="BC53" i="8"/>
  <c r="BH53" i="8"/>
  <c r="BH50" i="8"/>
  <c r="BH52" i="8"/>
  <c r="BM53" i="8"/>
  <c r="BM50" i="8"/>
  <c r="BM45" i="8"/>
  <c r="BM67" i="8" s="1"/>
  <c r="BM52" i="8"/>
  <c r="BR52" i="8"/>
  <c r="BR49" i="8"/>
  <c r="BR53" i="8"/>
  <c r="BR50" i="8"/>
  <c r="CE52" i="8"/>
  <c r="CE49" i="8"/>
  <c r="CE53" i="8"/>
  <c r="CH40" i="8"/>
  <c r="CI40" i="8" s="1"/>
  <c r="J45" i="8"/>
  <c r="J67" i="8" s="1"/>
  <c r="O45" i="8"/>
  <c r="O67" i="8" s="1"/>
  <c r="T45" i="8"/>
  <c r="T67" i="8" s="1"/>
  <c r="AZ45" i="8"/>
  <c r="AZ67" i="8" s="1"/>
  <c r="BF45" i="8"/>
  <c r="BF67" i="8" s="1"/>
  <c r="BK45" i="8"/>
  <c r="BK67" i="8" s="1"/>
  <c r="T49" i="8"/>
  <c r="Y49" i="8"/>
  <c r="AD49" i="8"/>
  <c r="AT49" i="8"/>
  <c r="BX49" i="8"/>
  <c r="AQ50" i="8"/>
  <c r="CE50" i="8"/>
  <c r="CM81" i="8"/>
  <c r="CM79" i="8" s="1"/>
  <c r="P94" i="8"/>
  <c r="P95" i="8" s="1"/>
  <c r="K94" i="8"/>
  <c r="K95" i="8" s="1"/>
  <c r="K81" i="8"/>
  <c r="K79" i="8" s="1"/>
  <c r="K89" i="8" s="1"/>
  <c r="U83" i="8"/>
  <c r="AJ94" i="8"/>
  <c r="AJ95" i="8" s="1"/>
  <c r="AF94" i="8"/>
  <c r="AF95" i="8" s="1"/>
  <c r="AE81" i="8"/>
  <c r="AE79" i="8" s="1"/>
  <c r="AE89" i="8" s="1"/>
  <c r="AO83" i="8"/>
  <c r="AK83" i="8"/>
  <c r="BD94" i="8"/>
  <c r="BD95" i="8" s="1"/>
  <c r="AZ94" i="8"/>
  <c r="AZ95" i="8" s="1"/>
  <c r="AY81" i="8"/>
  <c r="AY79" i="8" s="1"/>
  <c r="BI83" i="8"/>
  <c r="BE83" i="8"/>
  <c r="BS145" i="8"/>
  <c r="BO145" i="8"/>
  <c r="CC83" i="8"/>
  <c r="CC87" i="8" s="1"/>
  <c r="BY83" i="8"/>
  <c r="CH94" i="8"/>
  <c r="CH95" i="8" s="1"/>
  <c r="CD94" i="8"/>
  <c r="CD95" i="8" s="1"/>
  <c r="CC81" i="8"/>
  <c r="CC79" i="8" s="1"/>
  <c r="CC89" i="8" s="1"/>
  <c r="CC17" i="8"/>
  <c r="CC22" i="8" s="1"/>
  <c r="CH58" i="8"/>
  <c r="CH55" i="8"/>
  <c r="CH59" i="8"/>
  <c r="CH56" i="8"/>
  <c r="K58" i="8"/>
  <c r="K55" i="8"/>
  <c r="K52" i="8"/>
  <c r="K49" i="8"/>
  <c r="K59" i="8"/>
  <c r="K56" i="8"/>
  <c r="K53" i="8"/>
  <c r="AE58" i="8"/>
  <c r="AE55" i="8"/>
  <c r="AE52" i="8"/>
  <c r="AE49" i="8"/>
  <c r="AE59" i="8"/>
  <c r="AE56" i="8"/>
  <c r="AE53" i="8"/>
  <c r="AJ27" i="8"/>
  <c r="K29" i="8"/>
  <c r="K34" i="8" s="1"/>
  <c r="AE29" i="8"/>
  <c r="AE34" i="8" s="1"/>
  <c r="BW29" i="8"/>
  <c r="BW34" i="8" s="1"/>
  <c r="BW45" i="8" s="1"/>
  <c r="BW67" i="8" s="1"/>
  <c r="G52" i="8"/>
  <c r="G49" i="8"/>
  <c r="G53" i="8"/>
  <c r="L53" i="8"/>
  <c r="L50" i="8"/>
  <c r="L52" i="8"/>
  <c r="Q53" i="8"/>
  <c r="Q50" i="8"/>
  <c r="Q45" i="8"/>
  <c r="Q67" i="8" s="1"/>
  <c r="V52" i="8"/>
  <c r="V53" i="8"/>
  <c r="V50" i="8"/>
  <c r="AA52" i="8"/>
  <c r="AA49" i="8"/>
  <c r="AA53" i="8"/>
  <c r="AF53" i="8"/>
  <c r="AF50" i="8"/>
  <c r="AF52" i="8"/>
  <c r="AK53" i="8"/>
  <c r="AK50" i="8"/>
  <c r="AK45" i="8"/>
  <c r="AK67" i="8" s="1"/>
  <c r="AP52" i="8"/>
  <c r="AP53" i="8"/>
  <c r="AP50" i="8"/>
  <c r="AU52" i="8"/>
  <c r="AU49" i="8"/>
  <c r="AU53" i="8"/>
  <c r="AZ53" i="8"/>
  <c r="AZ50" i="8"/>
  <c r="AZ52" i="8"/>
  <c r="BE53" i="8"/>
  <c r="BE50" i="8"/>
  <c r="BE45" i="8"/>
  <c r="BE67" i="8" s="1"/>
  <c r="BE52" i="8"/>
  <c r="BJ52" i="8"/>
  <c r="BJ53" i="8"/>
  <c r="BJ50" i="8"/>
  <c r="BO52" i="8"/>
  <c r="BO49" i="8"/>
  <c r="BO53" i="8"/>
  <c r="BT53" i="8"/>
  <c r="BT50" i="8"/>
  <c r="BT52" i="8"/>
  <c r="CA52" i="8"/>
  <c r="CA49" i="8"/>
  <c r="CA53" i="8"/>
  <c r="CF53" i="8"/>
  <c r="CF50" i="8"/>
  <c r="CF52" i="8"/>
  <c r="F45" i="8"/>
  <c r="F67" i="8" s="1"/>
  <c r="V45" i="8"/>
  <c r="V67" i="8" s="1"/>
  <c r="AA45" i="8"/>
  <c r="AA67" i="8" s="1"/>
  <c r="AF45" i="8"/>
  <c r="AF67" i="8" s="1"/>
  <c r="AV45" i="8"/>
  <c r="AV67" i="8" s="1"/>
  <c r="BR45" i="8"/>
  <c r="BR67" i="8" s="1"/>
  <c r="J49" i="8"/>
  <c r="U49" i="8"/>
  <c r="Z49" i="8"/>
  <c r="AF49" i="8"/>
  <c r="AK49" i="8"/>
  <c r="AP49" i="8"/>
  <c r="BT49" i="8"/>
  <c r="O50" i="8"/>
  <c r="AE50" i="8"/>
  <c r="AU50" i="8"/>
  <c r="Q52" i="8"/>
  <c r="CE14" i="8"/>
  <c r="P81" i="8"/>
  <c r="P79" i="8" s="1"/>
  <c r="P89" i="8" s="1"/>
  <c r="U94" i="8"/>
  <c r="U95" i="8" s="1"/>
  <c r="Z83" i="8"/>
  <c r="V83" i="8"/>
  <c r="AO94" i="8"/>
  <c r="AO95" i="8" s="1"/>
  <c r="AK94" i="8"/>
  <c r="AK95" i="8" s="1"/>
  <c r="AJ81" i="8"/>
  <c r="AJ79" i="8" s="1"/>
  <c r="AJ89" i="8" s="1"/>
  <c r="AT83" i="8"/>
  <c r="AP83" i="8"/>
  <c r="BI94" i="8"/>
  <c r="BI95" i="8" s="1"/>
  <c r="BE94" i="8"/>
  <c r="BE95" i="8" s="1"/>
  <c r="BD81" i="8"/>
  <c r="BD79" i="8" s="1"/>
  <c r="BD89" i="8" s="1"/>
  <c r="BN83" i="8"/>
  <c r="BJ83" i="8"/>
  <c r="BX83" i="8"/>
  <c r="BX87" i="8" s="1"/>
  <c r="BT83" i="8"/>
  <c r="CC94" i="8"/>
  <c r="CC95" i="8" s="1"/>
  <c r="BY94" i="8"/>
  <c r="BY95" i="8" s="1"/>
  <c r="BX81" i="8"/>
  <c r="BX79" i="8" s="1"/>
  <c r="BX89" i="8" s="1"/>
  <c r="AP17" i="8"/>
  <c r="AP22" i="8" s="1"/>
  <c r="BN17" i="8"/>
  <c r="BN22" i="8" s="1"/>
  <c r="AY58" i="8"/>
  <c r="AY55" i="8"/>
  <c r="AY52" i="8"/>
  <c r="AY49" i="8"/>
  <c r="AY59" i="8"/>
  <c r="AY56" i="8"/>
  <c r="AY53" i="8"/>
  <c r="CC59" i="8"/>
  <c r="CC56" i="8"/>
  <c r="CC53" i="8"/>
  <c r="CC50" i="8"/>
  <c r="CC58" i="8"/>
  <c r="CC55" i="8"/>
  <c r="CC52" i="8"/>
  <c r="P59" i="8"/>
  <c r="P56" i="8"/>
  <c r="P53" i="8"/>
  <c r="P50" i="8"/>
  <c r="P58" i="8"/>
  <c r="P55" i="8"/>
  <c r="P52" i="8"/>
  <c r="U27" i="8"/>
  <c r="AJ59" i="8"/>
  <c r="AJ56" i="8"/>
  <c r="AJ53" i="8"/>
  <c r="AJ50" i="8"/>
  <c r="AJ58" i="8"/>
  <c r="AJ55" i="8"/>
  <c r="AJ52" i="8"/>
  <c r="AO27" i="8"/>
  <c r="BS58" i="8"/>
  <c r="BS55" i="8"/>
  <c r="BS52" i="8"/>
  <c r="BS49" i="8"/>
  <c r="BS59" i="8"/>
  <c r="BS56" i="8"/>
  <c r="BS53" i="8"/>
  <c r="P29" i="8"/>
  <c r="P34" i="8" s="1"/>
  <c r="P45" i="8" s="1"/>
  <c r="P67" i="8" s="1"/>
  <c r="AJ29" i="8"/>
  <c r="AJ34" i="8" s="1"/>
  <c r="AJ45" i="8" s="1"/>
  <c r="AJ67" i="8" s="1"/>
  <c r="BD29" i="8"/>
  <c r="BD34" i="8" s="1"/>
  <c r="W52" i="8"/>
  <c r="W49" i="8"/>
  <c r="W53" i="8"/>
  <c r="AG53" i="8"/>
  <c r="AG50" i="8"/>
  <c r="AG45" i="8"/>
  <c r="AG67" i="8" s="1"/>
  <c r="AL52" i="8"/>
  <c r="AL53" i="8"/>
  <c r="AL50" i="8"/>
  <c r="AQ52" i="8"/>
  <c r="AQ49" i="8"/>
  <c r="AQ53" i="8"/>
  <c r="AV53" i="8"/>
  <c r="AV50" i="8"/>
  <c r="AV52" i="8"/>
  <c r="BA53" i="8"/>
  <c r="BA50" i="8"/>
  <c r="BA45" i="8"/>
  <c r="BA67" i="8" s="1"/>
  <c r="BA52" i="8"/>
  <c r="BF52" i="8"/>
  <c r="BF53" i="8"/>
  <c r="BF50" i="8"/>
  <c r="BK52" i="8"/>
  <c r="BK49" i="8"/>
  <c r="BK53" i="8"/>
  <c r="BP53" i="8"/>
  <c r="BP50" i="8"/>
  <c r="BP52" i="8"/>
  <c r="BW52" i="8"/>
  <c r="BW49" i="8"/>
  <c r="BW53" i="8"/>
  <c r="CB43" i="8"/>
  <c r="BD43" i="8"/>
  <c r="BD45" i="8" s="1"/>
  <c r="BD67" i="8" s="1"/>
  <c r="G45" i="8"/>
  <c r="G67" i="8" s="1"/>
  <c r="L45" i="8"/>
  <c r="L67" i="8" s="1"/>
  <c r="W45" i="8"/>
  <c r="W67" i="8" s="1"/>
  <c r="AR45" i="8"/>
  <c r="AR67" i="8" s="1"/>
  <c r="BC45" i="8"/>
  <c r="BC67" i="8" s="1"/>
  <c r="BH45" i="8"/>
  <c r="BH67" i="8" s="1"/>
  <c r="F49" i="8"/>
  <c r="L49" i="8"/>
  <c r="Q49" i="8"/>
  <c r="V49" i="8"/>
  <c r="AG49" i="8"/>
  <c r="AL49" i="8"/>
  <c r="BH49" i="8"/>
  <c r="BM49" i="8"/>
  <c r="AI50" i="8"/>
  <c r="AY50" i="8"/>
  <c r="BO50" i="8"/>
  <c r="BW50" i="8"/>
  <c r="AK52" i="8"/>
  <c r="BN63" i="3"/>
  <c r="L3" i="8"/>
  <c r="L98" i="8" s="1"/>
  <c r="AF3" i="8"/>
  <c r="AF98" i="8" s="1"/>
  <c r="AX9" i="8"/>
  <c r="AY9" i="8" s="1"/>
  <c r="Z94" i="8"/>
  <c r="Z95" i="8" s="1"/>
  <c r="U81" i="8"/>
  <c r="U79" i="8" s="1"/>
  <c r="U89" i="8" s="1"/>
  <c r="Z89" i="8"/>
  <c r="AE83" i="8"/>
  <c r="AE87" i="8" s="1"/>
  <c r="AA83" i="8"/>
  <c r="AT94" i="8"/>
  <c r="AT95" i="8" s="1"/>
  <c r="AP94" i="8"/>
  <c r="AP95" i="8" s="1"/>
  <c r="AO81" i="8"/>
  <c r="AO79" i="8" s="1"/>
  <c r="AO89" i="8" s="1"/>
  <c r="AO15" i="8"/>
  <c r="AO17" i="8" s="1"/>
  <c r="AO22" i="8" s="1"/>
  <c r="AT89" i="8"/>
  <c r="AY83" i="8"/>
  <c r="AU83" i="8"/>
  <c r="BN94" i="8"/>
  <c r="BN95" i="8" s="1"/>
  <c r="BJ94" i="8"/>
  <c r="BJ95" i="8" s="1"/>
  <c r="BI81" i="8"/>
  <c r="BI79" i="8" s="1"/>
  <c r="BI89" i="8" s="1"/>
  <c r="BN89" i="8"/>
  <c r="BS83" i="8"/>
  <c r="BS87" i="8" s="1"/>
  <c r="BO83" i="8"/>
  <c r="BX94" i="8"/>
  <c r="BX95" i="8" s="1"/>
  <c r="BT94" i="8"/>
  <c r="BT95" i="8" s="1"/>
  <c r="BS81" i="8"/>
  <c r="BS79" i="8" s="1"/>
  <c r="BS89" i="8" s="1"/>
  <c r="CM94" i="8"/>
  <c r="CM95" i="8" s="1"/>
  <c r="CI94" i="8"/>
  <c r="CI95" i="8" s="1"/>
  <c r="CH81" i="8"/>
  <c r="CH79" i="8" s="1"/>
  <c r="BS17" i="8"/>
  <c r="BS22" i="8" s="1"/>
  <c r="CM17" i="8"/>
  <c r="CM22" i="8" s="1"/>
  <c r="BX59" i="8"/>
  <c r="BX56" i="8"/>
  <c r="BX53" i="8"/>
  <c r="BX50" i="8"/>
  <c r="BX58" i="8"/>
  <c r="BX55" i="8"/>
  <c r="BX52" i="8"/>
  <c r="CH27" i="8"/>
  <c r="U59" i="8"/>
  <c r="U56" i="8"/>
  <c r="U53" i="8"/>
  <c r="U50" i="8"/>
  <c r="U58" i="8"/>
  <c r="U55" i="8"/>
  <c r="Z27" i="8"/>
  <c r="Z29" i="8" s="1"/>
  <c r="Z34" i="8" s="1"/>
  <c r="Z45" i="8" s="1"/>
  <c r="Z67" i="8" s="1"/>
  <c r="AO59" i="8"/>
  <c r="AO56" i="8"/>
  <c r="AO53" i="8"/>
  <c r="AO50" i="8"/>
  <c r="AO58" i="8"/>
  <c r="AO55" i="8"/>
  <c r="AO52" i="8"/>
  <c r="AT27" i="8"/>
  <c r="AT29" i="8" s="1"/>
  <c r="AT34" i="8" s="1"/>
  <c r="AT45" i="8" s="1"/>
  <c r="AT67" i="8" s="1"/>
  <c r="BI59" i="8"/>
  <c r="BI56" i="8"/>
  <c r="BI53" i="8"/>
  <c r="BI50" i="8"/>
  <c r="BI58" i="8"/>
  <c r="BI55" i="8"/>
  <c r="BI52" i="8"/>
  <c r="U29" i="8"/>
  <c r="U34" i="8" s="1"/>
  <c r="AO29" i="8"/>
  <c r="AO34" i="8" s="1"/>
  <c r="AO45" i="8" s="1"/>
  <c r="AO67" i="8" s="1"/>
  <c r="BI29" i="8"/>
  <c r="BI34" i="8" s="1"/>
  <c r="BI45" i="8" s="1"/>
  <c r="BI67" i="8" s="1"/>
  <c r="CC29" i="8"/>
  <c r="CC34" i="8" s="1"/>
  <c r="CC45" i="8" s="1"/>
  <c r="CC67" i="8" s="1"/>
  <c r="X53" i="8"/>
  <c r="X50" i="8"/>
  <c r="X52" i="8"/>
  <c r="AH52" i="8"/>
  <c r="AH53" i="8"/>
  <c r="AH50" i="8"/>
  <c r="AM52" i="8"/>
  <c r="AM49" i="8"/>
  <c r="AM53" i="8"/>
  <c r="AR53" i="8"/>
  <c r="AR50" i="8"/>
  <c r="AR52" i="8"/>
  <c r="AW53" i="8"/>
  <c r="AW50" i="8"/>
  <c r="AW45" i="8"/>
  <c r="AW67" i="8" s="1"/>
  <c r="AW52" i="8"/>
  <c r="BB52" i="8"/>
  <c r="BB53" i="8"/>
  <c r="BB50" i="8"/>
  <c r="BG52" i="8"/>
  <c r="BG49" i="8"/>
  <c r="BG53" i="8"/>
  <c r="BL53" i="8"/>
  <c r="BL50" i="8"/>
  <c r="BL52" i="8"/>
  <c r="BQ53" i="8"/>
  <c r="BQ50" i="8"/>
  <c r="BQ45" i="8"/>
  <c r="BQ67" i="8" s="1"/>
  <c r="BQ52" i="8"/>
  <c r="BY53" i="8"/>
  <c r="BY50" i="8"/>
  <c r="BY45" i="8"/>
  <c r="BY67" i="8" s="1"/>
  <c r="BY52" i="8"/>
  <c r="CD52" i="8"/>
  <c r="CD49" i="8"/>
  <c r="CD53" i="8"/>
  <c r="CD50" i="8"/>
  <c r="X45" i="8"/>
  <c r="X67" i="8" s="1"/>
  <c r="AD45" i="8"/>
  <c r="AD67" i="8" s="1"/>
  <c r="AI45" i="8"/>
  <c r="AI67" i="8" s="1"/>
  <c r="AN45" i="8"/>
  <c r="AN67" i="8" s="1"/>
  <c r="BJ45" i="8"/>
  <c r="BJ67" i="8" s="1"/>
  <c r="BO45" i="8"/>
  <c r="BO67" i="8" s="1"/>
  <c r="BT45" i="8"/>
  <c r="BT67" i="8" s="1"/>
  <c r="CE45" i="8"/>
  <c r="X49" i="8"/>
  <c r="AH49" i="8"/>
  <c r="AN49" i="8"/>
  <c r="AS49" i="8"/>
  <c r="BD49" i="8"/>
  <c r="BI49" i="8"/>
  <c r="BP49" i="8"/>
  <c r="CC49" i="8"/>
  <c r="G50" i="8"/>
  <c r="W50" i="8"/>
  <c r="AM50" i="8"/>
  <c r="BC50" i="8"/>
  <c r="BS50" i="8"/>
  <c r="CA50" i="8"/>
  <c r="Y52" i="8"/>
  <c r="BD72" i="8"/>
  <c r="AY73" i="8"/>
  <c r="CC74" i="8"/>
  <c r="K75" i="8"/>
  <c r="AI89" i="8"/>
  <c r="AN89" i="8"/>
  <c r="AZ89" i="8"/>
  <c r="BA83" i="8"/>
  <c r="BA87" i="8" s="1"/>
  <c r="BO89" i="8"/>
  <c r="BO87" i="8"/>
  <c r="BP83" i="8"/>
  <c r="BT89" i="8"/>
  <c r="BT87" i="8"/>
  <c r="BU83" i="8"/>
  <c r="BY87" i="8"/>
  <c r="CD87" i="8"/>
  <c r="CH89" i="8"/>
  <c r="AA89" i="8"/>
  <c r="AA87" i="8"/>
  <c r="AB83" i="8"/>
  <c r="AB87" i="8" s="1"/>
  <c r="AF89" i="8"/>
  <c r="AF87" i="8"/>
  <c r="AG83" i="8"/>
  <c r="AK87" i="8"/>
  <c r="AP87" i="8"/>
  <c r="AU89" i="8"/>
  <c r="AU87" i="8"/>
  <c r="AV83" i="8"/>
  <c r="BK89" i="8"/>
  <c r="BL83" i="8"/>
  <c r="BP89" i="8"/>
  <c r="BP87" i="8"/>
  <c r="BQ83" i="8"/>
  <c r="CE89" i="8"/>
  <c r="CF83" i="8"/>
  <c r="CF87" i="8" s="1"/>
  <c r="CI89" i="8"/>
  <c r="CJ83" i="8"/>
  <c r="CJ87" i="8" s="1"/>
  <c r="CM89" i="8"/>
  <c r="CR83" i="8"/>
  <c r="CN83" i="8"/>
  <c r="CV83" i="8"/>
  <c r="CZ83" i="8"/>
  <c r="K73" i="8"/>
  <c r="CM73" i="8"/>
  <c r="AO74" i="8"/>
  <c r="W89" i="8"/>
  <c r="W87" i="8"/>
  <c r="X83" i="8"/>
  <c r="X87" i="8" s="1"/>
  <c r="X92" i="8" s="1"/>
  <c r="AB89" i="8"/>
  <c r="AC83" i="8"/>
  <c r="AQ89" i="8"/>
  <c r="AR83" i="8"/>
  <c r="AV89" i="8"/>
  <c r="AV87" i="8"/>
  <c r="AW83" i="8"/>
  <c r="BG89" i="8"/>
  <c r="BG87" i="8"/>
  <c r="BH83" i="8"/>
  <c r="BH87" i="8" s="1"/>
  <c r="BL89" i="8"/>
  <c r="BL87" i="8"/>
  <c r="BM83" i="8"/>
  <c r="BQ87" i="8"/>
  <c r="CA89" i="8"/>
  <c r="CA87" i="8"/>
  <c r="CB83" i="8"/>
  <c r="CB87" i="8" s="1"/>
  <c r="CF89" i="8"/>
  <c r="CG83" i="8"/>
  <c r="CJ89" i="8"/>
  <c r="CK83" i="8"/>
  <c r="CO83" i="8"/>
  <c r="CW83" i="8"/>
  <c r="CS83" i="8"/>
  <c r="DA83" i="8"/>
  <c r="E89" i="8"/>
  <c r="E87" i="8"/>
  <c r="F83" i="8"/>
  <c r="CA91" i="8"/>
  <c r="BX72" i="8"/>
  <c r="BS73" i="8"/>
  <c r="U74" i="8"/>
  <c r="AO76" i="8"/>
  <c r="S87" i="8"/>
  <c r="T83" i="8"/>
  <c r="T87" i="8" s="1"/>
  <c r="X89" i="8"/>
  <c r="Y83" i="8"/>
  <c r="AC87" i="8"/>
  <c r="AM89" i="8"/>
  <c r="AN83" i="8"/>
  <c r="AN87" i="8" s="1"/>
  <c r="AR89" i="8"/>
  <c r="AR87" i="8"/>
  <c r="AS83" i="8"/>
  <c r="AS87" i="8" s="1"/>
  <c r="BC89" i="8"/>
  <c r="BH89" i="8"/>
  <c r="BW89" i="8"/>
  <c r="CB89" i="8"/>
  <c r="CG87" i="8"/>
  <c r="F89" i="8"/>
  <c r="F87" i="8"/>
  <c r="K83" i="8"/>
  <c r="K87" i="8" s="1"/>
  <c r="W83" i="8"/>
  <c r="AI83" i="8"/>
  <c r="AI87" i="8" s="1"/>
  <c r="AM83" i="8"/>
  <c r="AM87" i="8" s="1"/>
  <c r="AQ83" i="8"/>
  <c r="AQ87" i="8" s="1"/>
  <c r="BC83" i="8"/>
  <c r="BC87" i="8" s="1"/>
  <c r="BG83" i="8"/>
  <c r="BK83" i="8"/>
  <c r="BK87" i="8" s="1"/>
  <c r="BK92" i="8" s="1"/>
  <c r="BW83" i="8"/>
  <c r="BW87" i="8" s="1"/>
  <c r="CA83" i="8"/>
  <c r="CE83" i="8"/>
  <c r="CE87" i="8" s="1"/>
  <c r="CE92" i="8" s="1"/>
  <c r="CI83" i="8"/>
  <c r="CI87" i="8" s="1"/>
  <c r="CI92" i="8" s="1"/>
  <c r="CM83" i="8"/>
  <c r="CM87" i="8" s="1"/>
  <c r="CQ83" i="8"/>
  <c r="CU83" i="8"/>
  <c r="CY83" i="8"/>
  <c r="L91" i="8"/>
  <c r="P84" i="8"/>
  <c r="P85" i="8" s="1"/>
  <c r="X91" i="8"/>
  <c r="AB91" i="8"/>
  <c r="AF91" i="8"/>
  <c r="AJ84" i="8"/>
  <c r="AJ85" i="8" s="1"/>
  <c r="AR91" i="8"/>
  <c r="AV91" i="8"/>
  <c r="AZ91" i="8"/>
  <c r="BD84" i="8"/>
  <c r="BD85" i="8" s="1"/>
  <c r="BL91" i="8"/>
  <c r="BP91" i="8"/>
  <c r="BT91" i="8"/>
  <c r="BX84" i="8"/>
  <c r="BX85" i="8" s="1"/>
  <c r="CB91" i="8"/>
  <c r="CC91" i="8" s="1"/>
  <c r="CJ91" i="8"/>
  <c r="L85" i="8"/>
  <c r="T85" i="8"/>
  <c r="X85" i="8"/>
  <c r="AB85" i="8"/>
  <c r="AR85" i="8"/>
  <c r="AZ85" i="8"/>
  <c r="BH85" i="8"/>
  <c r="BP85" i="8"/>
  <c r="CF85" i="8"/>
  <c r="V87" i="8"/>
  <c r="BJ87" i="8"/>
  <c r="AH89" i="8"/>
  <c r="AP89" i="8"/>
  <c r="BF89" i="8"/>
  <c r="BV89" i="8"/>
  <c r="CD89" i="8"/>
  <c r="CL89" i="8"/>
  <c r="J91" i="8"/>
  <c r="K91" i="8" s="1"/>
  <c r="R91" i="8"/>
  <c r="AH91" i="8"/>
  <c r="AP91" i="8"/>
  <c r="AX91" i="8"/>
  <c r="AY91" i="8" s="1"/>
  <c r="BF91" i="8"/>
  <c r="BV91" i="8"/>
  <c r="CD91" i="8"/>
  <c r="CL91" i="8"/>
  <c r="CM91" i="8" s="1"/>
  <c r="CK100" i="8"/>
  <c r="CL100" i="8" s="1"/>
  <c r="CM100" i="8"/>
  <c r="CF100" i="8"/>
  <c r="CG100" i="8" s="1"/>
  <c r="CH100" i="8"/>
  <c r="W158" i="8"/>
  <c r="X102" i="8"/>
  <c r="AQ158" i="8"/>
  <c r="AS102" i="8"/>
  <c r="AR102" i="8"/>
  <c r="J104" i="8"/>
  <c r="K104" i="8" s="1"/>
  <c r="I104" i="8"/>
  <c r="K106" i="8"/>
  <c r="M91" i="8"/>
  <c r="Q91" i="8"/>
  <c r="U84" i="8"/>
  <c r="U85" i="8" s="1"/>
  <c r="Y91" i="8"/>
  <c r="Z91" i="8" s="1"/>
  <c r="AC91" i="8"/>
  <c r="AC85" i="8"/>
  <c r="AG91" i="8"/>
  <c r="AG85" i="8"/>
  <c r="AK91" i="8"/>
  <c r="AK85" i="8"/>
  <c r="AO84" i="8"/>
  <c r="AO85" i="8" s="1"/>
  <c r="AS91" i="8"/>
  <c r="AT91" i="8" s="1"/>
  <c r="AS85" i="8"/>
  <c r="AW91" i="8"/>
  <c r="AW85" i="8"/>
  <c r="BA91" i="8"/>
  <c r="BA85" i="8"/>
  <c r="BE91" i="8"/>
  <c r="BE85" i="8"/>
  <c r="BI84" i="8"/>
  <c r="BI85" i="8" s="1"/>
  <c r="BM91" i="8"/>
  <c r="BN91" i="8" s="1"/>
  <c r="BM85" i="8"/>
  <c r="BQ91" i="8"/>
  <c r="BQ85" i="8"/>
  <c r="BU91" i="8"/>
  <c r="BU85" i="8"/>
  <c r="BY91" i="8"/>
  <c r="BY85" i="8"/>
  <c r="CC84" i="8"/>
  <c r="CC85" i="8" s="1"/>
  <c r="CG85" i="8"/>
  <c r="CK91" i="8"/>
  <c r="CK85" i="8"/>
  <c r="M85" i="8"/>
  <c r="Q85" i="8"/>
  <c r="Y85" i="8"/>
  <c r="Y87" i="8"/>
  <c r="AG87" i="8"/>
  <c r="AW87" i="8"/>
  <c r="BE87" i="8"/>
  <c r="BM87" i="8"/>
  <c r="BU87" i="8"/>
  <c r="CK87" i="8"/>
  <c r="AC89" i="8"/>
  <c r="AK89" i="8"/>
  <c r="AS89" i="8"/>
  <c r="BA89" i="8"/>
  <c r="BQ89" i="8"/>
  <c r="BY89" i="8"/>
  <c r="CG89" i="8"/>
  <c r="S91" i="8"/>
  <c r="AA91" i="8"/>
  <c r="AI91" i="8"/>
  <c r="AJ91" i="8" s="1"/>
  <c r="AQ91" i="8"/>
  <c r="BG91" i="8"/>
  <c r="BO91" i="8"/>
  <c r="BW91" i="8"/>
  <c r="BX91" i="8" s="1"/>
  <c r="AE100" i="8"/>
  <c r="H158" i="8"/>
  <c r="I102" i="8"/>
  <c r="AB158" i="8"/>
  <c r="AC102" i="8"/>
  <c r="AV158" i="8"/>
  <c r="AW102" i="8"/>
  <c r="CA158" i="8"/>
  <c r="CB102" i="8"/>
  <c r="N108" i="8"/>
  <c r="CM108" i="8"/>
  <c r="CL108" i="8"/>
  <c r="CC106" i="8"/>
  <c r="Z84" i="8"/>
  <c r="Z85" i="8" s="1"/>
  <c r="AT84" i="8"/>
  <c r="AT85" i="8" s="1"/>
  <c r="BN84" i="8"/>
  <c r="BN85" i="8" s="1"/>
  <c r="CH84" i="8"/>
  <c r="CH85" i="8" s="1"/>
  <c r="N85" i="8"/>
  <c r="V85" i="8"/>
  <c r="AF85" i="8"/>
  <c r="AN85" i="8"/>
  <c r="AV85" i="8"/>
  <c r="BL85" i="8"/>
  <c r="BT85" i="8"/>
  <c r="CB85" i="8"/>
  <c r="CJ85" i="8"/>
  <c r="AD91" i="8"/>
  <c r="AE91" i="8" s="1"/>
  <c r="AL91" i="8"/>
  <c r="BB91" i="8"/>
  <c r="BJ91" i="8"/>
  <c r="BR91" i="8"/>
  <c r="BS91" i="8" s="1"/>
  <c r="BZ91" i="8"/>
  <c r="M158" i="8"/>
  <c r="O102" i="8"/>
  <c r="N102" i="8"/>
  <c r="AG158" i="8"/>
  <c r="AH102" i="8"/>
  <c r="AZ158" i="8"/>
  <c r="AZ118" i="8"/>
  <c r="BA102" i="8"/>
  <c r="CJ158" i="8"/>
  <c r="CK102" i="8"/>
  <c r="K110" i="8"/>
  <c r="N104" i="8"/>
  <c r="AD83" i="8"/>
  <c r="AD87" i="8" s="1"/>
  <c r="AD92" i="8" s="1"/>
  <c r="AE92" i="8" s="1"/>
  <c r="AH83" i="8"/>
  <c r="AH87" i="8" s="1"/>
  <c r="AH92" i="8" s="1"/>
  <c r="AL83" i="8"/>
  <c r="AL87" i="8" s="1"/>
  <c r="AX83" i="8"/>
  <c r="BB83" i="8"/>
  <c r="BB87" i="8" s="1"/>
  <c r="BF83" i="8"/>
  <c r="BF87" i="8" s="1"/>
  <c r="BF92" i="8" s="1"/>
  <c r="BR83" i="8"/>
  <c r="BR87" i="8" s="1"/>
  <c r="BR92" i="8" s="1"/>
  <c r="BS92" i="8" s="1"/>
  <c r="BV83" i="8"/>
  <c r="BV87" i="8" s="1"/>
  <c r="BV92" i="8" s="1"/>
  <c r="BZ83" i="8"/>
  <c r="BZ87" i="8" s="1"/>
  <c r="CL83" i="8"/>
  <c r="CL87" i="8" s="1"/>
  <c r="CP83" i="8"/>
  <c r="CT83" i="8"/>
  <c r="CX83" i="8"/>
  <c r="DB83" i="8"/>
  <c r="AE84" i="8"/>
  <c r="AE85" i="8" s="1"/>
  <c r="AY84" i="8"/>
  <c r="AY85" i="8" s="1"/>
  <c r="BS84" i="8"/>
  <c r="BS85" i="8" s="1"/>
  <c r="CM84" i="8"/>
  <c r="CM85" i="8" s="1"/>
  <c r="O85" i="8"/>
  <c r="W85" i="8"/>
  <c r="BD100" i="8"/>
  <c r="BX100" i="8"/>
  <c r="CA100" i="8"/>
  <c r="CB100" i="8" s="1"/>
  <c r="CC100" i="8"/>
  <c r="R158" i="8"/>
  <c r="R118" i="8"/>
  <c r="S102" i="8"/>
  <c r="AL158" i="8"/>
  <c r="AL118" i="8"/>
  <c r="AM102" i="8"/>
  <c r="BP158" i="8"/>
  <c r="BP118" i="8"/>
  <c r="BR102" i="8"/>
  <c r="BQ102" i="8"/>
  <c r="BQ158" i="8" s="1"/>
  <c r="CE158" i="8"/>
  <c r="CF102" i="8"/>
  <c r="I108" i="8"/>
  <c r="O105" i="8"/>
  <c r="CM107" i="8"/>
  <c r="BZ158" i="8"/>
  <c r="AE105" i="8"/>
  <c r="AO105" i="8"/>
  <c r="BX104" i="8"/>
  <c r="CM106" i="8"/>
  <c r="BV158" i="8"/>
  <c r="S109" i="8"/>
  <c r="T109" i="8" s="1"/>
  <c r="U109" i="8" s="1"/>
  <c r="BI108" i="8"/>
  <c r="BD106" i="8"/>
  <c r="BN108" i="8"/>
  <c r="BE150" i="8"/>
  <c r="BE119" i="8"/>
  <c r="P105" i="8"/>
  <c r="X105" i="8"/>
  <c r="X109" i="8"/>
  <c r="Z109" i="8" s="1"/>
  <c r="AC105" i="8"/>
  <c r="AC109" i="8"/>
  <c r="AH105" i="8"/>
  <c r="AH109" i="8"/>
  <c r="AJ109" i="8" s="1"/>
  <c r="AM105" i="8"/>
  <c r="AM109" i="8"/>
  <c r="AR105" i="8"/>
  <c r="AR109" i="8"/>
  <c r="AT109" i="8" s="1"/>
  <c r="BG108" i="8"/>
  <c r="BR105" i="8"/>
  <c r="BR69" i="8" s="1"/>
  <c r="CK106" i="8"/>
  <c r="CL106" i="8" s="1"/>
  <c r="T106" i="8"/>
  <c r="U106" i="8" s="1"/>
  <c r="S111" i="8"/>
  <c r="AY106" i="8"/>
  <c r="BI105" i="8"/>
  <c r="BI109" i="8"/>
  <c r="BW107" i="8"/>
  <c r="BX107" i="8"/>
  <c r="CH108" i="8"/>
  <c r="BD107" i="8"/>
  <c r="BM105" i="8"/>
  <c r="BM69" i="8" s="1"/>
  <c r="BN105" i="8"/>
  <c r="BM109" i="8"/>
  <c r="BN109" i="8" s="1"/>
  <c r="BL109" i="8"/>
  <c r="CM103" i="8"/>
  <c r="BD111" i="8"/>
  <c r="CD118" i="8"/>
  <c r="CE111" i="8"/>
  <c r="CF111" i="8" s="1"/>
  <c r="CG111" i="8" s="1"/>
  <c r="K107" i="8"/>
  <c r="P109" i="8"/>
  <c r="BJ118" i="8"/>
  <c r="G150" i="8"/>
  <c r="G155" i="8" s="1"/>
  <c r="G119" i="8"/>
  <c r="AA150" i="8"/>
  <c r="AA119" i="8"/>
  <c r="J100" i="8"/>
  <c r="K100" i="8" s="1"/>
  <c r="O100" i="8"/>
  <c r="P100" i="8" s="1"/>
  <c r="T100" i="8"/>
  <c r="U100" i="8" s="1"/>
  <c r="Y100" i="8"/>
  <c r="Z100" i="8" s="1"/>
  <c r="AD100" i="8"/>
  <c r="AI100" i="8"/>
  <c r="AJ100" i="8" s="1"/>
  <c r="AN100" i="8"/>
  <c r="AO100" i="8" s="1"/>
  <c r="AS100" i="8"/>
  <c r="AT100" i="8" s="1"/>
  <c r="BC100" i="8"/>
  <c r="BH100" i="8"/>
  <c r="BI100" i="8" s="1"/>
  <c r="BM100" i="8"/>
  <c r="BN100" i="8" s="1"/>
  <c r="BR100" i="8"/>
  <c r="BS100" i="8" s="1"/>
  <c r="BF158" i="8"/>
  <c r="BF118" i="8"/>
  <c r="BK158" i="8"/>
  <c r="CH103" i="8"/>
  <c r="J105" i="8"/>
  <c r="J109" i="8"/>
  <c r="K109" i="8" s="1"/>
  <c r="P107" i="8"/>
  <c r="S104" i="8"/>
  <c r="T104" i="8" s="1"/>
  <c r="S106" i="8"/>
  <c r="X104" i="8"/>
  <c r="Y105" i="8"/>
  <c r="Z107" i="8"/>
  <c r="X108" i="8"/>
  <c r="Y109" i="8"/>
  <c r="AC104" i="8"/>
  <c r="AD104" i="8" s="1"/>
  <c r="AD105" i="8"/>
  <c r="AC108" i="8"/>
  <c r="AE108" i="8" s="1"/>
  <c r="AD109" i="8"/>
  <c r="AE109" i="8" s="1"/>
  <c r="AH104" i="8"/>
  <c r="AI105" i="8"/>
  <c r="AJ107" i="8"/>
  <c r="AH108" i="8"/>
  <c r="AI109" i="8"/>
  <c r="AM104" i="8"/>
  <c r="AN104" i="8" s="1"/>
  <c r="AN105" i="8"/>
  <c r="AM108" i="8"/>
  <c r="AO108" i="8" s="1"/>
  <c r="AN109" i="8"/>
  <c r="AO109" i="8" s="1"/>
  <c r="AR104" i="8"/>
  <c r="AS105" i="8"/>
  <c r="AT107" i="8"/>
  <c r="AR108" i="8"/>
  <c r="AS109" i="8"/>
  <c r="AX110" i="8"/>
  <c r="AY110" i="8" s="1"/>
  <c r="BH108" i="8"/>
  <c r="BH110" i="8"/>
  <c r="BI110" i="8" s="1"/>
  <c r="BU158" i="8"/>
  <c r="BX102" i="8"/>
  <c r="BU118" i="8"/>
  <c r="CK105" i="8"/>
  <c r="CP105" i="8"/>
  <c r="BV104" i="8"/>
  <c r="BW110" i="8"/>
  <c r="BX110" i="8" s="1"/>
  <c r="AY107" i="8"/>
  <c r="BI106" i="8"/>
  <c r="BX108" i="8"/>
  <c r="BD108" i="8"/>
  <c r="BM106" i="8"/>
  <c r="BN106" i="8" s="1"/>
  <c r="BN110" i="8"/>
  <c r="BM110" i="8"/>
  <c r="CC102" i="8"/>
  <c r="CG117" i="8"/>
  <c r="CL115" i="8"/>
  <c r="CM115" i="8" s="1"/>
  <c r="CI150" i="8"/>
  <c r="CI119" i="8"/>
  <c r="BG102" i="8"/>
  <c r="BL102" i="8"/>
  <c r="BW102" i="8"/>
  <c r="I111" i="8"/>
  <c r="J111" i="8" s="1"/>
  <c r="P106" i="8"/>
  <c r="N107" i="8"/>
  <c r="O107" i="8" s="1"/>
  <c r="P110" i="8"/>
  <c r="N111" i="8"/>
  <c r="O111" i="8" s="1"/>
  <c r="U105" i="8"/>
  <c r="T107" i="8"/>
  <c r="U107" i="8"/>
  <c r="Y104" i="8"/>
  <c r="Z104" i="8" s="1"/>
  <c r="Z106" i="8"/>
  <c r="X107" i="8"/>
  <c r="Y107" i="8" s="1"/>
  <c r="Y108" i="8"/>
  <c r="Z108" i="8" s="1"/>
  <c r="Z110" i="8"/>
  <c r="X111" i="8"/>
  <c r="Y111" i="8" s="1"/>
  <c r="AE106" i="8"/>
  <c r="AC107" i="8"/>
  <c r="AD107" i="8" s="1"/>
  <c r="AD108" i="8"/>
  <c r="AE110" i="8"/>
  <c r="AC111" i="8"/>
  <c r="AD111" i="8" s="1"/>
  <c r="AI104" i="8"/>
  <c r="AJ104" i="8" s="1"/>
  <c r="AJ106" i="8"/>
  <c r="AH107" i="8"/>
  <c r="AI107" i="8" s="1"/>
  <c r="AI108" i="8"/>
  <c r="AJ108" i="8" s="1"/>
  <c r="AJ110" i="8"/>
  <c r="AH111" i="8"/>
  <c r="AI111" i="8" s="1"/>
  <c r="AO106" i="8"/>
  <c r="AM107" i="8"/>
  <c r="AN107" i="8" s="1"/>
  <c r="AN108" i="8"/>
  <c r="AO110" i="8"/>
  <c r="AM111" i="8"/>
  <c r="AN111" i="8" s="1"/>
  <c r="AS104" i="8"/>
  <c r="AT104" i="8" s="1"/>
  <c r="AT106" i="8"/>
  <c r="AR107" i="8"/>
  <c r="AS107" i="8" s="1"/>
  <c r="AS108" i="8"/>
  <c r="AT108" i="8" s="1"/>
  <c r="AT110" i="8"/>
  <c r="AR111" i="8"/>
  <c r="AS111" i="8" s="1"/>
  <c r="AW105" i="8"/>
  <c r="AW109" i="8"/>
  <c r="AX109" i="8" s="1"/>
  <c r="BX103" i="8"/>
  <c r="CA105" i="8"/>
  <c r="CF105" i="8"/>
  <c r="BV105" i="8"/>
  <c r="CF107" i="8"/>
  <c r="CG107" i="8" s="1"/>
  <c r="BS108" i="8"/>
  <c r="S110" i="8"/>
  <c r="AY104" i="8"/>
  <c r="AY108" i="8"/>
  <c r="BI107" i="8"/>
  <c r="BW109" i="8"/>
  <c r="BX109" i="8"/>
  <c r="CC108" i="8"/>
  <c r="BD105" i="8"/>
  <c r="BD109" i="8"/>
  <c r="BN107" i="8"/>
  <c r="AX111" i="8"/>
  <c r="AY111" i="8"/>
  <c r="CH111" i="8"/>
  <c r="K113" i="8"/>
  <c r="K115" i="8"/>
  <c r="P115" i="8"/>
  <c r="U115" i="8"/>
  <c r="Z113" i="8"/>
  <c r="Z115" i="8"/>
  <c r="AE115" i="8"/>
  <c r="AJ115" i="8"/>
  <c r="AO115" i="8"/>
  <c r="AT113" i="8"/>
  <c r="AT115" i="8"/>
  <c r="AY115" i="8"/>
  <c r="BD115" i="8"/>
  <c r="BI115" i="8"/>
  <c r="BN114" i="8"/>
  <c r="BX114" i="8"/>
  <c r="BX116" i="8"/>
  <c r="CC114" i="8"/>
  <c r="CC116" i="8"/>
  <c r="CH114" i="8"/>
  <c r="CH116" i="8"/>
  <c r="F150" i="8"/>
  <c r="F155" i="8" s="1"/>
  <c r="F119" i="8"/>
  <c r="U117" i="8"/>
  <c r="BI111" i="8"/>
  <c r="BH116" i="8"/>
  <c r="BH117" i="8" s="1"/>
  <c r="S117" i="8"/>
  <c r="W117" i="8"/>
  <c r="Z117" i="8" s="1"/>
  <c r="AM117" i="8"/>
  <c r="AO117" i="8" s="1"/>
  <c r="AQ117" i="8"/>
  <c r="AT117" i="8" s="1"/>
  <c r="AU155" i="8"/>
  <c r="AU151" i="8"/>
  <c r="BG117" i="8"/>
  <c r="BI117" i="8" s="1"/>
  <c r="BO155" i="8"/>
  <c r="L118" i="8"/>
  <c r="AF118" i="8"/>
  <c r="BO119" i="8"/>
  <c r="BV117" i="8"/>
  <c r="BX117" i="8" s="1"/>
  <c r="BZ117" i="8"/>
  <c r="CC117" i="8" s="1"/>
  <c r="CE117" i="8"/>
  <c r="CH117" i="8" s="1"/>
  <c r="CJ117" i="8"/>
  <c r="CJ118" i="8" s="1"/>
  <c r="I153" i="8"/>
  <c r="K122" i="8"/>
  <c r="K153" i="8" s="1"/>
  <c r="N126" i="8"/>
  <c r="P121" i="8"/>
  <c r="P125" i="8"/>
  <c r="U124" i="8"/>
  <c r="Z123" i="8"/>
  <c r="CK117" i="8"/>
  <c r="H117" i="8"/>
  <c r="H118" i="8" s="1"/>
  <c r="X117" i="8"/>
  <c r="AB117" i="8"/>
  <c r="AE117" i="8" s="1"/>
  <c r="AR117" i="8"/>
  <c r="AV117" i="8"/>
  <c r="AY117" i="8" s="1"/>
  <c r="Q118" i="8"/>
  <c r="AK118" i="8"/>
  <c r="AP119" i="8"/>
  <c r="AU119" i="8"/>
  <c r="CA117" i="8"/>
  <c r="CF117" i="8"/>
  <c r="I126" i="8"/>
  <c r="K125" i="8"/>
  <c r="P124" i="8"/>
  <c r="U123" i="8"/>
  <c r="AE121" i="8"/>
  <c r="AE126" i="8" s="1"/>
  <c r="J113" i="8"/>
  <c r="J117" i="8" s="1"/>
  <c r="O113" i="8"/>
  <c r="O117" i="8" s="1"/>
  <c r="AD113" i="8"/>
  <c r="AD117" i="8" s="1"/>
  <c r="AI113" i="8"/>
  <c r="AI117" i="8" s="1"/>
  <c r="AX113" i="8"/>
  <c r="AX117" i="8" s="1"/>
  <c r="BC113" i="8"/>
  <c r="BC117" i="8" s="1"/>
  <c r="CL113" i="8"/>
  <c r="CL117" i="8" s="1"/>
  <c r="M117" i="8"/>
  <c r="M118" i="8" s="1"/>
  <c r="AG117" i="8"/>
  <c r="AG118" i="8" s="1"/>
  <c r="BA117" i="8"/>
  <c r="BD117" i="8" s="1"/>
  <c r="V155" i="8"/>
  <c r="AP155" i="8"/>
  <c r="V119" i="8"/>
  <c r="BS117" i="8"/>
  <c r="J121" i="8"/>
  <c r="J126" i="8" s="1"/>
  <c r="K124" i="8"/>
  <c r="S153" i="8"/>
  <c r="BS123" i="8"/>
  <c r="U113" i="8"/>
  <c r="AO113" i="8"/>
  <c r="BI113" i="8"/>
  <c r="BX113" i="8"/>
  <c r="BK116" i="8"/>
  <c r="BK117" i="8" s="1"/>
  <c r="BT118" i="8"/>
  <c r="BY155" i="8"/>
  <c r="BY119" i="8"/>
  <c r="K123" i="8"/>
  <c r="J124" i="8"/>
  <c r="N153" i="8"/>
  <c r="P122" i="8"/>
  <c r="P153" i="8" s="1"/>
  <c r="O123" i="8"/>
  <c r="O126" i="8" s="1"/>
  <c r="S126" i="8"/>
  <c r="U121" i="8"/>
  <c r="T122" i="8"/>
  <c r="T153" i="8" s="1"/>
  <c r="U125" i="8"/>
  <c r="Y126" i="8"/>
  <c r="Z124" i="8"/>
  <c r="BC121" i="8"/>
  <c r="CM125" i="8"/>
  <c r="BL121" i="8"/>
  <c r="BR123" i="8"/>
  <c r="CM123" i="8"/>
  <c r="CM124" i="8"/>
  <c r="X126" i="8"/>
  <c r="AR126" i="8"/>
  <c r="BY126" i="8"/>
  <c r="CK126" i="8"/>
  <c r="K138" i="8"/>
  <c r="P130" i="8"/>
  <c r="W143" i="8"/>
  <c r="W161" i="8"/>
  <c r="AB143" i="8"/>
  <c r="AB161" i="8"/>
  <c r="AG143" i="8"/>
  <c r="AG161" i="8"/>
  <c r="AL143" i="8"/>
  <c r="AL146" i="8" s="1"/>
  <c r="AN134" i="8"/>
  <c r="AO134" i="8"/>
  <c r="AM137" i="8"/>
  <c r="AR133" i="8"/>
  <c r="BG129" i="8"/>
  <c r="BG143" i="8" s="1"/>
  <c r="BG137" i="8"/>
  <c r="BI137" i="8"/>
  <c r="BN135" i="8"/>
  <c r="BM139" i="8"/>
  <c r="BN139" i="8" s="1"/>
  <c r="K142" i="8"/>
  <c r="J142" i="8"/>
  <c r="T142" i="8"/>
  <c r="U142" i="8" s="1"/>
  <c r="CC125" i="8"/>
  <c r="AC126" i="8"/>
  <c r="AW126" i="8"/>
  <c r="BA126" i="8"/>
  <c r="BV126" i="8"/>
  <c r="CD126" i="8"/>
  <c r="K129" i="8"/>
  <c r="X132" i="8"/>
  <c r="X136" i="8"/>
  <c r="Y136" i="8" s="1"/>
  <c r="AC128" i="8"/>
  <c r="AC132" i="8"/>
  <c r="AC136" i="8"/>
  <c r="AH128" i="8"/>
  <c r="AH132" i="8"/>
  <c r="AJ135" i="8"/>
  <c r="AH136" i="8"/>
  <c r="AM128" i="8"/>
  <c r="AM131" i="8"/>
  <c r="AN131" i="8" s="1"/>
  <c r="AN132" i="8"/>
  <c r="AM134" i="8"/>
  <c r="AO136" i="8"/>
  <c r="AN137" i="8"/>
  <c r="AO137" i="8" s="1"/>
  <c r="AM139" i="8"/>
  <c r="AO139" i="8" s="1"/>
  <c r="AS128" i="8"/>
  <c r="AR130" i="8"/>
  <c r="AS130" i="8" s="1"/>
  <c r="AT130" i="8" s="1"/>
  <c r="AS133" i="8"/>
  <c r="AT133" i="8" s="1"/>
  <c r="AR135" i="8"/>
  <c r="AR138" i="8"/>
  <c r="BH129" i="8"/>
  <c r="BI129" i="8" s="1"/>
  <c r="BG131" i="8"/>
  <c r="BI131" i="8" s="1"/>
  <c r="BH132" i="8"/>
  <c r="BG134" i="8"/>
  <c r="BI136" i="8"/>
  <c r="BH137" i="8"/>
  <c r="BN128" i="8"/>
  <c r="AY129" i="8"/>
  <c r="O141" i="8"/>
  <c r="P141" i="8" s="1"/>
  <c r="Z122" i="8"/>
  <c r="Z153" i="8" s="1"/>
  <c r="AE122" i="8"/>
  <c r="AE153" i="8" s="1"/>
  <c r="AJ121" i="8"/>
  <c r="AJ122" i="8"/>
  <c r="AJ153" i="8" s="1"/>
  <c r="AO121" i="8"/>
  <c r="AO126" i="8" s="1"/>
  <c r="AO122" i="8"/>
  <c r="AO153" i="8" s="1"/>
  <c r="AT122" i="8"/>
  <c r="AT153" i="8" s="1"/>
  <c r="AY122" i="8"/>
  <c r="AY153" i="8" s="1"/>
  <c r="BC123" i="8"/>
  <c r="BD123" i="8" s="1"/>
  <c r="BI121" i="8"/>
  <c r="BI122" i="8"/>
  <c r="BI153" i="8" s="1"/>
  <c r="BN122" i="8"/>
  <c r="BN153" i="8" s="1"/>
  <c r="BX122" i="8"/>
  <c r="BX153" i="8" s="1"/>
  <c r="CC121" i="8"/>
  <c r="CC122" i="8"/>
  <c r="CC153" i="8" s="1"/>
  <c r="CH121" i="8"/>
  <c r="CH122" i="8"/>
  <c r="CH153" i="8" s="1"/>
  <c r="BB125" i="8"/>
  <c r="BB126" i="8" s="1"/>
  <c r="BL125" i="8"/>
  <c r="BM125" i="8" s="1"/>
  <c r="BR125" i="8"/>
  <c r="BS125" i="8" s="1"/>
  <c r="BV125" i="8"/>
  <c r="CH125" i="8"/>
  <c r="H143" i="8"/>
  <c r="I129" i="8"/>
  <c r="J130" i="8"/>
  <c r="K130" i="8" s="1"/>
  <c r="H161" i="8"/>
  <c r="I133" i="8"/>
  <c r="J134" i="8"/>
  <c r="K134" i="8" s="1"/>
  <c r="K136" i="8"/>
  <c r="I137" i="8"/>
  <c r="K137" i="8" s="1"/>
  <c r="J138" i="8"/>
  <c r="M143" i="8"/>
  <c r="N129" i="8"/>
  <c r="O130" i="8"/>
  <c r="M161" i="8"/>
  <c r="N133" i="8"/>
  <c r="O133" i="8" s="1"/>
  <c r="O134" i="8"/>
  <c r="P134" i="8" s="1"/>
  <c r="N137" i="8"/>
  <c r="P137" i="8" s="1"/>
  <c r="O138" i="8"/>
  <c r="P138" i="8" s="1"/>
  <c r="R143" i="8"/>
  <c r="R146" i="8" s="1"/>
  <c r="T128" i="8"/>
  <c r="Y128" i="8"/>
  <c r="X131" i="8"/>
  <c r="Y132" i="8"/>
  <c r="X135" i="8"/>
  <c r="Z138" i="8"/>
  <c r="X139" i="8"/>
  <c r="Z139" i="8" s="1"/>
  <c r="AE130" i="8"/>
  <c r="AC131" i="8"/>
  <c r="AD131" i="8" s="1"/>
  <c r="AD132" i="8"/>
  <c r="AC135" i="8"/>
  <c r="AD136" i="8"/>
  <c r="AE136" i="8" s="1"/>
  <c r="AC139" i="8"/>
  <c r="AI132" i="8"/>
  <c r="AJ132" i="8" s="1"/>
  <c r="AN128" i="8"/>
  <c r="AN130" i="8"/>
  <c r="AM133" i="8"/>
  <c r="AM161" i="8" s="1"/>
  <c r="AN139" i="8"/>
  <c r="AR129" i="8"/>
  <c r="AT131" i="8"/>
  <c r="AR161" i="8"/>
  <c r="AS135" i="8"/>
  <c r="AT135" i="8" s="1"/>
  <c r="AR137" i="8"/>
  <c r="AX143" i="8"/>
  <c r="AX161" i="8"/>
  <c r="BH130" i="8"/>
  <c r="BI130" i="8" s="1"/>
  <c r="BH131" i="8"/>
  <c r="BG133" i="8"/>
  <c r="BG69" i="8" s="1"/>
  <c r="BM161" i="8"/>
  <c r="AY130" i="8"/>
  <c r="BX139" i="8"/>
  <c r="BM137" i="8"/>
  <c r="BN137" i="8" s="1"/>
  <c r="O142" i="8"/>
  <c r="P142" i="8" s="1"/>
  <c r="BC122" i="8"/>
  <c r="BM121" i="8"/>
  <c r="CK122" i="8"/>
  <c r="BR122" i="8"/>
  <c r="BR153" i="8" s="1"/>
  <c r="BW125" i="8"/>
  <c r="BW126" i="8" s="1"/>
  <c r="I128" i="8"/>
  <c r="J129" i="8"/>
  <c r="K131" i="8"/>
  <c r="I132" i="8"/>
  <c r="J133" i="8"/>
  <c r="K133" i="8" s="1"/>
  <c r="K135" i="8"/>
  <c r="I136" i="8"/>
  <c r="J136" i="8" s="1"/>
  <c r="J137" i="8"/>
  <c r="K139" i="8"/>
  <c r="N128" i="8"/>
  <c r="P131" i="8"/>
  <c r="N132" i="8"/>
  <c r="P135" i="8"/>
  <c r="N136" i="8"/>
  <c r="O136" i="8" s="1"/>
  <c r="O137" i="8"/>
  <c r="P139" i="8"/>
  <c r="S128" i="8"/>
  <c r="Z129" i="8"/>
  <c r="X130" i="8"/>
  <c r="Y130" i="8" s="1"/>
  <c r="Z133" i="8"/>
  <c r="X134" i="8"/>
  <c r="Y134" i="8" s="1"/>
  <c r="Y135" i="8"/>
  <c r="Z135" i="8" s="1"/>
  <c r="Z137" i="8"/>
  <c r="X138" i="8"/>
  <c r="Y138" i="8" s="1"/>
  <c r="Y139" i="8"/>
  <c r="AE129" i="8"/>
  <c r="AC130" i="8"/>
  <c r="AD130" i="8" s="1"/>
  <c r="AE133" i="8"/>
  <c r="AC134" i="8"/>
  <c r="AD134" i="8" s="1"/>
  <c r="AE137" i="8"/>
  <c r="AC138" i="8"/>
  <c r="AD138" i="8" s="1"/>
  <c r="AD139" i="8"/>
  <c r="AE139" i="8" s="1"/>
  <c r="AJ129" i="8"/>
  <c r="AI131" i="8"/>
  <c r="AJ131" i="8" s="1"/>
  <c r="AJ133" i="8"/>
  <c r="AH134" i="8"/>
  <c r="AI134" i="8" s="1"/>
  <c r="AI135" i="8"/>
  <c r="AJ137" i="8"/>
  <c r="AH138" i="8"/>
  <c r="AI138" i="8" s="1"/>
  <c r="AI139" i="8"/>
  <c r="AJ139" i="8" s="1"/>
  <c r="AO129" i="8"/>
  <c r="AM130" i="8"/>
  <c r="AO130" i="8" s="1"/>
  <c r="AO132" i="8"/>
  <c r="AN133" i="8"/>
  <c r="AM135" i="8"/>
  <c r="AN135" i="8" s="1"/>
  <c r="AM138" i="8"/>
  <c r="AN138" i="8" s="1"/>
  <c r="AO138" i="8" s="1"/>
  <c r="AT128" i="8"/>
  <c r="AS129" i="8"/>
  <c r="AT129" i="8" s="1"/>
  <c r="AR131" i="8"/>
  <c r="AS131" i="8" s="1"/>
  <c r="AS132" i="8"/>
  <c r="AT132" i="8" s="1"/>
  <c r="AR134" i="8"/>
  <c r="AT136" i="8"/>
  <c r="AR139" i="8"/>
  <c r="AS139" i="8" s="1"/>
  <c r="AY133" i="8"/>
  <c r="BH128" i="8"/>
  <c r="BG130" i="8"/>
  <c r="BI132" i="8"/>
  <c r="BH133" i="8"/>
  <c r="BI133" i="8" s="1"/>
  <c r="BG135" i="8"/>
  <c r="BH135" i="8" s="1"/>
  <c r="BG138" i="8"/>
  <c r="BH138" i="8" s="1"/>
  <c r="BI138" i="8" s="1"/>
  <c r="BN161" i="8"/>
  <c r="CA129" i="8"/>
  <c r="CB129" i="8" s="1"/>
  <c r="CC129" i="8"/>
  <c r="U131" i="8"/>
  <c r="AY131" i="8"/>
  <c r="BX135" i="8"/>
  <c r="BM138" i="8"/>
  <c r="K141" i="8"/>
  <c r="J141" i="8"/>
  <c r="T141" i="8"/>
  <c r="U141" i="8" s="1"/>
  <c r="CC130" i="8"/>
  <c r="CJ143" i="8"/>
  <c r="CJ161" i="8"/>
  <c r="CM136" i="8"/>
  <c r="CM140" i="8"/>
  <c r="S161" i="8"/>
  <c r="T133" i="8"/>
  <c r="T137" i="8"/>
  <c r="BA143" i="8"/>
  <c r="BC129" i="8"/>
  <c r="BD129" i="8" s="1"/>
  <c r="BC136" i="8"/>
  <c r="BL130" i="8"/>
  <c r="BS129" i="8"/>
  <c r="BR161" i="8"/>
  <c r="BW131" i="8"/>
  <c r="BW137" i="8"/>
  <c r="CH135" i="8"/>
  <c r="DB136" i="8"/>
  <c r="BK161" i="8"/>
  <c r="BH139" i="8"/>
  <c r="BI139" i="8" s="1"/>
  <c r="CC140" i="8"/>
  <c r="U137" i="8"/>
  <c r="AY137" i="8"/>
  <c r="BD136" i="8"/>
  <c r="BS137" i="8"/>
  <c r="AT142" i="8"/>
  <c r="BH142" i="8"/>
  <c r="Z142" i="8"/>
  <c r="BX131" i="8"/>
  <c r="F146" i="8"/>
  <c r="F147" i="8" s="1"/>
  <c r="V146" i="8"/>
  <c r="BT146" i="8"/>
  <c r="BT147" i="8" s="1"/>
  <c r="BT9" i="34" s="1"/>
  <c r="BU8" i="34" s="1"/>
  <c r="CM131" i="8"/>
  <c r="CK161" i="8"/>
  <c r="CM135" i="8"/>
  <c r="CG161" i="8"/>
  <c r="T161" i="8"/>
  <c r="BC130" i="8"/>
  <c r="BD130" i="8" s="1"/>
  <c r="BV130" i="8"/>
  <c r="CR136" i="8"/>
  <c r="CW136" i="8"/>
  <c r="BE146" i="8"/>
  <c r="CC139" i="8"/>
  <c r="U130" i="8"/>
  <c r="U134" i="8"/>
  <c r="U138" i="8"/>
  <c r="AY134" i="8"/>
  <c r="AE141" i="8"/>
  <c r="AE142" i="8"/>
  <c r="AJ141" i="8"/>
  <c r="AJ142" i="8"/>
  <c r="AO141" i="8"/>
  <c r="AO142" i="8"/>
  <c r="AR142" i="8"/>
  <c r="BD141" i="8"/>
  <c r="BD142" i="8"/>
  <c r="BI141" i="8"/>
  <c r="BI142" i="8"/>
  <c r="BV142" i="8"/>
  <c r="BX142" i="8" s="1"/>
  <c r="BX137" i="8"/>
  <c r="CC136" i="8"/>
  <c r="G146" i="8"/>
  <c r="AA146" i="8"/>
  <c r="AZ146" i="8"/>
  <c r="BY146" i="8"/>
  <c r="BY147" i="8" s="1"/>
  <c r="BY9" i="34" s="1"/>
  <c r="BZ8" i="34" s="1"/>
  <c r="BZ161" i="8"/>
  <c r="BZ143" i="8"/>
  <c r="CL128" i="8"/>
  <c r="CK131" i="8"/>
  <c r="CL131" i="8" s="1"/>
  <c r="CL132" i="8"/>
  <c r="CM132" i="8" s="1"/>
  <c r="CK135" i="8"/>
  <c r="CL135" i="8" s="1"/>
  <c r="CM138" i="8"/>
  <c r="CK139" i="8"/>
  <c r="CL139" i="8" s="1"/>
  <c r="BJ146" i="8"/>
  <c r="BA161" i="8"/>
  <c r="BB133" i="8"/>
  <c r="BC134" i="8"/>
  <c r="BD134" i="8" s="1"/>
  <c r="BB137" i="8"/>
  <c r="BC138" i="8"/>
  <c r="BD138" i="8" s="1"/>
  <c r="BL161" i="8"/>
  <c r="BL143" i="8"/>
  <c r="BU161" i="8"/>
  <c r="BU143" i="8"/>
  <c r="BU146" i="8" s="1"/>
  <c r="AV143" i="8"/>
  <c r="AV161" i="8"/>
  <c r="BR130" i="8"/>
  <c r="BS130" i="8" s="1"/>
  <c r="BV134" i="8"/>
  <c r="BV138" i="8"/>
  <c r="BX138" i="8" s="1"/>
  <c r="CA137" i="8"/>
  <c r="CB137" i="8" s="1"/>
  <c r="BK130" i="8"/>
  <c r="CR138" i="8"/>
  <c r="CW138" i="8"/>
  <c r="DB138" i="8"/>
  <c r="BF139" i="8"/>
  <c r="BG139" i="8" s="1"/>
  <c r="CA139" i="8"/>
  <c r="CB139" i="8" s="1"/>
  <c r="AY139" i="8"/>
  <c r="BL138" i="8"/>
  <c r="AT141" i="8"/>
  <c r="CH130" i="8"/>
  <c r="L146" i="8"/>
  <c r="AK146" i="8"/>
  <c r="CD146" i="8"/>
  <c r="CD147" i="8" s="1"/>
  <c r="CD9" i="34" s="1"/>
  <c r="CE8" i="34" s="1"/>
  <c r="AL161" i="8"/>
  <c r="AQ143" i="8"/>
  <c r="AQ161" i="8"/>
  <c r="AW143" i="8"/>
  <c r="AW161" i="8"/>
  <c r="BF143" i="8"/>
  <c r="BF146" i="8" s="1"/>
  <c r="BF161" i="8"/>
  <c r="CA128" i="8"/>
  <c r="CF161" i="8"/>
  <c r="CH128" i="8"/>
  <c r="CM129" i="8"/>
  <c r="CK130" i="8"/>
  <c r="CL130" i="8" s="1"/>
  <c r="CM133" i="8"/>
  <c r="CK134" i="8"/>
  <c r="CL134" i="8" s="1"/>
  <c r="CM137" i="8"/>
  <c r="CK138" i="8"/>
  <c r="CL138" i="8" s="1"/>
  <c r="CE161" i="8"/>
  <c r="CE143" i="8"/>
  <c r="CH129" i="8"/>
  <c r="R161" i="8"/>
  <c r="AF146" i="8"/>
  <c r="BC128" i="8"/>
  <c r="BD128" i="8" s="1"/>
  <c r="BB132" i="8"/>
  <c r="BP143" i="8"/>
  <c r="BP146" i="8" s="1"/>
  <c r="BP161" i="8"/>
  <c r="BR131" i="8"/>
  <c r="BS131" i="8" s="1"/>
  <c r="BW130" i="8"/>
  <c r="BX130" i="8" s="1"/>
  <c r="BV128" i="8"/>
  <c r="BW128" i="8" s="1"/>
  <c r="BV161" i="8"/>
  <c r="BW134" i="8"/>
  <c r="BX134" i="8" s="1"/>
  <c r="BW138" i="8"/>
  <c r="CC135" i="8"/>
  <c r="CH136" i="8"/>
  <c r="CF137" i="8"/>
  <c r="CG137" i="8" s="1"/>
  <c r="CG143" i="8" s="1"/>
  <c r="CH139" i="8"/>
  <c r="CF140" i="8"/>
  <c r="CG140" i="8" s="1"/>
  <c r="U132" i="8"/>
  <c r="AJ130" i="8"/>
  <c r="AY128" i="8"/>
  <c r="AY132" i="8"/>
  <c r="AY161" i="8" s="1"/>
  <c r="X141" i="8"/>
  <c r="Z141" i="8" s="1"/>
  <c r="BV141" i="8"/>
  <c r="BX141" i="8" s="1"/>
  <c r="CC132" i="8"/>
  <c r="Q146" i="8"/>
  <c r="AP146" i="8"/>
  <c r="CW161" i="8"/>
  <c r="CR161" i="8"/>
  <c r="BP147" i="8"/>
  <c r="BP9" i="34" s="1"/>
  <c r="BQ8" i="34" s="1"/>
  <c r="BQ11" i="34" s="1"/>
  <c r="CH161" i="8"/>
  <c r="DB161" i="8"/>
  <c r="AU146" i="8"/>
  <c r="BO146" i="8"/>
  <c r="CI146" i="8"/>
  <c r="CI147" i="8" s="1"/>
  <c r="CI9" i="34" s="1"/>
  <c r="CJ8" i="34" s="1"/>
  <c r="CJ25" i="34" s="1"/>
  <c r="CJ41" i="34" s="1"/>
  <c r="CJ55" i="34" s="1"/>
  <c r="CJ69" i="34" s="1"/>
  <c r="BQ147" i="8"/>
  <c r="BQ9" i="34" s="1"/>
  <c r="BR8" i="34" s="1"/>
  <c r="BU147" i="8"/>
  <c r="BU9" i="34" s="1"/>
  <c r="BV8" i="34" s="1"/>
  <c r="Y49" i="3"/>
  <c r="Y19" i="3"/>
  <c r="BC49" i="3"/>
  <c r="BC19" i="3"/>
  <c r="CX16" i="3"/>
  <c r="AP49" i="3"/>
  <c r="AP19" i="3"/>
  <c r="BY49" i="3"/>
  <c r="BY19" i="3"/>
  <c r="AM70" i="3"/>
  <c r="AM51" i="3"/>
  <c r="AM24" i="3"/>
  <c r="BF70" i="3"/>
  <c r="BF51" i="3"/>
  <c r="BF54" i="3" s="1"/>
  <c r="BF24" i="3"/>
  <c r="J49" i="3"/>
  <c r="J19" i="3"/>
  <c r="AD87" i="3"/>
  <c r="AD49" i="3"/>
  <c r="AD19" i="3"/>
  <c r="CL87" i="3"/>
  <c r="CL49" i="3"/>
  <c r="CL19" i="3"/>
  <c r="D49" i="3"/>
  <c r="D19" i="3"/>
  <c r="H49" i="3"/>
  <c r="H19" i="3"/>
  <c r="M87" i="3"/>
  <c r="M49" i="3"/>
  <c r="M19" i="3"/>
  <c r="R87" i="3"/>
  <c r="R49" i="3"/>
  <c r="R19" i="3"/>
  <c r="W87" i="3"/>
  <c r="W49" i="3"/>
  <c r="W19" i="3"/>
  <c r="AB87" i="3"/>
  <c r="AB49" i="3"/>
  <c r="AB19" i="3"/>
  <c r="AL49" i="3"/>
  <c r="AL19" i="3"/>
  <c r="AV87" i="3"/>
  <c r="AV49" i="3"/>
  <c r="AV19" i="3"/>
  <c r="BA87" i="3"/>
  <c r="BA49" i="3"/>
  <c r="BA19" i="3"/>
  <c r="BK87" i="3"/>
  <c r="BK49" i="3"/>
  <c r="BK19" i="3"/>
  <c r="AQ70" i="3"/>
  <c r="AQ51" i="3"/>
  <c r="AQ24" i="3"/>
  <c r="O87" i="3"/>
  <c r="O49" i="3"/>
  <c r="O19" i="3"/>
  <c r="AN49" i="3"/>
  <c r="AN19" i="3"/>
  <c r="CW16" i="3"/>
  <c r="F81" i="3"/>
  <c r="F80" i="3"/>
  <c r="F79" i="3"/>
  <c r="F78" i="3"/>
  <c r="F77" i="3"/>
  <c r="F83" i="3"/>
  <c r="T83" i="3"/>
  <c r="T81" i="3"/>
  <c r="T77" i="3"/>
  <c r="T78" i="3"/>
  <c r="AI83" i="3"/>
  <c r="AI81" i="3"/>
  <c r="AI80" i="3"/>
  <c r="AI78" i="3"/>
  <c r="AI77" i="3"/>
  <c r="AX83" i="3"/>
  <c r="AX82" i="3"/>
  <c r="AX81" i="3"/>
  <c r="AX80" i="3"/>
  <c r="AX79" i="3"/>
  <c r="AX78" i="3"/>
  <c r="AX77" i="3"/>
  <c r="BM83" i="3"/>
  <c r="BM82" i="3"/>
  <c r="BM81" i="3"/>
  <c r="BM80" i="3"/>
  <c r="BM79" i="3"/>
  <c r="BM78" i="3"/>
  <c r="BM77" i="3"/>
  <c r="CG83" i="3"/>
  <c r="CG84" i="3"/>
  <c r="CG81" i="3"/>
  <c r="CG80" i="3"/>
  <c r="CG78" i="3"/>
  <c r="CG82" i="3"/>
  <c r="CG77" i="3"/>
  <c r="Z91" i="3"/>
  <c r="P92" i="3"/>
  <c r="P79" i="3"/>
  <c r="AE92" i="3"/>
  <c r="AE79" i="3"/>
  <c r="BZ92" i="3"/>
  <c r="BZ79" i="3"/>
  <c r="AJ91" i="3"/>
  <c r="BN49" i="3"/>
  <c r="BN19" i="3"/>
  <c r="L49" i="3"/>
  <c r="L19" i="3"/>
  <c r="V87" i="3"/>
  <c r="V49" i="3"/>
  <c r="AA87" i="3"/>
  <c r="AA49" i="3"/>
  <c r="AI17" i="3"/>
  <c r="AU87" i="3"/>
  <c r="AU49" i="3"/>
  <c r="BL49" i="3"/>
  <c r="BL19" i="3"/>
  <c r="CG17" i="3"/>
  <c r="AG82" i="3"/>
  <c r="AG52" i="3"/>
  <c r="K25" i="3"/>
  <c r="E83" i="3"/>
  <c r="E81" i="3"/>
  <c r="E80" i="3"/>
  <c r="E78" i="3"/>
  <c r="E77" i="3"/>
  <c r="I83" i="3"/>
  <c r="I81" i="3"/>
  <c r="I80" i="3"/>
  <c r="I79" i="3"/>
  <c r="I77" i="3"/>
  <c r="I78" i="3"/>
  <c r="N83" i="3"/>
  <c r="N81" i="3"/>
  <c r="N80" i="3"/>
  <c r="N79" i="3"/>
  <c r="N78" i="3"/>
  <c r="N77" i="3"/>
  <c r="S83" i="3"/>
  <c r="S81" i="3"/>
  <c r="S80" i="3"/>
  <c r="S78" i="3"/>
  <c r="S79" i="3"/>
  <c r="S77" i="3"/>
  <c r="X83" i="3"/>
  <c r="X81" i="3"/>
  <c r="X80" i="3"/>
  <c r="X78" i="3"/>
  <c r="X77" i="3"/>
  <c r="X79" i="3"/>
  <c r="AC81" i="3"/>
  <c r="AC80" i="3"/>
  <c r="AC79" i="3"/>
  <c r="AC83" i="3"/>
  <c r="AC78" i="3"/>
  <c r="AC77" i="3"/>
  <c r="AH83" i="3"/>
  <c r="AH81" i="3"/>
  <c r="AH80" i="3"/>
  <c r="AH79" i="3"/>
  <c r="AH78" i="3"/>
  <c r="AH77" i="3"/>
  <c r="AM83" i="3"/>
  <c r="AM81" i="3"/>
  <c r="AM80" i="3"/>
  <c r="AM78" i="3"/>
  <c r="AM77" i="3"/>
  <c r="AM79" i="3"/>
  <c r="AR83" i="3"/>
  <c r="AR81" i="3"/>
  <c r="AR80" i="3"/>
  <c r="AR79" i="3"/>
  <c r="AR78" i="3"/>
  <c r="AR77" i="3"/>
  <c r="AW83" i="3"/>
  <c r="AW82" i="3"/>
  <c r="AW81" i="3"/>
  <c r="AW80" i="3"/>
  <c r="AW79" i="3"/>
  <c r="AW78" i="3"/>
  <c r="AW77" i="3"/>
  <c r="BB83" i="3"/>
  <c r="BB81" i="3"/>
  <c r="BB80" i="3"/>
  <c r="BB79" i="3"/>
  <c r="BB78" i="3"/>
  <c r="BB77" i="3"/>
  <c r="BB82" i="3"/>
  <c r="BG83" i="3"/>
  <c r="BG82" i="3"/>
  <c r="BG81" i="3"/>
  <c r="BG80" i="3"/>
  <c r="BG79" i="3"/>
  <c r="BG78" i="3"/>
  <c r="BG77" i="3"/>
  <c r="BL82" i="3"/>
  <c r="BL83" i="3"/>
  <c r="BL81" i="3"/>
  <c r="BL80" i="3"/>
  <c r="BL79" i="3"/>
  <c r="BL78" i="3"/>
  <c r="BL77" i="3"/>
  <c r="BQ83" i="3"/>
  <c r="BQ81" i="3"/>
  <c r="BQ80" i="3"/>
  <c r="BQ82" i="3"/>
  <c r="BQ78" i="3"/>
  <c r="BQ77" i="3"/>
  <c r="BV83" i="3"/>
  <c r="BV84" i="3"/>
  <c r="BV81" i="3"/>
  <c r="BV80" i="3"/>
  <c r="BV78" i="3"/>
  <c r="BV77" i="3"/>
  <c r="BV82" i="3"/>
  <c r="CA83" i="3"/>
  <c r="CA84" i="3"/>
  <c r="CA82" i="3"/>
  <c r="CA81" i="3"/>
  <c r="CA80" i="3"/>
  <c r="CA77" i="3"/>
  <c r="CA78" i="3"/>
  <c r="CF84" i="3"/>
  <c r="CF82" i="3"/>
  <c r="CF83" i="3"/>
  <c r="CF81" i="3"/>
  <c r="CF80" i="3"/>
  <c r="CF77" i="3"/>
  <c r="CF78" i="3"/>
  <c r="CK83" i="3"/>
  <c r="CK84" i="3"/>
  <c r="CK81" i="3"/>
  <c r="CK80" i="3"/>
  <c r="CK79" i="3"/>
  <c r="CK78" i="3"/>
  <c r="CK82" i="3"/>
  <c r="CK77" i="3"/>
  <c r="K17" i="3"/>
  <c r="P89" i="3"/>
  <c r="P76" i="3"/>
  <c r="U104" i="3"/>
  <c r="U107" i="3" s="1"/>
  <c r="U86" i="3"/>
  <c r="U91" i="3"/>
  <c r="Z90" i="3"/>
  <c r="Z77" i="3"/>
  <c r="J79" i="3"/>
  <c r="O92" i="3"/>
  <c r="O79" i="3"/>
  <c r="T92" i="3"/>
  <c r="T79" i="3"/>
  <c r="Y92" i="3"/>
  <c r="Y79" i="3"/>
  <c r="AD92" i="3"/>
  <c r="AD79" i="3"/>
  <c r="AN92" i="3"/>
  <c r="AI92" i="3"/>
  <c r="AI79" i="3"/>
  <c r="BT92" i="3"/>
  <c r="BT79" i="3"/>
  <c r="BY92" i="3"/>
  <c r="BY79" i="3"/>
  <c r="CC13" i="3"/>
  <c r="CD92" i="3"/>
  <c r="CD79" i="3"/>
  <c r="CI92" i="3"/>
  <c r="CI79" i="3"/>
  <c r="CM13" i="3"/>
  <c r="AJ90" i="3"/>
  <c r="AJ77" i="3"/>
  <c r="AO86" i="3"/>
  <c r="AO91" i="3"/>
  <c r="AT89" i="3"/>
  <c r="AT76" i="3"/>
  <c r="AT92" i="3"/>
  <c r="AT79" i="3"/>
  <c r="AY17" i="3"/>
  <c r="AY80" i="3"/>
  <c r="BD90" i="3"/>
  <c r="BI86" i="3"/>
  <c r="BI91" i="3"/>
  <c r="BN89" i="3"/>
  <c r="BN76" i="3"/>
  <c r="BN79" i="3"/>
  <c r="BS80" i="3"/>
  <c r="CN15" i="3"/>
  <c r="E82" i="3"/>
  <c r="E52" i="3"/>
  <c r="I82" i="3"/>
  <c r="I52" i="3"/>
  <c r="O82" i="3"/>
  <c r="O52" i="3"/>
  <c r="T17" i="3"/>
  <c r="T82" i="3"/>
  <c r="T52" i="3"/>
  <c r="Y82" i="3"/>
  <c r="Y52" i="3"/>
  <c r="AH17" i="3"/>
  <c r="AT17" i="3"/>
  <c r="AX17" i="3"/>
  <c r="BQ17" i="3"/>
  <c r="CF17" i="3"/>
  <c r="AK82" i="3"/>
  <c r="AK52" i="3"/>
  <c r="AO18" i="3"/>
  <c r="AO82" i="3" s="1"/>
  <c r="AS82" i="3"/>
  <c r="AS52" i="3"/>
  <c r="AA19" i="3"/>
  <c r="CO53" i="3"/>
  <c r="CR21" i="3"/>
  <c r="CM91" i="3"/>
  <c r="CM78" i="3"/>
  <c r="P83" i="3"/>
  <c r="BI82" i="3"/>
  <c r="BN83" i="3"/>
  <c r="AQ41" i="3"/>
  <c r="O83" i="3"/>
  <c r="O81" i="3"/>
  <c r="O77" i="3"/>
  <c r="O78" i="3"/>
  <c r="AD83" i="3"/>
  <c r="AD81" i="3"/>
  <c r="AD78" i="3"/>
  <c r="AD77" i="3"/>
  <c r="AS83" i="3"/>
  <c r="AS81" i="3"/>
  <c r="AS80" i="3"/>
  <c r="AS79" i="3"/>
  <c r="AS78" i="3"/>
  <c r="AS77" i="3"/>
  <c r="BC83" i="3"/>
  <c r="BC82" i="3"/>
  <c r="BC81" i="3"/>
  <c r="BC80" i="3"/>
  <c r="BC78" i="3"/>
  <c r="BC77" i="3"/>
  <c r="BC79" i="3"/>
  <c r="BR83" i="3"/>
  <c r="BR81" i="3"/>
  <c r="BR80" i="3"/>
  <c r="BR78" i="3"/>
  <c r="BR77" i="3"/>
  <c r="BR82" i="3"/>
  <c r="CB84" i="3"/>
  <c r="CB82" i="3"/>
  <c r="CB83" i="3"/>
  <c r="CB81" i="3"/>
  <c r="CB80" i="3"/>
  <c r="CB78" i="3"/>
  <c r="CB77" i="3"/>
  <c r="CL83" i="3"/>
  <c r="CL84" i="3"/>
  <c r="CL81" i="3"/>
  <c r="CL80" i="3"/>
  <c r="CL79" i="3"/>
  <c r="CL78" i="3"/>
  <c r="CL77" i="3"/>
  <c r="CL82" i="3"/>
  <c r="U89" i="3"/>
  <c r="U76" i="3"/>
  <c r="AE90" i="3"/>
  <c r="AE77" i="3"/>
  <c r="U92" i="3"/>
  <c r="BM92" i="3"/>
  <c r="BH92" i="3"/>
  <c r="BH79" i="3"/>
  <c r="CJ92" i="3"/>
  <c r="CE92" i="3"/>
  <c r="CE79" i="3"/>
  <c r="AY90" i="3"/>
  <c r="AY77" i="3"/>
  <c r="BI89" i="3"/>
  <c r="BI76" i="3"/>
  <c r="E87" i="3"/>
  <c r="E49" i="3"/>
  <c r="F82" i="3"/>
  <c r="F52" i="3"/>
  <c r="L82" i="3"/>
  <c r="L52" i="3"/>
  <c r="P18" i="3"/>
  <c r="P82" i="3" s="1"/>
  <c r="Q82" i="3"/>
  <c r="Q52" i="3"/>
  <c r="V82" i="3"/>
  <c r="V52" i="3"/>
  <c r="Z18" i="3"/>
  <c r="Z82" i="3" s="1"/>
  <c r="AM87" i="3"/>
  <c r="AM49" i="3"/>
  <c r="AZ87" i="3"/>
  <c r="AZ49" i="3"/>
  <c r="CA49" i="3"/>
  <c r="CA19" i="3"/>
  <c r="AC82" i="3"/>
  <c r="AC52" i="3"/>
  <c r="AL82" i="3"/>
  <c r="AL52" i="3"/>
  <c r="CC90" i="3"/>
  <c r="G83" i="3"/>
  <c r="G81" i="3"/>
  <c r="G80" i="3"/>
  <c r="G78" i="3"/>
  <c r="G77" i="3"/>
  <c r="G79" i="3"/>
  <c r="L83" i="3"/>
  <c r="L81" i="3"/>
  <c r="L80" i="3"/>
  <c r="L79" i="3"/>
  <c r="L78" i="3"/>
  <c r="L77" i="3"/>
  <c r="Q83" i="3"/>
  <c r="Q81" i="3"/>
  <c r="Q80" i="3"/>
  <c r="Q79" i="3"/>
  <c r="Q78" i="3"/>
  <c r="Q77" i="3"/>
  <c r="V83" i="3"/>
  <c r="V81" i="3"/>
  <c r="V80" i="3"/>
  <c r="V79" i="3"/>
  <c r="V78" i="3"/>
  <c r="V77" i="3"/>
  <c r="AA83" i="3"/>
  <c r="AA81" i="3"/>
  <c r="AA80" i="3"/>
  <c r="AA79" i="3"/>
  <c r="AA78" i="3"/>
  <c r="AA77" i="3"/>
  <c r="AF83" i="3"/>
  <c r="AF81" i="3"/>
  <c r="AF80" i="3"/>
  <c r="AF79" i="3"/>
  <c r="AF78" i="3"/>
  <c r="AF77" i="3"/>
  <c r="AK81" i="3"/>
  <c r="AK80" i="3"/>
  <c r="AK79" i="3"/>
  <c r="AK83" i="3"/>
  <c r="AK78" i="3"/>
  <c r="AK77" i="3"/>
  <c r="AP83" i="3"/>
  <c r="AP81" i="3"/>
  <c r="AP80" i="3"/>
  <c r="AP79" i="3"/>
  <c r="AP78" i="3"/>
  <c r="AP77" i="3"/>
  <c r="AU83" i="3"/>
  <c r="AU81" i="3"/>
  <c r="AU80" i="3"/>
  <c r="AU77" i="3"/>
  <c r="AU79" i="3"/>
  <c r="AU78" i="3"/>
  <c r="AZ82" i="3"/>
  <c r="AZ83" i="3"/>
  <c r="AZ81" i="3"/>
  <c r="AZ80" i="3"/>
  <c r="AZ79" i="3"/>
  <c r="AZ77" i="3"/>
  <c r="AZ78" i="3"/>
  <c r="BE83" i="3"/>
  <c r="BE81" i="3"/>
  <c r="BE80" i="3"/>
  <c r="BE79" i="3"/>
  <c r="BE82" i="3"/>
  <c r="BE77" i="3"/>
  <c r="BE78" i="3"/>
  <c r="BE17" i="3"/>
  <c r="BJ83" i="3"/>
  <c r="BJ81" i="3"/>
  <c r="BJ80" i="3"/>
  <c r="BJ79" i="3"/>
  <c r="BJ78" i="3"/>
  <c r="BJ77" i="3"/>
  <c r="BJ82" i="3"/>
  <c r="BJ17" i="3"/>
  <c r="BO83" i="3"/>
  <c r="BO82" i="3"/>
  <c r="BO81" i="3"/>
  <c r="BO80" i="3"/>
  <c r="BO78" i="3"/>
  <c r="BO79" i="3"/>
  <c r="BO77" i="3"/>
  <c r="BO17" i="3"/>
  <c r="BT84" i="3"/>
  <c r="BT82" i="3"/>
  <c r="BT83" i="3"/>
  <c r="BT81" i="3"/>
  <c r="BT80" i="3"/>
  <c r="BT78" i="3"/>
  <c r="BT77" i="3"/>
  <c r="BT17" i="3"/>
  <c r="BY87" i="3" s="1"/>
  <c r="BY83" i="3"/>
  <c r="BY84" i="3"/>
  <c r="BY82" i="3"/>
  <c r="BY81" i="3"/>
  <c r="BY80" i="3"/>
  <c r="BY78" i="3"/>
  <c r="BY77" i="3"/>
  <c r="CD83" i="3"/>
  <c r="CD84" i="3"/>
  <c r="CD82" i="3"/>
  <c r="CD81" i="3"/>
  <c r="CD80" i="3"/>
  <c r="CD78" i="3"/>
  <c r="CD77" i="3"/>
  <c r="CI83" i="3"/>
  <c r="CI84" i="3"/>
  <c r="CI82" i="3"/>
  <c r="CI81" i="3"/>
  <c r="CI80" i="3"/>
  <c r="CI78" i="3"/>
  <c r="CI77" i="3"/>
  <c r="K104" i="3"/>
  <c r="K107" i="3" s="1"/>
  <c r="K86" i="3"/>
  <c r="K91" i="3"/>
  <c r="K78" i="3"/>
  <c r="P90" i="3"/>
  <c r="P77" i="3"/>
  <c r="U10" i="3"/>
  <c r="Z89" i="3"/>
  <c r="Z76" i="3"/>
  <c r="AE86" i="3"/>
  <c r="AE91" i="3"/>
  <c r="AE78" i="3"/>
  <c r="J80" i="3"/>
  <c r="O80" i="3"/>
  <c r="T80" i="3"/>
  <c r="Y80" i="3"/>
  <c r="AD80" i="3"/>
  <c r="BQ92" i="3"/>
  <c r="BQ79" i="3"/>
  <c r="BV92" i="3"/>
  <c r="BV79" i="3"/>
  <c r="CA92" i="3"/>
  <c r="CA79" i="3"/>
  <c r="CK92" i="3"/>
  <c r="CF92" i="3"/>
  <c r="CF79" i="3"/>
  <c r="AJ89" i="3"/>
  <c r="AJ76" i="3"/>
  <c r="AJ13" i="3"/>
  <c r="AO10" i="3"/>
  <c r="AO80" i="3"/>
  <c r="AT90" i="3"/>
  <c r="AT77" i="3"/>
  <c r="AY91" i="3"/>
  <c r="AY78" i="3"/>
  <c r="BD89" i="3"/>
  <c r="BD76" i="3"/>
  <c r="BD92" i="3"/>
  <c r="BI10" i="3"/>
  <c r="BI80" i="3"/>
  <c r="BN90" i="3"/>
  <c r="BN77" i="3"/>
  <c r="BS91" i="3"/>
  <c r="BS78" i="3"/>
  <c r="AO81" i="3"/>
  <c r="F17" i="3"/>
  <c r="G82" i="3"/>
  <c r="G52" i="3"/>
  <c r="M82" i="3"/>
  <c r="M52" i="3"/>
  <c r="R82" i="3"/>
  <c r="R52" i="3"/>
  <c r="W82" i="3"/>
  <c r="W52" i="3"/>
  <c r="AF17" i="3"/>
  <c r="AR17" i="3"/>
  <c r="BG17" i="3"/>
  <c r="BM17" i="3"/>
  <c r="BV17" i="3"/>
  <c r="CB17" i="3"/>
  <c r="CI17" i="3"/>
  <c r="AD82" i="3"/>
  <c r="AD52" i="3"/>
  <c r="AH82" i="3"/>
  <c r="AH52" i="3"/>
  <c r="AM82" i="3"/>
  <c r="AM52" i="3"/>
  <c r="AQ82" i="3"/>
  <c r="AQ52" i="3"/>
  <c r="AU82" i="3"/>
  <c r="AU52" i="3"/>
  <c r="AY52" i="3" s="1"/>
  <c r="AZ19" i="3"/>
  <c r="CM10" i="3"/>
  <c r="CM17" i="3" s="1"/>
  <c r="CM81" i="3"/>
  <c r="U18" i="3"/>
  <c r="U82" i="3" s="1"/>
  <c r="BN81" i="3"/>
  <c r="BX13" i="3"/>
  <c r="CH89" i="3"/>
  <c r="CH76" i="3"/>
  <c r="CH10" i="3"/>
  <c r="CH17" i="3" s="1"/>
  <c r="Q41" i="3"/>
  <c r="U38" i="3"/>
  <c r="U41" i="3" s="1"/>
  <c r="J83" i="3"/>
  <c r="J81" i="3"/>
  <c r="J78" i="3"/>
  <c r="J77" i="3"/>
  <c r="Y83" i="3"/>
  <c r="Y81" i="3"/>
  <c r="Y77" i="3"/>
  <c r="Y78" i="3"/>
  <c r="AN83" i="3"/>
  <c r="AN81" i="3"/>
  <c r="AN80" i="3"/>
  <c r="AN78" i="3"/>
  <c r="AN77" i="3"/>
  <c r="AN79" i="3"/>
  <c r="BH82" i="3"/>
  <c r="BH83" i="3"/>
  <c r="BH81" i="3"/>
  <c r="BH80" i="3"/>
  <c r="BH78" i="3"/>
  <c r="BH77" i="3"/>
  <c r="BW83" i="3"/>
  <c r="BW84" i="3"/>
  <c r="BW82" i="3"/>
  <c r="BW81" i="3"/>
  <c r="BW80" i="3"/>
  <c r="BW78" i="3"/>
  <c r="BW77" i="3"/>
  <c r="K90" i="3"/>
  <c r="K77" i="3"/>
  <c r="Z104" i="3"/>
  <c r="Z107" i="3" s="1"/>
  <c r="Z86" i="3"/>
  <c r="K92" i="3"/>
  <c r="K79" i="3"/>
  <c r="Z92" i="3"/>
  <c r="Z79" i="3"/>
  <c r="BU92" i="3"/>
  <c r="BU79" i="3"/>
  <c r="AO89" i="3"/>
  <c r="AO76" i="3"/>
  <c r="AT80" i="3"/>
  <c r="BD91" i="3"/>
  <c r="BI13" i="3"/>
  <c r="BN92" i="3" s="1"/>
  <c r="BS90" i="3"/>
  <c r="BS77" i="3"/>
  <c r="J82" i="3"/>
  <c r="J52" i="3"/>
  <c r="Q87" i="3"/>
  <c r="Q49" i="3"/>
  <c r="Q19" i="3"/>
  <c r="V19" i="3"/>
  <c r="AQ87" i="3"/>
  <c r="AQ49" i="3"/>
  <c r="BF111" i="3"/>
  <c r="BF87" i="3"/>
  <c r="BF49" i="3"/>
  <c r="BR17" i="3"/>
  <c r="AP82" i="3"/>
  <c r="AP52" i="3"/>
  <c r="CM80" i="3"/>
  <c r="P38" i="3"/>
  <c r="P41" i="3" s="1"/>
  <c r="L41" i="3"/>
  <c r="D83" i="3"/>
  <c r="D81" i="3"/>
  <c r="D80" i="3"/>
  <c r="D79" i="3"/>
  <c r="D77" i="3"/>
  <c r="D78" i="3"/>
  <c r="H83" i="3"/>
  <c r="H81" i="3"/>
  <c r="H80" i="3"/>
  <c r="H78" i="3"/>
  <c r="H77" i="3"/>
  <c r="H79" i="3"/>
  <c r="M81" i="3"/>
  <c r="M80" i="3"/>
  <c r="M79" i="3"/>
  <c r="M83" i="3"/>
  <c r="M78" i="3"/>
  <c r="M77" i="3"/>
  <c r="R83" i="3"/>
  <c r="R81" i="3"/>
  <c r="R80" i="3"/>
  <c r="R79" i="3"/>
  <c r="R78" i="3"/>
  <c r="R77" i="3"/>
  <c r="W83" i="3"/>
  <c r="W81" i="3"/>
  <c r="W80" i="3"/>
  <c r="W78" i="3"/>
  <c r="W77" i="3"/>
  <c r="W79" i="3"/>
  <c r="AB83" i="3"/>
  <c r="AB81" i="3"/>
  <c r="AB80" i="3"/>
  <c r="AB79" i="3"/>
  <c r="AB78" i="3"/>
  <c r="AB77" i="3"/>
  <c r="AG83" i="3"/>
  <c r="AG81" i="3"/>
  <c r="AG80" i="3"/>
  <c r="AG79" i="3"/>
  <c r="AG78" i="3"/>
  <c r="AG77" i="3"/>
  <c r="AL83" i="3"/>
  <c r="AL81" i="3"/>
  <c r="AL80" i="3"/>
  <c r="AL79" i="3"/>
  <c r="AL78" i="3"/>
  <c r="AL77" i="3"/>
  <c r="AQ83" i="3"/>
  <c r="AQ81" i="3"/>
  <c r="AQ80" i="3"/>
  <c r="AQ79" i="3"/>
  <c r="AQ78" i="3"/>
  <c r="AQ77" i="3"/>
  <c r="AV82" i="3"/>
  <c r="AV83" i="3"/>
  <c r="AV81" i="3"/>
  <c r="AV80" i="3"/>
  <c r="AV79" i="3"/>
  <c r="AV78" i="3"/>
  <c r="AV77" i="3"/>
  <c r="BA83" i="3"/>
  <c r="BA81" i="3"/>
  <c r="BA80" i="3"/>
  <c r="BA79" i="3"/>
  <c r="BA82" i="3"/>
  <c r="BA78" i="3"/>
  <c r="BA77" i="3"/>
  <c r="BF83" i="3"/>
  <c r="BF81" i="3"/>
  <c r="BF80" i="3"/>
  <c r="BF79" i="3"/>
  <c r="BF78" i="3"/>
  <c r="BF77" i="3"/>
  <c r="BF82" i="3"/>
  <c r="BK83" i="3"/>
  <c r="BK82" i="3"/>
  <c r="BK81" i="3"/>
  <c r="BK80" i="3"/>
  <c r="BK77" i="3"/>
  <c r="BK79" i="3"/>
  <c r="BK78" i="3"/>
  <c r="BP82" i="3"/>
  <c r="BP83" i="3"/>
  <c r="BP81" i="3"/>
  <c r="BP80" i="3"/>
  <c r="BP79" i="3"/>
  <c r="BP77" i="3"/>
  <c r="BP78" i="3"/>
  <c r="BU83" i="3"/>
  <c r="BU84" i="3"/>
  <c r="BU81" i="3"/>
  <c r="BU80" i="3"/>
  <c r="BU78" i="3"/>
  <c r="BU77" i="3"/>
  <c r="BU17" i="3"/>
  <c r="BZ83" i="3"/>
  <c r="BZ84" i="3"/>
  <c r="BZ81" i="3"/>
  <c r="BZ80" i="3"/>
  <c r="BZ78" i="3"/>
  <c r="BZ77" i="3"/>
  <c r="BZ82" i="3"/>
  <c r="BZ17" i="3"/>
  <c r="CE83" i="3"/>
  <c r="CE84" i="3"/>
  <c r="CE82" i="3"/>
  <c r="CE81" i="3"/>
  <c r="CE80" i="3"/>
  <c r="CE77" i="3"/>
  <c r="CE78" i="3"/>
  <c r="CE17" i="3"/>
  <c r="CJ84" i="3"/>
  <c r="CJ82" i="3"/>
  <c r="CJ83" i="3"/>
  <c r="CJ81" i="3"/>
  <c r="CJ80" i="3"/>
  <c r="CJ78" i="3"/>
  <c r="CJ77" i="3"/>
  <c r="CJ79" i="3"/>
  <c r="CJ17" i="3"/>
  <c r="K89" i="3"/>
  <c r="K76" i="3"/>
  <c r="P104" i="3"/>
  <c r="P107" i="3" s="1"/>
  <c r="P86" i="3"/>
  <c r="P91" i="3"/>
  <c r="P78" i="3"/>
  <c r="U90" i="3"/>
  <c r="U77" i="3"/>
  <c r="Z10" i="3"/>
  <c r="Z78" i="3" s="1"/>
  <c r="AE89" i="3"/>
  <c r="AE76" i="3"/>
  <c r="F92" i="3"/>
  <c r="E92" i="3"/>
  <c r="E79" i="3"/>
  <c r="K14" i="3"/>
  <c r="K80" i="3" s="1"/>
  <c r="P14" i="3"/>
  <c r="P80" i="3" s="1"/>
  <c r="U14" i="3"/>
  <c r="U80" i="3" s="1"/>
  <c r="Z14" i="3"/>
  <c r="Z80" i="3" s="1"/>
  <c r="AE14" i="3"/>
  <c r="AE80" i="3" s="1"/>
  <c r="BR92" i="3"/>
  <c r="BR79" i="3"/>
  <c r="BW92" i="3"/>
  <c r="BW79" i="3"/>
  <c r="CB92" i="3"/>
  <c r="CB79" i="3"/>
  <c r="CL92" i="3"/>
  <c r="CG92" i="3"/>
  <c r="CG79" i="3"/>
  <c r="AJ10" i="3"/>
  <c r="AJ78" i="3" s="1"/>
  <c r="AJ80" i="3"/>
  <c r="AO90" i="3"/>
  <c r="AO77" i="3"/>
  <c r="AT86" i="3"/>
  <c r="AT91" i="3"/>
  <c r="AT78" i="3"/>
  <c r="AY89" i="3"/>
  <c r="AY76" i="3"/>
  <c r="AY92" i="3"/>
  <c r="AY79" i="3"/>
  <c r="BD10" i="3"/>
  <c r="BD17" i="3" s="1"/>
  <c r="BI90" i="3"/>
  <c r="BI77" i="3"/>
  <c r="BN86" i="3"/>
  <c r="BN91" i="3"/>
  <c r="BN78" i="3"/>
  <c r="BS89" i="3"/>
  <c r="BS76" i="3"/>
  <c r="BS13" i="3"/>
  <c r="AT81" i="3"/>
  <c r="G17" i="3"/>
  <c r="L87" i="3" s="1"/>
  <c r="D82" i="3"/>
  <c r="D52" i="3"/>
  <c r="H82" i="3"/>
  <c r="H52" i="3"/>
  <c r="E19" i="3"/>
  <c r="I19" i="3"/>
  <c r="N17" i="3"/>
  <c r="N82" i="3"/>
  <c r="S17" i="3"/>
  <c r="S82" i="3"/>
  <c r="S52" i="3"/>
  <c r="X17" i="3"/>
  <c r="X82" i="3"/>
  <c r="X52" i="3"/>
  <c r="AC17" i="3"/>
  <c r="AG17" i="3"/>
  <c r="AL87" i="3" s="1"/>
  <c r="AK17" i="3"/>
  <c r="AS17" i="3"/>
  <c r="AW17" i="3"/>
  <c r="BB17" i="3"/>
  <c r="BH17" i="3"/>
  <c r="BP17" i="3"/>
  <c r="BW17" i="3"/>
  <c r="CD17" i="3"/>
  <c r="CK17" i="3"/>
  <c r="AA82" i="3"/>
  <c r="AA52" i="3"/>
  <c r="AE18" i="3"/>
  <c r="AE82" i="3" s="1"/>
  <c r="AI82" i="3"/>
  <c r="AI52" i="3"/>
  <c r="BU82" i="3"/>
  <c r="BU52" i="3"/>
  <c r="BX52" i="3" s="1"/>
  <c r="BX18" i="3"/>
  <c r="BX82" i="3" s="1"/>
  <c r="AU19" i="3"/>
  <c r="K81" i="3"/>
  <c r="CM82" i="3"/>
  <c r="P81" i="3"/>
  <c r="BD81" i="3"/>
  <c r="BS82" i="3"/>
  <c r="BX89" i="3"/>
  <c r="BX76" i="3"/>
  <c r="BX10" i="3"/>
  <c r="BX17" i="3" s="1"/>
  <c r="K38" i="3"/>
  <c r="K41" i="3" s="1"/>
  <c r="G41" i="3"/>
  <c r="V41" i="3"/>
  <c r="Z38" i="3"/>
  <c r="CO61" i="3"/>
  <c r="CP61" i="3" s="1"/>
  <c r="CQ61" i="3" s="1"/>
  <c r="CS61" i="3" s="1"/>
  <c r="CT61" i="3" s="1"/>
  <c r="CU61" i="3" s="1"/>
  <c r="CV61" i="3" s="1"/>
  <c r="CX61" i="3" s="1"/>
  <c r="CY61" i="3" s="1"/>
  <c r="CZ61" i="3" s="1"/>
  <c r="DA61" i="3" s="1"/>
  <c r="CN58" i="3"/>
  <c r="CM89" i="3"/>
  <c r="CM76" i="3"/>
  <c r="CM84" i="3"/>
  <c r="BX80" i="3"/>
  <c r="CC91" i="3"/>
  <c r="CC81" i="3"/>
  <c r="P31" i="3"/>
  <c r="U81" i="3"/>
  <c r="U83" i="3"/>
  <c r="AY81" i="3"/>
  <c r="AY83" i="3"/>
  <c r="BD82" i="3"/>
  <c r="BI81" i="3"/>
  <c r="BI83" i="3"/>
  <c r="BN82" i="3"/>
  <c r="BS81" i="3"/>
  <c r="BS83" i="3"/>
  <c r="BX90" i="3"/>
  <c r="BX77" i="3"/>
  <c r="CC89" i="3"/>
  <c r="CC76" i="3"/>
  <c r="CH90" i="3"/>
  <c r="U31" i="3"/>
  <c r="Z31" i="3"/>
  <c r="AA38" i="3"/>
  <c r="AE31" i="3"/>
  <c r="AF38" i="3"/>
  <c r="AJ31" i="3"/>
  <c r="AK38" i="3"/>
  <c r="AO31" i="3"/>
  <c r="AP38" i="3"/>
  <c r="AT31" i="3"/>
  <c r="AU38" i="3"/>
  <c r="AY31" i="3"/>
  <c r="AZ38" i="3"/>
  <c r="BD31" i="3"/>
  <c r="BE38" i="3"/>
  <c r="BI31" i="3"/>
  <c r="BJ41" i="3"/>
  <c r="BN38" i="3"/>
  <c r="BO41" i="3"/>
  <c r="BS38" i="3"/>
  <c r="BS41" i="3" s="1"/>
  <c r="CH38" i="3"/>
  <c r="CH41" i="3" s="1"/>
  <c r="CD41" i="3"/>
  <c r="CI41" i="3"/>
  <c r="CM38" i="3"/>
  <c r="CM41" i="3" s="1"/>
  <c r="CW38" i="3"/>
  <c r="CW41" i="3" s="1"/>
  <c r="DB38" i="3"/>
  <c r="DB41" i="3" s="1"/>
  <c r="BN31" i="3"/>
  <c r="BX31" i="3"/>
  <c r="CH31" i="3"/>
  <c r="CR31" i="3"/>
  <c r="DB31" i="3"/>
  <c r="Y39" i="3"/>
  <c r="Y41" i="3" s="1"/>
  <c r="BN39" i="3"/>
  <c r="AB82" i="3"/>
  <c r="AB52" i="3"/>
  <c r="AF82" i="3"/>
  <c r="AF52" i="3"/>
  <c r="AJ18" i="3"/>
  <c r="AJ82" i="3" s="1"/>
  <c r="AN82" i="3"/>
  <c r="AN52" i="3"/>
  <c r="AR82" i="3"/>
  <c r="AR52" i="3"/>
  <c r="CM90" i="3"/>
  <c r="CM77" i="3"/>
  <c r="BX86" i="3"/>
  <c r="BX91" i="3"/>
  <c r="BX78" i="3"/>
  <c r="BX81" i="3"/>
  <c r="BX83" i="3"/>
  <c r="CC10" i="3"/>
  <c r="CC17" i="3" s="1"/>
  <c r="CC80" i="3"/>
  <c r="CC82" i="3"/>
  <c r="CH86" i="3"/>
  <c r="CH91" i="3"/>
  <c r="CH78" i="3"/>
  <c r="K31" i="3"/>
  <c r="CR38" i="3"/>
  <c r="CR41" i="3" s="1"/>
  <c r="BX38" i="3"/>
  <c r="BX41" i="3" s="1"/>
  <c r="CE41" i="3"/>
  <c r="AG61" i="3"/>
  <c r="AH61" i="3" s="1"/>
  <c r="CA41" i="3"/>
  <c r="BN52" i="3"/>
  <c r="BW41" i="3"/>
  <c r="AY63" i="3"/>
  <c r="BS52" i="3"/>
  <c r="AO53" i="3"/>
  <c r="AT53" i="3"/>
  <c r="CC53" i="3"/>
  <c r="CH53" i="3"/>
  <c r="CR53" i="3"/>
  <c r="U63" i="3"/>
  <c r="J96" i="3"/>
  <c r="AD96" i="3"/>
  <c r="AL96" i="3"/>
  <c r="BB96" i="3"/>
  <c r="BF96" i="3"/>
  <c r="S96" i="3"/>
  <c r="W96" i="3"/>
  <c r="AM96" i="3"/>
  <c r="AQ96" i="3"/>
  <c r="AQ39" i="3" s="1"/>
  <c r="AT39" i="3" s="1"/>
  <c r="BG96" i="3"/>
  <c r="X96" i="3"/>
  <c r="AR96" i="3"/>
  <c r="BU11" i="34" l="1"/>
  <c r="BP11" i="34"/>
  <c r="CC157" i="34"/>
  <c r="BY23" i="34"/>
  <c r="BO189" i="34"/>
  <c r="BP184" i="34"/>
  <c r="BQ197" i="34"/>
  <c r="BR192" i="34"/>
  <c r="CW165" i="34"/>
  <c r="CS165" i="34"/>
  <c r="CS168" i="34" s="1"/>
  <c r="CT165" i="34" s="1"/>
  <c r="CT168" i="34" s="1"/>
  <c r="CU165" i="34" s="1"/>
  <c r="CU168" i="34" s="1"/>
  <c r="CV165" i="34" s="1"/>
  <c r="CV168" i="34" s="1"/>
  <c r="CW168" i="34" s="1"/>
  <c r="CW155" i="34"/>
  <c r="CS155" i="34"/>
  <c r="CS158" i="34" s="1"/>
  <c r="CT155" i="34" s="1"/>
  <c r="CT158" i="34" s="1"/>
  <c r="CU155" i="34" s="1"/>
  <c r="CU158" i="34" s="1"/>
  <c r="CV155" i="34" s="1"/>
  <c r="CV158" i="34" s="1"/>
  <c r="CW158" i="34" s="1"/>
  <c r="BQ112" i="34"/>
  <c r="CS113" i="34"/>
  <c r="CS116" i="34" s="1"/>
  <c r="CT113" i="34" s="1"/>
  <c r="CT116" i="34" s="1"/>
  <c r="CU113" i="34" s="1"/>
  <c r="CU116" i="34" s="1"/>
  <c r="CV113" i="34" s="1"/>
  <c r="CV116" i="34" s="1"/>
  <c r="CW116" i="34" s="1"/>
  <c r="CW113" i="34"/>
  <c r="BP113" i="34"/>
  <c r="BP116" i="34" s="1"/>
  <c r="BO23" i="34"/>
  <c r="BO19" i="34"/>
  <c r="CW101" i="34"/>
  <c r="CS101" i="34"/>
  <c r="CS104" i="34" s="1"/>
  <c r="CT101" i="34" s="1"/>
  <c r="CT104" i="34" s="1"/>
  <c r="CU101" i="34" s="1"/>
  <c r="CU104" i="34" s="1"/>
  <c r="CV101" i="34" s="1"/>
  <c r="CV104" i="34" s="1"/>
  <c r="CW104" i="34" s="1"/>
  <c r="CO94" i="34"/>
  <c r="BK22" i="34"/>
  <c r="BW37" i="34"/>
  <c r="BX32" i="34"/>
  <c r="BU39" i="34"/>
  <c r="CF53" i="34"/>
  <c r="CK52" i="34"/>
  <c r="CL47" i="34"/>
  <c r="CL50" i="34" s="1"/>
  <c r="CK51" i="34"/>
  <c r="CK53" i="34" s="1"/>
  <c r="BR37" i="34"/>
  <c r="BS32" i="34"/>
  <c r="CF39" i="34"/>
  <c r="BT22" i="34"/>
  <c r="CN175" i="34"/>
  <c r="CN178" i="34" s="1"/>
  <c r="CO175" i="34" s="1"/>
  <c r="CO178" i="34" s="1"/>
  <c r="CP175" i="34" s="1"/>
  <c r="CP178" i="34" s="1"/>
  <c r="CQ175" i="34" s="1"/>
  <c r="CQ178" i="34" s="1"/>
  <c r="CR178" i="34" s="1"/>
  <c r="CR175" i="34"/>
  <c r="BP134" i="34"/>
  <c r="BO139" i="34"/>
  <c r="BO149" i="34"/>
  <c r="BP144" i="34"/>
  <c r="CW135" i="34"/>
  <c r="CS135" i="34"/>
  <c r="CS138" i="34" s="1"/>
  <c r="CT135" i="34" s="1"/>
  <c r="CT138" i="34" s="1"/>
  <c r="CU135" i="34" s="1"/>
  <c r="CU138" i="34" s="1"/>
  <c r="CV135" i="34" s="1"/>
  <c r="CV138" i="34" s="1"/>
  <c r="CW138" i="34" s="1"/>
  <c r="CH125" i="34"/>
  <c r="CD23" i="34"/>
  <c r="BS22" i="34"/>
  <c r="BO105" i="34"/>
  <c r="BP100" i="34"/>
  <c r="BS33" i="34"/>
  <c r="BN19" i="34"/>
  <c r="BT79" i="34"/>
  <c r="BT81" i="34" s="1"/>
  <c r="BU74" i="34"/>
  <c r="CG77" i="34"/>
  <c r="CH77" i="34" s="1"/>
  <c r="CG80" i="34"/>
  <c r="CH80" i="34" s="1"/>
  <c r="BY61" i="34"/>
  <c r="BY64" i="34" s="1"/>
  <c r="BX64" i="34"/>
  <c r="BW23" i="34"/>
  <c r="BW19" i="34"/>
  <c r="CG52" i="34"/>
  <c r="CH52" i="34" s="1"/>
  <c r="CG49" i="34"/>
  <c r="CG23" i="34" s="1"/>
  <c r="BQ39" i="34"/>
  <c r="BX49" i="34"/>
  <c r="BX22" i="34" s="1"/>
  <c r="BM39" i="34"/>
  <c r="BY34" i="34"/>
  <c r="BY38" i="34"/>
  <c r="CC38" i="34" s="1"/>
  <c r="CS193" i="34"/>
  <c r="CS196" i="34" s="1"/>
  <c r="CT193" i="34" s="1"/>
  <c r="CT196" i="34" s="1"/>
  <c r="CU193" i="34" s="1"/>
  <c r="CU196" i="34" s="1"/>
  <c r="CV193" i="34" s="1"/>
  <c r="CV196" i="34" s="1"/>
  <c r="CW196" i="34" s="1"/>
  <c r="CW193" i="34"/>
  <c r="CL179" i="34"/>
  <c r="CN174" i="34"/>
  <c r="CW185" i="34"/>
  <c r="CS185" i="34"/>
  <c r="CS188" i="34" s="1"/>
  <c r="CT185" i="34" s="1"/>
  <c r="CT188" i="34" s="1"/>
  <c r="CU185" i="34" s="1"/>
  <c r="CU188" i="34" s="1"/>
  <c r="CV185" i="34" s="1"/>
  <c r="CV188" i="34" s="1"/>
  <c r="CW188" i="34" s="1"/>
  <c r="CL169" i="34"/>
  <c r="CM169" i="34" s="1"/>
  <c r="CN164" i="34"/>
  <c r="CK179" i="34"/>
  <c r="CM179" i="34" s="1"/>
  <c r="BL22" i="34"/>
  <c r="CP94" i="34"/>
  <c r="CR94" i="34" s="1"/>
  <c r="CC77" i="34"/>
  <c r="DA32" i="34"/>
  <c r="BX77" i="34"/>
  <c r="BO65" i="34"/>
  <c r="BO67" i="34" s="1"/>
  <c r="BP60" i="34"/>
  <c r="BD22" i="34"/>
  <c r="CK61" i="34"/>
  <c r="CK64" i="34" s="1"/>
  <c r="BN51" i="34"/>
  <c r="BO53" i="34" s="1"/>
  <c r="BM53" i="34"/>
  <c r="CN37" i="34"/>
  <c r="CN39" i="34" s="1"/>
  <c r="CO33" i="34"/>
  <c r="CO36" i="34" s="1"/>
  <c r="CB39" i="34"/>
  <c r="BI33" i="34"/>
  <c r="BD37" i="34"/>
  <c r="BD19" i="34"/>
  <c r="CN38" i="34"/>
  <c r="CM63" i="34"/>
  <c r="CP21" i="34"/>
  <c r="CO24" i="8"/>
  <c r="CM166" i="34"/>
  <c r="CM22" i="34" s="1"/>
  <c r="CI22" i="34"/>
  <c r="BV159" i="34"/>
  <c r="BW154" i="34"/>
  <c r="BZ122" i="34"/>
  <c r="BY127" i="34"/>
  <c r="BN103" i="34"/>
  <c r="BN22" i="34" s="1"/>
  <c r="BJ22" i="34"/>
  <c r="BY93" i="34"/>
  <c r="BY95" i="34" s="1"/>
  <c r="BZ88" i="34"/>
  <c r="BO117" i="34"/>
  <c r="CS89" i="34"/>
  <c r="CS92" i="34" s="1"/>
  <c r="CR92" i="34"/>
  <c r="CW89" i="34" s="1"/>
  <c r="CW32" i="34"/>
  <c r="CE23" i="34"/>
  <c r="CH49" i="34"/>
  <c r="CJ77" i="34"/>
  <c r="CJ83" i="34" s="1"/>
  <c r="CJ97" i="34" s="1"/>
  <c r="CJ107" i="34" s="1"/>
  <c r="CJ119" i="34" s="1"/>
  <c r="CJ129" i="34" s="1"/>
  <c r="CJ141" i="34" s="1"/>
  <c r="CJ151" i="34" s="1"/>
  <c r="CJ161" i="34" s="1"/>
  <c r="CJ171" i="34" s="1"/>
  <c r="CJ181" i="34" s="1"/>
  <c r="CJ199" i="34" s="1"/>
  <c r="BI81" i="37"/>
  <c r="BT64" i="37"/>
  <c r="BT65" i="37" s="1"/>
  <c r="BT62" i="37"/>
  <c r="BT63" i="37" s="1"/>
  <c r="BT61" i="37"/>
  <c r="BX58" i="37"/>
  <c r="BT60" i="37"/>
  <c r="BT59" i="37"/>
  <c r="AF65" i="37"/>
  <c r="AE64" i="37"/>
  <c r="AE65" i="37" s="1"/>
  <c r="AE62" i="37"/>
  <c r="AE63" i="37" s="1"/>
  <c r="AE61" i="37"/>
  <c r="AE60" i="37"/>
  <c r="AE59" i="37"/>
  <c r="AW63" i="37"/>
  <c r="K38" i="37"/>
  <c r="T84" i="37"/>
  <c r="AY84" i="37"/>
  <c r="AI84" i="37"/>
  <c r="AL84" i="37"/>
  <c r="AD81" i="37"/>
  <c r="N84" i="37"/>
  <c r="BU84" i="37"/>
  <c r="CG81" i="37"/>
  <c r="BY84" i="37"/>
  <c r="CK81" i="37"/>
  <c r="BI84" i="37"/>
  <c r="BE84" i="37"/>
  <c r="BA81" i="37"/>
  <c r="AS81" i="37"/>
  <c r="AC84" i="37"/>
  <c r="M81" i="37"/>
  <c r="CB72" i="37"/>
  <c r="BD72" i="37"/>
  <c r="AN74" i="37"/>
  <c r="AF74" i="37"/>
  <c r="P74" i="37"/>
  <c r="BC72" i="37"/>
  <c r="CE74" i="37"/>
  <c r="AI72" i="37"/>
  <c r="R72" i="37"/>
  <c r="N74" i="37"/>
  <c r="CG74" i="37"/>
  <c r="BY72" i="37"/>
  <c r="AK72" i="37"/>
  <c r="AG72" i="37"/>
  <c r="AC72" i="37"/>
  <c r="Y72" i="37"/>
  <c r="U74" i="37"/>
  <c r="BG54" i="37"/>
  <c r="AX54" i="37"/>
  <c r="R54" i="37"/>
  <c r="CE56" i="37"/>
  <c r="S56" i="37"/>
  <c r="CF54" i="37"/>
  <c r="BX55" i="37"/>
  <c r="BX53" i="37"/>
  <c r="BX52" i="37"/>
  <c r="BX50" i="37"/>
  <c r="BX51" i="37"/>
  <c r="N45" i="37"/>
  <c r="BL54" i="37"/>
  <c r="BW56" i="37"/>
  <c r="BC45" i="37"/>
  <c r="W45" i="37"/>
  <c r="CJ56" i="37"/>
  <c r="BG45" i="37"/>
  <c r="AA45" i="37"/>
  <c r="CK47" i="37"/>
  <c r="CG47" i="37"/>
  <c r="BY45" i="37"/>
  <c r="BA45" i="37"/>
  <c r="AC47" i="37"/>
  <c r="M47" i="37"/>
  <c r="BW45" i="37"/>
  <c r="AX38" i="37"/>
  <c r="AH38" i="37"/>
  <c r="R38" i="37"/>
  <c r="AB29" i="37"/>
  <c r="BP62" i="37"/>
  <c r="BP63" i="37" s="1"/>
  <c r="BP61" i="37"/>
  <c r="BP64" i="37"/>
  <c r="BP65" i="37" s="1"/>
  <c r="BP60" i="37"/>
  <c r="BP59" i="37"/>
  <c r="AR65" i="37"/>
  <c r="X63" i="37"/>
  <c r="BU72" i="37"/>
  <c r="BC74" i="37"/>
  <c r="AM74" i="37"/>
  <c r="W74" i="37"/>
  <c r="T62" i="37"/>
  <c r="T64" i="37"/>
  <c r="T61" i="37"/>
  <c r="T59" i="37"/>
  <c r="T60" i="37"/>
  <c r="BF45" i="37"/>
  <c r="CT40" i="37"/>
  <c r="CO14" i="3"/>
  <c r="CR14" i="3" s="1"/>
  <c r="CJ45" i="37"/>
  <c r="AV47" i="37"/>
  <c r="AR45" i="37"/>
  <c r="AF45" i="37"/>
  <c r="CE27" i="37"/>
  <c r="BK27" i="37"/>
  <c r="AU27" i="37"/>
  <c r="AE27" i="37"/>
  <c r="O27" i="37"/>
  <c r="CM64" i="37"/>
  <c r="CM65" i="37" s="1"/>
  <c r="CM62" i="37"/>
  <c r="CM61" i="37"/>
  <c r="CM60" i="37"/>
  <c r="CM59" i="37"/>
  <c r="CI63" i="37"/>
  <c r="BW65" i="37"/>
  <c r="BK64" i="37"/>
  <c r="BK65" i="37" s="1"/>
  <c r="BK62" i="37"/>
  <c r="BK63" i="37" s="1"/>
  <c r="BK61" i="37"/>
  <c r="BK60" i="37"/>
  <c r="BK59" i="37"/>
  <c r="AQ64" i="37"/>
  <c r="AQ65" i="37" s="1"/>
  <c r="AQ62" i="37"/>
  <c r="AQ63" i="37" s="1"/>
  <c r="AQ61" i="37"/>
  <c r="AQ60" i="37"/>
  <c r="AQ59" i="37"/>
  <c r="AA64" i="37"/>
  <c r="AA65" i="37" s="1"/>
  <c r="AA62" i="37"/>
  <c r="AA63" i="37" s="1"/>
  <c r="AA61" i="37"/>
  <c r="AA60" i="37"/>
  <c r="AA59" i="37"/>
  <c r="K64" i="37"/>
  <c r="K65" i="37" s="1"/>
  <c r="K62" i="37"/>
  <c r="K61" i="37"/>
  <c r="K60" i="37"/>
  <c r="K59" i="37"/>
  <c r="BG56" i="37"/>
  <c r="AQ56" i="37"/>
  <c r="AA56" i="37"/>
  <c r="K56" i="37"/>
  <c r="AZ45" i="37"/>
  <c r="CR40" i="37"/>
  <c r="BG47" i="37"/>
  <c r="AM47" i="37"/>
  <c r="CE36" i="37"/>
  <c r="CL29" i="37"/>
  <c r="AL27" i="37"/>
  <c r="CL63" i="37"/>
  <c r="CH64" i="37"/>
  <c r="CH62" i="37"/>
  <c r="CH60" i="37"/>
  <c r="CH59" i="37"/>
  <c r="CH61" i="37"/>
  <c r="BN28" i="37"/>
  <c r="BN29" i="37" s="1"/>
  <c r="BN26" i="37"/>
  <c r="BN27" i="37" s="1"/>
  <c r="BN25" i="37"/>
  <c r="BN24" i="37"/>
  <c r="BN23" i="37"/>
  <c r="BB63" i="37"/>
  <c r="J62" i="37"/>
  <c r="J64" i="37"/>
  <c r="J60" i="37"/>
  <c r="J61" i="37"/>
  <c r="BP38" i="37"/>
  <c r="Q29" i="37"/>
  <c r="Q27" i="37"/>
  <c r="BA65" i="37"/>
  <c r="AW65" i="37"/>
  <c r="AS63" i="37"/>
  <c r="AG63" i="37"/>
  <c r="AG65" i="37"/>
  <c r="AC63" i="37"/>
  <c r="Q63" i="37"/>
  <c r="Q65" i="37"/>
  <c r="CE38" i="37"/>
  <c r="CA45" i="37"/>
  <c r="AU72" i="37"/>
  <c r="AU36" i="37"/>
  <c r="BX37" i="37"/>
  <c r="BX38" i="37" s="1"/>
  <c r="BX35" i="37"/>
  <c r="BX36" i="37" s="1"/>
  <c r="BX34" i="37"/>
  <c r="BX32" i="37"/>
  <c r="BX33" i="37"/>
  <c r="M29" i="37"/>
  <c r="AC27" i="37"/>
  <c r="BK74" i="37"/>
  <c r="O74" i="37"/>
  <c r="BJ47" i="37"/>
  <c r="BW38" i="37"/>
  <c r="BU29" i="37"/>
  <c r="BU27" i="37"/>
  <c r="BF47" i="37"/>
  <c r="AT47" i="37"/>
  <c r="U29" i="37"/>
  <c r="AM81" i="37"/>
  <c r="AW56" i="37"/>
  <c r="AK27" i="37"/>
  <c r="AK29" i="37"/>
  <c r="BT81" i="37"/>
  <c r="AI56" i="37"/>
  <c r="BN37" i="37"/>
  <c r="BN38" i="37" s="1"/>
  <c r="BN35" i="37"/>
  <c r="BN36" i="37" s="1"/>
  <c r="BN34" i="37"/>
  <c r="BN33" i="37"/>
  <c r="BN32" i="37"/>
  <c r="CA54" i="37"/>
  <c r="BN41" i="37"/>
  <c r="BN44" i="37"/>
  <c r="BN45" i="37" s="1"/>
  <c r="BN43" i="37"/>
  <c r="BN42" i="37"/>
  <c r="BN46" i="37"/>
  <c r="BN47" i="37" s="1"/>
  <c r="T56" i="37"/>
  <c r="BD64" i="37"/>
  <c r="BD62" i="37"/>
  <c r="BD61" i="37"/>
  <c r="BD60" i="37"/>
  <c r="BD59" i="37"/>
  <c r="AU64" i="37"/>
  <c r="AU65" i="37" s="1"/>
  <c r="AU62" i="37"/>
  <c r="AU63" i="37" s="1"/>
  <c r="AU61" i="37"/>
  <c r="AU60" i="37"/>
  <c r="AU59" i="37"/>
  <c r="AY58" i="37"/>
  <c r="AZ59" i="37"/>
  <c r="BS32" i="37"/>
  <c r="AS27" i="37"/>
  <c r="BU65" i="37"/>
  <c r="CL45" i="37"/>
  <c r="CC28" i="37"/>
  <c r="CC29" i="37" s="1"/>
  <c r="CC26" i="37"/>
  <c r="CC25" i="37"/>
  <c r="CC24" i="37"/>
  <c r="CC23" i="37"/>
  <c r="CF84" i="37"/>
  <c r="BL81" i="37"/>
  <c r="AF81" i="37"/>
  <c r="X84" i="37"/>
  <c r="CM83" i="37"/>
  <c r="CM82" i="37"/>
  <c r="CM78" i="37"/>
  <c r="CM77" i="37"/>
  <c r="CM80" i="37"/>
  <c r="CM79" i="37"/>
  <c r="W84" i="37"/>
  <c r="CH83" i="37"/>
  <c r="CH84" i="37" s="1"/>
  <c r="CH82" i="37"/>
  <c r="CH80" i="37"/>
  <c r="CH79" i="37"/>
  <c r="CH78" i="37"/>
  <c r="CH77" i="37"/>
  <c r="BV81" i="37"/>
  <c r="AD84" i="37"/>
  <c r="AQ81" i="37"/>
  <c r="K81" i="37"/>
  <c r="BW81" i="37"/>
  <c r="BA84" i="37"/>
  <c r="AW81" i="37"/>
  <c r="AO84" i="37"/>
  <c r="AK81" i="37"/>
  <c r="Q81" i="37"/>
  <c r="K72" i="37"/>
  <c r="CB74" i="37"/>
  <c r="AJ72" i="37"/>
  <c r="CM73" i="37"/>
  <c r="CM74" i="37" s="1"/>
  <c r="CM71" i="37"/>
  <c r="CM72" i="37" s="1"/>
  <c r="CM70" i="37"/>
  <c r="CM68" i="37"/>
  <c r="CM69" i="37"/>
  <c r="S72" i="37"/>
  <c r="CH73" i="37"/>
  <c r="CH71" i="37"/>
  <c r="CH72" i="37" s="1"/>
  <c r="CH70" i="37"/>
  <c r="CH69" i="37"/>
  <c r="CH68" i="37"/>
  <c r="BR74" i="37"/>
  <c r="Z72" i="37"/>
  <c r="CC73" i="37"/>
  <c r="CC74" i="37" s="1"/>
  <c r="CC71" i="37"/>
  <c r="CC70" i="37"/>
  <c r="CC69" i="37"/>
  <c r="CC68" i="37"/>
  <c r="BY74" i="37"/>
  <c r="CK72" i="37"/>
  <c r="AW72" i="37"/>
  <c r="AS72" i="37"/>
  <c r="AO72" i="37"/>
  <c r="AK74" i="37"/>
  <c r="AC74" i="37"/>
  <c r="M72" i="37"/>
  <c r="BQ84" i="37"/>
  <c r="BQ74" i="37"/>
  <c r="AQ54" i="37"/>
  <c r="CM55" i="37"/>
  <c r="CM56" i="37" s="1"/>
  <c r="CM53" i="37"/>
  <c r="CM52" i="37"/>
  <c r="CM51" i="37"/>
  <c r="CM50" i="37"/>
  <c r="CD54" i="37"/>
  <c r="BJ54" i="37"/>
  <c r="CH55" i="37"/>
  <c r="CH53" i="37"/>
  <c r="CH54" i="37" s="1"/>
  <c r="CH52" i="37"/>
  <c r="CH51" i="37"/>
  <c r="CH50" i="37"/>
  <c r="BO56" i="37"/>
  <c r="Y54" i="37"/>
  <c r="CC53" i="37"/>
  <c r="CC54" i="37" s="1"/>
  <c r="CC52" i="37"/>
  <c r="CC51" i="37"/>
  <c r="CC50" i="37"/>
  <c r="CC55" i="37"/>
  <c r="AZ54" i="37"/>
  <c r="BT56" i="37"/>
  <c r="CV40" i="37"/>
  <c r="CQ14" i="3"/>
  <c r="CA47" i="37"/>
  <c r="BB36" i="37"/>
  <c r="AL36" i="37"/>
  <c r="V36" i="37"/>
  <c r="AV54" i="37"/>
  <c r="AX45" i="37"/>
  <c r="R45" i="37"/>
  <c r="CU40" i="37"/>
  <c r="CP14" i="3"/>
  <c r="AZ56" i="37"/>
  <c r="CC46" i="37"/>
  <c r="CC44" i="37"/>
  <c r="CC43" i="37"/>
  <c r="CC42" i="37"/>
  <c r="CC41" i="37"/>
  <c r="BU47" i="37"/>
  <c r="BI47" i="37"/>
  <c r="Q47" i="37"/>
  <c r="CB54" i="37"/>
  <c r="BR47" i="37"/>
  <c r="CF29" i="37"/>
  <c r="BL29" i="37"/>
  <c r="AR29" i="37"/>
  <c r="CB64" i="37"/>
  <c r="CB65" i="37" s="1"/>
  <c r="CB61" i="37"/>
  <c r="CB62" i="37"/>
  <c r="CB63" i="37" s="1"/>
  <c r="CB60" i="37"/>
  <c r="CB59" i="37"/>
  <c r="BL65" i="37"/>
  <c r="P63" i="37"/>
  <c r="H60" i="37"/>
  <c r="H61" i="37"/>
  <c r="H62" i="37"/>
  <c r="M63" i="37" s="1"/>
  <c r="H64" i="37"/>
  <c r="BU74" i="37"/>
  <c r="BZ47" i="37"/>
  <c r="BL45" i="37"/>
  <c r="BH45" i="37"/>
  <c r="AN45" i="37"/>
  <c r="AB45" i="37"/>
  <c r="P45" i="37"/>
  <c r="CI38" i="37"/>
  <c r="BM36" i="37"/>
  <c r="BE36" i="37"/>
  <c r="AO36" i="37"/>
  <c r="Y36" i="37"/>
  <c r="BS28" i="37"/>
  <c r="BS29" i="37" s="1"/>
  <c r="BS26" i="37"/>
  <c r="BS27" i="37" s="1"/>
  <c r="BS25" i="37"/>
  <c r="BS24" i="37"/>
  <c r="BS23" i="37"/>
  <c r="BG64" i="37"/>
  <c r="BG65" i="37" s="1"/>
  <c r="BG62" i="37"/>
  <c r="BG63" i="37" s="1"/>
  <c r="BG61" i="37"/>
  <c r="BG60" i="37"/>
  <c r="BG59" i="37"/>
  <c r="AM64" i="37"/>
  <c r="AM65" i="37" s="1"/>
  <c r="AM62" i="37"/>
  <c r="AM63" i="37" s="1"/>
  <c r="AM61" i="37"/>
  <c r="AM60" i="37"/>
  <c r="AM59" i="37"/>
  <c r="W64" i="37"/>
  <c r="W65" i="37" s="1"/>
  <c r="W62" i="37"/>
  <c r="W63" i="37" s="1"/>
  <c r="W61" i="37"/>
  <c r="W60" i="37"/>
  <c r="W59" i="37"/>
  <c r="BP54" i="37"/>
  <c r="BC54" i="37"/>
  <c r="AM54" i="37"/>
  <c r="W54" i="37"/>
  <c r="CI45" i="37"/>
  <c r="BC47" i="37"/>
  <c r="K47" i="37"/>
  <c r="BO36" i="37"/>
  <c r="CG38" i="37"/>
  <c r="BU36" i="37"/>
  <c r="BL38" i="37"/>
  <c r="AX27" i="37"/>
  <c r="BZ65" i="37"/>
  <c r="BN58" i="37"/>
  <c r="CI54" i="37"/>
  <c r="BK38" i="37"/>
  <c r="BC36" i="37"/>
  <c r="AY36" i="37"/>
  <c r="AM36" i="37"/>
  <c r="AI36" i="37"/>
  <c r="W36" i="37"/>
  <c r="S36" i="37"/>
  <c r="BM29" i="37"/>
  <c r="BM27" i="37"/>
  <c r="BM65" i="37"/>
  <c r="AS65" i="37"/>
  <c r="AC65" i="37"/>
  <c r="Y63" i="37"/>
  <c r="M59" i="37"/>
  <c r="M65" i="37"/>
  <c r="I61" i="37"/>
  <c r="I62" i="37"/>
  <c r="N63" i="37" s="1"/>
  <c r="I64" i="37"/>
  <c r="I60" i="37"/>
  <c r="AP45" i="37"/>
  <c r="CG59" i="37"/>
  <c r="CA72" i="37"/>
  <c r="O45" i="37"/>
  <c r="BS36" i="37"/>
  <c r="BY29" i="37"/>
  <c r="BY27" i="37"/>
  <c r="M27" i="37"/>
  <c r="AJ29" i="37"/>
  <c r="BC56" i="37"/>
  <c r="AE74" i="37"/>
  <c r="CC58" i="37"/>
  <c r="BY63" i="37"/>
  <c r="BC81" i="37"/>
  <c r="CJ54" i="37"/>
  <c r="BE29" i="37"/>
  <c r="BE27" i="37"/>
  <c r="AD47" i="37"/>
  <c r="CG27" i="37"/>
  <c r="AU38" i="37"/>
  <c r="CA36" i="37"/>
  <c r="U27" i="37"/>
  <c r="Q56" i="37"/>
  <c r="CC80" i="37"/>
  <c r="CC79" i="37"/>
  <c r="CC83" i="37"/>
  <c r="CC82" i="37"/>
  <c r="CC78" i="37"/>
  <c r="CC77" i="37"/>
  <c r="U84" i="37"/>
  <c r="U72" i="37"/>
  <c r="BS46" i="37"/>
  <c r="BS44" i="37"/>
  <c r="BS45" i="37" s="1"/>
  <c r="BS43" i="37"/>
  <c r="BS42" i="37"/>
  <c r="BS41" i="37"/>
  <c r="P54" i="37"/>
  <c r="AN56" i="37"/>
  <c r="AV65" i="37"/>
  <c r="CW40" i="37"/>
  <c r="CX40" i="37"/>
  <c r="CS14" i="3"/>
  <c r="CM28" i="37"/>
  <c r="CM26" i="37"/>
  <c r="CM27" i="37" s="1"/>
  <c r="CM25" i="37"/>
  <c r="CM24" i="37"/>
  <c r="CM23" i="37"/>
  <c r="O64" i="37"/>
  <c r="O65" i="37" s="1"/>
  <c r="O62" i="37"/>
  <c r="O61" i="37"/>
  <c r="O60" i="37"/>
  <c r="O59" i="37"/>
  <c r="BG38" i="37"/>
  <c r="AQ38" i="37"/>
  <c r="AA38" i="37"/>
  <c r="CF65" i="37"/>
  <c r="AK65" i="37"/>
  <c r="BX46" i="37"/>
  <c r="BX47" i="37" s="1"/>
  <c r="BX44" i="37"/>
  <c r="BX43" i="37"/>
  <c r="BX42" i="37"/>
  <c r="BX41" i="37"/>
  <c r="BT38" i="37"/>
  <c r="CE81" i="37"/>
  <c r="S81" i="37"/>
  <c r="BX83" i="37"/>
  <c r="BX84" i="37" s="1"/>
  <c r="BX82" i="37"/>
  <c r="BX80" i="37"/>
  <c r="BX78" i="37"/>
  <c r="BX77" i="37"/>
  <c r="BX79" i="37"/>
  <c r="BP81" i="37"/>
  <c r="AZ81" i="37"/>
  <c r="AJ81" i="37"/>
  <c r="AB84" i="37"/>
  <c r="L84" i="37"/>
  <c r="CA81" i="37"/>
  <c r="O81" i="37"/>
  <c r="BS83" i="37"/>
  <c r="BS82" i="37"/>
  <c r="BS78" i="37"/>
  <c r="BS77" i="37"/>
  <c r="BS79" i="37"/>
  <c r="BS80" i="37"/>
  <c r="BK84" i="37"/>
  <c r="AU84" i="37"/>
  <c r="AM84" i="37"/>
  <c r="K84" i="37"/>
  <c r="CL81" i="37"/>
  <c r="BN83" i="37"/>
  <c r="BN84" i="37" s="1"/>
  <c r="BN82" i="37"/>
  <c r="BN80" i="37"/>
  <c r="BN81" i="37" s="1"/>
  <c r="BN79" i="37"/>
  <c r="BN78" i="37"/>
  <c r="BN77" i="37"/>
  <c r="BB84" i="37"/>
  <c r="AX84" i="37"/>
  <c r="AT81" i="37"/>
  <c r="AP81" i="37"/>
  <c r="Z84" i="37"/>
  <c r="V84" i="37"/>
  <c r="R81" i="37"/>
  <c r="BU81" i="37"/>
  <c r="CG84" i="37"/>
  <c r="BY81" i="37"/>
  <c r="CK84" i="37"/>
  <c r="BE81" i="37"/>
  <c r="AK84" i="37"/>
  <c r="AG81" i="37"/>
  <c r="AC81" i="37"/>
  <c r="U81" i="37"/>
  <c r="M84" i="37"/>
  <c r="BG72" i="37"/>
  <c r="CJ72" i="37"/>
  <c r="BX73" i="37"/>
  <c r="BX71" i="37"/>
  <c r="BX70" i="37"/>
  <c r="BX68" i="37"/>
  <c r="BX69" i="37"/>
  <c r="BL72" i="37"/>
  <c r="AV72" i="37"/>
  <c r="W72" i="37"/>
  <c r="BS73" i="37"/>
  <c r="BS74" i="37" s="1"/>
  <c r="BS71" i="37"/>
  <c r="BS72" i="37" s="1"/>
  <c r="BS70" i="37"/>
  <c r="BS68" i="37"/>
  <c r="BS69" i="37"/>
  <c r="BO72" i="37"/>
  <c r="BN73" i="37"/>
  <c r="BN74" i="37" s="1"/>
  <c r="BN71" i="37"/>
  <c r="BN72" i="37" s="1"/>
  <c r="BN70" i="37"/>
  <c r="BN69" i="37"/>
  <c r="BN68" i="37"/>
  <c r="BJ74" i="37"/>
  <c r="AP74" i="37"/>
  <c r="AL74" i="37"/>
  <c r="AH74" i="37"/>
  <c r="AD74" i="37"/>
  <c r="Z74" i="37"/>
  <c r="V74" i="37"/>
  <c r="CK74" i="37"/>
  <c r="BM72" i="37"/>
  <c r="BI72" i="37"/>
  <c r="BE72" i="37"/>
  <c r="BA74" i="37"/>
  <c r="AW74" i="37"/>
  <c r="AS74" i="37"/>
  <c r="AO74" i="37"/>
  <c r="Q72" i="37"/>
  <c r="M74" i="37"/>
  <c r="AA54" i="37"/>
  <c r="BS53" i="37"/>
  <c r="BS54" i="37" s="1"/>
  <c r="BS52" i="37"/>
  <c r="BS51" i="37"/>
  <c r="BS50" i="37"/>
  <c r="BS55" i="37"/>
  <c r="BS56" i="37" s="1"/>
  <c r="AE56" i="37"/>
  <c r="BZ54" i="37"/>
  <c r="BF54" i="37"/>
  <c r="AP54" i="37"/>
  <c r="BN55" i="37"/>
  <c r="BN56" i="37" s="1"/>
  <c r="BN53" i="37"/>
  <c r="BN54" i="37" s="1"/>
  <c r="BN52" i="37"/>
  <c r="BN51" i="37"/>
  <c r="BN50" i="37"/>
  <c r="AY56" i="37"/>
  <c r="CG54" i="37"/>
  <c r="U54" i="37"/>
  <c r="AJ54" i="37"/>
  <c r="CG56" i="37"/>
  <c r="BO54" i="37"/>
  <c r="BJ45" i="37"/>
  <c r="CM46" i="37"/>
  <c r="CM44" i="37"/>
  <c r="CM45" i="37" s="1"/>
  <c r="CM43" i="37"/>
  <c r="CM42" i="37"/>
  <c r="CM41" i="37"/>
  <c r="BW47" i="37"/>
  <c r="CH37" i="37"/>
  <c r="CH38" i="37" s="1"/>
  <c r="CH35" i="37"/>
  <c r="CH36" i="37" s="1"/>
  <c r="CH34" i="37"/>
  <c r="CH33" i="37"/>
  <c r="CH32" i="37"/>
  <c r="AF54" i="37"/>
  <c r="CF56" i="37"/>
  <c r="BI56" i="37"/>
  <c r="AS56" i="37"/>
  <c r="M56" i="37"/>
  <c r="R47" i="37"/>
  <c r="AM45" i="37"/>
  <c r="CH46" i="37"/>
  <c r="CH47" i="37" s="1"/>
  <c r="CH41" i="37"/>
  <c r="CH44" i="37"/>
  <c r="CH45" i="37" s="1"/>
  <c r="CH43" i="37"/>
  <c r="CH42" i="37"/>
  <c r="L54" i="37"/>
  <c r="BQ56" i="37"/>
  <c r="X56" i="37"/>
  <c r="CD47" i="37"/>
  <c r="V47" i="37"/>
  <c r="AQ45" i="37"/>
  <c r="K45" i="37"/>
  <c r="AO45" i="37"/>
  <c r="AK47" i="37"/>
  <c r="Y45" i="37"/>
  <c r="BX28" i="37"/>
  <c r="BX26" i="37"/>
  <c r="BX27" i="37" s="1"/>
  <c r="BX25" i="37"/>
  <c r="BX24" i="37"/>
  <c r="BX23" i="37"/>
  <c r="AZ63" i="37"/>
  <c r="AV63" i="37"/>
  <c r="AJ62" i="37"/>
  <c r="AJ63" i="37" s="1"/>
  <c r="AJ61" i="37"/>
  <c r="AJ59" i="37"/>
  <c r="AJ64" i="37"/>
  <c r="AJ65" i="37" s="1"/>
  <c r="AJ60" i="37"/>
  <c r="D60" i="37"/>
  <c r="D61" i="37"/>
  <c r="D62" i="37"/>
  <c r="D64" i="37"/>
  <c r="CJ47" i="37"/>
  <c r="BD45" i="37"/>
  <c r="AB47" i="37"/>
  <c r="X45" i="37"/>
  <c r="CI36" i="37"/>
  <c r="CM37" i="37"/>
  <c r="CM35" i="37"/>
  <c r="CM34" i="37"/>
  <c r="CM32" i="37"/>
  <c r="CM33" i="37"/>
  <c r="K29" i="37"/>
  <c r="BS58" i="37"/>
  <c r="BC64" i="37"/>
  <c r="BC65" i="37" s="1"/>
  <c r="BC62" i="37"/>
  <c r="BC63" i="37" s="1"/>
  <c r="BC61" i="37"/>
  <c r="BC60" i="37"/>
  <c r="BC59" i="37"/>
  <c r="AI64" i="37"/>
  <c r="AI65" i="37" s="1"/>
  <c r="AI62" i="37"/>
  <c r="AI63" i="37" s="1"/>
  <c r="AI61" i="37"/>
  <c r="AI60" i="37"/>
  <c r="AI59" i="37"/>
  <c r="S64" i="37"/>
  <c r="S65" i="37" s="1"/>
  <c r="S62" i="37"/>
  <c r="S63" i="37" s="1"/>
  <c r="S61" i="37"/>
  <c r="S60" i="37"/>
  <c r="S59" i="37"/>
  <c r="G64" i="37"/>
  <c r="L65" i="37" s="1"/>
  <c r="G60" i="37"/>
  <c r="G61" i="37"/>
  <c r="G62" i="37"/>
  <c r="L63" i="37" s="1"/>
  <c r="BP56" i="37"/>
  <c r="AY54" i="37"/>
  <c r="AI54" i="37"/>
  <c r="S54" i="37"/>
  <c r="AZ47" i="37"/>
  <c r="AA47" i="37"/>
  <c r="CC37" i="37"/>
  <c r="CC35" i="37"/>
  <c r="CC36" i="37" s="1"/>
  <c r="CC34" i="37"/>
  <c r="CC33" i="37"/>
  <c r="CC32" i="37"/>
  <c r="BY38" i="37"/>
  <c r="BQ38" i="37"/>
  <c r="AV38" i="37"/>
  <c r="AF38" i="37"/>
  <c r="P38" i="37"/>
  <c r="AL29" i="37"/>
  <c r="AD27" i="37"/>
  <c r="N27" i="37"/>
  <c r="CH28" i="37"/>
  <c r="CH26" i="37"/>
  <c r="CH27" i="37" s="1"/>
  <c r="CH25" i="37"/>
  <c r="CH24" i="37"/>
  <c r="CH23" i="37"/>
  <c r="BV65" i="37"/>
  <c r="BJ65" i="37"/>
  <c r="BF63" i="37"/>
  <c r="AT58" i="37"/>
  <c r="N65" i="37"/>
  <c r="F62" i="37"/>
  <c r="F64" i="37"/>
  <c r="F60" i="37"/>
  <c r="F61" i="37"/>
  <c r="BY56" i="37"/>
  <c r="BK36" i="37"/>
  <c r="BG36" i="37"/>
  <c r="BC38" i="37"/>
  <c r="AY38" i="37"/>
  <c r="AQ36" i="37"/>
  <c r="AM38" i="37"/>
  <c r="AI38" i="37"/>
  <c r="AA36" i="37"/>
  <c r="W38" i="37"/>
  <c r="S38" i="37"/>
  <c r="AW29" i="37"/>
  <c r="AW27" i="37"/>
  <c r="CF63" i="37"/>
  <c r="BM63" i="37"/>
  <c r="BI58" i="37"/>
  <c r="BE63" i="37"/>
  <c r="AO58" i="37"/>
  <c r="AK63" i="37"/>
  <c r="Y59" i="37"/>
  <c r="Y65" i="37"/>
  <c r="U63" i="37"/>
  <c r="E61" i="37"/>
  <c r="E62" i="37"/>
  <c r="E64" i="37"/>
  <c r="E60" i="37"/>
  <c r="X54" i="37"/>
  <c r="BK45" i="37"/>
  <c r="O72" i="37"/>
  <c r="CB36" i="37"/>
  <c r="BT36" i="37"/>
  <c r="BS38" i="37"/>
  <c r="AS29" i="37"/>
  <c r="BI27" i="37"/>
  <c r="BQ63" i="37"/>
  <c r="T29" i="37"/>
  <c r="CI56" i="37"/>
  <c r="AU74" i="37"/>
  <c r="W56" i="37"/>
  <c r="BY59" i="37"/>
  <c r="BY65" i="37"/>
  <c r="Z45" i="37"/>
  <c r="CK38" i="37"/>
  <c r="AO27" i="37"/>
  <c r="BU63" i="37"/>
  <c r="AN54" i="37"/>
  <c r="BT47" i="37"/>
  <c r="AE38" i="37"/>
  <c r="Z47" i="37"/>
  <c r="BQ29" i="37"/>
  <c r="BQ27" i="37"/>
  <c r="AY205" i="35"/>
  <c r="BW205" i="35"/>
  <c r="BW178" i="35"/>
  <c r="AA110" i="35"/>
  <c r="AE109" i="35"/>
  <c r="AT69" i="35"/>
  <c r="P89" i="35"/>
  <c r="P81" i="35"/>
  <c r="L81" i="35"/>
  <c r="L84" i="35" s="1"/>
  <c r="P84" i="35" s="1"/>
  <c r="K86" i="35"/>
  <c r="K88" i="35"/>
  <c r="L89" i="35"/>
  <c r="BK202" i="35"/>
  <c r="BK203" i="35" s="1"/>
  <c r="BK175" i="35"/>
  <c r="AD117" i="35"/>
  <c r="CM106" i="35"/>
  <c r="BT117" i="35"/>
  <c r="BX116" i="35"/>
  <c r="BJ107" i="35"/>
  <c r="BN106" i="35"/>
  <c r="BN107" i="35" s="1"/>
  <c r="CJ153" i="35"/>
  <c r="CJ133" i="35"/>
  <c r="CJ12" i="35"/>
  <c r="CJ9" i="35"/>
  <c r="CJ149" i="35"/>
  <c r="CH116" i="35"/>
  <c r="CD117" i="35"/>
  <c r="AP117" i="35"/>
  <c r="AT116" i="35"/>
  <c r="V117" i="35"/>
  <c r="Z116" i="35"/>
  <c r="AE134" i="35"/>
  <c r="AJ209" i="35"/>
  <c r="BE117" i="35"/>
  <c r="BI116" i="35"/>
  <c r="BS106" i="35"/>
  <c r="BS107" i="35" s="1"/>
  <c r="BO107" i="35"/>
  <c r="BC230" i="35"/>
  <c r="BC225" i="35"/>
  <c r="CG200" i="35"/>
  <c r="CG196" i="35"/>
  <c r="CG197" i="35" s="1"/>
  <c r="CH196" i="35"/>
  <c r="CI197" i="35"/>
  <c r="CM182" i="35"/>
  <c r="CM183" i="35"/>
  <c r="BE202" i="35"/>
  <c r="BE175" i="35"/>
  <c r="Y202" i="35"/>
  <c r="Y175" i="35"/>
  <c r="AC208" i="35"/>
  <c r="AC170" i="35"/>
  <c r="AC169" i="35"/>
  <c r="BV202" i="35"/>
  <c r="BV175" i="35"/>
  <c r="BY205" i="35"/>
  <c r="BY178" i="35"/>
  <c r="BM202" i="35"/>
  <c r="BM175" i="35"/>
  <c r="BR205" i="35"/>
  <c r="BR178" i="35"/>
  <c r="AX202" i="35"/>
  <c r="AX175" i="35"/>
  <c r="AH205" i="35"/>
  <c r="AH178" i="35"/>
  <c r="K178" i="35"/>
  <c r="U119" i="35"/>
  <c r="U122" i="35"/>
  <c r="U114" i="35"/>
  <c r="BX122" i="35"/>
  <c r="BX119" i="35"/>
  <c r="BX114" i="35"/>
  <c r="AK123" i="35"/>
  <c r="AZ107" i="35"/>
  <c r="BD106" i="35"/>
  <c r="AY190" i="35"/>
  <c r="AT133" i="35"/>
  <c r="AT104" i="35"/>
  <c r="AT97" i="35"/>
  <c r="AT103" i="35"/>
  <c r="AP123" i="35"/>
  <c r="CL100" i="35"/>
  <c r="CG100" i="35"/>
  <c r="BR107" i="35"/>
  <c r="BE110" i="35"/>
  <c r="BI109" i="35"/>
  <c r="CK130" i="35"/>
  <c r="BQ154" i="35"/>
  <c r="BQ130" i="35"/>
  <c r="AV154" i="35"/>
  <c r="AV130" i="35"/>
  <c r="AH123" i="35"/>
  <c r="K116" i="35"/>
  <c r="K117" i="35" s="1"/>
  <c r="BS95" i="35"/>
  <c r="BS94" i="35"/>
  <c r="AO95" i="35"/>
  <c r="AO94" i="35"/>
  <c r="K106" i="35"/>
  <c r="K107" i="35" s="1"/>
  <c r="K95" i="35"/>
  <c r="L154" i="35"/>
  <c r="P153" i="35"/>
  <c r="L157" i="35"/>
  <c r="L130" i="35"/>
  <c r="AE94" i="35"/>
  <c r="AE95" i="35"/>
  <c r="W107" i="35"/>
  <c r="BV149" i="35"/>
  <c r="BV133" i="35"/>
  <c r="BV134" i="35" s="1"/>
  <c r="BV153" i="35"/>
  <c r="BV12" i="35"/>
  <c r="BV13" i="35" s="1"/>
  <c r="BV9" i="35"/>
  <c r="AX157" i="35"/>
  <c r="AX143" i="35"/>
  <c r="AX137" i="35"/>
  <c r="AX150" i="35"/>
  <c r="AX127" i="35"/>
  <c r="J251" i="35"/>
  <c r="J252" i="35" s="1"/>
  <c r="AI226" i="35"/>
  <c r="AI231" i="35"/>
  <c r="AS231" i="35"/>
  <c r="AS226" i="35"/>
  <c r="AN230" i="35"/>
  <c r="AN225" i="35"/>
  <c r="BC229" i="35"/>
  <c r="BC224" i="35"/>
  <c r="AD229" i="35"/>
  <c r="AD224" i="35"/>
  <c r="AI228" i="35"/>
  <c r="AI223" i="35"/>
  <c r="AX196" i="35"/>
  <c r="AX197" i="35" s="1"/>
  <c r="AQ196" i="35"/>
  <c r="AQ197" i="35" s="1"/>
  <c r="W197" i="35"/>
  <c r="CH199" i="35"/>
  <c r="CH190" i="35"/>
  <c r="CH191" i="35" s="1"/>
  <c r="BQ200" i="35"/>
  <c r="BQ196" i="35"/>
  <c r="BQ197" i="35" s="1"/>
  <c r="BA200" i="35"/>
  <c r="BA196" i="35"/>
  <c r="AS200" i="35"/>
  <c r="AS196" i="35"/>
  <c r="AK200" i="35"/>
  <c r="AK196" i="35"/>
  <c r="AR200" i="35"/>
  <c r="AP187" i="35"/>
  <c r="BS183" i="35"/>
  <c r="AC16" i="45"/>
  <c r="BS199" i="35"/>
  <c r="BS190" i="35"/>
  <c r="BS191" i="35" s="1"/>
  <c r="CA187" i="35"/>
  <c r="CM199" i="35"/>
  <c r="CM190" i="35"/>
  <c r="CM191" i="35" s="1"/>
  <c r="AS205" i="35"/>
  <c r="AS178" i="35"/>
  <c r="BA202" i="35"/>
  <c r="BA203" i="35" s="1"/>
  <c r="K20" i="45" s="1"/>
  <c r="BA175" i="35"/>
  <c r="AK202" i="35"/>
  <c r="AK175" i="35"/>
  <c r="U202" i="35"/>
  <c r="AZ209" i="35"/>
  <c r="CC183" i="35"/>
  <c r="AM16" i="45"/>
  <c r="BS186" i="35"/>
  <c r="BC187" i="35"/>
  <c r="BH205" i="35"/>
  <c r="BH178" i="35"/>
  <c r="R12" i="45" s="1"/>
  <c r="AN205" i="35"/>
  <c r="AN206" i="35" s="1"/>
  <c r="AN178" i="35"/>
  <c r="AZ202" i="35"/>
  <c r="AZ175" i="35"/>
  <c r="AJ202" i="35"/>
  <c r="T202" i="35"/>
  <c r="T175" i="35"/>
  <c r="BE170" i="35"/>
  <c r="BE169" i="35"/>
  <c r="AO170" i="35"/>
  <c r="AO169" i="35"/>
  <c r="Y208" i="35"/>
  <c r="Y170" i="35"/>
  <c r="Y169" i="35"/>
  <c r="CI208" i="35"/>
  <c r="CI209" i="35" s="1"/>
  <c r="CI166" i="35"/>
  <c r="CM165" i="35"/>
  <c r="CI176" i="35"/>
  <c r="CI173" i="35"/>
  <c r="CI8" i="35"/>
  <c r="BO208" i="35"/>
  <c r="BO166" i="35"/>
  <c r="BS165" i="35"/>
  <c r="BO176" i="35"/>
  <c r="BO8" i="35"/>
  <c r="BL208" i="35"/>
  <c r="BL166" i="35"/>
  <c r="BL176" i="35"/>
  <c r="BL173" i="35"/>
  <c r="CL202" i="35"/>
  <c r="CL175" i="35"/>
  <c r="BV205" i="35"/>
  <c r="BV206" i="35" s="1"/>
  <c r="BV178" i="35"/>
  <c r="CC208" i="35"/>
  <c r="CC166" i="35"/>
  <c r="BU205" i="35"/>
  <c r="BQ205" i="35"/>
  <c r="BQ178" i="35"/>
  <c r="BM205" i="35"/>
  <c r="BM178" i="35"/>
  <c r="CB208" i="35"/>
  <c r="CB166" i="35"/>
  <c r="CB176" i="35"/>
  <c r="CB173" i="35"/>
  <c r="CB8" i="35"/>
  <c r="BT202" i="35"/>
  <c r="CF208" i="35"/>
  <c r="CF166" i="35"/>
  <c r="CF176" i="35"/>
  <c r="CF173" i="35"/>
  <c r="CF8" i="35"/>
  <c r="BN202" i="35"/>
  <c r="BF205" i="35"/>
  <c r="BF178" i="35"/>
  <c r="P12" i="45" s="1"/>
  <c r="BB205" i="35"/>
  <c r="BB178" i="35"/>
  <c r="L12" i="45" s="1"/>
  <c r="AX205" i="35"/>
  <c r="AX178" i="35"/>
  <c r="H12" i="45" s="1"/>
  <c r="AL209" i="35"/>
  <c r="AD208" i="35"/>
  <c r="AD170" i="35"/>
  <c r="AD169" i="35"/>
  <c r="Z202" i="35"/>
  <c r="R208" i="35"/>
  <c r="R170" i="35"/>
  <c r="R169" i="35"/>
  <c r="N202" i="35"/>
  <c r="N175" i="35"/>
  <c r="BZ202" i="35"/>
  <c r="BZ175" i="35"/>
  <c r="BJ205" i="35"/>
  <c r="BJ178" i="35"/>
  <c r="AL154" i="35"/>
  <c r="AL130" i="35"/>
  <c r="AA150" i="35"/>
  <c r="AE149" i="35"/>
  <c r="AJ175" i="35" s="1"/>
  <c r="AA157" i="35"/>
  <c r="AA143" i="35"/>
  <c r="AA137" i="35"/>
  <c r="AA138" i="35" s="1"/>
  <c r="AA127" i="35"/>
  <c r="BR154" i="35"/>
  <c r="BR130" i="35"/>
  <c r="BR131" i="35" s="1"/>
  <c r="BC150" i="35"/>
  <c r="BC157" i="35"/>
  <c r="BC143" i="35"/>
  <c r="BC144" i="35" s="1"/>
  <c r="BC127" i="35"/>
  <c r="BC128" i="35" s="1"/>
  <c r="BC137" i="35"/>
  <c r="BC138" i="35" s="1"/>
  <c r="K149" i="35"/>
  <c r="G157" i="35"/>
  <c r="G143" i="35"/>
  <c r="G127" i="35"/>
  <c r="G137" i="35"/>
  <c r="W150" i="35"/>
  <c r="W157" i="35"/>
  <c r="W143" i="35"/>
  <c r="W127" i="35"/>
  <c r="W137" i="35"/>
  <c r="BL117" i="35"/>
  <c r="AF117" i="35"/>
  <c r="AJ116" i="35"/>
  <c r="CC119" i="35"/>
  <c r="CC114" i="35"/>
  <c r="CC122" i="35"/>
  <c r="AW116" i="35"/>
  <c r="AW117" i="35" s="1"/>
  <c r="Q117" i="35"/>
  <c r="U116" i="35"/>
  <c r="U117" i="35" s="1"/>
  <c r="AI110" i="35"/>
  <c r="BD103" i="35"/>
  <c r="BD104" i="35"/>
  <c r="BD97" i="35"/>
  <c r="BN99" i="35"/>
  <c r="BJ100" i="35"/>
  <c r="AT99" i="35"/>
  <c r="AP100" i="35"/>
  <c r="CH95" i="35"/>
  <c r="CH94" i="35"/>
  <c r="BK117" i="35"/>
  <c r="O117" i="35"/>
  <c r="BD122" i="35"/>
  <c r="BD119" i="35"/>
  <c r="BD114" i="35"/>
  <c r="BJ110" i="35"/>
  <c r="BN109" i="35"/>
  <c r="BN110" i="35" s="1"/>
  <c r="AP110" i="35"/>
  <c r="AT109" i="35"/>
  <c r="V110" i="35"/>
  <c r="Z109" i="35"/>
  <c r="CM104" i="35"/>
  <c r="CM103" i="35"/>
  <c r="CM97" i="35"/>
  <c r="K109" i="35"/>
  <c r="K110" i="35" s="1"/>
  <c r="K103" i="35"/>
  <c r="K104" i="35"/>
  <c r="K97" i="35"/>
  <c r="CE117" i="35"/>
  <c r="CM122" i="35"/>
  <c r="CM119" i="35"/>
  <c r="CM114" i="35"/>
  <c r="AY122" i="35"/>
  <c r="AY114" i="35"/>
  <c r="AY119" i="35"/>
  <c r="AI123" i="35"/>
  <c r="AJ106" i="35"/>
  <c r="Z133" i="35"/>
  <c r="Z104" i="35"/>
  <c r="Z97" i="35"/>
  <c r="Z103" i="35"/>
  <c r="AT114" i="35"/>
  <c r="AT122" i="35"/>
  <c r="AT119" i="35"/>
  <c r="CC104" i="35"/>
  <c r="CC103" i="35"/>
  <c r="CC97" i="35"/>
  <c r="BD99" i="35"/>
  <c r="CC94" i="35"/>
  <c r="CC95" i="35"/>
  <c r="AD107" i="35"/>
  <c r="BA157" i="35"/>
  <c r="BA143" i="35"/>
  <c r="BA150" i="35"/>
  <c r="BA137" i="35"/>
  <c r="BA127" i="35"/>
  <c r="AW154" i="35"/>
  <c r="AW130" i="35"/>
  <c r="BK110" i="35"/>
  <c r="AN117" i="35"/>
  <c r="BI99" i="35"/>
  <c r="BE100" i="35"/>
  <c r="W110" i="35"/>
  <c r="CI100" i="35"/>
  <c r="CM99" i="35"/>
  <c r="BC100" i="35"/>
  <c r="BX95" i="35"/>
  <c r="BX94" i="35"/>
  <c r="AL107" i="35"/>
  <c r="BY157" i="35"/>
  <c r="BY150" i="35"/>
  <c r="BY143" i="35"/>
  <c r="BY127" i="35"/>
  <c r="BY137" i="35"/>
  <c r="BU130" i="35"/>
  <c r="BM134" i="35"/>
  <c r="BH157" i="35"/>
  <c r="BH150" i="35"/>
  <c r="BH143" i="35"/>
  <c r="BH144" i="35" s="1"/>
  <c r="BH127" i="35"/>
  <c r="BH128" i="35" s="1"/>
  <c r="BH137" i="35"/>
  <c r="BH138" i="35" s="1"/>
  <c r="AZ154" i="35"/>
  <c r="BD153" i="35"/>
  <c r="AZ130" i="35"/>
  <c r="AZ131" i="35" s="1"/>
  <c r="AQ134" i="35"/>
  <c r="AH157" i="35"/>
  <c r="AH143" i="35"/>
  <c r="AH137" i="35"/>
  <c r="AH138" i="35" s="1"/>
  <c r="AH150" i="35"/>
  <c r="AH127" i="35"/>
  <c r="AM203" i="35" s="1"/>
  <c r="Y154" i="35"/>
  <c r="Y130" i="35"/>
  <c r="Y131" i="35" s="1"/>
  <c r="Q154" i="35"/>
  <c r="U153" i="35"/>
  <c r="Q130" i="35"/>
  <c r="Q131" i="35" s="1"/>
  <c r="I157" i="35"/>
  <c r="I143" i="35"/>
  <c r="I127" i="35"/>
  <c r="I137" i="35"/>
  <c r="CI109" i="35"/>
  <c r="AI100" i="35"/>
  <c r="N106" i="35"/>
  <c r="N107" i="35" s="1"/>
  <c r="CL123" i="35"/>
  <c r="CL125" i="35"/>
  <c r="BF123" i="35"/>
  <c r="S107" i="35"/>
  <c r="BC110" i="35"/>
  <c r="AM117" i="35"/>
  <c r="AS107" i="35"/>
  <c r="AK107" i="35"/>
  <c r="AO106" i="35"/>
  <c r="AO107" i="35" s="1"/>
  <c r="AB107" i="35"/>
  <c r="BL134" i="35"/>
  <c r="BG154" i="35"/>
  <c r="BG130" i="35"/>
  <c r="BG131" i="35" s="1"/>
  <c r="AU154" i="35"/>
  <c r="AY153" i="35"/>
  <c r="AU130" i="35"/>
  <c r="AG157" i="35"/>
  <c r="AG143" i="35"/>
  <c r="AG150" i="35"/>
  <c r="AG127" i="35"/>
  <c r="AG137" i="35"/>
  <c r="AG138" i="35" s="1"/>
  <c r="AC154" i="35"/>
  <c r="AC130" i="35"/>
  <c r="D157" i="35"/>
  <c r="D140" i="35" s="1"/>
  <c r="D151" i="35"/>
  <c r="D137" i="35"/>
  <c r="D127" i="35"/>
  <c r="CH99" i="35"/>
  <c r="CJ110" i="35"/>
  <c r="AR110" i="35"/>
  <c r="BP100" i="35"/>
  <c r="P109" i="35"/>
  <c r="P110" i="35" s="1"/>
  <c r="CL134" i="35"/>
  <c r="BN67" i="35"/>
  <c r="Y69" i="35"/>
  <c r="CD157" i="35"/>
  <c r="CD150" i="35"/>
  <c r="CD137" i="35"/>
  <c r="CD138" i="35" s="1"/>
  <c r="CD127" i="35"/>
  <c r="CD128" i="35" s="1"/>
  <c r="BB157" i="35"/>
  <c r="BB143" i="35"/>
  <c r="BB137" i="35"/>
  <c r="BB150" i="35"/>
  <c r="BB127" i="35"/>
  <c r="L117" i="35"/>
  <c r="AN110" i="35"/>
  <c r="BB71" i="35"/>
  <c r="BQ71" i="35"/>
  <c r="BQ70" i="35" s="1"/>
  <c r="AF71" i="35"/>
  <c r="AF70" i="35" s="1"/>
  <c r="BH110" i="35"/>
  <c r="BK154" i="35"/>
  <c r="BK130" i="35"/>
  <c r="AL71" i="35"/>
  <c r="AL70" i="35" s="1"/>
  <c r="AX154" i="35"/>
  <c r="AX130" i="35"/>
  <c r="AS154" i="35"/>
  <c r="AS130" i="35"/>
  <c r="AN154" i="35"/>
  <c r="AN130" i="35"/>
  <c r="AN131" i="35" s="1"/>
  <c r="AF134" i="35"/>
  <c r="W134" i="35"/>
  <c r="S154" i="35"/>
  <c r="S157" i="35"/>
  <c r="S130" i="35"/>
  <c r="K153" i="35"/>
  <c r="G130" i="35"/>
  <c r="BF154" i="35"/>
  <c r="BF130" i="35"/>
  <c r="I69" i="35"/>
  <c r="BH228" i="35"/>
  <c r="BH223" i="35"/>
  <c r="BM223" i="35"/>
  <c r="AI229" i="35"/>
  <c r="AI224" i="35"/>
  <c r="AU197" i="35"/>
  <c r="CL200" i="35"/>
  <c r="CQ200" i="35" s="1"/>
  <c r="CV200" i="35" s="1"/>
  <c r="DA200" i="35" s="1"/>
  <c r="CL97" i="35"/>
  <c r="CL116" i="35" s="1"/>
  <c r="CL117" i="35" s="1"/>
  <c r="AC205" i="35"/>
  <c r="AC178" i="35"/>
  <c r="AN202" i="35"/>
  <c r="AN203" i="35" s="1"/>
  <c r="AN175" i="35"/>
  <c r="BX186" i="35"/>
  <c r="BX187" i="35" s="1"/>
  <c r="BT197" i="35"/>
  <c r="CK202" i="35"/>
  <c r="CK175" i="35"/>
  <c r="BU202" i="35"/>
  <c r="BI202" i="35"/>
  <c r="BF202" i="35"/>
  <c r="BF203" i="35" s="1"/>
  <c r="P20" i="45" s="1"/>
  <c r="BF175" i="35"/>
  <c r="AT202" i="35"/>
  <c r="AT175" i="35"/>
  <c r="AL205" i="35"/>
  <c r="AL178" i="35"/>
  <c r="V178" i="35"/>
  <c r="Z176" i="35"/>
  <c r="BJ202" i="35"/>
  <c r="BJ175" i="35"/>
  <c r="BG150" i="35"/>
  <c r="BG157" i="35"/>
  <c r="BG143" i="35"/>
  <c r="BG144" i="35" s="1"/>
  <c r="BG137" i="35"/>
  <c r="BG138" i="35" s="1"/>
  <c r="BG127" i="35"/>
  <c r="BG128" i="35" s="1"/>
  <c r="BK150" i="35"/>
  <c r="BK157" i="35"/>
  <c r="BK143" i="35"/>
  <c r="BK137" i="35"/>
  <c r="BK138" i="35" s="1"/>
  <c r="BK127" i="35"/>
  <c r="AK117" i="35"/>
  <c r="AO116" i="35"/>
  <c r="AO117" i="35" s="1"/>
  <c r="AE103" i="35"/>
  <c r="AE104" i="35"/>
  <c r="AE97" i="35"/>
  <c r="BS122" i="35"/>
  <c r="BS114" i="35"/>
  <c r="BS119" i="35"/>
  <c r="AR154" i="35"/>
  <c r="AR130" i="35"/>
  <c r="V157" i="35"/>
  <c r="Z149" i="35"/>
  <c r="V143" i="35"/>
  <c r="V137" i="35"/>
  <c r="V150" i="35"/>
  <c r="V127" i="35"/>
  <c r="R154" i="35"/>
  <c r="R130" i="35"/>
  <c r="BJ117" i="35"/>
  <c r="BN116" i="35"/>
  <c r="BN117" i="35" s="1"/>
  <c r="AA100" i="35"/>
  <c r="AE99" i="35"/>
  <c r="BU123" i="35"/>
  <c r="BC107" i="35"/>
  <c r="AU110" i="35"/>
  <c r="AY109" i="35"/>
  <c r="AY110" i="35" s="1"/>
  <c r="Q107" i="35"/>
  <c r="U106" i="35"/>
  <c r="Y157" i="35"/>
  <c r="Y150" i="35"/>
  <c r="Y143" i="35"/>
  <c r="Y144" i="35" s="1"/>
  <c r="Y127" i="35"/>
  <c r="Y137" i="35"/>
  <c r="E157" i="35"/>
  <c r="E143" i="35"/>
  <c r="E137" i="35"/>
  <c r="E138" i="35" s="1"/>
  <c r="E127" i="35"/>
  <c r="BN95" i="35"/>
  <c r="BN94" i="35"/>
  <c r="X154" i="35"/>
  <c r="X130" i="35"/>
  <c r="X131" i="35" s="1"/>
  <c r="CL154" i="35"/>
  <c r="CL130" i="35"/>
  <c r="CL131" i="35" s="1"/>
  <c r="AX70" i="35"/>
  <c r="AN157" i="35"/>
  <c r="AN150" i="35"/>
  <c r="AN143" i="35"/>
  <c r="AN127" i="35"/>
  <c r="AN137" i="35"/>
  <c r="AZ110" i="35"/>
  <c r="AN231" i="35"/>
  <c r="AN226" i="35"/>
  <c r="BH230" i="35"/>
  <c r="BH225" i="35"/>
  <c r="Y230" i="35"/>
  <c r="Y225" i="35"/>
  <c r="BC226" i="35"/>
  <c r="BC231" i="35"/>
  <c r="AS229" i="35"/>
  <c r="AS224" i="35"/>
  <c r="CC199" i="35"/>
  <c r="CC190" i="35"/>
  <c r="CC191" i="35" s="1"/>
  <c r="AX228" i="35"/>
  <c r="AX223" i="35"/>
  <c r="CJ97" i="35"/>
  <c r="CJ116" i="35" s="1"/>
  <c r="CJ117" i="35" s="1"/>
  <c r="CA197" i="35"/>
  <c r="BG196" i="35"/>
  <c r="BG197" i="35" s="1"/>
  <c r="AM197" i="35"/>
  <c r="S197" i="35"/>
  <c r="BY200" i="35"/>
  <c r="BY196" i="35"/>
  <c r="CL196" i="35"/>
  <c r="CL197" i="35" s="1"/>
  <c r="BJ197" i="35"/>
  <c r="AP197" i="35"/>
  <c r="Z197" i="35"/>
  <c r="CB200" i="35"/>
  <c r="BR187" i="35"/>
  <c r="BO200" i="35"/>
  <c r="AY200" i="35"/>
  <c r="BZ187" i="35"/>
  <c r="BV200" i="35"/>
  <c r="BI187" i="35"/>
  <c r="CI200" i="35"/>
  <c r="CN200" i="35" s="1"/>
  <c r="CS200" i="35" s="1"/>
  <c r="CX200" i="35" s="1"/>
  <c r="CI97" i="35"/>
  <c r="CI116" i="35" s="1"/>
  <c r="BE205" i="35"/>
  <c r="BE178" i="35"/>
  <c r="O12" i="45" s="1"/>
  <c r="BI176" i="35"/>
  <c r="AK205" i="35"/>
  <c r="AK178" i="35"/>
  <c r="AO176" i="35"/>
  <c r="U176" i="35"/>
  <c r="U178" i="35" s="1"/>
  <c r="Q178" i="35"/>
  <c r="AW202" i="35"/>
  <c r="AW175" i="35"/>
  <c r="AG202" i="35"/>
  <c r="AG175" i="35"/>
  <c r="Q202" i="35"/>
  <c r="Q175" i="35"/>
  <c r="AI187" i="35"/>
  <c r="AZ205" i="35"/>
  <c r="AZ206" i="35" s="1"/>
  <c r="AZ178" i="35"/>
  <c r="J12" i="45" s="1"/>
  <c r="BD176" i="35"/>
  <c r="AF205" i="35"/>
  <c r="AF206" i="35" s="1"/>
  <c r="AF178" i="35"/>
  <c r="AJ176" i="35"/>
  <c r="AJ200" i="35" s="1"/>
  <c r="P176" i="35"/>
  <c r="P178" i="35" s="1"/>
  <c r="L178" i="35"/>
  <c r="AV202" i="35"/>
  <c r="AV175" i="35"/>
  <c r="AF202" i="35"/>
  <c r="AF203" i="35" s="1"/>
  <c r="AF175" i="35"/>
  <c r="P202" i="35"/>
  <c r="P175" i="35"/>
  <c r="BA170" i="35"/>
  <c r="BA169" i="35"/>
  <c r="AK170" i="35"/>
  <c r="AK169" i="35"/>
  <c r="U208" i="35"/>
  <c r="U209" i="35" s="1"/>
  <c r="U170" i="35"/>
  <c r="U169" i="35"/>
  <c r="CE208" i="35"/>
  <c r="CE209" i="35" s="1"/>
  <c r="CE166" i="35"/>
  <c r="CH165" i="35"/>
  <c r="CE176" i="35"/>
  <c r="CE173" i="35"/>
  <c r="CE8" i="35"/>
  <c r="BK208" i="35"/>
  <c r="BK166" i="35"/>
  <c r="AQ209" i="35"/>
  <c r="AA175" i="35"/>
  <c r="CL205" i="35"/>
  <c r="CL206" i="35" s="1"/>
  <c r="CL178" i="35"/>
  <c r="CQ176" i="35"/>
  <c r="AJ196" i="35"/>
  <c r="AF197" i="35"/>
  <c r="X197" i="35"/>
  <c r="P197" i="35"/>
  <c r="CJ187" i="35"/>
  <c r="CK209" i="35"/>
  <c r="CG209" i="35"/>
  <c r="BI209" i="35"/>
  <c r="BT205" i="35"/>
  <c r="BT178" i="35"/>
  <c r="BX176" i="35"/>
  <c r="CK205" i="35"/>
  <c r="CP176" i="35"/>
  <c r="CK178" i="35"/>
  <c r="X209" i="35"/>
  <c r="X71" i="35"/>
  <c r="X70" i="35" s="1"/>
  <c r="CD202" i="35"/>
  <c r="CD175" i="35"/>
  <c r="BF209" i="35"/>
  <c r="AP170" i="35"/>
  <c r="AP169" i="35"/>
  <c r="AL170" i="35"/>
  <c r="AL169" i="35"/>
  <c r="AH208" i="35"/>
  <c r="AH170" i="35"/>
  <c r="AH169" i="35"/>
  <c r="AD202" i="35"/>
  <c r="AD203" i="35" s="1"/>
  <c r="AD175" i="35"/>
  <c r="V208" i="35"/>
  <c r="V170" i="35"/>
  <c r="V169" i="35"/>
  <c r="R202" i="35"/>
  <c r="R175" i="35"/>
  <c r="BZ205" i="35"/>
  <c r="BZ206" i="35" s="1"/>
  <c r="BZ178" i="35"/>
  <c r="BJ209" i="35"/>
  <c r="BJ71" i="35"/>
  <c r="BC175" i="35"/>
  <c r="BK176" i="35"/>
  <c r="AA205" i="35"/>
  <c r="AA206" i="35" s="1"/>
  <c r="BJ154" i="35"/>
  <c r="BN153" i="35"/>
  <c r="BJ130" i="35"/>
  <c r="BT157" i="35"/>
  <c r="BT143" i="35"/>
  <c r="BT127" i="35"/>
  <c r="BT137" i="35"/>
  <c r="AU150" i="35"/>
  <c r="AY149" i="35"/>
  <c r="AU157" i="35"/>
  <c r="AU143" i="35"/>
  <c r="AU137" i="35"/>
  <c r="AU127" i="35"/>
  <c r="BG117" i="35"/>
  <c r="AA117" i="35"/>
  <c r="AE116" i="35"/>
  <c r="AE117" i="35" s="1"/>
  <c r="BY117" i="35"/>
  <c r="CC116" i="35"/>
  <c r="CC117" i="35" s="1"/>
  <c r="BI122" i="35"/>
  <c r="BI114" i="35"/>
  <c r="BI119" i="35"/>
  <c r="S110" i="35"/>
  <c r="AJ103" i="35"/>
  <c r="AJ104" i="35"/>
  <c r="AJ97" i="35"/>
  <c r="AZ117" i="35"/>
  <c r="BD116" i="35"/>
  <c r="AJ122" i="35"/>
  <c r="AJ119" i="35"/>
  <c r="AJ114" i="35"/>
  <c r="BZ109" i="35"/>
  <c r="BZ110" i="35" s="1"/>
  <c r="BF110" i="35"/>
  <c r="R110" i="35"/>
  <c r="BS103" i="35"/>
  <c r="BS97" i="35"/>
  <c r="BQ123" i="35"/>
  <c r="BO117" i="35"/>
  <c r="BS116" i="35"/>
  <c r="BS117" i="35" s="1"/>
  <c r="CA123" i="35"/>
  <c r="AU123" i="35"/>
  <c r="AE122" i="35"/>
  <c r="AE114" i="35"/>
  <c r="AE119" i="35"/>
  <c r="L107" i="35"/>
  <c r="P106" i="35"/>
  <c r="P107" i="35" s="1"/>
  <c r="CH97" i="35"/>
  <c r="CH104" i="35"/>
  <c r="CH103" i="35"/>
  <c r="BV117" i="35"/>
  <c r="BY110" i="35"/>
  <c r="O110" i="35"/>
  <c r="BY107" i="35"/>
  <c r="BH107" i="35"/>
  <c r="Z94" i="35"/>
  <c r="Z95" i="35"/>
  <c r="AU107" i="35"/>
  <c r="AY106" i="35"/>
  <c r="AO67" i="35"/>
  <c r="AO69" i="35" s="1"/>
  <c r="BN229" i="35"/>
  <c r="BN230" i="35"/>
  <c r="BN231" i="35"/>
  <c r="BN228" i="35"/>
  <c r="BN133" i="35"/>
  <c r="BN9" i="35"/>
  <c r="BE157" i="35"/>
  <c r="BE150" i="35"/>
  <c r="BE143" i="35"/>
  <c r="BI149" i="35"/>
  <c r="BE127" i="35"/>
  <c r="BE137" i="35"/>
  <c r="BA154" i="35"/>
  <c r="BA130" i="35"/>
  <c r="BA131" i="35" s="1"/>
  <c r="AM154" i="35"/>
  <c r="AM130" i="35"/>
  <c r="Z153" i="35"/>
  <c r="V154" i="35"/>
  <c r="V130" i="35"/>
  <c r="V131" i="35" s="1"/>
  <c r="N157" i="35"/>
  <c r="N150" i="35"/>
  <c r="N143" i="35"/>
  <c r="N144" i="35" s="1"/>
  <c r="N137" i="35"/>
  <c r="N138" i="35" s="1"/>
  <c r="N127" i="35"/>
  <c r="S203" i="35" s="1"/>
  <c r="J157" i="35"/>
  <c r="J143" i="35"/>
  <c r="J137" i="35"/>
  <c r="J127" i="35"/>
  <c r="Z190" i="35"/>
  <c r="U104" i="35"/>
  <c r="U103" i="35"/>
  <c r="U97" i="35"/>
  <c r="CM94" i="35"/>
  <c r="CM95" i="35"/>
  <c r="BE107" i="35"/>
  <c r="BI106" i="35"/>
  <c r="BI107" i="35" s="1"/>
  <c r="Z114" i="35"/>
  <c r="Z122" i="35"/>
  <c r="Z119" i="35"/>
  <c r="BW110" i="35"/>
  <c r="AG100" i="35"/>
  <c r="AJ99" i="35"/>
  <c r="AJ100" i="35" s="1"/>
  <c r="AU100" i="35"/>
  <c r="AY99" i="35"/>
  <c r="BT107" i="35"/>
  <c r="BX106" i="35"/>
  <c r="BX107" i="35" s="1"/>
  <c r="CG157" i="35"/>
  <c r="CG143" i="35"/>
  <c r="CG137" i="35"/>
  <c r="CG127" i="35"/>
  <c r="BY154" i="35"/>
  <c r="BY130" i="35"/>
  <c r="BM157" i="35"/>
  <c r="BM143" i="35"/>
  <c r="BM144" i="35" s="1"/>
  <c r="BM150" i="35"/>
  <c r="BM127" i="35"/>
  <c r="BM137" i="35"/>
  <c r="BM138" i="35" s="1"/>
  <c r="BH154" i="35"/>
  <c r="BH130" i="35"/>
  <c r="BH131" i="35" s="1"/>
  <c r="AQ154" i="35"/>
  <c r="AQ130" i="35"/>
  <c r="AQ131" i="35" s="1"/>
  <c r="AD154" i="35"/>
  <c r="AD130" i="35"/>
  <c r="AD131" i="35" s="1"/>
  <c r="U133" i="35"/>
  <c r="M150" i="35"/>
  <c r="M143" i="35"/>
  <c r="M127" i="35"/>
  <c r="M137" i="35"/>
  <c r="BV107" i="35"/>
  <c r="AI134" i="35"/>
  <c r="Y123" i="35"/>
  <c r="CE107" i="35"/>
  <c r="BV100" i="35"/>
  <c r="BQ100" i="35"/>
  <c r="AT190" i="35"/>
  <c r="AO133" i="35"/>
  <c r="AO104" i="35"/>
  <c r="AO103" i="35"/>
  <c r="AO97" i="35"/>
  <c r="W117" i="35"/>
  <c r="X107" i="35"/>
  <c r="CB90" i="35"/>
  <c r="CC87" i="35"/>
  <c r="BX8" i="35"/>
  <c r="BL157" i="35"/>
  <c r="BL143" i="35"/>
  <c r="BL144" i="35" s="1"/>
  <c r="BL150" i="35"/>
  <c r="BL137" i="35"/>
  <c r="BL138" i="35" s="1"/>
  <c r="BL127" i="35"/>
  <c r="BL128" i="35" s="1"/>
  <c r="AP154" i="35"/>
  <c r="AT153" i="35"/>
  <c r="AP130" i="35"/>
  <c r="AK157" i="35"/>
  <c r="AO149" i="35"/>
  <c r="AK143" i="35"/>
  <c r="AK144" i="35" s="1"/>
  <c r="AK150" i="35"/>
  <c r="AK137" i="35"/>
  <c r="AK138" i="35" s="1"/>
  <c r="AK127" i="35"/>
  <c r="AG154" i="35"/>
  <c r="AG130" i="35"/>
  <c r="X134" i="35"/>
  <c r="T157" i="35"/>
  <c r="T150" i="35"/>
  <c r="T137" i="35"/>
  <c r="T127" i="35"/>
  <c r="T143" i="35"/>
  <c r="H157" i="35"/>
  <c r="H143" i="35"/>
  <c r="H127" i="35"/>
  <c r="H137" i="35"/>
  <c r="BG110" i="35"/>
  <c r="BO100" i="35"/>
  <c r="P90" i="35"/>
  <c r="BG107" i="35"/>
  <c r="BE70" i="35"/>
  <c r="BI70" i="35" s="1"/>
  <c r="CL157" i="35"/>
  <c r="CL143" i="35"/>
  <c r="CL144" i="35" s="1"/>
  <c r="CL137" i="35"/>
  <c r="CL138" i="35" s="1"/>
  <c r="CL150" i="35"/>
  <c r="CL127" i="35"/>
  <c r="BI71" i="35"/>
  <c r="CD154" i="35"/>
  <c r="CD130" i="35"/>
  <c r="CD131" i="35" s="1"/>
  <c r="BB134" i="35"/>
  <c r="P116" i="35"/>
  <c r="P117" i="35" s="1"/>
  <c r="L74" i="35"/>
  <c r="P74" i="35"/>
  <c r="P78" i="35" s="1"/>
  <c r="CK71" i="35"/>
  <c r="CK70" i="35" s="1"/>
  <c r="AT67" i="35"/>
  <c r="AG123" i="35"/>
  <c r="R69" i="35"/>
  <c r="BN119" i="35"/>
  <c r="BW107" i="35"/>
  <c r="AA106" i="35"/>
  <c r="BN90" i="35"/>
  <c r="CM78" i="35"/>
  <c r="BZ153" i="35"/>
  <c r="BZ133" i="35"/>
  <c r="BZ134" i="35" s="1"/>
  <c r="BZ149" i="35"/>
  <c r="BZ12" i="35"/>
  <c r="BZ9" i="35"/>
  <c r="Z67" i="35"/>
  <c r="AF157" i="35"/>
  <c r="AJ149" i="35"/>
  <c r="AF143" i="35"/>
  <c r="AF144" i="35" s="1"/>
  <c r="AF150" i="35"/>
  <c r="AF137" i="35"/>
  <c r="AF127" i="35"/>
  <c r="AF128" i="35" s="1"/>
  <c r="AB157" i="35"/>
  <c r="AB150" i="35"/>
  <c r="AB143" i="35"/>
  <c r="AB144" i="35" s="1"/>
  <c r="AB127" i="35"/>
  <c r="AB128" i="35" s="1"/>
  <c r="AB137" i="35"/>
  <c r="AB138" i="35" s="1"/>
  <c r="W154" i="35"/>
  <c r="W130" i="35"/>
  <c r="W131" i="35" s="1"/>
  <c r="K133" i="35"/>
  <c r="P209" i="35" s="1"/>
  <c r="AK74" i="35"/>
  <c r="AO74" i="35"/>
  <c r="AO78" i="35" s="1"/>
  <c r="BF134" i="35"/>
  <c r="AN229" i="35"/>
  <c r="AN224" i="35"/>
  <c r="BO197" i="35"/>
  <c r="AA197" i="35"/>
  <c r="AE196" i="35"/>
  <c r="AE197" i="35" s="1"/>
  <c r="BX199" i="35"/>
  <c r="BX192" i="35"/>
  <c r="BX190" i="35"/>
  <c r="BX191" i="35" s="1"/>
  <c r="CE200" i="35"/>
  <c r="AW205" i="35"/>
  <c r="AW206" i="35" s="1"/>
  <c r="AW178" i="35"/>
  <c r="G12" i="45" s="1"/>
  <c r="AO202" i="35"/>
  <c r="AR205" i="35"/>
  <c r="AR206" i="35" s="1"/>
  <c r="AR178" i="35"/>
  <c r="BD202" i="35"/>
  <c r="BD175" i="35"/>
  <c r="X202" i="35"/>
  <c r="X175" i="35"/>
  <c r="AS170" i="35"/>
  <c r="AS169" i="35"/>
  <c r="M208" i="35"/>
  <c r="M170" i="35"/>
  <c r="M169" i="35"/>
  <c r="BW208" i="35"/>
  <c r="BW166" i="35"/>
  <c r="BW173" i="35"/>
  <c r="BW8" i="35"/>
  <c r="BL197" i="35"/>
  <c r="CG205" i="35"/>
  <c r="CG178" i="35"/>
  <c r="BQ202" i="35"/>
  <c r="BQ175" i="35"/>
  <c r="BB202" i="35"/>
  <c r="BB175" i="35"/>
  <c r="AP205" i="35"/>
  <c r="AP178" i="35"/>
  <c r="AT176" i="35"/>
  <c r="Z208" i="35"/>
  <c r="Z209" i="35" s="1"/>
  <c r="Z170" i="35"/>
  <c r="Z169" i="35"/>
  <c r="N208" i="35"/>
  <c r="N170" i="35"/>
  <c r="N169" i="35"/>
  <c r="N69" i="35"/>
  <c r="CJ205" i="35"/>
  <c r="CO176" i="35"/>
  <c r="CJ178" i="35"/>
  <c r="BO202" i="35"/>
  <c r="BO175" i="35"/>
  <c r="AI157" i="35"/>
  <c r="AI150" i="35"/>
  <c r="AI143" i="35"/>
  <c r="AI137" i="35"/>
  <c r="AI127" i="35"/>
  <c r="AE176" i="35"/>
  <c r="O150" i="35"/>
  <c r="O157" i="35"/>
  <c r="O143" i="35"/>
  <c r="O137" i="35"/>
  <c r="O138" i="35" s="1"/>
  <c r="O127" i="35"/>
  <c r="BW117" i="35"/>
  <c r="BO110" i="35"/>
  <c r="BS109" i="35"/>
  <c r="BS110" i="35" s="1"/>
  <c r="BX103" i="35"/>
  <c r="BX97" i="35"/>
  <c r="BH123" i="35"/>
  <c r="BM123" i="35"/>
  <c r="AD110" i="35"/>
  <c r="S117" i="35"/>
  <c r="AW157" i="35"/>
  <c r="AW143" i="35"/>
  <c r="AW150" i="35"/>
  <c r="AW127" i="35"/>
  <c r="AW128" i="35" s="1"/>
  <c r="AW137" i="35"/>
  <c r="X117" i="35"/>
  <c r="BZ117" i="35"/>
  <c r="AP107" i="35"/>
  <c r="BU157" i="35"/>
  <c r="BU143" i="35"/>
  <c r="BU127" i="35"/>
  <c r="BU137" i="35"/>
  <c r="AZ157" i="35"/>
  <c r="AZ150" i="35"/>
  <c r="BD149" i="35"/>
  <c r="BI175" i="35" s="1"/>
  <c r="AZ143" i="35"/>
  <c r="AZ144" i="35" s="1"/>
  <c r="AZ137" i="35"/>
  <c r="AZ138" i="35" s="1"/>
  <c r="AZ127" i="35"/>
  <c r="AZ128" i="35" s="1"/>
  <c r="AD157" i="35"/>
  <c r="AD150" i="35"/>
  <c r="AD143" i="35"/>
  <c r="AD137" i="35"/>
  <c r="AD138" i="35" s="1"/>
  <c r="AD127" i="35"/>
  <c r="AD128" i="35" s="1"/>
  <c r="Q157" i="35"/>
  <c r="U149" i="35"/>
  <c r="Q143" i="35"/>
  <c r="Q150" i="35"/>
  <c r="Q127" i="35"/>
  <c r="Q137" i="35"/>
  <c r="BW100" i="35"/>
  <c r="AO99" i="35"/>
  <c r="AK100" i="35"/>
  <c r="AJ94" i="35"/>
  <c r="AJ95" i="35"/>
  <c r="BT130" i="35"/>
  <c r="AP157" i="35"/>
  <c r="AP143" i="35"/>
  <c r="AP144" i="35" s="1"/>
  <c r="AP137" i="35"/>
  <c r="AT149" i="35"/>
  <c r="AP150" i="35"/>
  <c r="AP127" i="35"/>
  <c r="AP128" i="35" s="1"/>
  <c r="AC157" i="35"/>
  <c r="AC150" i="35"/>
  <c r="AC143" i="35"/>
  <c r="AC144" i="35" s="1"/>
  <c r="AC127" i="35"/>
  <c r="AC137" i="35"/>
  <c r="BZ100" i="35"/>
  <c r="CL70" i="35"/>
  <c r="AS157" i="35"/>
  <c r="AS150" i="35"/>
  <c r="AS143" i="35"/>
  <c r="AS144" i="35" s="1"/>
  <c r="AS127" i="35"/>
  <c r="AS128" i="35" s="1"/>
  <c r="AS137" i="35"/>
  <c r="AS138" i="35" s="1"/>
  <c r="O154" i="35"/>
  <c r="O130" i="35"/>
  <c r="O131" i="35" s="1"/>
  <c r="AX230" i="35"/>
  <c r="AX225" i="35"/>
  <c r="AS225" i="35"/>
  <c r="AD228" i="35"/>
  <c r="AD223" i="35"/>
  <c r="AD230" i="35"/>
  <c r="AD225" i="35"/>
  <c r="BC223" i="35"/>
  <c r="BH231" i="35"/>
  <c r="BH226" i="35"/>
  <c r="Y231" i="35"/>
  <c r="Y226" i="35"/>
  <c r="AN228" i="35"/>
  <c r="AN223" i="35"/>
  <c r="CF200" i="35"/>
  <c r="CK200" i="35"/>
  <c r="CP200" i="35" s="1"/>
  <c r="CU200" i="35" s="1"/>
  <c r="CZ200" i="35" s="1"/>
  <c r="CK196" i="35"/>
  <c r="CK197" i="35" s="1"/>
  <c r="CK97" i="35"/>
  <c r="CK116" i="35" s="1"/>
  <c r="CK117" i="35" s="1"/>
  <c r="BW197" i="35"/>
  <c r="BC196" i="35"/>
  <c r="BC197" i="35" s="1"/>
  <c r="O197" i="35"/>
  <c r="BU200" i="35"/>
  <c r="BU196" i="35"/>
  <c r="BU197" i="35" s="1"/>
  <c r="BM200" i="35"/>
  <c r="BM196" i="35"/>
  <c r="BM197" i="35" s="1"/>
  <c r="BE200" i="35"/>
  <c r="BE196" i="35"/>
  <c r="AW200" i="35"/>
  <c r="AW196" i="35"/>
  <c r="AW197" i="35" s="1"/>
  <c r="AO200" i="35"/>
  <c r="AG197" i="35"/>
  <c r="Y197" i="35"/>
  <c r="Q197" i="35"/>
  <c r="BF197" i="35"/>
  <c r="AL197" i="35"/>
  <c r="V197" i="35"/>
  <c r="BL200" i="35"/>
  <c r="BD200" i="35"/>
  <c r="AV200" i="35"/>
  <c r="AN200" i="35"/>
  <c r="BK200" i="35"/>
  <c r="CH182" i="35"/>
  <c r="CH183" i="35" s="1"/>
  <c r="AR16" i="45" s="1"/>
  <c r="AJ190" i="35"/>
  <c r="CI187" i="35"/>
  <c r="CM186" i="35"/>
  <c r="CM187" i="35" s="1"/>
  <c r="BA205" i="35"/>
  <c r="BA206" i="35" s="1"/>
  <c r="BA178" i="35"/>
  <c r="K12" i="45" s="1"/>
  <c r="AG205" i="35"/>
  <c r="AG178" i="35"/>
  <c r="AS202" i="35"/>
  <c r="AS203" i="35" s="1"/>
  <c r="AS175" i="35"/>
  <c r="AC202" i="35"/>
  <c r="AC175" i="35"/>
  <c r="M202" i="35"/>
  <c r="M203" i="35" s="1"/>
  <c r="M175" i="35"/>
  <c r="BY187" i="35"/>
  <c r="CC186" i="35"/>
  <c r="CC187" i="35" s="1"/>
  <c r="AV205" i="35"/>
  <c r="AV206" i="35" s="1"/>
  <c r="AV178" i="35"/>
  <c r="F12" i="45" s="1"/>
  <c r="AB205" i="35"/>
  <c r="AB206" i="35" s="1"/>
  <c r="AB178" i="35"/>
  <c r="BH202" i="35"/>
  <c r="BH203" i="35" s="1"/>
  <c r="R20" i="45" s="1"/>
  <c r="BH175" i="35"/>
  <c r="AR202" i="35"/>
  <c r="AR175" i="35"/>
  <c r="AB202" i="35"/>
  <c r="AB203" i="35" s="1"/>
  <c r="AB175" i="35"/>
  <c r="L202" i="35"/>
  <c r="L203" i="35" s="1"/>
  <c r="L175" i="35"/>
  <c r="AW170" i="35"/>
  <c r="AW169" i="35"/>
  <c r="AG208" i="35"/>
  <c r="AG170" i="35"/>
  <c r="AG169" i="35"/>
  <c r="Q208" i="35"/>
  <c r="Q170" i="35"/>
  <c r="Q169" i="35"/>
  <c r="CA208" i="35"/>
  <c r="CA209" i="35" s="1"/>
  <c r="CA166" i="35"/>
  <c r="CA176" i="35"/>
  <c r="CA8" i="35"/>
  <c r="AM178" i="35"/>
  <c r="BP208" i="35"/>
  <c r="BP166" i="35"/>
  <c r="BP176" i="35"/>
  <c r="BP173" i="35"/>
  <c r="BP8" i="35"/>
  <c r="AB209" i="35"/>
  <c r="AB71" i="35"/>
  <c r="AB70" i="35" s="1"/>
  <c r="L209" i="35"/>
  <c r="CL209" i="35"/>
  <c r="BZ200" i="35"/>
  <c r="AZ196" i="35"/>
  <c r="AV196" i="35"/>
  <c r="AV197" i="35" s="1"/>
  <c r="AR196" i="35"/>
  <c r="AR197" i="35" s="1"/>
  <c r="AN196" i="35"/>
  <c r="AN197" i="35" s="1"/>
  <c r="BW187" i="35"/>
  <c r="BF200" i="35"/>
  <c r="AP200" i="35"/>
  <c r="CG202" i="35"/>
  <c r="CG175" i="35"/>
  <c r="BY202" i="35"/>
  <c r="BY203" i="35" s="1"/>
  <c r="BY175" i="35"/>
  <c r="BY209" i="35"/>
  <c r="BM209" i="35"/>
  <c r="BX165" i="35"/>
  <c r="BR202" i="35"/>
  <c r="BR203" i="35" s="1"/>
  <c r="BR175" i="35"/>
  <c r="CD205" i="35"/>
  <c r="CD206" i="35" s="1"/>
  <c r="CD178" i="35"/>
  <c r="CH176" i="35"/>
  <c r="BF170" i="35"/>
  <c r="BF169" i="35"/>
  <c r="BB170" i="35"/>
  <c r="BB169" i="35"/>
  <c r="AX170" i="35"/>
  <c r="AX169" i="35"/>
  <c r="AT170" i="35"/>
  <c r="AT169" i="35"/>
  <c r="AP202" i="35"/>
  <c r="AP203" i="35" s="1"/>
  <c r="AP175" i="35"/>
  <c r="AL202" i="35"/>
  <c r="AL203" i="35" s="1"/>
  <c r="AL175" i="35"/>
  <c r="AH202" i="35"/>
  <c r="AH203" i="35" s="1"/>
  <c r="AH175" i="35"/>
  <c r="AD205" i="35"/>
  <c r="AD178" i="35"/>
  <c r="V202" i="35"/>
  <c r="V203" i="35" s="1"/>
  <c r="V175" i="35"/>
  <c r="R178" i="35"/>
  <c r="CJ208" i="35"/>
  <c r="CJ166" i="35"/>
  <c r="CJ173" i="35"/>
  <c r="CJ200" i="35" s="1"/>
  <c r="CO200" i="35" s="1"/>
  <c r="CT200" i="35" s="1"/>
  <c r="CY200" i="35" s="1"/>
  <c r="BZ209" i="35"/>
  <c r="W178" i="35"/>
  <c r="BC203" i="35"/>
  <c r="M20" i="45" s="1"/>
  <c r="AU203" i="35"/>
  <c r="E20" i="45" s="1"/>
  <c r="AI203" i="35"/>
  <c r="O203" i="35"/>
  <c r="AM150" i="35"/>
  <c r="AM157" i="35"/>
  <c r="AM143" i="35"/>
  <c r="AM144" i="35" s="1"/>
  <c r="AM127" i="35"/>
  <c r="AM128" i="35" s="1"/>
  <c r="AM137" i="35"/>
  <c r="BG178" i="35"/>
  <c r="Q12" i="45" s="1"/>
  <c r="AU206" i="35"/>
  <c r="AI206" i="35"/>
  <c r="S178" i="35"/>
  <c r="AQ150" i="35"/>
  <c r="AQ157" i="35"/>
  <c r="AQ143" i="35"/>
  <c r="AQ144" i="35" s="1"/>
  <c r="AQ137" i="35"/>
  <c r="AQ127" i="35"/>
  <c r="BP187" i="35"/>
  <c r="CA173" i="35"/>
  <c r="CA200" i="35" s="1"/>
  <c r="S150" i="35"/>
  <c r="S143" i="35"/>
  <c r="S137" i="35"/>
  <c r="S138" i="35" s="1"/>
  <c r="S127" i="35"/>
  <c r="N154" i="35"/>
  <c r="N130" i="35"/>
  <c r="N131" i="35" s="1"/>
  <c r="AS123" i="35"/>
  <c r="CB117" i="35"/>
  <c r="AV117" i="35"/>
  <c r="AO114" i="35"/>
  <c r="AO122" i="35"/>
  <c r="AO119" i="35"/>
  <c r="P103" i="35"/>
  <c r="P104" i="35"/>
  <c r="P97" i="35"/>
  <c r="CA117" i="35"/>
  <c r="AU117" i="35"/>
  <c r="AY116" i="35"/>
  <c r="AY117" i="35" s="1"/>
  <c r="CJ123" i="35"/>
  <c r="CJ125" i="35"/>
  <c r="AR123" i="35"/>
  <c r="AW123" i="35"/>
  <c r="P122" i="35"/>
  <c r="P119" i="35"/>
  <c r="P114" i="35"/>
  <c r="AH110" i="35"/>
  <c r="BD190" i="35"/>
  <c r="AY103" i="35"/>
  <c r="AY104" i="35"/>
  <c r="AY97" i="35"/>
  <c r="BA123" i="35"/>
  <c r="AI117" i="35"/>
  <c r="CI123" i="35"/>
  <c r="CI125" i="35"/>
  <c r="K122" i="35"/>
  <c r="K119" i="35"/>
  <c r="K114" i="35"/>
  <c r="BN104" i="35"/>
  <c r="BN97" i="35"/>
  <c r="BN103" i="35"/>
  <c r="AX123" i="35"/>
  <c r="R123" i="35"/>
  <c r="CC99" i="35"/>
  <c r="CC100" i="35" s="1"/>
  <c r="BY100" i="35"/>
  <c r="BT100" i="35"/>
  <c r="BX99" i="35"/>
  <c r="AY94" i="35"/>
  <c r="AY95" i="35"/>
  <c r="V107" i="35"/>
  <c r="Z106" i="35"/>
  <c r="Z107" i="35" s="1"/>
  <c r="AO84" i="35"/>
  <c r="BJ157" i="35"/>
  <c r="BJ150" i="35"/>
  <c r="BJ143" i="35"/>
  <c r="BJ144" i="35" s="1"/>
  <c r="BJ137" i="35"/>
  <c r="BJ138" i="35" s="1"/>
  <c r="BN149" i="35"/>
  <c r="BJ127" i="35"/>
  <c r="BJ128" i="35" s="1"/>
  <c r="BE154" i="35"/>
  <c r="BI153" i="35"/>
  <c r="BE130" i="35"/>
  <c r="BE131" i="35" s="1"/>
  <c r="AW134" i="35"/>
  <c r="AR157" i="35"/>
  <c r="AR150" i="35"/>
  <c r="AR143" i="35"/>
  <c r="AR144" i="35" s="1"/>
  <c r="AR127" i="35"/>
  <c r="AR137" i="35"/>
  <c r="AR138" i="35" s="1"/>
  <c r="AA154" i="35"/>
  <c r="AE153" i="35"/>
  <c r="AA130" i="35"/>
  <c r="AA131" i="35" s="1"/>
  <c r="R157" i="35"/>
  <c r="R143" i="35"/>
  <c r="R144" i="35" s="1"/>
  <c r="R137" i="35"/>
  <c r="R138" i="35" s="1"/>
  <c r="R150" i="35"/>
  <c r="R127" i="35"/>
  <c r="W203" i="35" s="1"/>
  <c r="F157" i="35"/>
  <c r="F143" i="35"/>
  <c r="F137" i="35"/>
  <c r="F138" i="35" s="1"/>
  <c r="F127" i="35"/>
  <c r="CG123" i="35"/>
  <c r="BG100" i="35"/>
  <c r="BN190" i="35"/>
  <c r="BI104" i="35"/>
  <c r="BI133" i="35"/>
  <c r="BI134" i="35" s="1"/>
  <c r="BI97" i="35"/>
  <c r="BI103" i="35"/>
  <c r="BS99" i="35"/>
  <c r="BS100" i="35" s="1"/>
  <c r="AM100" i="35"/>
  <c r="AT94" i="35"/>
  <c r="AT95" i="35"/>
  <c r="Z90" i="35"/>
  <c r="CK157" i="35"/>
  <c r="CK143" i="35"/>
  <c r="CK127" i="35"/>
  <c r="CK137" i="35"/>
  <c r="CG130" i="35"/>
  <c r="BQ157" i="35"/>
  <c r="BQ143" i="35"/>
  <c r="BQ144" i="35" s="1"/>
  <c r="BQ150" i="35"/>
  <c r="BQ137" i="35"/>
  <c r="BQ138" i="35" s="1"/>
  <c r="BQ127" i="35"/>
  <c r="BM154" i="35"/>
  <c r="BM130" i="35"/>
  <c r="AZ134" i="35"/>
  <c r="AV157" i="35"/>
  <c r="AV143" i="35"/>
  <c r="AV150" i="35"/>
  <c r="AV137" i="35"/>
  <c r="AV138" i="35" s="1"/>
  <c r="AV127" i="35"/>
  <c r="AL157" i="35"/>
  <c r="AL143" i="35"/>
  <c r="AL144" i="35" s="1"/>
  <c r="AL137" i="35"/>
  <c r="AL138" i="35" s="1"/>
  <c r="AL150" i="35"/>
  <c r="AL127" i="35"/>
  <c r="AH154" i="35"/>
  <c r="AH130" i="35"/>
  <c r="M154" i="35"/>
  <c r="M157" i="35"/>
  <c r="M130" i="35"/>
  <c r="M131" i="35" s="1"/>
  <c r="CK123" i="35"/>
  <c r="X110" i="35"/>
  <c r="CH114" i="35"/>
  <c r="CH122" i="35"/>
  <c r="CH119" i="35"/>
  <c r="CE110" i="35"/>
  <c r="AK110" i="35"/>
  <c r="AO109" i="35"/>
  <c r="BH100" i="35"/>
  <c r="BC117" i="35"/>
  <c r="CJ107" i="35"/>
  <c r="BA107" i="35"/>
  <c r="BL154" i="35"/>
  <c r="BL130" i="35"/>
  <c r="BC154" i="35"/>
  <c r="BC130" i="35"/>
  <c r="AP134" i="35"/>
  <c r="AK154" i="35"/>
  <c r="AO153" i="35"/>
  <c r="AK130" i="35"/>
  <c r="AC134" i="35"/>
  <c r="X157" i="35"/>
  <c r="X150" i="35"/>
  <c r="X143" i="35"/>
  <c r="X127" i="35"/>
  <c r="X137" i="35"/>
  <c r="X138" i="35" s="1"/>
  <c r="T154" i="35"/>
  <c r="T130" i="35"/>
  <c r="T131" i="35" s="1"/>
  <c r="P149" i="35"/>
  <c r="L150" i="35"/>
  <c r="L143" i="35"/>
  <c r="L144" i="35" s="1"/>
  <c r="L127" i="35"/>
  <c r="L137" i="35"/>
  <c r="L138" i="35" s="1"/>
  <c r="Q110" i="35"/>
  <c r="U109" i="35"/>
  <c r="U110" i="35" s="1"/>
  <c r="AQ100" i="35"/>
  <c r="AR106" i="35"/>
  <c r="AR107" i="35" s="1"/>
  <c r="BP110" i="35"/>
  <c r="Q123" i="35"/>
  <c r="AM107" i="35"/>
  <c r="AT90" i="35"/>
  <c r="BR133" i="35"/>
  <c r="BR134" i="35" s="1"/>
  <c r="BR149" i="35"/>
  <c r="BR12" i="35"/>
  <c r="BR13" i="35" s="1"/>
  <c r="BR9" i="35"/>
  <c r="M69" i="35"/>
  <c r="CD13" i="35"/>
  <c r="CD134" i="35"/>
  <c r="V69" i="35"/>
  <c r="BB154" i="35"/>
  <c r="BB130" i="35"/>
  <c r="BB131" i="35" s="1"/>
  <c r="AQ107" i="35"/>
  <c r="BT110" i="35"/>
  <c r="BX109" i="35"/>
  <c r="BX110" i="35" s="1"/>
  <c r="AJ109" i="35"/>
  <c r="AJ110" i="35" s="1"/>
  <c r="AF110" i="35"/>
  <c r="BC70" i="35"/>
  <c r="W70" i="35"/>
  <c r="AR117" i="35"/>
  <c r="AM70" i="35"/>
  <c r="BN123" i="35"/>
  <c r="BN125" i="35"/>
  <c r="AV110" i="35"/>
  <c r="CA87" i="35"/>
  <c r="CA90" i="35" s="1"/>
  <c r="G70" i="35"/>
  <c r="AN134" i="35"/>
  <c r="AJ133" i="35"/>
  <c r="AF154" i="35"/>
  <c r="AJ153" i="35"/>
  <c r="AF130" i="35"/>
  <c r="AB154" i="35"/>
  <c r="AB130" i="35"/>
  <c r="AB131" i="35" s="1"/>
  <c r="BD109" i="35"/>
  <c r="BD110" i="35" s="1"/>
  <c r="T71" i="35"/>
  <c r="T70" i="35" s="1"/>
  <c r="J69" i="35"/>
  <c r="BF157" i="35"/>
  <c r="BF143" i="35"/>
  <c r="BF144" i="35" s="1"/>
  <c r="BF137" i="35"/>
  <c r="BF150" i="35"/>
  <c r="BF127" i="35"/>
  <c r="BF128" i="35" s="1"/>
  <c r="BR71" i="35"/>
  <c r="BR70" i="35" s="1"/>
  <c r="M150" i="8"/>
  <c r="M119" i="8"/>
  <c r="R65" i="8"/>
  <c r="CJ150" i="8"/>
  <c r="CJ119" i="8"/>
  <c r="CO65" i="8"/>
  <c r="AN92" i="8"/>
  <c r="AO92" i="8" s="1"/>
  <c r="AB92" i="8"/>
  <c r="BW143" i="8"/>
  <c r="BW161" i="8"/>
  <c r="BX128" i="8"/>
  <c r="K145" i="8"/>
  <c r="G145" i="8"/>
  <c r="G147" i="8" s="1"/>
  <c r="H145" i="8" s="1"/>
  <c r="BK118" i="8"/>
  <c r="AL92" i="8"/>
  <c r="BW92" i="8"/>
  <c r="BX92" i="8" s="1"/>
  <c r="AQ92" i="8"/>
  <c r="AS92" i="8"/>
  <c r="AT92" i="8" s="1"/>
  <c r="CF92" i="8"/>
  <c r="BS143" i="8"/>
  <c r="AM92" i="8"/>
  <c r="BH92" i="8"/>
  <c r="BI92" i="8" s="1"/>
  <c r="AT161" i="8"/>
  <c r="AG150" i="8"/>
  <c r="AG119" i="8"/>
  <c r="AL65" i="8"/>
  <c r="H150" i="8"/>
  <c r="H155" i="8" s="1"/>
  <c r="H119" i="8"/>
  <c r="M65" i="8"/>
  <c r="BZ92" i="8"/>
  <c r="AI92" i="8"/>
  <c r="AJ92" i="8" s="1"/>
  <c r="CB92" i="8"/>
  <c r="CC92" i="8" s="1"/>
  <c r="CJ92" i="8"/>
  <c r="BB161" i="8"/>
  <c r="BB69" i="8"/>
  <c r="BB63" i="3"/>
  <c r="CA161" i="8"/>
  <c r="CA143" i="8"/>
  <c r="CB128" i="8"/>
  <c r="CM134" i="8"/>
  <c r="CL143" i="8"/>
  <c r="BB143" i="8"/>
  <c r="BC132" i="8"/>
  <c r="T69" i="8"/>
  <c r="BH143" i="8"/>
  <c r="N161" i="8"/>
  <c r="O132" i="8"/>
  <c r="N69" i="8"/>
  <c r="N63" i="3"/>
  <c r="I143" i="8"/>
  <c r="J128" i="8"/>
  <c r="BM126" i="8"/>
  <c r="AJ134" i="8"/>
  <c r="AE138" i="8"/>
  <c r="AD63" i="3"/>
  <c r="Z134" i="8"/>
  <c r="K128" i="8"/>
  <c r="AN161" i="8"/>
  <c r="AN63" i="3"/>
  <c r="AO63" i="3" s="1"/>
  <c r="AH143" i="8"/>
  <c r="AC161" i="8"/>
  <c r="AC63" i="3"/>
  <c r="AE63" i="3" s="1"/>
  <c r="X143" i="8"/>
  <c r="CC137" i="8"/>
  <c r="BC133" i="8"/>
  <c r="BD133" i="8" s="1"/>
  <c r="BH134" i="8"/>
  <c r="BI134" i="8" s="1"/>
  <c r="AO131" i="8"/>
  <c r="Z128" i="8"/>
  <c r="BX125" i="8"/>
  <c r="BR126" i="8"/>
  <c r="BT150" i="8"/>
  <c r="BT119" i="8"/>
  <c r="BY65" i="8"/>
  <c r="Z126" i="8"/>
  <c r="Q150" i="8"/>
  <c r="Q119" i="8"/>
  <c r="V65" i="8"/>
  <c r="BC125" i="8"/>
  <c r="AF150" i="8"/>
  <c r="AF119" i="8"/>
  <c r="AK65" i="8"/>
  <c r="BD113" i="8"/>
  <c r="CB105" i="8"/>
  <c r="CB69" i="8" s="1"/>
  <c r="CA69" i="8"/>
  <c r="BG158" i="8"/>
  <c r="BG118" i="8"/>
  <c r="BH102" i="8"/>
  <c r="AJ117" i="8"/>
  <c r="T110" i="8"/>
  <c r="U110" i="8" s="1"/>
  <c r="CQ105" i="8"/>
  <c r="CP69" i="8"/>
  <c r="BX158" i="8"/>
  <c r="BJ150" i="8"/>
  <c r="BJ119" i="8"/>
  <c r="BO65" i="8"/>
  <c r="AO104" i="8"/>
  <c r="AE104" i="8"/>
  <c r="BI116" i="8"/>
  <c r="BE155" i="8"/>
  <c r="CF158" i="8"/>
  <c r="CF118" i="8"/>
  <c r="CG102" i="8"/>
  <c r="BR158" i="8"/>
  <c r="BR118" i="8"/>
  <c r="R150" i="8"/>
  <c r="R119" i="8"/>
  <c r="W65" i="8"/>
  <c r="CK158" i="8"/>
  <c r="CK118" i="8"/>
  <c r="CL102" i="8"/>
  <c r="O158" i="8"/>
  <c r="CB158" i="8"/>
  <c r="CB118" i="8"/>
  <c r="AW158" i="8"/>
  <c r="AW118" i="8"/>
  <c r="AW146" i="8" s="1"/>
  <c r="AX102" i="8"/>
  <c r="AC158" i="8"/>
  <c r="AC118" i="8"/>
  <c r="BM92" i="8"/>
  <c r="BN92" i="8" s="1"/>
  <c r="Y92" i="8"/>
  <c r="Z92" i="8" s="1"/>
  <c r="AS158" i="8"/>
  <c r="AS118" i="8"/>
  <c r="X158" i="8"/>
  <c r="X118" i="8"/>
  <c r="BS102" i="8"/>
  <c r="CG92" i="8"/>
  <c r="CH92" i="8" s="1"/>
  <c r="AC92" i="8"/>
  <c r="BQ92" i="8"/>
  <c r="AV92" i="8"/>
  <c r="AK92" i="8"/>
  <c r="BT92" i="8"/>
  <c r="Z87" i="8"/>
  <c r="P87" i="8"/>
  <c r="K45" i="8"/>
  <c r="K67" i="8" s="1"/>
  <c r="CH43" i="8"/>
  <c r="AE45" i="8"/>
  <c r="AE67" i="8" s="1"/>
  <c r="AY143" i="8"/>
  <c r="CF143" i="8"/>
  <c r="CF146" i="8" s="1"/>
  <c r="CF147" i="8" s="1"/>
  <c r="CF9" i="34" s="1"/>
  <c r="CG8" i="34" s="1"/>
  <c r="CH140" i="8"/>
  <c r="CL161" i="8"/>
  <c r="CM139" i="8"/>
  <c r="CK143" i="8"/>
  <c r="CK146" i="8" s="1"/>
  <c r="CK147" i="8" s="1"/>
  <c r="CK9" i="34" s="1"/>
  <c r="CL8" i="34" s="1"/>
  <c r="BC137" i="8"/>
  <c r="BC143" i="8" s="1"/>
  <c r="I161" i="8"/>
  <c r="J132" i="8"/>
  <c r="I69" i="8"/>
  <c r="I63" i="3"/>
  <c r="BC153" i="8"/>
  <c r="BD122" i="8"/>
  <c r="BD153" i="8" s="1"/>
  <c r="CC128" i="8"/>
  <c r="CC143" i="8" s="1"/>
  <c r="BI135" i="8"/>
  <c r="AO133" i="8"/>
  <c r="AO161" i="8" s="1"/>
  <c r="AN143" i="8"/>
  <c r="AI63" i="3"/>
  <c r="Y161" i="8"/>
  <c r="Y63" i="3"/>
  <c r="T143" i="8"/>
  <c r="P132" i="8"/>
  <c r="H146" i="8"/>
  <c r="CH126" i="8"/>
  <c r="BS161" i="8"/>
  <c r="BI128" i="8"/>
  <c r="BI69" i="8" s="1"/>
  <c r="AE131" i="8"/>
  <c r="AR143" i="8"/>
  <c r="AO128" i="8"/>
  <c r="AE132" i="8"/>
  <c r="Z136" i="8"/>
  <c r="BN125" i="8"/>
  <c r="BC126" i="8"/>
  <c r="U126" i="8"/>
  <c r="U122" i="8"/>
  <c r="U153" i="8" s="1"/>
  <c r="T126" i="8"/>
  <c r="L150" i="8"/>
  <c r="L119" i="8"/>
  <c r="Q65" i="8"/>
  <c r="AE113" i="8"/>
  <c r="CH107" i="8"/>
  <c r="P117" i="8"/>
  <c r="CL105" i="8"/>
  <c r="CL69" i="8" s="1"/>
  <c r="CK69" i="8"/>
  <c r="AT111" i="8"/>
  <c r="AS69" i="8"/>
  <c r="AJ111" i="8"/>
  <c r="Z111" i="8"/>
  <c r="Y69" i="8"/>
  <c r="P111" i="8"/>
  <c r="AA155" i="8"/>
  <c r="AA151" i="8"/>
  <c r="BN69" i="8"/>
  <c r="AY109" i="8"/>
  <c r="AO69" i="8"/>
  <c r="K105" i="8"/>
  <c r="J108" i="8"/>
  <c r="K108" i="8" s="1"/>
  <c r="CE118" i="8"/>
  <c r="BP150" i="8"/>
  <c r="BP119" i="8"/>
  <c r="BU65" i="8"/>
  <c r="AM158" i="8"/>
  <c r="AM118" i="8"/>
  <c r="O104" i="8"/>
  <c r="O118" i="8" s="1"/>
  <c r="CM102" i="8"/>
  <c r="BA158" i="8"/>
  <c r="BA118" i="8"/>
  <c r="CA118" i="8"/>
  <c r="AV118" i="8"/>
  <c r="AD102" i="8"/>
  <c r="I158" i="8"/>
  <c r="I118" i="8"/>
  <c r="BE92" i="8"/>
  <c r="BS105" i="8"/>
  <c r="BS69" i="8" s="1"/>
  <c r="AQ118" i="8"/>
  <c r="Y102" i="8"/>
  <c r="CF91" i="8"/>
  <c r="CA92" i="8"/>
  <c r="BG92" i="8"/>
  <c r="W92" i="8"/>
  <c r="BP92" i="8"/>
  <c r="AU92" i="8"/>
  <c r="AA92" i="8"/>
  <c r="CD92" i="8"/>
  <c r="BN87" i="8"/>
  <c r="BI87" i="8"/>
  <c r="AO87" i="8"/>
  <c r="AX52" i="8"/>
  <c r="AX53" i="8"/>
  <c r="AX50" i="8"/>
  <c r="AX49" i="8"/>
  <c r="AX45" i="8"/>
  <c r="AX67" i="8" s="1"/>
  <c r="BD50" i="8"/>
  <c r="AX87" i="8"/>
  <c r="AX92" i="8" s="1"/>
  <c r="AY92" i="8" s="1"/>
  <c r="AX89" i="8"/>
  <c r="BS67" i="8"/>
  <c r="U45" i="8"/>
  <c r="U67" i="8" s="1"/>
  <c r="CR38" i="8"/>
  <c r="K50" i="8"/>
  <c r="AP67" i="8"/>
  <c r="AQ146" i="8"/>
  <c r="AV146" i="8"/>
  <c r="BA146" i="8"/>
  <c r="CJ146" i="8"/>
  <c r="CJ147" i="8" s="1"/>
  <c r="CJ9" i="34" s="1"/>
  <c r="BD132" i="8"/>
  <c r="BI161" i="8"/>
  <c r="AS161" i="8"/>
  <c r="AS63" i="3"/>
  <c r="AT63" i="3" s="1"/>
  <c r="S143" i="8"/>
  <c r="S69" i="8"/>
  <c r="O129" i="8"/>
  <c r="P129" i="8" s="1"/>
  <c r="AT139" i="8"/>
  <c r="AS134" i="8"/>
  <c r="AT134" i="8" s="1"/>
  <c r="AJ138" i="8"/>
  <c r="AI128" i="8"/>
  <c r="U128" i="8"/>
  <c r="P136" i="8"/>
  <c r="M146" i="8"/>
  <c r="AJ126" i="8"/>
  <c r="BH161" i="8"/>
  <c r="BH69" i="8"/>
  <c r="BH63" i="3"/>
  <c r="BI63" i="3" s="1"/>
  <c r="AM143" i="8"/>
  <c r="AM146" i="8" s="1"/>
  <c r="AH161" i="8"/>
  <c r="AH63" i="3"/>
  <c r="AJ63" i="3" s="1"/>
  <c r="AC143" i="8"/>
  <c r="AC146" i="8" s="1"/>
  <c r="X161" i="8"/>
  <c r="X63" i="3"/>
  <c r="Z63" i="3" s="1"/>
  <c r="P133" i="8"/>
  <c r="BG161" i="8"/>
  <c r="AS138" i="8"/>
  <c r="AT138" i="8" s="1"/>
  <c r="Z132" i="8"/>
  <c r="Z161" i="8" s="1"/>
  <c r="BD125" i="8"/>
  <c r="BL126" i="8"/>
  <c r="BL146" i="8" s="1"/>
  <c r="BN121" i="8"/>
  <c r="BN126" i="8" s="1"/>
  <c r="BD121" i="8"/>
  <c r="BD126" i="8" s="1"/>
  <c r="BX126" i="8"/>
  <c r="K121" i="8"/>
  <c r="K126" i="8" s="1"/>
  <c r="K117" i="8"/>
  <c r="AY113" i="8"/>
  <c r="P113" i="8"/>
  <c r="BV69" i="8"/>
  <c r="BV39" i="8"/>
  <c r="BW158" i="8"/>
  <c r="CI155" i="8"/>
  <c r="CC158" i="8"/>
  <c r="BW105" i="8"/>
  <c r="BW69" i="8" s="1"/>
  <c r="AO107" i="8"/>
  <c r="AE107" i="8"/>
  <c r="BF150" i="8"/>
  <c r="BF119" i="8"/>
  <c r="BK65" i="8"/>
  <c r="CM113" i="8"/>
  <c r="BV118" i="8"/>
  <c r="BZ118" i="8"/>
  <c r="BZ146" i="8" s="1"/>
  <c r="BZ147" i="8" s="1"/>
  <c r="BZ9" i="34" s="1"/>
  <c r="U104" i="8"/>
  <c r="AN102" i="8"/>
  <c r="S158" i="8"/>
  <c r="S118" i="8"/>
  <c r="BB102" i="8"/>
  <c r="AH158" i="8"/>
  <c r="AH118" i="8"/>
  <c r="P102" i="8"/>
  <c r="O108" i="8"/>
  <c r="P108" i="8" s="1"/>
  <c r="AB118" i="8"/>
  <c r="AB146" i="8" s="1"/>
  <c r="J102" i="8"/>
  <c r="CK92" i="8"/>
  <c r="AW92" i="8"/>
  <c r="AT102" i="8"/>
  <c r="W118" i="8"/>
  <c r="W146" i="8" s="1"/>
  <c r="BJ92" i="8"/>
  <c r="AR92" i="8"/>
  <c r="BL92" i="8"/>
  <c r="AF92" i="8"/>
  <c r="BY92" i="8"/>
  <c r="CB53" i="8"/>
  <c r="CB50" i="8"/>
  <c r="CB52" i="8"/>
  <c r="CB49" i="8"/>
  <c r="CB45" i="8"/>
  <c r="CB67" i="8" s="1"/>
  <c r="CE17" i="8"/>
  <c r="CE22" i="8" s="1"/>
  <c r="CF14" i="8"/>
  <c r="AJ87" i="8"/>
  <c r="BD52" i="8"/>
  <c r="BD53" i="8"/>
  <c r="AY89" i="8"/>
  <c r="AY87" i="8"/>
  <c r="BD83" i="8"/>
  <c r="BD87" i="8" s="1"/>
  <c r="AZ83" i="8"/>
  <c r="AZ87" i="8" s="1"/>
  <c r="AZ92" i="8" s="1"/>
  <c r="U52" i="8"/>
  <c r="CP39" i="8"/>
  <c r="CT116" i="8"/>
  <c r="CT21" i="8"/>
  <c r="U161" i="8"/>
  <c r="BV143" i="8"/>
  <c r="BV146" i="8" s="1"/>
  <c r="BV147" i="8" s="1"/>
  <c r="BV9" i="34" s="1"/>
  <c r="BW8" i="34" s="1"/>
  <c r="BN138" i="8"/>
  <c r="BM130" i="8"/>
  <c r="BM143" i="8" s="1"/>
  <c r="BN130" i="8"/>
  <c r="BN143" i="8" s="1"/>
  <c r="CH137" i="8"/>
  <c r="CH143" i="8" s="1"/>
  <c r="CM130" i="8"/>
  <c r="U133" i="8"/>
  <c r="U69" i="8" s="1"/>
  <c r="BK143" i="8"/>
  <c r="BK146" i="8" s="1"/>
  <c r="BR143" i="8"/>
  <c r="BR146" i="8" s="1"/>
  <c r="BR147" i="8" s="1"/>
  <c r="BR9" i="34" s="1"/>
  <c r="CM128" i="8"/>
  <c r="CM143" i="8" s="1"/>
  <c r="AS137" i="8"/>
  <c r="AT137" i="8" s="1"/>
  <c r="AD135" i="8"/>
  <c r="AE135" i="8" s="1"/>
  <c r="Y131" i="8"/>
  <c r="Z131" i="8" s="1"/>
  <c r="N143" i="8"/>
  <c r="O128" i="8"/>
  <c r="CK153" i="8"/>
  <c r="CM122" i="8"/>
  <c r="CL122" i="8"/>
  <c r="AO135" i="8"/>
  <c r="AI136" i="8"/>
  <c r="AJ136" i="8" s="1"/>
  <c r="AE134" i="8"/>
  <c r="AD128" i="8"/>
  <c r="AD143" i="8" s="1"/>
  <c r="Z130" i="8"/>
  <c r="BS122" i="8"/>
  <c r="CC126" i="8"/>
  <c r="BI126" i="8"/>
  <c r="AS143" i="8"/>
  <c r="AS146" i="8" s="1"/>
  <c r="AG146" i="8"/>
  <c r="AE128" i="8"/>
  <c r="AE69" i="8" s="1"/>
  <c r="AT126" i="8"/>
  <c r="P123" i="8"/>
  <c r="AY126" i="8"/>
  <c r="AK150" i="8"/>
  <c r="AK119" i="8"/>
  <c r="AP65" i="8"/>
  <c r="P126" i="8"/>
  <c r="CM117" i="8"/>
  <c r="BL116" i="8"/>
  <c r="BL117" i="8" s="1"/>
  <c r="AJ113" i="8"/>
  <c r="CG105" i="8"/>
  <c r="CF69" i="8"/>
  <c r="AX105" i="8"/>
  <c r="AX69" i="8" s="1"/>
  <c r="AW69" i="8"/>
  <c r="BL158" i="8"/>
  <c r="BL118" i="8"/>
  <c r="BM102" i="8"/>
  <c r="T111" i="8"/>
  <c r="U111" i="8" s="1"/>
  <c r="BU150" i="8"/>
  <c r="BU119" i="8"/>
  <c r="BZ65" i="8"/>
  <c r="AO111" i="8"/>
  <c r="AN69" i="8"/>
  <c r="AE111" i="8"/>
  <c r="K111" i="8"/>
  <c r="BN102" i="8"/>
  <c r="CD150" i="8"/>
  <c r="CD119" i="8"/>
  <c r="CI65" i="8"/>
  <c r="CM105" i="8"/>
  <c r="CM69" i="8" s="1"/>
  <c r="AR69" i="8"/>
  <c r="AM69" i="8"/>
  <c r="AH69" i="8"/>
  <c r="AC69" i="8"/>
  <c r="X69" i="8"/>
  <c r="CC105" i="8"/>
  <c r="CC69" i="8" s="1"/>
  <c r="AT105" i="8"/>
  <c r="AT69" i="8" s="1"/>
  <c r="AJ105" i="8"/>
  <c r="Z105" i="8"/>
  <c r="Z69" i="8" s="1"/>
  <c r="O69" i="8"/>
  <c r="CH102" i="8"/>
  <c r="AL150" i="8"/>
  <c r="AL119" i="8"/>
  <c r="AQ65" i="8"/>
  <c r="T102" i="8"/>
  <c r="CR105" i="8"/>
  <c r="CR69" i="8" s="1"/>
  <c r="AZ150" i="8"/>
  <c r="BE151" i="8" s="1"/>
  <c r="AZ119" i="8"/>
  <c r="BE65" i="8"/>
  <c r="AI102" i="8"/>
  <c r="N158" i="8"/>
  <c r="N118" i="8"/>
  <c r="AY102" i="8"/>
  <c r="AE102" i="8"/>
  <c r="CE91" i="8"/>
  <c r="BU92" i="8"/>
  <c r="AG92" i="8"/>
  <c r="CG91" i="8"/>
  <c r="CH91" i="8" s="1"/>
  <c r="AR158" i="8"/>
  <c r="AR118" i="8"/>
  <c r="Z102" i="8"/>
  <c r="CH87" i="8"/>
  <c r="CL92" i="8" s="1"/>
  <c r="CM92" i="8" s="1"/>
  <c r="AP92" i="8"/>
  <c r="BO92" i="8"/>
  <c r="CE67" i="8"/>
  <c r="AT87" i="8"/>
  <c r="U87" i="8"/>
  <c r="BO147" i="8"/>
  <c r="CI43" i="8"/>
  <c r="CJ40" i="8"/>
  <c r="BX67" i="8"/>
  <c r="CF29" i="8"/>
  <c r="CF34" i="8" s="1"/>
  <c r="CF45" i="8" s="1"/>
  <c r="CG28" i="8"/>
  <c r="CS116" i="8"/>
  <c r="AZ41" i="3"/>
  <c r="BD38" i="3"/>
  <c r="BD41" i="3" s="1"/>
  <c r="CD87" i="3"/>
  <c r="CD49" i="3"/>
  <c r="CD19" i="3"/>
  <c r="X87" i="3"/>
  <c r="X49" i="3"/>
  <c r="X19" i="3"/>
  <c r="AR87" i="3"/>
  <c r="AR49" i="3"/>
  <c r="AR19" i="3"/>
  <c r="BQ87" i="3"/>
  <c r="BQ49" i="3"/>
  <c r="BQ19" i="3"/>
  <c r="CH81" i="3"/>
  <c r="AJ52" i="3"/>
  <c r="BN41" i="3"/>
  <c r="CC83" i="3"/>
  <c r="CK87" i="3"/>
  <c r="CK49" i="3"/>
  <c r="CK19" i="3"/>
  <c r="BH87" i="3"/>
  <c r="BH49" i="3"/>
  <c r="BH19" i="3"/>
  <c r="AK87" i="3"/>
  <c r="AK49" i="3"/>
  <c r="AK19" i="3"/>
  <c r="S87" i="3"/>
  <c r="S49" i="3"/>
  <c r="S19" i="3"/>
  <c r="E70" i="3"/>
  <c r="E51" i="3"/>
  <c r="E54" i="3" s="1"/>
  <c r="E24" i="3"/>
  <c r="CE87" i="3"/>
  <c r="CE49" i="3"/>
  <c r="CE19" i="3"/>
  <c r="BZ87" i="3"/>
  <c r="BZ49" i="3"/>
  <c r="BZ19" i="3"/>
  <c r="BU87" i="3"/>
  <c r="BU49" i="3"/>
  <c r="BU19" i="3"/>
  <c r="Z83" i="3"/>
  <c r="AT52" i="3"/>
  <c r="AE17" i="3"/>
  <c r="CM87" i="3"/>
  <c r="CM49" i="3"/>
  <c r="CM19" i="3"/>
  <c r="CI87" i="3"/>
  <c r="CI49" i="3"/>
  <c r="CI19" i="3"/>
  <c r="BG87" i="3"/>
  <c r="BG49" i="3"/>
  <c r="BG19" i="3"/>
  <c r="AO83" i="3"/>
  <c r="AO17" i="3"/>
  <c r="CA70" i="3"/>
  <c r="CA51" i="3"/>
  <c r="CA54" i="3" s="1"/>
  <c r="CA24" i="3"/>
  <c r="U52" i="3"/>
  <c r="CM83" i="3"/>
  <c r="CF87" i="3"/>
  <c r="CF49" i="3"/>
  <c r="CF19" i="3"/>
  <c r="AH87" i="3"/>
  <c r="AH49" i="3"/>
  <c r="AH19" i="3"/>
  <c r="CR15" i="3"/>
  <c r="CS15" i="3"/>
  <c r="CC92" i="3"/>
  <c r="CC79" i="3"/>
  <c r="BL70" i="3"/>
  <c r="BL51" i="3"/>
  <c r="BL54" i="3" s="1"/>
  <c r="BL24" i="3"/>
  <c r="AN70" i="3"/>
  <c r="AN51" i="3"/>
  <c r="AN54" i="3" s="1"/>
  <c r="AN24" i="3"/>
  <c r="AL70" i="3"/>
  <c r="AL51" i="3"/>
  <c r="AL54" i="3" s="1"/>
  <c r="AL24" i="3"/>
  <c r="M70" i="3"/>
  <c r="M51" i="3"/>
  <c r="M54" i="3" s="1"/>
  <c r="M24" i="3"/>
  <c r="BF74" i="3"/>
  <c r="BF71" i="3"/>
  <c r="BF73" i="3"/>
  <c r="BF26" i="3"/>
  <c r="AM54" i="3"/>
  <c r="BY70" i="3"/>
  <c r="BY51" i="3"/>
  <c r="BY24" i="3"/>
  <c r="AP70" i="3"/>
  <c r="AP51" i="3"/>
  <c r="AP24" i="3"/>
  <c r="AJ38" i="3"/>
  <c r="AJ41" i="3" s="1"/>
  <c r="AF41" i="3"/>
  <c r="BB87" i="3"/>
  <c r="BB49" i="3"/>
  <c r="BB19" i="3"/>
  <c r="BI92" i="3"/>
  <c r="BI79" i="3"/>
  <c r="CH87" i="3"/>
  <c r="CH49" i="3"/>
  <c r="CH19" i="3"/>
  <c r="AZ70" i="3"/>
  <c r="AZ24" i="3"/>
  <c r="AZ51" i="3"/>
  <c r="K52" i="3"/>
  <c r="K87" i="3"/>
  <c r="K49" i="3"/>
  <c r="K19" i="3"/>
  <c r="BA51" i="3"/>
  <c r="BA54" i="3" s="1"/>
  <c r="BA70" i="3"/>
  <c r="BA24" i="3"/>
  <c r="BC70" i="3"/>
  <c r="BC51" i="3"/>
  <c r="BC54" i="3" s="1"/>
  <c r="BC24" i="3"/>
  <c r="CC87" i="3"/>
  <c r="CC49" i="3"/>
  <c r="CC19" i="3"/>
  <c r="Z39" i="3"/>
  <c r="CH77" i="3"/>
  <c r="CC84" i="3"/>
  <c r="CH82" i="3"/>
  <c r="CC78" i="3"/>
  <c r="AE52" i="3"/>
  <c r="BW87" i="3"/>
  <c r="BW49" i="3"/>
  <c r="BW19" i="3"/>
  <c r="AW87" i="3"/>
  <c r="AW49" i="3"/>
  <c r="AW19" i="3"/>
  <c r="AC87" i="3"/>
  <c r="AC49" i="3"/>
  <c r="AC19" i="3"/>
  <c r="N87" i="3"/>
  <c r="N49" i="3"/>
  <c r="N19" i="3"/>
  <c r="BS92" i="3"/>
  <c r="BS79" i="3"/>
  <c r="BD80" i="3"/>
  <c r="AJ83" i="3"/>
  <c r="AJ81" i="3"/>
  <c r="AJ17" i="3"/>
  <c r="Z17" i="3"/>
  <c r="BR87" i="3"/>
  <c r="BR49" i="3"/>
  <c r="BR19" i="3"/>
  <c r="Q70" i="3"/>
  <c r="Q51" i="3"/>
  <c r="Q24" i="3"/>
  <c r="BD78" i="3"/>
  <c r="BX92" i="3"/>
  <c r="BX79" i="3"/>
  <c r="BV87" i="3"/>
  <c r="BV49" i="3"/>
  <c r="BV19" i="3"/>
  <c r="AF87" i="3"/>
  <c r="AF49" i="3"/>
  <c r="AF19" i="3"/>
  <c r="BI17" i="3"/>
  <c r="CC77" i="3"/>
  <c r="CA87" i="3"/>
  <c r="Z52" i="3"/>
  <c r="CH84" i="3"/>
  <c r="Z81" i="3"/>
  <c r="AA70" i="3"/>
  <c r="AA51" i="3"/>
  <c r="AA24" i="3"/>
  <c r="AO52" i="3"/>
  <c r="AX87" i="3"/>
  <c r="AX49" i="3"/>
  <c r="AX19" i="3"/>
  <c r="BS17" i="3"/>
  <c r="BD77" i="3"/>
  <c r="AO78" i="3"/>
  <c r="BD83" i="3"/>
  <c r="BL87" i="3"/>
  <c r="AI87" i="3"/>
  <c r="AI19" i="3"/>
  <c r="AI49" i="3"/>
  <c r="BN70" i="3"/>
  <c r="BN24" i="3"/>
  <c r="AO79" i="3"/>
  <c r="P17" i="3"/>
  <c r="AN87" i="3"/>
  <c r="AQ73" i="3"/>
  <c r="AQ71" i="3"/>
  <c r="AQ26" i="3"/>
  <c r="W70" i="3"/>
  <c r="W51" i="3"/>
  <c r="W54" i="3" s="1"/>
  <c r="W24" i="3"/>
  <c r="J70" i="3"/>
  <c r="J51" i="3"/>
  <c r="J54" i="3" s="1"/>
  <c r="J69" i="3" s="1"/>
  <c r="J24" i="3"/>
  <c r="CH79" i="3"/>
  <c r="AP87" i="3"/>
  <c r="AT38" i="3"/>
  <c r="AT41" i="3" s="1"/>
  <c r="AP41" i="3"/>
  <c r="CO58" i="3"/>
  <c r="CO56" i="3"/>
  <c r="CN56" i="3"/>
  <c r="AG87" i="3"/>
  <c r="AG49" i="3"/>
  <c r="AG19" i="3"/>
  <c r="G49" i="3"/>
  <c r="G19" i="3"/>
  <c r="V70" i="3"/>
  <c r="V51" i="3"/>
  <c r="V24" i="3"/>
  <c r="CB87" i="3"/>
  <c r="CB49" i="3"/>
  <c r="CB19" i="3"/>
  <c r="AJ92" i="3"/>
  <c r="AJ79" i="3"/>
  <c r="T87" i="3"/>
  <c r="T49" i="3"/>
  <c r="T19" i="3"/>
  <c r="AY87" i="3"/>
  <c r="AY49" i="3"/>
  <c r="AY19" i="3"/>
  <c r="BK70" i="3"/>
  <c r="BK51" i="3"/>
  <c r="BK54" i="3" s="1"/>
  <c r="BK24" i="3"/>
  <c r="AV70" i="3"/>
  <c r="AV51" i="3"/>
  <c r="AV54" i="3" s="1"/>
  <c r="AV24" i="3"/>
  <c r="R70" i="3"/>
  <c r="R51" i="3"/>
  <c r="R54" i="3" s="1"/>
  <c r="R24" i="3"/>
  <c r="D70" i="3"/>
  <c r="D51" i="3"/>
  <c r="D54" i="3" s="1"/>
  <c r="D69" i="3" s="1"/>
  <c r="D24" i="3"/>
  <c r="BF88" i="3"/>
  <c r="BF69" i="3"/>
  <c r="Y70" i="3"/>
  <c r="Y51" i="3"/>
  <c r="Y54" i="3" s="1"/>
  <c r="Y24" i="3"/>
  <c r="CH83" i="3"/>
  <c r="BE41" i="3"/>
  <c r="BI38" i="3"/>
  <c r="BI41" i="3" s="1"/>
  <c r="AU41" i="3"/>
  <c r="AY38" i="3"/>
  <c r="AY41" i="3" s="1"/>
  <c r="AO38" i="3"/>
  <c r="AO41" i="3" s="1"/>
  <c r="AK41" i="3"/>
  <c r="AA41" i="3"/>
  <c r="AE38" i="3"/>
  <c r="AE41" i="3" s="1"/>
  <c r="CH80" i="3"/>
  <c r="Z41" i="3"/>
  <c r="BX87" i="3"/>
  <c r="BX49" i="3"/>
  <c r="BX19" i="3"/>
  <c r="AU70" i="3"/>
  <c r="AU51" i="3"/>
  <c r="AU24" i="3"/>
  <c r="BP87" i="3"/>
  <c r="BP49" i="3"/>
  <c r="BP19" i="3"/>
  <c r="AS87" i="3"/>
  <c r="AS49" i="3"/>
  <c r="AS19" i="3"/>
  <c r="I70" i="3"/>
  <c r="I51" i="3"/>
  <c r="I54" i="3" s="1"/>
  <c r="I69" i="3" s="1"/>
  <c r="I24" i="3"/>
  <c r="BD87" i="3"/>
  <c r="BD49" i="3"/>
  <c r="BD19" i="3"/>
  <c r="CJ87" i="3"/>
  <c r="CJ49" i="3"/>
  <c r="CJ19" i="3"/>
  <c r="BM87" i="3"/>
  <c r="BM49" i="3"/>
  <c r="BM19" i="3"/>
  <c r="F87" i="3"/>
  <c r="F49" i="3"/>
  <c r="F19" i="3"/>
  <c r="BD79" i="3"/>
  <c r="U17" i="3"/>
  <c r="BT87" i="3"/>
  <c r="BT49" i="3"/>
  <c r="BT19" i="3"/>
  <c r="BO87" i="3"/>
  <c r="BO49" i="3"/>
  <c r="BO19" i="3"/>
  <c r="BJ87" i="3"/>
  <c r="BJ49" i="3"/>
  <c r="BJ19" i="3"/>
  <c r="BE87" i="3"/>
  <c r="BE49" i="3"/>
  <c r="BE19" i="3"/>
  <c r="P52" i="3"/>
  <c r="U79" i="3"/>
  <c r="BX84" i="3"/>
  <c r="AT49" i="3"/>
  <c r="AT19" i="3"/>
  <c r="BI78" i="3"/>
  <c r="CM92" i="3"/>
  <c r="CM79" i="3"/>
  <c r="U78" i="3"/>
  <c r="CG87" i="3"/>
  <c r="CG49" i="3"/>
  <c r="CG19" i="3"/>
  <c r="L70" i="3"/>
  <c r="L51" i="3"/>
  <c r="L24" i="3"/>
  <c r="AO92" i="3"/>
  <c r="O70" i="3"/>
  <c r="O51" i="3"/>
  <c r="O54" i="3" s="1"/>
  <c r="O24" i="3"/>
  <c r="AQ54" i="3"/>
  <c r="AB70" i="3"/>
  <c r="AB51" i="3"/>
  <c r="AB54" i="3" s="1"/>
  <c r="AB24" i="3"/>
  <c r="H70" i="3"/>
  <c r="H51" i="3"/>
  <c r="H54" i="3" s="1"/>
  <c r="H69" i="3" s="1"/>
  <c r="H24" i="3"/>
  <c r="CL70" i="3"/>
  <c r="CL51" i="3"/>
  <c r="CL54" i="3" s="1"/>
  <c r="CL24" i="3"/>
  <c r="AD70" i="3"/>
  <c r="AD51" i="3"/>
  <c r="AD54" i="3" s="1"/>
  <c r="AD24" i="3"/>
  <c r="AM73" i="3"/>
  <c r="AM71" i="3"/>
  <c r="AM26" i="3"/>
  <c r="CH92" i="3"/>
  <c r="CY16" i="3"/>
  <c r="BC87" i="3"/>
  <c r="Y87" i="3"/>
  <c r="BR11" i="34" l="1"/>
  <c r="BS9" i="34"/>
  <c r="BT8" i="34" s="1"/>
  <c r="BT11" i="34" s="1"/>
  <c r="BS11" i="34"/>
  <c r="CL25" i="34"/>
  <c r="CL41" i="34" s="1"/>
  <c r="CL55" i="34" s="1"/>
  <c r="CL69" i="34" s="1"/>
  <c r="CL83" i="34" s="1"/>
  <c r="CL97" i="34" s="1"/>
  <c r="CL107" i="34" s="1"/>
  <c r="CL119" i="34" s="1"/>
  <c r="CL129" i="34" s="1"/>
  <c r="CL141" i="34" s="1"/>
  <c r="CL151" i="34" s="1"/>
  <c r="CL161" i="34" s="1"/>
  <c r="CL171" i="34" s="1"/>
  <c r="CL181" i="34" s="1"/>
  <c r="CL199" i="34" s="1"/>
  <c r="CJ23" i="34"/>
  <c r="BZ11" i="34"/>
  <c r="CA8" i="34"/>
  <c r="CK8" i="34"/>
  <c r="CJ11" i="34"/>
  <c r="BV11" i="34"/>
  <c r="CT89" i="34"/>
  <c r="CT92" i="34" s="1"/>
  <c r="CS94" i="34"/>
  <c r="BW159" i="34"/>
  <c r="BY154" i="34"/>
  <c r="BP65" i="34"/>
  <c r="BP67" i="34" s="1"/>
  <c r="BQ60" i="34"/>
  <c r="DB32" i="34"/>
  <c r="DB185" i="34"/>
  <c r="CX185" i="34"/>
  <c r="CX188" i="34" s="1"/>
  <c r="CY185" i="34" s="1"/>
  <c r="CY188" i="34" s="1"/>
  <c r="CZ185" i="34" s="1"/>
  <c r="CZ188" i="34" s="1"/>
  <c r="DA185" i="34" s="1"/>
  <c r="DA188" i="34" s="1"/>
  <c r="DB188" i="34" s="1"/>
  <c r="CC34" i="34"/>
  <c r="CC22" i="34" s="1"/>
  <c r="BY22" i="34"/>
  <c r="CC61" i="34"/>
  <c r="BX23" i="34"/>
  <c r="BX19" i="34"/>
  <c r="BU79" i="34"/>
  <c r="BU81" i="34" s="1"/>
  <c r="BV74" i="34"/>
  <c r="BQ144" i="34"/>
  <c r="BP149" i="34"/>
  <c r="CM50" i="34"/>
  <c r="CL51" i="34"/>
  <c r="CL52" i="34"/>
  <c r="CM52" i="34" s="1"/>
  <c r="CN47" i="34"/>
  <c r="CN50" i="34" s="1"/>
  <c r="CX113" i="34"/>
  <c r="CX116" i="34" s="1"/>
  <c r="CY113" i="34" s="1"/>
  <c r="CY116" i="34" s="1"/>
  <c r="CZ113" i="34" s="1"/>
  <c r="CZ116" i="34" s="1"/>
  <c r="DA113" i="34" s="1"/>
  <c r="DA116" i="34" s="1"/>
  <c r="DB116" i="34" s="1"/>
  <c r="DB113" i="34"/>
  <c r="BR112" i="34"/>
  <c r="DB165" i="34"/>
  <c r="CX165" i="34"/>
  <c r="CX168" i="34" s="1"/>
  <c r="CY165" i="34" s="1"/>
  <c r="CY168" i="34" s="1"/>
  <c r="CZ165" i="34" s="1"/>
  <c r="CZ168" i="34" s="1"/>
  <c r="DA165" i="34" s="1"/>
  <c r="DA168" i="34" s="1"/>
  <c r="DB168" i="34" s="1"/>
  <c r="BP189" i="34"/>
  <c r="BQ184" i="34"/>
  <c r="BX159" i="34"/>
  <c r="CQ21" i="34"/>
  <c r="CP24" i="8"/>
  <c r="CO37" i="34"/>
  <c r="CO39" i="34" s="1"/>
  <c r="CP33" i="34"/>
  <c r="CP36" i="34" s="1"/>
  <c r="CO38" i="34"/>
  <c r="CN169" i="34"/>
  <c r="CO164" i="34"/>
  <c r="DB193" i="34"/>
  <c r="CX193" i="34"/>
  <c r="CX196" i="34" s="1"/>
  <c r="CY193" i="34" s="1"/>
  <c r="CY196" i="34" s="1"/>
  <c r="CZ193" i="34" s="1"/>
  <c r="CZ196" i="34" s="1"/>
  <c r="DA193" i="34" s="1"/>
  <c r="DA196" i="34" s="1"/>
  <c r="DB196" i="34" s="1"/>
  <c r="BZ61" i="34"/>
  <c r="BZ66" i="34" s="1"/>
  <c r="BY19" i="34"/>
  <c r="BY66" i="34"/>
  <c r="BP105" i="34"/>
  <c r="BQ100" i="34"/>
  <c r="CH23" i="34"/>
  <c r="CW175" i="34"/>
  <c r="CS175" i="34"/>
  <c r="CS178" i="34" s="1"/>
  <c r="CT175" i="34" s="1"/>
  <c r="CT178" i="34" s="1"/>
  <c r="CU175" i="34" s="1"/>
  <c r="CU178" i="34" s="1"/>
  <c r="CV175" i="34" s="1"/>
  <c r="CV178" i="34" s="1"/>
  <c r="CW178" i="34" s="1"/>
  <c r="BS37" i="34"/>
  <c r="BT39" i="34" s="1"/>
  <c r="BR39" i="34"/>
  <c r="BX37" i="34"/>
  <c r="BY39" i="34" s="1"/>
  <c r="BW39" i="34"/>
  <c r="DB155" i="34"/>
  <c r="CX155" i="34"/>
  <c r="CX158" i="34" s="1"/>
  <c r="CY155" i="34" s="1"/>
  <c r="CY158" i="34" s="1"/>
  <c r="CZ155" i="34" s="1"/>
  <c r="CZ158" i="34" s="1"/>
  <c r="DA155" i="34" s="1"/>
  <c r="DA158" i="34" s="1"/>
  <c r="DB158" i="34" s="1"/>
  <c r="CA88" i="34"/>
  <c r="BZ93" i="34"/>
  <c r="BZ95" i="34" s="1"/>
  <c r="BI39" i="34"/>
  <c r="BD39" i="34"/>
  <c r="CL61" i="34"/>
  <c r="CL64" i="34" s="1"/>
  <c r="CK66" i="34"/>
  <c r="CO174" i="34"/>
  <c r="CN179" i="34"/>
  <c r="DB135" i="34"/>
  <c r="CX135" i="34"/>
  <c r="CX138" i="34" s="1"/>
  <c r="CY135" i="34" s="1"/>
  <c r="CY138" i="34" s="1"/>
  <c r="CZ135" i="34" s="1"/>
  <c r="CZ138" i="34" s="1"/>
  <c r="DA135" i="34" s="1"/>
  <c r="DA138" i="34" s="1"/>
  <c r="DB138" i="34" s="1"/>
  <c r="DB101" i="34"/>
  <c r="CX101" i="34"/>
  <c r="CX104" i="34" s="1"/>
  <c r="CY101" i="34" s="1"/>
  <c r="CY104" i="34" s="1"/>
  <c r="CZ101" i="34" s="1"/>
  <c r="CZ104" i="34" s="1"/>
  <c r="DA101" i="34" s="1"/>
  <c r="DA104" i="34" s="1"/>
  <c r="DB104" i="34" s="1"/>
  <c r="BQ113" i="34"/>
  <c r="BQ116" i="34" s="1"/>
  <c r="BP23" i="34"/>
  <c r="BP19" i="34"/>
  <c r="BT192" i="34"/>
  <c r="BR197" i="34"/>
  <c r="BS197" i="34" s="1"/>
  <c r="CJ78" i="34"/>
  <c r="CM77" i="34"/>
  <c r="CM23" i="34" s="1"/>
  <c r="CA122" i="34"/>
  <c r="BZ127" i="34"/>
  <c r="BI34" i="34"/>
  <c r="BI22" i="34" s="1"/>
  <c r="BI38" i="34"/>
  <c r="BP139" i="34"/>
  <c r="BQ134" i="34"/>
  <c r="BP117" i="34"/>
  <c r="CC23" i="34"/>
  <c r="BI64" i="37"/>
  <c r="BI65" i="37" s="1"/>
  <c r="BI62" i="37"/>
  <c r="BI63" i="37" s="1"/>
  <c r="BI61" i="37"/>
  <c r="BI60" i="37"/>
  <c r="BI59" i="37"/>
  <c r="BS64" i="37"/>
  <c r="BS65" i="37" s="1"/>
  <c r="BS62" i="37"/>
  <c r="BS61" i="37"/>
  <c r="BS60" i="37"/>
  <c r="BS59" i="37"/>
  <c r="P65" i="37"/>
  <c r="BX74" i="37"/>
  <c r="BS84" i="37"/>
  <c r="BX45" i="37"/>
  <c r="CM29" i="37"/>
  <c r="BS47" i="37"/>
  <c r="CC81" i="37"/>
  <c r="CC64" i="37"/>
  <c r="CC65" i="37" s="1"/>
  <c r="CC62" i="37"/>
  <c r="CC60" i="37"/>
  <c r="CC59" i="37"/>
  <c r="CC61" i="37"/>
  <c r="CH56" i="37"/>
  <c r="CG63" i="37"/>
  <c r="AR63" i="37"/>
  <c r="BD63" i="37"/>
  <c r="CM63" i="37"/>
  <c r="CY40" i="37"/>
  <c r="CT14" i="3"/>
  <c r="AB65" i="37"/>
  <c r="AZ65" i="37"/>
  <c r="BX72" i="37"/>
  <c r="BS81" i="37"/>
  <c r="CW41" i="37"/>
  <c r="BX56" i="37"/>
  <c r="AT64" i="37"/>
  <c r="AT62" i="37"/>
  <c r="AT63" i="37" s="1"/>
  <c r="AT61" i="37"/>
  <c r="AT60" i="37"/>
  <c r="AT59" i="37"/>
  <c r="CH29" i="37"/>
  <c r="CM36" i="37"/>
  <c r="AF63" i="37"/>
  <c r="BX29" i="37"/>
  <c r="X65" i="37"/>
  <c r="CC45" i="37"/>
  <c r="CZ40" i="37"/>
  <c r="CU14" i="3"/>
  <c r="CW14" i="3" s="1"/>
  <c r="DA40" i="37"/>
  <c r="DB40" i="37" s="1"/>
  <c r="CV14" i="3"/>
  <c r="CC56" i="37"/>
  <c r="CH81" i="37"/>
  <c r="BD65" i="37"/>
  <c r="CH63" i="37"/>
  <c r="CR41" i="37"/>
  <c r="T65" i="37"/>
  <c r="AB63" i="37"/>
  <c r="BH63" i="37"/>
  <c r="BX81" i="37"/>
  <c r="BH65" i="37"/>
  <c r="AO64" i="37"/>
  <c r="AO65" i="37" s="1"/>
  <c r="AO62" i="37"/>
  <c r="AO63" i="37" s="1"/>
  <c r="AO61" i="37"/>
  <c r="AO60" i="37"/>
  <c r="AO59" i="37"/>
  <c r="CC38" i="37"/>
  <c r="CM38" i="37"/>
  <c r="CM47" i="37"/>
  <c r="O63" i="37"/>
  <c r="CX14" i="3"/>
  <c r="CC84" i="37"/>
  <c r="CG65" i="37"/>
  <c r="BN64" i="37"/>
  <c r="BN65" i="37" s="1"/>
  <c r="BN60" i="37"/>
  <c r="BN59" i="37"/>
  <c r="BN62" i="37"/>
  <c r="BN63" i="37" s="1"/>
  <c r="BN61" i="37"/>
  <c r="AN65" i="37"/>
  <c r="CC47" i="37"/>
  <c r="CM54" i="37"/>
  <c r="CC72" i="37"/>
  <c r="CH74" i="37"/>
  <c r="CM81" i="37"/>
  <c r="CM84" i="37"/>
  <c r="CC27" i="37"/>
  <c r="AY64" i="37"/>
  <c r="AY65" i="37" s="1"/>
  <c r="AY62" i="37"/>
  <c r="AY63" i="37" s="1"/>
  <c r="AY61" i="37"/>
  <c r="AY60" i="37"/>
  <c r="AY59" i="37"/>
  <c r="K63" i="37"/>
  <c r="T63" i="37"/>
  <c r="AN63" i="37"/>
  <c r="BL63" i="37"/>
  <c r="BX54" i="37"/>
  <c r="BX64" i="37"/>
  <c r="BX61" i="37"/>
  <c r="BX60" i="37"/>
  <c r="BX59" i="37"/>
  <c r="BX62" i="37"/>
  <c r="BX63" i="37" s="1"/>
  <c r="AH131" i="35"/>
  <c r="AM206" i="35"/>
  <c r="CP202" i="35"/>
  <c r="BN151" i="35"/>
  <c r="BN143" i="35"/>
  <c r="BN137" i="35"/>
  <c r="BN150" i="35"/>
  <c r="BN127" i="35"/>
  <c r="Q144" i="35"/>
  <c r="AI138" i="35"/>
  <c r="CT176" i="35"/>
  <c r="BW202" i="35"/>
  <c r="BW175" i="35"/>
  <c r="AJ150" i="35"/>
  <c r="AJ143" i="35"/>
  <c r="AJ151" i="35"/>
  <c r="AJ137" i="35"/>
  <c r="AJ127" i="35"/>
  <c r="CR74" i="35"/>
  <c r="CR78" i="35" s="1"/>
  <c r="CN74" i="35"/>
  <c r="CN78" i="35" s="1"/>
  <c r="CO74" i="35" s="1"/>
  <c r="CO78" i="35" s="1"/>
  <c r="CP74" i="35" s="1"/>
  <c r="CP78" i="35" s="1"/>
  <c r="CQ74" i="35" s="1"/>
  <c r="CQ78" i="35" s="1"/>
  <c r="Z123" i="35"/>
  <c r="Z125" i="35"/>
  <c r="BI151" i="35"/>
  <c r="BI150" i="35"/>
  <c r="BI143" i="35"/>
  <c r="BI127" i="35"/>
  <c r="BI137" i="35"/>
  <c r="R203" i="35"/>
  <c r="CH208" i="35"/>
  <c r="CH209" i="35" s="1"/>
  <c r="CH166" i="35"/>
  <c r="S146" i="35"/>
  <c r="S140" i="35"/>
  <c r="BY128" i="35"/>
  <c r="BA138" i="35"/>
  <c r="R209" i="35"/>
  <c r="R71" i="35"/>
  <c r="R70" i="35" s="1"/>
  <c r="CF153" i="35"/>
  <c r="CF133" i="35"/>
  <c r="CF12" i="35"/>
  <c r="CF9" i="35"/>
  <c r="CK9" i="35"/>
  <c r="CF149" i="35"/>
  <c r="BS208" i="35"/>
  <c r="BS209" i="35" s="1"/>
  <c r="BS166" i="35"/>
  <c r="CI202" i="35"/>
  <c r="CI203" i="35" s="1"/>
  <c r="CI175" i="35"/>
  <c r="CM173" i="35"/>
  <c r="BM203" i="35"/>
  <c r="BF158" i="35"/>
  <c r="BF146" i="35"/>
  <c r="BF140" i="35"/>
  <c r="CA106" i="35"/>
  <c r="CA109" i="35"/>
  <c r="X146" i="35"/>
  <c r="X147" i="35" s="1"/>
  <c r="X140" i="35"/>
  <c r="X141" i="35" s="1"/>
  <c r="BL131" i="35"/>
  <c r="AO110" i="35"/>
  <c r="CH123" i="35"/>
  <c r="BM131" i="35"/>
  <c r="R146" i="35"/>
  <c r="R140" i="35"/>
  <c r="AI131" i="35"/>
  <c r="BI155" i="35"/>
  <c r="BI154" i="35"/>
  <c r="BI130" i="35"/>
  <c r="BX100" i="35"/>
  <c r="K123" i="35"/>
  <c r="K125" i="35"/>
  <c r="P123" i="35"/>
  <c r="P125" i="35"/>
  <c r="AO125" i="35"/>
  <c r="AO123" i="35"/>
  <c r="AQ158" i="35"/>
  <c r="AQ146" i="35"/>
  <c r="AQ140" i="35"/>
  <c r="CJ209" i="35"/>
  <c r="CJ71" i="35"/>
  <c r="CH205" i="35"/>
  <c r="CH177" i="35"/>
  <c r="BD196" i="35"/>
  <c r="AZ197" i="35"/>
  <c r="BP205" i="35"/>
  <c r="BP206" i="35" s="1"/>
  <c r="BP178" i="35"/>
  <c r="CA153" i="35"/>
  <c r="CA149" i="35"/>
  <c r="CA133" i="35"/>
  <c r="CA134" i="35" s="1"/>
  <c r="CA12" i="35"/>
  <c r="CA13" i="35" s="1"/>
  <c r="CA9" i="35"/>
  <c r="CC8" i="35"/>
  <c r="AT151" i="35"/>
  <c r="AT150" i="35"/>
  <c r="AT143" i="35"/>
  <c r="AT137" i="35"/>
  <c r="AT127" i="35"/>
  <c r="AY175" i="35"/>
  <c r="Q138" i="35"/>
  <c r="U151" i="35"/>
  <c r="U143" i="35"/>
  <c r="U150" i="35"/>
  <c r="U137" i="35"/>
  <c r="U127" i="35"/>
  <c r="AD144" i="35"/>
  <c r="BD157" i="35"/>
  <c r="AZ146" i="35"/>
  <c r="AZ158" i="35"/>
  <c r="AZ140" i="35"/>
  <c r="AI144" i="35"/>
  <c r="N209" i="35"/>
  <c r="N71" i="35"/>
  <c r="N70" i="35" s="1"/>
  <c r="AT205" i="35"/>
  <c r="AT178" i="35"/>
  <c r="AT200" i="35"/>
  <c r="BB203" i="35"/>
  <c r="L20" i="45" s="1"/>
  <c r="M209" i="35"/>
  <c r="M71" i="35"/>
  <c r="M70" i="35" s="1"/>
  <c r="X203" i="35"/>
  <c r="BS196" i="35"/>
  <c r="AF138" i="35"/>
  <c r="AJ157" i="35"/>
  <c r="AF146" i="35"/>
  <c r="AF140" i="35"/>
  <c r="BZ157" i="35"/>
  <c r="BZ143" i="35"/>
  <c r="BZ144" i="35" s="1"/>
  <c r="BZ137" i="35"/>
  <c r="BZ138" i="35" s="1"/>
  <c r="BZ150" i="35"/>
  <c r="BZ127" i="35"/>
  <c r="BZ128" i="35" s="1"/>
  <c r="Q74" i="35"/>
  <c r="U74" i="35"/>
  <c r="CQ202" i="35"/>
  <c r="CL128" i="35"/>
  <c r="CL158" i="35"/>
  <c r="CL146" i="35"/>
  <c r="CL140" i="35"/>
  <c r="T138" i="35"/>
  <c r="AG131" i="35"/>
  <c r="AP131" i="35"/>
  <c r="CC221" i="35"/>
  <c r="CC219" i="35"/>
  <c r="CC224" i="35" s="1"/>
  <c r="BX221" i="35"/>
  <c r="BX219" i="35"/>
  <c r="CC220" i="35"/>
  <c r="CC218" i="35"/>
  <c r="CC223" i="35" s="1"/>
  <c r="BX220" i="35"/>
  <c r="BX218" i="35"/>
  <c r="BX133" i="35"/>
  <c r="M144" i="35"/>
  <c r="J146" i="35"/>
  <c r="J140" i="35"/>
  <c r="Z154" i="35"/>
  <c r="Z155" i="35"/>
  <c r="Z130" i="35"/>
  <c r="BE144" i="35"/>
  <c r="BN134" i="35"/>
  <c r="AE123" i="35"/>
  <c r="AE125" i="35"/>
  <c r="AU128" i="35"/>
  <c r="AY150" i="35"/>
  <c r="AY143" i="35"/>
  <c r="AY144" i="35" s="1"/>
  <c r="AY137" i="35"/>
  <c r="AY138" i="35" s="1"/>
  <c r="AY127" i="35"/>
  <c r="AY128" i="35" s="1"/>
  <c r="BJ131" i="35"/>
  <c r="BK205" i="35"/>
  <c r="BK206" i="35" s="1"/>
  <c r="BK178" i="35"/>
  <c r="CD203" i="35"/>
  <c r="CU176" i="35"/>
  <c r="AJ197" i="35"/>
  <c r="CE153" i="35"/>
  <c r="CE149" i="35"/>
  <c r="CE133" i="35"/>
  <c r="CE134" i="35" s="1"/>
  <c r="CE12" i="35"/>
  <c r="CE9" i="35"/>
  <c r="CH8" i="35"/>
  <c r="BD205" i="35"/>
  <c r="BD178" i="35"/>
  <c r="N12" i="45" s="1"/>
  <c r="AO205" i="35"/>
  <c r="AO178" i="35"/>
  <c r="AT196" i="35"/>
  <c r="AN138" i="35"/>
  <c r="AN146" i="35"/>
  <c r="AN158" i="35"/>
  <c r="AN140" i="35"/>
  <c r="E140" i="35"/>
  <c r="E141" i="35" s="1"/>
  <c r="E146" i="35"/>
  <c r="AE100" i="35"/>
  <c r="AJ187" i="35"/>
  <c r="R131" i="35"/>
  <c r="V138" i="35"/>
  <c r="AR131" i="35"/>
  <c r="BS123" i="35"/>
  <c r="BS125" i="35"/>
  <c r="BK144" i="35"/>
  <c r="BG206" i="35"/>
  <c r="BX196" i="35"/>
  <c r="BX197" i="35" s="1"/>
  <c r="BB138" i="35"/>
  <c r="CD158" i="35"/>
  <c r="CD140" i="35"/>
  <c r="CD141" i="35" s="1"/>
  <c r="CH100" i="35"/>
  <c r="AG128" i="35"/>
  <c r="AU131" i="35"/>
  <c r="AH144" i="35"/>
  <c r="BD155" i="35"/>
  <c r="BD154" i="35"/>
  <c r="BD130" i="35"/>
  <c r="AW131" i="35"/>
  <c r="Z134" i="35"/>
  <c r="AE209" i="35"/>
  <c r="AT110" i="35"/>
  <c r="AT100" i="35"/>
  <c r="AY187" i="35"/>
  <c r="W138" i="35"/>
  <c r="K157" i="35"/>
  <c r="G146" i="35"/>
  <c r="G140" i="35"/>
  <c r="AA144" i="35"/>
  <c r="AL131" i="35"/>
  <c r="BJ206" i="35"/>
  <c r="N203" i="35"/>
  <c r="Z175" i="35"/>
  <c r="AD209" i="35"/>
  <c r="AD71" i="35"/>
  <c r="AD70" i="35" s="1"/>
  <c r="AX206" i="35"/>
  <c r="BF206" i="35"/>
  <c r="CF202" i="35"/>
  <c r="CF175" i="35"/>
  <c r="CB153" i="35"/>
  <c r="CB133" i="35"/>
  <c r="CB12" i="35"/>
  <c r="CB9" i="35"/>
  <c r="CG9" i="35"/>
  <c r="CB149" i="35"/>
  <c r="CC149" i="35" s="1"/>
  <c r="CB209" i="35"/>
  <c r="BQ206" i="35"/>
  <c r="CL203" i="35"/>
  <c r="BL209" i="35"/>
  <c r="BL71" i="35"/>
  <c r="BL70" i="35" s="1"/>
  <c r="CI205" i="35"/>
  <c r="CI206" i="35" s="1"/>
  <c r="CN176" i="35"/>
  <c r="CM176" i="35"/>
  <c r="CI178" i="35"/>
  <c r="T203" i="35"/>
  <c r="AZ203" i="35"/>
  <c r="J20" i="45" s="1"/>
  <c r="BH206" i="35"/>
  <c r="AO187" i="35"/>
  <c r="AK197" i="35"/>
  <c r="AO196" i="35"/>
  <c r="AO197" i="35" s="1"/>
  <c r="BA197" i="35"/>
  <c r="BV157" i="35"/>
  <c r="BV143" i="35"/>
  <c r="BV144" i="35" s="1"/>
  <c r="BV137" i="35"/>
  <c r="BV138" i="35" s="1"/>
  <c r="BV150" i="35"/>
  <c r="BV127" i="35"/>
  <c r="BV128" i="35" s="1"/>
  <c r="L131" i="35"/>
  <c r="AV131" i="35"/>
  <c r="AT134" i="35"/>
  <c r="AY209" i="35"/>
  <c r="BV203" i="35"/>
  <c r="BI117" i="35"/>
  <c r="Z117" i="35"/>
  <c r="CJ13" i="35"/>
  <c r="AE110" i="35"/>
  <c r="BW206" i="35"/>
  <c r="AO155" i="35"/>
  <c r="AO154" i="35"/>
  <c r="AO130" i="35"/>
  <c r="CA202" i="35"/>
  <c r="CA203" i="35" s="1"/>
  <c r="CA175" i="35"/>
  <c r="AT157" i="35"/>
  <c r="AP158" i="35"/>
  <c r="AP146" i="35"/>
  <c r="AP140" i="35"/>
  <c r="AP141" i="35" s="1"/>
  <c r="O146" i="35"/>
  <c r="O147" i="35" s="1"/>
  <c r="O140" i="35"/>
  <c r="O141" i="35" s="1"/>
  <c r="BZ13" i="35"/>
  <c r="CC12" i="35"/>
  <c r="AO157" i="35"/>
  <c r="AK158" i="35"/>
  <c r="AK140" i="35"/>
  <c r="AK141" i="35" s="1"/>
  <c r="AK146" i="35"/>
  <c r="AK147" i="35" s="1"/>
  <c r="BL146" i="35"/>
  <c r="BL158" i="35"/>
  <c r="BL140" i="35"/>
  <c r="BK209" i="35"/>
  <c r="BK71" i="35"/>
  <c r="BK70" i="35" s="1"/>
  <c r="Z157" i="35"/>
  <c r="V146" i="35"/>
  <c r="V140" i="35"/>
  <c r="BB197" i="35"/>
  <c r="BB70" i="35"/>
  <c r="BD70" i="35" s="1"/>
  <c r="BD71" i="35"/>
  <c r="BY158" i="35"/>
  <c r="BY140" i="35"/>
  <c r="BY146" i="35"/>
  <c r="AT123" i="35"/>
  <c r="AT125" i="35"/>
  <c r="AX128" i="35"/>
  <c r="BX123" i="35"/>
  <c r="BX125" i="35"/>
  <c r="AX203" i="35"/>
  <c r="H20" i="45" s="1"/>
  <c r="AC209" i="35"/>
  <c r="AC71" i="35"/>
  <c r="AC70" i="35" s="1"/>
  <c r="BE203" i="35"/>
  <c r="O20" i="45" s="1"/>
  <c r="AJ134" i="35"/>
  <c r="AO209" i="35"/>
  <c r="CC90" i="35"/>
  <c r="P151" i="35"/>
  <c r="P150" i="35"/>
  <c r="P137" i="35"/>
  <c r="P127" i="35"/>
  <c r="U203" i="35" s="1"/>
  <c r="P143" i="35"/>
  <c r="X128" i="35"/>
  <c r="M140" i="35"/>
  <c r="M146" i="35"/>
  <c r="AL128" i="35"/>
  <c r="AQ203" i="35"/>
  <c r="AL158" i="35"/>
  <c r="AL146" i="35"/>
  <c r="AL140" i="35"/>
  <c r="AV144" i="35"/>
  <c r="AR158" i="35"/>
  <c r="AR146" i="35"/>
  <c r="AR147" i="35" s="1"/>
  <c r="AR140" i="35"/>
  <c r="AR141" i="35" s="1"/>
  <c r="S144" i="35"/>
  <c r="AQ128" i="35"/>
  <c r="AM158" i="35"/>
  <c r="AM146" i="35"/>
  <c r="AM140" i="35"/>
  <c r="AD206" i="35"/>
  <c r="BX208" i="35"/>
  <c r="CC173" i="35"/>
  <c r="CA205" i="35"/>
  <c r="CA206" i="35" s="1"/>
  <c r="CA178" i="35"/>
  <c r="AG209" i="35"/>
  <c r="AG71" i="35"/>
  <c r="AG70" i="35" s="1"/>
  <c r="AR203" i="35"/>
  <c r="AC203" i="35"/>
  <c r="AG206" i="35"/>
  <c r="BW200" i="35"/>
  <c r="BE197" i="35"/>
  <c r="BI196" i="35"/>
  <c r="BI197" i="35" s="1"/>
  <c r="AC138" i="35"/>
  <c r="AC140" i="35"/>
  <c r="AC141" i="35" s="1"/>
  <c r="AC146" i="35"/>
  <c r="AC147" i="35" s="1"/>
  <c r="AP138" i="35"/>
  <c r="U157" i="35"/>
  <c r="Q140" i="35"/>
  <c r="Q146" i="35"/>
  <c r="BU146" i="35"/>
  <c r="BU140" i="35"/>
  <c r="AW144" i="35"/>
  <c r="AE205" i="35"/>
  <c r="AE206" i="35" s="1"/>
  <c r="AE178" i="35"/>
  <c r="BO203" i="35"/>
  <c r="BW209" i="35"/>
  <c r="AO175" i="35"/>
  <c r="BV197" i="35"/>
  <c r="AT74" i="35"/>
  <c r="AT78" i="35" s="1"/>
  <c r="AP74" i="35"/>
  <c r="AA107" i="35"/>
  <c r="AE106" i="35"/>
  <c r="AE107" i="35" s="1"/>
  <c r="H146" i="35"/>
  <c r="H140" i="35"/>
  <c r="AT155" i="35"/>
  <c r="AT154" i="35"/>
  <c r="AT130" i="35"/>
  <c r="AT131" i="35" s="1"/>
  <c r="AW107" i="35"/>
  <c r="BM158" i="35"/>
  <c r="BM140" i="35"/>
  <c r="BM146" i="35"/>
  <c r="CG140" i="35"/>
  <c r="CG146" i="35"/>
  <c r="AY100" i="35"/>
  <c r="BD187" i="35"/>
  <c r="N146" i="35"/>
  <c r="N140" i="35"/>
  <c r="AM131" i="35"/>
  <c r="BE138" i="35"/>
  <c r="AJ123" i="35"/>
  <c r="AJ125" i="35"/>
  <c r="AU138" i="35"/>
  <c r="BN154" i="35"/>
  <c r="BN155" i="35"/>
  <c r="BN130" i="35"/>
  <c r="BN131" i="35" s="1"/>
  <c r="BN209" i="35"/>
  <c r="CV176" i="35"/>
  <c r="CE202" i="35"/>
  <c r="CE203" i="35" s="1"/>
  <c r="CE175" i="35"/>
  <c r="AJ205" i="35"/>
  <c r="AJ178" i="35"/>
  <c r="Q203" i="35"/>
  <c r="AW203" i="35"/>
  <c r="G20" i="45" s="1"/>
  <c r="BE206" i="35"/>
  <c r="BY197" i="35"/>
  <c r="CC196" i="35"/>
  <c r="CC197" i="35" s="1"/>
  <c r="AN128" i="35"/>
  <c r="Y138" i="35"/>
  <c r="Y146" i="35"/>
  <c r="Y140" i="35"/>
  <c r="V144" i="35"/>
  <c r="BK158" i="35"/>
  <c r="BK146" i="35"/>
  <c r="BK147" i="35" s="1"/>
  <c r="BK140" i="35"/>
  <c r="BK141" i="35" s="1"/>
  <c r="CK203" i="35"/>
  <c r="AC206" i="35"/>
  <c r="K155" i="35"/>
  <c r="K154" i="35"/>
  <c r="K130" i="35"/>
  <c r="K131" i="35" s="1"/>
  <c r="AS131" i="35"/>
  <c r="BB144" i="35"/>
  <c r="AC131" i="35"/>
  <c r="AY154" i="35"/>
  <c r="AY130" i="35"/>
  <c r="AY131" i="35" s="1"/>
  <c r="U155" i="35"/>
  <c r="U154" i="35"/>
  <c r="U130" i="35"/>
  <c r="AH128" i="35"/>
  <c r="AH146" i="35"/>
  <c r="AH147" i="35" s="1"/>
  <c r="AH140" i="35"/>
  <c r="AH141" i="35" s="1"/>
  <c r="BY144" i="35"/>
  <c r="CM100" i="35"/>
  <c r="BI100" i="35"/>
  <c r="BN187" i="35"/>
  <c r="BA144" i="35"/>
  <c r="AJ107" i="35"/>
  <c r="CM123" i="35"/>
  <c r="CM125" i="35"/>
  <c r="AJ117" i="35"/>
  <c r="W128" i="35"/>
  <c r="K150" i="35"/>
  <c r="K151" i="35"/>
  <c r="K143" i="35"/>
  <c r="K144" i="35" s="1"/>
  <c r="K137" i="35"/>
  <c r="K138" i="35" s="1"/>
  <c r="K127" i="35"/>
  <c r="BC158" i="35"/>
  <c r="BC146" i="35"/>
  <c r="BC140" i="35"/>
  <c r="BC141" i="35" s="1"/>
  <c r="AQ206" i="35"/>
  <c r="AE157" i="35"/>
  <c r="AA146" i="35"/>
  <c r="AA147" i="35" s="1"/>
  <c r="AA140" i="35"/>
  <c r="AA141" i="35" s="1"/>
  <c r="Z203" i="35"/>
  <c r="BN175" i="35"/>
  <c r="CF205" i="35"/>
  <c r="CF206" i="35" s="1"/>
  <c r="CF178" i="35"/>
  <c r="BX173" i="35"/>
  <c r="CB202" i="35"/>
  <c r="CB203" i="35" s="1"/>
  <c r="CB175" i="35"/>
  <c r="BU178" i="35"/>
  <c r="BL202" i="35"/>
  <c r="BL203" i="35" s="1"/>
  <c r="BL175" i="35"/>
  <c r="BO230" i="35"/>
  <c r="BO231" i="35"/>
  <c r="BO228" i="35"/>
  <c r="BO229" i="35"/>
  <c r="BO153" i="35"/>
  <c r="BO133" i="35"/>
  <c r="BO12" i="35"/>
  <c r="BO9" i="35"/>
  <c r="BS8" i="35"/>
  <c r="BX9" i="35" s="1"/>
  <c r="BT9" i="35"/>
  <c r="BT166" i="35"/>
  <c r="BO149" i="35"/>
  <c r="BO209" i="35"/>
  <c r="BO71" i="35"/>
  <c r="CM208" i="35"/>
  <c r="CM209" i="35" s="1"/>
  <c r="CM166" i="35"/>
  <c r="AK203" i="35"/>
  <c r="AS206" i="35"/>
  <c r="AX138" i="35"/>
  <c r="P157" i="35"/>
  <c r="L146" i="35"/>
  <c r="L147" i="35" s="1"/>
  <c r="L140" i="35"/>
  <c r="L141" i="35" s="1"/>
  <c r="U125" i="35"/>
  <c r="U123" i="35"/>
  <c r="AH206" i="35"/>
  <c r="BR206" i="35"/>
  <c r="CC176" i="35"/>
  <c r="Y203" i="35"/>
  <c r="CD197" i="35"/>
  <c r="CH117" i="35"/>
  <c r="CJ134" i="35"/>
  <c r="BX117" i="35"/>
  <c r="P85" i="35"/>
  <c r="AY178" i="35"/>
  <c r="I12" i="45" s="1"/>
  <c r="AJ155" i="35"/>
  <c r="AJ154" i="35"/>
  <c r="AJ130" i="35"/>
  <c r="F146" i="35"/>
  <c r="F147" i="35" s="1"/>
  <c r="F140" i="35"/>
  <c r="F141" i="35" s="1"/>
  <c r="BN157" i="35"/>
  <c r="BJ158" i="35"/>
  <c r="BJ146" i="35"/>
  <c r="BJ140" i="35"/>
  <c r="BP202" i="35"/>
  <c r="BP203" i="35" s="1"/>
  <c r="BP175" i="35"/>
  <c r="BS173" i="35"/>
  <c r="BS200" i="35" s="1"/>
  <c r="CB109" i="35"/>
  <c r="CB106" i="35"/>
  <c r="AU158" i="35"/>
  <c r="AY157" i="35"/>
  <c r="AU146" i="35"/>
  <c r="AU147" i="35" s="1"/>
  <c r="AU140" i="35"/>
  <c r="AU141" i="35" s="1"/>
  <c r="BT146" i="35"/>
  <c r="BT140" i="35"/>
  <c r="AH209" i="35"/>
  <c r="AH71" i="35"/>
  <c r="AH70" i="35" s="1"/>
  <c r="AG203" i="35"/>
  <c r="BI205" i="35"/>
  <c r="BI206" i="35" s="1"/>
  <c r="BI178" i="35"/>
  <c r="S12" i="45" s="1"/>
  <c r="Z178" i="35"/>
  <c r="AX131" i="35"/>
  <c r="BC206" i="35"/>
  <c r="AG140" i="35"/>
  <c r="AG141" i="35" s="1"/>
  <c r="AG146" i="35"/>
  <c r="CM109" i="35"/>
  <c r="I146" i="35"/>
  <c r="I140" i="35"/>
  <c r="W146" i="35"/>
  <c r="W147" i="35" s="1"/>
  <c r="W140" i="35"/>
  <c r="W141" i="35" s="1"/>
  <c r="CF209" i="35"/>
  <c r="CM200" i="35"/>
  <c r="BR197" i="35"/>
  <c r="AX158" i="35"/>
  <c r="AX146" i="35"/>
  <c r="AX147" i="35" s="1"/>
  <c r="AX140" i="35"/>
  <c r="AX141" i="35" s="1"/>
  <c r="BF138" i="35"/>
  <c r="AF131" i="35"/>
  <c r="BR157" i="35"/>
  <c r="BR143" i="35"/>
  <c r="BR144" i="35" s="1"/>
  <c r="BR137" i="35"/>
  <c r="BR138" i="35" s="1"/>
  <c r="BR150" i="35"/>
  <c r="BR127" i="35"/>
  <c r="BR128" i="35" s="1"/>
  <c r="X144" i="35"/>
  <c r="AK131" i="35"/>
  <c r="BC131" i="35"/>
  <c r="AV128" i="35"/>
  <c r="AV146" i="35"/>
  <c r="AV147" i="35" s="1"/>
  <c r="AV158" i="35"/>
  <c r="AV140" i="35"/>
  <c r="AV141" i="35" s="1"/>
  <c r="BQ128" i="35"/>
  <c r="BQ158" i="35"/>
  <c r="BQ140" i="35"/>
  <c r="BQ141" i="35" s="1"/>
  <c r="BQ146" i="35"/>
  <c r="BQ147" i="35" s="1"/>
  <c r="CK146" i="35"/>
  <c r="CK140" i="35"/>
  <c r="F144" i="35"/>
  <c r="AE155" i="35"/>
  <c r="AE154" i="35"/>
  <c r="AE130" i="35"/>
  <c r="AE131" i="35" s="1"/>
  <c r="AR128" i="35"/>
  <c r="AQ138" i="35"/>
  <c r="AM138" i="35"/>
  <c r="CJ202" i="35"/>
  <c r="CJ203" i="35" s="1"/>
  <c r="CJ175" i="35"/>
  <c r="BP231" i="35"/>
  <c r="BP228" i="35"/>
  <c r="BP229" i="35"/>
  <c r="BP230" i="35"/>
  <c r="BP153" i="35"/>
  <c r="BP149" i="35"/>
  <c r="BP133" i="35"/>
  <c r="BP12" i="35"/>
  <c r="BP9" i="35"/>
  <c r="BU9" i="35"/>
  <c r="BU166" i="35"/>
  <c r="BP209" i="35"/>
  <c r="BP71" i="35"/>
  <c r="BP70" i="35" s="1"/>
  <c r="Q209" i="35"/>
  <c r="Q71" i="35"/>
  <c r="Q70" i="35" s="1"/>
  <c r="BZ197" i="35"/>
  <c r="AS158" i="35"/>
  <c r="AS140" i="35"/>
  <c r="AS141" i="35" s="1"/>
  <c r="AS146" i="35"/>
  <c r="AS147" i="35" s="1"/>
  <c r="AC128" i="35"/>
  <c r="AO100" i="35"/>
  <c r="AT187" i="35"/>
  <c r="AD146" i="35"/>
  <c r="AD147" i="35" s="1"/>
  <c r="AD140" i="35"/>
  <c r="AD141" i="35" s="1"/>
  <c r="BD151" i="35"/>
  <c r="BD150" i="35"/>
  <c r="BD143" i="35"/>
  <c r="BD144" i="35" s="1"/>
  <c r="BD127" i="35"/>
  <c r="BD128" i="35" s="1"/>
  <c r="BD137" i="35"/>
  <c r="BD138" i="35" s="1"/>
  <c r="AT106" i="35"/>
  <c r="AT107" i="35" s="1"/>
  <c r="AW138" i="35"/>
  <c r="AW158" i="35"/>
  <c r="AW140" i="35"/>
  <c r="AW141" i="35" s="1"/>
  <c r="AW146" i="35"/>
  <c r="AW147" i="35" s="1"/>
  <c r="O144" i="35"/>
  <c r="AI128" i="35"/>
  <c r="AI146" i="35"/>
  <c r="AI140" i="35"/>
  <c r="AP206" i="35"/>
  <c r="BQ203" i="35"/>
  <c r="BW153" i="35"/>
  <c r="BW149" i="35"/>
  <c r="BW133" i="35"/>
  <c r="BW134" i="35" s="1"/>
  <c r="BW12" i="35"/>
  <c r="BW9" i="35"/>
  <c r="BD203" i="35"/>
  <c r="N20" i="45" s="1"/>
  <c r="AO203" i="35"/>
  <c r="AB146" i="35"/>
  <c r="AB147" i="35" s="1"/>
  <c r="AB140" i="35"/>
  <c r="BZ154" i="35"/>
  <c r="BZ130" i="35"/>
  <c r="BZ131" i="35" s="1"/>
  <c r="T144" i="35"/>
  <c r="T146" i="35"/>
  <c r="T147" i="35" s="1"/>
  <c r="T140" i="35"/>
  <c r="T141" i="35" s="1"/>
  <c r="AK128" i="35"/>
  <c r="AO151" i="35"/>
  <c r="AO150" i="35"/>
  <c r="AO143" i="35"/>
  <c r="AO144" i="35" s="1"/>
  <c r="AO127" i="35"/>
  <c r="AO128" i="35" s="1"/>
  <c r="AO137" i="35"/>
  <c r="AO138" i="35" s="1"/>
  <c r="CH90" i="35"/>
  <c r="CH125" i="35" s="1"/>
  <c r="CD90" i="35"/>
  <c r="AO134" i="35"/>
  <c r="M138" i="35"/>
  <c r="BM128" i="35"/>
  <c r="BY131" i="35"/>
  <c r="BE128" i="35"/>
  <c r="BI157" i="35"/>
  <c r="BE158" i="35"/>
  <c r="BE146" i="35"/>
  <c r="BE147" i="35" s="1"/>
  <c r="BE140" i="35"/>
  <c r="BE141" i="35" s="1"/>
  <c r="AY107" i="35"/>
  <c r="BD117" i="35"/>
  <c r="BI125" i="35"/>
  <c r="BI123" i="35"/>
  <c r="AU144" i="35"/>
  <c r="BJ70" i="35"/>
  <c r="BN70" i="35" s="1"/>
  <c r="BN71" i="35"/>
  <c r="V209" i="35"/>
  <c r="V71" i="35"/>
  <c r="V70" i="35" s="1"/>
  <c r="CH173" i="35"/>
  <c r="BX205" i="35"/>
  <c r="BX177" i="35"/>
  <c r="CE205" i="35"/>
  <c r="CE206" i="35" s="1"/>
  <c r="CE178" i="35"/>
  <c r="P203" i="35"/>
  <c r="AV203" i="35"/>
  <c r="F20" i="45" s="1"/>
  <c r="AK206" i="35"/>
  <c r="CM116" i="35"/>
  <c r="CM117" i="35" s="1"/>
  <c r="CI117" i="35"/>
  <c r="BN196" i="35"/>
  <c r="BN197" i="35" s="1"/>
  <c r="AN144" i="35"/>
  <c r="Y128" i="35"/>
  <c r="U107" i="35"/>
  <c r="V128" i="35"/>
  <c r="AA203" i="35"/>
  <c r="Z151" i="35"/>
  <c r="Z143" i="35"/>
  <c r="Z144" i="35" s="1"/>
  <c r="Z137" i="35"/>
  <c r="Z138" i="35" s="1"/>
  <c r="Z150" i="35"/>
  <c r="Z127" i="35"/>
  <c r="AE175" i="35"/>
  <c r="BK128" i="35"/>
  <c r="BG158" i="35"/>
  <c r="BG146" i="35"/>
  <c r="BG140" i="35"/>
  <c r="BJ203" i="35"/>
  <c r="AL206" i="35"/>
  <c r="BH197" i="35"/>
  <c r="CH187" i="35"/>
  <c r="AY196" i="35"/>
  <c r="AY197" i="35" s="1"/>
  <c r="BF131" i="35"/>
  <c r="S131" i="35"/>
  <c r="BK131" i="35"/>
  <c r="BB128" i="35"/>
  <c r="BG203" i="35"/>
  <c r="Q20" i="45" s="1"/>
  <c r="BB158" i="35"/>
  <c r="BB146" i="35"/>
  <c r="BB147" i="35" s="1"/>
  <c r="BB140" i="35"/>
  <c r="BB141" i="35" s="1"/>
  <c r="AG144" i="35"/>
  <c r="BH158" i="35"/>
  <c r="BH146" i="35"/>
  <c r="BH147" i="35" s="1"/>
  <c r="BH140" i="35"/>
  <c r="BH141" i="35" s="1"/>
  <c r="BY138" i="35"/>
  <c r="BA128" i="35"/>
  <c r="BA158" i="35"/>
  <c r="BA140" i="35"/>
  <c r="BA141" i="35" s="1"/>
  <c r="BA146" i="35"/>
  <c r="BA147" i="35" s="1"/>
  <c r="BD100" i="35"/>
  <c r="AF107" i="35"/>
  <c r="AY123" i="35"/>
  <c r="AY125" i="35"/>
  <c r="Z110" i="35"/>
  <c r="BD123" i="35"/>
  <c r="BD125" i="35"/>
  <c r="BN100" i="35"/>
  <c r="CC125" i="35"/>
  <c r="CC123" i="35"/>
  <c r="W144" i="35"/>
  <c r="AA128" i="35"/>
  <c r="AE150" i="35"/>
  <c r="AE151" i="35"/>
  <c r="AE143" i="35"/>
  <c r="AE144" i="35" s="1"/>
  <c r="AE137" i="35"/>
  <c r="AE127" i="35"/>
  <c r="AE128" i="35" s="1"/>
  <c r="BN176" i="35"/>
  <c r="BZ203" i="35"/>
  <c r="AT209" i="35"/>
  <c r="BB206" i="35"/>
  <c r="BN203" i="35"/>
  <c r="CB205" i="35"/>
  <c r="CB206" i="35" s="1"/>
  <c r="CB178" i="35"/>
  <c r="BM206" i="35"/>
  <c r="BL205" i="35"/>
  <c r="BL206" i="35" s="1"/>
  <c r="BL178" i="35"/>
  <c r="BO205" i="35"/>
  <c r="BO206" i="35" s="1"/>
  <c r="BO178" i="35"/>
  <c r="BS176" i="35"/>
  <c r="CI153" i="35"/>
  <c r="CI149" i="35"/>
  <c r="CI133" i="35"/>
  <c r="CI134" i="35" s="1"/>
  <c r="CI12" i="35"/>
  <c r="CI9" i="35"/>
  <c r="CM8" i="35"/>
  <c r="Y209" i="35"/>
  <c r="Y71" i="35"/>
  <c r="Y70" i="35" s="1"/>
  <c r="AJ203" i="35"/>
  <c r="BS187" i="35"/>
  <c r="U175" i="35"/>
  <c r="BP200" i="35"/>
  <c r="AS197" i="35"/>
  <c r="BI200" i="35"/>
  <c r="CH200" i="35"/>
  <c r="AX144" i="35"/>
  <c r="BV154" i="35"/>
  <c r="BV130" i="35"/>
  <c r="BV131" i="35" s="1"/>
  <c r="P155" i="35"/>
  <c r="P154" i="35"/>
  <c r="P130" i="35"/>
  <c r="P131" i="35" s="1"/>
  <c r="BQ131" i="35"/>
  <c r="BI110" i="35"/>
  <c r="BD107" i="35"/>
  <c r="BY206" i="35"/>
  <c r="CM196" i="35"/>
  <c r="CM197" i="35" s="1"/>
  <c r="AT117" i="35"/>
  <c r="CJ157" i="35"/>
  <c r="CJ143" i="35"/>
  <c r="CJ150" i="35"/>
  <c r="CJ127" i="35"/>
  <c r="CJ137" i="35"/>
  <c r="CJ154" i="35"/>
  <c r="CJ130" i="35"/>
  <c r="BB117" i="35"/>
  <c r="AY206" i="35"/>
  <c r="O150" i="8"/>
  <c r="O119" i="8"/>
  <c r="T65" i="8"/>
  <c r="AT143" i="8"/>
  <c r="CJ43" i="8"/>
  <c r="CK40" i="8"/>
  <c r="AE158" i="8"/>
  <c r="AE118" i="8"/>
  <c r="AI158" i="8"/>
  <c r="AI118" i="8"/>
  <c r="AJ102" i="8"/>
  <c r="AL155" i="8"/>
  <c r="AL151" i="8"/>
  <c r="CD155" i="8"/>
  <c r="CD151" i="8"/>
  <c r="BL150" i="8"/>
  <c r="BL119" i="8"/>
  <c r="BQ65" i="8"/>
  <c r="AK155" i="8"/>
  <c r="AK151" i="8"/>
  <c r="AP151" i="8"/>
  <c r="CL153" i="8"/>
  <c r="CL126" i="8"/>
  <c r="N146" i="8"/>
  <c r="BB158" i="8"/>
  <c r="BB118" i="8"/>
  <c r="BC102" i="8"/>
  <c r="AI143" i="8"/>
  <c r="AI146" i="8" s="1"/>
  <c r="AQ150" i="8"/>
  <c r="AQ119" i="8"/>
  <c r="AV65" i="8"/>
  <c r="BA150" i="8"/>
  <c r="BA119" i="8"/>
  <c r="BF65" i="8"/>
  <c r="AM150" i="8"/>
  <c r="AM119" i="8"/>
  <c r="AR65" i="8"/>
  <c r="BP155" i="8"/>
  <c r="BM116" i="8"/>
  <c r="AR146" i="8"/>
  <c r="CC161" i="8"/>
  <c r="AS150" i="8"/>
  <c r="AS119" i="8"/>
  <c r="AX65" i="8"/>
  <c r="AC150" i="8"/>
  <c r="AC119" i="8"/>
  <c r="AH65" i="8"/>
  <c r="BJ155" i="8"/>
  <c r="BJ151" i="8"/>
  <c r="BO151" i="8"/>
  <c r="CS105" i="8"/>
  <c r="CQ69" i="8"/>
  <c r="BH158" i="8"/>
  <c r="BH118" i="8"/>
  <c r="Z143" i="8"/>
  <c r="AD161" i="8"/>
  <c r="J143" i="8"/>
  <c r="O161" i="8"/>
  <c r="O63" i="3"/>
  <c r="BC161" i="8"/>
  <c r="BC69" i="8"/>
  <c r="BC63" i="3"/>
  <c r="BD63" i="3"/>
  <c r="AG155" i="8"/>
  <c r="AY105" i="8"/>
  <c r="AY69" i="8" s="1"/>
  <c r="CM161" i="8"/>
  <c r="BC92" i="8"/>
  <c r="BD92" i="8" s="1"/>
  <c r="CI28" i="8"/>
  <c r="CI29" i="8" s="1"/>
  <c r="CI34" i="8" s="1"/>
  <c r="CH28" i="8"/>
  <c r="CG29" i="8"/>
  <c r="CG34" i="8" s="1"/>
  <c r="CG45" i="8" s="1"/>
  <c r="CI52" i="8"/>
  <c r="CI49" i="8"/>
  <c r="CI53" i="8"/>
  <c r="CI45" i="8"/>
  <c r="CI50" i="8"/>
  <c r="Z158" i="8"/>
  <c r="Z118" i="8"/>
  <c r="AY158" i="8"/>
  <c r="AY118" i="8"/>
  <c r="T158" i="8"/>
  <c r="T118" i="8"/>
  <c r="U102" i="8"/>
  <c r="BN158" i="8"/>
  <c r="BU155" i="8"/>
  <c r="BU151" i="8"/>
  <c r="CG69" i="8"/>
  <c r="CH105" i="8"/>
  <c r="CH69" i="8" s="1"/>
  <c r="AE143" i="8"/>
  <c r="AE146" i="8" s="1"/>
  <c r="CM153" i="8"/>
  <c r="CM126" i="8"/>
  <c r="CM146" i="8" s="1"/>
  <c r="CQ39" i="8"/>
  <c r="P158" i="8"/>
  <c r="S150" i="8"/>
  <c r="S119" i="8"/>
  <c r="X65" i="8"/>
  <c r="BZ150" i="8"/>
  <c r="BZ119" i="8"/>
  <c r="CE65" i="8"/>
  <c r="CI151" i="8"/>
  <c r="AD158" i="8"/>
  <c r="AD118" i="8"/>
  <c r="AD146" i="8" s="1"/>
  <c r="CE150" i="8"/>
  <c r="CE119" i="8"/>
  <c r="CJ65" i="8"/>
  <c r="L155" i="8"/>
  <c r="L151" i="8"/>
  <c r="J161" i="8"/>
  <c r="J63" i="3"/>
  <c r="CE146" i="8"/>
  <c r="CE147" i="8" s="1"/>
  <c r="CE9" i="34" s="1"/>
  <c r="BS158" i="8"/>
  <c r="BS118" i="8"/>
  <c r="CB150" i="8"/>
  <c r="CB119" i="8"/>
  <c r="CG65" i="8"/>
  <c r="CL158" i="8"/>
  <c r="CL118" i="8"/>
  <c r="CG158" i="8"/>
  <c r="CG118" i="8"/>
  <c r="BG150" i="8"/>
  <c r="BG119" i="8"/>
  <c r="BL65" i="8"/>
  <c r="AF155" i="8"/>
  <c r="AF151" i="8"/>
  <c r="Q155" i="8"/>
  <c r="Q151" i="8"/>
  <c r="V151" i="8"/>
  <c r="BT155" i="8"/>
  <c r="BT151" i="8"/>
  <c r="BY151" i="8"/>
  <c r="AH146" i="8"/>
  <c r="Y143" i="8"/>
  <c r="I146" i="8"/>
  <c r="BB146" i="8"/>
  <c r="CB143" i="8"/>
  <c r="CB146" i="8" s="1"/>
  <c r="CB147" i="8" s="1"/>
  <c r="CB161" i="8"/>
  <c r="BG146" i="8"/>
  <c r="K132" i="8"/>
  <c r="K161" i="8" s="1"/>
  <c r="BD137" i="8"/>
  <c r="BD143" i="8" s="1"/>
  <c r="BA92" i="8"/>
  <c r="P104" i="8"/>
  <c r="P118" i="8" s="1"/>
  <c r="M155" i="8"/>
  <c r="M151" i="8"/>
  <c r="AR150" i="8"/>
  <c r="AR119" i="8"/>
  <c r="AW65" i="8"/>
  <c r="N150" i="8"/>
  <c r="N119" i="8"/>
  <c r="S65" i="8"/>
  <c r="CH158" i="8"/>
  <c r="CH118" i="8"/>
  <c r="BS153" i="8"/>
  <c r="BS126" i="8"/>
  <c r="BS146" i="8" s="1"/>
  <c r="BS147" i="8" s="1"/>
  <c r="BX145" i="8" s="1"/>
  <c r="CF17" i="8"/>
  <c r="CF22" i="8" s="1"/>
  <c r="CF67" i="8" s="1"/>
  <c r="CG14" i="8"/>
  <c r="W150" i="8"/>
  <c r="W119" i="8"/>
  <c r="AB65" i="8"/>
  <c r="J158" i="8"/>
  <c r="J118" i="8"/>
  <c r="K102" i="8"/>
  <c r="AH150" i="8"/>
  <c r="AH119" i="8"/>
  <c r="AM65" i="8"/>
  <c r="BV150" i="8"/>
  <c r="BV119" i="8"/>
  <c r="CA65" i="8"/>
  <c r="AJ128" i="8"/>
  <c r="S146" i="8"/>
  <c r="BD161" i="8"/>
  <c r="CS38" i="8"/>
  <c r="AV150" i="8"/>
  <c r="AV119" i="8"/>
  <c r="BA65" i="8"/>
  <c r="CM158" i="8"/>
  <c r="CM118" i="8"/>
  <c r="J69" i="8"/>
  <c r="AI69" i="8"/>
  <c r="AE161" i="8"/>
  <c r="BI143" i="8"/>
  <c r="CH52" i="8"/>
  <c r="CH53" i="8"/>
  <c r="CH49" i="8"/>
  <c r="CH50" i="8"/>
  <c r="X150" i="8"/>
  <c r="X119" i="8"/>
  <c r="AC65" i="8"/>
  <c r="AX158" i="8"/>
  <c r="AX118" i="8"/>
  <c r="CK150" i="8"/>
  <c r="CK119" i="8"/>
  <c r="CP65" i="8"/>
  <c r="R155" i="8"/>
  <c r="R151" i="8"/>
  <c r="CF150" i="8"/>
  <c r="CF119" i="8"/>
  <c r="CK65" i="8"/>
  <c r="X146" i="8"/>
  <c r="P63" i="3"/>
  <c r="BH146" i="8"/>
  <c r="CL146" i="8"/>
  <c r="CL147" i="8" s="1"/>
  <c r="CA146" i="8"/>
  <c r="CA147" i="8" s="1"/>
  <c r="CA9" i="34" s="1"/>
  <c r="CB8" i="34" s="1"/>
  <c r="BK150" i="8"/>
  <c r="BP151" i="8" s="1"/>
  <c r="BK119" i="8"/>
  <c r="BP65" i="8"/>
  <c r="H147" i="8"/>
  <c r="I145" i="8" s="1"/>
  <c r="I147" i="8" s="1"/>
  <c r="J145" i="8" s="1"/>
  <c r="BX143" i="8"/>
  <c r="BX161" i="8"/>
  <c r="CJ155" i="8"/>
  <c r="CJ151" i="8"/>
  <c r="AZ155" i="8"/>
  <c r="AZ151" i="8"/>
  <c r="AD69" i="8"/>
  <c r="BM158" i="8"/>
  <c r="O143" i="8"/>
  <c r="O146" i="8" s="1"/>
  <c r="P128" i="8"/>
  <c r="P143" i="8" s="1"/>
  <c r="CU116" i="8"/>
  <c r="CU21" i="8"/>
  <c r="AT158" i="8"/>
  <c r="AT118" i="8"/>
  <c r="AB150" i="8"/>
  <c r="AB119" i="8"/>
  <c r="AG65" i="8"/>
  <c r="AN158" i="8"/>
  <c r="AN118" i="8"/>
  <c r="AN146" i="8" s="1"/>
  <c r="AO102" i="8"/>
  <c r="BF155" i="8"/>
  <c r="BF151" i="8"/>
  <c r="CC118" i="8"/>
  <c r="CC146" i="8" s="1"/>
  <c r="BW118" i="8"/>
  <c r="BW146" i="8" s="1"/>
  <c r="BW147" i="8" s="1"/>
  <c r="BD69" i="8"/>
  <c r="U143" i="8"/>
  <c r="Y158" i="8"/>
  <c r="Y118" i="8"/>
  <c r="I150" i="8"/>
  <c r="I155" i="8" s="1"/>
  <c r="I119" i="8"/>
  <c r="N65" i="8"/>
  <c r="CA150" i="8"/>
  <c r="CA119" i="8"/>
  <c r="CF65" i="8"/>
  <c r="K69" i="8"/>
  <c r="AO143" i="8"/>
  <c r="T146" i="8"/>
  <c r="AI161" i="8"/>
  <c r="K63" i="3"/>
  <c r="AY146" i="8"/>
  <c r="AW150" i="8"/>
  <c r="AW119" i="8"/>
  <c r="BB65" i="8"/>
  <c r="BR150" i="8"/>
  <c r="BR119" i="8"/>
  <c r="BW65" i="8"/>
  <c r="BI102" i="8"/>
  <c r="BB92" i="8"/>
  <c r="BX105" i="8"/>
  <c r="CL74" i="3"/>
  <c r="CL73" i="3"/>
  <c r="CL71" i="3"/>
  <c r="CL26" i="3"/>
  <c r="F70" i="3"/>
  <c r="F51" i="3"/>
  <c r="F54" i="3" s="1"/>
  <c r="F24" i="3"/>
  <c r="BD70" i="3"/>
  <c r="BD24" i="3"/>
  <c r="BK88" i="3"/>
  <c r="BK69" i="3"/>
  <c r="BK111" i="3"/>
  <c r="V54" i="3"/>
  <c r="BI87" i="3"/>
  <c r="BI49" i="3"/>
  <c r="BI19" i="3"/>
  <c r="BN87" i="3"/>
  <c r="BC73" i="3"/>
  <c r="BC74" i="3"/>
  <c r="BC71" i="3"/>
  <c r="BC26" i="3"/>
  <c r="BY74" i="3"/>
  <c r="BY73" i="3"/>
  <c r="BY71" i="3"/>
  <c r="BY26" i="3"/>
  <c r="BF46" i="3"/>
  <c r="BF32" i="3"/>
  <c r="BF34" i="3" s="1"/>
  <c r="AO87" i="3"/>
  <c r="AO49" i="3"/>
  <c r="AO19" i="3"/>
  <c r="H73" i="3"/>
  <c r="H71" i="3"/>
  <c r="H26" i="3"/>
  <c r="AB88" i="3"/>
  <c r="AB69" i="3"/>
  <c r="O88" i="3"/>
  <c r="O69" i="3"/>
  <c r="L73" i="3"/>
  <c r="L71" i="3"/>
  <c r="L26" i="3"/>
  <c r="AT70" i="3"/>
  <c r="AT24" i="3"/>
  <c r="BM70" i="3"/>
  <c r="BM51" i="3"/>
  <c r="BM54" i="3" s="1"/>
  <c r="BM24" i="3"/>
  <c r="BP70" i="3"/>
  <c r="BP51" i="3"/>
  <c r="BP54" i="3" s="1"/>
  <c r="BP24" i="3"/>
  <c r="AU73" i="3"/>
  <c r="AU71" i="3"/>
  <c r="AU26" i="3"/>
  <c r="BK73" i="3"/>
  <c r="BK74" i="3"/>
  <c r="BK71" i="3"/>
  <c r="BK26" i="3"/>
  <c r="CB70" i="3"/>
  <c r="CB51" i="3"/>
  <c r="CB54" i="3" s="1"/>
  <c r="CB24" i="3"/>
  <c r="V71" i="3"/>
  <c r="V73" i="3"/>
  <c r="V26" i="3"/>
  <c r="CN57" i="3"/>
  <c r="BS87" i="3"/>
  <c r="BS49" i="3"/>
  <c r="BS19" i="3"/>
  <c r="Q73" i="3"/>
  <c r="Q71" i="3"/>
  <c r="Q26" i="3"/>
  <c r="AJ87" i="3"/>
  <c r="AJ49" i="3"/>
  <c r="AJ19" i="3"/>
  <c r="AW70" i="3"/>
  <c r="AW51" i="3"/>
  <c r="AW54" i="3" s="1"/>
  <c r="AW24" i="3"/>
  <c r="BA73" i="3"/>
  <c r="BA74" i="3"/>
  <c r="BA71" i="3"/>
  <c r="BA26" i="3"/>
  <c r="AZ73" i="3"/>
  <c r="AZ74" i="3"/>
  <c r="AZ71" i="3"/>
  <c r="AZ26" i="3"/>
  <c r="BB70" i="3"/>
  <c r="BB51" i="3"/>
  <c r="BB54" i="3" s="1"/>
  <c r="BB24" i="3"/>
  <c r="AM69" i="3"/>
  <c r="AL71" i="3"/>
  <c r="AL73" i="3"/>
  <c r="AL26" i="3"/>
  <c r="AN88" i="3"/>
  <c r="AN69" i="3"/>
  <c r="CF70" i="3"/>
  <c r="CF51" i="3"/>
  <c r="CF54" i="3" s="1"/>
  <c r="CF24" i="3"/>
  <c r="E88" i="3"/>
  <c r="E69" i="3"/>
  <c r="BH70" i="3"/>
  <c r="BH51" i="3"/>
  <c r="BH54" i="3" s="1"/>
  <c r="BH24" i="3"/>
  <c r="CK51" i="3"/>
  <c r="CK54" i="3" s="1"/>
  <c r="CK70" i="3"/>
  <c r="CK24" i="3"/>
  <c r="BQ51" i="3"/>
  <c r="BQ54" i="3" s="1"/>
  <c r="BQ70" i="3"/>
  <c r="BQ24" i="3"/>
  <c r="AR70" i="3"/>
  <c r="AR51" i="3"/>
  <c r="AR54" i="3" s="1"/>
  <c r="AR24" i="3"/>
  <c r="L54" i="3"/>
  <c r="P51" i="3"/>
  <c r="P54" i="3" s="1"/>
  <c r="CO57" i="3"/>
  <c r="AQ46" i="3"/>
  <c r="AQ32" i="3"/>
  <c r="AQ34" i="3" s="1"/>
  <c r="AA73" i="3"/>
  <c r="AA71" i="3"/>
  <c r="AA26" i="3"/>
  <c r="BV70" i="3"/>
  <c r="BV51" i="3"/>
  <c r="BV54" i="3" s="1"/>
  <c r="CA88" i="3" s="1"/>
  <c r="BV24" i="3"/>
  <c r="AC70" i="3"/>
  <c r="AC51" i="3"/>
  <c r="AC54" i="3" s="1"/>
  <c r="AC24" i="3"/>
  <c r="AL69" i="3"/>
  <c r="AH70" i="3"/>
  <c r="AH51" i="3"/>
  <c r="AH54" i="3" s="1"/>
  <c r="AH24" i="3"/>
  <c r="AD71" i="3"/>
  <c r="AD73" i="3"/>
  <c r="AD26" i="3"/>
  <c r="CL69" i="3"/>
  <c r="AV1" i="45"/>
  <c r="CL111" i="3"/>
  <c r="AQ88" i="3"/>
  <c r="AQ69" i="3"/>
  <c r="AT87" i="3"/>
  <c r="I73" i="3"/>
  <c r="I71" i="3"/>
  <c r="I26" i="3"/>
  <c r="Y73" i="3"/>
  <c r="Y71" i="3"/>
  <c r="Y26" i="3"/>
  <c r="R71" i="3"/>
  <c r="R73" i="3"/>
  <c r="R26" i="3"/>
  <c r="AV88" i="3"/>
  <c r="AV69" i="3"/>
  <c r="CP58" i="3"/>
  <c r="CP56" i="3"/>
  <c r="CP57" i="3" s="1"/>
  <c r="W73" i="3"/>
  <c r="W71" i="3"/>
  <c r="W26" i="3"/>
  <c r="AI70" i="3"/>
  <c r="AI51" i="3"/>
  <c r="AI54" i="3" s="1"/>
  <c r="AI24" i="3"/>
  <c r="AE51" i="3"/>
  <c r="AE54" i="3" s="1"/>
  <c r="AA54" i="3"/>
  <c r="AF70" i="3"/>
  <c r="AF51" i="3"/>
  <c r="AF24" i="3"/>
  <c r="N70" i="3"/>
  <c r="N51" i="3"/>
  <c r="N54" i="3" s="1"/>
  <c r="N24" i="3"/>
  <c r="BC88" i="3"/>
  <c r="BC69" i="3"/>
  <c r="BC111" i="3"/>
  <c r="BA88" i="3"/>
  <c r="BA69" i="3"/>
  <c r="BA111" i="3"/>
  <c r="CH70" i="3"/>
  <c r="CH24" i="3"/>
  <c r="AP71" i="3"/>
  <c r="AP73" i="3"/>
  <c r="AP26" i="3"/>
  <c r="BY54" i="3"/>
  <c r="M88" i="3"/>
  <c r="M69" i="3"/>
  <c r="BL73" i="3"/>
  <c r="BL74" i="3"/>
  <c r="BL71" i="3"/>
  <c r="BL26" i="3"/>
  <c r="CA74" i="3"/>
  <c r="CA73" i="3"/>
  <c r="CA71" i="3"/>
  <c r="CA26" i="3"/>
  <c r="S70" i="3"/>
  <c r="S51" i="3"/>
  <c r="S54" i="3" s="1"/>
  <c r="S24" i="3"/>
  <c r="CD70" i="3"/>
  <c r="CD51" i="3"/>
  <c r="CD24" i="3"/>
  <c r="CJ70" i="3"/>
  <c r="CJ51" i="3"/>
  <c r="CJ54" i="3" s="1"/>
  <c r="CJ24" i="3"/>
  <c r="AS70" i="3"/>
  <c r="AS51" i="3"/>
  <c r="AS54" i="3" s="1"/>
  <c r="AS24" i="3"/>
  <c r="AU54" i="3"/>
  <c r="AV73" i="3"/>
  <c r="AV71" i="3"/>
  <c r="AV26" i="3"/>
  <c r="AG70" i="3"/>
  <c r="AG51" i="3"/>
  <c r="AG54" i="3" s="1"/>
  <c r="AL88" i="3" s="1"/>
  <c r="AG24" i="3"/>
  <c r="P87" i="3"/>
  <c r="P49" i="3"/>
  <c r="P19" i="3"/>
  <c r="AX70" i="3"/>
  <c r="AX51" i="3"/>
  <c r="AX54" i="3" s="1"/>
  <c r="AX24" i="3"/>
  <c r="Q54" i="3"/>
  <c r="CC70" i="3"/>
  <c r="CC24" i="3"/>
  <c r="M73" i="3"/>
  <c r="M71" i="3"/>
  <c r="M26" i="3"/>
  <c r="AK51" i="3"/>
  <c r="AK70" i="3"/>
  <c r="AK24" i="3"/>
  <c r="CZ16" i="3"/>
  <c r="AM46" i="3"/>
  <c r="AM32" i="3"/>
  <c r="AM34" i="3" s="1"/>
  <c r="AD88" i="3"/>
  <c r="AD69" i="3"/>
  <c r="AB73" i="3"/>
  <c r="AB71" i="3"/>
  <c r="AB26" i="3"/>
  <c r="O71" i="3"/>
  <c r="O73" i="3"/>
  <c r="O26" i="3"/>
  <c r="CG51" i="3"/>
  <c r="CG54" i="3" s="1"/>
  <c r="CL88" i="3" s="1"/>
  <c r="CG70" i="3"/>
  <c r="CG24" i="3"/>
  <c r="BE51" i="3"/>
  <c r="BE70" i="3"/>
  <c r="BE24" i="3"/>
  <c r="BJ70" i="3"/>
  <c r="BJ51" i="3"/>
  <c r="BJ24" i="3"/>
  <c r="BO70" i="3"/>
  <c r="BO51" i="3"/>
  <c r="BO24" i="3"/>
  <c r="BT70" i="3"/>
  <c r="BT51" i="3"/>
  <c r="BT24" i="3"/>
  <c r="U87" i="3"/>
  <c r="U49" i="3"/>
  <c r="U19" i="3"/>
  <c r="BX70" i="3"/>
  <c r="BX24" i="3"/>
  <c r="Y69" i="3"/>
  <c r="D73" i="3"/>
  <c r="D71" i="3"/>
  <c r="D26" i="3"/>
  <c r="R88" i="3"/>
  <c r="R69" i="3"/>
  <c r="AY70" i="3"/>
  <c r="AY24" i="3"/>
  <c r="T70" i="3"/>
  <c r="T24" i="3"/>
  <c r="T51" i="3"/>
  <c r="T54" i="3" s="1"/>
  <c r="G70" i="3"/>
  <c r="G51" i="3"/>
  <c r="G24" i="3"/>
  <c r="J71" i="3"/>
  <c r="J26" i="3"/>
  <c r="J73" i="3"/>
  <c r="W88" i="3"/>
  <c r="W69" i="3"/>
  <c r="BN71" i="3"/>
  <c r="BN26" i="3"/>
  <c r="BN74" i="3"/>
  <c r="BN73" i="3"/>
  <c r="BR70" i="3"/>
  <c r="BR51" i="3"/>
  <c r="BR54" i="3" s="1"/>
  <c r="BR24" i="3"/>
  <c r="Z87" i="3"/>
  <c r="Z49" i="3"/>
  <c r="Z19" i="3"/>
  <c r="BW70" i="3"/>
  <c r="BW51" i="3"/>
  <c r="BW54" i="3" s="1"/>
  <c r="BW24" i="3"/>
  <c r="K70" i="3"/>
  <c r="K24" i="3"/>
  <c r="AZ54" i="3"/>
  <c r="BD51" i="3"/>
  <c r="BD54" i="3" s="1"/>
  <c r="AP54" i="3"/>
  <c r="AN73" i="3"/>
  <c r="AN71" i="3"/>
  <c r="AN26" i="3"/>
  <c r="BL88" i="3"/>
  <c r="BL69" i="3"/>
  <c r="BL111" i="3"/>
  <c r="CW15" i="3"/>
  <c r="CX15" i="3"/>
  <c r="DB15" i="3" s="1"/>
  <c r="CA69" i="3"/>
  <c r="CA111" i="3"/>
  <c r="BG70" i="3"/>
  <c r="BG51" i="3"/>
  <c r="BG54" i="3" s="1"/>
  <c r="BG24" i="3"/>
  <c r="CI70" i="3"/>
  <c r="CI51" i="3"/>
  <c r="CI24" i="3"/>
  <c r="CM70" i="3"/>
  <c r="CM24" i="3"/>
  <c r="AE87" i="3"/>
  <c r="AE49" i="3"/>
  <c r="AE19" i="3"/>
  <c r="BU51" i="3"/>
  <c r="BU54" i="3" s="1"/>
  <c r="BU70" i="3"/>
  <c r="BU24" i="3"/>
  <c r="BZ70" i="3"/>
  <c r="BZ51" i="3"/>
  <c r="BZ54" i="3" s="1"/>
  <c r="BZ24" i="3"/>
  <c r="CE70" i="3"/>
  <c r="CE51" i="3"/>
  <c r="CE54" i="3" s="1"/>
  <c r="CE24" i="3"/>
  <c r="E73" i="3"/>
  <c r="E71" i="3"/>
  <c r="E26" i="3"/>
  <c r="X70" i="3"/>
  <c r="X51" i="3"/>
  <c r="X54" i="3" s="1"/>
  <c r="X24" i="3"/>
  <c r="CK25" i="34" l="1"/>
  <c r="CK41" i="34" s="1"/>
  <c r="CK55" i="34" s="1"/>
  <c r="CK69" i="34" s="1"/>
  <c r="CK83" i="34" s="1"/>
  <c r="CK97" i="34" s="1"/>
  <c r="CK107" i="34" s="1"/>
  <c r="CK119" i="34" s="1"/>
  <c r="CK129" i="34" s="1"/>
  <c r="CK141" i="34" s="1"/>
  <c r="CK151" i="34" s="1"/>
  <c r="CK161" i="34" s="1"/>
  <c r="CK171" i="34" s="1"/>
  <c r="CK181" i="34" s="1"/>
  <c r="CK199" i="34" s="1"/>
  <c r="CK11" i="34"/>
  <c r="CC147" i="8"/>
  <c r="CH145" i="8" s="1"/>
  <c r="CB9" i="34"/>
  <c r="CC9" i="34" s="1"/>
  <c r="CD8" i="34" s="1"/>
  <c r="CD11" i="34" s="1"/>
  <c r="CA11" i="34"/>
  <c r="CM147" i="8"/>
  <c r="CL9" i="34"/>
  <c r="BX147" i="8"/>
  <c r="CC145" i="8" s="1"/>
  <c r="BW9" i="34"/>
  <c r="CB11" i="34"/>
  <c r="CF8" i="34"/>
  <c r="CF11" i="34" s="1"/>
  <c r="CE11" i="34"/>
  <c r="BQ189" i="34"/>
  <c r="BR184" i="34"/>
  <c r="BT112" i="34"/>
  <c r="BQ139" i="34"/>
  <c r="BR134" i="34"/>
  <c r="BR113" i="34"/>
  <c r="BR117" i="34" s="1"/>
  <c r="BQ19" i="34"/>
  <c r="BQ23" i="34"/>
  <c r="CO169" i="34"/>
  <c r="CP164" i="34"/>
  <c r="CQ33" i="34"/>
  <c r="CQ36" i="34" s="1"/>
  <c r="CP38" i="34"/>
  <c r="CP37" i="34"/>
  <c r="CP39" i="34" s="1"/>
  <c r="BQ149" i="34"/>
  <c r="BR144" i="34"/>
  <c r="BQ65" i="34"/>
  <c r="BQ67" i="34" s="1"/>
  <c r="BR60" i="34"/>
  <c r="BY159" i="34"/>
  <c r="BZ154" i="34"/>
  <c r="CA127" i="34"/>
  <c r="CB122" i="34"/>
  <c r="BU192" i="34"/>
  <c r="BT197" i="34"/>
  <c r="CO179" i="34"/>
  <c r="CP174" i="34"/>
  <c r="CB88" i="34"/>
  <c r="CA93" i="34"/>
  <c r="CA95" i="34" s="1"/>
  <c r="DB175" i="34"/>
  <c r="CX175" i="34"/>
  <c r="CX178" i="34" s="1"/>
  <c r="CY175" i="34" s="1"/>
  <c r="CY178" i="34" s="1"/>
  <c r="CZ175" i="34" s="1"/>
  <c r="CZ178" i="34" s="1"/>
  <c r="DA175" i="34" s="1"/>
  <c r="DA178" i="34" s="1"/>
  <c r="DB178" i="34" s="1"/>
  <c r="BQ105" i="34"/>
  <c r="BR100" i="34"/>
  <c r="CM51" i="34"/>
  <c r="CL53" i="34"/>
  <c r="BW74" i="34"/>
  <c r="BV79" i="34"/>
  <c r="BV81" i="34" s="1"/>
  <c r="CR47" i="34"/>
  <c r="CJ80" i="34"/>
  <c r="CK75" i="34"/>
  <c r="CK78" i="34" s="1"/>
  <c r="CJ19" i="34"/>
  <c r="CM64" i="34"/>
  <c r="CR61" i="34" s="1"/>
  <c r="CN61" i="34"/>
  <c r="CN64" i="34" s="1"/>
  <c r="CL66" i="34"/>
  <c r="CM66" i="34" s="1"/>
  <c r="CC66" i="34"/>
  <c r="CR21" i="34"/>
  <c r="CS21" i="34" s="1"/>
  <c r="CQ24" i="8"/>
  <c r="BQ117" i="34"/>
  <c r="BS117" i="34" s="1"/>
  <c r="CN51" i="34"/>
  <c r="CN53" i="34" s="1"/>
  <c r="CN52" i="34"/>
  <c r="CO47" i="34"/>
  <c r="CO50" i="34" s="1"/>
  <c r="CU89" i="34"/>
  <c r="CU92" i="34" s="1"/>
  <c r="CT94" i="34"/>
  <c r="DB41" i="37"/>
  <c r="CZ14" i="3"/>
  <c r="AT65" i="37"/>
  <c r="CY14" i="3"/>
  <c r="DB14" i="3" s="1"/>
  <c r="BX65" i="37"/>
  <c r="CC63" i="37"/>
  <c r="BS63" i="37"/>
  <c r="DA14" i="3"/>
  <c r="CH65" i="37"/>
  <c r="CC151" i="35"/>
  <c r="CC143" i="35"/>
  <c r="CC127" i="35"/>
  <c r="CC137" i="35"/>
  <c r="CI154" i="35"/>
  <c r="CM153" i="35"/>
  <c r="CI130" i="35"/>
  <c r="CI131" i="35" s="1"/>
  <c r="AE138" i="35"/>
  <c r="CH202" i="35"/>
  <c r="CH175" i="35"/>
  <c r="CH174" i="35"/>
  <c r="BW13" i="35"/>
  <c r="BX12" i="35"/>
  <c r="BP154" i="35"/>
  <c r="BP130" i="35"/>
  <c r="BU154" i="35"/>
  <c r="AG147" i="35"/>
  <c r="CB110" i="35"/>
  <c r="CG110" i="35"/>
  <c r="BJ141" i="35"/>
  <c r="CC205" i="35"/>
  <c r="CC206" i="35" s="1"/>
  <c r="CC177" i="35"/>
  <c r="CC178" i="35"/>
  <c r="BO13" i="35"/>
  <c r="BS12" i="35"/>
  <c r="BS13" i="35" s="1"/>
  <c r="BT13" i="35"/>
  <c r="BX202" i="35"/>
  <c r="BX203" i="35" s="1"/>
  <c r="BX174" i="35"/>
  <c r="BI203" i="35"/>
  <c r="DA176" i="35"/>
  <c r="BX166" i="35"/>
  <c r="AM147" i="35"/>
  <c r="AL141" i="35"/>
  <c r="P144" i="35"/>
  <c r="BL147" i="35"/>
  <c r="AO158" i="35"/>
  <c r="AO146" i="35"/>
  <c r="AO140" i="35"/>
  <c r="AO141" i="35" s="1"/>
  <c r="AT158" i="35"/>
  <c r="AT146" i="35"/>
  <c r="AT140" i="35"/>
  <c r="AT141" i="35" s="1"/>
  <c r="CH197" i="35"/>
  <c r="CM205" i="35"/>
  <c r="CM206" i="35" s="1"/>
  <c r="CM178" i="35"/>
  <c r="CM177" i="35"/>
  <c r="CB13" i="35"/>
  <c r="CG13" i="35"/>
  <c r="CF203" i="35"/>
  <c r="K146" i="35"/>
  <c r="K147" i="35" s="1"/>
  <c r="K140" i="35"/>
  <c r="K141" i="35" s="1"/>
  <c r="AT197" i="35"/>
  <c r="BD206" i="35"/>
  <c r="BW220" i="35"/>
  <c r="BW221" i="35"/>
  <c r="AJ146" i="35"/>
  <c r="AJ147" i="35" s="1"/>
  <c r="AJ158" i="35"/>
  <c r="AJ140" i="35"/>
  <c r="AZ141" i="35"/>
  <c r="U144" i="35"/>
  <c r="R147" i="35"/>
  <c r="BF141" i="35"/>
  <c r="CF154" i="35"/>
  <c r="CF130" i="35"/>
  <c r="CK154" i="35"/>
  <c r="BI128" i="35"/>
  <c r="CW74" i="35"/>
  <c r="CW78" i="35" s="1"/>
  <c r="CS74" i="35"/>
  <c r="CS78" i="35" s="1"/>
  <c r="CT74" i="35" s="1"/>
  <c r="CT78" i="35" s="1"/>
  <c r="CU74" i="35" s="1"/>
  <c r="CU78" i="35" s="1"/>
  <c r="CV74" i="35" s="1"/>
  <c r="CV78" i="35" s="1"/>
  <c r="AJ144" i="35"/>
  <c r="CJ146" i="35"/>
  <c r="CJ158" i="35"/>
  <c r="CJ140" i="35"/>
  <c r="CI13" i="35"/>
  <c r="CM12" i="35"/>
  <c r="BS205" i="35"/>
  <c r="BX206" i="35" s="1"/>
  <c r="BS177" i="35"/>
  <c r="BS178" i="35"/>
  <c r="BX178" i="35"/>
  <c r="CD106" i="35"/>
  <c r="CD109" i="35"/>
  <c r="CD143" i="35"/>
  <c r="CD144" i="35" s="1"/>
  <c r="BP13" i="35"/>
  <c r="BU13" i="35"/>
  <c r="BR158" i="35"/>
  <c r="BR146" i="35"/>
  <c r="BR147" i="35" s="1"/>
  <c r="BR140" i="35"/>
  <c r="BR141" i="35" s="1"/>
  <c r="AY158" i="35"/>
  <c r="AY146" i="35"/>
  <c r="AY147" i="35" s="1"/>
  <c r="AY140" i="35"/>
  <c r="AY8" i="35"/>
  <c r="BS202" i="35"/>
  <c r="BS203" i="35" s="1"/>
  <c r="BS175" i="35"/>
  <c r="BS174" i="35"/>
  <c r="BJ147" i="35"/>
  <c r="BO70" i="35"/>
  <c r="BS70" i="35" s="1"/>
  <c r="BS71" i="35"/>
  <c r="BO134" i="35"/>
  <c r="BT134" i="35"/>
  <c r="BT209" i="35"/>
  <c r="Y141" i="35"/>
  <c r="N141" i="35"/>
  <c r="BM147" i="35"/>
  <c r="AU74" i="35"/>
  <c r="AU77" i="35" s="1"/>
  <c r="AY77" i="35" s="1"/>
  <c r="AY74" i="35"/>
  <c r="Q147" i="35"/>
  <c r="AL147" i="35"/>
  <c r="M147" i="35"/>
  <c r="V141" i="35"/>
  <c r="CS176" i="35"/>
  <c r="CR176" i="35"/>
  <c r="CB157" i="35"/>
  <c r="CB150" i="35"/>
  <c r="CB143" i="35"/>
  <c r="CB137" i="35"/>
  <c r="CB127" i="35"/>
  <c r="CG150" i="35"/>
  <c r="CB134" i="35"/>
  <c r="CG134" i="35"/>
  <c r="AN147" i="35"/>
  <c r="CH133" i="35"/>
  <c r="CH9" i="35"/>
  <c r="CE157" i="35"/>
  <c r="CE150" i="35"/>
  <c r="CE143" i="35"/>
  <c r="CE144" i="35" s="1"/>
  <c r="CE137" i="35"/>
  <c r="CE138" i="35" s="1"/>
  <c r="CE127" i="35"/>
  <c r="CE128" i="35" s="1"/>
  <c r="CH149" i="35"/>
  <c r="BZ158" i="35"/>
  <c r="BZ146" i="35"/>
  <c r="BZ147" i="35" s="1"/>
  <c r="BZ140" i="35"/>
  <c r="BZ141" i="35" s="1"/>
  <c r="AT128" i="35"/>
  <c r="AY203" i="35"/>
  <c r="I20" i="45" s="1"/>
  <c r="CH178" i="35"/>
  <c r="AQ141" i="35"/>
  <c r="BF147" i="35"/>
  <c r="S141" i="35"/>
  <c r="BI144" i="35"/>
  <c r="AJ128" i="35"/>
  <c r="BN138" i="35"/>
  <c r="CO202" i="35"/>
  <c r="CJ128" i="35"/>
  <c r="BN205" i="35"/>
  <c r="BN206" i="35" s="1"/>
  <c r="BN178" i="35"/>
  <c r="BN200" i="35"/>
  <c r="BG141" i="35"/>
  <c r="BI158" i="35"/>
  <c r="BI140" i="35"/>
  <c r="BI146" i="35"/>
  <c r="BW157" i="35"/>
  <c r="BW150" i="35"/>
  <c r="BW143" i="35"/>
  <c r="BW144" i="35" s="1"/>
  <c r="BW137" i="35"/>
  <c r="BW138" i="35" s="1"/>
  <c r="BW127" i="35"/>
  <c r="BW128" i="35" s="1"/>
  <c r="BX149" i="35"/>
  <c r="AI141" i="35"/>
  <c r="BP134" i="35"/>
  <c r="BU209" i="35"/>
  <c r="BU134" i="35"/>
  <c r="AJ131" i="35"/>
  <c r="U89" i="35"/>
  <c r="U81" i="35"/>
  <c r="U85" i="35" s="1"/>
  <c r="Q81" i="35"/>
  <c r="Q84" i="35" s="1"/>
  <c r="U84" i="35" s="1"/>
  <c r="P86" i="35"/>
  <c r="P88" i="35"/>
  <c r="Q89" i="35"/>
  <c r="BS221" i="35"/>
  <c r="BX226" i="35" s="1"/>
  <c r="BS219" i="35"/>
  <c r="BS220" i="35"/>
  <c r="BX225" i="35" s="1"/>
  <c r="BS218" i="35"/>
  <c r="BS133" i="35"/>
  <c r="BS134" i="35" s="1"/>
  <c r="BS9" i="35"/>
  <c r="BO154" i="35"/>
  <c r="BS153" i="35"/>
  <c r="BO130" i="35"/>
  <c r="BT154" i="35"/>
  <c r="BC147" i="35"/>
  <c r="U131" i="35"/>
  <c r="Y147" i="35"/>
  <c r="CK206" i="35"/>
  <c r="N147" i="35"/>
  <c r="BM141" i="35"/>
  <c r="Q141" i="35"/>
  <c r="CG203" i="35"/>
  <c r="M141" i="35"/>
  <c r="P138" i="35"/>
  <c r="BY147" i="35"/>
  <c r="V147" i="35"/>
  <c r="BL141" i="35"/>
  <c r="AP147" i="35"/>
  <c r="CC209" i="35"/>
  <c r="CB154" i="35"/>
  <c r="CB130" i="35"/>
  <c r="CG154" i="35"/>
  <c r="BD131" i="35"/>
  <c r="CD146" i="35"/>
  <c r="CD147" i="35" s="1"/>
  <c r="AO206" i="35"/>
  <c r="CE154" i="35"/>
  <c r="CE130" i="35"/>
  <c r="CE131" i="35" s="1"/>
  <c r="CH153" i="35"/>
  <c r="CZ176" i="35"/>
  <c r="BX134" i="35"/>
  <c r="CC225" i="35"/>
  <c r="CC226" i="35"/>
  <c r="CL141" i="35"/>
  <c r="AF141" i="35"/>
  <c r="BS197" i="35"/>
  <c r="CJ206" i="35"/>
  <c r="AZ147" i="35"/>
  <c r="U138" i="35"/>
  <c r="AT138" i="35"/>
  <c r="CH219" i="35"/>
  <c r="CH224" i="35" s="1"/>
  <c r="CH218" i="35"/>
  <c r="CH223" i="35" s="1"/>
  <c r="CH221" i="35"/>
  <c r="CH226" i="35" s="1"/>
  <c r="CH220" i="35"/>
  <c r="CH225" i="35" s="1"/>
  <c r="CC133" i="35"/>
  <c r="CC134" i="35" s="1"/>
  <c r="CC9" i="35"/>
  <c r="CA150" i="35"/>
  <c r="CA157" i="35"/>
  <c r="CA143" i="35"/>
  <c r="CA144" i="35" s="1"/>
  <c r="CA137" i="35"/>
  <c r="CA138" i="35" s="1"/>
  <c r="CA127" i="35"/>
  <c r="CA128" i="35" s="1"/>
  <c r="CH206" i="35"/>
  <c r="AQ147" i="35"/>
  <c r="CA110" i="35"/>
  <c r="CF110" i="35"/>
  <c r="CC109" i="35"/>
  <c r="CC110" i="35" s="1"/>
  <c r="CM202" i="35"/>
  <c r="CM175" i="35"/>
  <c r="CM174" i="35"/>
  <c r="CF13" i="35"/>
  <c r="CK13" i="35"/>
  <c r="S147" i="35"/>
  <c r="AJ138" i="35"/>
  <c r="CY176" i="35"/>
  <c r="BN144" i="35"/>
  <c r="CM133" i="35"/>
  <c r="CM134" i="35" s="1"/>
  <c r="CM9" i="35"/>
  <c r="CI157" i="35"/>
  <c r="CI150" i="35"/>
  <c r="CM149" i="35"/>
  <c r="CI143" i="35"/>
  <c r="CI144" i="35" s="1"/>
  <c r="CI127" i="35"/>
  <c r="CI137" i="35"/>
  <c r="CI138" i="35" s="1"/>
  <c r="BG147" i="35"/>
  <c r="Z128" i="35"/>
  <c r="AE203" i="35"/>
  <c r="AB141" i="35"/>
  <c r="BW154" i="35"/>
  <c r="BW130" i="35"/>
  <c r="BW131" i="35" s="1"/>
  <c r="BX153" i="35"/>
  <c r="AI147" i="35"/>
  <c r="BP157" i="35"/>
  <c r="BP150" i="35"/>
  <c r="BP143" i="35"/>
  <c r="BP137" i="35"/>
  <c r="BP127" i="35"/>
  <c r="BU175" i="35"/>
  <c r="BU150" i="35"/>
  <c r="CB107" i="35"/>
  <c r="CG107" i="35"/>
  <c r="BN158" i="35"/>
  <c r="BN146" i="35"/>
  <c r="BN147" i="35" s="1"/>
  <c r="BN140" i="35"/>
  <c r="BN141" i="35" s="1"/>
  <c r="P146" i="35"/>
  <c r="P140" i="35"/>
  <c r="P141" i="35" s="1"/>
  <c r="BO157" i="35"/>
  <c r="BO150" i="35"/>
  <c r="BS149" i="35"/>
  <c r="BO143" i="35"/>
  <c r="BO137" i="35"/>
  <c r="BO127" i="35"/>
  <c r="BT175" i="35"/>
  <c r="BT150" i="35"/>
  <c r="AE146" i="35"/>
  <c r="AE140" i="35"/>
  <c r="AE141" i="35" s="1"/>
  <c r="AJ206" i="35"/>
  <c r="U140" i="35"/>
  <c r="U141" i="35" s="1"/>
  <c r="U146" i="35"/>
  <c r="CC202" i="35"/>
  <c r="CC203" i="35" s="1"/>
  <c r="CC175" i="35"/>
  <c r="CC174" i="35"/>
  <c r="AM141" i="35"/>
  <c r="BY141" i="35"/>
  <c r="Z146" i="35"/>
  <c r="Z147" i="35" s="1"/>
  <c r="Z140" i="35"/>
  <c r="Z141" i="35" s="1"/>
  <c r="AO131" i="35"/>
  <c r="BV158" i="35"/>
  <c r="BV146" i="35"/>
  <c r="BV147" i="35" s="1"/>
  <c r="BV140" i="35"/>
  <c r="BV141" i="35" s="1"/>
  <c r="AT203" i="35"/>
  <c r="AN141" i="35"/>
  <c r="CC200" i="35"/>
  <c r="CE13" i="35"/>
  <c r="CH12" i="35"/>
  <c r="CH13" i="35" s="1"/>
  <c r="Z131" i="35"/>
  <c r="BX223" i="35"/>
  <c r="BW218" i="35"/>
  <c r="BX224" i="35"/>
  <c r="BW219" i="35"/>
  <c r="CL147" i="35"/>
  <c r="AF147" i="35"/>
  <c r="BX200" i="35"/>
  <c r="CG206" i="35"/>
  <c r="AT206" i="35"/>
  <c r="BD146" i="35"/>
  <c r="BD147" i="35" s="1"/>
  <c r="BD158" i="35"/>
  <c r="BD140" i="35"/>
  <c r="BD141" i="35" s="1"/>
  <c r="AT144" i="35"/>
  <c r="CA154" i="35"/>
  <c r="CA130" i="35"/>
  <c r="CA131" i="35" s="1"/>
  <c r="CC153" i="35"/>
  <c r="BD197" i="35"/>
  <c r="CJ70" i="35"/>
  <c r="CM70" i="35" s="1"/>
  <c r="CM71" i="35"/>
  <c r="BI131" i="35"/>
  <c r="R141" i="35"/>
  <c r="CA107" i="35"/>
  <c r="CF107" i="35"/>
  <c r="CC106" i="35"/>
  <c r="CC107" i="35" s="1"/>
  <c r="CF157" i="35"/>
  <c r="CF150" i="35"/>
  <c r="CF143" i="35"/>
  <c r="CF137" i="35"/>
  <c r="CF127" i="35"/>
  <c r="CK150" i="35"/>
  <c r="CF134" i="35"/>
  <c r="CK134" i="35"/>
  <c r="BI138" i="35"/>
  <c r="BW203" i="35"/>
  <c r="BN128" i="35"/>
  <c r="P150" i="8"/>
  <c r="P119" i="8"/>
  <c r="U65" i="8"/>
  <c r="BX69" i="8"/>
  <c r="BX118" i="8"/>
  <c r="AT150" i="8"/>
  <c r="AT119" i="8"/>
  <c r="AY65" i="8"/>
  <c r="CK155" i="8"/>
  <c r="CK151" i="8"/>
  <c r="CM150" i="8"/>
  <c r="CM119" i="8"/>
  <c r="CR65" i="8"/>
  <c r="AV155" i="8"/>
  <c r="AV151" i="8"/>
  <c r="BV155" i="8"/>
  <c r="BV151" i="8"/>
  <c r="K158" i="8"/>
  <c r="K118" i="8"/>
  <c r="CG150" i="8"/>
  <c r="CG119" i="8"/>
  <c r="CL65" i="8"/>
  <c r="CG146" i="8"/>
  <c r="CG147" i="8" s="1"/>
  <c r="CE155" i="8"/>
  <c r="CE151" i="8"/>
  <c r="U158" i="8"/>
  <c r="U118" i="8"/>
  <c r="AC155" i="8"/>
  <c r="AC151" i="8"/>
  <c r="BM117" i="8"/>
  <c r="BN116" i="8"/>
  <c r="BA155" i="8"/>
  <c r="BA151" i="8"/>
  <c r="AI150" i="8"/>
  <c r="AI119" i="8"/>
  <c r="AN65" i="8"/>
  <c r="CK43" i="8"/>
  <c r="CL40" i="8"/>
  <c r="P69" i="8"/>
  <c r="AW155" i="8"/>
  <c r="AW151" i="8"/>
  <c r="P146" i="8"/>
  <c r="CM148" i="8"/>
  <c r="CR145" i="8"/>
  <c r="AX150" i="8"/>
  <c r="AX119" i="8"/>
  <c r="BC65" i="8"/>
  <c r="AX146" i="8"/>
  <c r="X155" i="8"/>
  <c r="X151" i="8"/>
  <c r="AJ143" i="8"/>
  <c r="AJ161" i="8"/>
  <c r="J150" i="8"/>
  <c r="J155" i="8" s="1"/>
  <c r="J119" i="8"/>
  <c r="O65" i="8"/>
  <c r="W155" i="8"/>
  <c r="W151" i="8"/>
  <c r="AR155" i="8"/>
  <c r="AR151" i="8"/>
  <c r="AD150" i="8"/>
  <c r="AD119" i="8"/>
  <c r="AI65" i="8"/>
  <c r="S155" i="8"/>
  <c r="S151" i="8"/>
  <c r="CR39" i="8"/>
  <c r="T150" i="8"/>
  <c r="T119" i="8"/>
  <c r="Y65" i="8"/>
  <c r="Z150" i="8"/>
  <c r="Z119" i="8"/>
  <c r="AE65" i="8"/>
  <c r="CJ28" i="8"/>
  <c r="CH29" i="8"/>
  <c r="CH34" i="8" s="1"/>
  <c r="CH45" i="8" s="1"/>
  <c r="K143" i="8"/>
  <c r="K146" i="8" s="1"/>
  <c r="K147" i="8" s="1"/>
  <c r="AM155" i="8"/>
  <c r="AM151" i="8"/>
  <c r="BC158" i="8"/>
  <c r="BC118" i="8"/>
  <c r="BD102" i="8"/>
  <c r="CJ53" i="8"/>
  <c r="CJ50" i="8"/>
  <c r="CJ52" i="8"/>
  <c r="CJ49" i="8"/>
  <c r="BR155" i="8"/>
  <c r="CA155" i="8"/>
  <c r="CA151" i="8"/>
  <c r="Y150" i="8"/>
  <c r="Y119" i="8"/>
  <c r="AD65" i="8"/>
  <c r="BW150" i="8"/>
  <c r="BW119" i="8"/>
  <c r="CB65" i="8"/>
  <c r="AO158" i="8"/>
  <c r="AO118" i="8"/>
  <c r="CV116" i="8"/>
  <c r="CV21" i="8"/>
  <c r="CW21" i="8" s="1"/>
  <c r="CT38" i="8"/>
  <c r="CH14" i="8"/>
  <c r="CG17" i="8"/>
  <c r="CG22" i="8" s="1"/>
  <c r="CG67" i="8" s="1"/>
  <c r="CI14" i="8"/>
  <c r="CI17" i="8" s="1"/>
  <c r="CI22" i="8" s="1"/>
  <c r="CI67" i="8" s="1"/>
  <c r="CH150" i="8"/>
  <c r="CH119" i="8"/>
  <c r="CM65" i="8"/>
  <c r="N155" i="8"/>
  <c r="N151" i="8"/>
  <c r="CL150" i="8"/>
  <c r="CL119" i="8"/>
  <c r="CQ65" i="8"/>
  <c r="CB155" i="8"/>
  <c r="BZ155" i="8"/>
  <c r="BZ151" i="8"/>
  <c r="Z146" i="8"/>
  <c r="CT105" i="8"/>
  <c r="CS69" i="8"/>
  <c r="BB150" i="8"/>
  <c r="BB119" i="8"/>
  <c r="BG65" i="8"/>
  <c r="BL155" i="8"/>
  <c r="BL151" i="8"/>
  <c r="BQ151" i="8"/>
  <c r="AE150" i="8"/>
  <c r="AE119" i="8"/>
  <c r="AJ65" i="8"/>
  <c r="O155" i="8"/>
  <c r="O151" i="8"/>
  <c r="BI158" i="8"/>
  <c r="BI118" i="8"/>
  <c r="CC150" i="8"/>
  <c r="CC119" i="8"/>
  <c r="CH65" i="8"/>
  <c r="AN150" i="8"/>
  <c r="AN119" i="8"/>
  <c r="AS65" i="8"/>
  <c r="AB155" i="8"/>
  <c r="AB151" i="8"/>
  <c r="BX146" i="8"/>
  <c r="BK155" i="8"/>
  <c r="BK151" i="8"/>
  <c r="CF155" i="8"/>
  <c r="CF151" i="8"/>
  <c r="P161" i="8"/>
  <c r="AH155" i="8"/>
  <c r="AH151" i="8"/>
  <c r="Y146" i="8"/>
  <c r="BG155" i="8"/>
  <c r="BG151" i="8"/>
  <c r="BS150" i="8"/>
  <c r="BS119" i="8"/>
  <c r="BX65" i="8"/>
  <c r="AJ69" i="8"/>
  <c r="AY150" i="8"/>
  <c r="AY119" i="8"/>
  <c r="BD65" i="8"/>
  <c r="AG151" i="8"/>
  <c r="J146" i="8"/>
  <c r="J147" i="8" s="1"/>
  <c r="BH150" i="8"/>
  <c r="BH119" i="8"/>
  <c r="BM65" i="8"/>
  <c r="AS155" i="8"/>
  <c r="AQ155" i="8"/>
  <c r="AQ151" i="8"/>
  <c r="AJ158" i="8"/>
  <c r="AJ118" i="8"/>
  <c r="AT146" i="8"/>
  <c r="CH146" i="8"/>
  <c r="X73" i="3"/>
  <c r="X71" i="3"/>
  <c r="X26" i="3"/>
  <c r="BU73" i="3"/>
  <c r="BU74" i="3"/>
  <c r="BU71" i="3"/>
  <c r="BU26" i="3"/>
  <c r="CI74" i="3"/>
  <c r="CI73" i="3"/>
  <c r="CI71" i="3"/>
  <c r="CI26" i="3"/>
  <c r="BG88" i="3"/>
  <c r="BG69" i="3"/>
  <c r="BG111" i="3"/>
  <c r="AZ88" i="3"/>
  <c r="AZ69" i="3"/>
  <c r="AZ111" i="3"/>
  <c r="BW88" i="3"/>
  <c r="BW69" i="3"/>
  <c r="BW111" i="3"/>
  <c r="T88" i="3"/>
  <c r="T69" i="3"/>
  <c r="BX71" i="3"/>
  <c r="BX26" i="3"/>
  <c r="BX74" i="3"/>
  <c r="BX73" i="3"/>
  <c r="BO73" i="3"/>
  <c r="BO74" i="3"/>
  <c r="BO71" i="3"/>
  <c r="BO26" i="3"/>
  <c r="BN51" i="3"/>
  <c r="BN54" i="3" s="1"/>
  <c r="BJ54" i="3"/>
  <c r="BE54" i="3"/>
  <c r="BI51" i="3"/>
  <c r="BI54" i="3" s="1"/>
  <c r="O46" i="3"/>
  <c r="O32" i="3"/>
  <c r="O34" i="3" s="1"/>
  <c r="AM42" i="3"/>
  <c r="AM36" i="3"/>
  <c r="AM47" i="3" s="1"/>
  <c r="AK73" i="3"/>
  <c r="AK71" i="3"/>
  <c r="AK26" i="3"/>
  <c r="U51" i="3"/>
  <c r="U54" i="3" s="1"/>
  <c r="AG73" i="3"/>
  <c r="AG71" i="3"/>
  <c r="AG26" i="3"/>
  <c r="AS73" i="3"/>
  <c r="AS71" i="3"/>
  <c r="AS26" i="3"/>
  <c r="CJ88" i="3"/>
  <c r="CJ69" i="3"/>
  <c r="CJ111" i="3"/>
  <c r="CA46" i="3"/>
  <c r="CA32" i="3"/>
  <c r="CA34" i="3" s="1"/>
  <c r="BL46" i="3"/>
  <c r="BL32" i="3"/>
  <c r="BL34" i="3" s="1"/>
  <c r="AP46" i="3"/>
  <c r="AP32" i="3"/>
  <c r="AP34" i="3" s="1"/>
  <c r="N88" i="3"/>
  <c r="N69" i="3"/>
  <c r="AI88" i="3"/>
  <c r="AI69" i="3"/>
  <c r="Y46" i="3"/>
  <c r="Y32" i="3"/>
  <c r="Y34" i="3" s="1"/>
  <c r="AH71" i="3"/>
  <c r="AH73" i="3"/>
  <c r="AH26" i="3"/>
  <c r="BV71" i="3"/>
  <c r="BV26" i="3"/>
  <c r="BV73" i="3"/>
  <c r="BV74" i="3"/>
  <c r="AR88" i="3"/>
  <c r="AR69" i="3"/>
  <c r="BQ88" i="3"/>
  <c r="BQ69" i="3"/>
  <c r="BQ111" i="3"/>
  <c r="BH73" i="3"/>
  <c r="BH74" i="3"/>
  <c r="BH71" i="3"/>
  <c r="BH26" i="3"/>
  <c r="BB88" i="3"/>
  <c r="BB69" i="3"/>
  <c r="BB111" i="3"/>
  <c r="Q46" i="3"/>
  <c r="Q32" i="3"/>
  <c r="Q34" i="3" s="1"/>
  <c r="CB74" i="3"/>
  <c r="CB73" i="3"/>
  <c r="CB71" i="3"/>
  <c r="CB26" i="3"/>
  <c r="AT71" i="3"/>
  <c r="AT26" i="3"/>
  <c r="AT73" i="3"/>
  <c r="AO70" i="3"/>
  <c r="AO24" i="3"/>
  <c r="CL46" i="3"/>
  <c r="CL32" i="3"/>
  <c r="CL34" i="3" s="1"/>
  <c r="X88" i="3"/>
  <c r="X69" i="3"/>
  <c r="BZ74" i="3"/>
  <c r="BZ73" i="3"/>
  <c r="BZ71" i="3"/>
  <c r="BZ26" i="3"/>
  <c r="CM51" i="3"/>
  <c r="CM54" i="3" s="1"/>
  <c r="CI54" i="3"/>
  <c r="AP69" i="3"/>
  <c r="K71" i="3"/>
  <c r="K26" i="3"/>
  <c r="K73" i="3"/>
  <c r="BR74" i="3"/>
  <c r="BR71" i="3"/>
  <c r="BR73" i="3"/>
  <c r="BR26" i="3"/>
  <c r="G71" i="3"/>
  <c r="G73" i="3"/>
  <c r="G26" i="3"/>
  <c r="T73" i="3"/>
  <c r="T71" i="3"/>
  <c r="T26" i="3"/>
  <c r="BT73" i="3"/>
  <c r="BT74" i="3"/>
  <c r="BT71" i="3"/>
  <c r="BT26" i="3"/>
  <c r="BS51" i="3"/>
  <c r="BS54" i="3" s="1"/>
  <c r="BO54" i="3"/>
  <c r="CG74" i="3"/>
  <c r="CG73" i="3"/>
  <c r="CG71" i="3"/>
  <c r="CG26" i="3"/>
  <c r="Q88" i="3"/>
  <c r="Q69" i="3"/>
  <c r="P70" i="3"/>
  <c r="P24" i="3"/>
  <c r="AG88" i="3"/>
  <c r="AG69" i="3"/>
  <c r="AS88" i="3"/>
  <c r="AS69" i="3"/>
  <c r="S73" i="3"/>
  <c r="S71" i="3"/>
  <c r="S26" i="3"/>
  <c r="AA88" i="3"/>
  <c r="AA69" i="3"/>
  <c r="R46" i="3"/>
  <c r="R32" i="3"/>
  <c r="R34" i="3" s="1"/>
  <c r="AD46" i="3"/>
  <c r="AD32" i="3"/>
  <c r="AD34" i="3" s="1"/>
  <c r="AH88" i="3"/>
  <c r="AH69" i="3"/>
  <c r="AC73" i="3"/>
  <c r="AC71" i="3"/>
  <c r="AC26" i="3"/>
  <c r="BV88" i="3"/>
  <c r="BV69" i="3"/>
  <c r="BV111" i="3"/>
  <c r="P69" i="3"/>
  <c r="CK74" i="3"/>
  <c r="CK73" i="3"/>
  <c r="CK71" i="3"/>
  <c r="CK26" i="3"/>
  <c r="BH88" i="3"/>
  <c r="BH69" i="3"/>
  <c r="BH111" i="3"/>
  <c r="CF74" i="3"/>
  <c r="CF73" i="3"/>
  <c r="CF71" i="3"/>
  <c r="CF26" i="3"/>
  <c r="AJ70" i="3"/>
  <c r="AJ24" i="3"/>
  <c r="V46" i="3"/>
  <c r="V32" i="3"/>
  <c r="V34" i="3" s="1"/>
  <c r="CB88" i="3"/>
  <c r="CB69" i="3"/>
  <c r="CB111" i="3"/>
  <c r="BM73" i="3"/>
  <c r="BM74" i="3"/>
  <c r="BM71" i="3"/>
  <c r="BM26" i="3"/>
  <c r="H46" i="3"/>
  <c r="H32" i="3"/>
  <c r="H34" i="3" s="1"/>
  <c r="BY46" i="3"/>
  <c r="BY32" i="3"/>
  <c r="BY34" i="3" s="1"/>
  <c r="BC46" i="3"/>
  <c r="BC32" i="3"/>
  <c r="BC34" i="3" s="1"/>
  <c r="F71" i="3"/>
  <c r="F73" i="3"/>
  <c r="F26" i="3"/>
  <c r="CE74" i="3"/>
  <c r="CE73" i="3"/>
  <c r="CE71" i="3"/>
  <c r="CE26" i="3"/>
  <c r="BZ88" i="3"/>
  <c r="BZ69" i="3"/>
  <c r="BZ111" i="3"/>
  <c r="BU88" i="3"/>
  <c r="BU69" i="3"/>
  <c r="BU111" i="3"/>
  <c r="CM71" i="3"/>
  <c r="CM26" i="3"/>
  <c r="CM74" i="3"/>
  <c r="CM73" i="3"/>
  <c r="AN46" i="3"/>
  <c r="AN32" i="3"/>
  <c r="AN34" i="3" s="1"/>
  <c r="AT51" i="3"/>
  <c r="AT54" i="3" s="1"/>
  <c r="Z70" i="3"/>
  <c r="Z24" i="3"/>
  <c r="BR88" i="3"/>
  <c r="BR69" i="3"/>
  <c r="BR111" i="3"/>
  <c r="BN46" i="3"/>
  <c r="BN32" i="3"/>
  <c r="BN34" i="3" s="1"/>
  <c r="K51" i="3"/>
  <c r="K54" i="3" s="1"/>
  <c r="G54" i="3"/>
  <c r="G69" i="3" s="1"/>
  <c r="U70" i="3"/>
  <c r="U24" i="3"/>
  <c r="BT54" i="3"/>
  <c r="BX51" i="3"/>
  <c r="BX54" i="3" s="1"/>
  <c r="BE73" i="3"/>
  <c r="BE74" i="3"/>
  <c r="BE71" i="3"/>
  <c r="BE26" i="3"/>
  <c r="DA16" i="3"/>
  <c r="DB16" i="3" s="1"/>
  <c r="AK54" i="3"/>
  <c r="AO51" i="3"/>
  <c r="AO54" i="3" s="1"/>
  <c r="CC71" i="3"/>
  <c r="CC26" i="3"/>
  <c r="CC73" i="3"/>
  <c r="CC74" i="3"/>
  <c r="AX71" i="3"/>
  <c r="AX73" i="3"/>
  <c r="AX26" i="3"/>
  <c r="AU88" i="3"/>
  <c r="AU69" i="3"/>
  <c r="CD74" i="3"/>
  <c r="CD73" i="3"/>
  <c r="CD71" i="3"/>
  <c r="CD26" i="3"/>
  <c r="S88" i="3"/>
  <c r="S69" i="3"/>
  <c r="CC51" i="3"/>
  <c r="CC54" i="3" s="1"/>
  <c r="AF73" i="3"/>
  <c r="AF71" i="3"/>
  <c r="AF26" i="3"/>
  <c r="AE69" i="3"/>
  <c r="W46" i="3"/>
  <c r="W32" i="3"/>
  <c r="W34" i="3" s="1"/>
  <c r="CQ58" i="3"/>
  <c r="CQ56" i="3"/>
  <c r="CQ57" i="3" s="1"/>
  <c r="CR57" i="3" s="1"/>
  <c r="AC88" i="3"/>
  <c r="AC69" i="3"/>
  <c r="AQ42" i="3"/>
  <c r="AQ36" i="3"/>
  <c r="AQ47" i="3" s="1"/>
  <c r="L88" i="3"/>
  <c r="L69" i="3"/>
  <c r="BQ73" i="3"/>
  <c r="BQ74" i="3"/>
  <c r="BQ71" i="3"/>
  <c r="BQ26" i="3"/>
  <c r="CF88" i="3"/>
  <c r="CF69" i="3"/>
  <c r="CF111" i="3"/>
  <c r="AL46" i="3"/>
  <c r="AL32" i="3"/>
  <c r="AL34" i="3" s="1"/>
  <c r="AM88" i="3"/>
  <c r="AZ46" i="3"/>
  <c r="AZ32" i="3"/>
  <c r="AZ34" i="3" s="1"/>
  <c r="BA46" i="3"/>
  <c r="BA32" i="3"/>
  <c r="BA34" i="3" s="1"/>
  <c r="AW73" i="3"/>
  <c r="AW71" i="3"/>
  <c r="AW26" i="3"/>
  <c r="BP73" i="3"/>
  <c r="BP74" i="3"/>
  <c r="BP71" i="3"/>
  <c r="BP26" i="3"/>
  <c r="BM88" i="3"/>
  <c r="BM69" i="3"/>
  <c r="BM111" i="3"/>
  <c r="L46" i="3"/>
  <c r="L32" i="3"/>
  <c r="L34" i="3" s="1"/>
  <c r="BI70" i="3"/>
  <c r="BI24" i="3"/>
  <c r="V88" i="3"/>
  <c r="V69" i="3"/>
  <c r="F88" i="3"/>
  <c r="F69" i="3"/>
  <c r="E46" i="3"/>
  <c r="E32" i="3"/>
  <c r="E34" i="3" s="1"/>
  <c r="CE88" i="3"/>
  <c r="CE69" i="3"/>
  <c r="CE111" i="3"/>
  <c r="AE70" i="3"/>
  <c r="AE24" i="3"/>
  <c r="BG73" i="3"/>
  <c r="BG74" i="3"/>
  <c r="BG71" i="3"/>
  <c r="BG26" i="3"/>
  <c r="BD69" i="3"/>
  <c r="BD111" i="3"/>
  <c r="BW74" i="3"/>
  <c r="BW71" i="3"/>
  <c r="BW26" i="3"/>
  <c r="J46" i="3"/>
  <c r="J32" i="3"/>
  <c r="J34" i="3" s="1"/>
  <c r="AY71" i="3"/>
  <c r="AY26" i="3"/>
  <c r="AY74" i="3"/>
  <c r="AY73" i="3"/>
  <c r="D46" i="3"/>
  <c r="D32" i="3"/>
  <c r="D34" i="3" s="1"/>
  <c r="Y88" i="3"/>
  <c r="BJ74" i="3"/>
  <c r="BJ71" i="3"/>
  <c r="BJ73" i="3"/>
  <c r="BJ26" i="3"/>
  <c r="CG88" i="3"/>
  <c r="CG69" i="3"/>
  <c r="CG111" i="3"/>
  <c r="AB46" i="3"/>
  <c r="AB32" i="3"/>
  <c r="AB34" i="3" s="1"/>
  <c r="M46" i="3"/>
  <c r="M32" i="3"/>
  <c r="M34" i="3" s="1"/>
  <c r="AX88" i="3"/>
  <c r="AX69" i="3"/>
  <c r="AV46" i="3"/>
  <c r="AV32" i="3"/>
  <c r="AV34" i="3" s="1"/>
  <c r="AY51" i="3"/>
  <c r="AY54" i="3" s="1"/>
  <c r="CJ74" i="3"/>
  <c r="CJ73" i="3"/>
  <c r="CJ71" i="3"/>
  <c r="CJ26" i="3"/>
  <c r="CH51" i="3"/>
  <c r="CH54" i="3" s="1"/>
  <c r="CD54" i="3"/>
  <c r="BY88" i="3"/>
  <c r="BY69" i="3"/>
  <c r="BY111" i="3"/>
  <c r="CH71" i="3"/>
  <c r="CH26" i="3"/>
  <c r="CH73" i="3"/>
  <c r="CH74" i="3"/>
  <c r="N71" i="3"/>
  <c r="N26" i="3"/>
  <c r="N73" i="3"/>
  <c r="AF54" i="3"/>
  <c r="AJ51" i="3"/>
  <c r="AJ54" i="3" s="1"/>
  <c r="AI73" i="3"/>
  <c r="AI71" i="3"/>
  <c r="AI26" i="3"/>
  <c r="I46" i="3"/>
  <c r="I32" i="3"/>
  <c r="I34" i="3" s="1"/>
  <c r="AA46" i="3"/>
  <c r="AA32" i="3"/>
  <c r="AA34" i="3" s="1"/>
  <c r="AR73" i="3"/>
  <c r="AR71" i="3"/>
  <c r="AR26" i="3"/>
  <c r="CK88" i="3"/>
  <c r="CK69" i="3"/>
  <c r="AU1" i="45"/>
  <c r="CK111" i="3"/>
  <c r="BB74" i="3"/>
  <c r="BB71" i="3"/>
  <c r="BB73" i="3"/>
  <c r="BB26" i="3"/>
  <c r="AW88" i="3"/>
  <c r="AW69" i="3"/>
  <c r="BS70" i="3"/>
  <c r="BS24" i="3"/>
  <c r="CR56" i="3"/>
  <c r="BK46" i="3"/>
  <c r="BK32" i="3"/>
  <c r="BK34" i="3" s="1"/>
  <c r="AU46" i="3"/>
  <c r="AU32" i="3"/>
  <c r="AU34" i="3" s="1"/>
  <c r="BP88" i="3"/>
  <c r="BP69" i="3"/>
  <c r="BP111" i="3"/>
  <c r="BF36" i="3"/>
  <c r="BF47" i="3" s="1"/>
  <c r="BF42" i="3"/>
  <c r="Z51" i="3"/>
  <c r="Z54" i="3" s="1"/>
  <c r="BD71" i="3"/>
  <c r="BD26" i="3"/>
  <c r="BD74" i="3"/>
  <c r="BD73" i="3"/>
  <c r="BX9" i="34" l="1"/>
  <c r="BY8" i="34" s="1"/>
  <c r="BY11" i="34" s="1"/>
  <c r="BW11" i="34"/>
  <c r="BX11" i="34" s="1"/>
  <c r="CH147" i="8"/>
  <c r="CM145" i="8" s="1"/>
  <c r="CG9" i="34"/>
  <c r="CM9" i="34"/>
  <c r="CN8" i="34" s="1"/>
  <c r="CL11" i="34"/>
  <c r="CC11" i="34"/>
  <c r="CV89" i="34"/>
  <c r="CV92" i="34" s="1"/>
  <c r="CU94" i="34"/>
  <c r="CL75" i="34"/>
  <c r="CL78" i="34" s="1"/>
  <c r="CK80" i="34"/>
  <c r="CK19" i="34"/>
  <c r="CB93" i="34"/>
  <c r="CC88" i="34"/>
  <c r="CD88" i="34" s="1"/>
  <c r="BU197" i="34"/>
  <c r="BV192" i="34"/>
  <c r="CQ164" i="34"/>
  <c r="CP169" i="34"/>
  <c r="BU112" i="34"/>
  <c r="BT117" i="34"/>
  <c r="CO52" i="34"/>
  <c r="CP47" i="34"/>
  <c r="CP50" i="34" s="1"/>
  <c r="CO51" i="34"/>
  <c r="CO53" i="34" s="1"/>
  <c r="CR24" i="8"/>
  <c r="CO61" i="34"/>
  <c r="CO64" i="34" s="1"/>
  <c r="CN66" i="34"/>
  <c r="CP179" i="34"/>
  <c r="CQ174" i="34"/>
  <c r="CB127" i="34"/>
  <c r="CC127" i="34" s="1"/>
  <c r="CD122" i="34"/>
  <c r="BR65" i="34"/>
  <c r="BS60" i="34"/>
  <c r="BT60" i="34" s="1"/>
  <c r="CT21" i="34"/>
  <c r="CS24" i="8"/>
  <c r="BT134" i="34"/>
  <c r="BR139" i="34"/>
  <c r="BT184" i="34"/>
  <c r="BR189" i="34"/>
  <c r="BX74" i="34"/>
  <c r="BY74" i="34" s="1"/>
  <c r="BW79" i="34"/>
  <c r="BT100" i="34"/>
  <c r="BR105" i="34"/>
  <c r="BS105" i="34" s="1"/>
  <c r="BZ159" i="34"/>
  <c r="CA154" i="34"/>
  <c r="BR149" i="34"/>
  <c r="BS149" i="34" s="1"/>
  <c r="BT144" i="34"/>
  <c r="CS33" i="34"/>
  <c r="CS36" i="34" s="1"/>
  <c r="CR36" i="34"/>
  <c r="CW33" i="34" s="1"/>
  <c r="CQ38" i="34"/>
  <c r="CR38" i="34" s="1"/>
  <c r="CQ37" i="34"/>
  <c r="BS139" i="34"/>
  <c r="BS189" i="34"/>
  <c r="CI158" i="35"/>
  <c r="CM157" i="35"/>
  <c r="CI146" i="35"/>
  <c r="CI147" i="35" s="1"/>
  <c r="CI140" i="35"/>
  <c r="CI141" i="35" s="1"/>
  <c r="CA158" i="35"/>
  <c r="CA146" i="35"/>
  <c r="CA147" i="35" s="1"/>
  <c r="CA140" i="35"/>
  <c r="CA141" i="35" s="1"/>
  <c r="CC157" i="35"/>
  <c r="CB146" i="35"/>
  <c r="CB158" i="35"/>
  <c r="CB140" i="35"/>
  <c r="CG158" i="35"/>
  <c r="AY133" i="35"/>
  <c r="AY9" i="35"/>
  <c r="BD9" i="35"/>
  <c r="AY230" i="35"/>
  <c r="AY228" i="35"/>
  <c r="AY231" i="35"/>
  <c r="AY229" i="35"/>
  <c r="AY155" i="35"/>
  <c r="AY151" i="35"/>
  <c r="CD107" i="35"/>
  <c r="CH106" i="35"/>
  <c r="CI107" i="35"/>
  <c r="BX13" i="35"/>
  <c r="CF128" i="35"/>
  <c r="CK128" i="35"/>
  <c r="CF146" i="35"/>
  <c r="CF158" i="35"/>
  <c r="CF140" i="35"/>
  <c r="CK158" i="35"/>
  <c r="BS151" i="35"/>
  <c r="BS150" i="35"/>
  <c r="BS143" i="35"/>
  <c r="BS144" i="35" s="1"/>
  <c r="BS127" i="35"/>
  <c r="BS128" i="35" s="1"/>
  <c r="BS137" i="35"/>
  <c r="BS138" i="35" s="1"/>
  <c r="P147" i="35"/>
  <c r="BP144" i="35"/>
  <c r="BU144" i="35"/>
  <c r="BX155" i="35"/>
  <c r="BX154" i="35"/>
  <c r="BX130" i="35"/>
  <c r="CJ131" i="35"/>
  <c r="CM203" i="35"/>
  <c r="CH155" i="35"/>
  <c r="CH154" i="35"/>
  <c r="CH130" i="35"/>
  <c r="BS155" i="35"/>
  <c r="BS154" i="35"/>
  <c r="BS130" i="35"/>
  <c r="BS131" i="35" s="1"/>
  <c r="BS223" i="35"/>
  <c r="BR218" i="35"/>
  <c r="BW223" i="35" s="1"/>
  <c r="Z89" i="35"/>
  <c r="Z81" i="35"/>
  <c r="U86" i="35"/>
  <c r="V81" i="35"/>
  <c r="V84" i="35" s="1"/>
  <c r="Z84" i="35" s="1"/>
  <c r="V89" i="35"/>
  <c r="U88" i="35"/>
  <c r="BI141" i="35"/>
  <c r="CH134" i="35"/>
  <c r="CX176" i="35"/>
  <c r="CW176" i="35"/>
  <c r="CD110" i="35"/>
  <c r="CH109" i="35"/>
  <c r="CI110" i="35"/>
  <c r="BW230" i="35"/>
  <c r="CB225" i="35"/>
  <c r="CM155" i="35"/>
  <c r="CM154" i="35"/>
  <c r="CM130" i="35"/>
  <c r="CM131" i="35" s="1"/>
  <c r="CF138" i="35"/>
  <c r="CK138" i="35"/>
  <c r="BS225" i="35"/>
  <c r="BR220" i="35"/>
  <c r="CH151" i="35"/>
  <c r="CH143" i="35"/>
  <c r="CH144" i="35" s="1"/>
  <c r="CH137" i="35"/>
  <c r="CH138" i="35" s="1"/>
  <c r="CH150" i="35"/>
  <c r="CH127" i="35"/>
  <c r="CH128" i="35" s="1"/>
  <c r="CB128" i="35"/>
  <c r="CG128" i="35"/>
  <c r="AO147" i="35"/>
  <c r="CF144" i="35"/>
  <c r="CK144" i="35"/>
  <c r="U147" i="35"/>
  <c r="AE147" i="35"/>
  <c r="BO138" i="35"/>
  <c r="BT138" i="35"/>
  <c r="BO158" i="35"/>
  <c r="BS157" i="35"/>
  <c r="BO146" i="35"/>
  <c r="BO140" i="35"/>
  <c r="BT158" i="35"/>
  <c r="BP128" i="35"/>
  <c r="BU128" i="35"/>
  <c r="BU203" i="35"/>
  <c r="BP146" i="35"/>
  <c r="BP158" i="35"/>
  <c r="BP140" i="35"/>
  <c r="BU158" i="35"/>
  <c r="BR219" i="35"/>
  <c r="BS224" i="35"/>
  <c r="BW158" i="35"/>
  <c r="BW146" i="35"/>
  <c r="BW147" i="35" s="1"/>
  <c r="BW140" i="35"/>
  <c r="BW141" i="35" s="1"/>
  <c r="BX157" i="35"/>
  <c r="CE158" i="35"/>
  <c r="CE146" i="35"/>
  <c r="CE147" i="35" s="1"/>
  <c r="CE140" i="35"/>
  <c r="CE141" i="35" s="1"/>
  <c r="CH157" i="35"/>
  <c r="CB138" i="35"/>
  <c r="CG138" i="35"/>
  <c r="CR178" i="35"/>
  <c r="AY78" i="35"/>
  <c r="AY141" i="35"/>
  <c r="CM13" i="35"/>
  <c r="DB74" i="35"/>
  <c r="DB78" i="35" s="1"/>
  <c r="CX74" i="35"/>
  <c r="CX78" i="35" s="1"/>
  <c r="CY74" i="35" s="1"/>
  <c r="CY78" i="35" s="1"/>
  <c r="CZ74" i="35" s="1"/>
  <c r="CZ78" i="35" s="1"/>
  <c r="DA74" i="35" s="1"/>
  <c r="DA78" i="35" s="1"/>
  <c r="AT147" i="35"/>
  <c r="BX175" i="35"/>
  <c r="CJ144" i="35"/>
  <c r="CC155" i="35"/>
  <c r="CC154" i="35"/>
  <c r="CC130" i="35"/>
  <c r="CC131" i="35" s="1"/>
  <c r="BW229" i="35"/>
  <c r="BW224" i="35"/>
  <c r="CB224" i="35"/>
  <c r="BO128" i="35"/>
  <c r="BT203" i="35"/>
  <c r="BT128" i="35"/>
  <c r="CN202" i="35"/>
  <c r="CI128" i="35"/>
  <c r="BX150" i="35"/>
  <c r="BX151" i="35"/>
  <c r="BX143" i="35"/>
  <c r="BX144" i="35" s="1"/>
  <c r="BX127" i="35"/>
  <c r="BX128" i="35" s="1"/>
  <c r="BX137" i="35"/>
  <c r="BS206" i="35"/>
  <c r="CF131" i="35"/>
  <c r="CK131" i="35"/>
  <c r="CH203" i="35"/>
  <c r="BW228" i="35"/>
  <c r="CB223" i="35"/>
  <c r="BO144" i="35"/>
  <c r="BT144" i="35"/>
  <c r="BP138" i="35"/>
  <c r="BU138" i="35"/>
  <c r="CM150" i="35"/>
  <c r="CM151" i="35"/>
  <c r="CM143" i="35"/>
  <c r="CM144" i="35" s="1"/>
  <c r="CM137" i="35"/>
  <c r="CM138" i="35" s="1"/>
  <c r="CM127" i="35"/>
  <c r="CM128" i="35" s="1"/>
  <c r="CB131" i="35"/>
  <c r="CG131" i="35"/>
  <c r="BO131" i="35"/>
  <c r="BT131" i="35"/>
  <c r="BT206" i="35"/>
  <c r="BS226" i="35"/>
  <c r="BR221" i="35"/>
  <c r="BI147" i="35"/>
  <c r="CB144" i="35"/>
  <c r="CG144" i="35"/>
  <c r="CC13" i="35"/>
  <c r="BX209" i="35"/>
  <c r="CJ138" i="35"/>
  <c r="AJ141" i="35"/>
  <c r="BW226" i="35"/>
  <c r="BW231" i="35"/>
  <c r="CB226" i="35"/>
  <c r="BP131" i="35"/>
  <c r="BU206" i="35"/>
  <c r="BU131" i="35"/>
  <c r="CC138" i="35"/>
  <c r="CC150" i="35"/>
  <c r="AY155" i="8"/>
  <c r="AY151" i="8"/>
  <c r="BS155" i="8"/>
  <c r="AN155" i="8"/>
  <c r="AN151" i="8"/>
  <c r="BI150" i="8"/>
  <c r="BI119" i="8"/>
  <c r="BN65" i="8"/>
  <c r="BB155" i="8"/>
  <c r="BB151" i="8"/>
  <c r="CH155" i="8"/>
  <c r="CH151" i="8"/>
  <c r="AO150" i="8"/>
  <c r="AO119" i="8"/>
  <c r="AT65" i="8"/>
  <c r="BW155" i="8"/>
  <c r="BW151" i="8"/>
  <c r="Z155" i="8"/>
  <c r="CM40" i="8"/>
  <c r="CL43" i="8"/>
  <c r="AI155" i="8"/>
  <c r="AI151" i="8"/>
  <c r="BN117" i="8"/>
  <c r="BN118" i="8" s="1"/>
  <c r="BM118" i="8"/>
  <c r="CG155" i="8"/>
  <c r="CG151" i="8"/>
  <c r="AT155" i="8"/>
  <c r="AT151" i="8"/>
  <c r="CU38" i="8"/>
  <c r="CJ29" i="8"/>
  <c r="CJ34" i="8" s="1"/>
  <c r="CJ45" i="8" s="1"/>
  <c r="CK28" i="8"/>
  <c r="CS39" i="8"/>
  <c r="AX155" i="8"/>
  <c r="AX151" i="8"/>
  <c r="CK53" i="8"/>
  <c r="CK50" i="8"/>
  <c r="CK52" i="8"/>
  <c r="CK49" i="8"/>
  <c r="U150" i="8"/>
  <c r="U119" i="8"/>
  <c r="Z65" i="8"/>
  <c r="K150" i="8"/>
  <c r="K119" i="8"/>
  <c r="P65" i="8"/>
  <c r="CM155" i="8"/>
  <c r="CM151" i="8"/>
  <c r="U146" i="8"/>
  <c r="AE155" i="8"/>
  <c r="AE151" i="8"/>
  <c r="CX21" i="8"/>
  <c r="AO146" i="8"/>
  <c r="BD158" i="8"/>
  <c r="BD118" i="8"/>
  <c r="AD155" i="8"/>
  <c r="AD151" i="8"/>
  <c r="BI146" i="8"/>
  <c r="BX150" i="8"/>
  <c r="BX119" i="8"/>
  <c r="CC65" i="8"/>
  <c r="AJ150" i="8"/>
  <c r="AJ119" i="8"/>
  <c r="AO65" i="8"/>
  <c r="AS151" i="8"/>
  <c r="BH155" i="8"/>
  <c r="CC155" i="8"/>
  <c r="CC151" i="8"/>
  <c r="CU105" i="8"/>
  <c r="CT69" i="8"/>
  <c r="CB151" i="8"/>
  <c r="CL155" i="8"/>
  <c r="CL151" i="8"/>
  <c r="CJ14" i="8"/>
  <c r="CH17" i="8"/>
  <c r="CH22" i="8" s="1"/>
  <c r="CH67" i="8" s="1"/>
  <c r="Y155" i="8"/>
  <c r="Y151" i="8"/>
  <c r="BC150" i="8"/>
  <c r="BC119" i="8"/>
  <c r="BH65" i="8"/>
  <c r="BC146" i="8"/>
  <c r="P145" i="8"/>
  <c r="L145" i="8"/>
  <c r="L147" i="8" s="1"/>
  <c r="M145" i="8" s="1"/>
  <c r="M147" i="8" s="1"/>
  <c r="N145" i="8" s="1"/>
  <c r="N147" i="8" s="1"/>
  <c r="O145" i="8" s="1"/>
  <c r="O147" i="8" s="1"/>
  <c r="P147" i="8" s="1"/>
  <c r="T155" i="8"/>
  <c r="T151" i="8"/>
  <c r="AJ146" i="8"/>
  <c r="P155" i="8"/>
  <c r="P151" i="8"/>
  <c r="BD46" i="3"/>
  <c r="BD32" i="3"/>
  <c r="BD34" i="3" s="1"/>
  <c r="AU36" i="3"/>
  <c r="AU47" i="3" s="1"/>
  <c r="AU42" i="3"/>
  <c r="AA42" i="3"/>
  <c r="AA36" i="3"/>
  <c r="AA47" i="3" s="1"/>
  <c r="AI46" i="3"/>
  <c r="AI32" i="3"/>
  <c r="AI34" i="3" s="1"/>
  <c r="AF88" i="3"/>
  <c r="AF69" i="3"/>
  <c r="CH88" i="3"/>
  <c r="CH69" i="3"/>
  <c r="CH111" i="3"/>
  <c r="AB42" i="3"/>
  <c r="AB36" i="3"/>
  <c r="AB47" i="3" s="1"/>
  <c r="J42" i="3"/>
  <c r="J36" i="3"/>
  <c r="J47" i="3" s="1"/>
  <c r="BG46" i="3"/>
  <c r="BG32" i="3"/>
  <c r="BG34" i="3" s="1"/>
  <c r="AE71" i="3"/>
  <c r="AE26" i="3"/>
  <c r="AE73" i="3"/>
  <c r="CC32" i="3"/>
  <c r="CC34" i="3" s="1"/>
  <c r="CC46" i="3"/>
  <c r="BT88" i="3"/>
  <c r="BT69" i="3"/>
  <c r="BT111" i="3"/>
  <c r="K88" i="3"/>
  <c r="K69" i="3"/>
  <c r="AT88" i="3"/>
  <c r="AT69" i="3"/>
  <c r="BC42" i="3"/>
  <c r="BC36" i="3"/>
  <c r="BC47" i="3" s="1"/>
  <c r="H42" i="3"/>
  <c r="H36" i="3"/>
  <c r="H47" i="3" s="1"/>
  <c r="CK46" i="3"/>
  <c r="CK32" i="3"/>
  <c r="CK34" i="3" s="1"/>
  <c r="R42" i="3"/>
  <c r="R36" i="3"/>
  <c r="R47" i="3" s="1"/>
  <c r="S46" i="3"/>
  <c r="S32" i="3"/>
  <c r="S34" i="3" s="1"/>
  <c r="BS88" i="3"/>
  <c r="BS69" i="3"/>
  <c r="BS111" i="3"/>
  <c r="G46" i="3"/>
  <c r="G32" i="3"/>
  <c r="G34" i="3" s="1"/>
  <c r="K46" i="3"/>
  <c r="K32" i="3"/>
  <c r="K34" i="3" s="1"/>
  <c r="CI88" i="3"/>
  <c r="CI69" i="3"/>
  <c r="CI111" i="3"/>
  <c r="CL42" i="3"/>
  <c r="CL36" i="3"/>
  <c r="CL47" i="3" s="1"/>
  <c r="Q42" i="3"/>
  <c r="Q36" i="3"/>
  <c r="Q47" i="3" s="1"/>
  <c r="BV46" i="3"/>
  <c r="BV32" i="3"/>
  <c r="BV34" i="3" s="1"/>
  <c r="AS46" i="3"/>
  <c r="AS32" i="3"/>
  <c r="AS34" i="3" s="1"/>
  <c r="O36" i="3"/>
  <c r="O47" i="3" s="1"/>
  <c r="O42" i="3"/>
  <c r="BJ88" i="3"/>
  <c r="BJ69" i="3"/>
  <c r="BJ111" i="3"/>
  <c r="BX46" i="3"/>
  <c r="BX32" i="3"/>
  <c r="BX34" i="3" s="1"/>
  <c r="BS71" i="3"/>
  <c r="BS26" i="3"/>
  <c r="BS73" i="3"/>
  <c r="BS74" i="3"/>
  <c r="BB46" i="3"/>
  <c r="BB32" i="3"/>
  <c r="BB34" i="3" s="1"/>
  <c r="AR46" i="3"/>
  <c r="AR32" i="3"/>
  <c r="AR34" i="3" s="1"/>
  <c r="CJ46" i="3"/>
  <c r="CJ32" i="3"/>
  <c r="CJ34" i="3" s="1"/>
  <c r="AY88" i="3"/>
  <c r="AY69" i="3"/>
  <c r="AY111" i="3"/>
  <c r="BJ46" i="3"/>
  <c r="BJ32" i="3"/>
  <c r="BJ34" i="3" s="1"/>
  <c r="E36" i="3"/>
  <c r="E47" i="3" s="1"/>
  <c r="E42" i="3"/>
  <c r="L42" i="3"/>
  <c r="L36" i="3"/>
  <c r="L47" i="3" s="1"/>
  <c r="BA36" i="3"/>
  <c r="BA47" i="3" s="1"/>
  <c r="BA42" i="3"/>
  <c r="CD46" i="3"/>
  <c r="CD32" i="3"/>
  <c r="CD34" i="3" s="1"/>
  <c r="CD44" i="3"/>
  <c r="U71" i="3"/>
  <c r="U26" i="3"/>
  <c r="U73" i="3"/>
  <c r="BN42" i="3"/>
  <c r="BN36" i="3"/>
  <c r="BN47" i="3" s="1"/>
  <c r="AN42" i="3"/>
  <c r="AN36" i="3"/>
  <c r="AN47" i="3" s="1"/>
  <c r="CM46" i="3"/>
  <c r="CM32" i="3"/>
  <c r="CM34" i="3" s="1"/>
  <c r="CE46" i="3"/>
  <c r="CE32" i="3"/>
  <c r="CE34" i="3" s="1"/>
  <c r="F46" i="3"/>
  <c r="F32" i="3"/>
  <c r="F34" i="3" s="1"/>
  <c r="V42" i="3"/>
  <c r="V36" i="3"/>
  <c r="V47" i="3" s="1"/>
  <c r="CF46" i="3"/>
  <c r="CF32" i="3"/>
  <c r="CF34" i="3" s="1"/>
  <c r="P88" i="3"/>
  <c r="AC46" i="3"/>
  <c r="AC32" i="3"/>
  <c r="AC34" i="3" s="1"/>
  <c r="BT46" i="3"/>
  <c r="BT32" i="3"/>
  <c r="BT34" i="3" s="1"/>
  <c r="T46" i="3"/>
  <c r="T32" i="3"/>
  <c r="T34" i="3" s="1"/>
  <c r="CM88" i="3"/>
  <c r="CM69" i="3"/>
  <c r="AW1" i="45"/>
  <c r="CM111" i="3"/>
  <c r="AT46" i="3"/>
  <c r="AT32" i="3"/>
  <c r="AT34" i="3" s="1"/>
  <c r="BH46" i="3"/>
  <c r="BH32" i="3"/>
  <c r="BH34" i="3" s="1"/>
  <c r="Y42" i="3"/>
  <c r="Y36" i="3"/>
  <c r="Y47" i="3" s="1"/>
  <c r="BL42" i="3"/>
  <c r="BL36" i="3"/>
  <c r="BL47" i="3" s="1"/>
  <c r="BN88" i="3"/>
  <c r="BN69" i="3"/>
  <c r="BN111" i="3"/>
  <c r="CI46" i="3"/>
  <c r="CI32" i="3"/>
  <c r="CI34" i="3" s="1"/>
  <c r="BU46" i="3"/>
  <c r="BU32" i="3"/>
  <c r="BU34" i="3" s="1"/>
  <c r="X46" i="3"/>
  <c r="X32" i="3"/>
  <c r="X34" i="3" s="1"/>
  <c r="Z88" i="3"/>
  <c r="Z69" i="3"/>
  <c r="BK36" i="3"/>
  <c r="BK47" i="3" s="1"/>
  <c r="BK42" i="3"/>
  <c r="I42" i="3"/>
  <c r="I36" i="3"/>
  <c r="I47" i="3" s="1"/>
  <c r="N46" i="3"/>
  <c r="N32" i="3"/>
  <c r="N34" i="3" s="1"/>
  <c r="CH46" i="3"/>
  <c r="CH32" i="3"/>
  <c r="CH34" i="3" s="1"/>
  <c r="AV42" i="3"/>
  <c r="AV36" i="3"/>
  <c r="AV47" i="3" s="1"/>
  <c r="M42" i="3"/>
  <c r="M36" i="3"/>
  <c r="M47" i="3" s="1"/>
  <c r="D42" i="3"/>
  <c r="D36" i="3"/>
  <c r="D47" i="3" s="1"/>
  <c r="AY46" i="3"/>
  <c r="AY32" i="3"/>
  <c r="AY34" i="3" s="1"/>
  <c r="BW46" i="3"/>
  <c r="BW32" i="3"/>
  <c r="BW34" i="3" s="1"/>
  <c r="BP46" i="3"/>
  <c r="BP32" i="3"/>
  <c r="BP34" i="3" s="1"/>
  <c r="AW46" i="3"/>
  <c r="AW32" i="3"/>
  <c r="AW34" i="3" s="1"/>
  <c r="AL42" i="3"/>
  <c r="AL36" i="3"/>
  <c r="AL47" i="3" s="1"/>
  <c r="AQ72" i="3"/>
  <c r="AQ44" i="3"/>
  <c r="CS58" i="3"/>
  <c r="CS56" i="3"/>
  <c r="CR58" i="3"/>
  <c r="AE88" i="3"/>
  <c r="CC88" i="3"/>
  <c r="CC69" i="3"/>
  <c r="CC111" i="3"/>
  <c r="AO88" i="3"/>
  <c r="AO69" i="3"/>
  <c r="Z71" i="3"/>
  <c r="Z26" i="3"/>
  <c r="Z73" i="3"/>
  <c r="BY42" i="3"/>
  <c r="BY36" i="3"/>
  <c r="BY47" i="3" s="1"/>
  <c r="BM46" i="3"/>
  <c r="BM32" i="3"/>
  <c r="BM34" i="3" s="1"/>
  <c r="AD42" i="3"/>
  <c r="AD36" i="3"/>
  <c r="AD47" i="3" s="1"/>
  <c r="BZ46" i="3"/>
  <c r="BZ32" i="3"/>
  <c r="BZ34" i="3" s="1"/>
  <c r="AO71" i="3"/>
  <c r="AO26" i="3"/>
  <c r="AO73" i="3"/>
  <c r="AH46" i="3"/>
  <c r="AH32" i="3"/>
  <c r="AH34" i="3" s="1"/>
  <c r="U88" i="3"/>
  <c r="U69" i="3"/>
  <c r="BI88" i="3"/>
  <c r="BI69" i="3"/>
  <c r="BI111" i="3"/>
  <c r="BO46" i="3"/>
  <c r="BO32" i="3"/>
  <c r="BO34" i="3" s="1"/>
  <c r="BF72" i="3"/>
  <c r="BF44" i="3"/>
  <c r="AJ88" i="3"/>
  <c r="AJ69" i="3"/>
  <c r="CD88" i="3"/>
  <c r="CD69" i="3"/>
  <c r="CD111" i="3"/>
  <c r="BD88" i="3"/>
  <c r="BI71" i="3"/>
  <c r="BI26" i="3"/>
  <c r="BI73" i="3"/>
  <c r="BI74" i="3"/>
  <c r="AZ42" i="3"/>
  <c r="AZ36" i="3"/>
  <c r="AZ47" i="3" s="1"/>
  <c r="BQ46" i="3"/>
  <c r="BQ32" i="3"/>
  <c r="BQ34" i="3" s="1"/>
  <c r="W42" i="3"/>
  <c r="W36" i="3"/>
  <c r="W47" i="3" s="1"/>
  <c r="AF46" i="3"/>
  <c r="AF32" i="3"/>
  <c r="AF34" i="3" s="1"/>
  <c r="AX46" i="3"/>
  <c r="AX32" i="3"/>
  <c r="AX34" i="3" s="1"/>
  <c r="AK88" i="3"/>
  <c r="AK69" i="3"/>
  <c r="BE46" i="3"/>
  <c r="BE32" i="3"/>
  <c r="BE34" i="3" s="1"/>
  <c r="BX88" i="3"/>
  <c r="BX69" i="3"/>
  <c r="BX111" i="3"/>
  <c r="AJ71" i="3"/>
  <c r="AJ26" i="3"/>
  <c r="AJ73" i="3"/>
  <c r="P71" i="3"/>
  <c r="P26" i="3"/>
  <c r="P73" i="3"/>
  <c r="CG46" i="3"/>
  <c r="CG32" i="3"/>
  <c r="CG34" i="3" s="1"/>
  <c r="BO88" i="3"/>
  <c r="BO69" i="3"/>
  <c r="BO111" i="3"/>
  <c r="BR46" i="3"/>
  <c r="BR32" i="3"/>
  <c r="BR34" i="3" s="1"/>
  <c r="AP88" i="3"/>
  <c r="CB46" i="3"/>
  <c r="CB32" i="3"/>
  <c r="CB34" i="3" s="1"/>
  <c r="AP42" i="3"/>
  <c r="AP36" i="3"/>
  <c r="AP47" i="3" s="1"/>
  <c r="CA36" i="3"/>
  <c r="CA47" i="3" s="1"/>
  <c r="CA42" i="3"/>
  <c r="AG46" i="3"/>
  <c r="AG32" i="3"/>
  <c r="AG34" i="3" s="1"/>
  <c r="AK46" i="3"/>
  <c r="AK32" i="3"/>
  <c r="AK34" i="3" s="1"/>
  <c r="AM72" i="3"/>
  <c r="AM44" i="3"/>
  <c r="BE88" i="3"/>
  <c r="BE69" i="3"/>
  <c r="BE111" i="3"/>
  <c r="CH9" i="34" l="1"/>
  <c r="CI8" i="34" s="1"/>
  <c r="CI11" i="34" s="1"/>
  <c r="CM11" i="34" s="1"/>
  <c r="CG11" i="34"/>
  <c r="CH11" i="34" s="1"/>
  <c r="CS37" i="34"/>
  <c r="CS39" i="34" s="1"/>
  <c r="CS38" i="34"/>
  <c r="CT33" i="34"/>
  <c r="CT36" i="34" s="1"/>
  <c r="BT189" i="34"/>
  <c r="BU184" i="34"/>
  <c r="CC93" i="34"/>
  <c r="CB95" i="34"/>
  <c r="BU134" i="34"/>
  <c r="BT139" i="34"/>
  <c r="CU21" i="34"/>
  <c r="CT24" i="8"/>
  <c r="BS65" i="34"/>
  <c r="BR67" i="34"/>
  <c r="BS67" i="34" s="1"/>
  <c r="CQ169" i="34"/>
  <c r="CS164" i="34"/>
  <c r="BX79" i="34"/>
  <c r="BW81" i="34"/>
  <c r="BV112" i="34"/>
  <c r="BU117" i="34"/>
  <c r="CA159" i="34"/>
  <c r="CB154" i="34"/>
  <c r="BT105" i="34"/>
  <c r="BU100" i="34"/>
  <c r="CD127" i="34"/>
  <c r="CE122" i="34"/>
  <c r="CD93" i="34"/>
  <c r="CD95" i="34" s="1"/>
  <c r="CE88" i="34"/>
  <c r="CN75" i="34"/>
  <c r="CN78" i="34" s="1"/>
  <c r="CL80" i="34"/>
  <c r="CM80" i="34" s="1"/>
  <c r="CM78" i="34"/>
  <c r="CL19" i="34"/>
  <c r="CQ39" i="34"/>
  <c r="CR39" i="34" s="1"/>
  <c r="CR37" i="34"/>
  <c r="BT149" i="34"/>
  <c r="BU144" i="34"/>
  <c r="BY79" i="34"/>
  <c r="BY81" i="34" s="1"/>
  <c r="BZ74" i="34"/>
  <c r="BT65" i="34"/>
  <c r="BU60" i="34"/>
  <c r="CQ179" i="34"/>
  <c r="CR179" i="34" s="1"/>
  <c r="CS174" i="34"/>
  <c r="CP61" i="34"/>
  <c r="CP64" i="34" s="1"/>
  <c r="CO66" i="34"/>
  <c r="CQ47" i="34"/>
  <c r="CQ50" i="34" s="1"/>
  <c r="CP51" i="34"/>
  <c r="CP53" i="34" s="1"/>
  <c r="CP52" i="34"/>
  <c r="CR169" i="34"/>
  <c r="BW192" i="34"/>
  <c r="BV197" i="34"/>
  <c r="CX89" i="34"/>
  <c r="CX92" i="34" s="1"/>
  <c r="CW92" i="34"/>
  <c r="DB89" i="34" s="1"/>
  <c r="CV94" i="34"/>
  <c r="CW94" i="34" s="1"/>
  <c r="BR230" i="35"/>
  <c r="BR225" i="35"/>
  <c r="CW178" i="35"/>
  <c r="BR231" i="35"/>
  <c r="BR226" i="35"/>
  <c r="BR229" i="35"/>
  <c r="BR224" i="35"/>
  <c r="BO141" i="35"/>
  <c r="BT141" i="35"/>
  <c r="BW225" i="35"/>
  <c r="CH110" i="35"/>
  <c r="CM110" i="35"/>
  <c r="CH131" i="35"/>
  <c r="CH107" i="35"/>
  <c r="CM107" i="35"/>
  <c r="CB141" i="35"/>
  <c r="CG141" i="35"/>
  <c r="CH158" i="35"/>
  <c r="CH146" i="35"/>
  <c r="CH147" i="35" s="1"/>
  <c r="CH140" i="35"/>
  <c r="BP147" i="35"/>
  <c r="BU147" i="35"/>
  <c r="BR228" i="35"/>
  <c r="BR223" i="35"/>
  <c r="CF147" i="35"/>
  <c r="CK147" i="35"/>
  <c r="AZ74" i="35"/>
  <c r="BD74" i="35"/>
  <c r="BD78" i="35" s="1"/>
  <c r="BP141" i="35"/>
  <c r="BU141" i="35"/>
  <c r="BO147" i="35"/>
  <c r="BT147" i="35"/>
  <c r="DB176" i="35"/>
  <c r="Z85" i="35"/>
  <c r="BX131" i="35"/>
  <c r="CF141" i="35"/>
  <c r="CK141" i="35"/>
  <c r="CM158" i="35"/>
  <c r="CM146" i="35"/>
  <c r="CM140" i="35"/>
  <c r="CM141" i="35" s="1"/>
  <c r="BX158" i="35"/>
  <c r="BX146" i="35"/>
  <c r="BX147" i="35" s="1"/>
  <c r="BX140" i="35"/>
  <c r="CC128" i="35"/>
  <c r="CC158" i="35"/>
  <c r="CC140" i="35"/>
  <c r="CC141" i="35" s="1"/>
  <c r="CC146" i="35"/>
  <c r="BX138" i="35"/>
  <c r="CJ147" i="35"/>
  <c r="BS158" i="35"/>
  <c r="BS146" i="35"/>
  <c r="BS147" i="35" s="1"/>
  <c r="BS140" i="35"/>
  <c r="BS141" i="35" s="1"/>
  <c r="CC144" i="35"/>
  <c r="CJ141" i="35"/>
  <c r="AY134" i="35"/>
  <c r="BD209" i="35"/>
  <c r="BD134" i="35"/>
  <c r="CB147" i="35"/>
  <c r="CG147" i="35"/>
  <c r="CV105" i="8"/>
  <c r="CU69" i="8"/>
  <c r="AJ155" i="8"/>
  <c r="AJ151" i="8"/>
  <c r="CK29" i="8"/>
  <c r="CK34" i="8" s="1"/>
  <c r="CK45" i="8" s="1"/>
  <c r="CL28" i="8"/>
  <c r="BM150" i="8"/>
  <c r="BM119" i="8"/>
  <c r="BR65" i="8"/>
  <c r="BM146" i="8"/>
  <c r="BM147" i="8" s="1"/>
  <c r="CL52" i="8"/>
  <c r="CL49" i="8"/>
  <c r="CL53" i="8"/>
  <c r="CL50" i="8"/>
  <c r="BI155" i="8"/>
  <c r="BN150" i="8"/>
  <c r="BN119" i="8"/>
  <c r="BS65" i="8"/>
  <c r="BN146" i="8"/>
  <c r="CN40" i="8"/>
  <c r="CM43" i="8"/>
  <c r="AO155" i="8"/>
  <c r="AO151" i="8"/>
  <c r="U145" i="8"/>
  <c r="U147" i="8" s="1"/>
  <c r="Q145" i="8"/>
  <c r="Q147" i="8" s="1"/>
  <c r="R145" i="8" s="1"/>
  <c r="R147" i="8" s="1"/>
  <c r="S145" i="8" s="1"/>
  <c r="S147" i="8" s="1"/>
  <c r="T145" i="8" s="1"/>
  <c r="T147" i="8" s="1"/>
  <c r="CY116" i="8"/>
  <c r="CY21" i="8"/>
  <c r="U155" i="8"/>
  <c r="U151" i="8"/>
  <c r="Z151" i="8"/>
  <c r="BC155" i="8"/>
  <c r="BC151" i="8"/>
  <c r="CK14" i="8"/>
  <c r="CK17" i="8" s="1"/>
  <c r="CK22" i="8" s="1"/>
  <c r="CJ17" i="8"/>
  <c r="CJ22" i="8" s="1"/>
  <c r="CJ67" i="8" s="1"/>
  <c r="BH151" i="8"/>
  <c r="BX155" i="8"/>
  <c r="BX151" i="8"/>
  <c r="BD150" i="8"/>
  <c r="BD119" i="8"/>
  <c r="BI65" i="8"/>
  <c r="BD146" i="8"/>
  <c r="CX116" i="8"/>
  <c r="K155" i="8"/>
  <c r="K151" i="8"/>
  <c r="CT39" i="8"/>
  <c r="CV38" i="8"/>
  <c r="CW105" i="8"/>
  <c r="CW69" i="8" s="1"/>
  <c r="AJ46" i="3"/>
  <c r="AJ32" i="3"/>
  <c r="AJ34" i="3" s="1"/>
  <c r="Z46" i="3"/>
  <c r="Z32" i="3"/>
  <c r="Z34" i="3" s="1"/>
  <c r="D72" i="3"/>
  <c r="D44" i="3"/>
  <c r="AV72" i="3"/>
  <c r="AV44" i="3"/>
  <c r="BA45" i="3" s="1"/>
  <c r="BH42" i="3"/>
  <c r="BH36" i="3"/>
  <c r="BH47" i="3" s="1"/>
  <c r="T42" i="3"/>
  <c r="T36" i="3"/>
  <c r="T47" i="3" s="1"/>
  <c r="AC42" i="3"/>
  <c r="AC36" i="3"/>
  <c r="AC47" i="3" s="1"/>
  <c r="BN72" i="3"/>
  <c r="BN44" i="3"/>
  <c r="BA72" i="3"/>
  <c r="BA44" i="3"/>
  <c r="BF45" i="3" s="1"/>
  <c r="E72" i="3"/>
  <c r="E44" i="3"/>
  <c r="AS42" i="3"/>
  <c r="AS36" i="3"/>
  <c r="AS47" i="3" s="1"/>
  <c r="CC42" i="3"/>
  <c r="CC36" i="3"/>
  <c r="CC47" i="3" s="1"/>
  <c r="BG42" i="3"/>
  <c r="BG36" i="3"/>
  <c r="BG47" i="3" s="1"/>
  <c r="BR42" i="3"/>
  <c r="BR36" i="3"/>
  <c r="BR47" i="3" s="1"/>
  <c r="AX42" i="3"/>
  <c r="AX36" i="3"/>
  <c r="AX47" i="3" s="1"/>
  <c r="AO46" i="3"/>
  <c r="AO32" i="3"/>
  <c r="AO34" i="3" s="1"/>
  <c r="CS57" i="3"/>
  <c r="BP42" i="3"/>
  <c r="BP36" i="3"/>
  <c r="BP47" i="3" s="1"/>
  <c r="AY36" i="3"/>
  <c r="AY47" i="3" s="1"/>
  <c r="AY42" i="3"/>
  <c r="CH42" i="3"/>
  <c r="CH36" i="3"/>
  <c r="CH47" i="3" s="1"/>
  <c r="BU42" i="3"/>
  <c r="BU36" i="3"/>
  <c r="BU47" i="3" s="1"/>
  <c r="BL72" i="3"/>
  <c r="BL44" i="3"/>
  <c r="CE36" i="3"/>
  <c r="CE47" i="3" s="1"/>
  <c r="CE42" i="3"/>
  <c r="AR42" i="3"/>
  <c r="AR36" i="3"/>
  <c r="AR47" i="3" s="1"/>
  <c r="BX42" i="3"/>
  <c r="BX36" i="3"/>
  <c r="BX47" i="3" s="1"/>
  <c r="Q72" i="3"/>
  <c r="Q44" i="3"/>
  <c r="G42" i="3"/>
  <c r="G36" i="3"/>
  <c r="G47" i="3" s="1"/>
  <c r="R72" i="3"/>
  <c r="R44" i="3"/>
  <c r="W45" i="3" s="1"/>
  <c r="H72" i="3"/>
  <c r="H44" i="3"/>
  <c r="M45" i="3" s="1"/>
  <c r="AB72" i="3"/>
  <c r="AB44" i="3"/>
  <c r="BD42" i="3"/>
  <c r="BD36" i="3"/>
  <c r="BD47" i="3" s="1"/>
  <c r="BE42" i="3"/>
  <c r="BE36" i="3"/>
  <c r="BE47" i="3" s="1"/>
  <c r="AK36" i="3"/>
  <c r="AK47" i="3" s="1"/>
  <c r="AK42" i="3"/>
  <c r="CA72" i="3"/>
  <c r="CA44" i="3"/>
  <c r="CB42" i="3"/>
  <c r="CB36" i="3"/>
  <c r="CB47" i="3" s="1"/>
  <c r="CG36" i="3"/>
  <c r="CG47" i="3" s="1"/>
  <c r="CG42" i="3"/>
  <c r="W72" i="3"/>
  <c r="W44" i="3"/>
  <c r="AZ72" i="3"/>
  <c r="AZ44" i="3"/>
  <c r="AH42" i="3"/>
  <c r="AH36" i="3"/>
  <c r="AH47" i="3" s="1"/>
  <c r="AD72" i="3"/>
  <c r="AD44" i="3"/>
  <c r="BY72" i="3"/>
  <c r="BY44" i="3"/>
  <c r="CD45" i="3" s="1"/>
  <c r="CT58" i="3"/>
  <c r="CT56" i="3" s="1"/>
  <c r="AL72" i="3"/>
  <c r="AL44" i="3"/>
  <c r="AQ45" i="3" s="1"/>
  <c r="M72" i="3"/>
  <c r="M44" i="3"/>
  <c r="R45" i="3" s="1"/>
  <c r="I72" i="3"/>
  <c r="I44" i="3"/>
  <c r="AT42" i="3"/>
  <c r="AT36" i="3"/>
  <c r="AT47" i="3" s="1"/>
  <c r="BT42" i="3"/>
  <c r="BT36" i="3"/>
  <c r="BT47" i="3" s="1"/>
  <c r="V72" i="3"/>
  <c r="V44" i="3"/>
  <c r="AN72" i="3"/>
  <c r="AN44" i="3"/>
  <c r="U32" i="3"/>
  <c r="U34" i="3" s="1"/>
  <c r="U46" i="3"/>
  <c r="CD42" i="3"/>
  <c r="CD72" i="3" s="1"/>
  <c r="CD36" i="3"/>
  <c r="CD47" i="3" s="1"/>
  <c r="BJ42" i="3"/>
  <c r="BJ36" i="3"/>
  <c r="BJ47" i="3" s="1"/>
  <c r="O72" i="3"/>
  <c r="O44" i="3"/>
  <c r="BV42" i="3"/>
  <c r="BV36" i="3"/>
  <c r="BV47" i="3" s="1"/>
  <c r="S36" i="3"/>
  <c r="S47" i="3" s="1"/>
  <c r="S42" i="3"/>
  <c r="CK42" i="3"/>
  <c r="CK36" i="3"/>
  <c r="CK47" i="3" s="1"/>
  <c r="AE46" i="3"/>
  <c r="AE32" i="3"/>
  <c r="AE34" i="3" s="1"/>
  <c r="AA72" i="3"/>
  <c r="AA44" i="3"/>
  <c r="AG42" i="3"/>
  <c r="AG36" i="3"/>
  <c r="AG47" i="3" s="1"/>
  <c r="AP72" i="3"/>
  <c r="AP44" i="3"/>
  <c r="P46" i="3"/>
  <c r="P32" i="3"/>
  <c r="P34" i="3" s="1"/>
  <c r="BI32" i="3"/>
  <c r="BI34" i="3" s="1"/>
  <c r="BI46" i="3"/>
  <c r="AF42" i="3"/>
  <c r="AF36" i="3"/>
  <c r="AF47" i="3" s="1"/>
  <c r="BQ36" i="3"/>
  <c r="BQ47" i="3" s="1"/>
  <c r="BQ42" i="3"/>
  <c r="BO36" i="3"/>
  <c r="BO47" i="3" s="1"/>
  <c r="BO42" i="3"/>
  <c r="BZ42" i="3"/>
  <c r="BZ36" i="3"/>
  <c r="BZ47" i="3" s="1"/>
  <c r="BM42" i="3"/>
  <c r="BM36" i="3"/>
  <c r="BM47" i="3" s="1"/>
  <c r="AV45" i="3"/>
  <c r="AW42" i="3"/>
  <c r="AW36" i="3"/>
  <c r="AW47" i="3" s="1"/>
  <c r="BW42" i="3"/>
  <c r="BW36" i="3"/>
  <c r="BW47" i="3" s="1"/>
  <c r="N42" i="3"/>
  <c r="N36" i="3"/>
  <c r="N47" i="3" s="1"/>
  <c r="BK72" i="3"/>
  <c r="BK44" i="3"/>
  <c r="BK45" i="3" s="1"/>
  <c r="X42" i="3"/>
  <c r="X36" i="3"/>
  <c r="X47" i="3" s="1"/>
  <c r="CI42" i="3"/>
  <c r="CI36" i="3"/>
  <c r="CI47" i="3" s="1"/>
  <c r="Y72" i="3"/>
  <c r="Y44" i="3"/>
  <c r="AD45" i="3" s="1"/>
  <c r="CF42" i="3"/>
  <c r="CF36" i="3"/>
  <c r="CF47" i="3" s="1"/>
  <c r="F42" i="3"/>
  <c r="F36" i="3"/>
  <c r="F47" i="3" s="1"/>
  <c r="CM42" i="3"/>
  <c r="CM36" i="3"/>
  <c r="CM47" i="3" s="1"/>
  <c r="L72" i="3"/>
  <c r="L44" i="3"/>
  <c r="Q45" i="3" s="1"/>
  <c r="CJ42" i="3"/>
  <c r="CJ36" i="3"/>
  <c r="CJ47" i="3" s="1"/>
  <c r="BB42" i="3"/>
  <c r="BB36" i="3"/>
  <c r="BB47" i="3" s="1"/>
  <c r="BS46" i="3"/>
  <c r="BS32" i="3"/>
  <c r="BS34" i="3" s="1"/>
  <c r="CL72" i="3"/>
  <c r="CL44" i="3"/>
  <c r="K42" i="3"/>
  <c r="K36" i="3"/>
  <c r="K47" i="3" s="1"/>
  <c r="K105" i="3" s="1"/>
  <c r="K108" i="3" s="1"/>
  <c r="BC72" i="3"/>
  <c r="BC44" i="3"/>
  <c r="J72" i="3"/>
  <c r="J44" i="3"/>
  <c r="O45" i="3" s="1"/>
  <c r="AI36" i="3"/>
  <c r="AI47" i="3" s="1"/>
  <c r="AI42" i="3"/>
  <c r="AU72" i="3"/>
  <c r="AU44" i="3"/>
  <c r="AZ45" i="3" s="1"/>
  <c r="BX197" i="34" l="1"/>
  <c r="CR75" i="34"/>
  <c r="CM19" i="34"/>
  <c r="BY192" i="34"/>
  <c r="BW197" i="34"/>
  <c r="CQ51" i="34"/>
  <c r="CQ52" i="34"/>
  <c r="CR52" i="34" s="1"/>
  <c r="CR50" i="34"/>
  <c r="CW47" i="34" s="1"/>
  <c r="CS47" i="34"/>
  <c r="CS50" i="34" s="1"/>
  <c r="CA74" i="34"/>
  <c r="BZ79" i="34"/>
  <c r="BZ81" i="34" s="1"/>
  <c r="BV117" i="34"/>
  <c r="BW112" i="34"/>
  <c r="CT174" i="34"/>
  <c r="CS179" i="34"/>
  <c r="BU105" i="34"/>
  <c r="BV100" i="34"/>
  <c r="CS169" i="34"/>
  <c r="CT164" i="34"/>
  <c r="BU139" i="34"/>
  <c r="BV134" i="34"/>
  <c r="BU189" i="34"/>
  <c r="BV184" i="34"/>
  <c r="BU65" i="34"/>
  <c r="BV60" i="34"/>
  <c r="CN80" i="34"/>
  <c r="CO75" i="34"/>
  <c r="CO78" i="34" s="1"/>
  <c r="CE127" i="34"/>
  <c r="CF122" i="34"/>
  <c r="CD154" i="34"/>
  <c r="CB159" i="34"/>
  <c r="CC159" i="34" s="1"/>
  <c r="CU24" i="8"/>
  <c r="CV21" i="34"/>
  <c r="CU33" i="34"/>
  <c r="CU36" i="34" s="1"/>
  <c r="CT38" i="34"/>
  <c r="CT37" i="34"/>
  <c r="CT39" i="34" s="1"/>
  <c r="CY89" i="34"/>
  <c r="CY92" i="34" s="1"/>
  <c r="CX94" i="34"/>
  <c r="CQ61" i="34"/>
  <c r="CQ64" i="34" s="1"/>
  <c r="CP66" i="34"/>
  <c r="BU149" i="34"/>
  <c r="BV144" i="34"/>
  <c r="CE93" i="34"/>
  <c r="CE95" i="34" s="1"/>
  <c r="CF88" i="34"/>
  <c r="BI74" i="35"/>
  <c r="BE74" i="35"/>
  <c r="BE77" i="35" s="1"/>
  <c r="BI77" i="35" s="1"/>
  <c r="CH141" i="35"/>
  <c r="DB178" i="35"/>
  <c r="Z86" i="35"/>
  <c r="AE81" i="35"/>
  <c r="AE85" i="35" s="1"/>
  <c r="AE89" i="35"/>
  <c r="AA81" i="35"/>
  <c r="AA82" i="35" s="1"/>
  <c r="AE82" i="35" s="1"/>
  <c r="AA89" i="35"/>
  <c r="Z88" i="35"/>
  <c r="CC147" i="35"/>
  <c r="BX141" i="35"/>
  <c r="CM147" i="35"/>
  <c r="CU39" i="8"/>
  <c r="CM52" i="8"/>
  <c r="CM49" i="8"/>
  <c r="CM53" i="8"/>
  <c r="CM50" i="8"/>
  <c r="CW38" i="8"/>
  <c r="Z145" i="8"/>
  <c r="Z147" i="8" s="1"/>
  <c r="V145" i="8"/>
  <c r="V147" i="8" s="1"/>
  <c r="W145" i="8" s="1"/>
  <c r="W147" i="8" s="1"/>
  <c r="X145" i="8" s="1"/>
  <c r="X147" i="8" s="1"/>
  <c r="Y145" i="8" s="1"/>
  <c r="Y147" i="8" s="1"/>
  <c r="CO40" i="8"/>
  <c r="BN155" i="8"/>
  <c r="BN151" i="8"/>
  <c r="BS151" i="8"/>
  <c r="BM155" i="8"/>
  <c r="BM151" i="8"/>
  <c r="BR151" i="8"/>
  <c r="CZ116" i="8"/>
  <c r="CZ21" i="8"/>
  <c r="CM28" i="8"/>
  <c r="CL29" i="8"/>
  <c r="CL34" i="8" s="1"/>
  <c r="CL45" i="8" s="1"/>
  <c r="CL67" i="8" s="1"/>
  <c r="BD155" i="8"/>
  <c r="BD151" i="8"/>
  <c r="BI151" i="8"/>
  <c r="CK67" i="8"/>
  <c r="CX105" i="8"/>
  <c r="CV69" i="8"/>
  <c r="CT57" i="3"/>
  <c r="BM72" i="3"/>
  <c r="BM44" i="3"/>
  <c r="AF72" i="3"/>
  <c r="AF44" i="3"/>
  <c r="AG72" i="3"/>
  <c r="AG44" i="3"/>
  <c r="AL45" i="3" s="1"/>
  <c r="BT72" i="3"/>
  <c r="BT44" i="3"/>
  <c r="BY45" i="3" s="1"/>
  <c r="AH72" i="3"/>
  <c r="AH44" i="3"/>
  <c r="AM45" i="3" s="1"/>
  <c r="CB72" i="3"/>
  <c r="CB44" i="3"/>
  <c r="CH72" i="3"/>
  <c r="CH44" i="3"/>
  <c r="BP72" i="3"/>
  <c r="BP44" i="3"/>
  <c r="Z42" i="3"/>
  <c r="Z36" i="3"/>
  <c r="Z47" i="3" s="1"/>
  <c r="Z105" i="3" s="1"/>
  <c r="Z108" i="3" s="1"/>
  <c r="BB72" i="3"/>
  <c r="BB44" i="3"/>
  <c r="F72" i="3"/>
  <c r="F44" i="3"/>
  <c r="X72" i="3"/>
  <c r="X44" i="3"/>
  <c r="N72" i="3"/>
  <c r="N44" i="3"/>
  <c r="AW72" i="3"/>
  <c r="AW44" i="3"/>
  <c r="BB45" i="3" s="1"/>
  <c r="BQ72" i="3"/>
  <c r="BQ44" i="3"/>
  <c r="AU45" i="3"/>
  <c r="AA45" i="3"/>
  <c r="AI45" i="3"/>
  <c r="CG72" i="3"/>
  <c r="CG44" i="3"/>
  <c r="CL45" i="3" s="1"/>
  <c r="BD72" i="3"/>
  <c r="BD44" i="3"/>
  <c r="G72" i="3"/>
  <c r="G44" i="3"/>
  <c r="L45" i="3" s="1"/>
  <c r="BX72" i="3"/>
  <c r="BX44" i="3"/>
  <c r="CE72" i="3"/>
  <c r="CE44" i="3"/>
  <c r="AY72" i="3"/>
  <c r="AY44" i="3"/>
  <c r="BD45" i="3" s="1"/>
  <c r="BR72" i="3"/>
  <c r="BR44" i="3"/>
  <c r="CC72" i="3"/>
  <c r="CC44" i="3"/>
  <c r="CH45" i="3" s="1"/>
  <c r="T72" i="3"/>
  <c r="T44" i="3"/>
  <c r="Y45" i="3" s="1"/>
  <c r="AI72" i="3"/>
  <c r="AI44" i="3"/>
  <c r="AN45" i="3" s="1"/>
  <c r="BS42" i="3"/>
  <c r="BS36" i="3"/>
  <c r="BS47" i="3" s="1"/>
  <c r="BP45" i="3"/>
  <c r="BZ72" i="3"/>
  <c r="BZ44" i="3"/>
  <c r="CE45" i="3" s="1"/>
  <c r="BI42" i="3"/>
  <c r="BI36" i="3"/>
  <c r="BI47" i="3" s="1"/>
  <c r="CK72" i="3"/>
  <c r="CK44" i="3"/>
  <c r="BV72" i="3"/>
  <c r="BV44" i="3"/>
  <c r="CA45" i="3" s="1"/>
  <c r="BJ72" i="3"/>
  <c r="BJ44" i="3"/>
  <c r="U36" i="3"/>
  <c r="U47" i="3" s="1"/>
  <c r="U105" i="3" s="1"/>
  <c r="U108" i="3" s="1"/>
  <c r="U42" i="3"/>
  <c r="AT72" i="3"/>
  <c r="AT44" i="3"/>
  <c r="AY45" i="3" s="1"/>
  <c r="CU56" i="3"/>
  <c r="CU57" i="3" s="1"/>
  <c r="CU58" i="3"/>
  <c r="BE72" i="3"/>
  <c r="BE44" i="3"/>
  <c r="BJ45" i="3" s="1"/>
  <c r="AG45" i="3"/>
  <c r="V45" i="3"/>
  <c r="BU72" i="3"/>
  <c r="BU44" i="3"/>
  <c r="BZ45" i="3" s="1"/>
  <c r="E45" i="3"/>
  <c r="AJ42" i="3"/>
  <c r="AJ36" i="3"/>
  <c r="AJ47" i="3" s="1"/>
  <c r="K72" i="3"/>
  <c r="K44" i="3"/>
  <c r="CJ72" i="3"/>
  <c r="CJ44" i="3"/>
  <c r="CM72" i="3"/>
  <c r="CM44" i="3"/>
  <c r="CF72" i="3"/>
  <c r="CF44" i="3"/>
  <c r="CK45" i="3" s="1"/>
  <c r="CI72" i="3"/>
  <c r="CI44" i="3"/>
  <c r="BW72" i="3"/>
  <c r="BW44" i="3"/>
  <c r="CB45" i="3" s="1"/>
  <c r="BO72" i="3"/>
  <c r="BO44" i="3"/>
  <c r="BT45" i="3" s="1"/>
  <c r="P42" i="3"/>
  <c r="P36" i="3"/>
  <c r="P47" i="3" s="1"/>
  <c r="P105" i="3" s="1"/>
  <c r="P108" i="3" s="1"/>
  <c r="AE36" i="3"/>
  <c r="AE47" i="3" s="1"/>
  <c r="AE42" i="3"/>
  <c r="S72" i="3"/>
  <c r="S44" i="3"/>
  <c r="X45" i="3" s="1"/>
  <c r="T45" i="3"/>
  <c r="N45" i="3"/>
  <c r="AB45" i="3"/>
  <c r="AK72" i="3"/>
  <c r="AK44" i="3"/>
  <c r="AP45" i="3" s="1"/>
  <c r="AR72" i="3"/>
  <c r="AR44" i="3"/>
  <c r="BQ45" i="3"/>
  <c r="AO42" i="3"/>
  <c r="AO36" i="3"/>
  <c r="AO47" i="3" s="1"/>
  <c r="AX72" i="3"/>
  <c r="AX44" i="3"/>
  <c r="BC45" i="3" s="1"/>
  <c r="BG72" i="3"/>
  <c r="BG44" i="3"/>
  <c r="BL45" i="3" s="1"/>
  <c r="AS72" i="3"/>
  <c r="AS44" i="3"/>
  <c r="AX45" i="3" s="1"/>
  <c r="AC72" i="3"/>
  <c r="AC44" i="3"/>
  <c r="AH45" i="3" s="1"/>
  <c r="BH72" i="3"/>
  <c r="BH44" i="3"/>
  <c r="BM45" i="3" s="1"/>
  <c r="CR64" i="34" l="1"/>
  <c r="CW61" i="34" s="1"/>
  <c r="CS61" i="34"/>
  <c r="CQ66" i="34"/>
  <c r="CR66" i="34" s="1"/>
  <c r="CO80" i="34"/>
  <c r="CP75" i="34"/>
  <c r="CP78" i="34" s="1"/>
  <c r="BV189" i="34"/>
  <c r="BW184" i="34"/>
  <c r="CU164" i="34"/>
  <c r="CT169" i="34"/>
  <c r="BW117" i="34"/>
  <c r="BX117" i="34" s="1"/>
  <c r="BY112" i="34"/>
  <c r="CB74" i="34"/>
  <c r="CA79" i="34"/>
  <c r="CA81" i="34" s="1"/>
  <c r="CR51" i="34"/>
  <c r="CQ53" i="34"/>
  <c r="CR53" i="34" s="1"/>
  <c r="BV149" i="34"/>
  <c r="BW144" i="34"/>
  <c r="CV33" i="34"/>
  <c r="CV36" i="34" s="1"/>
  <c r="CU37" i="34"/>
  <c r="CU39" i="34" s="1"/>
  <c r="CU38" i="34"/>
  <c r="CE154" i="34"/>
  <c r="CD159" i="34"/>
  <c r="CT179" i="34"/>
  <c r="CU174" i="34"/>
  <c r="CS52" i="34"/>
  <c r="CT47" i="34"/>
  <c r="CT50" i="34" s="1"/>
  <c r="CS51" i="34"/>
  <c r="CS53" i="34" s="1"/>
  <c r="CF93" i="34"/>
  <c r="CF95" i="34" s="1"/>
  <c r="CG88" i="34"/>
  <c r="CZ89" i="34"/>
  <c r="CZ92" i="34" s="1"/>
  <c r="CY94" i="34"/>
  <c r="CW21" i="34"/>
  <c r="CX21" i="34" s="1"/>
  <c r="CV24" i="8"/>
  <c r="CF127" i="34"/>
  <c r="CG122" i="34"/>
  <c r="BV65" i="34"/>
  <c r="BW60" i="34"/>
  <c r="BW134" i="34"/>
  <c r="BV139" i="34"/>
  <c r="BV105" i="34"/>
  <c r="BW100" i="34"/>
  <c r="BY197" i="34"/>
  <c r="BZ192" i="34"/>
  <c r="AJ81" i="35"/>
  <c r="AF81" i="35"/>
  <c r="AF84" i="35" s="1"/>
  <c r="AJ84" i="35" s="1"/>
  <c r="AJ89" i="35"/>
  <c r="AE86" i="35"/>
  <c r="AE88" i="35"/>
  <c r="AF89" i="35"/>
  <c r="BI78" i="35"/>
  <c r="CY105" i="8"/>
  <c r="CX69" i="8"/>
  <c r="CP40" i="8"/>
  <c r="CX38" i="8"/>
  <c r="CN28" i="8"/>
  <c r="CO28" i="8" s="1"/>
  <c r="CP28" i="8" s="1"/>
  <c r="CQ28" i="8" s="1"/>
  <c r="CR28" i="8" s="1"/>
  <c r="CS28" i="8" s="1"/>
  <c r="CT28" i="8" s="1"/>
  <c r="CU28" i="8" s="1"/>
  <c r="CV28" i="8" s="1"/>
  <c r="CW28" i="8" s="1"/>
  <c r="CX28" i="8" s="1"/>
  <c r="CY28" i="8" s="1"/>
  <c r="CZ28" i="8" s="1"/>
  <c r="DA28" i="8" s="1"/>
  <c r="DB28" i="8" s="1"/>
  <c r="CM29" i="8"/>
  <c r="CM34" i="8" s="1"/>
  <c r="CM45" i="8" s="1"/>
  <c r="CM67" i="8" s="1"/>
  <c r="AE145" i="8"/>
  <c r="AE147" i="8" s="1"/>
  <c r="AA145" i="8"/>
  <c r="AA147" i="8" s="1"/>
  <c r="AB145" i="8" s="1"/>
  <c r="AB147" i="8" s="1"/>
  <c r="AC145" i="8" s="1"/>
  <c r="AC147" i="8" s="1"/>
  <c r="AD145" i="8" s="1"/>
  <c r="AD147" i="8" s="1"/>
  <c r="DA116" i="8"/>
  <c r="DA21" i="8"/>
  <c r="DB21" i="8" s="1"/>
  <c r="CV39" i="8"/>
  <c r="BI72" i="3"/>
  <c r="BI44" i="3"/>
  <c r="BN45" i="3" s="1"/>
  <c r="BW45" i="3"/>
  <c r="CJ45" i="3"/>
  <c r="CF45" i="3"/>
  <c r="BV45" i="3"/>
  <c r="S45" i="3"/>
  <c r="K45" i="3"/>
  <c r="BH45" i="3"/>
  <c r="F45" i="3"/>
  <c r="BS72" i="3"/>
  <c r="BS44" i="3"/>
  <c r="BU45" i="3"/>
  <c r="CG45" i="3"/>
  <c r="AK45" i="3"/>
  <c r="AW45" i="3"/>
  <c r="AR45" i="3"/>
  <c r="BO45" i="3"/>
  <c r="P72" i="3"/>
  <c r="P44" i="3"/>
  <c r="AJ72" i="3"/>
  <c r="AJ44" i="3"/>
  <c r="AO45" i="3" s="1"/>
  <c r="CC45" i="3"/>
  <c r="BI45" i="3"/>
  <c r="AF45" i="3"/>
  <c r="AC45" i="3"/>
  <c r="BG45" i="3"/>
  <c r="Z72" i="3"/>
  <c r="Z44" i="3"/>
  <c r="CW56" i="3"/>
  <c r="AO72" i="3"/>
  <c r="AO44" i="3"/>
  <c r="AT45" i="3" s="1"/>
  <c r="AS45" i="3"/>
  <c r="AE72" i="3"/>
  <c r="AE44" i="3"/>
  <c r="CI45" i="3"/>
  <c r="P45" i="3"/>
  <c r="CV58" i="3"/>
  <c r="CV56" i="3"/>
  <c r="CV57" i="3" s="1"/>
  <c r="CW57" i="3" s="1"/>
  <c r="U72" i="3"/>
  <c r="U44" i="3"/>
  <c r="Z45" i="3" s="1"/>
  <c r="BE45" i="3"/>
  <c r="CM45" i="3"/>
  <c r="BR45" i="3"/>
  <c r="BX189" i="34" l="1"/>
  <c r="BZ197" i="34"/>
  <c r="CA192" i="34"/>
  <c r="CV164" i="34"/>
  <c r="CU169" i="34"/>
  <c r="BY134" i="34"/>
  <c r="BW139" i="34"/>
  <c r="BX139" i="34" s="1"/>
  <c r="DA89" i="34"/>
  <c r="DA92" i="34" s="1"/>
  <c r="CZ94" i="34"/>
  <c r="CU47" i="34"/>
  <c r="CU50" i="34" s="1"/>
  <c r="CT51" i="34"/>
  <c r="CT53" i="34" s="1"/>
  <c r="CT52" i="34"/>
  <c r="BW149" i="34"/>
  <c r="BX149" i="34" s="1"/>
  <c r="BY144" i="34"/>
  <c r="BY184" i="34"/>
  <c r="BW189" i="34"/>
  <c r="BY100" i="34"/>
  <c r="BW105" i="34"/>
  <c r="BX105" i="34" s="1"/>
  <c r="BW65" i="34"/>
  <c r="BX65" i="34" s="1"/>
  <c r="BX60" i="34"/>
  <c r="BY60" i="34" s="1"/>
  <c r="CW24" i="8"/>
  <c r="CG93" i="34"/>
  <c r="CH88" i="34"/>
  <c r="CI88" i="34" s="1"/>
  <c r="CG127" i="34"/>
  <c r="CH127" i="34" s="1"/>
  <c r="CI122" i="34"/>
  <c r="CE159" i="34"/>
  <c r="CF154" i="34"/>
  <c r="BZ112" i="34"/>
  <c r="BY117" i="34"/>
  <c r="CY21" i="34"/>
  <c r="CX24" i="8"/>
  <c r="CU179" i="34"/>
  <c r="CV174" i="34"/>
  <c r="CX33" i="34"/>
  <c r="CX36" i="34" s="1"/>
  <c r="CW36" i="34"/>
  <c r="DB33" i="34" s="1"/>
  <c r="CV38" i="34"/>
  <c r="CW38" i="34" s="1"/>
  <c r="CV37" i="34"/>
  <c r="CB79" i="34"/>
  <c r="CC74" i="34"/>
  <c r="CD74" i="34" s="1"/>
  <c r="CP80" i="34"/>
  <c r="CQ75" i="34"/>
  <c r="CQ78" i="34" s="1"/>
  <c r="BN74" i="35"/>
  <c r="BN78" i="35" s="1"/>
  <c r="BJ74" i="35"/>
  <c r="AJ85" i="35"/>
  <c r="CQ40" i="8"/>
  <c r="CW39" i="8"/>
  <c r="AJ145" i="8"/>
  <c r="AJ147" i="8" s="1"/>
  <c r="AF145" i="8"/>
  <c r="AF147" i="8" s="1"/>
  <c r="AG145" i="8" s="1"/>
  <c r="AG147" i="8" s="1"/>
  <c r="AH145" i="8" s="1"/>
  <c r="AH147" i="8" s="1"/>
  <c r="AI145" i="8" s="1"/>
  <c r="AI147" i="8" s="1"/>
  <c r="CY38" i="8"/>
  <c r="CZ105" i="8"/>
  <c r="CY69" i="8"/>
  <c r="AE45" i="3"/>
  <c r="CW58" i="3"/>
  <c r="CX58" i="3"/>
  <c r="CX56" i="3"/>
  <c r="U45" i="3"/>
  <c r="BX45" i="3"/>
  <c r="BS45" i="3"/>
  <c r="AJ45" i="3"/>
  <c r="CW179" i="34" l="1"/>
  <c r="CW37" i="34"/>
  <c r="CV39" i="34"/>
  <c r="CW39" i="34" s="1"/>
  <c r="CI93" i="34"/>
  <c r="CJ88" i="34"/>
  <c r="BY139" i="34"/>
  <c r="BZ134" i="34"/>
  <c r="BY189" i="34"/>
  <c r="BZ184" i="34"/>
  <c r="DB92" i="34"/>
  <c r="DA94" i="34"/>
  <c r="DB94" i="34" s="1"/>
  <c r="CQ80" i="34"/>
  <c r="CR80" i="34" s="1"/>
  <c r="CS75" i="34"/>
  <c r="CS78" i="34" s="1"/>
  <c r="CR78" i="34"/>
  <c r="CW75" i="34" s="1"/>
  <c r="CE74" i="34"/>
  <c r="CD79" i="34"/>
  <c r="CA112" i="34"/>
  <c r="BZ117" i="34"/>
  <c r="CC79" i="34"/>
  <c r="CB81" i="34"/>
  <c r="CX37" i="34"/>
  <c r="CX39" i="34" s="1"/>
  <c r="CY33" i="34"/>
  <c r="CY36" i="34" s="1"/>
  <c r="CX38" i="34"/>
  <c r="CG154" i="34"/>
  <c r="CF159" i="34"/>
  <c r="BY105" i="34"/>
  <c r="BZ100" i="34"/>
  <c r="BY149" i="34"/>
  <c r="BZ144" i="34"/>
  <c r="CV169" i="34"/>
  <c r="CW169" i="34" s="1"/>
  <c r="CX164" i="34"/>
  <c r="CY24" i="8"/>
  <c r="CZ21" i="34"/>
  <c r="BY65" i="34"/>
  <c r="BZ60" i="34"/>
  <c r="CV47" i="34"/>
  <c r="CV50" i="34" s="1"/>
  <c r="CU51" i="34"/>
  <c r="CU53" i="34" s="1"/>
  <c r="CU52" i="34"/>
  <c r="CA197" i="34"/>
  <c r="CB192" i="34"/>
  <c r="CX174" i="34"/>
  <c r="CV179" i="34"/>
  <c r="CI127" i="34"/>
  <c r="CJ122" i="34"/>
  <c r="CH93" i="34"/>
  <c r="CG95" i="34"/>
  <c r="AO89" i="35"/>
  <c r="AK81" i="35"/>
  <c r="AK82" i="35" s="1"/>
  <c r="AO82" i="35" s="1"/>
  <c r="AO81" i="35"/>
  <c r="AO85" i="35" s="1"/>
  <c r="AJ86" i="35"/>
  <c r="AK89" i="35"/>
  <c r="AJ88" i="35"/>
  <c r="BS74" i="35"/>
  <c r="BS78" i="35" s="1"/>
  <c r="BO74" i="35"/>
  <c r="BO78" i="35" s="1"/>
  <c r="BP74" i="35" s="1"/>
  <c r="BP78" i="35" s="1"/>
  <c r="BQ74" i="35" s="1"/>
  <c r="BQ78" i="35" s="1"/>
  <c r="BR74" i="35" s="1"/>
  <c r="BR78" i="35" s="1"/>
  <c r="CZ38" i="8"/>
  <c r="CX39" i="8"/>
  <c r="DA105" i="8"/>
  <c r="CZ69" i="8"/>
  <c r="AO145" i="8"/>
  <c r="AO147" i="8" s="1"/>
  <c r="AK145" i="8"/>
  <c r="AK147" i="8" s="1"/>
  <c r="AL145" i="8" s="1"/>
  <c r="AL147" i="8" s="1"/>
  <c r="AM145" i="8" s="1"/>
  <c r="AM147" i="8" s="1"/>
  <c r="AN145" i="8" s="1"/>
  <c r="AN147" i="8" s="1"/>
  <c r="CR40" i="8"/>
  <c r="CX57" i="3"/>
  <c r="CY58" i="3"/>
  <c r="CY56" i="3"/>
  <c r="CY57" i="3" s="1"/>
  <c r="CV51" i="34" l="1"/>
  <c r="CV52" i="34"/>
  <c r="CW52" i="34" s="1"/>
  <c r="CW50" i="34"/>
  <c r="DB47" i="34" s="1"/>
  <c r="CX47" i="34"/>
  <c r="CX50" i="34" s="1"/>
  <c r="CA117" i="34"/>
  <c r="CB112" i="34"/>
  <c r="BZ139" i="34"/>
  <c r="CA134" i="34"/>
  <c r="CE79" i="34"/>
  <c r="CE81" i="34" s="1"/>
  <c r="CF74" i="34"/>
  <c r="CJ93" i="34"/>
  <c r="CJ95" i="34" s="1"/>
  <c r="CK88" i="34"/>
  <c r="CG159" i="34"/>
  <c r="CH159" i="34" s="1"/>
  <c r="CI154" i="34"/>
  <c r="CJ127" i="34"/>
  <c r="CK122" i="34"/>
  <c r="CY174" i="34"/>
  <c r="CX179" i="34"/>
  <c r="DA21" i="34"/>
  <c r="CZ24" i="8"/>
  <c r="BZ149" i="34"/>
  <c r="CA144" i="34"/>
  <c r="CZ33" i="34"/>
  <c r="CZ36" i="34" s="1"/>
  <c r="CY37" i="34"/>
  <c r="CY39" i="34" s="1"/>
  <c r="CY38" i="34"/>
  <c r="CI95" i="34"/>
  <c r="CB197" i="34"/>
  <c r="CC197" i="34" s="1"/>
  <c r="CD192" i="34"/>
  <c r="CT75" i="34"/>
  <c r="CT78" i="34" s="1"/>
  <c r="CS80" i="34"/>
  <c r="BZ65" i="34"/>
  <c r="CA60" i="34"/>
  <c r="CY164" i="34"/>
  <c r="CX169" i="34"/>
  <c r="CA100" i="34"/>
  <c r="BZ105" i="34"/>
  <c r="CD81" i="34"/>
  <c r="BZ189" i="34"/>
  <c r="CA184" i="34"/>
  <c r="BX74" i="35"/>
  <c r="BX78" i="35" s="1"/>
  <c r="BT74" i="35"/>
  <c r="BT78" i="35" s="1"/>
  <c r="BU74" i="35" s="1"/>
  <c r="BU78" i="35" s="1"/>
  <c r="BV74" i="35" s="1"/>
  <c r="BV78" i="35" s="1"/>
  <c r="BW74" i="35" s="1"/>
  <c r="BW78" i="35" s="1"/>
  <c r="AT89" i="35"/>
  <c r="AO86" i="35"/>
  <c r="AP81" i="35"/>
  <c r="AP84" i="35" s="1"/>
  <c r="AT84" i="35" s="1"/>
  <c r="AT81" i="35"/>
  <c r="AT85" i="35" s="1"/>
  <c r="AP89" i="35"/>
  <c r="AO88" i="35"/>
  <c r="AT145" i="8"/>
  <c r="AT147" i="8" s="1"/>
  <c r="AP145" i="8"/>
  <c r="AP147" i="8" s="1"/>
  <c r="AQ145" i="8" s="1"/>
  <c r="AQ147" i="8" s="1"/>
  <c r="AR145" i="8" s="1"/>
  <c r="AR147" i="8" s="1"/>
  <c r="AS145" i="8" s="1"/>
  <c r="AS147" i="8" s="1"/>
  <c r="CY39" i="8"/>
  <c r="DA38" i="8"/>
  <c r="CS40" i="8"/>
  <c r="DA69" i="8"/>
  <c r="DB105" i="8"/>
  <c r="DB69" i="8" s="1"/>
  <c r="CZ58" i="3"/>
  <c r="CZ56" i="3" s="1"/>
  <c r="CA189" i="34" l="1"/>
  <c r="CB184" i="34"/>
  <c r="CA149" i="34"/>
  <c r="CB144" i="34"/>
  <c r="CF79" i="34"/>
  <c r="CF81" i="34" s="1"/>
  <c r="CG74" i="34"/>
  <c r="CZ164" i="34"/>
  <c r="CY169" i="34"/>
  <c r="DA33" i="34"/>
  <c r="DA36" i="34" s="1"/>
  <c r="CZ38" i="34"/>
  <c r="CZ37" i="34"/>
  <c r="CZ39" i="34" s="1"/>
  <c r="CY179" i="34"/>
  <c r="CZ174" i="34"/>
  <c r="CD112" i="34"/>
  <c r="CB117" i="34"/>
  <c r="CA139" i="34"/>
  <c r="CB134" i="34"/>
  <c r="CA65" i="34"/>
  <c r="CB60" i="34"/>
  <c r="CT80" i="34"/>
  <c r="CU75" i="34"/>
  <c r="CU78" i="34" s="1"/>
  <c r="DB21" i="34"/>
  <c r="DA24" i="8"/>
  <c r="CL122" i="34"/>
  <c r="CK127" i="34"/>
  <c r="CC117" i="34"/>
  <c r="CA105" i="34"/>
  <c r="CB100" i="34"/>
  <c r="CW51" i="34"/>
  <c r="CV53" i="34"/>
  <c r="CW53" i="34" s="1"/>
  <c r="CD197" i="34"/>
  <c r="CE192" i="34"/>
  <c r="CI159" i="34"/>
  <c r="CJ154" i="34"/>
  <c r="CK93" i="34"/>
  <c r="CK95" i="34" s="1"/>
  <c r="CL88" i="34"/>
  <c r="CX51" i="34"/>
  <c r="CX53" i="34" s="1"/>
  <c r="CY47" i="34"/>
  <c r="CY50" i="34" s="1"/>
  <c r="CX52" i="34"/>
  <c r="AT86" i="35"/>
  <c r="AY81" i="35"/>
  <c r="AU81" i="35"/>
  <c r="AU84" i="35" s="1"/>
  <c r="AY84" i="35" s="1"/>
  <c r="AY89" i="35"/>
  <c r="AT88" i="35"/>
  <c r="AU89" i="35"/>
  <c r="CC74" i="35"/>
  <c r="BY74" i="35"/>
  <c r="BY78" i="35" s="1"/>
  <c r="BZ74" i="35" s="1"/>
  <c r="BZ78" i="35" s="1"/>
  <c r="CA74" i="35" s="1"/>
  <c r="CA78" i="35" s="1"/>
  <c r="CB74" i="35" s="1"/>
  <c r="CB78" i="35" s="1"/>
  <c r="CT40" i="8"/>
  <c r="CZ39" i="8"/>
  <c r="DB38" i="8"/>
  <c r="AY145" i="8"/>
  <c r="AY147" i="8" s="1"/>
  <c r="AU145" i="8"/>
  <c r="AU147" i="8" s="1"/>
  <c r="AV145" i="8" s="1"/>
  <c r="AV147" i="8" s="1"/>
  <c r="AW145" i="8" s="1"/>
  <c r="AW147" i="8" s="1"/>
  <c r="AX145" i="8" s="1"/>
  <c r="AX147" i="8" s="1"/>
  <c r="CZ57" i="3"/>
  <c r="DA58" i="3"/>
  <c r="DB58" i="3" s="1"/>
  <c r="DA56" i="3"/>
  <c r="DA57" i="3" s="1"/>
  <c r="CL93" i="34" l="1"/>
  <c r="CM88" i="34"/>
  <c r="CN88" i="34" s="1"/>
  <c r="CY51" i="34"/>
  <c r="CY53" i="34" s="1"/>
  <c r="CZ47" i="34"/>
  <c r="CZ50" i="34" s="1"/>
  <c r="CY52" i="34"/>
  <c r="CJ159" i="34"/>
  <c r="CK154" i="34"/>
  <c r="CU80" i="34"/>
  <c r="CV75" i="34"/>
  <c r="CV78" i="34" s="1"/>
  <c r="CB139" i="34"/>
  <c r="CD134" i="34"/>
  <c r="CD117" i="34"/>
  <c r="CE112" i="34"/>
  <c r="CB149" i="34"/>
  <c r="CD144" i="34"/>
  <c r="CB105" i="34"/>
  <c r="CC105" i="34" s="1"/>
  <c r="CD100" i="34"/>
  <c r="CL127" i="34"/>
  <c r="CN122" i="34"/>
  <c r="CC139" i="34"/>
  <c r="DA174" i="34"/>
  <c r="DA179" i="34" s="1"/>
  <c r="CZ179" i="34"/>
  <c r="DA164" i="34"/>
  <c r="DA169" i="34" s="1"/>
  <c r="CZ169" i="34"/>
  <c r="CC149" i="34"/>
  <c r="DB24" i="8"/>
  <c r="CB65" i="34"/>
  <c r="CC65" i="34" s="1"/>
  <c r="CC60" i="34"/>
  <c r="CD60" i="34" s="1"/>
  <c r="DB36" i="34"/>
  <c r="DA38" i="34"/>
  <c r="DB38" i="34" s="1"/>
  <c r="DA37" i="34"/>
  <c r="CG79" i="34"/>
  <c r="CH74" i="34"/>
  <c r="CI74" i="34" s="1"/>
  <c r="CB189" i="34"/>
  <c r="CC189" i="34" s="1"/>
  <c r="CD184" i="34"/>
  <c r="CF192" i="34"/>
  <c r="CE197" i="34"/>
  <c r="AY85" i="35"/>
  <c r="BD145" i="8"/>
  <c r="BD147" i="8" s="1"/>
  <c r="AZ145" i="8"/>
  <c r="AZ147" i="8" s="1"/>
  <c r="BA145" i="8" s="1"/>
  <c r="BA147" i="8" s="1"/>
  <c r="BB145" i="8" s="1"/>
  <c r="BB147" i="8" s="1"/>
  <c r="BC145" i="8" s="1"/>
  <c r="BC147" i="8" s="1"/>
  <c r="DA39" i="8"/>
  <c r="CU40" i="8"/>
  <c r="DB56" i="3"/>
  <c r="DB57" i="3"/>
  <c r="CC14" i="34" l="1"/>
  <c r="CC16" i="34" s="1"/>
  <c r="CO122" i="34"/>
  <c r="CZ51" i="34"/>
  <c r="CZ53" i="34" s="1"/>
  <c r="DA47" i="34"/>
  <c r="DA50" i="34" s="1"/>
  <c r="CZ52" i="34"/>
  <c r="CG192" i="34"/>
  <c r="CF197" i="34"/>
  <c r="CI79" i="34"/>
  <c r="CJ74" i="34"/>
  <c r="DB179" i="34"/>
  <c r="CM127" i="34"/>
  <c r="CE117" i="34"/>
  <c r="CF112" i="34"/>
  <c r="CV80" i="34"/>
  <c r="CW80" i="34" s="1"/>
  <c r="CW78" i="34"/>
  <c r="DB75" i="34" s="1"/>
  <c r="CX75" i="34"/>
  <c r="CX78" i="34" s="1"/>
  <c r="CK159" i="34"/>
  <c r="CL154" i="34"/>
  <c r="CH79" i="34"/>
  <c r="CG81" i="34"/>
  <c r="CD65" i="34"/>
  <c r="CE60" i="34"/>
  <c r="CD105" i="34"/>
  <c r="CE100" i="34"/>
  <c r="CD149" i="34"/>
  <c r="CE144" i="34"/>
  <c r="CN93" i="34"/>
  <c r="CO88" i="34"/>
  <c r="CE184" i="34"/>
  <c r="CD189" i="34"/>
  <c r="DB37" i="34"/>
  <c r="DA39" i="34"/>
  <c r="DB39" i="34" s="1"/>
  <c r="DB169" i="34"/>
  <c r="CE134" i="34"/>
  <c r="CD139" i="34"/>
  <c r="CM93" i="34"/>
  <c r="CL95" i="34"/>
  <c r="AZ81" i="35"/>
  <c r="AZ83" i="35" s="1"/>
  <c r="BD83" i="35" s="1"/>
  <c r="BD89" i="35"/>
  <c r="AY86" i="35"/>
  <c r="BD81" i="35"/>
  <c r="BD85" i="35" s="1"/>
  <c r="AZ89" i="35"/>
  <c r="AY88" i="35"/>
  <c r="DB39" i="8"/>
  <c r="CV40" i="8"/>
  <c r="BI145" i="8"/>
  <c r="BI147" i="8" s="1"/>
  <c r="BE145" i="8"/>
  <c r="BE147" i="8" s="1"/>
  <c r="BF145" i="8" s="1"/>
  <c r="BF147" i="8" s="1"/>
  <c r="BG145" i="8" s="1"/>
  <c r="BG147" i="8" s="1"/>
  <c r="BH145" i="8" s="1"/>
  <c r="BH147" i="8" s="1"/>
  <c r="CE189" i="34" l="1"/>
  <c r="CF184" i="34"/>
  <c r="CO93" i="34"/>
  <c r="CO95" i="34" s="1"/>
  <c r="CP88" i="34"/>
  <c r="CE149" i="34"/>
  <c r="CF144" i="34"/>
  <c r="CE65" i="34"/>
  <c r="CF60" i="34"/>
  <c r="CL159" i="34"/>
  <c r="CN154" i="34"/>
  <c r="DA52" i="34"/>
  <c r="DB50" i="34"/>
  <c r="DA51" i="34"/>
  <c r="CN95" i="34"/>
  <c r="CM159" i="34"/>
  <c r="CF117" i="34"/>
  <c r="CG112" i="34"/>
  <c r="CG197" i="34"/>
  <c r="CH197" i="34" s="1"/>
  <c r="CI192" i="34"/>
  <c r="CP122" i="34"/>
  <c r="CI81" i="34"/>
  <c r="CE139" i="34"/>
  <c r="CF134" i="34"/>
  <c r="CF100" i="34"/>
  <c r="CE105" i="34"/>
  <c r="CY75" i="34"/>
  <c r="CY78" i="34" s="1"/>
  <c r="CX80" i="34"/>
  <c r="CJ79" i="34"/>
  <c r="CJ81" i="34" s="1"/>
  <c r="CK74" i="34"/>
  <c r="DB52" i="34"/>
  <c r="BI89" i="35"/>
  <c r="BI81" i="35"/>
  <c r="BD86" i="35"/>
  <c r="BE81" i="35"/>
  <c r="BE84" i="35" s="1"/>
  <c r="BI84" i="35" s="1"/>
  <c r="BD88" i="35"/>
  <c r="BE89" i="35"/>
  <c r="BN145" i="8"/>
  <c r="BN147" i="8" s="1"/>
  <c r="BJ145" i="8"/>
  <c r="BJ147" i="8" s="1"/>
  <c r="BK145" i="8" s="1"/>
  <c r="BK147" i="8" s="1"/>
  <c r="BL145" i="8" s="1"/>
  <c r="BL147" i="8" s="1"/>
  <c r="CW40" i="8"/>
  <c r="CJ192" i="34" l="1"/>
  <c r="CI197" i="34"/>
  <c r="DB51" i="34"/>
  <c r="DA53" i="34"/>
  <c r="DB53" i="34" s="1"/>
  <c r="CO154" i="34"/>
  <c r="CN159" i="34"/>
  <c r="CG144" i="34"/>
  <c r="CF149" i="34"/>
  <c r="CF189" i="34"/>
  <c r="CG184" i="34"/>
  <c r="CY80" i="34"/>
  <c r="CZ75" i="34"/>
  <c r="CZ78" i="34" s="1"/>
  <c r="CF139" i="34"/>
  <c r="CG134" i="34"/>
  <c r="CQ122" i="34"/>
  <c r="CI112" i="34"/>
  <c r="CG117" i="34"/>
  <c r="CH117" i="34" s="1"/>
  <c r="CF105" i="34"/>
  <c r="CG100" i="34"/>
  <c r="CK79" i="34"/>
  <c r="CK81" i="34" s="1"/>
  <c r="CL74" i="34"/>
  <c r="CF65" i="34"/>
  <c r="CG60" i="34"/>
  <c r="CP93" i="34"/>
  <c r="CP95" i="34" s="1"/>
  <c r="CQ88" i="34"/>
  <c r="BI85" i="35"/>
  <c r="CX40" i="8"/>
  <c r="CG65" i="34" l="1"/>
  <c r="CH65" i="34" s="1"/>
  <c r="CH60" i="34"/>
  <c r="CI60" i="34" s="1"/>
  <c r="CG139" i="34"/>
  <c r="CI134" i="34"/>
  <c r="CG189" i="34"/>
  <c r="CH189" i="34" s="1"/>
  <c r="CI184" i="34"/>
  <c r="CQ93" i="34"/>
  <c r="CR88" i="34"/>
  <c r="CS88" i="34" s="1"/>
  <c r="CG105" i="34"/>
  <c r="CH105" i="34" s="1"/>
  <c r="CI100" i="34"/>
  <c r="CI117" i="34"/>
  <c r="CJ112" i="34"/>
  <c r="CH139" i="34"/>
  <c r="CP154" i="34"/>
  <c r="CO159" i="34"/>
  <c r="CM74" i="34"/>
  <c r="CN74" i="34" s="1"/>
  <c r="CL79" i="34"/>
  <c r="CS122" i="34"/>
  <c r="CG149" i="34"/>
  <c r="CI144" i="34"/>
  <c r="CZ80" i="34"/>
  <c r="DA75" i="34"/>
  <c r="DA78" i="34" s="1"/>
  <c r="CH149" i="34"/>
  <c r="CH14" i="34" s="1"/>
  <c r="CH16" i="34" s="1"/>
  <c r="CJ197" i="34"/>
  <c r="CK192" i="34"/>
  <c r="BI86" i="35"/>
  <c r="BN81" i="35"/>
  <c r="BN89" i="35"/>
  <c r="BJ81" i="35"/>
  <c r="BJ83" i="35" s="1"/>
  <c r="BN83" i="35" s="1"/>
  <c r="BJ89" i="35"/>
  <c r="BI88" i="35"/>
  <c r="CY40" i="8"/>
  <c r="CI189" i="34" l="1"/>
  <c r="CJ184" i="34"/>
  <c r="CK112" i="34"/>
  <c r="CJ117" i="34"/>
  <c r="CT88" i="34"/>
  <c r="CS93" i="34"/>
  <c r="CJ144" i="34"/>
  <c r="CI149" i="34"/>
  <c r="CM79" i="34"/>
  <c r="CL81" i="34"/>
  <c r="CP159" i="34"/>
  <c r="CQ154" i="34"/>
  <c r="CR93" i="34"/>
  <c r="CQ95" i="34"/>
  <c r="CR95" i="34" s="1"/>
  <c r="CI139" i="34"/>
  <c r="CJ134" i="34"/>
  <c r="CK197" i="34"/>
  <c r="CL192" i="34"/>
  <c r="CT122" i="34"/>
  <c r="CI65" i="34"/>
  <c r="CJ60" i="34"/>
  <c r="DB78" i="34"/>
  <c r="DA80" i="34"/>
  <c r="DB80" i="34" s="1"/>
  <c r="CO74" i="34"/>
  <c r="CN79" i="34"/>
  <c r="CN81" i="34" s="1"/>
  <c r="CJ100" i="34"/>
  <c r="CI105" i="34"/>
  <c r="BN85" i="35"/>
  <c r="CZ40" i="8"/>
  <c r="CS95" i="34" l="1"/>
  <c r="CJ189" i="34"/>
  <c r="CK184" i="34"/>
  <c r="CO79" i="34"/>
  <c r="CO81" i="34" s="1"/>
  <c r="CP74" i="34"/>
  <c r="CU122" i="34"/>
  <c r="CJ139" i="34"/>
  <c r="CK134" i="34"/>
  <c r="CT93" i="34"/>
  <c r="CT95" i="34" s="1"/>
  <c r="CU88" i="34"/>
  <c r="CJ105" i="34"/>
  <c r="CK100" i="34"/>
  <c r="CQ159" i="34"/>
  <c r="CR159" i="34" s="1"/>
  <c r="CS154" i="34"/>
  <c r="CJ14" i="34"/>
  <c r="CJ65" i="34"/>
  <c r="CK60" i="34"/>
  <c r="CN192" i="34"/>
  <c r="CL197" i="34"/>
  <c r="CM197" i="34" s="1"/>
  <c r="CJ149" i="34"/>
  <c r="CK144" i="34"/>
  <c r="CL112" i="34"/>
  <c r="CK117" i="34"/>
  <c r="BN86" i="35"/>
  <c r="BO81" i="35"/>
  <c r="BO83" i="35" s="1"/>
  <c r="BS83" i="35" s="1"/>
  <c r="BS81" i="35"/>
  <c r="BS85" i="35" s="1"/>
  <c r="BS89" i="35"/>
  <c r="BN88" i="35"/>
  <c r="BO89" i="35"/>
  <c r="DA40" i="8"/>
  <c r="CP79" i="34" l="1"/>
  <c r="CP81" i="34" s="1"/>
  <c r="CQ74" i="34"/>
  <c r="CK65" i="34"/>
  <c r="CL60" i="34"/>
  <c r="CN112" i="34"/>
  <c r="CL117" i="34"/>
  <c r="CO192" i="34"/>
  <c r="CN197" i="34"/>
  <c r="CJ16" i="34"/>
  <c r="CU93" i="34"/>
  <c r="CU95" i="34" s="1"/>
  <c r="CV88" i="34"/>
  <c r="CV122" i="34"/>
  <c r="CK149" i="34"/>
  <c r="CL144" i="34"/>
  <c r="CK105" i="34"/>
  <c r="CL100" i="34"/>
  <c r="CK189" i="34"/>
  <c r="CL184" i="34"/>
  <c r="CM117" i="34"/>
  <c r="CT154" i="34"/>
  <c r="CS159" i="34"/>
  <c r="CK139" i="34"/>
  <c r="CL134" i="34"/>
  <c r="BX89" i="35"/>
  <c r="BX81" i="35"/>
  <c r="BS86" i="35"/>
  <c r="BT81" i="35"/>
  <c r="BT83" i="35" s="1"/>
  <c r="BX83" i="35" s="1"/>
  <c r="BT89" i="35"/>
  <c r="BS88" i="35"/>
  <c r="DB40" i="8"/>
  <c r="CL189" i="34" l="1"/>
  <c r="CM189" i="34" s="1"/>
  <c r="CN184" i="34"/>
  <c r="CN144" i="34"/>
  <c r="CL149" i="34"/>
  <c r="CV93" i="34"/>
  <c r="CW88" i="34"/>
  <c r="CX88" i="34" s="1"/>
  <c r="CL65" i="34"/>
  <c r="CM65" i="34" s="1"/>
  <c r="CM60" i="34"/>
  <c r="CN60" i="34" s="1"/>
  <c r="CN134" i="34"/>
  <c r="CL139" i="34"/>
  <c r="CM139" i="34" s="1"/>
  <c r="CX122" i="34"/>
  <c r="CN117" i="34"/>
  <c r="CO112" i="34"/>
  <c r="CQ79" i="34"/>
  <c r="CR74" i="34"/>
  <c r="CS74" i="34" s="1"/>
  <c r="CM149" i="34"/>
  <c r="CO197" i="34"/>
  <c r="CP192" i="34"/>
  <c r="CK14" i="34"/>
  <c r="CU154" i="34"/>
  <c r="CT159" i="34"/>
  <c r="CL105" i="34"/>
  <c r="CM105" i="34" s="1"/>
  <c r="CN100" i="34"/>
  <c r="CL14" i="34"/>
  <c r="CL16" i="34" s="1"/>
  <c r="BX85" i="35"/>
  <c r="CU159" i="34" l="1"/>
  <c r="CV154" i="34"/>
  <c r="CY88" i="34"/>
  <c r="CX93" i="34"/>
  <c r="CN105" i="34"/>
  <c r="CO100" i="34"/>
  <c r="CO134" i="34"/>
  <c r="CN139" i="34"/>
  <c r="CW93" i="34"/>
  <c r="CV95" i="34"/>
  <c r="CW95" i="34" s="1"/>
  <c r="CQ192" i="34"/>
  <c r="CP197" i="34"/>
  <c r="CO117" i="34"/>
  <c r="CP112" i="34"/>
  <c r="CN189" i="34"/>
  <c r="CO184" i="34"/>
  <c r="CT74" i="34"/>
  <c r="CS79" i="34"/>
  <c r="CY122" i="34"/>
  <c r="CO60" i="34"/>
  <c r="CN65" i="34"/>
  <c r="CK16" i="34"/>
  <c r="CM14" i="34"/>
  <c r="CM16" i="34" s="1"/>
  <c r="CR79" i="34"/>
  <c r="CQ81" i="34"/>
  <c r="CR81" i="34" s="1"/>
  <c r="CN149" i="34"/>
  <c r="CO144" i="34"/>
  <c r="CC89" i="35"/>
  <c r="CC81" i="35"/>
  <c r="BY81" i="35"/>
  <c r="BY83" i="35" s="1"/>
  <c r="CC83" i="35" s="1"/>
  <c r="BX86" i="35"/>
  <c r="BX88" i="35"/>
  <c r="BY89" i="35"/>
  <c r="CS81" i="34" l="1"/>
  <c r="CY93" i="34"/>
  <c r="CY95" i="34" s="1"/>
  <c r="CZ88" i="34"/>
  <c r="CO65" i="34"/>
  <c r="CP60" i="34"/>
  <c r="CT79" i="34"/>
  <c r="CT81" i="34" s="1"/>
  <c r="CU74" i="34"/>
  <c r="CO105" i="34"/>
  <c r="CP100" i="34"/>
  <c r="CV159" i="34"/>
  <c r="CX154" i="34"/>
  <c r="CP117" i="34"/>
  <c r="CQ112" i="34"/>
  <c r="CO149" i="34"/>
  <c r="CP144" i="34"/>
  <c r="CZ122" i="34"/>
  <c r="CO189" i="34"/>
  <c r="CP184" i="34"/>
  <c r="CW159" i="34"/>
  <c r="CS192" i="34"/>
  <c r="CQ197" i="34"/>
  <c r="CR197" i="34" s="1"/>
  <c r="CO139" i="34"/>
  <c r="CP134" i="34"/>
  <c r="CX95" i="34"/>
  <c r="CC85" i="35"/>
  <c r="CQ184" i="34" l="1"/>
  <c r="CP189" i="34"/>
  <c r="CP149" i="34"/>
  <c r="CQ144" i="34"/>
  <c r="CX159" i="34"/>
  <c r="CY154" i="34"/>
  <c r="CU79" i="34"/>
  <c r="CU81" i="34" s="1"/>
  <c r="CV74" i="34"/>
  <c r="CZ93" i="34"/>
  <c r="CZ95" i="34" s="1"/>
  <c r="DA88" i="34"/>
  <c r="CS197" i="34"/>
  <c r="CT192" i="34"/>
  <c r="DA122" i="34"/>
  <c r="CS112" i="34"/>
  <c r="CQ117" i="34"/>
  <c r="CP105" i="34"/>
  <c r="CQ100" i="34"/>
  <c r="CP65" i="34"/>
  <c r="CQ60" i="34"/>
  <c r="CQ134" i="34"/>
  <c r="CP139" i="34"/>
  <c r="CR117" i="34"/>
  <c r="CD81" i="35"/>
  <c r="CD83" i="35" s="1"/>
  <c r="CH83" i="35" s="1"/>
  <c r="CC86" i="35"/>
  <c r="CH81" i="35"/>
  <c r="CH85" i="35" s="1"/>
  <c r="CH89" i="35"/>
  <c r="CD89" i="35"/>
  <c r="CC88" i="35"/>
  <c r="CS117" i="34" l="1"/>
  <c r="CT112" i="34"/>
  <c r="CS144" i="34"/>
  <c r="CQ105" i="34"/>
  <c r="CR105" i="34" s="1"/>
  <c r="CS100" i="34"/>
  <c r="CW74" i="34"/>
  <c r="CX74" i="34" s="1"/>
  <c r="CV79" i="34"/>
  <c r="CS134" i="34"/>
  <c r="CQ139" i="34"/>
  <c r="CR139" i="34" s="1"/>
  <c r="DA93" i="34"/>
  <c r="DB88" i="34"/>
  <c r="CY159" i="34"/>
  <c r="CZ154" i="34"/>
  <c r="CQ65" i="34"/>
  <c r="CR65" i="34" s="1"/>
  <c r="CR60" i="34"/>
  <c r="CS60" i="34" s="1"/>
  <c r="CT197" i="34"/>
  <c r="CU192" i="34"/>
  <c r="CQ189" i="34"/>
  <c r="CR189" i="34" s="1"/>
  <c r="CS184" i="34"/>
  <c r="CH86" i="35"/>
  <c r="CM81" i="35"/>
  <c r="CM85" i="35" s="1"/>
  <c r="CM89" i="35"/>
  <c r="CI81" i="35"/>
  <c r="CH88" i="35"/>
  <c r="CI89" i="35"/>
  <c r="DB93" i="34" l="1"/>
  <c r="DA95" i="34"/>
  <c r="DB95" i="34" s="1"/>
  <c r="CW79" i="34"/>
  <c r="CV81" i="34"/>
  <c r="CW81" i="34" s="1"/>
  <c r="CS189" i="34"/>
  <c r="CT184" i="34"/>
  <c r="CZ159" i="34"/>
  <c r="DA154" i="34"/>
  <c r="DA159" i="34" s="1"/>
  <c r="DB159" i="34" s="1"/>
  <c r="CY74" i="34"/>
  <c r="CX79" i="34"/>
  <c r="CX81" i="34" s="1"/>
  <c r="CT60" i="34"/>
  <c r="CT144" i="34"/>
  <c r="CU197" i="34"/>
  <c r="CV192" i="34"/>
  <c r="CS139" i="34"/>
  <c r="CT134" i="34"/>
  <c r="CS105" i="34"/>
  <c r="CT100" i="34"/>
  <c r="CT117" i="34"/>
  <c r="CU112" i="34"/>
  <c r="CM86" i="35"/>
  <c r="CR81" i="35"/>
  <c r="CR85" i="35" s="1"/>
  <c r="CN81" i="35"/>
  <c r="CN85" i="35" s="1"/>
  <c r="CM88" i="35"/>
  <c r="CN88" i="35" s="1"/>
  <c r="CO88" i="35" s="1"/>
  <c r="CP88" i="35" s="1"/>
  <c r="CQ88" i="35" s="1"/>
  <c r="AS45" i="45"/>
  <c r="N30" i="45"/>
  <c r="S30" i="45"/>
  <c r="I30" i="45"/>
  <c r="CV112" i="34" l="1"/>
  <c r="CU117" i="34"/>
  <c r="CT139" i="34"/>
  <c r="CU134" i="34"/>
  <c r="CU144" i="34"/>
  <c r="CT189" i="34"/>
  <c r="CU184" i="34"/>
  <c r="CU100" i="34"/>
  <c r="CT105" i="34"/>
  <c r="CV197" i="34"/>
  <c r="CX192" i="34"/>
  <c r="CY79" i="34"/>
  <c r="CY81" i="34" s="1"/>
  <c r="CZ74" i="34"/>
  <c r="CW197" i="34"/>
  <c r="CU60" i="34"/>
  <c r="CO81" i="35"/>
  <c r="CO85" i="35" s="1"/>
  <c r="CN89" i="35"/>
  <c r="CN87" i="35"/>
  <c r="CN86" i="35"/>
  <c r="CW81" i="35"/>
  <c r="CW85" i="35" s="1"/>
  <c r="CS81" i="35"/>
  <c r="CS85" i="35" s="1"/>
  <c r="CR86" i="35"/>
  <c r="AK35" i="45"/>
  <c r="V35" i="45"/>
  <c r="V40" i="45"/>
  <c r="M45" i="45"/>
  <c r="E40" i="45"/>
  <c r="E45" i="45"/>
  <c r="AP35" i="45"/>
  <c r="AP40" i="45"/>
  <c r="AP45" i="45"/>
  <c r="X30" i="45"/>
  <c r="AC30" i="45"/>
  <c r="AM30" i="45"/>
  <c r="J40" i="45"/>
  <c r="Y40" i="45"/>
  <c r="V45" i="45"/>
  <c r="AD45" i="45"/>
  <c r="O40" i="45"/>
  <c r="Y35" i="45"/>
  <c r="AH30" i="45"/>
  <c r="R45" i="45"/>
  <c r="J35" i="45"/>
  <c r="M35" i="45"/>
  <c r="R35" i="45"/>
  <c r="AS12" i="45"/>
  <c r="AV12" i="45"/>
  <c r="T12" i="45"/>
  <c r="AG12" i="45"/>
  <c r="AK12" i="45"/>
  <c r="AB12" i="45"/>
  <c r="AJ12" i="45"/>
  <c r="Y12" i="45"/>
  <c r="AO12" i="45"/>
  <c r="U12" i="45"/>
  <c r="AN12" i="45"/>
  <c r="CW117" i="34" l="1"/>
  <c r="CY192" i="34"/>
  <c r="CX197" i="34"/>
  <c r="CV184" i="34"/>
  <c r="CU189" i="34"/>
  <c r="CV60" i="34"/>
  <c r="CV144" i="34"/>
  <c r="CX112" i="34"/>
  <c r="CV117" i="34"/>
  <c r="CU105" i="34"/>
  <c r="CV100" i="34"/>
  <c r="DA74" i="34"/>
  <c r="CZ79" i="34"/>
  <c r="CZ81" i="34" s="1"/>
  <c r="CU139" i="34"/>
  <c r="CV134" i="34"/>
  <c r="CS89" i="35"/>
  <c r="CS86" i="35"/>
  <c r="CT81" i="35"/>
  <c r="CT85" i="35" s="1"/>
  <c r="CN90" i="35"/>
  <c r="CW86" i="35"/>
  <c r="DB81" i="35"/>
  <c r="DB85" i="35" s="1"/>
  <c r="DB86" i="35" s="1"/>
  <c r="CX81" i="35"/>
  <c r="CX85" i="35" s="1"/>
  <c r="CO89" i="35"/>
  <c r="CO86" i="35"/>
  <c r="CP81" i="35"/>
  <c r="CP85" i="35" s="1"/>
  <c r="CO87" i="35"/>
  <c r="CO90" i="35" s="1"/>
  <c r="AI45" i="45"/>
  <c r="AG20" i="45"/>
  <c r="T20" i="45"/>
  <c r="AO20" i="45"/>
  <c r="T45" i="45"/>
  <c r="T35" i="45"/>
  <c r="O45" i="45"/>
  <c r="AI40" i="45"/>
  <c r="AJ20" i="45"/>
  <c r="J45" i="45"/>
  <c r="E35" i="45"/>
  <c r="AD35" i="45"/>
  <c r="AI35" i="45"/>
  <c r="AN45" i="45"/>
  <c r="O35" i="45"/>
  <c r="Y45" i="45"/>
  <c r="AC40" i="45"/>
  <c r="X35" i="45"/>
  <c r="M40" i="45"/>
  <c r="AD40" i="45"/>
  <c r="AE35" i="45"/>
  <c r="AE40" i="45"/>
  <c r="AE45" i="45"/>
  <c r="K40" i="45"/>
  <c r="T40" i="45"/>
  <c r="AN40" i="45"/>
  <c r="AO40" i="45"/>
  <c r="AA40" i="45"/>
  <c r="W35" i="45"/>
  <c r="W40" i="45"/>
  <c r="AC45" i="45"/>
  <c r="G35" i="45"/>
  <c r="G40" i="45"/>
  <c r="G45" i="45"/>
  <c r="R40" i="45"/>
  <c r="AG35" i="45"/>
  <c r="AG40" i="45"/>
  <c r="AG45" i="45"/>
  <c r="AN35" i="45"/>
  <c r="AK45" i="45"/>
  <c r="AK40" i="45"/>
  <c r="AK20" i="45"/>
  <c r="AV20" i="45"/>
  <c r="AA12" i="45"/>
  <c r="AD20" i="45"/>
  <c r="AP20" i="45"/>
  <c r="V12" i="45"/>
  <c r="X20" i="45"/>
  <c r="Z12" i="45"/>
  <c r="U20" i="45"/>
  <c r="AD12" i="45"/>
  <c r="AL20" i="45"/>
  <c r="AF12" i="45"/>
  <c r="AP12" i="45"/>
  <c r="W12" i="45"/>
  <c r="AA20" i="45"/>
  <c r="AI12" i="45"/>
  <c r="AR12" i="45"/>
  <c r="AT12" i="45"/>
  <c r="Y20" i="45"/>
  <c r="AS20" i="45"/>
  <c r="AL12" i="45"/>
  <c r="AE12" i="45"/>
  <c r="V20" i="45"/>
  <c r="AU12" i="45"/>
  <c r="AN20" i="45"/>
  <c r="Z20" i="45"/>
  <c r="AT20" i="45"/>
  <c r="AQ12" i="45"/>
  <c r="W20" i="45"/>
  <c r="CY197" i="34" l="1"/>
  <c r="CZ192" i="34"/>
  <c r="CV139" i="34"/>
  <c r="CW139" i="34" s="1"/>
  <c r="CX134" i="34"/>
  <c r="CV105" i="34"/>
  <c r="CX100" i="34"/>
  <c r="CX144" i="34"/>
  <c r="CW189" i="34"/>
  <c r="CW105" i="34"/>
  <c r="CV189" i="34"/>
  <c r="CX184" i="34"/>
  <c r="DA79" i="34"/>
  <c r="DB74" i="34"/>
  <c r="CX117" i="34"/>
  <c r="CY112" i="34"/>
  <c r="CW60" i="34"/>
  <c r="CX60" i="34" s="1"/>
  <c r="CT86" i="35"/>
  <c r="CU81" i="35"/>
  <c r="CU85" i="35" s="1"/>
  <c r="CT89" i="35"/>
  <c r="CP86" i="35"/>
  <c r="CP89" i="35"/>
  <c r="CP87" i="35"/>
  <c r="CP90" i="35" s="1"/>
  <c r="CQ81" i="35"/>
  <c r="CQ85" i="35" s="1"/>
  <c r="CR89" i="35"/>
  <c r="CX86" i="35"/>
  <c r="CY81" i="35"/>
  <c r="CY85" i="35" s="1"/>
  <c r="CX89" i="35"/>
  <c r="AC35" i="45"/>
  <c r="L45" i="45"/>
  <c r="L35" i="45"/>
  <c r="L40" i="45"/>
  <c r="AL40" i="45"/>
  <c r="X40" i="45"/>
  <c r="X12" i="45"/>
  <c r="AB40" i="45"/>
  <c r="AL45" i="45"/>
  <c r="F40" i="45"/>
  <c r="Q35" i="45"/>
  <c r="W45" i="45"/>
  <c r="AB45" i="45"/>
  <c r="AQ40" i="45"/>
  <c r="AF40" i="45"/>
  <c r="X45" i="45"/>
  <c r="P35" i="45"/>
  <c r="K35" i="45"/>
  <c r="P40" i="45"/>
  <c r="AB35" i="45"/>
  <c r="U45" i="45"/>
  <c r="Z45" i="45"/>
  <c r="U40" i="45"/>
  <c r="Z40" i="45"/>
  <c r="H40" i="45"/>
  <c r="N35" i="45"/>
  <c r="N40" i="45"/>
  <c r="N45" i="45"/>
  <c r="AA45" i="45"/>
  <c r="AF45" i="45"/>
  <c r="U35" i="45"/>
  <c r="Z35" i="45"/>
  <c r="I40" i="45"/>
  <c r="H45" i="45"/>
  <c r="AL35" i="45"/>
  <c r="AQ35" i="45"/>
  <c r="AF35" i="45"/>
  <c r="AA35" i="45"/>
  <c r="AJ45" i="45"/>
  <c r="AO45" i="45"/>
  <c r="AJ40" i="45"/>
  <c r="K45" i="45"/>
  <c r="P45" i="45"/>
  <c r="H35" i="45"/>
  <c r="F45" i="45"/>
  <c r="Q40" i="45"/>
  <c r="F35" i="45"/>
  <c r="AQ45" i="45"/>
  <c r="AJ35" i="45"/>
  <c r="AO35" i="45"/>
  <c r="I45" i="45"/>
  <c r="I35" i="45"/>
  <c r="Q45" i="45"/>
  <c r="AH40" i="45"/>
  <c r="AH35" i="45"/>
  <c r="AU20" i="45"/>
  <c r="AQ20" i="45"/>
  <c r="AI20" i="45"/>
  <c r="AM12" i="45"/>
  <c r="AH12" i="45"/>
  <c r="S20" i="45"/>
  <c r="AH20" i="45"/>
  <c r="AC12" i="45"/>
  <c r="CZ197" i="34" l="1"/>
  <c r="DA192" i="34"/>
  <c r="DA197" i="34" s="1"/>
  <c r="CY60" i="34"/>
  <c r="DB79" i="34"/>
  <c r="DA81" i="34"/>
  <c r="DB81" i="34" s="1"/>
  <c r="CY100" i="34"/>
  <c r="CX105" i="34"/>
  <c r="CZ112" i="34"/>
  <c r="CY117" i="34"/>
  <c r="CY184" i="34"/>
  <c r="CX189" i="34"/>
  <c r="CY134" i="34"/>
  <c r="CX139" i="34"/>
  <c r="CY144" i="34"/>
  <c r="CV81" i="35"/>
  <c r="CV85" i="35" s="1"/>
  <c r="CU86" i="35"/>
  <c r="CU89" i="35"/>
  <c r="CZ81" i="35"/>
  <c r="CZ85" i="35" s="1"/>
  <c r="CY89" i="35"/>
  <c r="CY86" i="35"/>
  <c r="CQ87" i="35"/>
  <c r="CQ86" i="35"/>
  <c r="CQ89" i="35"/>
  <c r="CW89" i="35"/>
  <c r="S35" i="45"/>
  <c r="S40" i="45"/>
  <c r="AH45" i="45"/>
  <c r="AM45" i="45"/>
  <c r="AM35" i="45"/>
  <c r="S45" i="45"/>
  <c r="AM40" i="45"/>
  <c r="BB12" i="45"/>
  <c r="AE20" i="45"/>
  <c r="AB20" i="45"/>
  <c r="AM20" i="45"/>
  <c r="AF20" i="45"/>
  <c r="CZ184" i="34" l="1"/>
  <c r="CY189" i="34"/>
  <c r="CZ100" i="34"/>
  <c r="CY105" i="34"/>
  <c r="CZ144" i="34"/>
  <c r="CZ60" i="34"/>
  <c r="CY139" i="34"/>
  <c r="CZ134" i="34"/>
  <c r="DA112" i="34"/>
  <c r="DA117" i="34" s="1"/>
  <c r="CZ117" i="34"/>
  <c r="DB117" i="34" s="1"/>
  <c r="DB197" i="34"/>
  <c r="CQ90" i="35"/>
  <c r="CR87" i="35"/>
  <c r="CR88" i="35" s="1"/>
  <c r="CS88" i="35" s="1"/>
  <c r="CR90" i="35"/>
  <c r="CZ89" i="35"/>
  <c r="CZ86" i="35"/>
  <c r="DA81" i="35"/>
  <c r="DA85" i="35" s="1"/>
  <c r="CV89" i="35"/>
  <c r="CV86" i="35"/>
  <c r="DB89" i="35"/>
  <c r="BG12" i="45"/>
  <c r="AC20" i="45"/>
  <c r="DA60" i="34" l="1"/>
  <c r="DA184" i="34"/>
  <c r="DA189" i="34" s="1"/>
  <c r="CZ189" i="34"/>
  <c r="DB189" i="34" s="1"/>
  <c r="CZ139" i="34"/>
  <c r="DA134" i="34"/>
  <c r="DA139" i="34" s="1"/>
  <c r="DA144" i="34"/>
  <c r="CZ105" i="34"/>
  <c r="DA100" i="34"/>
  <c r="DA105" i="34" s="1"/>
  <c r="DA89" i="35"/>
  <c r="DA86" i="35"/>
  <c r="CT88" i="35"/>
  <c r="CS87" i="35"/>
  <c r="DB60" i="34" l="1"/>
  <c r="DB105" i="34"/>
  <c r="DB139" i="34"/>
  <c r="CU88" i="35"/>
  <c r="CT87" i="35"/>
  <c r="CT90" i="35" s="1"/>
  <c r="CS90" i="35"/>
  <c r="CV88" i="35" l="1"/>
  <c r="CV87" i="35" s="1"/>
  <c r="CU87" i="35"/>
  <c r="CU90" i="35" l="1"/>
  <c r="CW90" i="35"/>
  <c r="CV90" i="35"/>
  <c r="CW87" i="35"/>
  <c r="CW88" i="35" s="1"/>
  <c r="CX88" i="35" s="1"/>
  <c r="CY88" i="35" l="1"/>
  <c r="CX87" i="35"/>
  <c r="CX90" i="35" l="1"/>
  <c r="CZ88" i="35"/>
  <c r="CY87" i="35"/>
  <c r="CY90" i="35" s="1"/>
  <c r="DA88" i="35" l="1"/>
  <c r="DA87" i="35" s="1"/>
  <c r="CZ87" i="35"/>
  <c r="CZ90" i="35" s="1"/>
  <c r="DB90" i="35"/>
  <c r="DA90" i="35" l="1"/>
  <c r="DB87" i="35"/>
  <c r="DB88" i="35" s="1"/>
  <c r="CN8" i="8" l="1"/>
  <c r="CO8" i="8"/>
  <c r="CP8" i="8"/>
  <c r="CQ8" i="8"/>
  <c r="CR8" i="8"/>
  <c r="CS8" i="8"/>
  <c r="CT8" i="8"/>
  <c r="CU8" i="8"/>
  <c r="CV8" i="8"/>
  <c r="CW8" i="8"/>
  <c r="CX8" i="8"/>
  <c r="CY8" i="8"/>
  <c r="CZ8" i="8"/>
  <c r="DA8" i="8"/>
  <c r="DB8" i="8"/>
  <c r="CN11" i="8"/>
  <c r="CO11" i="8"/>
  <c r="CP11" i="8"/>
  <c r="CQ11" i="8"/>
  <c r="CR11" i="8"/>
  <c r="CS11" i="8"/>
  <c r="CT11" i="8"/>
  <c r="CU11" i="8"/>
  <c r="CV11" i="8"/>
  <c r="CW11" i="8"/>
  <c r="CX11" i="8"/>
  <c r="CY11" i="8"/>
  <c r="CZ11" i="8"/>
  <c r="DA11" i="8"/>
  <c r="DB11" i="8"/>
  <c r="CN12" i="8"/>
  <c r="CO12" i="8"/>
  <c r="CP12" i="8"/>
  <c r="CQ12" i="8"/>
  <c r="CR12" i="8"/>
  <c r="CS12" i="8"/>
  <c r="CT12" i="8"/>
  <c r="CU12" i="8"/>
  <c r="CV12" i="8"/>
  <c r="CW12" i="8"/>
  <c r="CX12" i="8"/>
  <c r="CY12" i="8"/>
  <c r="CZ12" i="8"/>
  <c r="DA12" i="8"/>
  <c r="DB12" i="8"/>
  <c r="CN15" i="8"/>
  <c r="CO15" i="8"/>
  <c r="CP15" i="8"/>
  <c r="CQ15" i="8"/>
  <c r="CR15" i="8"/>
  <c r="CS15" i="8"/>
  <c r="CT15" i="8"/>
  <c r="CU15" i="8"/>
  <c r="CV15" i="8"/>
  <c r="CW15" i="8"/>
  <c r="CX15" i="8"/>
  <c r="CY15" i="8"/>
  <c r="CZ15" i="8"/>
  <c r="DA15" i="8"/>
  <c r="DB15" i="8"/>
  <c r="CN17" i="8"/>
  <c r="CO17" i="8"/>
  <c r="CP17" i="8"/>
  <c r="CQ17" i="8"/>
  <c r="CR17" i="8"/>
  <c r="CS17" i="8"/>
  <c r="CT17" i="8"/>
  <c r="CU17" i="8"/>
  <c r="CV17" i="8"/>
  <c r="CW17" i="8"/>
  <c r="CX17" i="8"/>
  <c r="CY17" i="8"/>
  <c r="CZ17" i="8"/>
  <c r="DA17" i="8"/>
  <c r="DB17" i="8"/>
  <c r="CN19" i="8"/>
  <c r="CO19" i="8"/>
  <c r="CP19" i="8"/>
  <c r="CQ19" i="8"/>
  <c r="CR19" i="8"/>
  <c r="CS19" i="8"/>
  <c r="CT19" i="8"/>
  <c r="CU19" i="8"/>
  <c r="CV19" i="8"/>
  <c r="CW19" i="8"/>
  <c r="CX19" i="8"/>
  <c r="CY19" i="8"/>
  <c r="CZ19" i="8"/>
  <c r="DA19" i="8"/>
  <c r="DB19" i="8"/>
  <c r="CN22" i="8"/>
  <c r="CO22" i="8"/>
  <c r="CP22" i="8"/>
  <c r="CQ22" i="8"/>
  <c r="CR22" i="8"/>
  <c r="CS22" i="8"/>
  <c r="CT22" i="8"/>
  <c r="CU22" i="8"/>
  <c r="CV22" i="8"/>
  <c r="CW22" i="8"/>
  <c r="CX22" i="8"/>
  <c r="CY22" i="8"/>
  <c r="CZ22" i="8"/>
  <c r="DA22" i="8"/>
  <c r="DB22" i="8"/>
  <c r="CN25" i="8"/>
  <c r="CO25" i="8"/>
  <c r="CP25" i="8"/>
  <c r="CQ25" i="8"/>
  <c r="CR25" i="8"/>
  <c r="CS25" i="8"/>
  <c r="CT25" i="8"/>
  <c r="CU25" i="8"/>
  <c r="CV25" i="8"/>
  <c r="CW25" i="8"/>
  <c r="CX25" i="8"/>
  <c r="CY25" i="8"/>
  <c r="CZ25" i="8"/>
  <c r="DA25" i="8"/>
  <c r="DB25" i="8"/>
  <c r="CN29" i="8"/>
  <c r="CO29" i="8"/>
  <c r="CP29" i="8"/>
  <c r="CQ29" i="8"/>
  <c r="CR29" i="8"/>
  <c r="CS29" i="8"/>
  <c r="CT29" i="8"/>
  <c r="CU29" i="8"/>
  <c r="CV29" i="8"/>
  <c r="CW29" i="8"/>
  <c r="CX29" i="8"/>
  <c r="CY29" i="8"/>
  <c r="CZ29" i="8"/>
  <c r="DA29" i="8"/>
  <c r="DB29" i="8"/>
  <c r="CN31" i="8"/>
  <c r="CO31" i="8"/>
  <c r="CP31" i="8"/>
  <c r="CQ31" i="8"/>
  <c r="CR31" i="8"/>
  <c r="CS31" i="8"/>
  <c r="CT31" i="8"/>
  <c r="CU31" i="8"/>
  <c r="CV31" i="8"/>
  <c r="CW31" i="8"/>
  <c r="CX31" i="8"/>
  <c r="CY31" i="8"/>
  <c r="CZ31" i="8"/>
  <c r="DA31" i="8"/>
  <c r="DB31" i="8"/>
  <c r="CN34" i="8"/>
  <c r="CO34" i="8"/>
  <c r="CP34" i="8"/>
  <c r="CQ34" i="8"/>
  <c r="CR34" i="8"/>
  <c r="CS34" i="8"/>
  <c r="CT34" i="8"/>
  <c r="CU34" i="8"/>
  <c r="CV34" i="8"/>
  <c r="CW34" i="8"/>
  <c r="CX34" i="8"/>
  <c r="CY34" i="8"/>
  <c r="CZ34" i="8"/>
  <c r="DA34" i="8"/>
  <c r="DB34" i="8"/>
  <c r="CN42" i="8"/>
  <c r="CO42" i="8"/>
  <c r="CP42" i="8"/>
  <c r="CQ42" i="8"/>
  <c r="CR42" i="8"/>
  <c r="CS42" i="8"/>
  <c r="CT42" i="8"/>
  <c r="CU42" i="8"/>
  <c r="CV42" i="8"/>
  <c r="CW42" i="8"/>
  <c r="CX42" i="8"/>
  <c r="CY42" i="8"/>
  <c r="CZ42" i="8"/>
  <c r="DA42" i="8"/>
  <c r="DB42" i="8"/>
  <c r="CN43" i="8"/>
  <c r="CO43" i="8"/>
  <c r="CP43" i="8"/>
  <c r="CQ43" i="8"/>
  <c r="CR43" i="8"/>
  <c r="CS43" i="8"/>
  <c r="CT43" i="8"/>
  <c r="CU43" i="8"/>
  <c r="CV43" i="8"/>
  <c r="CW43" i="8"/>
  <c r="CX43" i="8"/>
  <c r="CY43" i="8"/>
  <c r="CZ43" i="8"/>
  <c r="DA43" i="8"/>
  <c r="DB43" i="8"/>
  <c r="CN45" i="8"/>
  <c r="CO45" i="8"/>
  <c r="CP45" i="8"/>
  <c r="CQ45" i="8"/>
  <c r="CR45" i="8"/>
  <c r="CS45" i="8"/>
  <c r="CT45" i="8"/>
  <c r="CU45" i="8"/>
  <c r="CV45" i="8"/>
  <c r="CW45" i="8"/>
  <c r="CX45" i="8"/>
  <c r="CY45" i="8"/>
  <c r="CZ45" i="8"/>
  <c r="DA45" i="8"/>
  <c r="DB45" i="8"/>
  <c r="CN49" i="8"/>
  <c r="CO49" i="8"/>
  <c r="CP49" i="8"/>
  <c r="CQ49" i="8"/>
  <c r="CR49" i="8"/>
  <c r="CS49" i="8"/>
  <c r="CT49" i="8"/>
  <c r="CU49" i="8"/>
  <c r="CV49" i="8"/>
  <c r="CW49" i="8"/>
  <c r="CX49" i="8"/>
  <c r="CY49" i="8"/>
  <c r="CZ49" i="8"/>
  <c r="DA49" i="8"/>
  <c r="DB49" i="8"/>
  <c r="CN50" i="8"/>
  <c r="CO50" i="8"/>
  <c r="CP50" i="8"/>
  <c r="CQ50" i="8"/>
  <c r="CR50" i="8"/>
  <c r="CS50" i="8"/>
  <c r="CT50" i="8"/>
  <c r="CU50" i="8"/>
  <c r="CV50" i="8"/>
  <c r="CW50" i="8"/>
  <c r="CX50" i="8"/>
  <c r="CY50" i="8"/>
  <c r="CZ50" i="8"/>
  <c r="DA50" i="8"/>
  <c r="DB50" i="8"/>
  <c r="CN52" i="8"/>
  <c r="CO52" i="8"/>
  <c r="CP52" i="8"/>
  <c r="CQ52" i="8"/>
  <c r="CR52" i="8"/>
  <c r="CS52" i="8"/>
  <c r="CT52" i="8"/>
  <c r="CU52" i="8"/>
  <c r="CV52" i="8"/>
  <c r="CW52" i="8"/>
  <c r="CX52" i="8"/>
  <c r="CY52" i="8"/>
  <c r="CZ52" i="8"/>
  <c r="DA52" i="8"/>
  <c r="DB52" i="8"/>
  <c r="CN53" i="8"/>
  <c r="CO53" i="8"/>
  <c r="CP53" i="8"/>
  <c r="CQ53" i="8"/>
  <c r="CR53" i="8"/>
  <c r="CS53" i="8"/>
  <c r="CT53" i="8"/>
  <c r="CU53" i="8"/>
  <c r="CV53" i="8"/>
  <c r="CW53" i="8"/>
  <c r="CX53" i="8"/>
  <c r="CY53" i="8"/>
  <c r="CZ53" i="8"/>
  <c r="DA53" i="8"/>
  <c r="DB53" i="8"/>
  <c r="CN55" i="8"/>
  <c r="CO55" i="8"/>
  <c r="CP55" i="8"/>
  <c r="CQ55" i="8"/>
  <c r="CR55" i="8"/>
  <c r="CS55" i="8"/>
  <c r="CT55" i="8"/>
  <c r="CU55" i="8"/>
  <c r="CV55" i="8"/>
  <c r="CW55" i="8"/>
  <c r="CX55" i="8"/>
  <c r="CY55" i="8"/>
  <c r="CZ55" i="8"/>
  <c r="DA55" i="8"/>
  <c r="DB55" i="8"/>
  <c r="CN56" i="8"/>
  <c r="CO56" i="8"/>
  <c r="CP56" i="8"/>
  <c r="CQ56" i="8"/>
  <c r="CR56" i="8"/>
  <c r="CS56" i="8"/>
  <c r="CT56" i="8"/>
  <c r="CU56" i="8"/>
  <c r="CV56" i="8"/>
  <c r="CW56" i="8"/>
  <c r="CX56" i="8"/>
  <c r="CY56" i="8"/>
  <c r="CZ56" i="8"/>
  <c r="DA56" i="8"/>
  <c r="DB56" i="8"/>
  <c r="CN58" i="8"/>
  <c r="CO58" i="8"/>
  <c r="CP58" i="8"/>
  <c r="CQ58" i="8"/>
  <c r="CR58" i="8"/>
  <c r="CS58" i="8"/>
  <c r="CT58" i="8"/>
  <c r="CU58" i="8"/>
  <c r="CV58" i="8"/>
  <c r="CW58" i="8"/>
  <c r="CX58" i="8"/>
  <c r="CY58" i="8"/>
  <c r="CZ58" i="8"/>
  <c r="DA58" i="8"/>
  <c r="DB58" i="8"/>
  <c r="CN59" i="8"/>
  <c r="CO59" i="8"/>
  <c r="CP59" i="8"/>
  <c r="CQ59" i="8"/>
  <c r="CR59" i="8"/>
  <c r="CS59" i="8"/>
  <c r="CT59" i="8"/>
  <c r="CU59" i="8"/>
  <c r="CV59" i="8"/>
  <c r="CW59" i="8"/>
  <c r="CX59" i="8"/>
  <c r="CY59" i="8"/>
  <c r="CZ59" i="8"/>
  <c r="DA59" i="8"/>
  <c r="DB59" i="8"/>
  <c r="CN60" i="8"/>
  <c r="CO60" i="8"/>
  <c r="CP60" i="8"/>
  <c r="CQ60" i="8"/>
  <c r="CR60" i="8"/>
  <c r="CS60" i="8"/>
  <c r="CT60" i="8"/>
  <c r="CU60" i="8"/>
  <c r="CV60" i="8"/>
  <c r="CW60" i="8"/>
  <c r="CX60" i="8"/>
  <c r="CY60" i="8"/>
  <c r="CZ60" i="8"/>
  <c r="DA60" i="8"/>
  <c r="DB60" i="8"/>
  <c r="CN61" i="8"/>
  <c r="CO61" i="8"/>
  <c r="CP61" i="8"/>
  <c r="CQ61" i="8"/>
  <c r="CR61" i="8"/>
  <c r="CS61" i="8"/>
  <c r="CT61" i="8"/>
  <c r="CU61" i="8"/>
  <c r="CV61" i="8"/>
  <c r="CW61" i="8"/>
  <c r="CX61" i="8"/>
  <c r="CY61" i="8"/>
  <c r="CZ61" i="8"/>
  <c r="DA61" i="8"/>
  <c r="DB61" i="8"/>
  <c r="CN63" i="8"/>
  <c r="CO63" i="8"/>
  <c r="CP63" i="8"/>
  <c r="CQ63" i="8"/>
  <c r="CR63" i="8"/>
  <c r="CS63" i="8"/>
  <c r="CT63" i="8"/>
  <c r="CU63" i="8"/>
  <c r="CV63" i="8"/>
  <c r="CW63" i="8"/>
  <c r="CX63" i="8"/>
  <c r="CY63" i="8"/>
  <c r="CZ63" i="8"/>
  <c r="DA63" i="8"/>
  <c r="DB63" i="8"/>
  <c r="CN64" i="8"/>
  <c r="CO64" i="8"/>
  <c r="CP64" i="8"/>
  <c r="CQ64" i="8"/>
  <c r="CR64" i="8"/>
  <c r="CS64" i="8"/>
  <c r="CT64" i="8"/>
  <c r="CU64" i="8"/>
  <c r="CV64" i="8"/>
  <c r="CW64" i="8"/>
  <c r="CX64" i="8"/>
  <c r="CY64" i="8"/>
  <c r="CZ64" i="8"/>
  <c r="DA64" i="8"/>
  <c r="DB64" i="8"/>
  <c r="CS65" i="8"/>
  <c r="CT65" i="8"/>
  <c r="CU65" i="8"/>
  <c r="CV65" i="8"/>
  <c r="CW65" i="8"/>
  <c r="CX65" i="8"/>
  <c r="CY65" i="8"/>
  <c r="CZ65" i="8"/>
  <c r="DA65" i="8"/>
  <c r="DB65" i="8"/>
  <c r="CN67" i="8"/>
  <c r="CO67" i="8"/>
  <c r="CP67" i="8"/>
  <c r="CQ67" i="8"/>
  <c r="CR67" i="8"/>
  <c r="CS67" i="8"/>
  <c r="CT67" i="8"/>
  <c r="CU67" i="8"/>
  <c r="CV67" i="8"/>
  <c r="CW67" i="8"/>
  <c r="CX67" i="8"/>
  <c r="CY67" i="8"/>
  <c r="CZ67" i="8"/>
  <c r="DA67" i="8"/>
  <c r="DB67" i="8"/>
  <c r="CN73" i="8"/>
  <c r="CO73" i="8"/>
  <c r="CP73" i="8"/>
  <c r="CQ73" i="8"/>
  <c r="CR73" i="8"/>
  <c r="CS73" i="8"/>
  <c r="CT73" i="8"/>
  <c r="CU73" i="8"/>
  <c r="CV73" i="8"/>
  <c r="CW73" i="8"/>
  <c r="CX73" i="8"/>
  <c r="CY73" i="8"/>
  <c r="CZ73" i="8"/>
  <c r="DA73" i="8"/>
  <c r="DB73" i="8"/>
  <c r="CN79" i="8"/>
  <c r="CO79" i="8"/>
  <c r="CP79" i="8"/>
  <c r="CQ79" i="8"/>
  <c r="CR79" i="8"/>
  <c r="CS79" i="8"/>
  <c r="CT79" i="8"/>
  <c r="CU79" i="8"/>
  <c r="CV79" i="8"/>
  <c r="CW79" i="8"/>
  <c r="CX79" i="8"/>
  <c r="CY79" i="8"/>
  <c r="CZ79" i="8"/>
  <c r="DA79" i="8"/>
  <c r="DB79" i="8"/>
  <c r="CN81" i="8"/>
  <c r="CO81" i="8"/>
  <c r="CP81" i="8"/>
  <c r="CQ81" i="8"/>
  <c r="CR81" i="8"/>
  <c r="CS81" i="8"/>
  <c r="CT81" i="8"/>
  <c r="CU81" i="8"/>
  <c r="CV81" i="8"/>
  <c r="CW81" i="8"/>
  <c r="CX81" i="8"/>
  <c r="CY81" i="8"/>
  <c r="CZ81" i="8"/>
  <c r="DA81" i="8"/>
  <c r="DB81" i="8"/>
  <c r="CN84" i="8"/>
  <c r="CO84" i="8"/>
  <c r="CP84" i="8"/>
  <c r="CQ84" i="8"/>
  <c r="CR84" i="8"/>
  <c r="CS84" i="8"/>
  <c r="CT84" i="8"/>
  <c r="CU84" i="8"/>
  <c r="CV84" i="8"/>
  <c r="CW84" i="8"/>
  <c r="CX84" i="8"/>
  <c r="CY84" i="8"/>
  <c r="CZ84" i="8"/>
  <c r="DA84" i="8"/>
  <c r="DB84" i="8"/>
  <c r="CN85" i="8"/>
  <c r="CO85" i="8"/>
  <c r="CP85" i="8"/>
  <c r="CQ85" i="8"/>
  <c r="CR85" i="8"/>
  <c r="CS85" i="8"/>
  <c r="CT85" i="8"/>
  <c r="CU85" i="8"/>
  <c r="CV85" i="8"/>
  <c r="CW85" i="8"/>
  <c r="CX85" i="8"/>
  <c r="CY85" i="8"/>
  <c r="CZ85" i="8"/>
  <c r="DA85" i="8"/>
  <c r="DB85" i="8"/>
  <c r="CN87" i="8"/>
  <c r="CO87" i="8"/>
  <c r="CP87" i="8"/>
  <c r="CQ87" i="8"/>
  <c r="CR87" i="8"/>
  <c r="CS87" i="8"/>
  <c r="CT87" i="8"/>
  <c r="CU87" i="8"/>
  <c r="CV87" i="8"/>
  <c r="CW87" i="8"/>
  <c r="CX87" i="8"/>
  <c r="CY87" i="8"/>
  <c r="CZ87" i="8"/>
  <c r="DA87" i="8"/>
  <c r="DB87" i="8"/>
  <c r="CN89" i="8"/>
  <c r="CO89" i="8"/>
  <c r="CP89" i="8"/>
  <c r="CQ89" i="8"/>
  <c r="CR89" i="8"/>
  <c r="CS89" i="8"/>
  <c r="CT89" i="8"/>
  <c r="CU89" i="8"/>
  <c r="CV89" i="8"/>
  <c r="CW89" i="8"/>
  <c r="CX89" i="8"/>
  <c r="CY89" i="8"/>
  <c r="CZ89" i="8"/>
  <c r="DA89" i="8"/>
  <c r="DB89" i="8"/>
  <c r="CN91" i="8"/>
  <c r="CO91" i="8"/>
  <c r="CP91" i="8"/>
  <c r="CQ91" i="8"/>
  <c r="CR91" i="8"/>
  <c r="CS91" i="8"/>
  <c r="CT91" i="8"/>
  <c r="CU91" i="8"/>
  <c r="CV91" i="8"/>
  <c r="CW91" i="8"/>
  <c r="CX91" i="8"/>
  <c r="CY91" i="8"/>
  <c r="CZ91" i="8"/>
  <c r="DA91" i="8"/>
  <c r="DB91" i="8"/>
  <c r="CN92" i="8"/>
  <c r="CO92" i="8"/>
  <c r="CP92" i="8"/>
  <c r="CQ92" i="8"/>
  <c r="CR92" i="8"/>
  <c r="CS92" i="8"/>
  <c r="CT92" i="8"/>
  <c r="CU92" i="8"/>
  <c r="CV92" i="8"/>
  <c r="CW92" i="8"/>
  <c r="CX92" i="8"/>
  <c r="CY92" i="8"/>
  <c r="CZ92" i="8"/>
  <c r="DA92" i="8"/>
  <c r="DB92" i="8"/>
  <c r="CN94" i="8"/>
  <c r="CO94" i="8"/>
  <c r="CP94" i="8"/>
  <c r="CQ94" i="8"/>
  <c r="CR94" i="8"/>
  <c r="CS94" i="8"/>
  <c r="CT94" i="8"/>
  <c r="CU94" i="8"/>
  <c r="CV94" i="8"/>
  <c r="CW94" i="8"/>
  <c r="CX94" i="8"/>
  <c r="CY94" i="8"/>
  <c r="CZ94" i="8"/>
  <c r="DA94" i="8"/>
  <c r="DB94" i="8"/>
  <c r="CN95" i="8"/>
  <c r="CO95" i="8"/>
  <c r="CP95" i="8"/>
  <c r="CQ95" i="8"/>
  <c r="CR95" i="8"/>
  <c r="CS95" i="8"/>
  <c r="CT95" i="8"/>
  <c r="CU95" i="8"/>
  <c r="CV95" i="8"/>
  <c r="CW95" i="8"/>
  <c r="CX95" i="8"/>
  <c r="CY95" i="8"/>
  <c r="CZ95" i="8"/>
  <c r="DA95" i="8"/>
  <c r="DB95" i="8"/>
  <c r="CN100" i="8"/>
  <c r="CO100" i="8"/>
  <c r="CP100" i="8"/>
  <c r="CQ100" i="8"/>
  <c r="CR100" i="8"/>
  <c r="CS100" i="8"/>
  <c r="CT100" i="8"/>
  <c r="CU100" i="8"/>
  <c r="CV100" i="8"/>
  <c r="CW100" i="8"/>
  <c r="CX100" i="8"/>
  <c r="CY100" i="8"/>
  <c r="CZ100" i="8"/>
  <c r="DA100" i="8"/>
  <c r="DB100" i="8"/>
  <c r="CN102" i="8"/>
  <c r="CO102" i="8"/>
  <c r="CP102" i="8"/>
  <c r="CQ102" i="8"/>
  <c r="CR102" i="8"/>
  <c r="CS102" i="8"/>
  <c r="CT102" i="8"/>
  <c r="CU102" i="8"/>
  <c r="CV102" i="8"/>
  <c r="CW102" i="8"/>
  <c r="CX102" i="8"/>
  <c r="CY102" i="8"/>
  <c r="CZ102" i="8"/>
  <c r="DA102" i="8"/>
  <c r="DB102" i="8"/>
  <c r="CN113" i="8"/>
  <c r="CO113" i="8"/>
  <c r="CP113" i="8"/>
  <c r="CQ113" i="8"/>
  <c r="CR113" i="8"/>
  <c r="CS113" i="8"/>
  <c r="CT113" i="8"/>
  <c r="CU113" i="8"/>
  <c r="CV113" i="8"/>
  <c r="CW113" i="8"/>
  <c r="CX113" i="8"/>
  <c r="CY113" i="8"/>
  <c r="CZ113" i="8"/>
  <c r="DA113" i="8"/>
  <c r="DB113" i="8"/>
  <c r="CN114" i="8"/>
  <c r="CO114" i="8"/>
  <c r="CP114" i="8"/>
  <c r="CQ114" i="8"/>
  <c r="CR114" i="8"/>
  <c r="CS114" i="8"/>
  <c r="CT114" i="8"/>
  <c r="CU114" i="8"/>
  <c r="CV114" i="8"/>
  <c r="CW114" i="8"/>
  <c r="CX114" i="8"/>
  <c r="CY114" i="8"/>
  <c r="CZ114" i="8"/>
  <c r="DA114" i="8"/>
  <c r="DB114" i="8"/>
  <c r="CN115" i="8"/>
  <c r="CO115" i="8"/>
  <c r="CP115" i="8"/>
  <c r="CQ115" i="8"/>
  <c r="CR115" i="8"/>
  <c r="CS115" i="8"/>
  <c r="CT115" i="8"/>
  <c r="CU115" i="8"/>
  <c r="CV115" i="8"/>
  <c r="CW115" i="8"/>
  <c r="CX115" i="8"/>
  <c r="CY115" i="8"/>
  <c r="CZ115" i="8"/>
  <c r="DA115" i="8"/>
  <c r="DB115" i="8"/>
  <c r="CN117" i="8"/>
  <c r="CO117" i="8"/>
  <c r="CP117" i="8"/>
  <c r="CQ117" i="8"/>
  <c r="CR117" i="8"/>
  <c r="CS117" i="8"/>
  <c r="CT117" i="8"/>
  <c r="CU117" i="8"/>
  <c r="CV117" i="8"/>
  <c r="CW117" i="8"/>
  <c r="CX117" i="8"/>
  <c r="CY117" i="8"/>
  <c r="CZ117" i="8"/>
  <c r="DA117" i="8"/>
  <c r="DB117" i="8"/>
  <c r="CN118" i="8"/>
  <c r="CO118" i="8"/>
  <c r="CP118" i="8"/>
  <c r="CQ118" i="8"/>
  <c r="CR118" i="8"/>
  <c r="CS118" i="8"/>
  <c r="CT118" i="8"/>
  <c r="CU118" i="8"/>
  <c r="CV118" i="8"/>
  <c r="CW118" i="8"/>
  <c r="CX118" i="8"/>
  <c r="CY118" i="8"/>
  <c r="CZ118" i="8"/>
  <c r="DA118" i="8"/>
  <c r="DB118" i="8"/>
  <c r="CN119" i="8"/>
  <c r="CO119" i="8"/>
  <c r="CP119" i="8"/>
  <c r="CQ119" i="8"/>
  <c r="CR119" i="8"/>
  <c r="CS119" i="8"/>
  <c r="CT119" i="8"/>
  <c r="CU119" i="8"/>
  <c r="CV119" i="8"/>
  <c r="CW119" i="8"/>
  <c r="CX119" i="8"/>
  <c r="CY119" i="8"/>
  <c r="CZ119" i="8"/>
  <c r="DA119" i="8"/>
  <c r="DB119" i="8"/>
  <c r="CN122" i="8"/>
  <c r="CO122" i="8"/>
  <c r="CP122" i="8"/>
  <c r="CQ122" i="8"/>
  <c r="CR122" i="8"/>
  <c r="CS122" i="8"/>
  <c r="CT122" i="8"/>
  <c r="CU122" i="8"/>
  <c r="CV122" i="8"/>
  <c r="CW122" i="8"/>
  <c r="CX122" i="8"/>
  <c r="CY122" i="8"/>
  <c r="CZ122" i="8"/>
  <c r="DA122" i="8"/>
  <c r="DB122" i="8"/>
  <c r="CN126" i="8"/>
  <c r="CO126" i="8"/>
  <c r="CP126" i="8"/>
  <c r="CQ126" i="8"/>
  <c r="CR126" i="8"/>
  <c r="CS126" i="8"/>
  <c r="CT126" i="8"/>
  <c r="CU126" i="8"/>
  <c r="CV126" i="8"/>
  <c r="CW126" i="8"/>
  <c r="CX126" i="8"/>
  <c r="CY126" i="8"/>
  <c r="CZ126" i="8"/>
  <c r="DA126" i="8"/>
  <c r="DB126" i="8"/>
  <c r="CN139" i="8"/>
  <c r="CO139" i="8"/>
  <c r="CP139" i="8"/>
  <c r="CQ139" i="8"/>
  <c r="CR139" i="8"/>
  <c r="CS139" i="8"/>
  <c r="CT139" i="8"/>
  <c r="CU139" i="8"/>
  <c r="CV139" i="8"/>
  <c r="CW139" i="8"/>
  <c r="CX139" i="8"/>
  <c r="CY139" i="8"/>
  <c r="CZ139" i="8"/>
  <c r="DA139" i="8"/>
  <c r="DB139" i="8"/>
  <c r="CN143" i="8"/>
  <c r="CO143" i="8"/>
  <c r="CP143" i="8"/>
  <c r="CQ143" i="8"/>
  <c r="CR143" i="8"/>
  <c r="CS143" i="8"/>
  <c r="CT143" i="8"/>
  <c r="CU143" i="8"/>
  <c r="CV143" i="8"/>
  <c r="CW143" i="8"/>
  <c r="CX143" i="8"/>
  <c r="CY143" i="8"/>
  <c r="CZ143" i="8"/>
  <c r="DA143" i="8"/>
  <c r="DB143" i="8"/>
  <c r="CO145" i="8"/>
  <c r="CP145" i="8"/>
  <c r="CQ145" i="8"/>
  <c r="CS145" i="8"/>
  <c r="CT145" i="8"/>
  <c r="CU145" i="8"/>
  <c r="CV145" i="8"/>
  <c r="CW145" i="8"/>
  <c r="CX145" i="8"/>
  <c r="CY145" i="8"/>
  <c r="CZ145" i="8"/>
  <c r="DA145" i="8"/>
  <c r="DB145" i="8"/>
  <c r="CN146" i="8"/>
  <c r="CO146" i="8"/>
  <c r="CP146" i="8"/>
  <c r="CQ146" i="8"/>
  <c r="CR146" i="8"/>
  <c r="CS146" i="8"/>
  <c r="CT146" i="8"/>
  <c r="CU146" i="8"/>
  <c r="CV146" i="8"/>
  <c r="CW146" i="8"/>
  <c r="CX146" i="8"/>
  <c r="CY146" i="8"/>
  <c r="CZ146" i="8"/>
  <c r="DA146" i="8"/>
  <c r="DB146" i="8"/>
  <c r="CN147" i="8"/>
  <c r="CO147" i="8"/>
  <c r="CP147" i="8"/>
  <c r="CQ147" i="8"/>
  <c r="CR147" i="8"/>
  <c r="CS147" i="8"/>
  <c r="CT147" i="8"/>
  <c r="CU147" i="8"/>
  <c r="CV147" i="8"/>
  <c r="CW147" i="8"/>
  <c r="CX147" i="8"/>
  <c r="CY147" i="8"/>
  <c r="CZ147" i="8"/>
  <c r="DA147" i="8"/>
  <c r="DB147" i="8"/>
  <c r="CN150" i="8"/>
  <c r="CO150" i="8"/>
  <c r="CP150" i="8"/>
  <c r="CQ150" i="8"/>
  <c r="CR150" i="8"/>
  <c r="CS150" i="8"/>
  <c r="CT150" i="8"/>
  <c r="CU150" i="8"/>
  <c r="CV150" i="8"/>
  <c r="CW150" i="8"/>
  <c r="CX150" i="8"/>
  <c r="CY150" i="8"/>
  <c r="CZ150" i="8"/>
  <c r="DA150" i="8"/>
  <c r="DB150" i="8"/>
  <c r="CN151" i="8"/>
  <c r="CO151" i="8"/>
  <c r="CP151" i="8"/>
  <c r="CQ151" i="8"/>
  <c r="CR151" i="8"/>
  <c r="CS151" i="8"/>
  <c r="CT151" i="8"/>
  <c r="CU151" i="8"/>
  <c r="CV151" i="8"/>
  <c r="CW151" i="8"/>
  <c r="CX151" i="8"/>
  <c r="CY151" i="8"/>
  <c r="CZ151" i="8"/>
  <c r="DA151" i="8"/>
  <c r="DB151" i="8"/>
  <c r="CR153" i="8"/>
  <c r="CW153" i="8"/>
  <c r="DB153" i="8"/>
  <c r="CN155" i="8"/>
  <c r="CO155" i="8"/>
  <c r="CP155" i="8"/>
  <c r="CQ155" i="8"/>
  <c r="CR155" i="8"/>
  <c r="CS155" i="8"/>
  <c r="CT155" i="8"/>
  <c r="CU155" i="8"/>
  <c r="CV155" i="8"/>
  <c r="CW155" i="8"/>
  <c r="CX155" i="8"/>
  <c r="CY155" i="8"/>
  <c r="CZ155" i="8"/>
  <c r="DA155" i="8"/>
  <c r="DB155" i="8"/>
  <c r="CN158" i="8"/>
  <c r="CO158" i="8"/>
  <c r="CP158" i="8"/>
  <c r="CQ158" i="8"/>
  <c r="CR158" i="8"/>
  <c r="CS158" i="8"/>
  <c r="CT158" i="8"/>
  <c r="CU158" i="8"/>
  <c r="CV158" i="8"/>
  <c r="CW158" i="8"/>
  <c r="CX158" i="8"/>
  <c r="CY158" i="8"/>
  <c r="CZ158" i="8"/>
  <c r="DA158" i="8"/>
  <c r="DB158" i="8"/>
  <c r="CO8" i="34"/>
  <c r="CP8" i="34"/>
  <c r="CQ8" i="34"/>
  <c r="CS8" i="34"/>
  <c r="CT8" i="34"/>
  <c r="CU8" i="34"/>
  <c r="CV8" i="34"/>
  <c r="CX8" i="34"/>
  <c r="CY8" i="34"/>
  <c r="CZ8" i="34"/>
  <c r="DA8" i="34"/>
  <c r="CN9" i="34"/>
  <c r="CO9" i="34"/>
  <c r="CP9" i="34"/>
  <c r="CQ9" i="34"/>
  <c r="CR9" i="34"/>
  <c r="CS9" i="34"/>
  <c r="CT9" i="34"/>
  <c r="CU9" i="34"/>
  <c r="CV9" i="34"/>
  <c r="CW9" i="34"/>
  <c r="CX9" i="34"/>
  <c r="CY9" i="34"/>
  <c r="CZ9" i="34"/>
  <c r="DA9" i="34"/>
  <c r="DB9" i="34"/>
  <c r="CN11" i="34"/>
  <c r="CO11" i="34"/>
  <c r="CP11" i="34"/>
  <c r="CQ11" i="34"/>
  <c r="CR11" i="34"/>
  <c r="CS11" i="34"/>
  <c r="CT11" i="34"/>
  <c r="CU11" i="34"/>
  <c r="CV11" i="34"/>
  <c r="CW11" i="34"/>
  <c r="CX11" i="34"/>
  <c r="CY11" i="34"/>
  <c r="CZ11" i="34"/>
  <c r="DA11" i="34"/>
  <c r="DB11" i="34"/>
  <c r="CN14" i="34"/>
  <c r="CO14" i="34"/>
  <c r="CP14" i="34"/>
  <c r="CQ14" i="34"/>
  <c r="CR14" i="34"/>
  <c r="CS14" i="34"/>
  <c r="CT14" i="34"/>
  <c r="CU14" i="34"/>
  <c r="CV14" i="34"/>
  <c r="CW14" i="34"/>
  <c r="CX14" i="34"/>
  <c r="CY14" i="34"/>
  <c r="CZ14" i="34"/>
  <c r="DA14" i="34"/>
  <c r="DB14" i="34"/>
  <c r="CN15" i="34"/>
  <c r="CO15" i="34"/>
  <c r="CP15" i="34"/>
  <c r="CQ15" i="34"/>
  <c r="CR15" i="34"/>
  <c r="CS15" i="34"/>
  <c r="CT15" i="34"/>
  <c r="CU15" i="34"/>
  <c r="CV15" i="34"/>
  <c r="CW15" i="34"/>
  <c r="CX15" i="34"/>
  <c r="CY15" i="34"/>
  <c r="CZ15" i="34"/>
  <c r="DA15" i="34"/>
  <c r="DB15" i="34"/>
  <c r="CN16" i="34"/>
  <c r="CO16" i="34"/>
  <c r="CP16" i="34"/>
  <c r="CQ16" i="34"/>
  <c r="CR16" i="34"/>
  <c r="CS16" i="34"/>
  <c r="CT16" i="34"/>
  <c r="CU16" i="34"/>
  <c r="CV16" i="34"/>
  <c r="CW16" i="34"/>
  <c r="CX16" i="34"/>
  <c r="CY16" i="34"/>
  <c r="CZ16" i="34"/>
  <c r="DA16" i="34"/>
  <c r="DB16" i="34"/>
  <c r="CN19" i="34"/>
  <c r="CO19" i="34"/>
  <c r="CP19" i="34"/>
  <c r="CQ19" i="34"/>
  <c r="CR19" i="34"/>
  <c r="CS19" i="34"/>
  <c r="CT19" i="34"/>
  <c r="CU19" i="34"/>
  <c r="CV19" i="34"/>
  <c r="CW19" i="34"/>
  <c r="CX19" i="34"/>
  <c r="CY19" i="34"/>
  <c r="CZ19" i="34"/>
  <c r="DA19" i="34"/>
  <c r="DB19" i="34"/>
  <c r="CN20" i="34"/>
  <c r="CO20" i="34"/>
  <c r="CP20" i="34"/>
  <c r="CQ20" i="34"/>
  <c r="CR20" i="34"/>
  <c r="CS20" i="34"/>
  <c r="CT20" i="34"/>
  <c r="CU20" i="34"/>
  <c r="CV20" i="34"/>
  <c r="CW20" i="34"/>
  <c r="CX20" i="34"/>
  <c r="CY20" i="34"/>
  <c r="CZ20" i="34"/>
  <c r="DA20" i="34"/>
  <c r="DB20" i="34"/>
  <c r="CN23" i="34"/>
  <c r="CO23" i="34"/>
  <c r="CP23" i="34"/>
  <c r="CQ23" i="34"/>
  <c r="CR23" i="34"/>
  <c r="CS23" i="34"/>
  <c r="CT23" i="34"/>
  <c r="CU23" i="34"/>
  <c r="CV23" i="34"/>
  <c r="CW23" i="34"/>
  <c r="CX23" i="34"/>
  <c r="CY23" i="34"/>
  <c r="CZ23" i="34"/>
  <c r="DA23" i="34"/>
  <c r="DB23" i="34"/>
  <c r="CN25" i="34"/>
  <c r="CO25" i="34"/>
  <c r="CP25" i="34"/>
  <c r="CQ25" i="34"/>
  <c r="CS25" i="34"/>
  <c r="CT25" i="34"/>
  <c r="CU25" i="34"/>
  <c r="CV25" i="34"/>
  <c r="CX25" i="34"/>
  <c r="CY25" i="34"/>
  <c r="CZ25" i="34"/>
  <c r="DA25" i="34"/>
  <c r="CN41" i="34"/>
  <c r="CO41" i="34"/>
  <c r="CP41" i="34"/>
  <c r="CQ41" i="34"/>
  <c r="CS41" i="34"/>
  <c r="CT41" i="34"/>
  <c r="CU41" i="34"/>
  <c r="CV41" i="34"/>
  <c r="CX41" i="34"/>
  <c r="CY41" i="34"/>
  <c r="CZ41" i="34"/>
  <c r="DA41" i="34"/>
  <c r="CN55" i="34"/>
  <c r="CO55" i="34"/>
  <c r="CP55" i="34"/>
  <c r="CQ55" i="34"/>
  <c r="CS55" i="34"/>
  <c r="CT55" i="34"/>
  <c r="CU55" i="34"/>
  <c r="CV55" i="34"/>
  <c r="CX55" i="34"/>
  <c r="CY55" i="34"/>
  <c r="CZ55" i="34"/>
  <c r="DA55" i="34"/>
  <c r="CT61" i="34"/>
  <c r="CU61" i="34"/>
  <c r="CV61" i="34"/>
  <c r="CX61" i="34"/>
  <c r="CY61" i="34"/>
  <c r="CZ61" i="34"/>
  <c r="DA61" i="34"/>
  <c r="DB61" i="34"/>
  <c r="CS63" i="34"/>
  <c r="CT63" i="34"/>
  <c r="CU63" i="34"/>
  <c r="CV63" i="34"/>
  <c r="CW63" i="34"/>
  <c r="CX63" i="34"/>
  <c r="CY63" i="34"/>
  <c r="CZ63" i="34"/>
  <c r="DA63" i="34"/>
  <c r="DB63" i="34"/>
  <c r="CS64" i="34"/>
  <c r="CT64" i="34"/>
  <c r="CU64" i="34"/>
  <c r="CV64" i="34"/>
  <c r="CW64" i="34"/>
  <c r="CX64" i="34"/>
  <c r="CY64" i="34"/>
  <c r="CZ64" i="34"/>
  <c r="DA64" i="34"/>
  <c r="DB64" i="34"/>
  <c r="CS65" i="34"/>
  <c r="CT65" i="34"/>
  <c r="CU65" i="34"/>
  <c r="CV65" i="34"/>
  <c r="CW65" i="34"/>
  <c r="CX65" i="34"/>
  <c r="CY65" i="34"/>
  <c r="CZ65" i="34"/>
  <c r="DA65" i="34"/>
  <c r="DB65" i="34"/>
  <c r="CS66" i="34"/>
  <c r="CT66" i="34"/>
  <c r="CU66" i="34"/>
  <c r="CV66" i="34"/>
  <c r="CW66" i="34"/>
  <c r="CX66" i="34"/>
  <c r="CY66" i="34"/>
  <c r="CZ66" i="34"/>
  <c r="DA66" i="34"/>
  <c r="DB66" i="34"/>
  <c r="CN69" i="34"/>
  <c r="CO69" i="34"/>
  <c r="CP69" i="34"/>
  <c r="CQ69" i="34"/>
  <c r="CS69" i="34"/>
  <c r="CT69" i="34"/>
  <c r="CU69" i="34"/>
  <c r="CV69" i="34"/>
  <c r="CX69" i="34"/>
  <c r="CY69" i="34"/>
  <c r="CZ69" i="34"/>
  <c r="DA69" i="34"/>
  <c r="CN83" i="34"/>
  <c r="CO83" i="34"/>
  <c r="CP83" i="34"/>
  <c r="CQ83" i="34"/>
  <c r="CS83" i="34"/>
  <c r="CT83" i="34"/>
  <c r="CU83" i="34"/>
  <c r="CV83" i="34"/>
  <c r="CX83" i="34"/>
  <c r="CY83" i="34"/>
  <c r="CZ83" i="34"/>
  <c r="DA83" i="34"/>
  <c r="CN97" i="34"/>
  <c r="CO97" i="34"/>
  <c r="CP97" i="34"/>
  <c r="CQ97" i="34"/>
  <c r="CS97" i="34"/>
  <c r="CT97" i="34"/>
  <c r="CU97" i="34"/>
  <c r="CV97" i="34"/>
  <c r="CX97" i="34"/>
  <c r="CY97" i="34"/>
  <c r="CZ97" i="34"/>
  <c r="DA97" i="34"/>
  <c r="CN107" i="34"/>
  <c r="CO107" i="34"/>
  <c r="CP107" i="34"/>
  <c r="CQ107" i="34"/>
  <c r="CS107" i="34"/>
  <c r="CT107" i="34"/>
  <c r="CU107" i="34"/>
  <c r="CV107" i="34"/>
  <c r="CX107" i="34"/>
  <c r="CY107" i="34"/>
  <c r="CZ107" i="34"/>
  <c r="DA107" i="34"/>
  <c r="CN119" i="34"/>
  <c r="CO119" i="34"/>
  <c r="CP119" i="34"/>
  <c r="CQ119" i="34"/>
  <c r="CS119" i="34"/>
  <c r="CT119" i="34"/>
  <c r="CU119" i="34"/>
  <c r="CV119" i="34"/>
  <c r="CX119" i="34"/>
  <c r="CY119" i="34"/>
  <c r="CZ119" i="34"/>
  <c r="DA119" i="34"/>
  <c r="CO123" i="34"/>
  <c r="CP123" i="34"/>
  <c r="CQ123" i="34"/>
  <c r="CS123" i="34"/>
  <c r="CT123" i="34"/>
  <c r="CU123" i="34"/>
  <c r="CV123" i="34"/>
  <c r="CW123" i="34"/>
  <c r="CX123" i="34"/>
  <c r="CY123" i="34"/>
  <c r="CZ123" i="34"/>
  <c r="DA123" i="34"/>
  <c r="DB123" i="34"/>
  <c r="CN125" i="34"/>
  <c r="CO125" i="34"/>
  <c r="CP125" i="34"/>
  <c r="CQ125" i="34"/>
  <c r="CR125" i="34"/>
  <c r="CN126" i="34"/>
  <c r="CO126" i="34"/>
  <c r="CP126" i="34"/>
  <c r="CQ126" i="34"/>
  <c r="CR126" i="34"/>
  <c r="CS126" i="34"/>
  <c r="CT126" i="34"/>
  <c r="CU126" i="34"/>
  <c r="CV126" i="34"/>
  <c r="CW126" i="34"/>
  <c r="CX126" i="34"/>
  <c r="CY126" i="34"/>
  <c r="CZ126" i="34"/>
  <c r="DA126" i="34"/>
  <c r="DB126" i="34"/>
  <c r="CN127" i="34"/>
  <c r="CO127" i="34"/>
  <c r="CP127" i="34"/>
  <c r="CQ127" i="34"/>
  <c r="CR127" i="34"/>
  <c r="CS127" i="34"/>
  <c r="CT127" i="34"/>
  <c r="CU127" i="34"/>
  <c r="CV127" i="34"/>
  <c r="CW127" i="34"/>
  <c r="CX127" i="34"/>
  <c r="CY127" i="34"/>
  <c r="CZ127" i="34"/>
  <c r="DA127" i="34"/>
  <c r="DB127" i="34"/>
  <c r="CN129" i="34"/>
  <c r="CO129" i="34"/>
  <c r="CP129" i="34"/>
  <c r="CQ129" i="34"/>
  <c r="CS129" i="34"/>
  <c r="CT129" i="34"/>
  <c r="CU129" i="34"/>
  <c r="CV129" i="34"/>
  <c r="CX129" i="34"/>
  <c r="CY129" i="34"/>
  <c r="CZ129" i="34"/>
  <c r="DA129" i="34"/>
  <c r="CN141" i="34"/>
  <c r="CO141" i="34"/>
  <c r="CP141" i="34"/>
  <c r="CQ141" i="34"/>
  <c r="CS141" i="34"/>
  <c r="CT141" i="34"/>
  <c r="CU141" i="34"/>
  <c r="CV141" i="34"/>
  <c r="CX141" i="34"/>
  <c r="CY141" i="34"/>
  <c r="CZ141" i="34"/>
  <c r="DA141" i="34"/>
  <c r="CS145" i="34"/>
  <c r="CT145" i="34"/>
  <c r="CU145" i="34"/>
  <c r="CV145" i="34"/>
  <c r="CW145" i="34"/>
  <c r="CX145" i="34"/>
  <c r="CY145" i="34"/>
  <c r="CZ145" i="34"/>
  <c r="DA145" i="34"/>
  <c r="DB145" i="34"/>
  <c r="CQ147" i="34"/>
  <c r="CR147" i="34"/>
  <c r="CQ148" i="34"/>
  <c r="CR148" i="34"/>
  <c r="CS148" i="34"/>
  <c r="CT148" i="34"/>
  <c r="CU148" i="34"/>
  <c r="CV148" i="34"/>
  <c r="CW148" i="34"/>
  <c r="CX148" i="34"/>
  <c r="CY148" i="34"/>
  <c r="CZ148" i="34"/>
  <c r="DA148" i="34"/>
  <c r="DB148" i="34"/>
  <c r="CQ149" i="34"/>
  <c r="CR149" i="34"/>
  <c r="CS149" i="34"/>
  <c r="CT149" i="34"/>
  <c r="CU149" i="34"/>
  <c r="CV149" i="34"/>
  <c r="CW149" i="34"/>
  <c r="CX149" i="34"/>
  <c r="CY149" i="34"/>
  <c r="CZ149" i="34"/>
  <c r="DA149" i="34"/>
  <c r="DB149" i="34"/>
  <c r="CN151" i="34"/>
  <c r="CO151" i="34"/>
  <c r="CP151" i="34"/>
  <c r="CQ151" i="34"/>
  <c r="CS151" i="34"/>
  <c r="CT151" i="34"/>
  <c r="CU151" i="34"/>
  <c r="CV151" i="34"/>
  <c r="CX151" i="34"/>
  <c r="CY151" i="34"/>
  <c r="CZ151" i="34"/>
  <c r="DA151" i="34"/>
  <c r="CN161" i="34"/>
  <c r="CO161" i="34"/>
  <c r="CP161" i="34"/>
  <c r="CQ161" i="34"/>
  <c r="CS161" i="34"/>
  <c r="CT161" i="34"/>
  <c r="CU161" i="34"/>
  <c r="CV161" i="34"/>
  <c r="CX161" i="34"/>
  <c r="CY161" i="34"/>
  <c r="CZ161" i="34"/>
  <c r="DA161" i="34"/>
  <c r="CN171" i="34"/>
  <c r="CO171" i="34"/>
  <c r="CP171" i="34"/>
  <c r="CQ171" i="34"/>
  <c r="CS171" i="34"/>
  <c r="CT171" i="34"/>
  <c r="CU171" i="34"/>
  <c r="CV171" i="34"/>
  <c r="CX171" i="34"/>
  <c r="CY171" i="34"/>
  <c r="CZ171" i="34"/>
  <c r="DA171" i="34"/>
  <c r="CN181" i="34"/>
  <c r="CO181" i="34"/>
  <c r="CP181" i="34"/>
  <c r="CQ181" i="34"/>
  <c r="CS181" i="34"/>
  <c r="CT181" i="34"/>
  <c r="CU181" i="34"/>
  <c r="CV181" i="34"/>
  <c r="CX181" i="34"/>
  <c r="CY181" i="34"/>
  <c r="CZ181" i="34"/>
  <c r="DA181" i="34"/>
  <c r="CN199" i="34"/>
  <c r="CO199" i="34"/>
  <c r="CP199" i="34"/>
  <c r="CQ199" i="34"/>
  <c r="CS199" i="34"/>
  <c r="CT199" i="34"/>
  <c r="CU199" i="34"/>
  <c r="CV199" i="34"/>
  <c r="CX199" i="34"/>
  <c r="CY199" i="34"/>
  <c r="CZ199" i="34"/>
  <c r="DA199" i="34"/>
  <c r="CN8" i="37"/>
  <c r="CO8" i="37"/>
  <c r="CP8" i="37"/>
  <c r="CQ8" i="37"/>
  <c r="CR8" i="37"/>
  <c r="CS8" i="37"/>
  <c r="CT8" i="37"/>
  <c r="CU8" i="37"/>
  <c r="CV8" i="37"/>
  <c r="CW8" i="37"/>
  <c r="CX8" i="37"/>
  <c r="CY8" i="37"/>
  <c r="CZ8" i="37"/>
  <c r="DA8" i="37"/>
  <c r="DB8" i="37"/>
  <c r="CN9" i="37"/>
  <c r="CO9" i="37"/>
  <c r="CP9" i="37"/>
  <c r="CQ9" i="37"/>
  <c r="CR9" i="37"/>
  <c r="CS9" i="37"/>
  <c r="CT9" i="37"/>
  <c r="CU9" i="37"/>
  <c r="CV9" i="37"/>
  <c r="CW9" i="37"/>
  <c r="CX9" i="37"/>
  <c r="CY9" i="37"/>
  <c r="CZ9" i="37"/>
  <c r="DA9" i="37"/>
  <c r="DB9" i="37"/>
  <c r="CN10" i="37"/>
  <c r="CO10" i="37"/>
  <c r="CP10" i="37"/>
  <c r="CQ10" i="37"/>
  <c r="CR10" i="37"/>
  <c r="CS10" i="37"/>
  <c r="CT10" i="37"/>
  <c r="CU10" i="37"/>
  <c r="CV10" i="37"/>
  <c r="CW10" i="37"/>
  <c r="CX10" i="37"/>
  <c r="CY10" i="37"/>
  <c r="CZ10" i="37"/>
  <c r="DA10" i="37"/>
  <c r="DB10" i="37"/>
  <c r="CN11" i="37"/>
  <c r="CO11" i="37"/>
  <c r="CP11" i="37"/>
  <c r="CQ11" i="37"/>
  <c r="CR11" i="37"/>
  <c r="CS11" i="37"/>
  <c r="CT11" i="37"/>
  <c r="CU11" i="37"/>
  <c r="CV11" i="37"/>
  <c r="CW11" i="37"/>
  <c r="CX11" i="37"/>
  <c r="CY11" i="37"/>
  <c r="CZ11" i="37"/>
  <c r="DA11" i="37"/>
  <c r="DB11" i="37"/>
  <c r="CN13" i="37"/>
  <c r="CO13" i="37"/>
  <c r="CP13" i="37"/>
  <c r="CQ13" i="37"/>
  <c r="CR13" i="37"/>
  <c r="CS13" i="37"/>
  <c r="CT13" i="37"/>
  <c r="CU13" i="37"/>
  <c r="CV13" i="37"/>
  <c r="CW13" i="37"/>
  <c r="CX13" i="37"/>
  <c r="CY13" i="37"/>
  <c r="CZ13" i="37"/>
  <c r="DA13" i="37"/>
  <c r="DB13" i="37"/>
  <c r="CN14" i="37"/>
  <c r="CO14" i="37"/>
  <c r="CP14" i="37"/>
  <c r="CQ14" i="37"/>
  <c r="CR14" i="37"/>
  <c r="CS14" i="37"/>
  <c r="CT14" i="37"/>
  <c r="CU14" i="37"/>
  <c r="CV14" i="37"/>
  <c r="CW14" i="37"/>
  <c r="CX14" i="37"/>
  <c r="CY14" i="37"/>
  <c r="CZ14" i="37"/>
  <c r="DA14" i="37"/>
  <c r="DB14" i="37"/>
  <c r="CN15" i="37"/>
  <c r="CO15" i="37"/>
  <c r="CP15" i="37"/>
  <c r="CQ15" i="37"/>
  <c r="CR15" i="37"/>
  <c r="CS15" i="37"/>
  <c r="CT15" i="37"/>
  <c r="CU15" i="37"/>
  <c r="CV15" i="37"/>
  <c r="CW15" i="37"/>
  <c r="CX15" i="37"/>
  <c r="CY15" i="37"/>
  <c r="CZ15" i="37"/>
  <c r="DA15" i="37"/>
  <c r="DB15" i="37"/>
  <c r="CN16" i="37"/>
  <c r="CO16" i="37"/>
  <c r="CP16" i="37"/>
  <c r="CQ16" i="37"/>
  <c r="CR16" i="37"/>
  <c r="CS16" i="37"/>
  <c r="CT16" i="37"/>
  <c r="CU16" i="37"/>
  <c r="CV16" i="37"/>
  <c r="CW16" i="37"/>
  <c r="CX16" i="37"/>
  <c r="CY16" i="37"/>
  <c r="CZ16" i="37"/>
  <c r="DA16" i="37"/>
  <c r="DB16" i="37"/>
  <c r="CN18" i="37"/>
  <c r="CO18" i="37"/>
  <c r="CP18" i="37"/>
  <c r="CQ18" i="37"/>
  <c r="CR18" i="37"/>
  <c r="CS18" i="37"/>
  <c r="CT18" i="37"/>
  <c r="CU18" i="37"/>
  <c r="CV18" i="37"/>
  <c r="CW18" i="37"/>
  <c r="CX18" i="37"/>
  <c r="CY18" i="37"/>
  <c r="CZ18" i="37"/>
  <c r="DA18" i="37"/>
  <c r="DB18" i="37"/>
  <c r="CN19" i="37"/>
  <c r="CO19" i="37"/>
  <c r="CP19" i="37"/>
  <c r="CQ19" i="37"/>
  <c r="CR19" i="37"/>
  <c r="CS19" i="37"/>
  <c r="CT19" i="37"/>
  <c r="CU19" i="37"/>
  <c r="CV19" i="37"/>
  <c r="CW19" i="37"/>
  <c r="CX19" i="37"/>
  <c r="CY19" i="37"/>
  <c r="CZ19" i="37"/>
  <c r="DA19" i="37"/>
  <c r="DB19" i="37"/>
  <c r="CN20" i="37"/>
  <c r="CO20" i="37"/>
  <c r="CP20" i="37"/>
  <c r="CQ20" i="37"/>
  <c r="CR20" i="37"/>
  <c r="CS20" i="37"/>
  <c r="CT20" i="37"/>
  <c r="CU20" i="37"/>
  <c r="CV20" i="37"/>
  <c r="CW20" i="37"/>
  <c r="CX20" i="37"/>
  <c r="CY20" i="37"/>
  <c r="CZ20" i="37"/>
  <c r="DA20" i="37"/>
  <c r="DB20" i="37"/>
  <c r="CN22" i="37"/>
  <c r="CO22" i="37"/>
  <c r="CP22" i="37"/>
  <c r="CQ22" i="37"/>
  <c r="CR22" i="37"/>
  <c r="CS22" i="37"/>
  <c r="CT22" i="37"/>
  <c r="CU22" i="37"/>
  <c r="CV22" i="37"/>
  <c r="CW22" i="37"/>
  <c r="CX22" i="37"/>
  <c r="CY22" i="37"/>
  <c r="CZ22" i="37"/>
  <c r="DA22" i="37"/>
  <c r="DB22" i="37"/>
  <c r="CN23" i="37"/>
  <c r="CO23" i="37"/>
  <c r="CP23" i="37"/>
  <c r="CQ23" i="37"/>
  <c r="CR23" i="37"/>
  <c r="CS23" i="37"/>
  <c r="CT23" i="37"/>
  <c r="CU23" i="37"/>
  <c r="CV23" i="37"/>
  <c r="CW23" i="37"/>
  <c r="CX23" i="37"/>
  <c r="CY23" i="37"/>
  <c r="CZ23" i="37"/>
  <c r="DA23" i="37"/>
  <c r="DB23" i="37"/>
  <c r="CR24" i="37"/>
  <c r="CW24" i="37"/>
  <c r="DB24" i="37"/>
  <c r="CN25" i="37"/>
  <c r="CO25" i="37"/>
  <c r="CP25" i="37"/>
  <c r="CQ25" i="37"/>
  <c r="CR25" i="37"/>
  <c r="CS25" i="37"/>
  <c r="CT25" i="37"/>
  <c r="CU25" i="37"/>
  <c r="CV25" i="37"/>
  <c r="CW25" i="37"/>
  <c r="CX25" i="37"/>
  <c r="CY25" i="37"/>
  <c r="CZ25" i="37"/>
  <c r="DA25" i="37"/>
  <c r="DB25" i="37"/>
  <c r="CN26" i="37"/>
  <c r="CO26" i="37"/>
  <c r="CP26" i="37"/>
  <c r="CQ26" i="37"/>
  <c r="CR26" i="37"/>
  <c r="CS26" i="37"/>
  <c r="CT26" i="37"/>
  <c r="CU26" i="37"/>
  <c r="CV26" i="37"/>
  <c r="CW26" i="37"/>
  <c r="CX26" i="37"/>
  <c r="CY26" i="37"/>
  <c r="CZ26" i="37"/>
  <c r="DA26" i="37"/>
  <c r="DB26" i="37"/>
  <c r="CN27" i="37"/>
  <c r="CO27" i="37"/>
  <c r="CP27" i="37"/>
  <c r="CQ27" i="37"/>
  <c r="CR27" i="37"/>
  <c r="CS27" i="37"/>
  <c r="CT27" i="37"/>
  <c r="CU27" i="37"/>
  <c r="CV27" i="37"/>
  <c r="CW27" i="37"/>
  <c r="CX27" i="37"/>
  <c r="CY27" i="37"/>
  <c r="CZ27" i="37"/>
  <c r="DA27" i="37"/>
  <c r="DB27" i="37"/>
  <c r="CN28" i="37"/>
  <c r="CO28" i="37"/>
  <c r="CP28" i="37"/>
  <c r="CQ28" i="37"/>
  <c r="CR28" i="37"/>
  <c r="CS28" i="37"/>
  <c r="CT28" i="37"/>
  <c r="CU28" i="37"/>
  <c r="CV28" i="37"/>
  <c r="CW28" i="37"/>
  <c r="CX28" i="37"/>
  <c r="CY28" i="37"/>
  <c r="CZ28" i="37"/>
  <c r="DA28" i="37"/>
  <c r="DB28" i="37"/>
  <c r="CN29" i="37"/>
  <c r="CO29" i="37"/>
  <c r="CP29" i="37"/>
  <c r="CQ29" i="37"/>
  <c r="CR29" i="37"/>
  <c r="CS29" i="37"/>
  <c r="CT29" i="37"/>
  <c r="CU29" i="37"/>
  <c r="CV29" i="37"/>
  <c r="CW29" i="37"/>
  <c r="CX29" i="37"/>
  <c r="CY29" i="37"/>
  <c r="CZ29" i="37"/>
  <c r="DA29" i="37"/>
  <c r="DB29" i="37"/>
  <c r="CN31" i="37"/>
  <c r="CO31" i="37"/>
  <c r="CP31" i="37"/>
  <c r="CQ31" i="37"/>
  <c r="CR31" i="37"/>
  <c r="CS31" i="37"/>
  <c r="CT31" i="37"/>
  <c r="CU31" i="37"/>
  <c r="CV31" i="37"/>
  <c r="CW31" i="37"/>
  <c r="CX31" i="37"/>
  <c r="CY31" i="37"/>
  <c r="CZ31" i="37"/>
  <c r="DA31" i="37"/>
  <c r="DB31" i="37"/>
  <c r="CN32" i="37"/>
  <c r="CO32" i="37"/>
  <c r="CP32" i="37"/>
  <c r="CQ32" i="37"/>
  <c r="CR32" i="37"/>
  <c r="CS32" i="37"/>
  <c r="CT32" i="37"/>
  <c r="CU32" i="37"/>
  <c r="CV32" i="37"/>
  <c r="CW32" i="37"/>
  <c r="CX32" i="37"/>
  <c r="CY32" i="37"/>
  <c r="CZ32" i="37"/>
  <c r="DA32" i="37"/>
  <c r="DB32" i="37"/>
  <c r="CR33" i="37"/>
  <c r="CW33" i="37"/>
  <c r="DB33" i="37"/>
  <c r="CN34" i="37"/>
  <c r="CO34" i="37"/>
  <c r="CP34" i="37"/>
  <c r="CQ34" i="37"/>
  <c r="CR34" i="37"/>
  <c r="CS34" i="37"/>
  <c r="CT34" i="37"/>
  <c r="CU34" i="37"/>
  <c r="CV34" i="37"/>
  <c r="CW34" i="37"/>
  <c r="CX34" i="37"/>
  <c r="CY34" i="37"/>
  <c r="CZ34" i="37"/>
  <c r="DA34" i="37"/>
  <c r="DB34" i="37"/>
  <c r="CN35" i="37"/>
  <c r="CO35" i="37"/>
  <c r="CP35" i="37"/>
  <c r="CQ35" i="37"/>
  <c r="CR35" i="37"/>
  <c r="CS35" i="37"/>
  <c r="CT35" i="37"/>
  <c r="CU35" i="37"/>
  <c r="CV35" i="37"/>
  <c r="CW35" i="37"/>
  <c r="CX35" i="37"/>
  <c r="CY35" i="37"/>
  <c r="CZ35" i="37"/>
  <c r="DA35" i="37"/>
  <c r="DB35" i="37"/>
  <c r="CN36" i="37"/>
  <c r="CO36" i="37"/>
  <c r="CP36" i="37"/>
  <c r="CQ36" i="37"/>
  <c r="CR36" i="37"/>
  <c r="CS36" i="37"/>
  <c r="CT36" i="37"/>
  <c r="CU36" i="37"/>
  <c r="CV36" i="37"/>
  <c r="CW36" i="37"/>
  <c r="CX36" i="37"/>
  <c r="CY36" i="37"/>
  <c r="CZ36" i="37"/>
  <c r="DA36" i="37"/>
  <c r="DB36" i="37"/>
  <c r="CN37" i="37"/>
  <c r="CO37" i="37"/>
  <c r="CP37" i="37"/>
  <c r="CQ37" i="37"/>
  <c r="CR37" i="37"/>
  <c r="CS37" i="37"/>
  <c r="CT37" i="37"/>
  <c r="CU37" i="37"/>
  <c r="CV37" i="37"/>
  <c r="CW37" i="37"/>
  <c r="CX37" i="37"/>
  <c r="CY37" i="37"/>
  <c r="CZ37" i="37"/>
  <c r="DA37" i="37"/>
  <c r="DB37" i="37"/>
  <c r="CN38" i="37"/>
  <c r="CO38" i="37"/>
  <c r="CP38" i="37"/>
  <c r="CQ38" i="37"/>
  <c r="CR38" i="37"/>
  <c r="CS38" i="37"/>
  <c r="CT38" i="37"/>
  <c r="CU38" i="37"/>
  <c r="CV38" i="37"/>
  <c r="CW38" i="37"/>
  <c r="CX38" i="37"/>
  <c r="CY38" i="37"/>
  <c r="CZ38" i="37"/>
  <c r="DA38" i="37"/>
  <c r="DB38" i="37"/>
  <c r="CN42" i="37"/>
  <c r="CO42" i="37"/>
  <c r="CP42" i="37"/>
  <c r="CQ42" i="37"/>
  <c r="CR42" i="37"/>
  <c r="CS42" i="37"/>
  <c r="CT42" i="37"/>
  <c r="CU42" i="37"/>
  <c r="CV42" i="37"/>
  <c r="CW42" i="37"/>
  <c r="CX42" i="37"/>
  <c r="CY42" i="37"/>
  <c r="CZ42" i="37"/>
  <c r="DA42" i="37"/>
  <c r="DB42" i="37"/>
  <c r="CN43" i="37"/>
  <c r="CO43" i="37"/>
  <c r="CP43" i="37"/>
  <c r="CQ43" i="37"/>
  <c r="CR43" i="37"/>
  <c r="CS43" i="37"/>
  <c r="CT43" i="37"/>
  <c r="CU43" i="37"/>
  <c r="CV43" i="37"/>
  <c r="CW43" i="37"/>
  <c r="CX43" i="37"/>
  <c r="CY43" i="37"/>
  <c r="CZ43" i="37"/>
  <c r="DA43" i="37"/>
  <c r="DB43" i="37"/>
  <c r="CN44" i="37"/>
  <c r="CO44" i="37"/>
  <c r="CP44" i="37"/>
  <c r="CQ44" i="37"/>
  <c r="CR44" i="37"/>
  <c r="CS44" i="37"/>
  <c r="CT44" i="37"/>
  <c r="CU44" i="37"/>
  <c r="CV44" i="37"/>
  <c r="CW44" i="37"/>
  <c r="CX44" i="37"/>
  <c r="CY44" i="37"/>
  <c r="CZ44" i="37"/>
  <c r="DA44" i="37"/>
  <c r="DB44" i="37"/>
  <c r="CN45" i="37"/>
  <c r="CO45" i="37"/>
  <c r="CP45" i="37"/>
  <c r="CQ45" i="37"/>
  <c r="CR45" i="37"/>
  <c r="CS45" i="37"/>
  <c r="CT45" i="37"/>
  <c r="CU45" i="37"/>
  <c r="CV45" i="37"/>
  <c r="CW45" i="37"/>
  <c r="CX45" i="37"/>
  <c r="CY45" i="37"/>
  <c r="CZ45" i="37"/>
  <c r="DA45" i="37"/>
  <c r="DB45" i="37"/>
  <c r="CN46" i="37"/>
  <c r="CO46" i="37"/>
  <c r="CP46" i="37"/>
  <c r="CQ46" i="37"/>
  <c r="CR46" i="37"/>
  <c r="CS46" i="37"/>
  <c r="CT46" i="37"/>
  <c r="CU46" i="37"/>
  <c r="CV46" i="37"/>
  <c r="CW46" i="37"/>
  <c r="CX46" i="37"/>
  <c r="CY46" i="37"/>
  <c r="CZ46" i="37"/>
  <c r="DA46" i="37"/>
  <c r="DB46" i="37"/>
  <c r="CN47" i="37"/>
  <c r="CO47" i="37"/>
  <c r="CP47" i="37"/>
  <c r="CQ47" i="37"/>
  <c r="CR47" i="37"/>
  <c r="CS47" i="37"/>
  <c r="CT47" i="37"/>
  <c r="CU47" i="37"/>
  <c r="CV47" i="37"/>
  <c r="CW47" i="37"/>
  <c r="CX47" i="37"/>
  <c r="CY47" i="37"/>
  <c r="CZ47" i="37"/>
  <c r="DA47" i="37"/>
  <c r="DB47" i="37"/>
  <c r="CN49" i="37"/>
  <c r="CO49" i="37"/>
  <c r="CP49" i="37"/>
  <c r="CQ49" i="37"/>
  <c r="CR49" i="37"/>
  <c r="CS49" i="37"/>
  <c r="CT49" i="37"/>
  <c r="CU49" i="37"/>
  <c r="CV49" i="37"/>
  <c r="CW49" i="37"/>
  <c r="CX49" i="37"/>
  <c r="CY49" i="37"/>
  <c r="CZ49" i="37"/>
  <c r="DA49" i="37"/>
  <c r="DB49" i="37"/>
  <c r="CN50" i="37"/>
  <c r="CO50" i="37"/>
  <c r="CP50" i="37"/>
  <c r="CQ50" i="37"/>
  <c r="CR50" i="37"/>
  <c r="CS50" i="37"/>
  <c r="CT50" i="37"/>
  <c r="CU50" i="37"/>
  <c r="CV50" i="37"/>
  <c r="CW50" i="37"/>
  <c r="CX50" i="37"/>
  <c r="CY50" i="37"/>
  <c r="CZ50" i="37"/>
  <c r="DA50" i="37"/>
  <c r="DB50" i="37"/>
  <c r="CR51" i="37"/>
  <c r="CW51" i="37"/>
  <c r="DB51" i="37"/>
  <c r="CN52" i="37"/>
  <c r="CO52" i="37"/>
  <c r="CP52" i="37"/>
  <c r="CQ52" i="37"/>
  <c r="CR52" i="37"/>
  <c r="CS52" i="37"/>
  <c r="CT52" i="37"/>
  <c r="CU52" i="37"/>
  <c r="CV52" i="37"/>
  <c r="CW52" i="37"/>
  <c r="CX52" i="37"/>
  <c r="CY52" i="37"/>
  <c r="CZ52" i="37"/>
  <c r="DA52" i="37"/>
  <c r="DB52" i="37"/>
  <c r="CN53" i="37"/>
  <c r="CO53" i="37"/>
  <c r="CP53" i="37"/>
  <c r="CQ53" i="37"/>
  <c r="CR53" i="37"/>
  <c r="CS53" i="37"/>
  <c r="CT53" i="37"/>
  <c r="CU53" i="37"/>
  <c r="CV53" i="37"/>
  <c r="CW53" i="37"/>
  <c r="CX53" i="37"/>
  <c r="CY53" i="37"/>
  <c r="CZ53" i="37"/>
  <c r="DA53" i="37"/>
  <c r="DB53" i="37"/>
  <c r="CN54" i="37"/>
  <c r="CO54" i="37"/>
  <c r="CP54" i="37"/>
  <c r="CQ54" i="37"/>
  <c r="CR54" i="37"/>
  <c r="CS54" i="37"/>
  <c r="CT54" i="37"/>
  <c r="CU54" i="37"/>
  <c r="CV54" i="37"/>
  <c r="CW54" i="37"/>
  <c r="CX54" i="37"/>
  <c r="CY54" i="37"/>
  <c r="CZ54" i="37"/>
  <c r="DA54" i="37"/>
  <c r="DB54" i="37"/>
  <c r="CN55" i="37"/>
  <c r="CO55" i="37"/>
  <c r="CP55" i="37"/>
  <c r="CQ55" i="37"/>
  <c r="CR55" i="37"/>
  <c r="CS55" i="37"/>
  <c r="CT55" i="37"/>
  <c r="CU55" i="37"/>
  <c r="CV55" i="37"/>
  <c r="CW55" i="37"/>
  <c r="CX55" i="37"/>
  <c r="CY55" i="37"/>
  <c r="CZ55" i="37"/>
  <c r="DA55" i="37"/>
  <c r="DB55" i="37"/>
  <c r="CN56" i="37"/>
  <c r="CO56" i="37"/>
  <c r="CP56" i="37"/>
  <c r="CQ56" i="37"/>
  <c r="CR56" i="37"/>
  <c r="CS56" i="37"/>
  <c r="CT56" i="37"/>
  <c r="CU56" i="37"/>
  <c r="CV56" i="37"/>
  <c r="CW56" i="37"/>
  <c r="CX56" i="37"/>
  <c r="CY56" i="37"/>
  <c r="CZ56" i="37"/>
  <c r="DA56" i="37"/>
  <c r="DB56" i="37"/>
  <c r="CN58" i="37"/>
  <c r="CO58" i="37"/>
  <c r="CP58" i="37"/>
  <c r="CQ58" i="37"/>
  <c r="CR58" i="37"/>
  <c r="CS58" i="37"/>
  <c r="CT58" i="37"/>
  <c r="CU58" i="37"/>
  <c r="CV58" i="37"/>
  <c r="CW58" i="37"/>
  <c r="CX58" i="37"/>
  <c r="CY58" i="37"/>
  <c r="CZ58" i="37"/>
  <c r="DA58" i="37"/>
  <c r="DB58" i="37"/>
  <c r="CN59" i="37"/>
  <c r="CO59" i="37"/>
  <c r="CP59" i="37"/>
  <c r="CQ59" i="37"/>
  <c r="CR59" i="37"/>
  <c r="CS59" i="37"/>
  <c r="CT59" i="37"/>
  <c r="CU59" i="37"/>
  <c r="CV59" i="37"/>
  <c r="CW59" i="37"/>
  <c r="CX59" i="37"/>
  <c r="CY59" i="37"/>
  <c r="CZ59" i="37"/>
  <c r="DA59" i="37"/>
  <c r="DB59" i="37"/>
  <c r="CN60" i="37"/>
  <c r="CO60" i="37"/>
  <c r="CP60" i="37"/>
  <c r="CQ60" i="37"/>
  <c r="CR60" i="37"/>
  <c r="CS60" i="37"/>
  <c r="CT60" i="37"/>
  <c r="CU60" i="37"/>
  <c r="CV60" i="37"/>
  <c r="CW60" i="37"/>
  <c r="CX60" i="37"/>
  <c r="CY60" i="37"/>
  <c r="CZ60" i="37"/>
  <c r="DA60" i="37"/>
  <c r="DB60" i="37"/>
  <c r="CN61" i="37"/>
  <c r="CO61" i="37"/>
  <c r="CP61" i="37"/>
  <c r="CQ61" i="37"/>
  <c r="CR61" i="37"/>
  <c r="CS61" i="37"/>
  <c r="CT61" i="37"/>
  <c r="CU61" i="37"/>
  <c r="CV61" i="37"/>
  <c r="CW61" i="37"/>
  <c r="CX61" i="37"/>
  <c r="CY61" i="37"/>
  <c r="CZ61" i="37"/>
  <c r="DA61" i="37"/>
  <c r="DB61" i="37"/>
  <c r="CN62" i="37"/>
  <c r="CO62" i="37"/>
  <c r="CP62" i="37"/>
  <c r="CQ62" i="37"/>
  <c r="CR62" i="37"/>
  <c r="CS62" i="37"/>
  <c r="CT62" i="37"/>
  <c r="CU62" i="37"/>
  <c r="CV62" i="37"/>
  <c r="CW62" i="37"/>
  <c r="CX62" i="37"/>
  <c r="CY62" i="37"/>
  <c r="CZ62" i="37"/>
  <c r="DA62" i="37"/>
  <c r="DB62" i="37"/>
  <c r="CN63" i="37"/>
  <c r="CO63" i="37"/>
  <c r="CP63" i="37"/>
  <c r="CQ63" i="37"/>
  <c r="CR63" i="37"/>
  <c r="CS63" i="37"/>
  <c r="CT63" i="37"/>
  <c r="CU63" i="37"/>
  <c r="CV63" i="37"/>
  <c r="CW63" i="37"/>
  <c r="CX63" i="37"/>
  <c r="CY63" i="37"/>
  <c r="CZ63" i="37"/>
  <c r="DA63" i="37"/>
  <c r="DB63" i="37"/>
  <c r="CN64" i="37"/>
  <c r="CO64" i="37"/>
  <c r="CP64" i="37"/>
  <c r="CQ64" i="37"/>
  <c r="CR64" i="37"/>
  <c r="CS64" i="37"/>
  <c r="CT64" i="37"/>
  <c r="CU64" i="37"/>
  <c r="CV64" i="37"/>
  <c r="CW64" i="37"/>
  <c r="CX64" i="37"/>
  <c r="CY64" i="37"/>
  <c r="CZ64" i="37"/>
  <c r="DA64" i="37"/>
  <c r="DB64" i="37"/>
  <c r="CN65" i="37"/>
  <c r="CO65" i="37"/>
  <c r="CP65" i="37"/>
  <c r="CQ65" i="37"/>
  <c r="CR65" i="37"/>
  <c r="CS65" i="37"/>
  <c r="CT65" i="37"/>
  <c r="CU65" i="37"/>
  <c r="CV65" i="37"/>
  <c r="CW65" i="37"/>
  <c r="CX65" i="37"/>
  <c r="CY65" i="37"/>
  <c r="CZ65" i="37"/>
  <c r="DA65" i="37"/>
  <c r="DB65" i="37"/>
  <c r="CN67" i="37"/>
  <c r="CO67" i="37"/>
  <c r="CP67" i="37"/>
  <c r="CQ67" i="37"/>
  <c r="CR67" i="37"/>
  <c r="CS67" i="37"/>
  <c r="CT67" i="37"/>
  <c r="CU67" i="37"/>
  <c r="CV67" i="37"/>
  <c r="CW67" i="37"/>
  <c r="CX67" i="37"/>
  <c r="CY67" i="37"/>
  <c r="CZ67" i="37"/>
  <c r="DA67" i="37"/>
  <c r="DB67" i="37"/>
  <c r="CN68" i="37"/>
  <c r="CO68" i="37"/>
  <c r="CP68" i="37"/>
  <c r="CQ68" i="37"/>
  <c r="CR68" i="37"/>
  <c r="CS68" i="37"/>
  <c r="CT68" i="37"/>
  <c r="CU68" i="37"/>
  <c r="CV68" i="37"/>
  <c r="CW68" i="37"/>
  <c r="CX68" i="37"/>
  <c r="CY68" i="37"/>
  <c r="CZ68" i="37"/>
  <c r="DA68" i="37"/>
  <c r="DB68" i="37"/>
  <c r="CR69" i="37"/>
  <c r="CW69" i="37"/>
  <c r="DB69" i="37"/>
  <c r="CN70" i="37"/>
  <c r="CO70" i="37"/>
  <c r="CP70" i="37"/>
  <c r="CQ70" i="37"/>
  <c r="CR70" i="37"/>
  <c r="CS70" i="37"/>
  <c r="CT70" i="37"/>
  <c r="CU70" i="37"/>
  <c r="CV70" i="37"/>
  <c r="CW70" i="37"/>
  <c r="CX70" i="37"/>
  <c r="CY70" i="37"/>
  <c r="CZ70" i="37"/>
  <c r="DA70" i="37"/>
  <c r="DB70" i="37"/>
  <c r="CN71" i="37"/>
  <c r="CO71" i="37"/>
  <c r="CP71" i="37"/>
  <c r="CQ71" i="37"/>
  <c r="CR71" i="37"/>
  <c r="CS71" i="37"/>
  <c r="CT71" i="37"/>
  <c r="CU71" i="37"/>
  <c r="CV71" i="37"/>
  <c r="CW71" i="37"/>
  <c r="CX71" i="37"/>
  <c r="CY71" i="37"/>
  <c r="CZ71" i="37"/>
  <c r="DA71" i="37"/>
  <c r="DB71" i="37"/>
  <c r="CN72" i="37"/>
  <c r="CO72" i="37"/>
  <c r="CP72" i="37"/>
  <c r="CQ72" i="37"/>
  <c r="CR72" i="37"/>
  <c r="CS72" i="37"/>
  <c r="CT72" i="37"/>
  <c r="CU72" i="37"/>
  <c r="CV72" i="37"/>
  <c r="CW72" i="37"/>
  <c r="CX72" i="37"/>
  <c r="CY72" i="37"/>
  <c r="CZ72" i="37"/>
  <c r="DA72" i="37"/>
  <c r="DB72" i="37"/>
  <c r="CN73" i="37"/>
  <c r="CO73" i="37"/>
  <c r="CP73" i="37"/>
  <c r="CQ73" i="37"/>
  <c r="CR73" i="37"/>
  <c r="CS73" i="37"/>
  <c r="CT73" i="37"/>
  <c r="CU73" i="37"/>
  <c r="CV73" i="37"/>
  <c r="CW73" i="37"/>
  <c r="CX73" i="37"/>
  <c r="CY73" i="37"/>
  <c r="CZ73" i="37"/>
  <c r="DA73" i="37"/>
  <c r="DB73" i="37"/>
  <c r="CN74" i="37"/>
  <c r="CO74" i="37"/>
  <c r="CP74" i="37"/>
  <c r="CQ74" i="37"/>
  <c r="CR74" i="37"/>
  <c r="CS74" i="37"/>
  <c r="CT74" i="37"/>
  <c r="CU74" i="37"/>
  <c r="CV74" i="37"/>
  <c r="CW74" i="37"/>
  <c r="CX74" i="37"/>
  <c r="CY74" i="37"/>
  <c r="CZ74" i="37"/>
  <c r="DA74" i="37"/>
  <c r="DB74" i="37"/>
  <c r="CN76" i="37"/>
  <c r="CO76" i="37"/>
  <c r="CP76" i="37"/>
  <c r="CQ76" i="37"/>
  <c r="CR76" i="37"/>
  <c r="CS76" i="37"/>
  <c r="CT76" i="37"/>
  <c r="CU76" i="37"/>
  <c r="CV76" i="37"/>
  <c r="CW76" i="37"/>
  <c r="CX76" i="37"/>
  <c r="CY76" i="37"/>
  <c r="CZ76" i="37"/>
  <c r="DA76" i="37"/>
  <c r="DB76" i="37"/>
  <c r="CN77" i="37"/>
  <c r="CO77" i="37"/>
  <c r="CP77" i="37"/>
  <c r="CQ77" i="37"/>
  <c r="CR77" i="37"/>
  <c r="CS77" i="37"/>
  <c r="CT77" i="37"/>
  <c r="CU77" i="37"/>
  <c r="CV77" i="37"/>
  <c r="CW77" i="37"/>
  <c r="CX77" i="37"/>
  <c r="CY77" i="37"/>
  <c r="CZ77" i="37"/>
  <c r="DA77" i="37"/>
  <c r="DB77" i="37"/>
  <c r="CN78" i="37"/>
  <c r="CO78" i="37"/>
  <c r="CP78" i="37"/>
  <c r="CQ78" i="37"/>
  <c r="CR78" i="37"/>
  <c r="CS78" i="37"/>
  <c r="CT78" i="37"/>
  <c r="CU78" i="37"/>
  <c r="CV78" i="37"/>
  <c r="CW78" i="37"/>
  <c r="CX78" i="37"/>
  <c r="CY78" i="37"/>
  <c r="CZ78" i="37"/>
  <c r="DA78" i="37"/>
  <c r="DB78" i="37"/>
  <c r="CN79" i="37"/>
  <c r="CO79" i="37"/>
  <c r="CP79" i="37"/>
  <c r="CQ79" i="37"/>
  <c r="CR79" i="37"/>
  <c r="CS79" i="37"/>
  <c r="CT79" i="37"/>
  <c r="CU79" i="37"/>
  <c r="CV79" i="37"/>
  <c r="CW79" i="37"/>
  <c r="CX79" i="37"/>
  <c r="CY79" i="37"/>
  <c r="CZ79" i="37"/>
  <c r="DA79" i="37"/>
  <c r="DB79" i="37"/>
  <c r="CN80" i="37"/>
  <c r="CO80" i="37"/>
  <c r="CP80" i="37"/>
  <c r="CQ80" i="37"/>
  <c r="CR80" i="37"/>
  <c r="CS80" i="37"/>
  <c r="CT80" i="37"/>
  <c r="CU80" i="37"/>
  <c r="CV80" i="37"/>
  <c r="CW80" i="37"/>
  <c r="CX80" i="37"/>
  <c r="CY80" i="37"/>
  <c r="CZ80" i="37"/>
  <c r="DA80" i="37"/>
  <c r="DB80" i="37"/>
  <c r="CN81" i="37"/>
  <c r="CO81" i="37"/>
  <c r="CP81" i="37"/>
  <c r="CQ81" i="37"/>
  <c r="CR81" i="37"/>
  <c r="CS81" i="37"/>
  <c r="CT81" i="37"/>
  <c r="CU81" i="37"/>
  <c r="CV81" i="37"/>
  <c r="CW81" i="37"/>
  <c r="CX81" i="37"/>
  <c r="CY81" i="37"/>
  <c r="CZ81" i="37"/>
  <c r="DA81" i="37"/>
  <c r="DB81" i="37"/>
  <c r="CN82" i="37"/>
  <c r="CO82" i="37"/>
  <c r="CP82" i="37"/>
  <c r="CQ82" i="37"/>
  <c r="CR82" i="37"/>
  <c r="CS82" i="37"/>
  <c r="CT82" i="37"/>
  <c r="CU82" i="37"/>
  <c r="CV82" i="37"/>
  <c r="CW82" i="37"/>
  <c r="CX82" i="37"/>
  <c r="CY82" i="37"/>
  <c r="CZ82" i="37"/>
  <c r="DA82" i="37"/>
  <c r="DB82" i="37"/>
  <c r="CN83" i="37"/>
  <c r="CO83" i="37"/>
  <c r="CP83" i="37"/>
  <c r="CQ83" i="37"/>
  <c r="CR83" i="37"/>
  <c r="CS83" i="37"/>
  <c r="CT83" i="37"/>
  <c r="CU83" i="37"/>
  <c r="CV83" i="37"/>
  <c r="CW83" i="37"/>
  <c r="CX83" i="37"/>
  <c r="CY83" i="37"/>
  <c r="CZ83" i="37"/>
  <c r="DA83" i="37"/>
  <c r="DB83" i="37"/>
  <c r="CN84" i="37"/>
  <c r="CO84" i="37"/>
  <c r="CP84" i="37"/>
  <c r="CQ84" i="37"/>
  <c r="CR84" i="37"/>
  <c r="CS84" i="37"/>
  <c r="CT84" i="37"/>
  <c r="CU84" i="37"/>
  <c r="CV84" i="37"/>
  <c r="CW84" i="37"/>
  <c r="CX84" i="37"/>
  <c r="CY84" i="37"/>
  <c r="CZ84" i="37"/>
  <c r="DA84" i="37"/>
  <c r="DB84" i="37"/>
  <c r="H8" i="27"/>
  <c r="H9" i="27"/>
  <c r="H10" i="27"/>
  <c r="H13" i="27"/>
  <c r="H14" i="27"/>
  <c r="H15" i="27"/>
  <c r="H16" i="27"/>
  <c r="CN8" i="3"/>
  <c r="CO8" i="3"/>
  <c r="CP8" i="3"/>
  <c r="CQ8" i="3"/>
  <c r="CR8" i="3"/>
  <c r="CS8" i="3"/>
  <c r="CT8" i="3"/>
  <c r="CU8" i="3"/>
  <c r="CV8" i="3"/>
  <c r="CW8" i="3"/>
  <c r="CX8" i="3"/>
  <c r="CY8" i="3"/>
  <c r="CZ8" i="3"/>
  <c r="DA8" i="3"/>
  <c r="DB8" i="3"/>
  <c r="CN9" i="3"/>
  <c r="CO9" i="3"/>
  <c r="CP9" i="3"/>
  <c r="CQ9" i="3"/>
  <c r="CR9" i="3"/>
  <c r="CS9" i="3"/>
  <c r="CT9" i="3"/>
  <c r="CU9" i="3"/>
  <c r="CV9" i="3"/>
  <c r="CW9" i="3"/>
  <c r="CX9" i="3"/>
  <c r="CY9" i="3"/>
  <c r="CZ9" i="3"/>
  <c r="DA9" i="3"/>
  <c r="DB9" i="3"/>
  <c r="CN10" i="3"/>
  <c r="CO10" i="3"/>
  <c r="CP10" i="3"/>
  <c r="CQ10" i="3"/>
  <c r="CR10" i="3"/>
  <c r="CS10" i="3"/>
  <c r="CT10" i="3"/>
  <c r="CU10" i="3"/>
  <c r="CV10" i="3"/>
  <c r="CW10" i="3"/>
  <c r="CX10" i="3"/>
  <c r="CY10" i="3"/>
  <c r="CZ10" i="3"/>
  <c r="DA10" i="3"/>
  <c r="DB10" i="3"/>
  <c r="CN11" i="3"/>
  <c r="CO11" i="3"/>
  <c r="CP11" i="3"/>
  <c r="CQ11" i="3"/>
  <c r="CR11" i="3"/>
  <c r="CS11" i="3"/>
  <c r="CT11" i="3"/>
  <c r="CU11" i="3"/>
  <c r="CV11" i="3"/>
  <c r="CW11" i="3"/>
  <c r="CX11" i="3"/>
  <c r="CY11" i="3"/>
  <c r="CZ11" i="3"/>
  <c r="DA11" i="3"/>
  <c r="DB11" i="3"/>
  <c r="CN12" i="3"/>
  <c r="CO12" i="3"/>
  <c r="CP12" i="3"/>
  <c r="CQ12" i="3"/>
  <c r="CR12" i="3"/>
  <c r="CS12" i="3"/>
  <c r="CT12" i="3"/>
  <c r="CU12" i="3"/>
  <c r="CV12" i="3"/>
  <c r="CW12" i="3"/>
  <c r="CX12" i="3"/>
  <c r="CY12" i="3"/>
  <c r="CZ12" i="3"/>
  <c r="DA12" i="3"/>
  <c r="DB12" i="3"/>
  <c r="CN13" i="3"/>
  <c r="CO13" i="3"/>
  <c r="CP13" i="3"/>
  <c r="CQ13" i="3"/>
  <c r="CR13" i="3"/>
  <c r="CS13" i="3"/>
  <c r="CT13" i="3"/>
  <c r="CU13" i="3"/>
  <c r="CV13" i="3"/>
  <c r="CW13" i="3"/>
  <c r="CX13" i="3"/>
  <c r="CY13" i="3"/>
  <c r="CZ13" i="3"/>
  <c r="DA13" i="3"/>
  <c r="DB13" i="3"/>
  <c r="CN17" i="3"/>
  <c r="CO17" i="3"/>
  <c r="CP17" i="3"/>
  <c r="CQ17" i="3"/>
  <c r="CR17" i="3"/>
  <c r="CS17" i="3"/>
  <c r="CT17" i="3"/>
  <c r="CU17" i="3"/>
  <c r="CV17" i="3"/>
  <c r="CW17" i="3"/>
  <c r="CX17" i="3"/>
  <c r="CY17" i="3"/>
  <c r="CZ17" i="3"/>
  <c r="DA17" i="3"/>
  <c r="DB17" i="3"/>
  <c r="CN18" i="3"/>
  <c r="CO18" i="3"/>
  <c r="CP18" i="3"/>
  <c r="CQ18" i="3"/>
  <c r="CR18" i="3"/>
  <c r="CS18" i="3"/>
  <c r="CT18" i="3"/>
  <c r="CU18" i="3"/>
  <c r="CV18" i="3"/>
  <c r="CW18" i="3"/>
  <c r="CX18" i="3"/>
  <c r="CY18" i="3"/>
  <c r="CZ18" i="3"/>
  <c r="DA18" i="3"/>
  <c r="DB18" i="3"/>
  <c r="CN19" i="3"/>
  <c r="CO19" i="3"/>
  <c r="CP19" i="3"/>
  <c r="CQ19" i="3"/>
  <c r="CR19" i="3"/>
  <c r="CS19" i="3"/>
  <c r="CT19" i="3"/>
  <c r="CU19" i="3"/>
  <c r="CV19" i="3"/>
  <c r="CW19" i="3"/>
  <c r="CX19" i="3"/>
  <c r="CY19" i="3"/>
  <c r="CZ19" i="3"/>
  <c r="DA19" i="3"/>
  <c r="DB19" i="3"/>
  <c r="CN20" i="3"/>
  <c r="CO20" i="3"/>
  <c r="CP20" i="3"/>
  <c r="CQ20" i="3"/>
  <c r="CR20" i="3"/>
  <c r="CS20" i="3"/>
  <c r="CT20" i="3"/>
  <c r="CU20" i="3"/>
  <c r="CV20" i="3"/>
  <c r="CW20" i="3"/>
  <c r="CX20" i="3"/>
  <c r="CY20" i="3"/>
  <c r="CZ20" i="3"/>
  <c r="DA20" i="3"/>
  <c r="DB20" i="3"/>
  <c r="CN24" i="3"/>
  <c r="CO24" i="3"/>
  <c r="CP24" i="3"/>
  <c r="CQ24" i="3"/>
  <c r="CR24" i="3"/>
  <c r="CS24" i="3"/>
  <c r="CT24" i="3"/>
  <c r="CU24" i="3"/>
  <c r="CV24" i="3"/>
  <c r="CW24" i="3"/>
  <c r="CX24" i="3"/>
  <c r="CY24" i="3"/>
  <c r="CZ24" i="3"/>
  <c r="DA24" i="3"/>
  <c r="DB24" i="3"/>
  <c r="CN25" i="3"/>
  <c r="CO25" i="3"/>
  <c r="CP25" i="3"/>
  <c r="CQ25" i="3"/>
  <c r="CR25" i="3"/>
  <c r="CS25" i="3"/>
  <c r="CT25" i="3"/>
  <c r="CU25" i="3"/>
  <c r="CV25" i="3"/>
  <c r="CW25" i="3"/>
  <c r="CX25" i="3"/>
  <c r="CY25" i="3"/>
  <c r="CZ25" i="3"/>
  <c r="DA25" i="3"/>
  <c r="DB25" i="3"/>
  <c r="CN26" i="3"/>
  <c r="CO26" i="3"/>
  <c r="CP26" i="3"/>
  <c r="CQ26" i="3"/>
  <c r="CR26" i="3"/>
  <c r="CS26" i="3"/>
  <c r="CT26" i="3"/>
  <c r="CU26" i="3"/>
  <c r="CV26" i="3"/>
  <c r="CW26" i="3"/>
  <c r="CX26" i="3"/>
  <c r="CY26" i="3"/>
  <c r="CZ26" i="3"/>
  <c r="DA26" i="3"/>
  <c r="DB26" i="3"/>
  <c r="CN32" i="3"/>
  <c r="CO32" i="3"/>
  <c r="CP32" i="3"/>
  <c r="CQ32" i="3"/>
  <c r="CR32" i="3"/>
  <c r="CS32" i="3"/>
  <c r="CT32" i="3"/>
  <c r="CU32" i="3"/>
  <c r="CV32" i="3"/>
  <c r="CW32" i="3"/>
  <c r="CX32" i="3"/>
  <c r="CY32" i="3"/>
  <c r="CZ32" i="3"/>
  <c r="DA32" i="3"/>
  <c r="DB32" i="3"/>
  <c r="CN34" i="3"/>
  <c r="CO34" i="3"/>
  <c r="CP34" i="3"/>
  <c r="CQ34" i="3"/>
  <c r="CR34" i="3"/>
  <c r="CS34" i="3"/>
  <c r="CT34" i="3"/>
  <c r="CU34" i="3"/>
  <c r="CV34" i="3"/>
  <c r="CW34" i="3"/>
  <c r="CX34" i="3"/>
  <c r="CY34" i="3"/>
  <c r="CZ34" i="3"/>
  <c r="DA34" i="3"/>
  <c r="DB34" i="3"/>
  <c r="CN36" i="3"/>
  <c r="CO36" i="3"/>
  <c r="CP36" i="3"/>
  <c r="CQ36" i="3"/>
  <c r="CR36" i="3"/>
  <c r="CS36" i="3"/>
  <c r="CT36" i="3"/>
  <c r="CU36" i="3"/>
  <c r="CV36" i="3"/>
  <c r="CW36" i="3"/>
  <c r="CX36" i="3"/>
  <c r="CY36" i="3"/>
  <c r="CZ36" i="3"/>
  <c r="DA36" i="3"/>
  <c r="DB36" i="3"/>
  <c r="CN42" i="3"/>
  <c r="CO42" i="3"/>
  <c r="CP42" i="3"/>
  <c r="CQ42" i="3"/>
  <c r="CR42" i="3"/>
  <c r="CS42" i="3"/>
  <c r="CT42" i="3"/>
  <c r="CU42" i="3"/>
  <c r="CV42" i="3"/>
  <c r="CW42" i="3"/>
  <c r="CX42" i="3"/>
  <c r="CY42" i="3"/>
  <c r="CZ42" i="3"/>
  <c r="DA42" i="3"/>
  <c r="DB42" i="3"/>
  <c r="CN44" i="3"/>
  <c r="CO44" i="3"/>
  <c r="CP44" i="3"/>
  <c r="CQ44" i="3"/>
  <c r="CR44" i="3"/>
  <c r="CS44" i="3"/>
  <c r="CT44" i="3"/>
  <c r="CU44" i="3"/>
  <c r="CV44" i="3"/>
  <c r="CW44" i="3"/>
  <c r="CX44" i="3"/>
  <c r="CY44" i="3"/>
  <c r="CZ44" i="3"/>
  <c r="DA44" i="3"/>
  <c r="DB44" i="3"/>
  <c r="CN45" i="3"/>
  <c r="CO45" i="3"/>
  <c r="CP45" i="3"/>
  <c r="CQ45" i="3"/>
  <c r="CR45" i="3"/>
  <c r="CS45" i="3"/>
  <c r="CT45" i="3"/>
  <c r="CU45" i="3"/>
  <c r="CV45" i="3"/>
  <c r="CW45" i="3"/>
  <c r="CX45" i="3"/>
  <c r="CY45" i="3"/>
  <c r="CZ45" i="3"/>
  <c r="DA45" i="3"/>
  <c r="DB45" i="3"/>
  <c r="CN46" i="3"/>
  <c r="CO46" i="3"/>
  <c r="CP46" i="3"/>
  <c r="CQ46" i="3"/>
  <c r="CR46" i="3"/>
  <c r="CS46" i="3"/>
  <c r="CT46" i="3"/>
  <c r="CU46" i="3"/>
  <c r="CV46" i="3"/>
  <c r="CW46" i="3"/>
  <c r="CX46" i="3"/>
  <c r="CY46" i="3"/>
  <c r="CZ46" i="3"/>
  <c r="DA46" i="3"/>
  <c r="DB46" i="3"/>
  <c r="CN47" i="3"/>
  <c r="CO47" i="3"/>
  <c r="CP47" i="3"/>
  <c r="CQ47" i="3"/>
  <c r="CR47" i="3"/>
  <c r="CS47" i="3"/>
  <c r="CT47" i="3"/>
  <c r="CU47" i="3"/>
  <c r="CV47" i="3"/>
  <c r="CW47" i="3"/>
  <c r="CX47" i="3"/>
  <c r="CY47" i="3"/>
  <c r="CZ47" i="3"/>
  <c r="DA47" i="3"/>
  <c r="DB47" i="3"/>
  <c r="CN49" i="3"/>
  <c r="CO49" i="3"/>
  <c r="CP49" i="3"/>
  <c r="CQ49" i="3"/>
  <c r="CR49" i="3"/>
  <c r="CS49" i="3"/>
  <c r="CT49" i="3"/>
  <c r="CU49" i="3"/>
  <c r="CV49" i="3"/>
  <c r="CW49" i="3"/>
  <c r="CX49" i="3"/>
  <c r="CY49" i="3"/>
  <c r="CZ49" i="3"/>
  <c r="DA49" i="3"/>
  <c r="DB49" i="3"/>
  <c r="CN51" i="3"/>
  <c r="CO51" i="3"/>
  <c r="CP51" i="3"/>
  <c r="CQ51" i="3"/>
  <c r="CR51" i="3"/>
  <c r="CS51" i="3"/>
  <c r="CT51" i="3"/>
  <c r="CU51" i="3"/>
  <c r="CV51" i="3"/>
  <c r="CW51" i="3"/>
  <c r="CX51" i="3"/>
  <c r="CY51" i="3"/>
  <c r="CZ51" i="3"/>
  <c r="DA51" i="3"/>
  <c r="DB51" i="3"/>
  <c r="CN52" i="3"/>
  <c r="CO52" i="3"/>
  <c r="CP52" i="3"/>
  <c r="CQ52" i="3"/>
  <c r="CR52" i="3"/>
  <c r="CS52" i="3"/>
  <c r="CT52" i="3"/>
  <c r="CU52" i="3"/>
  <c r="CV52" i="3"/>
  <c r="CW52" i="3"/>
  <c r="CX52" i="3"/>
  <c r="CY52" i="3"/>
  <c r="CZ52" i="3"/>
  <c r="DA52" i="3"/>
  <c r="DB52" i="3"/>
  <c r="CN54" i="3"/>
  <c r="CO54" i="3"/>
  <c r="CP54" i="3"/>
  <c r="CQ54" i="3"/>
  <c r="CR54" i="3"/>
  <c r="CS54" i="3"/>
  <c r="CT54" i="3"/>
  <c r="CU54" i="3"/>
  <c r="CV54" i="3"/>
  <c r="CW54" i="3"/>
  <c r="CX54" i="3"/>
  <c r="CY54" i="3"/>
  <c r="CZ54" i="3"/>
  <c r="DA54" i="3"/>
  <c r="DB54" i="3"/>
  <c r="CN69" i="3"/>
  <c r="CO69" i="3"/>
  <c r="CP69" i="3"/>
  <c r="CQ69" i="3"/>
  <c r="CR69" i="3"/>
  <c r="CS69" i="3"/>
  <c r="CT69" i="3"/>
  <c r="CU69" i="3"/>
  <c r="CV69" i="3"/>
  <c r="CW69" i="3"/>
  <c r="CX69" i="3"/>
  <c r="CY69" i="3"/>
  <c r="CZ69" i="3"/>
  <c r="DA69" i="3"/>
  <c r="DB69" i="3"/>
  <c r="CN70" i="3"/>
  <c r="CO70" i="3"/>
  <c r="CP70" i="3"/>
  <c r="CQ70" i="3"/>
  <c r="CR70" i="3"/>
  <c r="CS70" i="3"/>
  <c r="CT70" i="3"/>
  <c r="CU70" i="3"/>
  <c r="CV70" i="3"/>
  <c r="CW70" i="3"/>
  <c r="CX70" i="3"/>
  <c r="CY70" i="3"/>
  <c r="CZ70" i="3"/>
  <c r="DA70" i="3"/>
  <c r="DB70" i="3"/>
  <c r="CN71" i="3"/>
  <c r="CO71" i="3"/>
  <c r="CP71" i="3"/>
  <c r="CQ71" i="3"/>
  <c r="CR71" i="3"/>
  <c r="CS71" i="3"/>
  <c r="CT71" i="3"/>
  <c r="CU71" i="3"/>
  <c r="CV71" i="3"/>
  <c r="CW71" i="3"/>
  <c r="CX71" i="3"/>
  <c r="CY71" i="3"/>
  <c r="CZ71" i="3"/>
  <c r="DA71" i="3"/>
  <c r="DB71" i="3"/>
  <c r="CN72" i="3"/>
  <c r="CO72" i="3"/>
  <c r="CP72" i="3"/>
  <c r="CQ72" i="3"/>
  <c r="CR72" i="3"/>
  <c r="CS72" i="3"/>
  <c r="CT72" i="3"/>
  <c r="CU72" i="3"/>
  <c r="CV72" i="3"/>
  <c r="CW72" i="3"/>
  <c r="CX72" i="3"/>
  <c r="CY72" i="3"/>
  <c r="CZ72" i="3"/>
  <c r="DA72" i="3"/>
  <c r="DB72" i="3"/>
  <c r="CR73" i="3"/>
  <c r="CW73" i="3"/>
  <c r="DB73" i="3"/>
  <c r="CN74" i="3"/>
  <c r="CO74" i="3"/>
  <c r="CP74" i="3"/>
  <c r="CQ74" i="3"/>
  <c r="CR74" i="3"/>
  <c r="CS74" i="3"/>
  <c r="CT74" i="3"/>
  <c r="CU74" i="3"/>
  <c r="CV74" i="3"/>
  <c r="CW74" i="3"/>
  <c r="CX74" i="3"/>
  <c r="CY74" i="3"/>
  <c r="CZ74" i="3"/>
  <c r="DA74" i="3"/>
  <c r="DB74" i="3"/>
  <c r="CN76" i="3"/>
  <c r="CO76" i="3"/>
  <c r="CP76" i="3"/>
  <c r="CQ76" i="3"/>
  <c r="CR76" i="3"/>
  <c r="CS76" i="3"/>
  <c r="CT76" i="3"/>
  <c r="CU76" i="3"/>
  <c r="CV76" i="3"/>
  <c r="CW76" i="3"/>
  <c r="CX76" i="3"/>
  <c r="CY76" i="3"/>
  <c r="CZ76" i="3"/>
  <c r="DA76" i="3"/>
  <c r="DB76" i="3"/>
  <c r="CN77" i="3"/>
  <c r="CO77" i="3"/>
  <c r="CP77" i="3"/>
  <c r="CQ77" i="3"/>
  <c r="CR77" i="3"/>
  <c r="CS77" i="3"/>
  <c r="CT77" i="3"/>
  <c r="CU77" i="3"/>
  <c r="CV77" i="3"/>
  <c r="CW77" i="3"/>
  <c r="CX77" i="3"/>
  <c r="CY77" i="3"/>
  <c r="CZ77" i="3"/>
  <c r="DA77" i="3"/>
  <c r="DB77" i="3"/>
  <c r="CN78" i="3"/>
  <c r="CO78" i="3"/>
  <c r="CP78" i="3"/>
  <c r="CQ78" i="3"/>
  <c r="CR78" i="3"/>
  <c r="CS78" i="3"/>
  <c r="CT78" i="3"/>
  <c r="CU78" i="3"/>
  <c r="CV78" i="3"/>
  <c r="CW78" i="3"/>
  <c r="CX78" i="3"/>
  <c r="CY78" i="3"/>
  <c r="CZ78" i="3"/>
  <c r="DA78" i="3"/>
  <c r="DB78" i="3"/>
  <c r="CN79" i="3"/>
  <c r="CO79" i="3"/>
  <c r="CP79" i="3"/>
  <c r="CQ79" i="3"/>
  <c r="CR79" i="3"/>
  <c r="CS79" i="3"/>
  <c r="CT79" i="3"/>
  <c r="CU79" i="3"/>
  <c r="CV79" i="3"/>
  <c r="CW79" i="3"/>
  <c r="CX79" i="3"/>
  <c r="CY79" i="3"/>
  <c r="CZ79" i="3"/>
  <c r="DA79" i="3"/>
  <c r="DB79" i="3"/>
  <c r="CN80" i="3"/>
  <c r="CO80" i="3"/>
  <c r="CP80" i="3"/>
  <c r="CQ80" i="3"/>
  <c r="CR80" i="3"/>
  <c r="CS80" i="3"/>
  <c r="CT80" i="3"/>
  <c r="CU80" i="3"/>
  <c r="CV80" i="3"/>
  <c r="CW80" i="3"/>
  <c r="CX80" i="3"/>
  <c r="CY80" i="3"/>
  <c r="CZ80" i="3"/>
  <c r="DA80" i="3"/>
  <c r="DB80" i="3"/>
  <c r="CN81" i="3"/>
  <c r="CO81" i="3"/>
  <c r="CP81" i="3"/>
  <c r="CQ81" i="3"/>
  <c r="CR81" i="3"/>
  <c r="CS81" i="3"/>
  <c r="CT81" i="3"/>
  <c r="CU81" i="3"/>
  <c r="CV81" i="3"/>
  <c r="CW81" i="3"/>
  <c r="CX81" i="3"/>
  <c r="CY81" i="3"/>
  <c r="CZ81" i="3"/>
  <c r="DA81" i="3"/>
  <c r="DB81" i="3"/>
  <c r="CR82" i="3"/>
  <c r="CW82" i="3"/>
  <c r="DB82" i="3"/>
  <c r="CN83" i="3"/>
  <c r="CO83" i="3"/>
  <c r="CP83" i="3"/>
  <c r="CQ83" i="3"/>
  <c r="CR83" i="3"/>
  <c r="CS83" i="3"/>
  <c r="CT83" i="3"/>
  <c r="CU83" i="3"/>
  <c r="CV83" i="3"/>
  <c r="CW83" i="3"/>
  <c r="CX83" i="3"/>
  <c r="CY83" i="3"/>
  <c r="CZ83" i="3"/>
  <c r="DA83" i="3"/>
  <c r="DB83" i="3"/>
  <c r="CN84" i="3"/>
  <c r="CO84" i="3"/>
  <c r="CP84" i="3"/>
  <c r="CQ84" i="3"/>
  <c r="CR84" i="3"/>
  <c r="CS84" i="3"/>
  <c r="CT84" i="3"/>
  <c r="CU84" i="3"/>
  <c r="CV84" i="3"/>
  <c r="CW84" i="3"/>
  <c r="CX84" i="3"/>
  <c r="CY84" i="3"/>
  <c r="CZ84" i="3"/>
  <c r="DA84" i="3"/>
  <c r="DB84" i="3"/>
  <c r="CN86" i="3"/>
  <c r="CO86" i="3"/>
  <c r="CP86" i="3"/>
  <c r="CQ86" i="3"/>
  <c r="CR86" i="3"/>
  <c r="CS86" i="3"/>
  <c r="CT86" i="3"/>
  <c r="CU86" i="3"/>
  <c r="CV86" i="3"/>
  <c r="CW86" i="3"/>
  <c r="CX86" i="3"/>
  <c r="CY86" i="3"/>
  <c r="CZ86" i="3"/>
  <c r="DA86" i="3"/>
  <c r="DB86" i="3"/>
  <c r="CN87" i="3"/>
  <c r="CO87" i="3"/>
  <c r="CP87" i="3"/>
  <c r="CQ87" i="3"/>
  <c r="CR87" i="3"/>
  <c r="CS87" i="3"/>
  <c r="CT87" i="3"/>
  <c r="CU87" i="3"/>
  <c r="CV87" i="3"/>
  <c r="CW87" i="3"/>
  <c r="CX87" i="3"/>
  <c r="CY87" i="3"/>
  <c r="CZ87" i="3"/>
  <c r="DA87" i="3"/>
  <c r="DB87" i="3"/>
  <c r="CN88" i="3"/>
  <c r="CO88" i="3"/>
  <c r="CP88" i="3"/>
  <c r="CQ88" i="3"/>
  <c r="CR88" i="3"/>
  <c r="CS88" i="3"/>
  <c r="CT88" i="3"/>
  <c r="CU88" i="3"/>
  <c r="CV88" i="3"/>
  <c r="CW88" i="3"/>
  <c r="CX88" i="3"/>
  <c r="CY88" i="3"/>
  <c r="CZ88" i="3"/>
  <c r="DA88" i="3"/>
  <c r="DB88" i="3"/>
  <c r="CN89" i="3"/>
  <c r="CO89" i="3"/>
  <c r="CP89" i="3"/>
  <c r="CQ89" i="3"/>
  <c r="CR89" i="3"/>
  <c r="CS89" i="3"/>
  <c r="CT89" i="3"/>
  <c r="CU89" i="3"/>
  <c r="CV89" i="3"/>
  <c r="CW89" i="3"/>
  <c r="CX89" i="3"/>
  <c r="CY89" i="3"/>
  <c r="CZ89" i="3"/>
  <c r="DA89" i="3"/>
  <c r="DB89" i="3"/>
  <c r="CN90" i="3"/>
  <c r="CO90" i="3"/>
  <c r="CP90" i="3"/>
  <c r="CQ90" i="3"/>
  <c r="CR90" i="3"/>
  <c r="CS90" i="3"/>
  <c r="CT90" i="3"/>
  <c r="CU90" i="3"/>
  <c r="CV90" i="3"/>
  <c r="CW90" i="3"/>
  <c r="CX90" i="3"/>
  <c r="CY90" i="3"/>
  <c r="CZ90" i="3"/>
  <c r="DA90" i="3"/>
  <c r="DB90" i="3"/>
  <c r="CN91" i="3"/>
  <c r="CO91" i="3"/>
  <c r="CP91" i="3"/>
  <c r="CQ91" i="3"/>
  <c r="CR91" i="3"/>
  <c r="CS91" i="3"/>
  <c r="CT91" i="3"/>
  <c r="CU91" i="3"/>
  <c r="CV91" i="3"/>
  <c r="CW91" i="3"/>
  <c r="CX91" i="3"/>
  <c r="CY91" i="3"/>
  <c r="CZ91" i="3"/>
  <c r="DA91" i="3"/>
  <c r="DB91" i="3"/>
  <c r="CN92" i="3"/>
  <c r="CO92" i="3"/>
  <c r="CP92" i="3"/>
  <c r="CQ92" i="3"/>
  <c r="CR92" i="3"/>
  <c r="CS92" i="3"/>
  <c r="CT92" i="3"/>
  <c r="CU92" i="3"/>
  <c r="CV92" i="3"/>
  <c r="CW92" i="3"/>
  <c r="CX92" i="3"/>
  <c r="CY92" i="3"/>
  <c r="CZ92" i="3"/>
  <c r="DA92" i="3"/>
  <c r="DB92" i="3"/>
  <c r="CN111" i="3"/>
  <c r="CO111" i="3"/>
  <c r="CP111" i="3"/>
  <c r="CQ111" i="3"/>
  <c r="CR111" i="3"/>
  <c r="CS111" i="3"/>
  <c r="CT111" i="3"/>
  <c r="CU111" i="3"/>
  <c r="CV111" i="3"/>
  <c r="CW111" i="3"/>
  <c r="CX111" i="3"/>
  <c r="CY111" i="3"/>
  <c r="CZ111" i="3"/>
  <c r="DA111" i="3"/>
  <c r="DB111" i="3"/>
  <c r="CN8" i="35"/>
  <c r="CO8" i="35"/>
  <c r="CP8" i="35"/>
  <c r="CQ8" i="35"/>
  <c r="CR8" i="35"/>
  <c r="CS8" i="35"/>
  <c r="CT8" i="35"/>
  <c r="CU8" i="35"/>
  <c r="CV8" i="35"/>
  <c r="CW8" i="35"/>
  <c r="CX8" i="35"/>
  <c r="CY8" i="35"/>
  <c r="CZ8" i="35"/>
  <c r="DA8" i="35"/>
  <c r="DB8" i="35"/>
  <c r="CN9" i="35"/>
  <c r="CO9" i="35"/>
  <c r="CP9" i="35"/>
  <c r="CQ9" i="35"/>
  <c r="CR9" i="35"/>
  <c r="CS9" i="35"/>
  <c r="CT9" i="35"/>
  <c r="CU9" i="35"/>
  <c r="CV9" i="35"/>
  <c r="CW9" i="35"/>
  <c r="CX9" i="35"/>
  <c r="CY9" i="35"/>
  <c r="CZ9" i="35"/>
  <c r="DA9" i="35"/>
  <c r="DB9" i="35"/>
  <c r="CN10" i="35"/>
  <c r="CO10" i="35"/>
  <c r="CP10" i="35"/>
  <c r="CQ10" i="35"/>
  <c r="CR10" i="35"/>
  <c r="CS10" i="35"/>
  <c r="CT10" i="35"/>
  <c r="CU10" i="35"/>
  <c r="CV10" i="35"/>
  <c r="CW10" i="35"/>
  <c r="CX10" i="35"/>
  <c r="CY10" i="35"/>
  <c r="CZ10" i="35"/>
  <c r="DA10" i="35"/>
  <c r="DB10" i="35"/>
  <c r="CN11" i="35"/>
  <c r="CO11" i="35"/>
  <c r="CP11" i="35"/>
  <c r="CQ11" i="35"/>
  <c r="CR11" i="35"/>
  <c r="CS11" i="35"/>
  <c r="CT11" i="35"/>
  <c r="CU11" i="35"/>
  <c r="CV11" i="35"/>
  <c r="CW11" i="35"/>
  <c r="CX11" i="35"/>
  <c r="CY11" i="35"/>
  <c r="CZ11" i="35"/>
  <c r="DA11" i="35"/>
  <c r="DB11" i="35"/>
  <c r="CN12" i="35"/>
  <c r="CO12" i="35"/>
  <c r="CP12" i="35"/>
  <c r="CQ12" i="35"/>
  <c r="CR12" i="35"/>
  <c r="CS12" i="35"/>
  <c r="CT12" i="35"/>
  <c r="CU12" i="35"/>
  <c r="CV12" i="35"/>
  <c r="CW12" i="35"/>
  <c r="CX12" i="35"/>
  <c r="CY12" i="35"/>
  <c r="CZ12" i="35"/>
  <c r="DA12" i="35"/>
  <c r="DB12" i="35"/>
  <c r="CN13" i="35"/>
  <c r="CO13" i="35"/>
  <c r="CP13" i="35"/>
  <c r="CQ13" i="35"/>
  <c r="CR13" i="35"/>
  <c r="CS13" i="35"/>
  <c r="CT13" i="35"/>
  <c r="CU13" i="35"/>
  <c r="CV13" i="35"/>
  <c r="CW13" i="35"/>
  <c r="CX13" i="35"/>
  <c r="CY13" i="35"/>
  <c r="CZ13" i="35"/>
  <c r="DA13" i="35"/>
  <c r="DB13" i="35"/>
  <c r="CN70" i="35"/>
  <c r="CO70" i="35"/>
  <c r="CP70" i="35"/>
  <c r="CQ70" i="35"/>
  <c r="CR70" i="35"/>
  <c r="CS70" i="35"/>
  <c r="CT70" i="35"/>
  <c r="CU70" i="35"/>
  <c r="CV70" i="35"/>
  <c r="CW70" i="35"/>
  <c r="CX70" i="35"/>
  <c r="CY70" i="35"/>
  <c r="CZ70" i="35"/>
  <c r="DA70" i="35"/>
  <c r="DB70" i="35"/>
  <c r="CN71" i="35"/>
  <c r="CO71" i="35"/>
  <c r="CP71" i="35"/>
  <c r="CQ71" i="35"/>
  <c r="CR71" i="35"/>
  <c r="CS71" i="35"/>
  <c r="CT71" i="35"/>
  <c r="CU71" i="35"/>
  <c r="CV71" i="35"/>
  <c r="CW71" i="35"/>
  <c r="CX71" i="35"/>
  <c r="CY71" i="35"/>
  <c r="CZ71" i="35"/>
  <c r="DA71" i="35"/>
  <c r="DB71" i="35"/>
  <c r="CN93" i="35"/>
  <c r="CO93" i="35"/>
  <c r="CP93" i="35"/>
  <c r="CQ93" i="35"/>
  <c r="CR93" i="35"/>
  <c r="CS93" i="35"/>
  <c r="CT93" i="35"/>
  <c r="CU93" i="35"/>
  <c r="CV93" i="35"/>
  <c r="CW93" i="35"/>
  <c r="CX93" i="35"/>
  <c r="CY93" i="35"/>
  <c r="CZ93" i="35"/>
  <c r="DA93" i="35"/>
  <c r="DB93" i="35"/>
  <c r="CN94" i="35"/>
  <c r="CO94" i="35"/>
  <c r="CP94" i="35"/>
  <c r="CQ94" i="35"/>
  <c r="CR94" i="35"/>
  <c r="CS94" i="35"/>
  <c r="CT94" i="35"/>
  <c r="CU94" i="35"/>
  <c r="CV94" i="35"/>
  <c r="CW94" i="35"/>
  <c r="CX94" i="35"/>
  <c r="CY94" i="35"/>
  <c r="CZ94" i="35"/>
  <c r="DA94" i="35"/>
  <c r="DB94" i="35"/>
  <c r="CN97" i="35"/>
  <c r="CO97" i="35"/>
  <c r="CP97" i="35"/>
  <c r="CQ97" i="35"/>
  <c r="CR97" i="35"/>
  <c r="CS97" i="35"/>
  <c r="CT97" i="35"/>
  <c r="CU97" i="35"/>
  <c r="CV97" i="35"/>
  <c r="CW97" i="35"/>
  <c r="CX97" i="35"/>
  <c r="CY97" i="35"/>
  <c r="CZ97" i="35"/>
  <c r="DA97" i="35"/>
  <c r="DB97" i="35"/>
  <c r="CN99" i="35"/>
  <c r="CO99" i="35"/>
  <c r="CP99" i="35"/>
  <c r="CQ99" i="35"/>
  <c r="CR99" i="35"/>
  <c r="CS99" i="35"/>
  <c r="CT99" i="35"/>
  <c r="CU99" i="35"/>
  <c r="CV99" i="35"/>
  <c r="CW99" i="35"/>
  <c r="CX99" i="35"/>
  <c r="CY99" i="35"/>
  <c r="CZ99" i="35"/>
  <c r="DA99" i="35"/>
  <c r="DB99" i="35"/>
  <c r="CN100" i="35"/>
  <c r="CO100" i="35"/>
  <c r="CP100" i="35"/>
  <c r="CQ100" i="35"/>
  <c r="CR100" i="35"/>
  <c r="CS100" i="35"/>
  <c r="CT100" i="35"/>
  <c r="CU100" i="35"/>
  <c r="CV100" i="35"/>
  <c r="CW100" i="35"/>
  <c r="CX100" i="35"/>
  <c r="CY100" i="35"/>
  <c r="CZ100" i="35"/>
  <c r="DA100" i="35"/>
  <c r="DB100" i="35"/>
  <c r="CN102" i="35"/>
  <c r="CO102" i="35"/>
  <c r="CP102" i="35"/>
  <c r="CQ102" i="35"/>
  <c r="CR102" i="35"/>
  <c r="CS102" i="35"/>
  <c r="CT102" i="35"/>
  <c r="CU102" i="35"/>
  <c r="CV102" i="35"/>
  <c r="CW102" i="35"/>
  <c r="CX102" i="35"/>
  <c r="CY102" i="35"/>
  <c r="CZ102" i="35"/>
  <c r="DA102" i="35"/>
  <c r="DB102" i="35"/>
  <c r="CN103" i="35"/>
  <c r="CO103" i="35"/>
  <c r="CP103" i="35"/>
  <c r="CQ103" i="35"/>
  <c r="CR103" i="35"/>
  <c r="CS103" i="35"/>
  <c r="CT103" i="35"/>
  <c r="CU103" i="35"/>
  <c r="CV103" i="35"/>
  <c r="CW103" i="35"/>
  <c r="CX103" i="35"/>
  <c r="CY103" i="35"/>
  <c r="CZ103" i="35"/>
  <c r="DA103" i="35"/>
  <c r="DB103" i="35"/>
  <c r="CN106" i="35"/>
  <c r="CO106" i="35"/>
  <c r="CP106" i="35"/>
  <c r="CQ106" i="35"/>
  <c r="CR106" i="35"/>
  <c r="CS106" i="35"/>
  <c r="CT106" i="35"/>
  <c r="CU106" i="35"/>
  <c r="CV106" i="35"/>
  <c r="CW106" i="35"/>
  <c r="CX106" i="35"/>
  <c r="CY106" i="35"/>
  <c r="CZ106" i="35"/>
  <c r="DA106" i="35"/>
  <c r="DB106" i="35"/>
  <c r="CN107" i="35"/>
  <c r="CO107" i="35"/>
  <c r="CP107" i="35"/>
  <c r="CQ107" i="35"/>
  <c r="CR107" i="35"/>
  <c r="CS107" i="35"/>
  <c r="CT107" i="35"/>
  <c r="CU107" i="35"/>
  <c r="CV107" i="35"/>
  <c r="CW107" i="35"/>
  <c r="CX107" i="35"/>
  <c r="CY107" i="35"/>
  <c r="CZ107" i="35"/>
  <c r="DA107" i="35"/>
  <c r="DB107" i="35"/>
  <c r="CN109" i="35"/>
  <c r="CO109" i="35"/>
  <c r="CP109" i="35"/>
  <c r="CQ109" i="35"/>
  <c r="CR109" i="35"/>
  <c r="CS109" i="35"/>
  <c r="CT109" i="35"/>
  <c r="CU109" i="35"/>
  <c r="CV109" i="35"/>
  <c r="CW109" i="35"/>
  <c r="CX109" i="35"/>
  <c r="CY109" i="35"/>
  <c r="CZ109" i="35"/>
  <c r="DA109" i="35"/>
  <c r="DB109" i="35"/>
  <c r="CN110" i="35"/>
  <c r="CO110" i="35"/>
  <c r="CP110" i="35"/>
  <c r="CQ110" i="35"/>
  <c r="CR110" i="35"/>
  <c r="CS110" i="35"/>
  <c r="CT110" i="35"/>
  <c r="CU110" i="35"/>
  <c r="CV110" i="35"/>
  <c r="CW110" i="35"/>
  <c r="CX110" i="35"/>
  <c r="CY110" i="35"/>
  <c r="CZ110" i="35"/>
  <c r="DA110" i="35"/>
  <c r="DB110" i="35"/>
  <c r="CN113" i="35"/>
  <c r="CO113" i="35"/>
  <c r="CP113" i="35"/>
  <c r="CQ113" i="35"/>
  <c r="CR113" i="35"/>
  <c r="CS113" i="35"/>
  <c r="CT113" i="35"/>
  <c r="CU113" i="35"/>
  <c r="CV113" i="35"/>
  <c r="CW113" i="35"/>
  <c r="CX113" i="35"/>
  <c r="CY113" i="35"/>
  <c r="CZ113" i="35"/>
  <c r="DA113" i="35"/>
  <c r="DB113" i="35"/>
  <c r="CN114" i="35"/>
  <c r="CO114" i="35"/>
  <c r="CP114" i="35"/>
  <c r="CQ114" i="35"/>
  <c r="CR114" i="35"/>
  <c r="CS114" i="35"/>
  <c r="CT114" i="35"/>
  <c r="CU114" i="35"/>
  <c r="CV114" i="35"/>
  <c r="CW114" i="35"/>
  <c r="CX114" i="35"/>
  <c r="CY114" i="35"/>
  <c r="CZ114" i="35"/>
  <c r="DA114" i="35"/>
  <c r="DB114" i="35"/>
  <c r="CN116" i="35"/>
  <c r="CO116" i="35"/>
  <c r="CP116" i="35"/>
  <c r="CQ116" i="35"/>
  <c r="CR116" i="35"/>
  <c r="CS116" i="35"/>
  <c r="CT116" i="35"/>
  <c r="CU116" i="35"/>
  <c r="CV116" i="35"/>
  <c r="CW116" i="35"/>
  <c r="CX116" i="35"/>
  <c r="CY116" i="35"/>
  <c r="CZ116" i="35"/>
  <c r="DA116" i="35"/>
  <c r="DB116" i="35"/>
  <c r="CN117" i="35"/>
  <c r="CO117" i="35"/>
  <c r="CP117" i="35"/>
  <c r="CQ117" i="35"/>
  <c r="CR117" i="35"/>
  <c r="CS117" i="35"/>
  <c r="CT117" i="35"/>
  <c r="CU117" i="35"/>
  <c r="CV117" i="35"/>
  <c r="CW117" i="35"/>
  <c r="CX117" i="35"/>
  <c r="CY117" i="35"/>
  <c r="CZ117" i="35"/>
  <c r="DA117" i="35"/>
  <c r="DB117" i="35"/>
  <c r="CN119" i="35"/>
  <c r="CO119" i="35"/>
  <c r="CP119" i="35"/>
  <c r="CQ119" i="35"/>
  <c r="CR119" i="35"/>
  <c r="CS119" i="35"/>
  <c r="CT119" i="35"/>
  <c r="CU119" i="35"/>
  <c r="CV119" i="35"/>
  <c r="CW119" i="35"/>
  <c r="CX119" i="35"/>
  <c r="CY119" i="35"/>
  <c r="CZ119" i="35"/>
  <c r="DA119" i="35"/>
  <c r="DB119" i="35"/>
  <c r="CN122" i="35"/>
  <c r="CO122" i="35"/>
  <c r="CP122" i="35"/>
  <c r="CQ122" i="35"/>
  <c r="CR122" i="35"/>
  <c r="CS122" i="35"/>
  <c r="CT122" i="35"/>
  <c r="CU122" i="35"/>
  <c r="CV122" i="35"/>
  <c r="CW122" i="35"/>
  <c r="CX122" i="35"/>
  <c r="CY122" i="35"/>
  <c r="CZ122" i="35"/>
  <c r="DA122" i="35"/>
  <c r="DB122" i="35"/>
  <c r="CN123" i="35"/>
  <c r="CO123" i="35"/>
  <c r="CP123" i="35"/>
  <c r="CQ123" i="35"/>
  <c r="CR123" i="35"/>
  <c r="CS123" i="35"/>
  <c r="CT123" i="35"/>
  <c r="CU123" i="35"/>
  <c r="CV123" i="35"/>
  <c r="CW123" i="35"/>
  <c r="CX123" i="35"/>
  <c r="CY123" i="35"/>
  <c r="CZ123" i="35"/>
  <c r="DA123" i="35"/>
  <c r="DB123" i="35"/>
  <c r="CN125" i="35"/>
  <c r="CO125" i="35"/>
  <c r="CP125" i="35"/>
  <c r="CQ125" i="35"/>
  <c r="CR125" i="35"/>
  <c r="CS125" i="35"/>
  <c r="CT125" i="35"/>
  <c r="CU125" i="35"/>
  <c r="CV125" i="35"/>
  <c r="CW125" i="35"/>
  <c r="CX125" i="35"/>
  <c r="CY125" i="35"/>
  <c r="CZ125" i="35"/>
  <c r="DA125" i="35"/>
  <c r="DB125" i="35"/>
  <c r="CN127" i="35"/>
  <c r="CO127" i="35"/>
  <c r="CP127" i="35"/>
  <c r="CQ127" i="35"/>
  <c r="CR127" i="35"/>
  <c r="CS127" i="35"/>
  <c r="CT127" i="35"/>
  <c r="CU127" i="35"/>
  <c r="CV127" i="35"/>
  <c r="CW127" i="35"/>
  <c r="CX127" i="35"/>
  <c r="CY127" i="35"/>
  <c r="CZ127" i="35"/>
  <c r="DA127" i="35"/>
  <c r="DB127" i="35"/>
  <c r="CN128" i="35"/>
  <c r="CO128" i="35"/>
  <c r="CP128" i="35"/>
  <c r="CQ128" i="35"/>
  <c r="CR128" i="35"/>
  <c r="CS128" i="35"/>
  <c r="CT128" i="35"/>
  <c r="CU128" i="35"/>
  <c r="CV128" i="35"/>
  <c r="CW128" i="35"/>
  <c r="CX128" i="35"/>
  <c r="CY128" i="35"/>
  <c r="CZ128" i="35"/>
  <c r="DA128" i="35"/>
  <c r="DB128" i="35"/>
  <c r="CN130" i="35"/>
  <c r="CO130" i="35"/>
  <c r="CP130" i="35"/>
  <c r="CQ130" i="35"/>
  <c r="CR130" i="35"/>
  <c r="CS130" i="35"/>
  <c r="CT130" i="35"/>
  <c r="CU130" i="35"/>
  <c r="CV130" i="35"/>
  <c r="CW130" i="35"/>
  <c r="CX130" i="35"/>
  <c r="CY130" i="35"/>
  <c r="CZ130" i="35"/>
  <c r="DA130" i="35"/>
  <c r="DB130" i="35"/>
  <c r="CN131" i="35"/>
  <c r="CO131" i="35"/>
  <c r="CP131" i="35"/>
  <c r="CQ131" i="35"/>
  <c r="CR131" i="35"/>
  <c r="CS131" i="35"/>
  <c r="CT131" i="35"/>
  <c r="CU131" i="35"/>
  <c r="CV131" i="35"/>
  <c r="CW131" i="35"/>
  <c r="CX131" i="35"/>
  <c r="CY131" i="35"/>
  <c r="CZ131" i="35"/>
  <c r="DA131" i="35"/>
  <c r="DB131" i="35"/>
  <c r="CN133" i="35"/>
  <c r="CO133" i="35"/>
  <c r="CP133" i="35"/>
  <c r="CQ133" i="35"/>
  <c r="CR133" i="35"/>
  <c r="CS133" i="35"/>
  <c r="CT133" i="35"/>
  <c r="CU133" i="35"/>
  <c r="CV133" i="35"/>
  <c r="CW133" i="35"/>
  <c r="CX133" i="35"/>
  <c r="CY133" i="35"/>
  <c r="CZ133" i="35"/>
  <c r="DA133" i="35"/>
  <c r="DB133" i="35"/>
  <c r="CN134" i="35"/>
  <c r="CO134" i="35"/>
  <c r="CP134" i="35"/>
  <c r="CQ134" i="35"/>
  <c r="CR134" i="35"/>
  <c r="CS134" i="35"/>
  <c r="CT134" i="35"/>
  <c r="CU134" i="35"/>
  <c r="CV134" i="35"/>
  <c r="CW134" i="35"/>
  <c r="CX134" i="35"/>
  <c r="CY134" i="35"/>
  <c r="CZ134" i="35"/>
  <c r="DA134" i="35"/>
  <c r="DB134" i="35"/>
  <c r="CN137" i="35"/>
  <c r="CO137" i="35"/>
  <c r="CP137" i="35"/>
  <c r="CQ137" i="35"/>
  <c r="CR137" i="35"/>
  <c r="CS137" i="35"/>
  <c r="CT137" i="35"/>
  <c r="CU137" i="35"/>
  <c r="CV137" i="35"/>
  <c r="CW137" i="35"/>
  <c r="CX137" i="35"/>
  <c r="CY137" i="35"/>
  <c r="CZ137" i="35"/>
  <c r="DA137" i="35"/>
  <c r="DB137" i="35"/>
  <c r="CN138" i="35"/>
  <c r="CO138" i="35"/>
  <c r="CP138" i="35"/>
  <c r="CQ138" i="35"/>
  <c r="CR138" i="35"/>
  <c r="CS138" i="35"/>
  <c r="CT138" i="35"/>
  <c r="CU138" i="35"/>
  <c r="CV138" i="35"/>
  <c r="CW138" i="35"/>
  <c r="CX138" i="35"/>
  <c r="CY138" i="35"/>
  <c r="CZ138" i="35"/>
  <c r="DA138" i="35"/>
  <c r="DB138" i="35"/>
  <c r="CN140" i="35"/>
  <c r="CO140" i="35"/>
  <c r="CP140" i="35"/>
  <c r="CQ140" i="35"/>
  <c r="CR140" i="35"/>
  <c r="CS140" i="35"/>
  <c r="CT140" i="35"/>
  <c r="CU140" i="35"/>
  <c r="CV140" i="35"/>
  <c r="CW140" i="35"/>
  <c r="CX140" i="35"/>
  <c r="CY140" i="35"/>
  <c r="CZ140" i="35"/>
  <c r="DA140" i="35"/>
  <c r="DB140" i="35"/>
  <c r="CN141" i="35"/>
  <c r="CO141" i="35"/>
  <c r="CP141" i="35"/>
  <c r="CQ141" i="35"/>
  <c r="CR141" i="35"/>
  <c r="CS141" i="35"/>
  <c r="CT141" i="35"/>
  <c r="CU141" i="35"/>
  <c r="CV141" i="35"/>
  <c r="CW141" i="35"/>
  <c r="CX141" i="35"/>
  <c r="CY141" i="35"/>
  <c r="CZ141" i="35"/>
  <c r="DA141" i="35"/>
  <c r="DB141" i="35"/>
  <c r="CN143" i="35"/>
  <c r="CO143" i="35"/>
  <c r="CP143" i="35"/>
  <c r="CQ143" i="35"/>
  <c r="CR143" i="35"/>
  <c r="CS143" i="35"/>
  <c r="CT143" i="35"/>
  <c r="CU143" i="35"/>
  <c r="CV143" i="35"/>
  <c r="CW143" i="35"/>
  <c r="CX143" i="35"/>
  <c r="CY143" i="35"/>
  <c r="CZ143" i="35"/>
  <c r="DA143" i="35"/>
  <c r="DB143" i="35"/>
  <c r="CN144" i="35"/>
  <c r="CO144" i="35"/>
  <c r="CP144" i="35"/>
  <c r="CQ144" i="35"/>
  <c r="CR144" i="35"/>
  <c r="CS144" i="35"/>
  <c r="CT144" i="35"/>
  <c r="CU144" i="35"/>
  <c r="CV144" i="35"/>
  <c r="CW144" i="35"/>
  <c r="CX144" i="35"/>
  <c r="CY144" i="35"/>
  <c r="CZ144" i="35"/>
  <c r="DA144" i="35"/>
  <c r="DB144" i="35"/>
  <c r="CN146" i="35"/>
  <c r="CO146" i="35"/>
  <c r="CP146" i="35"/>
  <c r="CQ146" i="35"/>
  <c r="CR146" i="35"/>
  <c r="CS146" i="35"/>
  <c r="CT146" i="35"/>
  <c r="CU146" i="35"/>
  <c r="CV146" i="35"/>
  <c r="CW146" i="35"/>
  <c r="CX146" i="35"/>
  <c r="CY146" i="35"/>
  <c r="CZ146" i="35"/>
  <c r="DA146" i="35"/>
  <c r="DB146" i="35"/>
  <c r="CN147" i="35"/>
  <c r="CO147" i="35"/>
  <c r="CP147" i="35"/>
  <c r="CQ147" i="35"/>
  <c r="CR147" i="35"/>
  <c r="CS147" i="35"/>
  <c r="CT147" i="35"/>
  <c r="CU147" i="35"/>
  <c r="CV147" i="35"/>
  <c r="CW147" i="35"/>
  <c r="CX147" i="35"/>
  <c r="CY147" i="35"/>
  <c r="CZ147" i="35"/>
  <c r="DA147" i="35"/>
  <c r="DB147" i="35"/>
  <c r="CN149" i="35"/>
  <c r="CO149" i="35"/>
  <c r="CP149" i="35"/>
  <c r="CQ149" i="35"/>
  <c r="CR149" i="35"/>
  <c r="CS149" i="35"/>
  <c r="CT149" i="35"/>
  <c r="CU149" i="35"/>
  <c r="CV149" i="35"/>
  <c r="CW149" i="35"/>
  <c r="CX149" i="35"/>
  <c r="CY149" i="35"/>
  <c r="CZ149" i="35"/>
  <c r="DA149" i="35"/>
  <c r="DB149" i="35"/>
  <c r="CN150" i="35"/>
  <c r="CO150" i="35"/>
  <c r="CP150" i="35"/>
  <c r="CQ150" i="35"/>
  <c r="CR150" i="35"/>
  <c r="CS150" i="35"/>
  <c r="CT150" i="35"/>
  <c r="CU150" i="35"/>
  <c r="CV150" i="35"/>
  <c r="CW150" i="35"/>
  <c r="CX150" i="35"/>
  <c r="CY150" i="35"/>
  <c r="CZ150" i="35"/>
  <c r="DA150" i="35"/>
  <c r="DB150" i="35"/>
  <c r="CN151" i="35"/>
  <c r="CO151" i="35"/>
  <c r="CP151" i="35"/>
  <c r="CQ151" i="35"/>
  <c r="CR151" i="35"/>
  <c r="CS151" i="35"/>
  <c r="CT151" i="35"/>
  <c r="CU151" i="35"/>
  <c r="CV151" i="35"/>
  <c r="CW151" i="35"/>
  <c r="CX151" i="35"/>
  <c r="CY151" i="35"/>
  <c r="CZ151" i="35"/>
  <c r="DA151" i="35"/>
  <c r="DB151" i="35"/>
  <c r="CN153" i="35"/>
  <c r="CO153" i="35"/>
  <c r="CP153" i="35"/>
  <c r="CQ153" i="35"/>
  <c r="CR153" i="35"/>
  <c r="CS153" i="35"/>
  <c r="CT153" i="35"/>
  <c r="CU153" i="35"/>
  <c r="CV153" i="35"/>
  <c r="CW153" i="35"/>
  <c r="CX153" i="35"/>
  <c r="CY153" i="35"/>
  <c r="CZ153" i="35"/>
  <c r="DA153" i="35"/>
  <c r="DB153" i="35"/>
  <c r="CN154" i="35"/>
  <c r="CO154" i="35"/>
  <c r="CP154" i="35"/>
  <c r="CQ154" i="35"/>
  <c r="CR154" i="35"/>
  <c r="CS154" i="35"/>
  <c r="CT154" i="35"/>
  <c r="CU154" i="35"/>
  <c r="CV154" i="35"/>
  <c r="CW154" i="35"/>
  <c r="CX154" i="35"/>
  <c r="CY154" i="35"/>
  <c r="CZ154" i="35"/>
  <c r="DA154" i="35"/>
  <c r="DB154" i="35"/>
  <c r="CN155" i="35"/>
  <c r="CO155" i="35"/>
  <c r="CP155" i="35"/>
  <c r="CQ155" i="35"/>
  <c r="CR155" i="35"/>
  <c r="CS155" i="35"/>
  <c r="CT155" i="35"/>
  <c r="CU155" i="35"/>
  <c r="CV155" i="35"/>
  <c r="CW155" i="35"/>
  <c r="CX155" i="35"/>
  <c r="CY155" i="35"/>
  <c r="CZ155" i="35"/>
  <c r="DA155" i="35"/>
  <c r="DB155" i="35"/>
  <c r="CN157" i="35"/>
  <c r="CO157" i="35"/>
  <c r="CP157" i="35"/>
  <c r="CQ157" i="35"/>
  <c r="CR157" i="35"/>
  <c r="CS157" i="35"/>
  <c r="CT157" i="35"/>
  <c r="CU157" i="35"/>
  <c r="CV157" i="35"/>
  <c r="CW157" i="35"/>
  <c r="CX157" i="35"/>
  <c r="CY157" i="35"/>
  <c r="CZ157" i="35"/>
  <c r="DA157" i="35"/>
  <c r="DB157" i="35"/>
  <c r="CN158" i="35"/>
  <c r="CO158" i="35"/>
  <c r="CP158" i="35"/>
  <c r="CQ158" i="35"/>
  <c r="CR158" i="35"/>
  <c r="CS158" i="35"/>
  <c r="CT158" i="35"/>
  <c r="CU158" i="35"/>
  <c r="CV158" i="35"/>
  <c r="CW158" i="35"/>
  <c r="CX158" i="35"/>
  <c r="CY158" i="35"/>
  <c r="CZ158" i="35"/>
  <c r="DA158" i="35"/>
  <c r="DB158" i="35"/>
  <c r="CN160" i="35"/>
  <c r="CO160" i="35"/>
  <c r="CP160" i="35"/>
  <c r="CQ160" i="35"/>
  <c r="CR160" i="35"/>
  <c r="CS160" i="35"/>
  <c r="CT160" i="35"/>
  <c r="CU160" i="35"/>
  <c r="CV160" i="35"/>
  <c r="CW160" i="35"/>
  <c r="CX160" i="35"/>
  <c r="CY160" i="35"/>
  <c r="CZ160" i="35"/>
  <c r="DA160" i="35"/>
  <c r="DB160" i="35"/>
  <c r="CN165" i="35"/>
  <c r="CO165" i="35"/>
  <c r="CP165" i="35"/>
  <c r="CQ165" i="35"/>
  <c r="CR165" i="35"/>
  <c r="CS165" i="35"/>
  <c r="CT165" i="35"/>
  <c r="CU165" i="35"/>
  <c r="CV165" i="35"/>
  <c r="CW165" i="35"/>
  <c r="CX165" i="35"/>
  <c r="CY165" i="35"/>
  <c r="CZ165" i="35"/>
  <c r="DA165" i="35"/>
  <c r="DB165" i="35"/>
  <c r="CN166" i="35"/>
  <c r="CO166" i="35"/>
  <c r="CP166" i="35"/>
  <c r="CQ166" i="35"/>
  <c r="CR166" i="35"/>
  <c r="CS166" i="35"/>
  <c r="CT166" i="35"/>
  <c r="CU166" i="35"/>
  <c r="CV166" i="35"/>
  <c r="CW166" i="35"/>
  <c r="CX166" i="35"/>
  <c r="CY166" i="35"/>
  <c r="CZ166" i="35"/>
  <c r="DA166" i="35"/>
  <c r="DB166" i="35"/>
  <c r="CN168" i="35"/>
  <c r="CO168" i="35"/>
  <c r="CP168" i="35"/>
  <c r="CQ168" i="35"/>
  <c r="CR168" i="35"/>
  <c r="CS168" i="35"/>
  <c r="CT168" i="35"/>
  <c r="CU168" i="35"/>
  <c r="CV168" i="35"/>
  <c r="CW168" i="35"/>
  <c r="CX168" i="35"/>
  <c r="CY168" i="35"/>
  <c r="CZ168" i="35"/>
  <c r="DA168" i="35"/>
  <c r="DB168" i="35"/>
  <c r="CN170" i="35"/>
  <c r="CO170" i="35"/>
  <c r="CP170" i="35"/>
  <c r="CQ170" i="35"/>
  <c r="CS170" i="35"/>
  <c r="CT170" i="35"/>
  <c r="CU170" i="35"/>
  <c r="CV170" i="35"/>
  <c r="CX170" i="35"/>
  <c r="CY170" i="35"/>
  <c r="CZ170" i="35"/>
  <c r="DA170" i="35"/>
  <c r="CN171" i="35"/>
  <c r="CO171" i="35"/>
  <c r="CP171" i="35"/>
  <c r="CQ171" i="35"/>
  <c r="CR171" i="35"/>
  <c r="CS171" i="35"/>
  <c r="CT171" i="35"/>
  <c r="CU171" i="35"/>
  <c r="CV171" i="35"/>
  <c r="CW171" i="35"/>
  <c r="CX171" i="35"/>
  <c r="CY171" i="35"/>
  <c r="CZ171" i="35"/>
  <c r="DA171" i="35"/>
  <c r="DB171" i="35"/>
  <c r="CN173" i="35"/>
  <c r="CO173" i="35"/>
  <c r="CP173" i="35"/>
  <c r="CQ173" i="35"/>
  <c r="CR173" i="35"/>
  <c r="CS173" i="35"/>
  <c r="CT173" i="35"/>
  <c r="CU173" i="35"/>
  <c r="CV173" i="35"/>
  <c r="CW173" i="35"/>
  <c r="CX173" i="35"/>
  <c r="CY173" i="35"/>
  <c r="CZ173" i="35"/>
  <c r="DA173" i="35"/>
  <c r="DB173" i="35"/>
  <c r="CN174" i="35"/>
  <c r="CO174" i="35"/>
  <c r="CP174" i="35"/>
  <c r="CQ174" i="35"/>
  <c r="CR174" i="35"/>
  <c r="CS174" i="35"/>
  <c r="CT174" i="35"/>
  <c r="CU174" i="35"/>
  <c r="CV174" i="35"/>
  <c r="CW174" i="35"/>
  <c r="CX174" i="35"/>
  <c r="CY174" i="35"/>
  <c r="CZ174" i="35"/>
  <c r="DA174" i="35"/>
  <c r="DB174" i="35"/>
  <c r="CN175" i="35"/>
  <c r="CO175" i="35"/>
  <c r="CP175" i="35"/>
  <c r="CQ175" i="35"/>
  <c r="CR175" i="35"/>
  <c r="CS175" i="35"/>
  <c r="CT175" i="35"/>
  <c r="CU175" i="35"/>
  <c r="CV175" i="35"/>
  <c r="CW175" i="35"/>
  <c r="CX175" i="35"/>
  <c r="CY175" i="35"/>
  <c r="CZ175" i="35"/>
  <c r="DA175" i="35"/>
  <c r="DB175" i="35"/>
  <c r="CN177" i="35"/>
  <c r="CO177" i="35"/>
  <c r="CP177" i="35"/>
  <c r="CQ177" i="35"/>
  <c r="CR177" i="35"/>
  <c r="CS177" i="35"/>
  <c r="CT177" i="35"/>
  <c r="CU177" i="35"/>
  <c r="CV177" i="35"/>
  <c r="CW177" i="35"/>
  <c r="CX177" i="35"/>
  <c r="CY177" i="35"/>
  <c r="CZ177" i="35"/>
  <c r="DA177" i="35"/>
  <c r="DB177" i="35"/>
  <c r="CN181" i="35"/>
  <c r="CO181" i="35"/>
  <c r="CP181" i="35"/>
  <c r="CQ181" i="35"/>
  <c r="CR181" i="35"/>
  <c r="CS181" i="35"/>
  <c r="CT181" i="35"/>
  <c r="CU181" i="35"/>
  <c r="CV181" i="35"/>
  <c r="CW181" i="35"/>
  <c r="CX181" i="35"/>
  <c r="CY181" i="35"/>
  <c r="CZ181" i="35"/>
  <c r="DA181" i="35"/>
  <c r="DB181" i="35"/>
  <c r="CN182" i="35"/>
  <c r="CR182" i="35"/>
  <c r="CW182" i="35"/>
  <c r="DB182" i="35"/>
  <c r="CN183" i="35"/>
  <c r="CN186" i="35"/>
  <c r="CO186" i="35"/>
  <c r="CP186" i="35"/>
  <c r="CQ186" i="35"/>
  <c r="CR186" i="35"/>
  <c r="CS186" i="35"/>
  <c r="CT186" i="35"/>
  <c r="CU186" i="35"/>
  <c r="CV186" i="35"/>
  <c r="CW186" i="35"/>
  <c r="CX186" i="35"/>
  <c r="CY186" i="35"/>
  <c r="CZ186" i="35"/>
  <c r="DA186" i="35"/>
  <c r="DB186" i="35"/>
  <c r="CN187" i="35"/>
  <c r="CO187" i="35"/>
  <c r="CP187" i="35"/>
  <c r="CQ187" i="35"/>
  <c r="CR187" i="35"/>
  <c r="CS187" i="35"/>
  <c r="CT187" i="35"/>
  <c r="CU187" i="35"/>
  <c r="CV187" i="35"/>
  <c r="CW187" i="35"/>
  <c r="CX187" i="35"/>
  <c r="CY187" i="35"/>
  <c r="CZ187" i="35"/>
  <c r="DA187" i="35"/>
  <c r="DB187" i="35"/>
  <c r="CN189" i="35"/>
  <c r="CO189" i="35"/>
  <c r="CP189" i="35"/>
  <c r="CQ189" i="35"/>
  <c r="CR189" i="35"/>
  <c r="CS189" i="35"/>
  <c r="CT189" i="35"/>
  <c r="CU189" i="35"/>
  <c r="CV189" i="35"/>
  <c r="CW189" i="35"/>
  <c r="CX189" i="35"/>
  <c r="CY189" i="35"/>
  <c r="CZ189" i="35"/>
  <c r="DA189" i="35"/>
  <c r="DB189" i="35"/>
  <c r="CN190" i="35"/>
  <c r="CO190" i="35"/>
  <c r="CP190" i="35"/>
  <c r="CQ190" i="35"/>
  <c r="CR190" i="35"/>
  <c r="CS190" i="35"/>
  <c r="CT190" i="35"/>
  <c r="CU190" i="35"/>
  <c r="CV190" i="35"/>
  <c r="CW190" i="35"/>
  <c r="CX190" i="35"/>
  <c r="CY190" i="35"/>
  <c r="CZ190" i="35"/>
  <c r="DA190" i="35"/>
  <c r="DB190" i="35"/>
  <c r="CN191" i="35"/>
  <c r="CN199" i="35"/>
  <c r="CO199" i="35"/>
  <c r="CP199" i="35"/>
  <c r="CQ199" i="35"/>
  <c r="CR199" i="35"/>
  <c r="CS199" i="35"/>
  <c r="CT199" i="35"/>
  <c r="CU199" i="35"/>
  <c r="CV199" i="35"/>
  <c r="CW199" i="35"/>
  <c r="CX199" i="35"/>
  <c r="CY199" i="35"/>
  <c r="CZ199" i="35"/>
  <c r="DA199" i="35"/>
  <c r="DB199" i="35"/>
  <c r="CR200" i="35"/>
  <c r="CW200" i="35"/>
  <c r="DB200" i="35"/>
  <c r="CR202" i="35"/>
  <c r="CS202" i="35"/>
  <c r="CT202" i="35"/>
  <c r="CU202" i="35"/>
  <c r="CV202" i="35"/>
  <c r="CW202" i="35"/>
  <c r="CX202" i="35"/>
  <c r="CY202" i="35"/>
  <c r="CZ202" i="35"/>
  <c r="DA202" i="35"/>
  <c r="DB202" i="35"/>
  <c r="CR203" i="35"/>
  <c r="CW203" i="35"/>
  <c r="DB203" i="35"/>
  <c r="CN205" i="35"/>
  <c r="CO205" i="35"/>
  <c r="CP205" i="35"/>
  <c r="CQ205" i="35"/>
  <c r="CR205" i="35"/>
  <c r="CS205" i="35"/>
  <c r="CT205" i="35"/>
  <c r="CU205" i="35"/>
  <c r="CV205" i="35"/>
  <c r="CW205" i="35"/>
  <c r="CX205" i="35"/>
  <c r="CY205" i="35"/>
  <c r="CZ205" i="35"/>
  <c r="DA205" i="35"/>
  <c r="DB205" i="35"/>
  <c r="CN206" i="35"/>
  <c r="CO206" i="35"/>
  <c r="CP206" i="35"/>
  <c r="CQ206" i="35"/>
  <c r="CR206" i="35"/>
  <c r="CS206" i="35"/>
  <c r="CT206" i="35"/>
  <c r="CU206" i="35"/>
  <c r="CV206" i="35"/>
  <c r="CW206" i="35"/>
  <c r="CX206" i="35"/>
  <c r="CY206" i="35"/>
  <c r="CZ206" i="35"/>
  <c r="DA206" i="35"/>
  <c r="DB206" i="35"/>
  <c r="CN208" i="35"/>
  <c r="CO208" i="35"/>
  <c r="CP208" i="35"/>
  <c r="CQ208" i="35"/>
  <c r="CR208" i="35"/>
  <c r="CS208" i="35"/>
  <c r="CT208" i="35"/>
  <c r="CU208" i="35"/>
  <c r="CV208" i="35"/>
  <c r="CW208" i="35"/>
  <c r="CX208" i="35"/>
  <c r="CY208" i="35"/>
  <c r="CZ208" i="35"/>
  <c r="DA208" i="35"/>
  <c r="DB208" i="35"/>
  <c r="CN209" i="35"/>
  <c r="CO209" i="35"/>
  <c r="CP209" i="35"/>
  <c r="CQ209" i="35"/>
  <c r="CR209" i="35"/>
  <c r="CS209" i="35"/>
  <c r="CT209" i="35"/>
  <c r="CU209" i="35"/>
  <c r="CV209" i="35"/>
  <c r="CW209" i="35"/>
  <c r="CX209" i="35"/>
  <c r="CY209" i="35"/>
  <c r="CZ209" i="35"/>
  <c r="DA209" i="35"/>
  <c r="DB209" i="35"/>
  <c r="AX1" i="45"/>
  <c r="AY1" i="45"/>
  <c r="AZ1" i="45"/>
  <c r="BA1" i="45"/>
  <c r="BB1" i="45"/>
  <c r="BC1" i="45"/>
  <c r="BD1" i="45"/>
  <c r="BE1" i="45"/>
  <c r="BF1" i="45"/>
  <c r="BG1" i="45"/>
  <c r="BH1" i="45"/>
  <c r="BI1" i="45"/>
  <c r="BJ1" i="45"/>
  <c r="BK1" i="45"/>
  <c r="BL1" i="45"/>
  <c r="BB30" i="45"/>
  <c r="BG30" i="45"/>
  <c r="BB35" i="45"/>
  <c r="BG35" i="45"/>
  <c r="BB40" i="45"/>
  <c r="BG40" i="45"/>
  <c r="BB45" i="45"/>
  <c r="BG45" i="45"/>
</calcChain>
</file>

<file path=xl/comments1.xml><?xml version="1.0" encoding="utf-8"?>
<comments xmlns="http://schemas.openxmlformats.org/spreadsheetml/2006/main">
  <authors>
    <author>priyapa</author>
  </authors>
  <commentList>
    <comment ref="A1" authorId="0">
      <text>
        <r>
          <rPr>
            <sz val="8"/>
            <color indexed="81"/>
            <rFont val="Tahoma"/>
            <family val="2"/>
          </rPr>
          <t>卟䙄_x0001_＀＀퇁䱒*奃幈噁⡇彐剐䍉⡅⼱⼱〲㔰ㄬ⼲ㄳ㈯〰ⰵ唬䑓⤩_x0018_＀＀_x0018_＀＀_x0008_＀＀_x0001_＀＀_x0001_＀＀笖䈃첽䁁퇁䱒_x0012_奃幈彐剐䍉⡅㠳〸⤷_x0018_＀＀_x0018_＀＀_x0008_＀＀_x0001_＀＀_x0001_＀＀㌳㌳ጳ䁂퇁䱒_x0012_奃幈彐剐䍉⡅㠳㤹⤰_x0018_＀＀_x0018_＀＀_x0008_＀＀_x0001_＀＀_x0001_＀＀쳍쳌곌䁂퇁䱒_x0012_奃幈彐剐䍉⡅㤳㜱⤲_x0018_＀＀_x0018_＀＀_x0008_＀＀_x0001_＀＀_x0001_＀＀＀＀＀＀ꀀ䁁퇁䱒*奃幈噁⡇彐剐䍉⡅⼱⼱〲㈰ㄬ⼲ㄳ㈯〰ⰲ唬䑓⤩_x0018_＀＀_x0018_＀＀_x0008_＀＀_x0001_＀＀_x0001_＀＀䝌匃圩䀸퇁䱒_x0012_奃幈彐剐䍉⡅㠳㤸⤸_x0018_＀＀_x0018_＀＀_x0008_＀＀_x0001_＀＀_x0001_＀＀＀＀＀＀怀䁂෰于D奃幈䕆䕟呓䵉呁⡅䔧䥂❔✬䕍乁Ⱗ儧䅕呒剅奌剟䱏❌✬〲ㄱ㌯❑㐬㠰㈲Ⱜ✬⤧_x0018_＀＀_x0018_＀＀_x0008_＀＀_x0001_＀＀_x0001_＀＀싸ꩤ①䁲퇁䱒_x0012_奃幈彐剐䍉⡅㤳㘲⤳_x0018_＀＀_x0018_＀＀_x0008_＀＀_x0001_＀＀_x0001_＀＀馚香㦙䁄կ亏C奃幈䕆䕟呓䵉呁⡅䔧卐Ⱗ䴧䅅❎✬啑剁䕔䱒彙佒䱌Ⱗ㈧㄰⼱儳Ⱗ〴㈸ⰳⰬ✧착_x0018_＀＀_x0018_＀＀_x0008_＀＀_x0001_＀＀_x0001_＀＀ꇑ脝䦉㿩կ亏E奃幈䕆䕟呓䵉呁⡅匧䱁卅Ⱗ䴧䅅❎✬啑剁䕔䱒彙佒䱌Ⱗ㈧㄰⼱儳Ⱗ〴㈸ⰳⰬ✧착_x0018_＀＀_x0018_＀＀_x0008_＀＀_x0001_＀＀_x0001_＀＀ొ⬂ᭇ䂫կ亏F奃幈䕆䕟呓䵉呁⡅䔧䥂䑔❁✬䕍乁Ⱗ儧䅕呒剅奌剟䱏❌✬〲ㄱ㌯❑㐬㠰㌲Ⱜ✬⤧_x0018_＀＀_x0018_＀＀_x0008_＀＀_x0001_＀＀_x0001_＀＀뫇趸缆䁼퇁䱒_x0012_奃幈彐剐䍉⡅㜳㈶⤱_x0018_＀＀_x0018_＀＀_x0008_＀＀_x0001_＀＀_x0001_＀＀ꏗ㵰霊䀴퇁䱒*奃幈噁⡇彐剐䍉⡅⼱⼱〲㌰ㄬ⼲ㄳ㈯〰ⰳ唬䑓⤩_x0018_＀＀_x0018_＀＀_x0008_＀＀_x0001_＀＀_x0001_＀＀酶ᇞ䀵퇁䱒_x0012_奃幈彐剐䍉⡅㠳㈶⤵_x0018_＀＀_x0018_＀＀_x0008_＀＀_x0001_＀＀_x0001_＀＀ᑺ枮䁃퇁䱒_x0012_奃幈彐剐䍉⡅㜳㠹⤶_x0018_＀＀_x0018_＀＀_x0008_＀＀_x0001_＀＀_x0001_＀＀긕鑺䀺퇁䱒_x0015_奃幈彐剐䍉⡅⼹〳㈯㜰착_x0018_＀＀_x0018_＀＀_x0008_＀＀_x0001_＀＀_x0001_＀＀馚香ᦙ䀾퇁䱒_x0012_奃幈彐剐䍉⡅㠳㔳⤲_x0018_＀＀_x0018_＀＀_x0008_＀＀_x0001_＀＀_x0001_＀＀竡긔䀻퇁䱒*奃幈噁⡇彐剐䍉⡅⼱⼱〲㐰ㄬ⼲ㄳ㈯〰ⰴ唬䑓⤩_x0018_＀＀_x0018_＀＀_x0008_＀＀_x0001_＀＀_x0001_＀＀넧뚫䀺ൊ于C奃幈䕆䕟呓䵉呁⡅䔧卐Ⱗ䴧䅅❎✬啑剁䕔䱒彙佒䱌Ⱗ㈧㄰⼱儳Ⱗ〴㈸ⰲⰬ✧착_x0018_＀＀_x0018_＀＀_x0008_＀＀_x0001_＀＀_x0001_＀＀ꇑ脝䦉㿩퇁䱒_x0012_奃幈彐剐䍉⡅㠳ㄷ⤷_x0018_＀＀_x0018_＀＀_x0008_＀＀_x0001_＀＀_x0001_＀＀凬Ẹ⮅䁃౾于E奃幈䕆䕟呓䵉呁⡅匧䱁卅Ⱗ䴧䅅❎✬啑剁䕔䱒彙佒䱌Ⱗ㈧㄰⼱儳Ⱗ〴㈸ⰲⰬ✧착_x0018_＀＀_x0018_＀＀_x0008_＀＀_x0001_＀＀_x0001_＀＀ొ⬂ᭇ䂫կ亏D奃幈䕆䕟呓䵉呁⡅䔧䥂❔✬䕍乁Ⱗ儧䅕呒剅奌剟䱏❌✬〲ㄱ㌯❑㐬㠰㌲Ⱜ✬⤧_x0018_＀＀_x0018_＀＀_x0008_＀＀_x0001_＀＀_x0001_＀＀싸ꩤ①䁲퇁䱒_x0012_奃幈彐剐䍉⡅㤳㠰⤲_x0018_＀＀_x0018_＀＀_x0008_＀＀_x0001_＀＀_x0001_＀＀尨䊏䁂෰于F奃幈䕆䕟呓䵉呁⡅䔧䥂䑔❁✬䕍乁Ⱗ儧䅕呒剅奌剟䱏❌✬〲ㄱ㌯❑㐬㠰㈲Ⱜ✬⤧_x0018_＀＀_x0018_＀＀_x0008_＀＀_x0001_＀＀_x0001_＀＀뫇趸缆䁼</t>
        </r>
      </text>
    </comment>
    <comment ref="B1" authorId="0">
      <text>
        <r>
          <rPr>
            <sz val="8"/>
            <color indexed="81"/>
            <rFont val="Tahoma"/>
            <family val="2"/>
          </rPr>
          <t>1007</t>
        </r>
      </text>
    </comment>
  </commentList>
</comments>
</file>

<file path=xl/comments2.xml><?xml version="1.0" encoding="utf-8"?>
<comments xmlns="http://schemas.openxmlformats.org/spreadsheetml/2006/main">
  <authors>
    <author>Sopcak, Zachary (Research)</author>
    <author>Mutoko, Moses (Research)</author>
    <author>Molina, Daniel (Research)</author>
  </authors>
  <commentList>
    <comment ref="CM10" authorId="0">
      <text>
        <r>
          <rPr>
            <b/>
            <sz val="9"/>
            <color indexed="81"/>
            <rFont val="Tahoma"/>
            <family val="2"/>
          </rPr>
          <t>1Q17
$15,800 to $16,200</t>
        </r>
        <r>
          <rPr>
            <sz val="9"/>
            <color indexed="81"/>
            <rFont val="Tahoma"/>
            <family val="2"/>
          </rPr>
          <t xml:space="preserve">
</t>
        </r>
        <r>
          <rPr>
            <b/>
            <sz val="9"/>
            <color indexed="81"/>
            <rFont val="Tahoma"/>
            <family val="2"/>
          </rPr>
          <t>2Q17
$15,850 to $16,005
3Q17
$15,800 to $15,900</t>
        </r>
      </text>
    </comment>
    <comment ref="CR10" authorId="1">
      <text>
        <r>
          <rPr>
            <sz val="9"/>
            <color indexed="81"/>
            <rFont val="Tahoma"/>
            <family val="2"/>
          </rPr>
          <t xml:space="preserve">1Q17
$14,184 to $15,755
</t>
        </r>
      </text>
    </comment>
    <comment ref="CM16" authorId="2">
      <text>
        <r>
          <rPr>
            <sz val="9"/>
            <color indexed="81"/>
            <rFont val="Tahoma"/>
            <family val="2"/>
          </rPr>
          <t>$15 - $20</t>
        </r>
      </text>
    </comment>
    <comment ref="CM18" authorId="0">
      <text>
        <r>
          <rPr>
            <b/>
            <sz val="9"/>
            <color indexed="81"/>
            <rFont val="Tahoma"/>
            <family val="2"/>
          </rPr>
          <t>1Q17
6.0% to 6.1% of revenue
(~$945 to $970)</t>
        </r>
        <r>
          <rPr>
            <sz val="9"/>
            <color indexed="81"/>
            <rFont val="Tahoma"/>
            <family val="2"/>
          </rPr>
          <t xml:space="preserve">
</t>
        </r>
      </text>
    </comment>
    <comment ref="CM20" authorId="0">
      <text>
        <r>
          <rPr>
            <b/>
            <sz val="9"/>
            <color indexed="81"/>
            <rFont val="Tahoma"/>
            <family val="2"/>
          </rPr>
          <t>1Q17
5.6% to 5.7% of revenue
($890 to $910M)</t>
        </r>
      </text>
    </comment>
    <comment ref="CR20" authorId="1">
      <text>
        <r>
          <rPr>
            <sz val="9"/>
            <color indexed="81"/>
            <rFont val="Tahoma"/>
            <family val="2"/>
          </rPr>
          <t>1Q17
($759 to $937M)</t>
        </r>
      </text>
    </comment>
    <comment ref="CM25" authorId="2">
      <text>
        <r>
          <rPr>
            <sz val="9"/>
            <color indexed="81"/>
            <rFont val="Tahoma"/>
            <family val="2"/>
          </rPr>
          <t>$50 - $89</t>
        </r>
      </text>
    </comment>
    <comment ref="CM32" authorId="1">
      <text>
        <r>
          <rPr>
            <sz val="9"/>
            <color indexed="81"/>
            <rFont val="Tahoma"/>
            <family val="2"/>
          </rPr>
          <t>1Q17
(-$231 to $78M)</t>
        </r>
      </text>
    </comment>
    <comment ref="CR32" authorId="1">
      <text>
        <r>
          <rPr>
            <sz val="9"/>
            <color indexed="81"/>
            <rFont val="Tahoma"/>
            <family val="2"/>
          </rPr>
          <t xml:space="preserve">
1Q17
($45 to $180M)</t>
        </r>
      </text>
    </comment>
    <comment ref="CM33" authorId="2">
      <text>
        <r>
          <rPr>
            <b/>
            <sz val="9"/>
            <color indexed="81"/>
            <rFont val="Tahoma"/>
            <family val="2"/>
          </rPr>
          <t>Molina, Daniel (Research):</t>
        </r>
        <r>
          <rPr>
            <sz val="9"/>
            <color indexed="81"/>
            <rFont val="Tahoma"/>
            <family val="2"/>
          </rPr>
          <t xml:space="preserve">
$87 -$105</t>
        </r>
      </text>
    </comment>
    <comment ref="CM44" authorId="0">
      <text>
        <r>
          <rPr>
            <b/>
            <sz val="9"/>
            <color indexed="81"/>
            <rFont val="Tahoma"/>
            <family val="2"/>
          </rPr>
          <t>1Q17:
-$0.21 to $0.67
-$0.3 to $0.4</t>
        </r>
        <r>
          <rPr>
            <sz val="9"/>
            <color indexed="81"/>
            <rFont val="Tahoma"/>
            <family val="2"/>
          </rPr>
          <t xml:space="preserve">
</t>
        </r>
        <r>
          <rPr>
            <b/>
            <sz val="9"/>
            <color indexed="81"/>
            <rFont val="Tahoma"/>
            <family val="2"/>
          </rPr>
          <t>3Q17:
-$1.3 to -$1.2</t>
        </r>
      </text>
    </comment>
    <comment ref="CR44" authorId="1">
      <text>
        <r>
          <rPr>
            <sz val="9"/>
            <color indexed="81"/>
            <rFont val="Tahoma"/>
            <family val="2"/>
          </rPr>
          <t xml:space="preserve">
1Q17:
$0.40 to $1.59
</t>
        </r>
      </text>
    </comment>
    <comment ref="CM54" authorId="0">
      <text>
        <r>
          <rPr>
            <sz val="9"/>
            <color indexed="81"/>
            <rFont val="Tahoma"/>
            <family val="2"/>
          </rPr>
          <t>1Q17:
$2.0 to $2.175B
2Q17:
$1.825 to $2B
3Q17:
$1.675 TO $1.725B</t>
        </r>
      </text>
    </comment>
    <comment ref="CR54" authorId="1">
      <text>
        <r>
          <rPr>
            <sz val="9"/>
            <color indexed="81"/>
            <rFont val="Tahoma"/>
            <family val="2"/>
          </rPr>
          <t xml:space="preserve">1Q17:
$1.87 to $2.067B
</t>
        </r>
      </text>
    </comment>
    <comment ref="CM57" authorId="0">
      <text>
        <r>
          <rPr>
            <b/>
            <sz val="9"/>
            <color indexed="81"/>
            <rFont val="Tahoma"/>
            <family val="2"/>
          </rPr>
          <t>1Q17:
112 to 113 million
3Q17: 112-112.5 million</t>
        </r>
      </text>
    </comment>
  </commentList>
</comments>
</file>

<file path=xl/comments3.xml><?xml version="1.0" encoding="utf-8"?>
<comments xmlns="http://schemas.openxmlformats.org/spreadsheetml/2006/main">
  <authors>
    <author>priyapa</author>
    <author>Zhao, MaryAnne L (Research)</author>
    <author>Brenes, Francella (Research)</author>
    <author>cornem</author>
    <author>ashoka</author>
    <author>scheandr</author>
    <author>Ashoka, Vikram (Research)</author>
    <author>Sopcak, Zachary (Research)</author>
    <author>Mutoko, Moses (Research)</author>
    <author>lakhmani</author>
    <author>Molina, Daniel (Research)</author>
  </authors>
  <commentList>
    <comment ref="AN16" authorId="0">
      <text>
        <r>
          <rPr>
            <sz val="8"/>
            <color indexed="81"/>
            <rFont val="Tahoma"/>
            <family val="2"/>
          </rPr>
          <t>Includes hospitals held for sale of $118.893 m</t>
        </r>
      </text>
    </comment>
    <comment ref="AR21" authorId="0">
      <text>
        <r>
          <rPr>
            <sz val="8"/>
            <color indexed="81"/>
            <rFont val="Tahoma"/>
            <family val="2"/>
          </rPr>
          <t xml:space="preserve">
includes $415.8 million of the company's investment in unconsolidated affiliates at September 30, 2008 (see facilities tab for details on facilities CYH claims an equity interest in).</t>
        </r>
      </text>
    </comment>
    <comment ref="AR26" authorId="0">
      <text>
        <r>
          <rPr>
            <sz val="8"/>
            <color indexed="81"/>
            <rFont val="Tahoma"/>
            <family val="2"/>
          </rPr>
          <t xml:space="preserve">
On 10/4/2007 the DOJ notified the company that three of the company's New Mexico hospitals received ineligible federal participation payments from August 2000 - September 2006 of approximately $27.5.  The civil division advised CYH that were it to proceed tot rial, it would seek treble damages plus an appropriate penalty for each violation.  On May 28, 2008 the company received a letter from the US Attorney's office requesting additional information.  CYH believes it has not violated the false claims act and is in discussions to resolve the matter.</t>
        </r>
      </text>
    </comment>
    <comment ref="AS26" authorId="0">
      <text>
        <r>
          <rPr>
            <sz val="8"/>
            <color indexed="81"/>
            <rFont val="Tahoma"/>
            <family val="2"/>
          </rPr>
          <t>Ongoing Litigation: On 10/4/2007 the DOJ notified the company that three of the company's New Mexico hospitals received ineligible federal participation payments from August 2000 - September 2006 of approximately $27.5.  
The civil division advised CYH that were it to proceed tot rial, it would seek treble damages plus an appropriate penalty for each violation.  On May 28, 2008 the company received a letter from the US Attorney's office requesting additional information.  CYH believes it has not violated the false claims act and is in discussions to resolve the matter.</t>
        </r>
      </text>
    </comment>
    <comment ref="E27" authorId="0">
      <text>
        <r>
          <rPr>
            <sz val="8"/>
            <color indexed="81"/>
            <rFont val="Tahoma"/>
            <family val="2"/>
          </rPr>
          <t>Accrued employee compensation $49.346m
Compliance settlement payable $30.9m</t>
        </r>
      </text>
    </comment>
    <comment ref="F27" authorId="0">
      <text>
        <r>
          <rPr>
            <sz val="8"/>
            <color indexed="81"/>
            <rFont val="Tahoma"/>
            <family val="2"/>
          </rPr>
          <t xml:space="preserve">Accrued employee compensation $56.84m
</t>
        </r>
      </text>
    </comment>
    <comment ref="J27" authorId="0">
      <text>
        <r>
          <rPr>
            <sz val="8"/>
            <color indexed="81"/>
            <rFont val="Tahoma"/>
            <family val="2"/>
          </rPr>
          <t xml:space="preserve">Accrued employee compensation $73.329m
</t>
        </r>
      </text>
    </comment>
    <comment ref="O27" authorId="0">
      <text>
        <r>
          <rPr>
            <sz val="8"/>
            <color indexed="81"/>
            <rFont val="Tahoma"/>
            <family val="2"/>
          </rPr>
          <t xml:space="preserve">Accrued employee compensation $94.359m
</t>
        </r>
      </text>
    </comment>
    <comment ref="T27" authorId="0">
      <text>
        <r>
          <rPr>
            <sz val="8"/>
            <color indexed="81"/>
            <rFont val="Tahoma"/>
            <family val="2"/>
          </rPr>
          <t>Includes deferred income taxes $0.669m
Accrued employee compensation $115.478m</t>
        </r>
      </text>
    </comment>
    <comment ref="V27" authorId="0">
      <text>
        <r>
          <rPr>
            <sz val="8"/>
            <color indexed="81"/>
            <rFont val="Tahoma"/>
            <family val="2"/>
          </rPr>
          <t>Includes deferred income taxes $0.669m</t>
        </r>
      </text>
    </comment>
    <comment ref="W27" authorId="0">
      <text>
        <r>
          <rPr>
            <sz val="8"/>
            <color indexed="81"/>
            <rFont val="Tahoma"/>
            <family val="2"/>
          </rPr>
          <t>Includes deferred income taxes $0.669m</t>
        </r>
      </text>
    </comment>
    <comment ref="X27" authorId="0">
      <text>
        <r>
          <rPr>
            <sz val="8"/>
            <color indexed="81"/>
            <rFont val="Tahoma"/>
            <family val="2"/>
          </rPr>
          <t>Includes deferred income taxes $0.669m</t>
        </r>
      </text>
    </comment>
    <comment ref="Y27" authorId="0">
      <text>
        <r>
          <rPr>
            <sz val="8"/>
            <color indexed="81"/>
            <rFont val="Tahoma"/>
            <family val="2"/>
          </rPr>
          <t>Deferred income taxes payable $1.301m
Accrued employee compensation $98.365m</t>
        </r>
      </text>
    </comment>
    <comment ref="AD27" authorId="0">
      <text>
        <r>
          <rPr>
            <sz val="8"/>
            <color indexed="81"/>
            <rFont val="Tahoma"/>
            <family val="2"/>
          </rPr>
          <t>Accrued employee compensation $121.775m</t>
        </r>
      </text>
    </comment>
    <comment ref="AI27" authorId="0">
      <text>
        <r>
          <rPr>
            <sz val="8"/>
            <color indexed="81"/>
            <rFont val="Tahoma"/>
            <family val="2"/>
          </rPr>
          <t>Accrued employee compensation $162.188m</t>
        </r>
      </text>
    </comment>
    <comment ref="AN27" authorId="0">
      <text>
        <r>
          <rPr>
            <sz val="8"/>
            <color indexed="81"/>
            <rFont val="Tahoma"/>
            <family val="2"/>
          </rPr>
          <t>Accrued employee compensation $403.598m</t>
        </r>
      </text>
    </comment>
    <comment ref="AS27" authorId="0">
      <text>
        <r>
          <rPr>
            <sz val="8"/>
            <color indexed="81"/>
            <rFont val="Tahoma"/>
            <family val="2"/>
          </rPr>
          <t xml:space="preserve">Deferred income taxes $6.74m
</t>
        </r>
      </text>
    </comment>
    <comment ref="AU27" authorId="0">
      <text>
        <r>
          <rPr>
            <sz val="8"/>
            <color indexed="81"/>
            <rFont val="Tahoma"/>
            <family val="2"/>
          </rPr>
          <t xml:space="preserve">Deferred income taxes $6.74m
</t>
        </r>
      </text>
    </comment>
    <comment ref="AV27" authorId="0">
      <text>
        <r>
          <rPr>
            <sz val="8"/>
            <color indexed="81"/>
            <rFont val="Tahoma"/>
            <family val="2"/>
          </rPr>
          <t xml:space="preserve">Deferred income taxes $6.74m
</t>
        </r>
      </text>
    </comment>
    <comment ref="AW27" authorId="0">
      <text>
        <r>
          <rPr>
            <sz val="8"/>
            <color indexed="81"/>
            <rFont val="Tahoma"/>
            <family val="2"/>
          </rPr>
          <t xml:space="preserve">Deferred income taxes $6.74m
</t>
        </r>
      </text>
    </comment>
    <comment ref="AX27" authorId="0">
      <text>
        <r>
          <rPr>
            <sz val="8"/>
            <color indexed="81"/>
            <rFont val="Tahoma"/>
            <family val="2"/>
          </rPr>
          <t xml:space="preserve">Deferred income taxes $28.397m
</t>
        </r>
      </text>
    </comment>
    <comment ref="AZ27" authorId="0">
      <text>
        <r>
          <rPr>
            <sz val="8"/>
            <color indexed="81"/>
            <rFont val="Tahoma"/>
            <family val="2"/>
          </rPr>
          <t xml:space="preserve">Deferred income taxes $28.431m
</t>
        </r>
      </text>
    </comment>
    <comment ref="BA27" authorId="0">
      <text>
        <r>
          <rPr>
            <sz val="8"/>
            <color indexed="81"/>
            <rFont val="Tahoma"/>
            <family val="2"/>
          </rPr>
          <t xml:space="preserve">Deferred income taxes $28.431m
</t>
        </r>
      </text>
    </comment>
    <comment ref="BB27" authorId="0">
      <text>
        <r>
          <rPr>
            <sz val="8"/>
            <color indexed="81"/>
            <rFont val="Tahoma"/>
            <family val="2"/>
          </rPr>
          <t xml:space="preserve">Deferred income taxes $28.522m
</t>
        </r>
      </text>
    </comment>
    <comment ref="BC27" authorId="0">
      <text>
        <r>
          <rPr>
            <sz val="8"/>
            <color indexed="81"/>
            <rFont val="Tahoma"/>
            <family val="2"/>
          </rPr>
          <t xml:space="preserve">Deferred income taxes $8.882m
</t>
        </r>
      </text>
    </comment>
    <comment ref="BE27" authorId="0">
      <text>
        <r>
          <rPr>
            <sz val="8"/>
            <color indexed="81"/>
            <rFont val="Tahoma"/>
            <family val="2"/>
          </rPr>
          <t xml:space="preserve">Deferred income taxes $8.882m
</t>
        </r>
      </text>
    </comment>
    <comment ref="BF27" authorId="0">
      <text>
        <r>
          <rPr>
            <sz val="8"/>
            <color indexed="81"/>
            <rFont val="Tahoma"/>
            <family val="2"/>
          </rPr>
          <t xml:space="preserve">Deferred income taxes $8.882m
</t>
        </r>
      </text>
    </comment>
    <comment ref="BG27" authorId="0">
      <text>
        <r>
          <rPr>
            <sz val="8"/>
            <color indexed="81"/>
            <rFont val="Tahoma"/>
            <family val="2"/>
          </rPr>
          <t xml:space="preserve">Deferred income taxes $8.882m
</t>
        </r>
      </text>
    </comment>
    <comment ref="BZ28" authorId="1">
      <text>
        <r>
          <rPr>
            <b/>
            <sz val="9"/>
            <color indexed="81"/>
            <rFont val="Tahoma"/>
            <family val="2"/>
          </rPr>
          <t>Zhao, MaryAnne L (Research):</t>
        </r>
        <r>
          <rPr>
            <sz val="9"/>
            <color indexed="81"/>
            <rFont val="Tahoma"/>
            <family val="2"/>
          </rPr>
          <t xml:space="preserve">
includes deferred income taxes for current liabilities</t>
        </r>
      </text>
    </comment>
    <comment ref="AR34" authorId="0">
      <text>
        <r>
          <rPr>
            <sz val="8"/>
            <color indexed="81"/>
            <rFont val="Tahoma"/>
            <family val="2"/>
          </rPr>
          <t xml:space="preserve"> 
includes at fair value price:
interest rate swap agreement: $145.693
contractual obligation: $61</t>
        </r>
      </text>
    </comment>
    <comment ref="E41" authorId="0">
      <text>
        <r>
          <rPr>
            <sz val="8"/>
            <color indexed="81"/>
            <rFont val="Tahoma"/>
            <family val="2"/>
          </rPr>
          <t>Includes: Unearned stockholders' compensation
and Notes receivable for common stock</t>
        </r>
      </text>
    </comment>
    <comment ref="F41" authorId="0">
      <text>
        <r>
          <rPr>
            <sz val="8"/>
            <color indexed="81"/>
            <rFont val="Tahoma"/>
            <family val="2"/>
          </rPr>
          <t>Includes: Unearned stockholders' compensation
and Notes receivable for common stock</t>
        </r>
      </text>
    </comment>
    <comment ref="G41" authorId="0">
      <text>
        <r>
          <rPr>
            <sz val="8"/>
            <color indexed="81"/>
            <rFont val="Tahoma"/>
            <family val="2"/>
          </rPr>
          <t>Includes: Unearned stockholders' compensation
and Notes receivable for common stock</t>
        </r>
      </text>
    </comment>
    <comment ref="H41" authorId="0">
      <text>
        <r>
          <rPr>
            <sz val="8"/>
            <color indexed="81"/>
            <rFont val="Tahoma"/>
            <family val="2"/>
          </rPr>
          <t>Includes: Unearned stockholders' compensation
and Notes receivable for common stock</t>
        </r>
      </text>
    </comment>
    <comment ref="I41" authorId="0">
      <text>
        <r>
          <rPr>
            <sz val="8"/>
            <color indexed="81"/>
            <rFont val="Tahoma"/>
            <family val="2"/>
          </rPr>
          <t>Includes: Unearned stockholders' compensation
and Notes receivable for common stock</t>
        </r>
      </text>
    </comment>
    <comment ref="J41" authorId="0">
      <text>
        <r>
          <rPr>
            <sz val="8"/>
            <color indexed="81"/>
            <rFont val="Tahoma"/>
            <family val="2"/>
          </rPr>
          <t>Includes: Unearned stockholders' compensation
and Notes receivable for common stock</t>
        </r>
      </text>
    </comment>
    <comment ref="L41" authorId="0">
      <text>
        <r>
          <rPr>
            <sz val="8"/>
            <color indexed="81"/>
            <rFont val="Tahoma"/>
            <family val="2"/>
          </rPr>
          <t xml:space="preserve">Includes: Unearned stockholders' compensation
</t>
        </r>
      </text>
    </comment>
    <comment ref="M41" authorId="0">
      <text>
        <r>
          <rPr>
            <sz val="8"/>
            <color indexed="81"/>
            <rFont val="Tahoma"/>
            <family val="2"/>
          </rPr>
          <t xml:space="preserve">Includes: Unearned stockholders' compensation
</t>
        </r>
      </text>
    </comment>
    <comment ref="N41" authorId="0">
      <text>
        <r>
          <rPr>
            <sz val="8"/>
            <color indexed="81"/>
            <rFont val="Tahoma"/>
            <family val="2"/>
          </rPr>
          <t xml:space="preserve">Includes: Unearned stockholders' compensation
</t>
        </r>
      </text>
    </comment>
    <comment ref="O41" authorId="0">
      <text>
        <r>
          <rPr>
            <sz val="8"/>
            <color indexed="81"/>
            <rFont val="Tahoma"/>
            <family val="2"/>
          </rPr>
          <t xml:space="preserve">Includes: Unearned stockholders' compensation
</t>
        </r>
      </text>
    </comment>
    <comment ref="Q41" authorId="0">
      <text>
        <r>
          <rPr>
            <sz val="8"/>
            <color indexed="81"/>
            <rFont val="Tahoma"/>
            <family val="2"/>
          </rPr>
          <t xml:space="preserve">Includes: Unearned stockholders' compensation
</t>
        </r>
      </text>
    </comment>
    <comment ref="R41" authorId="0">
      <text>
        <r>
          <rPr>
            <sz val="8"/>
            <color indexed="81"/>
            <rFont val="Tahoma"/>
            <family val="2"/>
          </rPr>
          <t xml:space="preserve">Includes: Unearned stockholders' compensation
</t>
        </r>
      </text>
    </comment>
    <comment ref="S41" authorId="0">
      <text>
        <r>
          <rPr>
            <sz val="8"/>
            <color indexed="81"/>
            <rFont val="Tahoma"/>
            <family val="2"/>
          </rPr>
          <t xml:space="preserve">Includes: Unearned stockholders' compensation
</t>
        </r>
      </text>
    </comment>
    <comment ref="T41" authorId="0">
      <text>
        <r>
          <rPr>
            <sz val="8"/>
            <color indexed="81"/>
            <rFont val="Tahoma"/>
            <family val="2"/>
          </rPr>
          <t xml:space="preserve">Includes: Unearned stockholders' compensation
</t>
        </r>
      </text>
    </comment>
    <comment ref="AA41" authorId="0">
      <text>
        <r>
          <rPr>
            <sz val="8"/>
            <color indexed="81"/>
            <rFont val="Tahoma"/>
            <family val="2"/>
          </rPr>
          <t xml:space="preserve">Includes: Unearned stockholders' compensation
</t>
        </r>
      </text>
    </comment>
    <comment ref="AB41" authorId="0">
      <text>
        <r>
          <rPr>
            <sz val="8"/>
            <color indexed="81"/>
            <rFont val="Tahoma"/>
            <family val="2"/>
          </rPr>
          <t xml:space="preserve">Includes: Unearned stockholders' compensation
</t>
        </r>
      </text>
    </comment>
    <comment ref="AC41" authorId="0">
      <text>
        <r>
          <rPr>
            <sz val="8"/>
            <color indexed="81"/>
            <rFont val="Tahoma"/>
            <family val="2"/>
          </rPr>
          <t xml:space="preserve">Includes: Unearned stockholders' compensation
</t>
        </r>
      </text>
    </comment>
    <comment ref="AD41" authorId="0">
      <text>
        <r>
          <rPr>
            <sz val="8"/>
            <color indexed="81"/>
            <rFont val="Tahoma"/>
            <family val="2"/>
          </rPr>
          <t xml:space="preserve">Includes: Unearned stockholders' compensation
</t>
        </r>
      </text>
    </comment>
    <comment ref="BV103" authorId="2">
      <text>
        <r>
          <rPr>
            <b/>
            <sz val="9"/>
            <color indexed="81"/>
            <rFont val="Tahoma"/>
            <family val="2"/>
          </rPr>
          <t>Brenes, Francella (Research):</t>
        </r>
        <r>
          <rPr>
            <sz val="9"/>
            <color indexed="81"/>
            <rFont val="Tahoma"/>
            <family val="2"/>
          </rPr>
          <t xml:space="preserve">
included as a new row Government settlement and related costs</t>
        </r>
      </text>
    </comment>
    <comment ref="BM107" authorId="3">
      <text>
        <r>
          <rPr>
            <b/>
            <sz val="8"/>
            <color indexed="81"/>
            <rFont val="Tahoma"/>
            <family val="2"/>
          </rPr>
          <t>cornem:</t>
        </r>
        <r>
          <rPr>
            <sz val="8"/>
            <color indexed="81"/>
            <rFont val="Tahoma"/>
            <family val="2"/>
          </rPr>
          <t xml:space="preserve">
impairment on long lived assets</t>
        </r>
      </text>
    </comment>
    <comment ref="AM111" authorId="0">
      <text>
        <r>
          <rPr>
            <sz val="8"/>
            <color indexed="81"/>
            <rFont val="Tahoma"/>
            <family val="2"/>
          </rPr>
          <t xml:space="preserve"> 
includes loss on early extinguishment of debt</t>
        </r>
      </text>
    </comment>
    <comment ref="BQ111" authorId="4">
      <text>
        <r>
          <rPr>
            <b/>
            <sz val="8"/>
            <color indexed="81"/>
            <rFont val="Tahoma"/>
            <family val="2"/>
          </rPr>
          <t>ashoka:</t>
        </r>
        <r>
          <rPr>
            <sz val="8"/>
            <color indexed="81"/>
            <rFont val="Tahoma"/>
            <family val="2"/>
          </rPr>
          <t xml:space="preserve">
98M Settlement</t>
        </r>
      </text>
    </comment>
    <comment ref="BI118" authorId="0">
      <text>
        <r>
          <rPr>
            <sz val="8"/>
            <color indexed="81"/>
            <rFont val="Tahoma"/>
            <family val="2"/>
          </rPr>
          <t xml:space="preserve">$1150-$1250 guidance
</t>
        </r>
      </text>
    </comment>
    <comment ref="BN118" authorId="0">
      <text>
        <r>
          <rPr>
            <sz val="8"/>
            <color indexed="81"/>
            <rFont val="Tahoma"/>
            <family val="2"/>
          </rPr>
          <t xml:space="preserve">$1.2-$1.3bn
</t>
        </r>
      </text>
    </comment>
    <comment ref="BS118" authorId="5">
      <text>
        <r>
          <rPr>
            <b/>
            <sz val="8"/>
            <color indexed="81"/>
            <rFont val="Tahoma"/>
            <family val="2"/>
          </rPr>
          <t>2Q13
Total $1,175  to   $1,250  
scheandr:</t>
        </r>
        <r>
          <rPr>
            <sz val="8"/>
            <color indexed="81"/>
            <rFont val="Tahoma"/>
            <family val="2"/>
          </rPr>
          <t xml:space="preserve">
$1,225 to $1,300</t>
        </r>
      </text>
    </comment>
    <comment ref="BX118" authorId="6">
      <text>
        <r>
          <rPr>
            <b/>
            <sz val="9"/>
            <color indexed="81"/>
            <rFont val="Tahoma"/>
            <family val="2"/>
          </rPr>
          <t>Ashoka, Vikram (Research):</t>
        </r>
        <r>
          <rPr>
            <sz val="9"/>
            <color indexed="81"/>
            <rFont val="Tahoma"/>
            <family val="2"/>
          </rPr>
          <t xml:space="preserve">
$1,600 to $1,800</t>
        </r>
      </text>
    </comment>
    <comment ref="CM118" authorId="7">
      <text>
        <r>
          <rPr>
            <b/>
            <sz val="9"/>
            <color indexed="81"/>
            <rFont val="Tahoma"/>
            <family val="2"/>
          </rPr>
          <t>1Q17:
$1,050 to $1,225</t>
        </r>
        <r>
          <rPr>
            <sz val="9"/>
            <color indexed="81"/>
            <rFont val="Tahoma"/>
            <family val="2"/>
          </rPr>
          <t xml:space="preserve">
</t>
        </r>
      </text>
    </comment>
    <comment ref="BI122" authorId="0">
      <text>
        <r>
          <rPr>
            <sz val="8"/>
            <color indexed="81"/>
            <rFont val="Tahoma"/>
            <family val="2"/>
          </rPr>
          <t xml:space="preserve">$750-$800 guidance
</t>
        </r>
      </text>
    </comment>
    <comment ref="BN122" authorId="0">
      <text>
        <r>
          <rPr>
            <sz val="8"/>
            <color indexed="81"/>
            <rFont val="Tahoma"/>
            <family val="2"/>
          </rPr>
          <t xml:space="preserve">$750-$800 guidance
</t>
        </r>
      </text>
    </comment>
    <comment ref="BS122" authorId="5">
      <text>
        <r>
          <rPr>
            <b/>
            <sz val="8"/>
            <color indexed="81"/>
            <rFont val="Tahoma"/>
            <family val="2"/>
          </rPr>
          <t>2Q13:
 $775   to    $825   
scheandr:</t>
        </r>
        <r>
          <rPr>
            <sz val="8"/>
            <color indexed="81"/>
            <rFont val="Tahoma"/>
            <family val="2"/>
          </rPr>
          <t xml:space="preserve">
$800 to $900</t>
        </r>
      </text>
    </comment>
    <comment ref="BX122" authorId="6">
      <text>
        <r>
          <rPr>
            <b/>
            <sz val="9"/>
            <color indexed="81"/>
            <rFont val="Tahoma"/>
            <family val="2"/>
          </rPr>
          <t>Ashoka, Vikram (Research):</t>
        </r>
        <r>
          <rPr>
            <sz val="9"/>
            <color indexed="81"/>
            <rFont val="Tahoma"/>
            <family val="2"/>
          </rPr>
          <t xml:space="preserve">
$ 975 to $1,150</t>
        </r>
      </text>
    </comment>
    <comment ref="CM122" authorId="7">
      <text>
        <r>
          <rPr>
            <b/>
            <sz val="9"/>
            <color indexed="81"/>
            <rFont val="Tahoma"/>
            <family val="2"/>
          </rPr>
          <t>1Q17:
$625 to $775</t>
        </r>
        <r>
          <rPr>
            <sz val="9"/>
            <color indexed="81"/>
            <rFont val="Tahoma"/>
            <family val="2"/>
          </rPr>
          <t xml:space="preserve">
</t>
        </r>
      </text>
    </comment>
    <comment ref="BV123" authorId="2">
      <text>
        <r>
          <rPr>
            <b/>
            <sz val="9"/>
            <color indexed="81"/>
            <rFont val="Tahoma"/>
            <family val="2"/>
          </rPr>
          <t>Brenes, Francella (Research):</t>
        </r>
        <r>
          <rPr>
            <sz val="9"/>
            <color indexed="81"/>
            <rFont val="Tahoma"/>
            <family val="2"/>
          </rPr>
          <t xml:space="preserve">
Proceeds from disposition of certain ancillary operations+Proceeds from sale of property and equipment</t>
        </r>
      </text>
    </comment>
    <comment ref="BV124" authorId="2">
      <text>
        <r>
          <rPr>
            <b/>
            <sz val="9"/>
            <color indexed="81"/>
            <rFont val="Tahoma"/>
            <family val="2"/>
          </rPr>
          <t>Brenes, Francella (Research):</t>
        </r>
        <r>
          <rPr>
            <sz val="9"/>
            <color indexed="81"/>
            <rFont val="Tahoma"/>
            <family val="2"/>
          </rPr>
          <t xml:space="preserve">
Purchases of available-for-sale securities+Proceeds from sales of available-for-sale securities</t>
        </r>
      </text>
    </comment>
    <comment ref="CN124" authorId="8">
      <text>
        <r>
          <rPr>
            <sz val="9"/>
            <color indexed="81"/>
            <rFont val="Tahoma"/>
            <family val="2"/>
          </rPr>
          <t xml:space="preserve">
Proceeds from new divestitures</t>
        </r>
      </text>
    </comment>
    <comment ref="J130" authorId="9">
      <text>
        <r>
          <rPr>
            <sz val="8"/>
            <color indexed="81"/>
            <rFont val="Tahoma"/>
            <family val="2"/>
          </rPr>
          <t>Debt Issuance costs</t>
        </r>
      </text>
    </comment>
    <comment ref="O130" authorId="0">
      <text>
        <r>
          <rPr>
            <sz val="8"/>
            <color indexed="81"/>
            <rFont val="Tahoma"/>
            <family val="2"/>
          </rPr>
          <t xml:space="preserve"> 
deferred financing costs</t>
        </r>
      </text>
    </comment>
    <comment ref="P130" authorId="0">
      <text>
        <r>
          <rPr>
            <sz val="8"/>
            <color indexed="81"/>
            <rFont val="Tahoma"/>
            <family val="2"/>
          </rPr>
          <t xml:space="preserve"> 
deferred financing costs</t>
        </r>
      </text>
    </comment>
    <comment ref="T130" authorId="0">
      <text>
        <r>
          <rPr>
            <sz val="8"/>
            <color indexed="81"/>
            <rFont val="Tahoma"/>
            <family val="2"/>
          </rPr>
          <t xml:space="preserve"> 
deferred financing costs</t>
        </r>
      </text>
    </comment>
    <comment ref="U130" authorId="0">
      <text>
        <r>
          <rPr>
            <sz val="8"/>
            <color indexed="81"/>
            <rFont val="Tahoma"/>
            <family val="2"/>
          </rPr>
          <t xml:space="preserve"> 
deferred financing costs</t>
        </r>
      </text>
    </comment>
    <comment ref="X130" authorId="0">
      <text>
        <r>
          <rPr>
            <sz val="8"/>
            <color indexed="81"/>
            <rFont val="Tahoma"/>
            <family val="2"/>
          </rPr>
          <t>Deferred financing costs</t>
        </r>
      </text>
    </comment>
    <comment ref="Y130" authorId="0">
      <text>
        <r>
          <rPr>
            <sz val="8"/>
            <color indexed="81"/>
            <rFont val="Tahoma"/>
            <family val="2"/>
          </rPr>
          <t xml:space="preserve"> 
deferred financing costs</t>
        </r>
      </text>
    </comment>
    <comment ref="Z130" authorId="0">
      <text>
        <r>
          <rPr>
            <sz val="8"/>
            <color indexed="81"/>
            <rFont val="Tahoma"/>
            <family val="2"/>
          </rPr>
          <t xml:space="preserve"> 
deferred financing costs</t>
        </r>
      </text>
    </comment>
    <comment ref="AD130" authorId="0">
      <text>
        <r>
          <rPr>
            <sz val="8"/>
            <color indexed="81"/>
            <rFont val="Tahoma"/>
            <family val="2"/>
          </rPr>
          <t xml:space="preserve"> 
includes redemption of convertible notes</t>
        </r>
      </text>
    </comment>
    <comment ref="AE130" authorId="0">
      <text>
        <r>
          <rPr>
            <sz val="8"/>
            <color indexed="81"/>
            <rFont val="Tahoma"/>
            <family val="2"/>
          </rPr>
          <t xml:space="preserve"> 
includes redemption of convertible notes</t>
        </r>
      </text>
    </comment>
    <comment ref="AI130" authorId="0">
      <text>
        <r>
          <rPr>
            <sz val="8"/>
            <color indexed="81"/>
            <rFont val="Tahoma"/>
            <family val="2"/>
          </rPr>
          <t xml:space="preserve"> 
includes redemption of convertible notes</t>
        </r>
      </text>
    </comment>
    <comment ref="AJ130" authorId="0">
      <text>
        <r>
          <rPr>
            <sz val="8"/>
            <color indexed="81"/>
            <rFont val="Tahoma"/>
            <family val="2"/>
          </rPr>
          <t xml:space="preserve"> 
includes redemption of convertible notes</t>
        </r>
      </text>
    </comment>
    <comment ref="CG137" authorId="10">
      <text>
        <r>
          <rPr>
            <b/>
            <sz val="9"/>
            <color indexed="81"/>
            <rFont val="Tahoma"/>
            <family val="2"/>
          </rPr>
          <t>Molina, Daniel (Research):</t>
        </r>
        <r>
          <rPr>
            <sz val="9"/>
            <color indexed="81"/>
            <rFont val="Tahoma"/>
            <family val="2"/>
          </rPr>
          <t xml:space="preserve">
+159 of sale lease back</t>
        </r>
      </text>
    </comment>
    <comment ref="Y141" authorId="0">
      <text>
        <r>
          <rPr>
            <sz val="8"/>
            <color indexed="81"/>
            <rFont val="Tahoma"/>
            <family val="2"/>
          </rPr>
          <t>senior subordinated notes</t>
        </r>
      </text>
    </comment>
    <comment ref="Z141" authorId="0">
      <text>
        <r>
          <rPr>
            <sz val="8"/>
            <color indexed="81"/>
            <rFont val="Tahoma"/>
            <family val="2"/>
          </rPr>
          <t xml:space="preserve"> 
senior subordinated notes</t>
        </r>
      </text>
    </comment>
    <comment ref="BM141" authorId="3">
      <text>
        <r>
          <rPr>
            <b/>
            <sz val="8"/>
            <color indexed="81"/>
            <rFont val="Tahoma"/>
            <family val="2"/>
          </rPr>
          <t>cornem:</t>
        </r>
        <r>
          <rPr>
            <sz val="8"/>
            <color indexed="81"/>
            <rFont val="Tahoma"/>
            <family val="2"/>
          </rPr>
          <t xml:space="preserve">
special div.</t>
        </r>
      </text>
    </comment>
    <comment ref="Y142" authorId="0">
      <text>
        <r>
          <rPr>
            <sz val="8"/>
            <color indexed="81"/>
            <rFont val="Tahoma"/>
            <family val="2"/>
          </rPr>
          <t>senior subordinated notes</t>
        </r>
      </text>
    </comment>
    <comment ref="Z142" authorId="0">
      <text>
        <r>
          <rPr>
            <sz val="8"/>
            <color indexed="81"/>
            <rFont val="Tahoma"/>
            <family val="2"/>
          </rPr>
          <t xml:space="preserve"> 
senior subordinated notes</t>
        </r>
      </text>
    </comment>
  </commentList>
</comments>
</file>

<file path=xl/comments4.xml><?xml version="1.0" encoding="utf-8"?>
<comments xmlns="http://schemas.openxmlformats.org/spreadsheetml/2006/main">
  <authors>
    <author>Sopcak, Zachary (Research)</author>
  </authors>
  <commentList>
    <comment ref="CM190" authorId="0">
      <text>
        <r>
          <rPr>
            <b/>
            <sz val="9"/>
            <color indexed="81"/>
            <rFont val="Tahoma"/>
            <family val="2"/>
          </rPr>
          <t>1Q17:
0% to 1.5% same store</t>
        </r>
        <r>
          <rPr>
            <sz val="9"/>
            <color indexed="81"/>
            <rFont val="Tahoma"/>
            <family val="2"/>
          </rPr>
          <t xml:space="preserve">
</t>
        </r>
      </text>
    </comment>
  </commentList>
</comments>
</file>

<file path=xl/comments5.xml><?xml version="1.0" encoding="utf-8"?>
<comments xmlns="http://schemas.openxmlformats.org/spreadsheetml/2006/main">
  <authors>
    <author>priyapa</author>
    <author>scheandr</author>
  </authors>
  <commentList>
    <comment ref="AM3" authorId="0">
      <text>
        <r>
          <rPr>
            <sz val="8"/>
            <color indexed="81"/>
            <rFont val="Tahoma"/>
            <family val="2"/>
          </rPr>
          <t>Triad Closed July 25, 2007</t>
        </r>
      </text>
    </comment>
    <comment ref="BS58" authorId="1">
      <text>
        <r>
          <rPr>
            <b/>
            <sz val="8"/>
            <color indexed="81"/>
            <rFont val="Tahoma"/>
            <family val="2"/>
          </rPr>
          <t>scheandr:</t>
        </r>
        <r>
          <rPr>
            <sz val="8"/>
            <color indexed="81"/>
            <rFont val="Tahoma"/>
            <family val="2"/>
          </rPr>
          <t xml:space="preserve">
estimated savings, in the second half of the year, from cost reduction initiatives of approximately $40 million to $60 million</t>
        </r>
      </text>
    </comment>
  </commentList>
</comments>
</file>

<file path=xl/comments6.xml><?xml version="1.0" encoding="utf-8"?>
<comments xmlns="http://schemas.openxmlformats.org/spreadsheetml/2006/main">
  <authors>
    <author>priyapa</author>
  </authors>
  <commentList>
    <comment ref="B111" authorId="0">
      <text>
        <r>
          <rPr>
            <sz val="8"/>
            <color indexed="81"/>
            <rFont val="Tahoma"/>
            <family val="2"/>
          </rPr>
          <t xml:space="preserve"> 
Community Health Systems, Inc. Announces Completion of Offering of $1,600 Million of 5.125% Senior Secured Notes Due 2018 
FRANKLIN, Tenn.--(BUSINESS WIRE)--Aug. 17, 2012-- Community Health Systems, Inc. (the “Company”) (NYSE: CYH) today announced that its wholly-owned subsidiary, CHS/Community Health Systems, Inc. (the “Issuer”), has completed its offering of $1,600 million aggregate principal amount of 5.125% Senior Secured Notes due 2018 (the “Notes”). The size of the offering was increased by $350 million aggregate principal amount of Notes subsequent to the initial announcement of the proposed offering. 
As previously announced, the Company has used the proceeds of the offering to prepay a portion of certain term loans outstanding under its senior credit facilities and to pay related fees and expenses. 
</t>
        </r>
      </text>
    </comment>
    <comment ref="B143" authorId="0">
      <text>
        <r>
          <rPr>
            <sz val="8"/>
            <color indexed="81"/>
            <rFont val="Tahoma"/>
            <family val="2"/>
          </rPr>
          <t xml:space="preserve"> 
Community Health Systems, Inc. Announces Completion of Offering of $1,200 Million of 7.125% Senior Notes Due 2020 
FRANKLIN, Tenn.--(BUSINESS WIRE)--Jul. 18, 2012-- Community Health Systems, Inc. (the “Company”) (NYSE: CYH) today announced that its wholly-owned subsidiary, CHS/Community Health Systems, Inc. (the “Issuer”), had completed its offering of $1,200 million aggregate principal amount of 7.125% Senior Notes due 2020. 
As previously announced, the Company intends to use the proceeds of the offering to purchase any and all of the Issuer’s approximately $934 million aggregate principal amount of 8⅞% Senior Notes due 2015 that are validly tendered and not validly withdrawn in the cash tender offer announced on July 3, 2012, to pay for consents delivered in connection therewith, to pay related fees and expenses and, to the extent any proceeds remain, for general corporate purposes. 
</t>
        </r>
      </text>
    </comment>
    <comment ref="B163" authorId="0">
      <text>
        <r>
          <rPr>
            <sz val="8"/>
            <color indexed="81"/>
            <rFont val="Tahoma"/>
            <family val="2"/>
          </rPr>
          <t xml:space="preserve"> 
Community Health Systems, Inc. Announces Completion of Offering of $1,200 Million of 7.125% Senior Notes Due 2020 
FRANKLIN, Tenn.--(BUSINESS WIRE)--Jul. 18, 2012-- Community Health Systems, Inc. (the “Company”) (NYSE: CYH) today announced that its wholly-owned subsidiary, CHS/Community Health Systems, Inc. (the “Issuer”), had completed its offering of $1,200 million aggregate principal amount of 7.125% Senior Notes due 2020. 
As previously announced, the Company intends to use the proceeds of the offering to purchase any and all of the Issuer’s approximately $934 million aggregate principal amount of 8⅞% Senior Notes due 2015 that are validly tendered and not validly withdrawn in the cash tender offer announced on July 3, 2012, to pay for consents delivered in connection therewith, to pay related fees and expenses and, to the extent any proceeds remain, for general corporate purposes. 
</t>
        </r>
      </text>
    </comment>
  </commentList>
</comments>
</file>

<file path=xl/sharedStrings.xml><?xml version="1.0" encoding="utf-8"?>
<sst xmlns="http://schemas.openxmlformats.org/spreadsheetml/2006/main" count="1685" uniqueCount="1098">
  <si>
    <t>Adjusted EBITDA (c)</t>
  </si>
  <si>
    <t>Adjusted EBITDA as a % of net operating revenues</t>
  </si>
  <si>
    <t>Net cash provided by operating activities</t>
  </si>
  <si>
    <t>Net outpatient revenues as a % of total net operating revenues before provision for bad debts</t>
  </si>
  <si>
    <t>Net inpatient revenues as a % of total net operating revenues before provision for bad debts</t>
  </si>
  <si>
    <t>Net cash provided by operating activities as a % of net operating revenues</t>
  </si>
  <si>
    <t>SAME STORE</t>
  </si>
  <si>
    <t>Debt</t>
  </si>
  <si>
    <t>Net income attributable to noncontrolling interests</t>
  </si>
  <si>
    <t>Net income/(loss)</t>
  </si>
  <si>
    <t>Instructions:</t>
  </si>
  <si>
    <t>Dividend</t>
  </si>
  <si>
    <t>2016-Q1</t>
  </si>
  <si>
    <t>2016-Q2</t>
  </si>
  <si>
    <t>2016-Q3</t>
  </si>
  <si>
    <t>2016-Q4</t>
  </si>
  <si>
    <t>2016-FY</t>
  </si>
  <si>
    <t>Currency</t>
  </si>
  <si>
    <t>Current Stock Price</t>
  </si>
  <si>
    <t>Count</t>
  </si>
  <si>
    <t>Scenarios</t>
  </si>
  <si>
    <t>Fiscal Year End, Dec 31 2009</t>
  </si>
  <si>
    <t>Fiscal Year End, Dec 31 2010</t>
  </si>
  <si>
    <t>Fiscal Year End, Dec 31 2011</t>
  </si>
  <si>
    <t>Fiscal Year End, Dec 31 2012</t>
  </si>
  <si>
    <t>Fiscal Year End, Dec 31 2013</t>
  </si>
  <si>
    <t>Fiscal Year End, Dec 31 2014</t>
  </si>
  <si>
    <t>Fiscal Year End, Dec 31 2015</t>
  </si>
  <si>
    <t>Outpatient Rev. Growth</t>
  </si>
  <si>
    <t>1 - Bull</t>
  </si>
  <si>
    <t>2 - Base</t>
  </si>
  <si>
    <t>3 - Bear</t>
  </si>
  <si>
    <t>Inpatient Revenue per Admission</t>
  </si>
  <si>
    <t>Expenses</t>
  </si>
  <si>
    <t>Provision for doubtful accounts</t>
  </si>
  <si>
    <t>Supplies &amp; other</t>
  </si>
  <si>
    <t>The yellow boxes above drive the scenario options.</t>
  </si>
  <si>
    <t>1)  To change scenarios type 1 for Bull, 2 for Base &amp; 3 for Bear into the corresponding box.  Note that currently if you change the top scenario all scenarios change.</t>
  </si>
  <si>
    <t>2)  The numbers on this page drive changes to the PBM &amp; HCIT Tabs</t>
  </si>
  <si>
    <t>3)  To change individual numbers change the corresponding value above</t>
  </si>
  <si>
    <t>Southside Regional Medical Center</t>
  </si>
  <si>
    <t>Plateau Medical Center</t>
  </si>
  <si>
    <t>Bluefield Regional Medical Center</t>
  </si>
  <si>
    <t>Net income attributable to common (GAAP)</t>
  </si>
  <si>
    <t>Managed Care and other third-party payors</t>
  </si>
  <si>
    <t>Beds in Service</t>
  </si>
  <si>
    <t>Adj. Outpatient Admissions</t>
  </si>
  <si>
    <t>Bad Debt as a % of Gross Revenue</t>
  </si>
  <si>
    <t>Siloam Springs Memorial Hospital</t>
  </si>
  <si>
    <t>Medical Center of South Arkansas</t>
  </si>
  <si>
    <t>Lake Wales Medical Center</t>
  </si>
  <si>
    <t>Galesburg Cottage Hospital</t>
  </si>
  <si>
    <t>2010A</t>
  </si>
  <si>
    <t>2Q10A</t>
  </si>
  <si>
    <t>1Q10A</t>
  </si>
  <si>
    <t>1Q11A</t>
  </si>
  <si>
    <t xml:space="preserve">Salaries &amp; benefits as % of revenue </t>
  </si>
  <si>
    <t xml:space="preserve">Provision for bad debt as % of revenue </t>
  </si>
  <si>
    <t>Medicare</t>
  </si>
  <si>
    <t>Medicaid</t>
  </si>
  <si>
    <t>Self-pay</t>
  </si>
  <si>
    <t>Senior Analyst</t>
  </si>
  <si>
    <t>Ticker: CYH</t>
  </si>
  <si>
    <t>Bad Debt</t>
  </si>
  <si>
    <t>2011A</t>
  </si>
  <si>
    <t>Gross Revenue</t>
  </si>
  <si>
    <t xml:space="preserve">Electronic health records incentive reimbursement </t>
  </si>
  <si>
    <t>Ratios (% of net revenue)</t>
  </si>
  <si>
    <t>2Q11A</t>
  </si>
  <si>
    <t>EBITDA (Ex-HCIT)</t>
  </si>
  <si>
    <t>4Q10A</t>
  </si>
  <si>
    <t>This sheet contains Factset binary data for use with this workbook's =FDS codes.  Modifying the worksheet's contents may damage the workbook's =FDS functionality.</t>
  </si>
  <si>
    <t>ElementName</t>
  </si>
  <si>
    <t>ScaleOverride</t>
  </si>
  <si>
    <t>UnitOverride</t>
  </si>
  <si>
    <t>ReverseSign</t>
  </si>
  <si>
    <t>IsDrivingAssumption</t>
  </si>
  <si>
    <t>CYH.N</t>
  </si>
  <si>
    <t>2007-FY</t>
  </si>
  <si>
    <t>2009-FY</t>
  </si>
  <si>
    <t>2013-Q1</t>
  </si>
  <si>
    <t>2013-Q2</t>
  </si>
  <si>
    <t>2013-Q3</t>
  </si>
  <si>
    <t>Revolving Credit Loan</t>
  </si>
  <si>
    <t>Depreciation &amp; Amortization</t>
  </si>
  <si>
    <t>% of PPE</t>
  </si>
  <si>
    <t>Wtd. avg shares outstanding - basic</t>
  </si>
  <si>
    <t>Wtd. avg shares outstanding - diluted</t>
  </si>
  <si>
    <t>End of period shares outstanding</t>
  </si>
  <si>
    <t>Share repurchase</t>
  </si>
  <si>
    <t>Number of shares repurchased</t>
  </si>
  <si>
    <t>Average repurchase price</t>
  </si>
  <si>
    <t>Amount repurchased ($)</t>
  </si>
  <si>
    <t>2013-Q4</t>
  </si>
  <si>
    <t>2013-FY</t>
  </si>
  <si>
    <t>1Q12A</t>
  </si>
  <si>
    <t>USD</t>
  </si>
  <si>
    <t>Community Health Systems</t>
  </si>
  <si>
    <t>Fiscal year ends on December 31</t>
  </si>
  <si>
    <t>CYH</t>
  </si>
  <si>
    <t>($ Million, except per share data)</t>
  </si>
  <si>
    <t>1998A</t>
  </si>
  <si>
    <t>1999A</t>
  </si>
  <si>
    <t>2000A</t>
  </si>
  <si>
    <t>1Q01A</t>
  </si>
  <si>
    <t>2Q01A</t>
  </si>
  <si>
    <t>3Q01A</t>
  </si>
  <si>
    <t>4Q01A</t>
  </si>
  <si>
    <t>2001A</t>
  </si>
  <si>
    <t>1Q02A</t>
  </si>
  <si>
    <t>2Q02A</t>
  </si>
  <si>
    <t>3Q02A</t>
  </si>
  <si>
    <t>4Q02A</t>
  </si>
  <si>
    <t>2002A</t>
  </si>
  <si>
    <t>1Q03A</t>
  </si>
  <si>
    <t>2Q03A</t>
  </si>
  <si>
    <t>3Q03A</t>
  </si>
  <si>
    <t>4Q03A</t>
  </si>
  <si>
    <t>2003A</t>
  </si>
  <si>
    <t>1Q04A</t>
  </si>
  <si>
    <t>2Q04A</t>
  </si>
  <si>
    <t>3Q04A</t>
  </si>
  <si>
    <t>4Q04A</t>
  </si>
  <si>
    <t>2004A</t>
  </si>
  <si>
    <t>1Q05A</t>
  </si>
  <si>
    <t>2Q05A</t>
  </si>
  <si>
    <t>3Q05A</t>
  </si>
  <si>
    <t>4Q05A</t>
  </si>
  <si>
    <t>2005A</t>
  </si>
  <si>
    <t>1Q06A</t>
  </si>
  <si>
    <t>2Q06A</t>
  </si>
  <si>
    <t>3Q06A</t>
  </si>
  <si>
    <t>4Q06A</t>
  </si>
  <si>
    <t>2006A</t>
  </si>
  <si>
    <t>1Q07A</t>
  </si>
  <si>
    <t>2Q07A</t>
  </si>
  <si>
    <t>3Q07A</t>
  </si>
  <si>
    <t>4Q07A</t>
  </si>
  <si>
    <t>2007A</t>
  </si>
  <si>
    <t>1Q08A</t>
  </si>
  <si>
    <t>2Q08A</t>
  </si>
  <si>
    <t>3Q08A</t>
  </si>
  <si>
    <t>4Q08A</t>
  </si>
  <si>
    <t>2008A</t>
  </si>
  <si>
    <t>1Q09</t>
  </si>
  <si>
    <t>2Q09</t>
  </si>
  <si>
    <t>3Q09</t>
  </si>
  <si>
    <t>4Q09</t>
  </si>
  <si>
    <t>2009A</t>
  </si>
  <si>
    <t>D&amp;A % of PPE</t>
  </si>
  <si>
    <t>% of Variable Expenses</t>
  </si>
  <si>
    <t>Revenue Assumptions</t>
  </si>
  <si>
    <t>Expense Assumptions</t>
  </si>
  <si>
    <t>Balance Sheet &amp; Cash Flow Statement</t>
  </si>
  <si>
    <t>HCIT as % of net revenues</t>
  </si>
  <si>
    <t>Future Acquisitions</t>
  </si>
  <si>
    <t xml:space="preserve">y/y change </t>
  </si>
  <si>
    <t>Acquisitions of facilities and other related equipment</t>
  </si>
  <si>
    <t>Purchases of property and equipment</t>
  </si>
  <si>
    <t>Proceeds from sale of property and equipment</t>
  </si>
  <si>
    <t>Proceeds from disposition of hospitals and other ancillary operations</t>
  </si>
  <si>
    <t>Loss (gain) on sale of hospitals</t>
  </si>
  <si>
    <t>Revenue and EPS Variance</t>
  </si>
  <si>
    <t>Revenue Reported</t>
  </si>
  <si>
    <t xml:space="preserve">EPS Reported-GAAP </t>
  </si>
  <si>
    <t>Revenue Calculated</t>
  </si>
  <si>
    <t xml:space="preserve">EPS Calculated-GAAP </t>
  </si>
  <si>
    <t>Revenue Variance</t>
  </si>
  <si>
    <t xml:space="preserve">EPS Variance-GAAP </t>
  </si>
  <si>
    <t>Memorial Hospital, Salem County</t>
  </si>
  <si>
    <t>Methodist Healthcare of Memphis, Tennessess</t>
  </si>
  <si>
    <t xml:space="preserve">Pottstown Memorial Medical Center </t>
  </si>
  <si>
    <t>Mercy Health Center</t>
  </si>
  <si>
    <t xml:space="preserve">Berrien County Hospital </t>
  </si>
  <si>
    <t xml:space="preserve">Phoenixville Hospital </t>
  </si>
  <si>
    <t># of days in period</t>
  </si>
  <si>
    <t>Net Revenue</t>
  </si>
  <si>
    <t>Salaries &amp; benefits</t>
  </si>
  <si>
    <t>Provision for bad debt</t>
  </si>
  <si>
    <t>REVENUE</t>
  </si>
  <si>
    <t>Salaries &amp; benefits/APD</t>
  </si>
  <si>
    <t>% of Net Revenues</t>
  </si>
  <si>
    <t>% of Gross Revenues</t>
  </si>
  <si>
    <t>Y/Y Growth</t>
  </si>
  <si>
    <t>Supplies/APD</t>
  </si>
  <si>
    <t>Other operating expenses/APD</t>
  </si>
  <si>
    <t>Rent expense/APD</t>
  </si>
  <si>
    <t>Bad Debt/APD</t>
  </si>
  <si>
    <t>Supplies</t>
  </si>
  <si>
    <t>Other operating expenses</t>
  </si>
  <si>
    <t>Rent expense</t>
  </si>
  <si>
    <t>EBITDA</t>
  </si>
  <si>
    <t>Depreciation &amp; amortization</t>
  </si>
  <si>
    <t>Operating income</t>
  </si>
  <si>
    <t>Interest expense, net</t>
  </si>
  <si>
    <t>Equity gains (losses) of affiliates</t>
  </si>
  <si>
    <t>Pretax income</t>
  </si>
  <si>
    <t>Tax expense (benefit)</t>
  </si>
  <si>
    <t>Early retirement of debt, net</t>
  </si>
  <si>
    <t>Net income from continuing operations</t>
  </si>
  <si>
    <t>Discontinued Operations:</t>
  </si>
  <si>
    <t>(Loss)/income of discontinued operations</t>
  </si>
  <si>
    <t>Impairment on discontinued operations</t>
  </si>
  <si>
    <t>(Loss)/gain on sale</t>
  </si>
  <si>
    <t>Discontinued operations, net</t>
  </si>
  <si>
    <t xml:space="preserve">Add: Convertible notes interest, net </t>
  </si>
  <si>
    <t>Reported Net income/(loss) -- (GAAP)</t>
  </si>
  <si>
    <t>Non-operating Adjustments</t>
  </si>
  <si>
    <t>Other "one time" items</t>
  </si>
  <si>
    <t>Total non-operating adjustments</t>
  </si>
  <si>
    <t xml:space="preserve">Other operating expenses as % of revenue </t>
  </si>
  <si>
    <t>Salaries &amp; benefits expense</t>
  </si>
  <si>
    <t>Provision for bad debt expense</t>
  </si>
  <si>
    <t>Depreciation &amp; amortization as % of net revenues</t>
  </si>
  <si>
    <t>Interest expense, net as % of net revenues</t>
  </si>
  <si>
    <t>Operating net income</t>
  </si>
  <si>
    <t>Operating EPS - Fully Diluted</t>
  </si>
  <si>
    <t>y/y growth</t>
  </si>
  <si>
    <t>GAAP EPS, continuing operations (ex. disc. Ops)</t>
  </si>
  <si>
    <t>Reported GAAP EPS, (cont &amp; discont. Ops)</t>
  </si>
  <si>
    <t>Adjusted EBITDA Reconciliation</t>
  </si>
  <si>
    <t>Adjusted EBITDA</t>
  </si>
  <si>
    <t xml:space="preserve">Supplies expense % of revenue </t>
  </si>
  <si>
    <t xml:space="preserve">Rent exp as % of revenue </t>
  </si>
  <si>
    <t>Margins</t>
  </si>
  <si>
    <t>EBITDA Margin</t>
  </si>
  <si>
    <t>Operating margin</t>
  </si>
  <si>
    <t>Pretax margin</t>
  </si>
  <si>
    <t>Net margin</t>
  </si>
  <si>
    <t>Effective tax rate</t>
  </si>
  <si>
    <t>YOY % Change</t>
  </si>
  <si>
    <t>Revenue growth</t>
  </si>
  <si>
    <t>EBITDA growth</t>
  </si>
  <si>
    <t>Adjusted EBITDA growth</t>
  </si>
  <si>
    <t>Bad debt expense</t>
  </si>
  <si>
    <t>Supplies expense</t>
  </si>
  <si>
    <t>Other operating expense</t>
  </si>
  <si>
    <t>Admissions</t>
  </si>
  <si>
    <t>Adjusted Admissions</t>
  </si>
  <si>
    <t>Patient Days</t>
  </si>
  <si>
    <t>Adjusted Patient Days</t>
  </si>
  <si>
    <t>Facilities</t>
  </si>
  <si>
    <t>Hospitals - beg of period</t>
  </si>
  <si>
    <t>Additions - de novo</t>
  </si>
  <si>
    <t>Additions - acquisitions</t>
  </si>
  <si>
    <t>Divestitures / Discontinued</t>
  </si>
  <si>
    <t>Hospitals - end of period</t>
  </si>
  <si>
    <t>Licensed Beds</t>
  </si>
  <si>
    <t>Beds - beg. of period</t>
  </si>
  <si>
    <t>Licensed Beds - end of period</t>
  </si>
  <si>
    <t>y/y change</t>
  </si>
  <si>
    <t>Beds In Service - end of period</t>
  </si>
  <si>
    <t>% of total</t>
  </si>
  <si>
    <t>Avg Licensed Beds</t>
  </si>
  <si>
    <t>Avg Beds In Service</t>
  </si>
  <si>
    <t>Utilization</t>
  </si>
  <si>
    <t>y/y change - reported</t>
  </si>
  <si>
    <t>N/A</t>
  </si>
  <si>
    <t>Average Length of Stay</t>
  </si>
  <si>
    <t xml:space="preserve">Average Daily Census </t>
  </si>
  <si>
    <t>Occupancy Rate (Beds in Service)</t>
  </si>
  <si>
    <t>Volumes</t>
  </si>
  <si>
    <t>Inpatient Admissions Per Beds In Service</t>
  </si>
  <si>
    <t>Adjusted Admissions Per Beds In Service</t>
  </si>
  <si>
    <t>Inpatient Admissions</t>
  </si>
  <si>
    <t>CapEx as % of revs</t>
  </si>
  <si>
    <t>Equivalent Factor</t>
  </si>
  <si>
    <t>Pricing</t>
  </si>
  <si>
    <t>3Q12A</t>
  </si>
  <si>
    <t>Proceeds from receivables facility</t>
  </si>
  <si>
    <t>Revenue Per Inpatient Admission</t>
  </si>
  <si>
    <t>Revenue Per Outpatient Admission</t>
  </si>
  <si>
    <t>Revenue Per Adjusted Admission</t>
  </si>
  <si>
    <t>Revenues</t>
  </si>
  <si>
    <t>Inpatient Revenue / Patient Day ($)</t>
  </si>
  <si>
    <t>Total Patient Rev Per / Patient Day ($)</t>
  </si>
  <si>
    <t>Inpatient Revenue / Avg. Bed in Service</t>
  </si>
  <si>
    <t>Total Patient Rev / Avg. Bed in Service</t>
  </si>
  <si>
    <t>Total Inpatient Revenue</t>
  </si>
  <si>
    <t>% of total revenue</t>
  </si>
  <si>
    <t>Total Outpatient Revenue</t>
  </si>
  <si>
    <t>Total Hospital/Patient Revenue</t>
  </si>
  <si>
    <t>Total Revenue</t>
  </si>
  <si>
    <t xml:space="preserve"> </t>
  </si>
  <si>
    <t>Mercy Health Partners LLC</t>
  </si>
  <si>
    <t>Form Health</t>
  </si>
  <si>
    <t>Georgia Home Health Care Agency Inc</t>
  </si>
  <si>
    <t>Marion Regional Healthcare System</t>
  </si>
  <si>
    <t>Rockwood Clinic, P.S</t>
  </si>
  <si>
    <t>Massillon Community Health Systems LLC</t>
  </si>
  <si>
    <t>Wyoming Valley Health Care System</t>
  </si>
  <si>
    <t>MWMC Holdings LLC</t>
  </si>
  <si>
    <t xml:space="preserve">Empire Health Services </t>
  </si>
  <si>
    <t>Affinity Health Systems LLC</t>
  </si>
  <si>
    <t>Triad Hospitals Inc</t>
  </si>
  <si>
    <t>Porter Health</t>
  </si>
  <si>
    <t>Lincoln General Hospital, Ruston,Louisiana</t>
  </si>
  <si>
    <t xml:space="preserve">Campbell Memorial Hospital </t>
  </si>
  <si>
    <t>Union County Hospital,Anna, Illinois</t>
  </si>
  <si>
    <t xml:space="preserve">Vista Health </t>
  </si>
  <si>
    <t>Mineral Area Regional Medical Center</t>
  </si>
  <si>
    <t>Baptist Health System- Hospitals(2)</t>
  </si>
  <si>
    <t>Baptist Memorial Hospital- Forrest City</t>
  </si>
  <si>
    <t>Bradley Memorial Hosp,TN</t>
  </si>
  <si>
    <t xml:space="preserve">Sunbury Community Hosp,PA </t>
  </si>
  <si>
    <t>Newport Hospital &amp; Clinic</t>
  </si>
  <si>
    <t xml:space="preserve">Bedford County Medical Center </t>
  </si>
  <si>
    <t xml:space="preserve">Chestnut Hill Hospital </t>
  </si>
  <si>
    <t>Outpatient/Other</t>
  </si>
  <si>
    <t>ND</t>
  </si>
  <si>
    <t>Depreciation and amortization</t>
  </si>
  <si>
    <t>MW items</t>
  </si>
  <si>
    <t>Unrecorded Goodwill</t>
  </si>
  <si>
    <t>Statutory tax</t>
  </si>
  <si>
    <t>2005-Q1</t>
  </si>
  <si>
    <t>2005-Q2</t>
  </si>
  <si>
    <t>2005-Q3</t>
  </si>
  <si>
    <t>2005-Q4</t>
  </si>
  <si>
    <t>2005-FY</t>
  </si>
  <si>
    <t>2006-Q1</t>
  </si>
  <si>
    <t>2006-Q2</t>
  </si>
  <si>
    <t>2006-Q3</t>
  </si>
  <si>
    <t>2006-Q4</t>
  </si>
  <si>
    <t>2006-FY</t>
  </si>
  <si>
    <t>2007-Q1</t>
  </si>
  <si>
    <t>2007-Q2</t>
  </si>
  <si>
    <t>2007-Q3</t>
  </si>
  <si>
    <t>2007-Q4</t>
  </si>
  <si>
    <t>2008-Q1</t>
  </si>
  <si>
    <t>2008-Q2</t>
  </si>
  <si>
    <t>2008-Q3</t>
  </si>
  <si>
    <t>2008-Q4</t>
  </si>
  <si>
    <t>2008-FY</t>
  </si>
  <si>
    <t>2009-Q1</t>
  </si>
  <si>
    <t>2009-Q2</t>
  </si>
  <si>
    <t>2009-Q3</t>
  </si>
  <si>
    <t>2009-Q4</t>
  </si>
  <si>
    <t>2010-Q1</t>
  </si>
  <si>
    <t>2010-Q2</t>
  </si>
  <si>
    <t>2010-Q3</t>
  </si>
  <si>
    <t>2010-Q4</t>
  </si>
  <si>
    <t>2010-FY</t>
  </si>
  <si>
    <t>3Q11A</t>
  </si>
  <si>
    <t>2011-Q1</t>
  </si>
  <si>
    <t>2011-Q2</t>
  </si>
  <si>
    <t>2011-Q3</t>
  </si>
  <si>
    <t>2011-Q4</t>
  </si>
  <si>
    <t>2011-FY</t>
  </si>
  <si>
    <t>2012-Q1</t>
  </si>
  <si>
    <t>2012-Q2</t>
  </si>
  <si>
    <t>2012-Q3</t>
  </si>
  <si>
    <t>2012-Q4</t>
  </si>
  <si>
    <t>2012-FY</t>
  </si>
  <si>
    <t>Accrued liabilities</t>
  </si>
  <si>
    <t>Impairment of hospitals sold</t>
  </si>
  <si>
    <t>Issuance of long-term debt</t>
  </si>
  <si>
    <t>Repayments of long-term indebtedness</t>
  </si>
  <si>
    <t>Loss from early extinguishment of debt</t>
  </si>
  <si>
    <t>Repurchase of restricted stock shares for payroll tax withholding requirements</t>
  </si>
  <si>
    <t>2Q12A</t>
  </si>
  <si>
    <t>Interest Rate - commitment fee on unused funds</t>
  </si>
  <si>
    <t>Total Available</t>
  </si>
  <si>
    <t>Remaining Amount Available</t>
  </si>
  <si>
    <t>Interest Expense - commitment fee</t>
  </si>
  <si>
    <t>Credit Facility, Term A</t>
  </si>
  <si>
    <t>8% Senior Notes due 2019</t>
  </si>
  <si>
    <t>Capital lease obligations</t>
  </si>
  <si>
    <t>Receivables Facility</t>
  </si>
  <si>
    <t>4Q11A</t>
  </si>
  <si>
    <t>Cash Flow from Operations</t>
  </si>
  <si>
    <t>Other</t>
  </si>
  <si>
    <t>SAME STORE DRIVERS - REPORTED</t>
  </si>
  <si>
    <t>VOLUMES:</t>
  </si>
  <si>
    <t>y/y change - restated</t>
  </si>
  <si>
    <t>PRICING:</t>
  </si>
  <si>
    <t>Inpatient Revenue Per Inpatient Admission</t>
  </si>
  <si>
    <t>UTILIZATION &amp; OTHER METRICS:</t>
  </si>
  <si>
    <t>Averge length of stay</t>
  </si>
  <si>
    <t>Occupancy Rate (Avg. Beds in Service)</t>
  </si>
  <si>
    <t>as % of total revenue</t>
  </si>
  <si>
    <t>D&amp;A</t>
  </si>
  <si>
    <t>Equity in earnings of unconsolidated affiliates</t>
  </si>
  <si>
    <t>Gross accounts receivable</t>
  </si>
  <si>
    <t>Allowance for doubtful accounts</t>
  </si>
  <si>
    <t>Patient accounts receivable, net</t>
  </si>
  <si>
    <t>Prepaid income taxes</t>
  </si>
  <si>
    <t>Prepaid expenses and taxes</t>
  </si>
  <si>
    <t>Deferred income taxes</t>
  </si>
  <si>
    <t>Other current assets</t>
  </si>
  <si>
    <t>Total Current Assets</t>
  </si>
  <si>
    <t>Property &amp; equipment, net</t>
  </si>
  <si>
    <t>Goodwill</t>
  </si>
  <si>
    <t>Other assets</t>
  </si>
  <si>
    <t>Total Assets</t>
  </si>
  <si>
    <t>Current maturities of long-term debt</t>
  </si>
  <si>
    <t>Accounts payable</t>
  </si>
  <si>
    <t>Income taxes payable</t>
  </si>
  <si>
    <t>Accrued interest</t>
  </si>
  <si>
    <t>Controllable expenses</t>
  </si>
  <si>
    <t>Total Current Liabilities</t>
  </si>
  <si>
    <t>Long-term debt</t>
  </si>
  <si>
    <t>Redeemable noncontrolling interests in equity</t>
  </si>
  <si>
    <t>Other long-term liabilities</t>
  </si>
  <si>
    <t>Total Liabilities</t>
  </si>
  <si>
    <t xml:space="preserve">Common stock </t>
  </si>
  <si>
    <t>Additional paid-in capital</t>
  </si>
  <si>
    <t>Retained earnings (accumulated deficit)</t>
  </si>
  <si>
    <t>Treasury stock</t>
  </si>
  <si>
    <t>Accum. other comprehensive income (loss)</t>
  </si>
  <si>
    <t>% of Revenue</t>
  </si>
  <si>
    <t>Regional Hospital of Scranton System: Scranton, Pennsylvania</t>
  </si>
  <si>
    <t>Tomball Regional Medical Center: Tomball, Texas (October 2011)</t>
  </si>
  <si>
    <t>Moses Taylor Health System: Scranton, Pennsylvania (January 2012)</t>
  </si>
  <si>
    <t>MetroSouth Medical Center: Blue Island, Illinois (March 2012)</t>
  </si>
  <si>
    <t>Memorial Hospital: York, Pennsylvania (July 2012)</t>
  </si>
  <si>
    <t>Acquired Admissions</t>
  </si>
  <si>
    <t>Acquired Adjusted Admissions</t>
  </si>
  <si>
    <t>Occupancy rate (average beds in service)</t>
  </si>
  <si>
    <t>Circularity</t>
  </si>
  <si>
    <t>Revenue Mix</t>
  </si>
  <si>
    <t>Reported Hospital Metrics</t>
  </si>
  <si>
    <t>Operating Revenue (before bad debt)</t>
  </si>
  <si>
    <t>Net Operating Revenue (excluding bad debt)</t>
  </si>
  <si>
    <t>Salaries &amp; benefits/AA</t>
  </si>
  <si>
    <t>Supplies/AA</t>
  </si>
  <si>
    <t>Rent/AA</t>
  </si>
  <si>
    <t>D&amp;A/AA</t>
  </si>
  <si>
    <t>Bad Debt/AA</t>
  </si>
  <si>
    <t>Other Operating Expenses/AA</t>
  </si>
  <si>
    <t>Average length of stay (days)</t>
  </si>
  <si>
    <t>SW&amp;B</t>
  </si>
  <si>
    <t>Noncontrolling interests in equity of consolidated subs</t>
  </si>
  <si>
    <t>Total Shareholders' Equity</t>
  </si>
  <si>
    <t>Liabilities &amp; Equity</t>
  </si>
  <si>
    <t>Leverage and Liquidity Ratios</t>
  </si>
  <si>
    <t>Leverage Ratios</t>
  </si>
  <si>
    <t>Debt-to total capital</t>
  </si>
  <si>
    <t>Net debt-to total capital</t>
  </si>
  <si>
    <t>Debt-to-equity</t>
  </si>
  <si>
    <t>Net debt-to-equity</t>
  </si>
  <si>
    <t>Debt-to-EBITDA (annualized)</t>
  </si>
  <si>
    <t>Debt-to-Adj. EBITDA</t>
  </si>
  <si>
    <t>Net debt-to-EBITDA</t>
  </si>
  <si>
    <t>Net debt-to-Adj. EBITDA</t>
  </si>
  <si>
    <t>Coverage Ratios</t>
  </si>
  <si>
    <t>Interest Coverage (EBIT)</t>
  </si>
  <si>
    <t>Interest Coverage (EBITDA)</t>
  </si>
  <si>
    <t>Cash flow-to-interest</t>
  </si>
  <si>
    <t>A = L + SE?</t>
  </si>
  <si>
    <t>Net issuance</t>
  </si>
  <si>
    <t>Retained earnings adjustments</t>
  </si>
  <si>
    <t>Balance Sheet Analysis</t>
  </si>
  <si>
    <t>Accounts receivable analysis</t>
  </si>
  <si>
    <t>Accounts receivable gross - ending</t>
  </si>
  <si>
    <t>Allowance for doubtful accounts - ending</t>
  </si>
  <si>
    <t>Accounts receivable, net - ending</t>
  </si>
  <si>
    <t>Allowance for doubtful accts (opening)</t>
  </si>
  <si>
    <t>as a % of net sales</t>
  </si>
  <si>
    <t>Additions from acquisitions</t>
  </si>
  <si>
    <t>Write-offs</t>
  </si>
  <si>
    <t>Allowance for doubtful accts (closing)</t>
  </si>
  <si>
    <t>as a % of gross receivables</t>
  </si>
  <si>
    <t>LTM Bad Debt Expense</t>
  </si>
  <si>
    <t>LTM Writeoffs</t>
  </si>
  <si>
    <t>Cash receipts</t>
  </si>
  <si>
    <t>% of (revenue - bad debt)</t>
  </si>
  <si>
    <t>Ending receivables collection period</t>
  </si>
  <si>
    <t>Inventory turnover</t>
  </si>
  <si>
    <t>Ending days of inventory in stock</t>
  </si>
  <si>
    <t>Ending payables payment period</t>
  </si>
  <si>
    <t>Prepaid expenses (% of oper exp)</t>
  </si>
  <si>
    <t>Net Income</t>
  </si>
  <si>
    <t>Depreciation and Amortization</t>
  </si>
  <si>
    <t>Minority interest/net income for noncontrolling interest</t>
  </si>
  <si>
    <t>Stock compensation expense</t>
  </si>
  <si>
    <t>Excess tax benefits from stock-based comp</t>
  </si>
  <si>
    <t>Other non-cash (income) expenses, net</t>
  </si>
  <si>
    <t>Patient account receivable</t>
  </si>
  <si>
    <t>Supplies, prepaid expenses and other</t>
  </si>
  <si>
    <t>Accounts payable, accrued liabilities &amp; taxes</t>
  </si>
  <si>
    <t>Change in Working Capital</t>
  </si>
  <si>
    <t>as % of net income + D&amp;A</t>
  </si>
  <si>
    <t>D&amp;A/APD</t>
  </si>
  <si>
    <t>Acquisitions</t>
  </si>
  <si>
    <t>Increase in other non-operating assets</t>
  </si>
  <si>
    <t>Cash Flow from Investing</t>
  </si>
  <si>
    <t>Proceeds from issuance of common stock</t>
  </si>
  <si>
    <t>Proceeds from issuance of convertible debt</t>
  </si>
  <si>
    <t>Proceeds from exercise of stock options</t>
  </si>
  <si>
    <t>Excess tax benefits relating to stock-based comp</t>
  </si>
  <si>
    <t>Common stock purchased for treasury</t>
  </si>
  <si>
    <t>Proceeds from minority investments</t>
  </si>
  <si>
    <t>Redemption of minority investments</t>
  </si>
  <si>
    <t>Distributions to minority investors</t>
  </si>
  <si>
    <t>Debt issuance costs/deferred financing costs</t>
  </si>
  <si>
    <t>Borrowings under Credit Agreement</t>
  </si>
  <si>
    <t>Cash Flow from Financing</t>
  </si>
  <si>
    <t>Cash &amp; equivalents - beg of period</t>
  </si>
  <si>
    <t>Change in cash &amp; equivalents</t>
  </si>
  <si>
    <t>Cash &amp; equivalents - end of period</t>
  </si>
  <si>
    <t>FREE CASH FLOW ANALYSIS</t>
  </si>
  <si>
    <t>Free Cash Flow</t>
  </si>
  <si>
    <t>Free cash flow / share</t>
  </si>
  <si>
    <t>Cash and cash equivalents</t>
  </si>
  <si>
    <t>2015-Q1</t>
  </si>
  <si>
    <t>2015-Q2</t>
  </si>
  <si>
    <t>2015-Q3</t>
  </si>
  <si>
    <t>2015-Q4</t>
  </si>
  <si>
    <t>2015-FY</t>
  </si>
  <si>
    <t>Helena Regional Medical Center</t>
  </si>
  <si>
    <t>2014-Q1</t>
  </si>
  <si>
    <t>2014-Q2</t>
  </si>
  <si>
    <t>2014-Q3</t>
  </si>
  <si>
    <t>2014-Q4</t>
  </si>
  <si>
    <t>2014-FY</t>
  </si>
  <si>
    <t>3Q10A</t>
  </si>
  <si>
    <t>Lock Haven Hospital</t>
  </si>
  <si>
    <t>Interest Rate - funds drawn</t>
  </si>
  <si>
    <t>Beg. Balance</t>
  </si>
  <si>
    <t>Ending Balance</t>
  </si>
  <si>
    <t>Interest Expense - loans</t>
  </si>
  <si>
    <t>$1,600M 5.125% Senior Secured Notes Due 2018</t>
  </si>
  <si>
    <t>Rate</t>
  </si>
  <si>
    <t>Beginning Cash Balance</t>
  </si>
  <si>
    <t>Ending Cash Balance</t>
  </si>
  <si>
    <t>Interest income</t>
  </si>
  <si>
    <t>Interest Expense</t>
  </si>
  <si>
    <t>Estimated Total Interest Expense</t>
  </si>
  <si>
    <t>Actual (reported) interest expense</t>
  </si>
  <si>
    <t>Check</t>
  </si>
  <si>
    <t>Total Debt</t>
  </si>
  <si>
    <t>Total debt - calculated</t>
  </si>
  <si>
    <t>Current portion of LT debt</t>
  </si>
  <si>
    <t>Number of hospitals (at end of period)</t>
  </si>
  <si>
    <t>Licensed beds (at end of period)</t>
  </si>
  <si>
    <t>Beds in service (at end of period)</t>
  </si>
  <si>
    <t>Adjusted admissions</t>
  </si>
  <si>
    <t>Patient days</t>
  </si>
  <si>
    <t>Net operating revenues</t>
  </si>
  <si>
    <t>Income from operations</t>
  </si>
  <si>
    <t>Income from operations as a % of net operating revenues</t>
  </si>
  <si>
    <t>MSe</t>
  </si>
  <si>
    <t>(Loss)/gain from early retirement of debt or other</t>
  </si>
  <si>
    <t>4Q12A</t>
  </si>
  <si>
    <t>2012A</t>
  </si>
  <si>
    <t>1Q13A</t>
  </si>
  <si>
    <t>2Q13A</t>
  </si>
  <si>
    <t>Adj. Tax rate</t>
  </si>
  <si>
    <t>Other &amp; Gain (loss) from hospital sales</t>
  </si>
  <si>
    <t>3Q13A</t>
  </si>
  <si>
    <t>4Q13A</t>
  </si>
  <si>
    <t>$1,000 5.125% Secured Bonds due 2021</t>
  </si>
  <si>
    <t>$3000M 6.875% Unsecured Bonds due 2022</t>
  </si>
  <si>
    <t>Divestitures tied to HMA Deal</t>
  </si>
  <si>
    <t>Sharon</t>
  </si>
  <si>
    <t>Munroe</t>
  </si>
  <si>
    <t>2013A</t>
  </si>
  <si>
    <t>Adj. EBITDA for Consensus</t>
  </si>
  <si>
    <t>Adj. EBITDA for Consensus tag</t>
  </si>
  <si>
    <t>Fiscal Year End, Dec 31 2016</t>
  </si>
  <si>
    <t>1Q14A</t>
  </si>
  <si>
    <t>Y</t>
  </si>
  <si>
    <t>2Q14A</t>
  </si>
  <si>
    <t>Government settlement and related costs</t>
  </si>
  <si>
    <t>3Q14A</t>
  </si>
  <si>
    <t>4Q14A</t>
  </si>
  <si>
    <t>2014A</t>
  </si>
  <si>
    <t>1Q15A</t>
  </si>
  <si>
    <t>2Q15A</t>
  </si>
  <si>
    <t>Fiscal Year End, Dec 31 2017</t>
  </si>
  <si>
    <t>3Q15A</t>
  </si>
  <si>
    <t>Lehigh Acres and Bartow Fl Divestitures</t>
  </si>
  <si>
    <t>3 Hospitals Available for Sale</t>
  </si>
  <si>
    <t>La Porte and Knox Indiana Hospitals</t>
  </si>
  <si>
    <t>4Q15A</t>
  </si>
  <si>
    <t>2015A</t>
  </si>
  <si>
    <t>1Q18E</t>
  </si>
  <si>
    <t>2Q18E</t>
  </si>
  <si>
    <t>3Q18E</t>
  </si>
  <si>
    <t>4Q18E</t>
  </si>
  <si>
    <t>2018E</t>
  </si>
  <si>
    <t>1Q19E</t>
  </si>
  <si>
    <t>2Q19E</t>
  </si>
  <si>
    <t>3Q19E</t>
  </si>
  <si>
    <t>4Q19E</t>
  </si>
  <si>
    <t>2019E</t>
  </si>
  <si>
    <t>1Q16A</t>
  </si>
  <si>
    <t>2Q16A</t>
  </si>
  <si>
    <t>3Q16A</t>
  </si>
  <si>
    <t>Guidance</t>
  </si>
  <si>
    <t>Consesus</t>
  </si>
  <si>
    <t>Net Operating Revenue less provision for bad debt (in $B)</t>
  </si>
  <si>
    <t>Adjusted EBITDA (in $B)</t>
  </si>
  <si>
    <t>EPS diluted</t>
  </si>
  <si>
    <t>Weighted average shares (in M)</t>
  </si>
  <si>
    <t>CAPEX (in $M)</t>
  </si>
  <si>
    <t>Operating Cash (in $B)</t>
  </si>
  <si>
    <t>4Q16A</t>
  </si>
  <si>
    <t>2016A</t>
  </si>
  <si>
    <t>0.0% to 1.5%</t>
  </si>
  <si>
    <t>112.0 to 113</t>
  </si>
  <si>
    <t>$625 to $775</t>
  </si>
  <si>
    <t>$950 to $970</t>
  </si>
  <si>
    <t>$865 to $875</t>
  </si>
  <si>
    <t>$56 to $101</t>
  </si>
  <si>
    <t>$95 to $105</t>
  </si>
  <si>
    <t>Depreciation and Amortization (in M)</t>
  </si>
  <si>
    <t>Interest expense, net (in M)</t>
  </si>
  <si>
    <t>Provision for income taxes (in M)</t>
  </si>
  <si>
    <t>Net income attributable to noncontrolling interests (in M)</t>
  </si>
  <si>
    <t>FY17</t>
  </si>
  <si>
    <t>Zachary Sopcak</t>
  </si>
  <si>
    <t>(212) 761-4002</t>
  </si>
  <si>
    <t>Zachary.Sopcak@morganstanley.com</t>
  </si>
  <si>
    <t>Go to Income Statement</t>
  </si>
  <si>
    <t>Go to Balance Sheet</t>
  </si>
  <si>
    <t>Go to Cash Flow Statement</t>
  </si>
  <si>
    <t>Go to Revenue Assumptions</t>
  </si>
  <si>
    <t>Go to Expense Assumptions</t>
  </si>
  <si>
    <t>1Q17A</t>
  </si>
  <si>
    <t>$0.25 to $0.9</t>
  </si>
  <si>
    <t>$1,200 M 7.125% Senior Notes Due 2023</t>
  </si>
  <si>
    <t>As of 4Q16</t>
  </si>
  <si>
    <t>As of 1Q17</t>
  </si>
  <si>
    <t>$945 to $970</t>
  </si>
  <si>
    <t>$890 to $910</t>
  </si>
  <si>
    <t>$50 to $89</t>
  </si>
  <si>
    <t>$87 to $105</t>
  </si>
  <si>
    <t>$0.3 to $1.1</t>
  </si>
  <si>
    <t>Hospital Divestitures</t>
  </si>
  <si>
    <t>$15 to $ 20</t>
  </si>
  <si>
    <t>HITECH electronic health records reimbursement (in $M)</t>
  </si>
  <si>
    <t>Leigh Pressman, CFA</t>
  </si>
  <si>
    <t>Associate</t>
  </si>
  <si>
    <t>(212) 761-4896</t>
  </si>
  <si>
    <t>Leigh.Pressman@morganstanley.com</t>
  </si>
  <si>
    <t>Balance Sheet</t>
  </si>
  <si>
    <t>Cash Flow Statement</t>
  </si>
  <si>
    <t>6.25% Senior Notes due 2023</t>
  </si>
  <si>
    <t>Rating: Underweight</t>
  </si>
  <si>
    <t>Fiscal Year End, Dec 31 2018</t>
  </si>
  <si>
    <t>Fiscal Year End, Dec 31 2019</t>
  </si>
  <si>
    <t>Community Health Systems Inc</t>
  </si>
  <si>
    <t>Dividend paid</t>
  </si>
  <si>
    <t>Income Statement</t>
  </si>
  <si>
    <t>mutoko</t>
  </si>
  <si>
    <t>LTM EBITDA</t>
  </si>
  <si>
    <t>LTM Adjusted EBITDA</t>
  </si>
  <si>
    <t>SAME STORE - RESTATED</t>
  </si>
  <si>
    <t>Revolving Credit Facility</t>
  </si>
  <si>
    <t>Cash available for Debt Paydown</t>
  </si>
  <si>
    <t>Secured Debt</t>
  </si>
  <si>
    <t>Unsecured Debt</t>
  </si>
  <si>
    <t>(Repayments)</t>
  </si>
  <si>
    <t>Borrowings</t>
  </si>
  <si>
    <t>Total Issuance</t>
  </si>
  <si>
    <t>Total Repayments</t>
  </si>
  <si>
    <t>CONSOLIDATED</t>
  </si>
  <si>
    <t>CONSOLIDATED - RESTATED</t>
  </si>
  <si>
    <t>Total debt  - reported</t>
  </si>
  <si>
    <t>y/y change-reported</t>
  </si>
  <si>
    <t>-2.0% to -1.0%</t>
  </si>
  <si>
    <t>2Q17A</t>
  </si>
  <si>
    <t>Government and other legal settlements</t>
  </si>
  <si>
    <t xml:space="preserve">As of 2Q17 </t>
  </si>
  <si>
    <t>$15.85 to $16.05</t>
  </si>
  <si>
    <t>-$0.30 to $0.40</t>
  </si>
  <si>
    <t>$1,200 M 7.125% Senior Notes Due 2020</t>
  </si>
  <si>
    <t>Other &amp; Unamortized Issuance Costs</t>
  </si>
  <si>
    <t>$575 to $725</t>
  </si>
  <si>
    <t>$975 to $1,125</t>
  </si>
  <si>
    <t>$1,050 to $1,225</t>
  </si>
  <si>
    <t>$25 to $ 30</t>
  </si>
  <si>
    <t>$925 to $950</t>
  </si>
  <si>
    <t>$900 to $911</t>
  </si>
  <si>
    <t>-$30 to $21</t>
  </si>
  <si>
    <t>$81 to $90</t>
  </si>
  <si>
    <t>Moses Mutoko</t>
  </si>
  <si>
    <t>(212) 761-3809</t>
  </si>
  <si>
    <t>Moses.Mutoko@morganstanley.com</t>
  </si>
  <si>
    <t>Acquired (Divested) Revenue</t>
  </si>
  <si>
    <t>Admissions - reported</t>
  </si>
  <si>
    <t>Cons.</t>
  </si>
  <si>
    <t>3Q17A</t>
  </si>
  <si>
    <t xml:space="preserve">As of 3Q17 </t>
  </si>
  <si>
    <t>$15.80 to $15.90</t>
  </si>
  <si>
    <t>$1.675 to $1.725</t>
  </si>
  <si>
    <t>$1.825 to $2.000</t>
  </si>
  <si>
    <t>$2.000 to $2.175</t>
  </si>
  <si>
    <t>$15.80 to $16.20</t>
  </si>
  <si>
    <t>-$1.30 to -$1.20</t>
  </si>
  <si>
    <t>-2.0% to -1.5%</t>
  </si>
  <si>
    <t>112.0 to 112.5</t>
  </si>
  <si>
    <t>$870 to $880</t>
  </si>
  <si>
    <t>$925 to $935</t>
  </si>
  <si>
    <t>-$54 to -$44</t>
  </si>
  <si>
    <t>$80 to $88</t>
  </si>
  <si>
    <t>$900 to $1,000</t>
  </si>
  <si>
    <t>4Q17A</t>
  </si>
  <si>
    <t>1Q20E</t>
  </si>
  <si>
    <t>2Q20E</t>
  </si>
  <si>
    <t>3Q20E</t>
  </si>
  <si>
    <t>4Q20E</t>
  </si>
  <si>
    <t>2020E</t>
  </si>
  <si>
    <t>FY2018</t>
  </si>
  <si>
    <t xml:space="preserve">As of 4Q17 </t>
  </si>
  <si>
    <t>2017A</t>
  </si>
  <si>
    <t>Credit Facility, Term G</t>
  </si>
  <si>
    <t>Credit Facility, Term H</t>
  </si>
  <si>
    <t>Credit Facility, Term F</t>
  </si>
  <si>
    <t>$700 to $800</t>
  </si>
  <si>
    <t>$13.60 to $13.90</t>
  </si>
  <si>
    <t>-$1.50 to -$1.10</t>
  </si>
  <si>
    <t>Same-store adjusted admissions growth</t>
  </si>
  <si>
    <t>-0.5% to -0.5%</t>
  </si>
  <si>
    <t>113.0 to 114</t>
  </si>
  <si>
    <t>$475 to $575</t>
  </si>
  <si>
    <t>$690 to $700</t>
  </si>
  <si>
    <t>$71 to $89</t>
  </si>
  <si>
    <t>$70 to $75</t>
  </si>
  <si>
    <t>$1.55 to $1.65</t>
  </si>
  <si>
    <t>q/q projections</t>
  </si>
  <si>
    <t>Research</t>
  </si>
  <si>
    <t>MSA83FVH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</si>
  <si>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</si>
  <si>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</si>
  <si>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</si>
  <si>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</si>
  <si>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</si>
  <si>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</si>
  <si>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</si>
  <si>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Zack Sopcak</t>
  </si>
  <si>
    <t>Date: 17 Apr 2018</t>
  </si>
  <si>
    <t>Ticker: CYH.N</t>
  </si>
  <si>
    <t>Stock Rating: Underweight</t>
  </si>
  <si>
    <t>Industry: Healthcare Facilities &amp; Managed Care</t>
  </si>
  <si>
    <t>Industry View: In-Line</t>
  </si>
  <si>
    <t>Price as of 17 Apr 2018: 4.18</t>
  </si>
  <si>
    <t>Target Price: 4</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</si>
  <si>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</si>
  <si>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</si>
  <si>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</si>
  <si>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</si>
  <si>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Community Health Systems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</si>
  <si>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</si>
  <si>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</si>
  <si>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</si>
  <si>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</si>
  <si>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</si>
  <si>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</si>
  <si>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</si>
  <si>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</si>
  <si>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</si>
  <si>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</si>
  <si>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</si>
  <si>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</si>
  <si>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</si>
  <si>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</si>
  <si>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</si>
  <si>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Total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</si>
  <si>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</si>
  <si>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</si>
  <si>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</si>
  <si>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</si>
  <si>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</si>
  <si>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</si>
  <si>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</si>
  <si>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</si>
  <si>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</si>
  <si>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</si>
  <si>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</si>
  <si>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</si>
  <si>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</si>
  <si>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</si>
  <si>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</si>
  <si>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</si>
  <si>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</si>
  <si>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</si>
  <si>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</si>
  <si>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</si>
  <si>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</si>
  <si>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</si>
  <si>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</si>
  <si>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</si>
  <si>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</si>
  <si>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</si>
  <si>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</si>
  <si>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</si>
  <si>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</si>
  <si>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</si>
  <si>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</si>
  <si>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</si>
  <si>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</si>
  <si>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</si>
  <si>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</si>
  <si>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</si>
  <si>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</si>
  <si>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</si>
  <si>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</si>
  <si>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</si>
  <si>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</si>
  <si>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</si>
  <si>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</si>
  <si>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</si>
  <si>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</si>
  <si>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</si>
  <si>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</si>
  <si>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</si>
  <si>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</si>
  <si>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</si>
  <si>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</si>
  <si>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</si>
  <si>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</si>
  <si>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</si>
  <si>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</si>
  <si>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</si>
  <si>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</si>
  <si>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</si>
  <si>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</si>
  <si>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</si>
  <si>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</si>
  <si>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</si>
  <si>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</si>
  <si>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</si>
  <si>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</si>
  <si>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</si>
  <si>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</si>
  <si>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</si>
  <si>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</si>
  <si>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</si>
  <si>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</si>
  <si>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</si>
  <si>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</si>
  <si>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</si>
  <si>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</si>
  <si>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</si>
  <si>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</si>
  <si>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</si>
  <si>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</si>
  <si>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</si>
  <si>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</si>
  <si>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</si>
  <si>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</si>
  <si>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</si>
  <si>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</si>
  <si>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</si>
  <si>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</si>
  <si>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</si>
  <si>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</si>
  <si>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</si>
  <si>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</si>
  <si>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</si>
  <si>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</si>
  <si>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</si>
  <si>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</si>
  <si>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</si>
  <si>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</si>
  <si>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</si>
  <si>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</si>
  <si>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</si>
  <si>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</si>
  <si>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</si>
  <si>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</si>
  <si>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</si>
  <si>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</si>
  <si>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</si>
  <si>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</si>
  <si>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</si>
  <si>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</si>
  <si>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</si>
  <si>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</si>
  <si>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</si>
  <si>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</si>
  <si>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</si>
  <si>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</si>
  <si>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</si>
  <si>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</si>
  <si>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</si>
  <si>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</si>
  <si>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</si>
  <si>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</si>
  <si>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</si>
  <si>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</si>
  <si>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</si>
  <si>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</si>
  <si>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</si>
  <si>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</si>
  <si>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</si>
  <si>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</si>
  <si>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</si>
  <si>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</si>
  <si>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</si>
  <si>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</si>
  <si>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</si>
  <si>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</si>
  <si>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</si>
  <si>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</si>
  <si>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</si>
  <si>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</si>
  <si>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</si>
  <si>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</si>
  <si>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</si>
  <si>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</si>
  <si>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</si>
  <si>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</si>
  <si>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</si>
  <si>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</si>
  <si>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</si>
  <si>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</si>
  <si>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</si>
  <si>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</si>
  <si>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</si>
  <si>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</si>
  <si>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</si>
  <si>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</si>
  <si>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</si>
  <si>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</si>
  <si>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</si>
  <si>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</si>
  <si>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</si>
  <si>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</si>
  <si>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</si>
  <si>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</si>
  <si>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</si>
  <si>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</si>
  <si>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</si>
  <si>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</si>
  <si>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</si>
  <si>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</si>
  <si>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</si>
  <si>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</si>
  <si>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</si>
  <si>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</si>
  <si>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</si>
  <si>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</si>
  <si>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</si>
  <si>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</si>
  <si>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</si>
  <si>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</si>
  <si>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</si>
  <si>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</si>
  <si>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</si>
  <si>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</si>
  <si>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</si>
  <si>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</si>
  <si>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</si>
  <si>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</si>
  <si>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</si>
  <si>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</si>
  <si>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</si>
  <si>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</si>
  <si>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</si>
  <si>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</si>
  <si>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</si>
  <si>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</si>
  <si>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</si>
  <si>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</si>
  <si>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</si>
  <si>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</si>
  <si>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</si>
  <si>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</si>
  <si>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</si>
  <si>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</si>
  <si>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</si>
  <si>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</si>
  <si>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</si>
  <si>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</si>
  <si>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</si>
  <si>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</si>
  <si>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</si>
  <si>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</si>
  <si>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</si>
  <si>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</si>
  <si>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</si>
  <si>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</si>
  <si>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</si>
  <si>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</si>
  <si>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</si>
  <si>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</si>
  <si>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</si>
  <si>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</si>
  <si>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</si>
  <si>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</si>
  <si>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</si>
  <si>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</si>
  <si>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</si>
  <si>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</si>
  <si>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</si>
  <si>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Community Health Systems Inc.</t>
  </si>
  <si>
    <t>Within the last 12 months, Morgan Stanley has provided or is providing investment banking services to,</t>
  </si>
  <si>
    <t>or has an investment banking client relationship with, the following company: Community Health Systems</t>
  </si>
  <si>
    <t>Inc.</t>
  </si>
  <si>
    <t>Within the last 12 months, Morgan Stanley has received compensation for products and services other than</t>
  </si>
  <si>
    <t>investment banking services from Community Health Systems Inc.</t>
  </si>
  <si>
    <t>In the next 3 months, Morgan Stanley expects to receive or intends to seek compensation for investment</t>
  </si>
  <si>
    <t>banking services from Community Health Systems Inc.</t>
  </si>
  <si>
    <t>Within the last 12 months, Morgan Stanley has received compensation for investment banking services from</t>
  </si>
  <si>
    <t>Community Health Systems Inc.</t>
  </si>
  <si>
    <t>Within the last 12 months, Morgan Stanley managed or co-managed a public offering (or 144A offering) of</t>
  </si>
  <si>
    <t>securities of Community Health Systems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</si>
  <si>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</si>
  <si>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</si>
  <si>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</si>
  <si>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</si>
  <si>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</si>
  <si>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Zack Sopcak.</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</si>
  <si>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</si>
  <si>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</si>
  <si>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</si>
  <si>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</si>
  <si>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</si>
  <si>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</si>
  <si>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</si>
  <si>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</si>
  <si>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</si>
  <si>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</si>
  <si>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</si>
  <si>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</si>
  <si>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</si>
  <si>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</si>
  <si>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</si>
  <si>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</si>
  <si>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</si>
  <si>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</si>
  <si>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</si>
  <si>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</si>
  <si>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</si>
  <si>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</si>
  <si>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</si>
  <si>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</si>
  <si>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</si>
  <si>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</si>
  <si>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</si>
  <si>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</si>
  <si>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</si>
  <si>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</si>
  <si>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</si>
  <si>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</si>
  <si>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</si>
  <si>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</si>
  <si>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</si>
  <si>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</si>
  <si>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</si>
  <si>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</si>
  <si>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</si>
  <si>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</si>
  <si>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</si>
  <si>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</si>
  <si>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</si>
  <si>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</si>
  <si>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</si>
  <si>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</si>
  <si>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</si>
  <si>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</si>
  <si>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</si>
  <si>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</si>
  <si>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</si>
  <si>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</si>
  <si>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</si>
  <si>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</si>
  <si>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</si>
  <si>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</si>
  <si>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</si>
  <si>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</si>
  <si>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</si>
  <si>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</si>
  <si>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</si>
  <si>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</si>
  <si>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</si>
  <si>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</si>
  <si>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</si>
  <si>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</si>
  <si>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</si>
  <si>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</si>
  <si>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</si>
  <si>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Regular Update</t>
  </si>
  <si>
    <t>NorthAmerica</t>
  </si>
  <si>
    <t>\\Msad\root\NA\NY\LIB\ER\HEALTH\MCOs-Facilities\Models\Rlink Models\CYH.xlsm</t>
  </si>
  <si>
    <t>[BRO MSA]</t>
  </si>
  <si>
    <t>[PRODUCT MODEL]</t>
  </si>
  <si>
    <t>[EMAIL_ALERT YES]</t>
  </si>
  <si>
    <t>[DISCIPLINE Company]</t>
  </si>
  <si>
    <t>[SUPPRESSED NO]</t>
  </si>
  <si>
    <t>[DOCDAT 2018-04-17]</t>
  </si>
  <si>
    <t>[DOCTIME 22:25]</t>
  </si>
  <si>
    <t>[PSYM CYH.N(S&amp;P) (None)]</t>
  </si>
  <si>
    <t>[COU 1]</t>
  </si>
  <si>
    <t>[ANA ]</t>
  </si>
  <si>
    <t>[HL CYH.N Model]</t>
  </si>
  <si>
    <t>[IND ]</t>
  </si>
  <si>
    <t>[PANA MSA83FVH]</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</si>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</sst>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0_);\(0.00\)"/>
    <numFmt numFmtId="165" formatCode="&quot;$&quot;#,##0.00"/>
    <numFmt numFmtId="166" formatCode="0.0%"/>
    <numFmt numFmtId="167" formatCode="0.000%"/>
    <numFmt numFmtId="168" formatCode="_(* #,##0.0_);_(* \(#,##0.0\);_(* &quot;-&quot;??_);_(@_)"/>
    <numFmt numFmtId="169" formatCode="#,##0.0_);\(#,##0.0\)"/>
    <numFmt numFmtId="170" formatCode="_(* #,##0_);_(* \(#,##0\);_(* &quot;-&quot;??_);_(@_)"/>
    <numFmt numFmtId="171" formatCode="#,##0.0_);[Red]\(#,##0.0\)"/>
    <numFmt numFmtId="172" formatCode="&quot;$&quot;#,##0"/>
    <numFmt numFmtId="173" formatCode="_(* #,##0.0_);_(* \(#,##0.0\);_(* &quot;-&quot;?_);_(@_)"/>
    <numFmt numFmtId="174" formatCode="_(* #,##0.0000_);_(* \(#,##0.0000\);_(* &quot;-&quot;??_);_(@_)"/>
    <numFmt numFmtId="175" formatCode="_(* #,##0.000_);_(* \(#,##0.000\);_(* &quot;-&quot;??_);_(@_)"/>
    <numFmt numFmtId="176" formatCode="&quot;$&quot;#,##0.0"/>
    <numFmt numFmtId="177" formatCode="0.0"/>
    <numFmt numFmtId="178" formatCode="0.0\x"/>
    <numFmt numFmtId="179" formatCode="0_)"/>
    <numFmt numFmtId="180" formatCode="_(&quot;$&quot;* #,##0.0_);_(&quot;$&quot;* \(#,##0.0\);_(&quot;$&quot;* &quot;-&quot;??_);_(@_)"/>
    <numFmt numFmtId="181" formatCode="#,##0.0"/>
    <numFmt numFmtId="182" formatCode="0.0_);\(0.0\)"/>
    <numFmt numFmtId="183" formatCode="_(* #,##0.0000000_);_(* \(#,##0.0000000\);_(* &quot;-&quot;??_);_(@_)"/>
    <numFmt numFmtId="184" formatCode="_(&quot;$&quot;* #,##0.00000_);_(&quot;$&quot;* \(#,##0.00000\);_(&quot;$&quot;* &quot;-&quot;??_);_(@_)"/>
    <numFmt numFmtId="186" formatCode="_(* #,##0.000_);_(* \(#,##0.000\);_(* &quot;-&quot;?_);_(@_)"/>
    <numFmt numFmtId="187" formatCode="0.000"/>
    <numFmt numFmtId="188" formatCode="#,##0.000_);[Red]\(#,##0.000\)"/>
    <numFmt numFmtId="189" formatCode="_-* #,##0.0_-;\-* #,##0.0_-;_-* &quot;-&quot;?_-;_-@_-"/>
    <numFmt numFmtId="190" formatCode="mm/dd/yy\ hh:mm"/>
  </numFmts>
  <fonts count="139">
    <font>
      <sz val="10"/>
      <name val="Arial"/>
    </font>
    <font>
      <sz val="10"/>
      <name val="Arial"/>
      <family val="2"/>
    </font>
    <font>
      <sz val="10"/>
      <name val="Arial"/>
      <family val="2"/>
    </font>
    <font>
      <sz val="10"/>
      <name val="Arial"/>
      <family val="2"/>
    </font>
    <font>
      <sz val="8"/>
      <name val="Arial"/>
      <family val="2"/>
    </font>
    <font>
      <sz val="10"/>
      <name val="Times New Roman"/>
      <family val="1"/>
    </font>
    <font>
      <u/>
      <sz val="10"/>
      <color indexed="12"/>
      <name val="Arial"/>
      <family val="2"/>
    </font>
    <font>
      <sz val="8"/>
      <color indexed="9"/>
      <name val="Arial"/>
      <family val="2"/>
    </font>
    <font>
      <b/>
      <sz val="8"/>
      <color indexed="9"/>
      <name val="Arial"/>
      <family val="2"/>
    </font>
    <font>
      <sz val="8"/>
      <color indexed="12"/>
      <name val="Arial"/>
      <family val="2"/>
    </font>
    <font>
      <b/>
      <sz val="8"/>
      <color indexed="12"/>
      <name val="Arial"/>
      <family val="2"/>
    </font>
    <font>
      <b/>
      <sz val="8"/>
      <name val="Arial"/>
      <family val="2"/>
    </font>
    <font>
      <b/>
      <sz val="12"/>
      <name val="Arial"/>
      <family val="2"/>
    </font>
    <font>
      <b/>
      <sz val="10"/>
      <name val="Arial"/>
      <family val="2"/>
    </font>
    <font>
      <i/>
      <sz val="8"/>
      <name val="Arial"/>
      <family val="2"/>
    </font>
    <font>
      <b/>
      <i/>
      <sz val="8"/>
      <name val="Arial"/>
      <family val="2"/>
    </font>
    <font>
      <sz val="8"/>
      <color indexed="10"/>
      <name val="Arial"/>
      <family val="2"/>
    </font>
    <font>
      <b/>
      <sz val="8"/>
      <color indexed="10"/>
      <name val="Arial"/>
      <family val="2"/>
    </font>
    <font>
      <sz val="8"/>
      <name val="Arial"/>
      <family val="2"/>
    </font>
    <font>
      <sz val="14"/>
      <name val="Arial"/>
      <family val="2"/>
    </font>
    <font>
      <i/>
      <sz val="8"/>
      <name val="Arial"/>
      <family val="2"/>
    </font>
    <font>
      <b/>
      <sz val="8"/>
      <name val="Arial"/>
      <family val="2"/>
    </font>
    <font>
      <i/>
      <sz val="8"/>
      <color indexed="10"/>
      <name val="Arial"/>
      <family val="2"/>
    </font>
    <font>
      <i/>
      <sz val="8"/>
      <color indexed="10"/>
      <name val="Arial"/>
      <family val="2"/>
    </font>
    <font>
      <u/>
      <sz val="8"/>
      <name val="Arial"/>
      <family val="2"/>
    </font>
    <font>
      <sz val="8"/>
      <color indexed="8"/>
      <name val="Arial"/>
      <family val="2"/>
    </font>
    <font>
      <b/>
      <u/>
      <sz val="8"/>
      <name val="Arial"/>
      <family val="2"/>
    </font>
    <font>
      <sz val="8"/>
      <color indexed="17"/>
      <name val="Arial"/>
      <family val="2"/>
    </font>
    <font>
      <i/>
      <sz val="8"/>
      <color indexed="12"/>
      <name val="Arial"/>
      <family val="2"/>
    </font>
    <font>
      <u/>
      <sz val="8"/>
      <name val="Arial"/>
      <family val="2"/>
    </font>
    <font>
      <sz val="8"/>
      <color indexed="12"/>
      <name val="Arial"/>
      <family val="2"/>
    </font>
    <font>
      <sz val="8"/>
      <color indexed="17"/>
      <name val="Arial"/>
      <family val="2"/>
    </font>
    <font>
      <sz val="8"/>
      <color indexed="20"/>
      <name val="Arial"/>
      <family val="2"/>
    </font>
    <font>
      <i/>
      <sz val="8"/>
      <color indexed="12"/>
      <name val="Arial"/>
      <family val="2"/>
    </font>
    <font>
      <b/>
      <u/>
      <sz val="8"/>
      <name val="Arial"/>
      <family val="2"/>
    </font>
    <font>
      <sz val="8"/>
      <color indexed="10"/>
      <name val="Arial"/>
      <family val="2"/>
    </font>
    <font>
      <b/>
      <sz val="8"/>
      <color indexed="9"/>
      <name val="Arial"/>
      <family val="2"/>
    </font>
    <font>
      <sz val="8"/>
      <color indexed="9"/>
      <name val="Arial"/>
      <family val="2"/>
    </font>
    <font>
      <b/>
      <i/>
      <sz val="8"/>
      <color indexed="9"/>
      <name val="Arial"/>
      <family val="2"/>
    </font>
    <font>
      <b/>
      <sz val="8"/>
      <color indexed="12"/>
      <name val="Arial"/>
      <family val="2"/>
    </font>
    <font>
      <sz val="10"/>
      <color indexed="9"/>
      <name val="Arial"/>
      <family val="2"/>
    </font>
    <font>
      <b/>
      <sz val="12"/>
      <color indexed="9"/>
      <name val="Arial"/>
      <family val="2"/>
    </font>
    <font>
      <sz val="11"/>
      <name val="Arial"/>
      <family val="2"/>
    </font>
    <font>
      <sz val="10"/>
      <name val="Helv"/>
      <charset val="204"/>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color indexed="81"/>
      <name val="Tahoma"/>
      <family val="2"/>
    </font>
    <font>
      <sz val="10"/>
      <color indexed="10"/>
      <name val="Arial"/>
      <family val="2"/>
    </font>
    <font>
      <sz val="10"/>
      <color indexed="8"/>
      <name val="Arial"/>
      <family val="2"/>
    </font>
    <font>
      <sz val="10"/>
      <name val="Arial"/>
      <family val="2"/>
    </font>
    <font>
      <sz val="8"/>
      <color indexed="18"/>
      <name val="Arial"/>
      <family val="2"/>
    </font>
    <font>
      <i/>
      <sz val="8"/>
      <color indexed="56"/>
      <name val="Arial"/>
      <family val="2"/>
    </font>
    <font>
      <sz val="8"/>
      <name val="Times New Roman"/>
      <family val="1"/>
    </font>
    <font>
      <sz val="8"/>
      <color indexed="62"/>
      <name val="Arial"/>
      <family val="2"/>
    </font>
    <font>
      <b/>
      <sz val="8"/>
      <color indexed="18"/>
      <name val="Arial"/>
      <family val="2"/>
    </font>
    <font>
      <b/>
      <sz val="8"/>
      <color indexed="53"/>
      <name val="Arial"/>
      <family val="2"/>
    </font>
    <font>
      <sz val="8"/>
      <color indexed="25"/>
      <name val="Arial"/>
      <family val="2"/>
    </font>
    <font>
      <b/>
      <sz val="12"/>
      <color indexed="9"/>
      <name val="Arial"/>
      <family val="2"/>
    </font>
    <font>
      <b/>
      <sz val="8"/>
      <color indexed="81"/>
      <name val="Tahoma"/>
      <family val="2"/>
    </font>
    <font>
      <b/>
      <sz val="9"/>
      <name val="Arial"/>
      <family val="2"/>
    </font>
    <font>
      <b/>
      <sz val="10"/>
      <color indexed="9"/>
      <name val="Arial"/>
      <family val="2"/>
    </font>
    <font>
      <b/>
      <sz val="9"/>
      <color indexed="9"/>
      <name val="Arial"/>
      <family val="2"/>
    </font>
    <font>
      <b/>
      <sz val="10"/>
      <color indexed="10"/>
      <name val="Arial"/>
      <family val="2"/>
    </font>
    <font>
      <b/>
      <sz val="12"/>
      <color indexed="10"/>
      <name val="Arial"/>
      <family val="2"/>
    </font>
    <font>
      <b/>
      <sz val="10"/>
      <color indexed="9"/>
      <name val="Arial"/>
      <family val="2"/>
    </font>
    <font>
      <sz val="8"/>
      <color indexed="22"/>
      <name val="Arial"/>
      <family val="2"/>
    </font>
    <font>
      <sz val="8"/>
      <color indexed="24"/>
      <name val="Arial"/>
      <family val="2"/>
    </font>
    <font>
      <sz val="9"/>
      <color indexed="81"/>
      <name val="Tahoma"/>
      <family val="2"/>
    </font>
    <font>
      <b/>
      <sz val="9"/>
      <color indexed="81"/>
      <name val="Tahoma"/>
      <family val="2"/>
    </font>
    <font>
      <sz val="8"/>
      <color indexed="10"/>
      <name val="Arial"/>
      <family val="2"/>
    </font>
    <font>
      <sz val="8"/>
      <color indexed="58"/>
      <name val="Arial"/>
      <family val="2"/>
    </font>
    <font>
      <i/>
      <sz val="8"/>
      <color indexed="8"/>
      <name val="Arial"/>
      <family val="2"/>
    </font>
    <font>
      <sz val="8"/>
      <color indexed="8"/>
      <name val="Arial"/>
      <family val="2"/>
    </font>
    <font>
      <b/>
      <sz val="8"/>
      <color indexed="8"/>
      <name val="Arial"/>
      <family val="2"/>
    </font>
    <font>
      <sz val="10"/>
      <color indexed="8"/>
      <name val="Arial"/>
      <family val="2"/>
    </font>
    <font>
      <i/>
      <sz val="8"/>
      <color indexed="58"/>
      <name val="Arial"/>
      <family val="2"/>
    </font>
    <font>
      <sz val="8"/>
      <color indexed="18"/>
      <name val="Arial"/>
      <family val="2"/>
    </font>
    <font>
      <sz val="10"/>
      <name val="Arial"/>
      <family val="2"/>
    </font>
    <font>
      <sz val="9"/>
      <name val="Arial"/>
      <family val="2"/>
    </font>
    <font>
      <b/>
      <u/>
      <sz val="8"/>
      <color indexed="9"/>
      <name val="Arial"/>
      <family val="2"/>
    </font>
    <font>
      <sz val="8"/>
      <color indexed="24"/>
      <name val="Arial"/>
      <family val="2"/>
    </font>
    <font>
      <sz val="8"/>
      <color indexed="8"/>
      <name val="Arial"/>
      <family val="2"/>
    </font>
    <font>
      <sz val="8"/>
      <color indexed="24"/>
      <name val="Arial"/>
      <family val="2"/>
    </font>
    <font>
      <sz val="10"/>
      <name val="Arial"/>
      <family val="2"/>
    </font>
    <font>
      <sz val="8"/>
      <color theme="1"/>
      <name val="Arial"/>
      <family val="2"/>
    </font>
    <font>
      <sz val="8"/>
      <color rgb="FF0070C0"/>
      <name val="Arial"/>
      <family val="2"/>
    </font>
    <font>
      <sz val="8"/>
      <color rgb="FF00B050"/>
      <name val="Arial"/>
      <family val="2"/>
    </font>
    <font>
      <i/>
      <sz val="8"/>
      <color rgb="FF0070C0"/>
      <name val="Arial"/>
      <family val="2"/>
    </font>
    <font>
      <sz val="8"/>
      <color theme="0"/>
      <name val="Arial"/>
      <family val="2"/>
    </font>
    <font>
      <b/>
      <sz val="8"/>
      <color theme="0"/>
      <name val="Arial"/>
      <family val="2"/>
    </font>
    <font>
      <sz val="10"/>
      <color indexed="8"/>
      <name val="Arial Narrow"/>
      <family val="2"/>
    </font>
    <font>
      <sz val="10"/>
      <name val="Arial Narrow"/>
      <family val="2"/>
    </font>
    <font>
      <b/>
      <sz val="18"/>
      <color indexed="9"/>
      <name val="Arial Narrow"/>
      <family val="2"/>
    </font>
    <font>
      <sz val="20"/>
      <color indexed="9"/>
      <name val="Arial Narrow"/>
      <family val="2"/>
    </font>
    <font>
      <b/>
      <sz val="14"/>
      <color indexed="9"/>
      <name val="Arial Narrow"/>
      <family val="2"/>
    </font>
    <font>
      <sz val="20"/>
      <name val="Arial Narrow"/>
      <family val="2"/>
    </font>
    <font>
      <b/>
      <sz val="12"/>
      <name val="Arial Narrow"/>
      <family val="2"/>
    </font>
    <font>
      <sz val="12"/>
      <name val="Arial Narrow"/>
      <family val="2"/>
    </font>
    <font>
      <sz val="10"/>
      <color indexed="12"/>
      <name val="Arial Narrow"/>
      <family val="2"/>
    </font>
    <font>
      <u/>
      <sz val="10"/>
      <color indexed="12"/>
      <name val="Arial Narrow"/>
      <family val="2"/>
    </font>
    <font>
      <sz val="8"/>
      <color rgb="FF2270AB"/>
      <name val="Arial"/>
      <family val="2"/>
    </font>
    <font>
      <b/>
      <sz val="14"/>
      <color indexed="9"/>
      <name val="Arial"/>
      <family val="2"/>
    </font>
    <font>
      <b/>
      <sz val="8"/>
      <color rgb="FFFF0000"/>
      <name val="Arial"/>
      <family val="2"/>
    </font>
    <font>
      <i/>
      <sz val="8"/>
      <color rgb="FF2270AB"/>
      <name val="Arial"/>
      <family val="2"/>
    </font>
    <font>
      <sz val="8"/>
      <color theme="0" tint="-0.249977111117893"/>
      <name val="Arial"/>
      <family val="2"/>
    </font>
    <font>
      <sz val="10"/>
      <color theme="0" tint="-0.249977111117893"/>
      <name val="Arial"/>
      <family val="2"/>
    </font>
    <font>
      <i/>
      <sz val="8"/>
      <color theme="0" tint="-0.249977111117893"/>
      <name val="Arial"/>
      <family val="2"/>
    </font>
    <font>
      <i/>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8"/>
      <color rgb="FFFFFFFF"/>
      <name val="Arial"/>
      <family val="2"/>
    </font>
    <font>
      <sz val="8"/>
      <color rgb="FF008000"/>
      <name val="Arial"/>
      <family val="2"/>
    </font>
    <font>
      <sz val="10"/>
      <color rgb="FFFFFFFF"/>
      <name val="Arial"/>
      <family val="2"/>
    </font>
    <font>
      <sz val="8"/>
      <color rgb="FF0000FF"/>
      <name val="Arial"/>
      <family val="2"/>
    </font>
    <font>
      <i/>
      <sz val="8"/>
      <color rgb="FF008000"/>
      <name val="Arial"/>
      <family val="2"/>
    </font>
    <font>
      <i/>
      <sz val="8"/>
      <color rgb="FF0000FF"/>
      <name val="Arial"/>
      <family val="2"/>
    </font>
    <font>
      <sz val="10"/>
      <name val="Courier"/>
      <family val="3"/>
    </font>
    <font>
      <sz val="10"/>
      <color rgb="FF000000"/>
      <name val="Arial"/>
      <family val="2"/>
    </font>
    <font>
      <b/>
      <sz val="12"/>
      <color rgb="FF000080"/>
      <name val="Arial"/>
      <family val="2"/>
    </font>
    <font>
      <u/>
      <sz val="14"/>
      <name val="Arial"/>
      <family val="2"/>
    </font>
    <font>
      <b/>
      <u/>
      <sz val="14"/>
      <color indexed="10"/>
      <name val="Arial"/>
      <family val="2"/>
    </font>
  </fonts>
  <fills count="29">
    <fill>
      <patternFill patternType="none"/>
    </fill>
    <fill>
      <patternFill patternType="gray125"/>
    </fill>
    <fill>
      <patternFill patternType="solid">
        <fgColor indexed="43"/>
        <bgColor indexed="64"/>
      </patternFill>
    </fill>
    <fill>
      <patternFill patternType="solid">
        <fgColor indexed="2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003366"/>
        <bgColor indexed="64"/>
      </patternFill>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rgb="FFFFFFFF"/>
        <bgColor indexed="64"/>
      </patternFill>
    </fill>
    <fill>
      <patternFill patternType="solid">
        <fgColor rgb="FF00B0F0"/>
        <bgColor indexed="64"/>
      </patternFill>
    </fill>
    <fill>
      <patternFill patternType="solid">
        <fgColor rgb="FFA3A3A3"/>
        <bgColor indexed="64"/>
      </patternFill>
    </fill>
    <fill>
      <patternFill patternType="solid">
        <fgColor rgb="FFCBCBCB"/>
        <bgColor indexed="64"/>
      </patternFill>
    </fill>
    <fill>
      <patternFill patternType="solid">
        <fgColor rgb="FFFFFF00"/>
        <bgColor indexed="64"/>
      </patternFill>
    </fill>
    <fill>
      <patternFill patternType="solid">
        <fgColor indexed="65"/>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top style="medium">
        <color indexed="8"/>
      </top>
      <bottom/>
      <diagonal/>
    </border>
    <border>
      <left/>
      <right/>
      <top/>
      <bottom style="hair">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8"/>
      </bottom>
      <diagonal/>
    </border>
    <border>
      <left style="thin">
        <color indexed="64"/>
      </left>
      <right style="thin">
        <color indexed="64"/>
      </right>
      <top/>
      <bottom style="hair">
        <color indexed="64"/>
      </bottom>
      <diagonal/>
    </border>
    <border>
      <left style="thin">
        <color indexed="64"/>
      </left>
      <right style="thin">
        <color indexed="64"/>
      </right>
      <top style="medium">
        <color indexed="8"/>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hair">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medium">
        <color indexed="8"/>
      </top>
      <bottom/>
      <diagonal/>
    </border>
    <border>
      <left style="thin">
        <color indexed="64"/>
      </left>
      <right/>
      <top/>
      <bottom style="thin">
        <color indexed="8"/>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8"/>
      </top>
      <bottom/>
      <diagonal/>
    </border>
    <border>
      <left/>
      <right style="thin">
        <color indexed="64"/>
      </right>
      <top style="medium">
        <color indexed="8"/>
      </top>
      <bottom/>
      <diagonal/>
    </border>
    <border>
      <left/>
      <right style="thin">
        <color indexed="64"/>
      </right>
      <top/>
      <bottom style="thin">
        <color indexed="8"/>
      </bottom>
      <diagonal/>
    </border>
    <border>
      <left style="medium">
        <color indexed="64"/>
      </left>
      <right style="medium">
        <color indexed="64"/>
      </right>
      <top/>
      <bottom style="thin">
        <color indexed="64"/>
      </bottom>
      <diagonal/>
    </border>
    <border>
      <left style="thin">
        <color indexed="64"/>
      </left>
      <right/>
      <top/>
      <bottom style="hair">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diagonal/>
    </border>
    <border>
      <left/>
      <right/>
      <top/>
      <bottom style="medium">
        <color indexed="8"/>
      </bottom>
      <diagonal/>
    </border>
    <border>
      <left/>
      <right/>
      <top style="medium">
        <color auto="1"/>
      </top>
      <bottom/>
      <diagonal/>
    </border>
    <border>
      <left/>
      <right style="medium">
        <color indexed="64"/>
      </right>
      <top/>
      <bottom style="medium">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right/>
      <top style="hair">
        <color indexed="64"/>
      </top>
      <bottom/>
      <diagonal/>
    </border>
    <border>
      <left style="thin">
        <color indexed="64"/>
      </left>
      <right style="medium">
        <color indexed="64"/>
      </right>
      <top style="hair">
        <color indexed="64"/>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09">
    <xf numFmtId="0" fontId="0" fillId="0" borderId="0"/>
    <xf numFmtId="0" fontId="1" fillId="0" borderId="0" applyNumberFormat="0" applyFont="0" applyFill="0" applyBorder="0" applyAlignment="0" applyProtection="0"/>
    <xf numFmtId="0" fontId="1" fillId="0" borderId="0"/>
    <xf numFmtId="0" fontId="2" fillId="0" borderId="0"/>
    <xf numFmtId="0" fontId="1" fillId="0" borderId="0"/>
    <xf numFmtId="0" fontId="1" fillId="0" borderId="0"/>
    <xf numFmtId="0" fontId="1" fillId="0" borderId="0"/>
    <xf numFmtId="0" fontId="44" fillId="0" borderId="0"/>
    <xf numFmtId="179" fontId="44" fillId="0" borderId="0"/>
    <xf numFmtId="179" fontId="44" fillId="0" borderId="0"/>
    <xf numFmtId="0" fontId="44" fillId="0" borderId="0"/>
    <xf numFmtId="0" fontId="45"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44" fontId="80" fillId="0" borderId="0" applyFont="0" applyFill="0" applyBorder="0" applyAlignment="0" applyProtection="0"/>
    <xf numFmtId="44" fontId="86" fillId="0" borderId="0" applyFont="0" applyFill="0" applyBorder="0" applyAlignment="0" applyProtection="0"/>
    <xf numFmtId="0" fontId="6" fillId="0" borderId="0" applyNumberFormat="0" applyFill="0" applyBorder="0" applyAlignment="0" applyProtection="0">
      <alignment vertical="top"/>
      <protection locked="0"/>
    </xf>
    <xf numFmtId="0" fontId="1" fillId="0" borderId="0"/>
    <xf numFmtId="0" fontId="4" fillId="0" borderId="0"/>
    <xf numFmtId="0" fontId="2" fillId="0" borderId="0"/>
    <xf numFmtId="0" fontId="3" fillId="0" borderId="0"/>
    <xf numFmtId="0" fontId="3" fillId="0" borderId="0"/>
    <xf numFmtId="0" fontId="5" fillId="0" borderId="0"/>
    <xf numFmtId="0" fontId="46" fillId="0" borderId="0">
      <alignment vertical="center"/>
    </xf>
    <xf numFmtId="9" fontId="2" fillId="0" borderId="0" applyFont="0" applyFill="0" applyBorder="0" applyAlignment="0" applyProtection="0"/>
    <xf numFmtId="9" fontId="1" fillId="0" borderId="0" applyFont="0" applyFill="0" applyBorder="0" applyAlignment="0" applyProtection="0"/>
    <xf numFmtId="0" fontId="2" fillId="2" borderId="0" applyNumberFormat="0" applyFont="0" applyBorder="0" applyAlignment="0" applyProtection="0"/>
    <xf numFmtId="0" fontId="1" fillId="2" borderId="0" applyNumberFormat="0" applyFont="0" applyBorder="0" applyAlignment="0" applyProtection="0"/>
    <xf numFmtId="0" fontId="47" fillId="0" borderId="0"/>
    <xf numFmtId="0" fontId="47" fillId="0" borderId="2">
      <alignment horizontal="centerContinuous"/>
    </xf>
    <xf numFmtId="0" fontId="48" fillId="0" borderId="2"/>
    <xf numFmtId="0" fontId="43" fillId="0" borderId="0"/>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1" fillId="10" borderId="0" applyNumberFormat="0" applyBorder="0" applyAlignment="0" applyProtection="0"/>
    <xf numFmtId="0" fontId="111" fillId="11" borderId="0" applyNumberFormat="0" applyBorder="0" applyAlignment="0" applyProtection="0"/>
    <xf numFmtId="0" fontId="111" fillId="12" borderId="0" applyNumberFormat="0" applyBorder="0" applyAlignment="0" applyProtection="0"/>
    <xf numFmtId="0" fontId="111" fillId="10" borderId="0" applyNumberFormat="0" applyBorder="0" applyAlignment="0" applyProtection="0"/>
    <xf numFmtId="0" fontId="111" fillId="13" borderId="0" applyNumberFormat="0" applyBorder="0" applyAlignment="0" applyProtection="0"/>
    <xf numFmtId="0" fontId="111" fillId="12" borderId="0" applyNumberFormat="0" applyBorder="0" applyAlignment="0" applyProtection="0"/>
    <xf numFmtId="0" fontId="111" fillId="14" borderId="0" applyNumberFormat="0" applyBorder="0" applyAlignment="0" applyProtection="0"/>
    <xf numFmtId="0" fontId="111" fillId="11" borderId="0" applyNumberFormat="0" applyBorder="0" applyAlignment="0" applyProtection="0"/>
    <xf numFmtId="0" fontId="111" fillId="12" borderId="0" applyNumberFormat="0" applyBorder="0" applyAlignment="0" applyProtection="0"/>
    <xf numFmtId="0" fontId="111" fillId="14" borderId="0" applyNumberFormat="0" applyBorder="0" applyAlignment="0" applyProtection="0"/>
    <xf numFmtId="0" fontId="111" fillId="15" borderId="0" applyNumberFormat="0" applyBorder="0" applyAlignment="0" applyProtection="0"/>
    <xf numFmtId="0" fontId="111" fillId="12" borderId="0" applyNumberFormat="0" applyBorder="0" applyAlignment="0" applyProtection="0"/>
    <xf numFmtId="0" fontId="112" fillId="16" borderId="0" applyNumberFormat="0" applyBorder="0" applyAlignment="0" applyProtection="0"/>
    <xf numFmtId="0" fontId="112" fillId="11" borderId="0" applyNumberFormat="0" applyBorder="0" applyAlignment="0" applyProtection="0"/>
    <xf numFmtId="0" fontId="112" fillId="17" borderId="0" applyNumberFormat="0" applyBorder="0" applyAlignment="0" applyProtection="0"/>
    <xf numFmtId="0" fontId="112" fillId="14" borderId="0" applyNumberFormat="0" applyBorder="0" applyAlignment="0" applyProtection="0"/>
    <xf numFmtId="0" fontId="112" fillId="16" borderId="0" applyNumberFormat="0" applyBorder="0" applyAlignment="0" applyProtection="0"/>
    <xf numFmtId="0" fontId="112" fillId="12" borderId="0" applyNumberFormat="0" applyBorder="0" applyAlignment="0" applyProtection="0"/>
    <xf numFmtId="0" fontId="112" fillId="16" borderId="0" applyNumberFormat="0" applyBorder="0" applyAlignment="0" applyProtection="0"/>
    <xf numFmtId="0" fontId="112" fillId="11" borderId="0" applyNumberFormat="0" applyBorder="0" applyAlignment="0" applyProtection="0"/>
    <xf numFmtId="0" fontId="112" fillId="17" borderId="0" applyNumberFormat="0" applyBorder="0" applyAlignment="0" applyProtection="0"/>
    <xf numFmtId="0" fontId="112" fillId="18" borderId="0" applyNumberFormat="0" applyBorder="0" applyAlignment="0" applyProtection="0"/>
    <xf numFmtId="0" fontId="112" fillId="16" borderId="0" applyNumberFormat="0" applyBorder="0" applyAlignment="0" applyProtection="0"/>
    <xf numFmtId="0" fontId="112" fillId="11" borderId="0" applyNumberFormat="0" applyBorder="0" applyAlignment="0" applyProtection="0"/>
    <xf numFmtId="0" fontId="113" fillId="19" borderId="0" applyNumberFormat="0" applyBorder="0" applyAlignment="0" applyProtection="0"/>
    <xf numFmtId="0" fontId="114" fillId="20" borderId="67" applyNumberFormat="0" applyAlignment="0" applyProtection="0"/>
    <xf numFmtId="0" fontId="115" fillId="21" borderId="68" applyNumberFormat="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16" fillId="0" borderId="0" applyNumberFormat="0" applyFill="0" applyBorder="0" applyAlignment="0" applyProtection="0"/>
    <xf numFmtId="0" fontId="117" fillId="22" borderId="0" applyNumberFormat="0" applyBorder="0" applyAlignment="0" applyProtection="0"/>
    <xf numFmtId="0" fontId="118" fillId="0" borderId="69" applyNumberFormat="0" applyFill="0" applyAlignment="0" applyProtection="0"/>
    <xf numFmtId="0" fontId="119" fillId="0" borderId="70" applyNumberFormat="0" applyFill="0" applyAlignment="0" applyProtection="0"/>
    <xf numFmtId="0" fontId="120" fillId="0" borderId="71" applyNumberFormat="0" applyFill="0" applyAlignment="0" applyProtection="0"/>
    <xf numFmtId="0" fontId="120" fillId="0" borderId="0" applyNumberFormat="0" applyFill="0" applyBorder="0" applyAlignment="0" applyProtection="0"/>
    <xf numFmtId="0" fontId="121" fillId="12" borderId="67" applyNumberFormat="0" applyAlignment="0" applyProtection="0"/>
    <xf numFmtId="0" fontId="122" fillId="0" borderId="72" applyNumberFormat="0" applyFill="0" applyAlignment="0" applyProtection="0"/>
    <xf numFmtId="0" fontId="123" fillId="12" borderId="0" applyNumberFormat="0" applyBorder="0" applyAlignment="0" applyProtection="0"/>
    <xf numFmtId="0" fontId="1" fillId="12" borderId="1" applyNumberFormat="0" applyFont="0" applyAlignment="0" applyProtection="0"/>
    <xf numFmtId="0" fontId="124" fillId="20" borderId="73" applyNumberFormat="0" applyAlignment="0" applyProtection="0"/>
    <xf numFmtId="9" fontId="4" fillId="0" borderId="0" applyFont="0" applyFill="0" applyBorder="0" applyAlignment="0" applyProtection="0"/>
    <xf numFmtId="0" fontId="1" fillId="0" borderId="0">
      <alignment vertical="top"/>
    </xf>
    <xf numFmtId="0" fontId="125" fillId="0" borderId="0" applyNumberFormat="0" applyFill="0" applyBorder="0" applyAlignment="0" applyProtection="0"/>
    <xf numFmtId="0" fontId="126" fillId="0" borderId="74" applyNumberFormat="0" applyFill="0" applyAlignment="0" applyProtection="0"/>
    <xf numFmtId="0" fontId="127" fillId="0" borderId="0" applyNumberFormat="0" applyFill="0" applyBorder="0" applyAlignment="0" applyProtection="0"/>
    <xf numFmtId="0" fontId="1" fillId="0" borderId="0"/>
    <xf numFmtId="0" fontId="1" fillId="0" borderId="0"/>
    <xf numFmtId="9" fontId="4" fillId="0" borderId="0" applyFont="0" applyFill="0" applyBorder="0" applyAlignment="0" applyProtection="0"/>
    <xf numFmtId="43" fontId="1" fillId="0" borderId="0" applyFont="0" applyFill="0" applyBorder="0" applyAlignment="0" applyProtection="0"/>
    <xf numFmtId="0" fontId="134" fillId="0" borderId="0"/>
  </cellStyleXfs>
  <cellXfs count="1411">
    <xf numFmtId="0" fontId="0" fillId="0" borderId="0" xfId="0"/>
    <xf numFmtId="0" fontId="4" fillId="0" borderId="0" xfId="3" applyFont="1"/>
    <xf numFmtId="0" fontId="4" fillId="4" borderId="0" xfId="3" applyFont="1" applyFill="1"/>
    <xf numFmtId="0" fontId="18" fillId="0" borderId="0" xfId="3" applyFont="1"/>
    <xf numFmtId="0" fontId="18" fillId="4" borderId="0" xfId="3" applyFont="1" applyFill="1"/>
    <xf numFmtId="0" fontId="4" fillId="0" borderId="0" xfId="3" applyFont="1" applyFill="1" applyBorder="1"/>
    <xf numFmtId="0" fontId="0" fillId="0" borderId="0" xfId="3" applyFont="1" applyFill="1" applyBorder="1"/>
    <xf numFmtId="0" fontId="4" fillId="4" borderId="0" xfId="3" applyFont="1" applyFill="1" applyBorder="1"/>
    <xf numFmtId="0" fontId="11" fillId="0" borderId="0" xfId="3" applyFont="1" applyFill="1" applyBorder="1"/>
    <xf numFmtId="0" fontId="4" fillId="0" borderId="0" xfId="3" applyFont="1" applyFill="1"/>
    <xf numFmtId="166" fontId="4" fillId="0" borderId="0" xfId="26" applyNumberFormat="1" applyFont="1"/>
    <xf numFmtId="0" fontId="4" fillId="0" borderId="0" xfId="3" applyFont="1" applyBorder="1"/>
    <xf numFmtId="0" fontId="51" fillId="0" borderId="0" xfId="3" applyFont="1"/>
    <xf numFmtId="0" fontId="0" fillId="0" borderId="0" xfId="3" applyFont="1" applyFill="1"/>
    <xf numFmtId="0" fontId="18" fillId="0" borderId="0" xfId="3" applyFont="1" applyFill="1" applyAlignment="1">
      <alignment horizontal="left" indent="1"/>
    </xf>
    <xf numFmtId="3" fontId="18" fillId="0" borderId="0" xfId="3" applyNumberFormat="1" applyFont="1" applyFill="1" applyAlignment="1">
      <alignment horizontal="center"/>
    </xf>
    <xf numFmtId="0" fontId="18" fillId="0" borderId="0" xfId="3" applyFont="1" applyFill="1"/>
    <xf numFmtId="3" fontId="18" fillId="0" borderId="14" xfId="3" applyNumberFormat="1" applyFont="1" applyFill="1" applyBorder="1" applyAlignment="1">
      <alignment horizontal="center"/>
    </xf>
    <xf numFmtId="0" fontId="18" fillId="0" borderId="14" xfId="3" applyFont="1" applyFill="1" applyBorder="1"/>
    <xf numFmtId="168" fontId="18" fillId="0" borderId="0" xfId="12" applyNumberFormat="1" applyFont="1" applyFill="1"/>
    <xf numFmtId="168" fontId="18" fillId="0" borderId="14" xfId="12" applyNumberFormat="1" applyFont="1" applyFill="1" applyBorder="1"/>
    <xf numFmtId="0" fontId="21" fillId="0" borderId="0" xfId="3" applyFont="1" applyFill="1"/>
    <xf numFmtId="168" fontId="21" fillId="0" borderId="14" xfId="12" applyNumberFormat="1" applyFont="1" applyFill="1" applyBorder="1"/>
    <xf numFmtId="166" fontId="18" fillId="0" borderId="0" xfId="26" applyNumberFormat="1" applyFont="1" applyFill="1"/>
    <xf numFmtId="168" fontId="18" fillId="0" borderId="0" xfId="12" applyNumberFormat="1" applyFont="1" applyFill="1" applyBorder="1"/>
    <xf numFmtId="0" fontId="11" fillId="0" borderId="0" xfId="3" applyFont="1" applyFill="1"/>
    <xf numFmtId="168" fontId="11" fillId="0" borderId="14" xfId="3" applyNumberFormat="1" applyFont="1" applyFill="1" applyBorder="1"/>
    <xf numFmtId="168" fontId="18" fillId="0" borderId="10" xfId="12" applyNumberFormat="1" applyFont="1" applyFill="1" applyBorder="1"/>
    <xf numFmtId="168" fontId="18" fillId="0" borderId="18" xfId="12" applyNumberFormat="1" applyFont="1" applyFill="1" applyBorder="1"/>
    <xf numFmtId="165" fontId="18" fillId="0" borderId="0" xfId="14" applyNumberFormat="1" applyFont="1" applyFill="1" applyBorder="1" applyAlignment="1">
      <alignment horizontal="center"/>
    </xf>
    <xf numFmtId="165" fontId="18" fillId="0" borderId="14" xfId="14" applyNumberFormat="1" applyFont="1" applyFill="1" applyBorder="1" applyAlignment="1">
      <alignment horizontal="center"/>
    </xf>
    <xf numFmtId="0" fontId="0" fillId="0" borderId="20" xfId="3" applyFont="1" applyFill="1" applyBorder="1"/>
    <xf numFmtId="0" fontId="18" fillId="0" borderId="20" xfId="3" applyFont="1" applyFill="1" applyBorder="1"/>
    <xf numFmtId="0" fontId="16" fillId="0" borderId="20" xfId="3" applyFont="1" applyFill="1" applyBorder="1" applyAlignment="1">
      <alignment horizontal="center"/>
    </xf>
    <xf numFmtId="168" fontId="18" fillId="0" borderId="20" xfId="12" applyNumberFormat="1" applyFont="1" applyFill="1" applyBorder="1"/>
    <xf numFmtId="168" fontId="18" fillId="0" borderId="13" xfId="12" applyNumberFormat="1" applyFont="1" applyFill="1" applyBorder="1"/>
    <xf numFmtId="168" fontId="30" fillId="0" borderId="20" xfId="12" applyNumberFormat="1" applyFont="1" applyFill="1" applyBorder="1"/>
    <xf numFmtId="0" fontId="18" fillId="0" borderId="0" xfId="3" applyFont="1" applyFill="1" applyBorder="1"/>
    <xf numFmtId="0" fontId="16" fillId="0" borderId="0" xfId="3" applyFont="1" applyFill="1" applyBorder="1" applyAlignment="1">
      <alignment horizontal="center"/>
    </xf>
    <xf numFmtId="168" fontId="30" fillId="0" borderId="0" xfId="12" applyNumberFormat="1" applyFont="1" applyFill="1" applyBorder="1"/>
    <xf numFmtId="43" fontId="18" fillId="0" borderId="0" xfId="3" applyNumberFormat="1" applyFont="1" applyFill="1" applyBorder="1"/>
    <xf numFmtId="0" fontId="11" fillId="0" borderId="21" xfId="3" applyFont="1" applyFill="1" applyBorder="1"/>
    <xf numFmtId="0" fontId="11" fillId="0" borderId="23" xfId="3" applyFont="1" applyFill="1" applyBorder="1"/>
    <xf numFmtId="168" fontId="11" fillId="0" borderId="24" xfId="12" applyNumberFormat="1" applyFont="1" applyFill="1" applyBorder="1"/>
    <xf numFmtId="168" fontId="11" fillId="0" borderId="23" xfId="12" applyNumberFormat="1" applyFont="1" applyFill="1" applyBorder="1"/>
    <xf numFmtId="168" fontId="11" fillId="0" borderId="25" xfId="12" applyNumberFormat="1" applyFont="1" applyFill="1" applyBorder="1"/>
    <xf numFmtId="0" fontId="16" fillId="4" borderId="0" xfId="3" applyFont="1" applyFill="1" applyBorder="1" applyAlignment="1">
      <alignment horizontal="center"/>
    </xf>
    <xf numFmtId="0" fontId="0" fillId="0" borderId="11" xfId="3" applyFont="1" applyFill="1" applyBorder="1"/>
    <xf numFmtId="0" fontId="16" fillId="0" borderId="21" xfId="3" applyFont="1" applyFill="1" applyBorder="1" applyAlignment="1">
      <alignment horizontal="center"/>
    </xf>
    <xf numFmtId="0" fontId="0" fillId="0" borderId="16" xfId="3" applyFont="1" applyFill="1" applyBorder="1"/>
    <xf numFmtId="168" fontId="18" fillId="0" borderId="0" xfId="3" applyNumberFormat="1" applyFont="1" applyFill="1" applyBorder="1"/>
    <xf numFmtId="0" fontId="18" fillId="0" borderId="0" xfId="3" applyFont="1" applyFill="1" applyBorder="1" applyAlignment="1">
      <alignment horizontal="left" indent="1"/>
    </xf>
    <xf numFmtId="166" fontId="20" fillId="0" borderId="0" xfId="26" applyNumberFormat="1" applyFont="1" applyFill="1" applyBorder="1" applyAlignment="1">
      <alignment horizontal="right"/>
    </xf>
    <xf numFmtId="0" fontId="20" fillId="0" borderId="0" xfId="3" applyFont="1" applyFill="1" applyBorder="1"/>
    <xf numFmtId="166" fontId="20" fillId="0" borderId="0" xfId="26" applyNumberFormat="1" applyFont="1" applyFill="1" applyBorder="1"/>
    <xf numFmtId="0" fontId="20" fillId="0" borderId="0" xfId="3" applyFont="1" applyFill="1" applyBorder="1" applyAlignment="1">
      <alignment horizontal="left" indent="1"/>
    </xf>
    <xf numFmtId="171" fontId="39" fillId="0" borderId="14" xfId="12" applyNumberFormat="1" applyFont="1" applyFill="1" applyBorder="1"/>
    <xf numFmtId="171" fontId="39" fillId="0" borderId="0" xfId="12" applyNumberFormat="1" applyFont="1" applyFill="1"/>
    <xf numFmtId="171" fontId="21" fillId="0" borderId="14" xfId="12" applyNumberFormat="1" applyFont="1" applyFill="1" applyBorder="1"/>
    <xf numFmtId="171" fontId="21" fillId="0" borderId="0" xfId="12" applyNumberFormat="1" applyFont="1" applyFill="1"/>
    <xf numFmtId="0" fontId="30" fillId="0" borderId="0" xfId="3" applyFont="1" applyFill="1"/>
    <xf numFmtId="0" fontId="35" fillId="0" borderId="0" xfId="3" applyFont="1" applyFill="1" applyBorder="1" applyAlignment="1">
      <alignment horizontal="center"/>
    </xf>
    <xf numFmtId="166" fontId="33" fillId="0" borderId="0" xfId="3" applyNumberFormat="1" applyFont="1" applyFill="1" applyBorder="1"/>
    <xf numFmtId="169" fontId="18" fillId="0" borderId="14" xfId="3" applyNumberFormat="1" applyFont="1" applyFill="1" applyBorder="1"/>
    <xf numFmtId="166" fontId="20" fillId="0" borderId="14" xfId="3" applyNumberFormat="1" applyFont="1" applyFill="1" applyBorder="1"/>
    <xf numFmtId="166" fontId="4" fillId="0" borderId="14" xfId="26" applyNumberFormat="1" applyFont="1" applyFill="1" applyBorder="1"/>
    <xf numFmtId="166" fontId="4" fillId="0" borderId="0" xfId="26" applyNumberFormat="1" applyFont="1" applyFill="1"/>
    <xf numFmtId="166" fontId="14" fillId="0" borderId="14" xfId="26" applyNumberFormat="1" applyFont="1" applyFill="1" applyBorder="1" applyAlignment="1">
      <alignment horizontal="right"/>
    </xf>
    <xf numFmtId="166" fontId="14" fillId="0" borderId="0" xfId="26" applyNumberFormat="1" applyFont="1" applyFill="1" applyAlignment="1">
      <alignment horizontal="right"/>
    </xf>
    <xf numFmtId="3" fontId="18" fillId="0" borderId="15" xfId="3" applyNumberFormat="1" applyFont="1" applyFill="1" applyBorder="1" applyAlignment="1">
      <alignment horizontal="center"/>
    </xf>
    <xf numFmtId="166" fontId="4" fillId="0" borderId="15" xfId="26" applyNumberFormat="1" applyFont="1" applyFill="1" applyBorder="1"/>
    <xf numFmtId="171" fontId="39" fillId="0" borderId="15" xfId="12" applyNumberFormat="1" applyFont="1" applyFill="1" applyBorder="1"/>
    <xf numFmtId="171" fontId="9" fillId="0" borderId="14" xfId="12" applyNumberFormat="1" applyFont="1" applyFill="1" applyBorder="1"/>
    <xf numFmtId="171" fontId="9" fillId="0" borderId="15" xfId="12" applyNumberFormat="1" applyFont="1" applyFill="1" applyBorder="1"/>
    <xf numFmtId="171" fontId="9" fillId="0" borderId="0" xfId="12" applyNumberFormat="1" applyFont="1" applyFill="1"/>
    <xf numFmtId="171" fontId="4" fillId="0" borderId="14" xfId="12" applyNumberFormat="1" applyFont="1" applyFill="1" applyBorder="1"/>
    <xf numFmtId="171" fontId="4" fillId="0" borderId="0" xfId="12" applyNumberFormat="1" applyFont="1" applyFill="1"/>
    <xf numFmtId="0" fontId="20" fillId="0" borderId="0" xfId="3" applyFont="1" applyFill="1" applyAlignment="1">
      <alignment horizontal="left" indent="1"/>
    </xf>
    <xf numFmtId="166" fontId="20" fillId="0" borderId="14" xfId="26" applyNumberFormat="1" applyFont="1" applyFill="1" applyBorder="1" applyAlignment="1">
      <alignment horizontal="right"/>
    </xf>
    <xf numFmtId="166" fontId="20" fillId="0" borderId="0" xfId="26" applyNumberFormat="1" applyFont="1" applyFill="1" applyAlignment="1">
      <alignment horizontal="right"/>
    </xf>
    <xf numFmtId="170" fontId="18" fillId="0" borderId="14" xfId="3" applyNumberFormat="1" applyFont="1" applyFill="1" applyBorder="1" applyAlignment="1">
      <alignment horizontal="left"/>
    </xf>
    <xf numFmtId="170" fontId="18" fillId="0" borderId="15" xfId="12" applyNumberFormat="1" applyFont="1" applyFill="1" applyBorder="1" applyAlignment="1">
      <alignment horizontal="left"/>
    </xf>
    <xf numFmtId="170" fontId="18" fillId="0" borderId="14" xfId="12" applyNumberFormat="1" applyFont="1" applyFill="1" applyBorder="1" applyAlignment="1">
      <alignment horizontal="left"/>
    </xf>
    <xf numFmtId="170" fontId="18" fillId="0" borderId="0" xfId="12" applyNumberFormat="1" applyFont="1" applyFill="1"/>
    <xf numFmtId="170" fontId="53" fillId="0" borderId="0" xfId="12" applyNumberFormat="1" applyFont="1" applyFill="1"/>
    <xf numFmtId="0" fontId="14" fillId="0" borderId="0" xfId="3" applyFont="1" applyFill="1"/>
    <xf numFmtId="0" fontId="34" fillId="0" borderId="0" xfId="3" applyFont="1" applyFill="1"/>
    <xf numFmtId="0" fontId="20" fillId="0" borderId="14" xfId="3" applyFont="1" applyFill="1" applyBorder="1" applyAlignment="1">
      <alignment horizontal="left"/>
    </xf>
    <xf numFmtId="0" fontId="20" fillId="0" borderId="15" xfId="3" applyFont="1" applyFill="1" applyBorder="1" applyAlignment="1">
      <alignment horizontal="left"/>
    </xf>
    <xf numFmtId="0" fontId="20" fillId="0" borderId="0" xfId="3" applyFont="1" applyFill="1" applyAlignment="1">
      <alignment horizontal="left"/>
    </xf>
    <xf numFmtId="38" fontId="18" fillId="0" borderId="0" xfId="3" applyNumberFormat="1" applyFont="1" applyFill="1"/>
    <xf numFmtId="38" fontId="18" fillId="0" borderId="14" xfId="3" applyNumberFormat="1" applyFont="1" applyFill="1" applyBorder="1"/>
    <xf numFmtId="170" fontId="18" fillId="0" borderId="14" xfId="3" applyNumberFormat="1" applyFont="1" applyFill="1" applyBorder="1"/>
    <xf numFmtId="170" fontId="18" fillId="0" borderId="0" xfId="12" applyNumberFormat="1" applyFont="1" applyFill="1" applyBorder="1"/>
    <xf numFmtId="170" fontId="30" fillId="0" borderId="0" xfId="12" applyNumberFormat="1" applyFont="1" applyFill="1"/>
    <xf numFmtId="170" fontId="18" fillId="0" borderId="14" xfId="12" applyNumberFormat="1" applyFont="1" applyFill="1" applyBorder="1"/>
    <xf numFmtId="166" fontId="20" fillId="0" borderId="14" xfId="26" applyNumberFormat="1" applyFont="1" applyFill="1" applyBorder="1"/>
    <xf numFmtId="166" fontId="20" fillId="0" borderId="15" xfId="26" applyNumberFormat="1" applyFont="1" applyFill="1" applyBorder="1"/>
    <xf numFmtId="166" fontId="20" fillId="0" borderId="0" xfId="26" applyNumberFormat="1" applyFont="1" applyFill="1"/>
    <xf numFmtId="38" fontId="18" fillId="0" borderId="15" xfId="3" applyNumberFormat="1" applyFont="1" applyFill="1" applyBorder="1"/>
    <xf numFmtId="38" fontId="32" fillId="0" borderId="0" xfId="3" applyNumberFormat="1" applyFont="1" applyFill="1"/>
    <xf numFmtId="9" fontId="20" fillId="0" borderId="14" xfId="12" applyNumberFormat="1" applyFont="1" applyFill="1" applyBorder="1"/>
    <xf numFmtId="9" fontId="20" fillId="0" borderId="0" xfId="12" applyNumberFormat="1" applyFont="1" applyFill="1"/>
    <xf numFmtId="0" fontId="18" fillId="0" borderId="0" xfId="12" applyNumberFormat="1" applyFont="1" applyFill="1"/>
    <xf numFmtId="38" fontId="30" fillId="0" borderId="14" xfId="3" applyNumberFormat="1" applyFont="1" applyFill="1" applyBorder="1"/>
    <xf numFmtId="38" fontId="30" fillId="0" borderId="15" xfId="3" applyNumberFormat="1" applyFont="1" applyFill="1" applyBorder="1"/>
    <xf numFmtId="0" fontId="18" fillId="0" borderId="15" xfId="3" applyFont="1" applyFill="1" applyBorder="1"/>
    <xf numFmtId="170" fontId="4" fillId="0" borderId="14" xfId="12" applyNumberFormat="1" applyFont="1" applyFill="1" applyBorder="1"/>
    <xf numFmtId="3" fontId="18" fillId="0" borderId="0" xfId="3" applyNumberFormat="1" applyFont="1" applyFill="1"/>
    <xf numFmtId="3" fontId="18" fillId="0" borderId="14" xfId="3" applyNumberFormat="1" applyFont="1" applyFill="1" applyBorder="1"/>
    <xf numFmtId="166" fontId="18" fillId="0" borderId="14" xfId="3" applyNumberFormat="1" applyFont="1" applyFill="1" applyBorder="1"/>
    <xf numFmtId="166" fontId="18" fillId="0" borderId="15" xfId="3" applyNumberFormat="1" applyFont="1" applyFill="1" applyBorder="1"/>
    <xf numFmtId="166" fontId="18" fillId="0" borderId="0" xfId="3" applyNumberFormat="1" applyFont="1" applyFill="1"/>
    <xf numFmtId="0" fontId="21" fillId="0" borderId="14" xfId="3" applyFont="1" applyFill="1" applyBorder="1"/>
    <xf numFmtId="0" fontId="21" fillId="0" borderId="15" xfId="3" applyFont="1" applyFill="1" applyBorder="1"/>
    <xf numFmtId="166" fontId="33" fillId="0" borderId="0" xfId="26" applyNumberFormat="1" applyFont="1" applyFill="1"/>
    <xf numFmtId="166" fontId="33" fillId="0" borderId="14" xfId="26" applyNumberFormat="1" applyFont="1" applyFill="1" applyBorder="1"/>
    <xf numFmtId="166" fontId="20" fillId="0" borderId="0" xfId="3" applyNumberFormat="1" applyFont="1" applyFill="1"/>
    <xf numFmtId="0" fontId="20" fillId="0" borderId="0" xfId="12" applyNumberFormat="1" applyFont="1" applyFill="1" applyAlignment="1">
      <alignment horizontal="left" indent="1"/>
    </xf>
    <xf numFmtId="166" fontId="33" fillId="0" borderId="14" xfId="3" applyNumberFormat="1" applyFont="1" applyFill="1" applyBorder="1"/>
    <xf numFmtId="166" fontId="33" fillId="0" borderId="15" xfId="3" applyNumberFormat="1" applyFont="1" applyFill="1" applyBorder="1"/>
    <xf numFmtId="166" fontId="33" fillId="0" borderId="0" xfId="3" applyNumberFormat="1" applyFont="1" applyFill="1"/>
    <xf numFmtId="166" fontId="33" fillId="0" borderId="18" xfId="3" applyNumberFormat="1" applyFont="1" applyFill="1" applyBorder="1"/>
    <xf numFmtId="166" fontId="33" fillId="0" borderId="30" xfId="3" applyNumberFormat="1" applyFont="1" applyFill="1" applyBorder="1"/>
    <xf numFmtId="166" fontId="33" fillId="0" borderId="10" xfId="3" applyNumberFormat="1" applyFont="1" applyFill="1" applyBorder="1"/>
    <xf numFmtId="170" fontId="30" fillId="0" borderId="14" xfId="12" applyNumberFormat="1" applyFont="1" applyFill="1" applyBorder="1"/>
    <xf numFmtId="169" fontId="18" fillId="0" borderId="0" xfId="12" applyNumberFormat="1" applyFont="1" applyFill="1"/>
    <xf numFmtId="169" fontId="18" fillId="0" borderId="14" xfId="12" applyNumberFormat="1" applyFont="1" applyFill="1" applyBorder="1"/>
    <xf numFmtId="169" fontId="18" fillId="0" borderId="0" xfId="3" applyNumberFormat="1" applyFont="1" applyFill="1"/>
    <xf numFmtId="166" fontId="14" fillId="0" borderId="14" xfId="26" applyNumberFormat="1" applyFont="1" applyFill="1" applyBorder="1"/>
    <xf numFmtId="43" fontId="14" fillId="0" borderId="0" xfId="12" applyFont="1" applyFill="1" applyAlignment="1">
      <alignment horizontal="left" indent="2"/>
    </xf>
    <xf numFmtId="166" fontId="28" fillId="0" borderId="0" xfId="26" applyNumberFormat="1" applyFont="1" applyFill="1"/>
    <xf numFmtId="166" fontId="28" fillId="0" borderId="14" xfId="26" applyNumberFormat="1" applyFont="1" applyFill="1" applyBorder="1"/>
    <xf numFmtId="166" fontId="14" fillId="0" borderId="0" xfId="26" applyNumberFormat="1" applyFont="1" applyFill="1"/>
    <xf numFmtId="0" fontId="20" fillId="0" borderId="20" xfId="3" applyFont="1" applyFill="1" applyBorder="1" applyAlignment="1">
      <alignment horizontal="left" indent="1"/>
    </xf>
    <xf numFmtId="166" fontId="33" fillId="0" borderId="20" xfId="26" applyNumberFormat="1" applyFont="1" applyFill="1" applyBorder="1"/>
    <xf numFmtId="166" fontId="33" fillId="0" borderId="13" xfId="26" applyNumberFormat="1" applyFont="1" applyFill="1" applyBorder="1"/>
    <xf numFmtId="166" fontId="20" fillId="0" borderId="20" xfId="26" applyNumberFormat="1" applyFont="1" applyFill="1" applyBorder="1"/>
    <xf numFmtId="166" fontId="20" fillId="0" borderId="13" xfId="26" applyNumberFormat="1" applyFont="1" applyFill="1" applyBorder="1"/>
    <xf numFmtId="166" fontId="14" fillId="0" borderId="20" xfId="26" applyNumberFormat="1" applyFont="1" applyFill="1" applyBorder="1"/>
    <xf numFmtId="166" fontId="14" fillId="0" borderId="13" xfId="26" applyNumberFormat="1" applyFont="1" applyFill="1" applyBorder="1"/>
    <xf numFmtId="166" fontId="20" fillId="0" borderId="0" xfId="26" applyNumberFormat="1" applyFont="1" applyFill="1" applyAlignment="1">
      <alignment horizontal="left" indent="1"/>
    </xf>
    <xf numFmtId="166" fontId="18" fillId="0" borderId="14" xfId="26" applyNumberFormat="1" applyFont="1" applyFill="1" applyBorder="1"/>
    <xf numFmtId="0" fontId="30" fillId="0" borderId="14" xfId="3" applyFont="1" applyFill="1" applyBorder="1"/>
    <xf numFmtId="166" fontId="30" fillId="0" borderId="14" xfId="3" applyNumberFormat="1" applyFont="1" applyFill="1" applyBorder="1"/>
    <xf numFmtId="170" fontId="33" fillId="0" borderId="0" xfId="12" applyNumberFormat="1" applyFont="1" applyFill="1"/>
    <xf numFmtId="170" fontId="33" fillId="0" borderId="14" xfId="12" applyNumberFormat="1" applyFont="1" applyFill="1" applyBorder="1"/>
    <xf numFmtId="177" fontId="18" fillId="0" borderId="14" xfId="3" applyNumberFormat="1" applyFont="1" applyFill="1" applyBorder="1"/>
    <xf numFmtId="181" fontId="18" fillId="0" borderId="14" xfId="3" applyNumberFormat="1" applyFont="1" applyFill="1" applyBorder="1"/>
    <xf numFmtId="170" fontId="18" fillId="0" borderId="13" xfId="3" applyNumberFormat="1" applyFont="1" applyFill="1" applyBorder="1" applyAlignment="1">
      <alignment horizontal="left"/>
    </xf>
    <xf numFmtId="170" fontId="18" fillId="0" borderId="31" xfId="12" applyNumberFormat="1" applyFont="1" applyFill="1" applyBorder="1" applyAlignment="1">
      <alignment horizontal="left"/>
    </xf>
    <xf numFmtId="170" fontId="18" fillId="0" borderId="13" xfId="12" applyNumberFormat="1" applyFont="1" applyFill="1" applyBorder="1" applyAlignment="1">
      <alignment horizontal="left"/>
    </xf>
    <xf numFmtId="170" fontId="18" fillId="0" borderId="20" xfId="12" applyNumberFormat="1" applyFont="1" applyFill="1" applyBorder="1"/>
    <xf numFmtId="166" fontId="14" fillId="0" borderId="15" xfId="26" applyNumberFormat="1" applyFont="1" applyFill="1" applyBorder="1"/>
    <xf numFmtId="168" fontId="21" fillId="0" borderId="0" xfId="12" applyNumberFormat="1" applyFont="1" applyFill="1" applyBorder="1"/>
    <xf numFmtId="0" fontId="17" fillId="0" borderId="0" xfId="3" applyFont="1" applyFill="1" applyBorder="1" applyAlignment="1">
      <alignment horizontal="center"/>
    </xf>
    <xf numFmtId="168" fontId="11" fillId="0" borderId="0" xfId="3" applyNumberFormat="1" applyFont="1" applyFill="1" applyBorder="1"/>
    <xf numFmtId="0" fontId="18" fillId="0" borderId="0" xfId="3" applyFont="1" applyFill="1" applyBorder="1" applyAlignment="1">
      <alignment horizontal="center"/>
    </xf>
    <xf numFmtId="168" fontId="11" fillId="0" borderId="0" xfId="12" applyNumberFormat="1" applyFont="1" applyFill="1" applyBorder="1"/>
    <xf numFmtId="43" fontId="4" fillId="0" borderId="0" xfId="3" applyNumberFormat="1" applyFont="1" applyFill="1" applyBorder="1"/>
    <xf numFmtId="7" fontId="4" fillId="0" borderId="0" xfId="14" applyNumberFormat="1" applyFont="1" applyFill="1" applyBorder="1"/>
    <xf numFmtId="0" fontId="15" fillId="0" borderId="0" xfId="3" applyFont="1" applyFill="1" applyBorder="1" applyAlignment="1">
      <alignment horizontal="left"/>
    </xf>
    <xf numFmtId="0" fontId="4" fillId="0" borderId="0" xfId="12" applyNumberFormat="1" applyFont="1" applyFill="1" applyBorder="1" applyAlignment="1">
      <alignment horizontal="left"/>
    </xf>
    <xf numFmtId="166" fontId="4" fillId="0" borderId="0" xfId="26" applyNumberFormat="1" applyFont="1" applyFill="1" applyBorder="1"/>
    <xf numFmtId="0" fontId="22" fillId="0" borderId="0" xfId="3" applyFont="1" applyFill="1" applyBorder="1" applyAlignment="1">
      <alignment horizontal="center"/>
    </xf>
    <xf numFmtId="0" fontId="11" fillId="0" borderId="0" xfId="24" applyFont="1" applyFill="1" applyBorder="1" applyAlignment="1">
      <alignment horizontal="center"/>
    </xf>
    <xf numFmtId="168" fontId="4" fillId="0" borderId="0" xfId="12" applyNumberFormat="1" applyFont="1" applyFill="1" applyBorder="1"/>
    <xf numFmtId="166" fontId="14" fillId="0" borderId="0" xfId="26" applyNumberFormat="1" applyFont="1" applyFill="1" applyBorder="1"/>
    <xf numFmtId="168" fontId="11" fillId="0" borderId="14" xfId="12" applyNumberFormat="1" applyFont="1" applyFill="1" applyBorder="1"/>
    <xf numFmtId="0" fontId="16" fillId="4" borderId="33" xfId="3" applyFont="1" applyFill="1" applyBorder="1" applyAlignment="1">
      <alignment horizontal="center"/>
    </xf>
    <xf numFmtId="0" fontId="55" fillId="0" borderId="0" xfId="3" applyFont="1" applyFill="1" applyBorder="1"/>
    <xf numFmtId="0" fontId="1" fillId="0" borderId="0" xfId="3" applyFont="1" applyFill="1" applyBorder="1"/>
    <xf numFmtId="0" fontId="4" fillId="0" borderId="13" xfId="3" applyFont="1" applyFill="1" applyBorder="1"/>
    <xf numFmtId="7" fontId="4" fillId="0" borderId="13" xfId="14" applyNumberFormat="1" applyFont="1" applyFill="1" applyBorder="1"/>
    <xf numFmtId="7" fontId="4" fillId="0" borderId="20" xfId="14" applyNumberFormat="1" applyFont="1" applyFill="1" applyBorder="1"/>
    <xf numFmtId="0" fontId="17" fillId="0" borderId="20" xfId="3" applyFont="1" applyFill="1" applyBorder="1" applyAlignment="1">
      <alignment horizontal="center"/>
    </xf>
    <xf numFmtId="0" fontId="11" fillId="0" borderId="13" xfId="3" applyFont="1" applyFill="1" applyBorder="1"/>
    <xf numFmtId="7" fontId="11" fillId="0" borderId="13" xfId="14" applyNumberFormat="1" applyFont="1" applyFill="1" applyBorder="1"/>
    <xf numFmtId="7" fontId="11" fillId="0" borderId="20" xfId="14" applyNumberFormat="1" applyFont="1" applyFill="1" applyBorder="1"/>
    <xf numFmtId="0" fontId="16" fillId="0" borderId="33" xfId="3" applyFont="1" applyFill="1" applyBorder="1" applyAlignment="1">
      <alignment horizontal="center"/>
    </xf>
    <xf numFmtId="0" fontId="11" fillId="0" borderId="14" xfId="3" applyFont="1" applyFill="1" applyBorder="1"/>
    <xf numFmtId="169" fontId="11" fillId="0" borderId="0" xfId="3" applyNumberFormat="1" applyFont="1" applyFill="1" applyBorder="1"/>
    <xf numFmtId="169" fontId="11" fillId="0" borderId="14" xfId="3" applyNumberFormat="1" applyFont="1" applyFill="1" applyBorder="1"/>
    <xf numFmtId="0" fontId="13" fillId="0" borderId="0" xfId="3" applyFont="1" applyFill="1"/>
    <xf numFmtId="168" fontId="30" fillId="0" borderId="20" xfId="3" applyNumberFormat="1" applyFont="1" applyFill="1" applyBorder="1"/>
    <xf numFmtId="169" fontId="4" fillId="0" borderId="13" xfId="3" applyNumberFormat="1" applyFont="1" applyFill="1" applyBorder="1"/>
    <xf numFmtId="177" fontId="18" fillId="0" borderId="0" xfId="3" applyNumberFormat="1" applyFont="1" applyFill="1"/>
    <xf numFmtId="177" fontId="18" fillId="0" borderId="0" xfId="3" applyNumberFormat="1" applyFont="1" applyFill="1" applyAlignment="1">
      <alignment horizontal="right"/>
    </xf>
    <xf numFmtId="177" fontId="18" fillId="0" borderId="14" xfId="3" applyNumberFormat="1" applyFont="1" applyFill="1" applyBorder="1" applyAlignment="1">
      <alignment horizontal="right"/>
    </xf>
    <xf numFmtId="3" fontId="20" fillId="0" borderId="0" xfId="3" applyNumberFormat="1" applyFont="1" applyFill="1" applyAlignment="1">
      <alignment horizontal="left"/>
    </xf>
    <xf numFmtId="173" fontId="11" fillId="0" borderId="13" xfId="14" applyNumberFormat="1" applyFont="1" applyFill="1" applyBorder="1"/>
    <xf numFmtId="173" fontId="4" fillId="0" borderId="13" xfId="14" applyNumberFormat="1" applyFont="1" applyFill="1" applyBorder="1"/>
    <xf numFmtId="173" fontId="4" fillId="0" borderId="0" xfId="12" applyNumberFormat="1" applyFont="1" applyFill="1" applyBorder="1"/>
    <xf numFmtId="173" fontId="4" fillId="0" borderId="0" xfId="3" applyNumberFormat="1" applyFont="1" applyFill="1" applyBorder="1"/>
    <xf numFmtId="173" fontId="4" fillId="0" borderId="14" xfId="3" applyNumberFormat="1" applyFont="1" applyFill="1" applyBorder="1"/>
    <xf numFmtId="173" fontId="9" fillId="0" borderId="20" xfId="3" applyNumberFormat="1" applyFont="1" applyFill="1" applyBorder="1"/>
    <xf numFmtId="173" fontId="4" fillId="0" borderId="20" xfId="3" applyNumberFormat="1" applyFont="1" applyFill="1" applyBorder="1"/>
    <xf numFmtId="173" fontId="4" fillId="0" borderId="13" xfId="3" applyNumberFormat="1" applyFont="1" applyFill="1" applyBorder="1"/>
    <xf numFmtId="173" fontId="9" fillId="0" borderId="0" xfId="3" applyNumberFormat="1" applyFont="1" applyFill="1" applyBorder="1"/>
    <xf numFmtId="173" fontId="4" fillId="0" borderId="22" xfId="3" applyNumberFormat="1" applyFont="1" applyFill="1" applyBorder="1"/>
    <xf numFmtId="0" fontId="4" fillId="0" borderId="14" xfId="3" applyFont="1" applyFill="1" applyBorder="1"/>
    <xf numFmtId="168" fontId="4" fillId="0" borderId="14" xfId="12" applyNumberFormat="1" applyFont="1" applyFill="1" applyBorder="1"/>
    <xf numFmtId="168" fontId="9" fillId="0" borderId="0" xfId="12" applyNumberFormat="1" applyFont="1" applyFill="1" applyBorder="1"/>
    <xf numFmtId="168" fontId="56" fillId="0" borderId="0" xfId="12" applyNumberFormat="1" applyFont="1" applyFill="1" applyBorder="1"/>
    <xf numFmtId="168" fontId="4" fillId="0" borderId="22" xfId="12" applyNumberFormat="1" applyFont="1" applyFill="1" applyBorder="1"/>
    <xf numFmtId="10" fontId="56" fillId="0" borderId="21" xfId="26" applyNumberFormat="1" applyFont="1" applyFill="1" applyBorder="1"/>
    <xf numFmtId="168" fontId="4" fillId="0" borderId="13" xfId="12" applyNumberFormat="1" applyFont="1" applyFill="1" applyBorder="1"/>
    <xf numFmtId="168" fontId="9" fillId="0" borderId="20" xfId="12" applyNumberFormat="1" applyFont="1" applyFill="1" applyBorder="1"/>
    <xf numFmtId="168" fontId="56" fillId="0" borderId="20" xfId="12" applyNumberFormat="1" applyFont="1" applyFill="1" applyBorder="1"/>
    <xf numFmtId="168" fontId="4" fillId="4" borderId="34" xfId="12" applyNumberFormat="1" applyFont="1" applyFill="1" applyBorder="1"/>
    <xf numFmtId="168" fontId="9" fillId="4" borderId="33" xfId="12" applyNumberFormat="1" applyFont="1" applyFill="1" applyBorder="1"/>
    <xf numFmtId="168" fontId="56" fillId="4" borderId="33" xfId="12" applyNumberFormat="1" applyFont="1" applyFill="1" applyBorder="1"/>
    <xf numFmtId="168" fontId="4" fillId="4" borderId="33" xfId="12" applyNumberFormat="1" applyFont="1" applyFill="1" applyBorder="1"/>
    <xf numFmtId="168" fontId="9" fillId="0" borderId="14" xfId="12" applyNumberFormat="1" applyFont="1" applyFill="1" applyBorder="1"/>
    <xf numFmtId="168" fontId="4" fillId="0" borderId="20" xfId="12" applyNumberFormat="1" applyFont="1" applyFill="1" applyBorder="1"/>
    <xf numFmtId="168" fontId="11" fillId="4" borderId="34" xfId="12" applyNumberFormat="1" applyFont="1" applyFill="1" applyBorder="1"/>
    <xf numFmtId="168" fontId="11" fillId="4" borderId="33" xfId="12" applyNumberFormat="1" applyFont="1" applyFill="1" applyBorder="1"/>
    <xf numFmtId="0" fontId="4" fillId="4" borderId="33" xfId="3" applyFont="1" applyFill="1" applyBorder="1"/>
    <xf numFmtId="0" fontId="4" fillId="4" borderId="34" xfId="3" applyFont="1" applyFill="1" applyBorder="1"/>
    <xf numFmtId="170" fontId="9" fillId="0" borderId="0" xfId="12" applyNumberFormat="1" applyFont="1" applyFill="1" applyBorder="1"/>
    <xf numFmtId="10" fontId="4" fillId="0" borderId="0" xfId="3" applyNumberFormat="1" applyFont="1" applyFill="1" applyBorder="1"/>
    <xf numFmtId="173" fontId="4" fillId="0" borderId="14" xfId="12" applyNumberFormat="1" applyFont="1" applyFill="1" applyBorder="1"/>
    <xf numFmtId="173" fontId="9" fillId="0" borderId="0" xfId="12" applyNumberFormat="1" applyFont="1" applyFill="1" applyBorder="1"/>
    <xf numFmtId="173" fontId="11" fillId="0" borderId="0" xfId="3" applyNumberFormat="1" applyFont="1" applyFill="1" applyBorder="1"/>
    <xf numFmtId="173" fontId="11" fillId="0" borderId="14" xfId="3" applyNumberFormat="1" applyFont="1" applyFill="1" applyBorder="1"/>
    <xf numFmtId="173" fontId="4" fillId="0" borderId="13" xfId="12" applyNumberFormat="1" applyFont="1" applyFill="1" applyBorder="1"/>
    <xf numFmtId="173" fontId="9" fillId="0" borderId="20" xfId="12" applyNumberFormat="1" applyFont="1" applyFill="1" applyBorder="1"/>
    <xf numFmtId="173" fontId="4" fillId="0" borderId="22" xfId="12" applyNumberFormat="1" applyFont="1" applyFill="1" applyBorder="1"/>
    <xf numFmtId="173" fontId="9" fillId="0" borderId="21" xfId="12" applyNumberFormat="1" applyFont="1" applyFill="1" applyBorder="1"/>
    <xf numFmtId="173" fontId="4" fillId="0" borderId="21" xfId="3" applyNumberFormat="1" applyFont="1" applyFill="1" applyBorder="1"/>
    <xf numFmtId="173" fontId="4" fillId="0" borderId="20" xfId="12" applyNumberFormat="1" applyFont="1" applyFill="1" applyBorder="1"/>
    <xf numFmtId="10" fontId="9" fillId="0" borderId="0" xfId="3" applyNumberFormat="1" applyFont="1" applyFill="1" applyBorder="1"/>
    <xf numFmtId="173" fontId="9" fillId="0" borderId="22" xfId="12" applyNumberFormat="1" applyFont="1" applyFill="1" applyBorder="1"/>
    <xf numFmtId="173" fontId="9" fillId="0" borderId="21" xfId="3" applyNumberFormat="1" applyFont="1" applyFill="1" applyBorder="1"/>
    <xf numFmtId="173" fontId="9" fillId="0" borderId="14" xfId="12" applyNumberFormat="1" applyFont="1" applyFill="1" applyBorder="1"/>
    <xf numFmtId="173" fontId="11" fillId="0" borderId="14" xfId="12" applyNumberFormat="1" applyFont="1" applyFill="1" applyBorder="1"/>
    <xf numFmtId="173" fontId="9" fillId="0" borderId="22" xfId="3" applyNumberFormat="1" applyFont="1" applyFill="1" applyBorder="1"/>
    <xf numFmtId="166" fontId="14" fillId="0" borderId="0" xfId="26" applyNumberFormat="1" applyFont="1" applyFill="1" applyBorder="1" applyAlignment="1">
      <alignment horizontal="right"/>
    </xf>
    <xf numFmtId="169" fontId="11" fillId="0" borderId="22" xfId="3" applyNumberFormat="1" applyFont="1" applyFill="1" applyBorder="1"/>
    <xf numFmtId="0" fontId="35" fillId="0" borderId="0" xfId="3" applyFont="1" applyFill="1" applyBorder="1"/>
    <xf numFmtId="168" fontId="30" fillId="0" borderId="10" xfId="12" applyNumberFormat="1" applyFont="1" applyFill="1" applyBorder="1"/>
    <xf numFmtId="0" fontId="18" fillId="0" borderId="10" xfId="3" applyFont="1" applyFill="1" applyBorder="1" applyAlignment="1">
      <alignment horizontal="left" indent="1"/>
    </xf>
    <xf numFmtId="170" fontId="57" fillId="0" borderId="0" xfId="12" applyNumberFormat="1" applyFont="1" applyFill="1"/>
    <xf numFmtId="170" fontId="11" fillId="0" borderId="0" xfId="12" applyNumberFormat="1" applyFont="1" applyFill="1"/>
    <xf numFmtId="170" fontId="57" fillId="0" borderId="14" xfId="12" applyNumberFormat="1" applyFont="1" applyFill="1" applyBorder="1"/>
    <xf numFmtId="0" fontId="4" fillId="0" borderId="0" xfId="3" applyFont="1" applyFill="1" applyBorder="1" applyAlignment="1" applyProtection="1">
      <alignment horizontal="left"/>
    </xf>
    <xf numFmtId="181" fontId="4" fillId="0" borderId="0" xfId="12" applyNumberFormat="1" applyFont="1" applyFill="1" applyBorder="1" applyAlignment="1"/>
    <xf numFmtId="181" fontId="53" fillId="0" borderId="0" xfId="3" applyNumberFormat="1" applyFont="1" applyFill="1" applyBorder="1"/>
    <xf numFmtId="181" fontId="53" fillId="0" borderId="14" xfId="3" applyNumberFormat="1" applyFont="1" applyFill="1" applyBorder="1"/>
    <xf numFmtId="181" fontId="18" fillId="0" borderId="0" xfId="3" applyNumberFormat="1" applyFont="1" applyFill="1" applyBorder="1"/>
    <xf numFmtId="181" fontId="4" fillId="0" borderId="0" xfId="3" applyNumberFormat="1" applyFont="1" applyFill="1" applyBorder="1" applyAlignment="1"/>
    <xf numFmtId="181" fontId="53" fillId="0" borderId="0" xfId="12" applyNumberFormat="1" applyFont="1" applyFill="1" applyBorder="1"/>
    <xf numFmtId="181" fontId="53" fillId="0" borderId="14" xfId="12" applyNumberFormat="1" applyFont="1" applyFill="1" applyBorder="1"/>
    <xf numFmtId="181" fontId="18" fillId="0" borderId="0" xfId="12" applyNumberFormat="1" applyFont="1" applyFill="1" applyBorder="1"/>
    <xf numFmtId="181" fontId="18" fillId="0" borderId="14" xfId="12" applyNumberFormat="1" applyFont="1" applyFill="1" applyBorder="1"/>
    <xf numFmtId="166" fontId="53" fillId="0" borderId="0" xfId="3" applyNumberFormat="1" applyFont="1" applyFill="1" applyBorder="1"/>
    <xf numFmtId="166" fontId="53" fillId="0" borderId="14" xfId="3" applyNumberFormat="1" applyFont="1" applyFill="1" applyBorder="1"/>
    <xf numFmtId="166" fontId="18" fillId="0" borderId="0" xfId="3" applyNumberFormat="1" applyFont="1" applyFill="1" applyBorder="1"/>
    <xf numFmtId="0" fontId="18" fillId="0" borderId="0" xfId="3" applyFont="1" applyFill="1" applyBorder="1" applyAlignment="1"/>
    <xf numFmtId="3" fontId="18" fillId="0" borderId="0" xfId="3" applyNumberFormat="1" applyFont="1" applyFill="1" applyBorder="1"/>
    <xf numFmtId="10" fontId="18" fillId="0" borderId="0" xfId="3" applyNumberFormat="1" applyFont="1" applyFill="1" applyBorder="1"/>
    <xf numFmtId="10" fontId="18" fillId="0" borderId="14" xfId="3" applyNumberFormat="1" applyFont="1" applyFill="1" applyBorder="1"/>
    <xf numFmtId="166" fontId="20" fillId="0" borderId="0" xfId="3" applyNumberFormat="1" applyFont="1" applyFill="1" applyAlignment="1">
      <alignment horizontal="right"/>
    </xf>
    <xf numFmtId="170" fontId="30" fillId="0" borderId="0" xfId="12" applyNumberFormat="1" applyFont="1" applyFill="1" applyBorder="1"/>
    <xf numFmtId="0" fontId="4" fillId="0" borderId="0" xfId="3" applyFont="1" applyFill="1" applyAlignment="1">
      <alignment horizontal="left" indent="1"/>
    </xf>
    <xf numFmtId="168" fontId="9" fillId="0" borderId="0" xfId="12" applyNumberFormat="1" applyFont="1" applyFill="1"/>
    <xf numFmtId="173" fontId="4" fillId="0" borderId="0" xfId="12" applyNumberFormat="1" applyFont="1" applyFill="1"/>
    <xf numFmtId="173" fontId="9" fillId="0" borderId="0" xfId="12" applyNumberFormat="1" applyFont="1" applyFill="1"/>
    <xf numFmtId="168" fontId="4" fillId="0" borderId="0" xfId="3" applyNumberFormat="1" applyFont="1" applyFill="1"/>
    <xf numFmtId="7" fontId="4" fillId="0" borderId="0" xfId="3" applyNumberFormat="1" applyFont="1" applyFill="1"/>
    <xf numFmtId="10" fontId="9" fillId="0" borderId="14" xfId="26" applyNumberFormat="1" applyFont="1" applyFill="1" applyBorder="1"/>
    <xf numFmtId="173" fontId="9" fillId="0" borderId="13" xfId="3" applyNumberFormat="1" applyFont="1" applyFill="1" applyBorder="1"/>
    <xf numFmtId="173" fontId="9" fillId="0" borderId="14" xfId="3" applyNumberFormat="1" applyFont="1" applyFill="1" applyBorder="1"/>
    <xf numFmtId="169" fontId="9" fillId="0" borderId="0" xfId="12" applyNumberFormat="1" applyFont="1" applyFill="1"/>
    <xf numFmtId="169" fontId="4" fillId="0" borderId="14" xfId="12" applyNumberFormat="1" applyFont="1" applyFill="1" applyBorder="1"/>
    <xf numFmtId="41" fontId="30" fillId="0" borderId="0" xfId="3" applyNumberFormat="1" applyFont="1" applyFill="1" applyAlignment="1">
      <alignment horizontal="left"/>
    </xf>
    <xf numFmtId="41" fontId="30" fillId="0" borderId="0" xfId="12" applyNumberFormat="1" applyFont="1" applyFill="1" applyAlignment="1">
      <alignment horizontal="left"/>
    </xf>
    <xf numFmtId="41" fontId="30" fillId="0" borderId="10" xfId="12" applyNumberFormat="1" applyFont="1" applyFill="1" applyBorder="1"/>
    <xf numFmtId="41" fontId="30" fillId="0" borderId="0" xfId="12" applyNumberFormat="1" applyFont="1" applyFill="1"/>
    <xf numFmtId="41" fontId="30" fillId="0" borderId="0" xfId="12" applyNumberFormat="1" applyFont="1" applyFill="1" applyBorder="1"/>
    <xf numFmtId="41" fontId="18" fillId="0" borderId="15" xfId="12" applyNumberFormat="1" applyFont="1" applyFill="1" applyBorder="1" applyAlignment="1">
      <alignment horizontal="left"/>
    </xf>
    <xf numFmtId="41" fontId="18" fillId="0" borderId="14" xfId="12" applyNumberFormat="1" applyFont="1" applyFill="1" applyBorder="1" applyAlignment="1">
      <alignment horizontal="left"/>
    </xf>
    <xf numFmtId="41" fontId="18" fillId="0" borderId="0" xfId="12" applyNumberFormat="1" applyFont="1" applyFill="1"/>
    <xf numFmtId="41" fontId="18" fillId="0" borderId="0" xfId="12" applyNumberFormat="1" applyFont="1" applyFill="1" applyAlignment="1">
      <alignment horizontal="left"/>
    </xf>
    <xf numFmtId="41" fontId="18" fillId="0" borderId="18" xfId="12" applyNumberFormat="1" applyFont="1" applyFill="1" applyBorder="1" applyAlignment="1">
      <alignment horizontal="left"/>
    </xf>
    <xf numFmtId="41" fontId="18" fillId="0" borderId="10" xfId="12" applyNumberFormat="1" applyFont="1" applyFill="1" applyBorder="1"/>
    <xf numFmtId="41" fontId="31" fillId="0" borderId="10" xfId="12" applyNumberFormat="1" applyFont="1" applyFill="1" applyBorder="1"/>
    <xf numFmtId="41" fontId="31" fillId="0" borderId="10" xfId="12" applyNumberFormat="1" applyFont="1" applyFill="1" applyBorder="1" applyAlignment="1">
      <alignment horizontal="left"/>
    </xf>
    <xf numFmtId="41" fontId="18" fillId="0" borderId="10" xfId="12" applyNumberFormat="1" applyFont="1" applyFill="1" applyBorder="1" applyAlignment="1">
      <alignment horizontal="left"/>
    </xf>
    <xf numFmtId="41" fontId="30" fillId="0" borderId="10" xfId="12" applyNumberFormat="1" applyFont="1" applyFill="1" applyBorder="1" applyAlignment="1">
      <alignment horizontal="left"/>
    </xf>
    <xf numFmtId="41" fontId="18" fillId="0" borderId="0" xfId="3" applyNumberFormat="1" applyFont="1" applyFill="1"/>
    <xf numFmtId="41" fontId="18" fillId="0" borderId="14" xfId="3" applyNumberFormat="1" applyFont="1" applyFill="1" applyBorder="1"/>
    <xf numFmtId="41" fontId="18" fillId="0" borderId="0" xfId="12" applyNumberFormat="1" applyFont="1" applyFill="1" applyBorder="1"/>
    <xf numFmtId="41" fontId="31" fillId="0" borderId="0" xfId="12" applyNumberFormat="1" applyFont="1" applyFill="1"/>
    <xf numFmtId="41" fontId="31" fillId="0" borderId="30" xfId="12" applyNumberFormat="1" applyFont="1" applyFill="1" applyBorder="1"/>
    <xf numFmtId="41" fontId="31" fillId="0" borderId="18" xfId="12" applyNumberFormat="1" applyFont="1" applyFill="1" applyBorder="1"/>
    <xf numFmtId="41" fontId="18" fillId="0" borderId="10" xfId="3" applyNumberFormat="1" applyFont="1" applyFill="1" applyBorder="1" applyAlignment="1">
      <alignment horizontal="left"/>
    </xf>
    <xf numFmtId="41" fontId="18" fillId="0" borderId="14" xfId="12" applyNumberFormat="1" applyFont="1" applyFill="1" applyBorder="1"/>
    <xf numFmtId="41" fontId="31" fillId="0" borderId="10" xfId="3" applyNumberFormat="1" applyFont="1" applyFill="1" applyBorder="1" applyAlignment="1">
      <alignment horizontal="left"/>
    </xf>
    <xf numFmtId="41" fontId="30" fillId="0" borderId="10" xfId="3" applyNumberFormat="1" applyFont="1" applyFill="1" applyBorder="1" applyAlignment="1">
      <alignment horizontal="left"/>
    </xf>
    <xf numFmtId="41" fontId="31" fillId="0" borderId="0" xfId="12" applyNumberFormat="1" applyFont="1" applyFill="1" applyBorder="1"/>
    <xf numFmtId="41" fontId="35" fillId="0" borderId="0" xfId="3" applyNumberFormat="1" applyFont="1" applyFill="1" applyBorder="1"/>
    <xf numFmtId="168" fontId="35" fillId="0" borderId="0" xfId="3" applyNumberFormat="1" applyFont="1" applyFill="1" applyBorder="1"/>
    <xf numFmtId="168" fontId="30" fillId="0" borderId="14" xfId="12" applyNumberFormat="1" applyFont="1" applyFill="1" applyBorder="1"/>
    <xf numFmtId="168" fontId="30" fillId="0" borderId="13" xfId="12" applyNumberFormat="1" applyFont="1" applyFill="1" applyBorder="1"/>
    <xf numFmtId="168" fontId="30" fillId="0" borderId="18" xfId="12" applyNumberFormat="1" applyFont="1" applyFill="1" applyBorder="1"/>
    <xf numFmtId="7" fontId="18" fillId="0" borderId="14" xfId="3" applyNumberFormat="1" applyFont="1" applyFill="1" applyBorder="1"/>
    <xf numFmtId="0" fontId="35" fillId="0" borderId="16" xfId="3" applyFont="1" applyFill="1" applyBorder="1"/>
    <xf numFmtId="0" fontId="35" fillId="0" borderId="14" xfId="3" applyFont="1" applyFill="1" applyBorder="1"/>
    <xf numFmtId="41" fontId="35" fillId="0" borderId="14" xfId="3" applyNumberFormat="1" applyFont="1" applyFill="1" applyBorder="1"/>
    <xf numFmtId="41" fontId="35" fillId="0" borderId="20" xfId="3" applyNumberFormat="1" applyFont="1" applyFill="1" applyBorder="1"/>
    <xf numFmtId="7" fontId="35" fillId="0" borderId="13" xfId="3" applyNumberFormat="1" applyFont="1" applyFill="1" applyBorder="1"/>
    <xf numFmtId="0" fontId="35" fillId="0" borderId="15" xfId="3" applyFont="1" applyFill="1" applyBorder="1"/>
    <xf numFmtId="0" fontId="0" fillId="0" borderId="15" xfId="3" applyFont="1" applyFill="1" applyBorder="1"/>
    <xf numFmtId="168" fontId="35" fillId="0" borderId="20" xfId="3" applyNumberFormat="1" applyFont="1" applyFill="1" applyBorder="1"/>
    <xf numFmtId="0" fontId="0" fillId="0" borderId="31" xfId="3" applyFont="1" applyFill="1" applyBorder="1"/>
    <xf numFmtId="0" fontId="0" fillId="0" borderId="14" xfId="3" applyFont="1" applyFill="1" applyBorder="1"/>
    <xf numFmtId="41" fontId="35" fillId="0" borderId="13" xfId="3" applyNumberFormat="1" applyFont="1" applyFill="1" applyBorder="1"/>
    <xf numFmtId="43" fontId="9" fillId="0" borderId="14" xfId="12" applyFont="1" applyFill="1" applyBorder="1"/>
    <xf numFmtId="43" fontId="9" fillId="0" borderId="15" xfId="12" applyFont="1" applyFill="1" applyBorder="1"/>
    <xf numFmtId="43" fontId="9" fillId="0" borderId="0" xfId="12" applyFont="1" applyFill="1"/>
    <xf numFmtId="169" fontId="4" fillId="0" borderId="0" xfId="12" applyNumberFormat="1" applyFont="1" applyFill="1"/>
    <xf numFmtId="41" fontId="30" fillId="0" borderId="15" xfId="12" applyNumberFormat="1" applyFont="1" applyFill="1" applyBorder="1" applyAlignment="1">
      <alignment horizontal="left"/>
    </xf>
    <xf numFmtId="41" fontId="30" fillId="0" borderId="14" xfId="12" applyNumberFormat="1" applyFont="1" applyFill="1" applyBorder="1" applyAlignment="1">
      <alignment horizontal="left"/>
    </xf>
    <xf numFmtId="41" fontId="30" fillId="0" borderId="30" xfId="12" applyNumberFormat="1" applyFont="1" applyFill="1" applyBorder="1" applyAlignment="1">
      <alignment horizontal="left"/>
    </xf>
    <xf numFmtId="41" fontId="30" fillId="0" borderId="18" xfId="12" applyNumberFormat="1" applyFont="1" applyFill="1" applyBorder="1" applyAlignment="1">
      <alignment horizontal="left"/>
    </xf>
    <xf numFmtId="166" fontId="20" fillId="0" borderId="14" xfId="12" applyNumberFormat="1" applyFont="1" applyFill="1" applyBorder="1"/>
    <xf numFmtId="166" fontId="20" fillId="0" borderId="15" xfId="12" applyNumberFormat="1" applyFont="1" applyFill="1" applyBorder="1"/>
    <xf numFmtId="166" fontId="20" fillId="0" borderId="0" xfId="12" applyNumberFormat="1" applyFont="1" applyFill="1"/>
    <xf numFmtId="166" fontId="20" fillId="0" borderId="14" xfId="3" applyNumberFormat="1" applyFont="1" applyFill="1" applyBorder="1" applyAlignment="1">
      <alignment horizontal="right"/>
    </xf>
    <xf numFmtId="168" fontId="30" fillId="0" borderId="15" xfId="12" applyNumberFormat="1" applyFont="1" applyFill="1" applyBorder="1"/>
    <xf numFmtId="0" fontId="4" fillId="0" borderId="16" xfId="12" applyNumberFormat="1" applyFont="1" applyFill="1" applyBorder="1" applyAlignment="1">
      <alignment horizontal="left"/>
    </xf>
    <xf numFmtId="0" fontId="11" fillId="0" borderId="38" xfId="3" applyFont="1" applyFill="1" applyBorder="1"/>
    <xf numFmtId="0" fontId="11" fillId="0" borderId="39" xfId="3" applyFont="1" applyFill="1" applyBorder="1"/>
    <xf numFmtId="168" fontId="11" fillId="0" borderId="39" xfId="12" applyNumberFormat="1" applyFont="1" applyFill="1" applyBorder="1"/>
    <xf numFmtId="169" fontId="11" fillId="0" borderId="38" xfId="3" applyNumberFormat="1" applyFont="1" applyFill="1" applyBorder="1"/>
    <xf numFmtId="169" fontId="11" fillId="0" borderId="39" xfId="3" applyNumberFormat="1" applyFont="1" applyFill="1" applyBorder="1"/>
    <xf numFmtId="169" fontId="11" fillId="0" borderId="40" xfId="3" applyNumberFormat="1" applyFont="1" applyFill="1" applyBorder="1"/>
    <xf numFmtId="0" fontId="4" fillId="0" borderId="11" xfId="3" applyFont="1" applyFill="1" applyBorder="1"/>
    <xf numFmtId="0" fontId="4" fillId="0" borderId="16" xfId="3" applyFont="1" applyFill="1" applyBorder="1"/>
    <xf numFmtId="0" fontId="4" fillId="0" borderId="12" xfId="3" applyFont="1" applyFill="1" applyBorder="1"/>
    <xf numFmtId="0" fontId="11" fillId="0" borderId="11" xfId="3" applyFont="1" applyFill="1" applyBorder="1" applyAlignment="1">
      <alignment wrapText="1"/>
    </xf>
    <xf numFmtId="0" fontId="4" fillId="0" borderId="16" xfId="3" applyFont="1" applyFill="1" applyBorder="1" applyAlignment="1">
      <alignment horizontal="left" wrapText="1"/>
    </xf>
    <xf numFmtId="0" fontId="4" fillId="0" borderId="12" xfId="3" applyFont="1" applyFill="1" applyBorder="1" applyAlignment="1">
      <alignment horizontal="left" wrapText="1"/>
    </xf>
    <xf numFmtId="0" fontId="4" fillId="0" borderId="0" xfId="12" applyNumberFormat="1" applyFont="1" applyFill="1" applyBorder="1" applyAlignment="1"/>
    <xf numFmtId="43" fontId="4" fillId="0" borderId="0" xfId="12" applyFont="1" applyFill="1" applyBorder="1" applyAlignment="1"/>
    <xf numFmtId="0" fontId="4" fillId="0" borderId="0" xfId="3" applyFont="1" applyFill="1" applyBorder="1" applyAlignment="1"/>
    <xf numFmtId="0" fontId="4" fillId="0" borderId="20" xfId="3" applyFont="1" applyFill="1" applyBorder="1" applyAlignment="1"/>
    <xf numFmtId="181" fontId="53" fillId="0" borderId="20" xfId="3" applyNumberFormat="1" applyFont="1" applyFill="1" applyBorder="1"/>
    <xf numFmtId="181" fontId="53" fillId="0" borderId="13" xfId="3" applyNumberFormat="1" applyFont="1" applyFill="1" applyBorder="1"/>
    <xf numFmtId="3" fontId="18" fillId="0" borderId="20" xfId="3" applyNumberFormat="1" applyFont="1" applyFill="1" applyBorder="1"/>
    <xf numFmtId="3" fontId="18" fillId="0" borderId="13" xfId="3" applyNumberFormat="1" applyFont="1" applyFill="1" applyBorder="1"/>
    <xf numFmtId="168" fontId="9" fillId="0" borderId="18" xfId="12" applyNumberFormat="1" applyFont="1" applyFill="1" applyBorder="1"/>
    <xf numFmtId="168" fontId="9" fillId="0" borderId="10" xfId="12" applyNumberFormat="1" applyFont="1" applyFill="1" applyBorder="1"/>
    <xf numFmtId="168" fontId="4" fillId="0" borderId="18" xfId="12" applyNumberFormat="1" applyFont="1" applyFill="1" applyBorder="1"/>
    <xf numFmtId="173" fontId="9" fillId="0" borderId="10" xfId="12" applyNumberFormat="1" applyFont="1" applyFill="1" applyBorder="1"/>
    <xf numFmtId="173" fontId="4" fillId="0" borderId="10" xfId="12" applyNumberFormat="1" applyFont="1" applyFill="1" applyBorder="1"/>
    <xf numFmtId="173" fontId="4" fillId="0" borderId="18" xfId="12" applyNumberFormat="1" applyFont="1" applyFill="1" applyBorder="1"/>
    <xf numFmtId="168" fontId="30" fillId="0" borderId="22" xfId="12" applyNumberFormat="1" applyFont="1" applyFill="1" applyBorder="1"/>
    <xf numFmtId="168" fontId="30" fillId="0" borderId="21" xfId="12" applyNumberFormat="1" applyFont="1" applyFill="1" applyBorder="1"/>
    <xf numFmtId="168" fontId="30" fillId="0" borderId="0" xfId="3" applyNumberFormat="1" applyFont="1" applyFill="1" applyBorder="1"/>
    <xf numFmtId="168" fontId="9" fillId="0" borderId="13" xfId="12" applyNumberFormat="1" applyFont="1" applyFill="1" applyBorder="1"/>
    <xf numFmtId="170" fontId="53" fillId="0" borderId="14" xfId="12" applyNumberFormat="1" applyFont="1" applyFill="1" applyBorder="1" applyAlignment="1">
      <alignment horizontal="right"/>
    </xf>
    <xf numFmtId="170" fontId="53" fillId="0" borderId="14" xfId="12" applyNumberFormat="1" applyFont="1" applyFill="1" applyBorder="1"/>
    <xf numFmtId="170" fontId="53" fillId="0" borderId="0" xfId="12" applyNumberFormat="1" applyFont="1" applyFill="1" applyAlignment="1">
      <alignment horizontal="right"/>
    </xf>
    <xf numFmtId="169" fontId="53" fillId="0" borderId="14" xfId="3" applyNumberFormat="1" applyFont="1" applyFill="1" applyBorder="1"/>
    <xf numFmtId="169" fontId="53" fillId="0" borderId="0" xfId="3" applyNumberFormat="1" applyFont="1" applyFill="1" applyBorder="1"/>
    <xf numFmtId="181" fontId="53" fillId="0" borderId="14" xfId="3" applyNumberFormat="1" applyFont="1" applyFill="1" applyBorder="1" applyAlignment="1">
      <alignment horizontal="right"/>
    </xf>
    <xf numFmtId="181" fontId="53" fillId="0" borderId="0" xfId="3" applyNumberFormat="1" applyFont="1" applyFill="1" applyBorder="1" applyAlignment="1">
      <alignment horizontal="right"/>
    </xf>
    <xf numFmtId="166" fontId="53" fillId="0" borderId="14" xfId="3" applyNumberFormat="1" applyFont="1" applyFill="1" applyBorder="1" applyAlignment="1">
      <alignment horizontal="right"/>
    </xf>
    <xf numFmtId="166" fontId="53" fillId="0" borderId="0" xfId="3" applyNumberFormat="1" applyFont="1" applyFill="1" applyBorder="1" applyAlignment="1">
      <alignment horizontal="right"/>
    </xf>
    <xf numFmtId="169" fontId="53" fillId="0" borderId="14" xfId="3" applyNumberFormat="1" applyFont="1" applyFill="1" applyBorder="1" applyAlignment="1">
      <alignment horizontal="right"/>
    </xf>
    <xf numFmtId="169" fontId="53" fillId="0" borderId="0" xfId="3" applyNumberFormat="1" applyFont="1" applyFill="1" applyBorder="1" applyAlignment="1">
      <alignment horizontal="right"/>
    </xf>
    <xf numFmtId="169" fontId="53" fillId="0" borderId="13" xfId="3" applyNumberFormat="1" applyFont="1" applyFill="1" applyBorder="1" applyAlignment="1">
      <alignment horizontal="right"/>
    </xf>
    <xf numFmtId="182" fontId="53" fillId="0" borderId="20" xfId="3" applyNumberFormat="1" applyFont="1" applyFill="1" applyBorder="1" applyAlignment="1">
      <alignment horizontal="right"/>
    </xf>
    <xf numFmtId="181" fontId="53" fillId="0" borderId="20" xfId="3" applyNumberFormat="1" applyFont="1" applyFill="1" applyBorder="1" applyAlignment="1">
      <alignment horizontal="right"/>
    </xf>
    <xf numFmtId="169" fontId="53" fillId="0" borderId="20" xfId="3" applyNumberFormat="1" applyFont="1" applyFill="1" applyBorder="1" applyAlignment="1">
      <alignment horizontal="right"/>
    </xf>
    <xf numFmtId="166" fontId="4" fillId="0" borderId="16" xfId="26" applyNumberFormat="1" applyFont="1" applyFill="1" applyBorder="1"/>
    <xf numFmtId="0" fontId="4" fillId="0" borderId="5" xfId="3" applyFont="1" applyFill="1" applyBorder="1"/>
    <xf numFmtId="0" fontId="4" fillId="0" borderId="4" xfId="3" applyFont="1" applyFill="1" applyBorder="1"/>
    <xf numFmtId="0" fontId="4" fillId="0" borderId="43" xfId="3" applyFont="1" applyFill="1" applyBorder="1"/>
    <xf numFmtId="0" fontId="11" fillId="0" borderId="0" xfId="12" applyNumberFormat="1" applyFont="1" applyFill="1" applyBorder="1" applyAlignment="1">
      <alignment horizontal="center"/>
    </xf>
    <xf numFmtId="41" fontId="18" fillId="0" borderId="15" xfId="12" applyNumberFormat="1" applyFont="1" applyFill="1" applyBorder="1"/>
    <xf numFmtId="41" fontId="30" fillId="0" borderId="14" xfId="12" applyNumberFormat="1" applyFont="1" applyFill="1" applyBorder="1"/>
    <xf numFmtId="41" fontId="30" fillId="0" borderId="15" xfId="12" applyNumberFormat="1" applyFont="1" applyFill="1" applyBorder="1"/>
    <xf numFmtId="0" fontId="18" fillId="0" borderId="20" xfId="3" applyFont="1" applyFill="1" applyBorder="1" applyAlignment="1">
      <alignment horizontal="center"/>
    </xf>
    <xf numFmtId="10" fontId="4" fillId="0" borderId="21" xfId="26" applyNumberFormat="1" applyFont="1" applyFill="1" applyBorder="1"/>
    <xf numFmtId="169" fontId="18" fillId="0" borderId="13" xfId="3" applyNumberFormat="1" applyFont="1" applyFill="1" applyBorder="1"/>
    <xf numFmtId="175" fontId="4" fillId="0" borderId="0" xfId="12" applyNumberFormat="1" applyFont="1" applyFill="1" applyBorder="1"/>
    <xf numFmtId="0" fontId="13" fillId="6" borderId="0" xfId="3" applyFont="1" applyFill="1"/>
    <xf numFmtId="180" fontId="13" fillId="6" borderId="0" xfId="14" applyNumberFormat="1" applyFont="1" applyFill="1"/>
    <xf numFmtId="180" fontId="65" fillId="6" borderId="0" xfId="14" applyNumberFormat="1" applyFont="1" applyFill="1"/>
    <xf numFmtId="180" fontId="50" fillId="6" borderId="0" xfId="14" applyNumberFormat="1" applyFont="1" applyFill="1"/>
    <xf numFmtId="180" fontId="50" fillId="6" borderId="0" xfId="14" applyNumberFormat="1" applyFont="1" applyFill="1" applyBorder="1"/>
    <xf numFmtId="43" fontId="18" fillId="0" borderId="14" xfId="12" applyFont="1" applyFill="1" applyBorder="1"/>
    <xf numFmtId="3" fontId="18" fillId="0" borderId="0" xfId="3" applyNumberFormat="1" applyFont="1" applyFill="1" applyBorder="1" applyAlignment="1">
      <alignment horizontal="center"/>
    </xf>
    <xf numFmtId="0" fontId="18" fillId="0" borderId="16" xfId="3" applyFont="1" applyFill="1" applyBorder="1"/>
    <xf numFmtId="0" fontId="18" fillId="0" borderId="12" xfId="3" applyFont="1" applyFill="1" applyBorder="1"/>
    <xf numFmtId="0" fontId="4" fillId="0" borderId="21" xfId="3" applyFont="1" applyFill="1" applyBorder="1"/>
    <xf numFmtId="0" fontId="4" fillId="0" borderId="20" xfId="3" applyFont="1" applyFill="1" applyBorder="1"/>
    <xf numFmtId="0" fontId="11" fillId="0" borderId="21" xfId="3" applyFont="1" applyFill="1" applyBorder="1" applyAlignment="1">
      <alignment wrapText="1"/>
    </xf>
    <xf numFmtId="0" fontId="4" fillId="0" borderId="0" xfId="3" applyFont="1" applyFill="1" applyBorder="1" applyAlignment="1">
      <alignment horizontal="left" wrapText="1"/>
    </xf>
    <xf numFmtId="0" fontId="4" fillId="0" borderId="20" xfId="3" applyFont="1" applyFill="1" applyBorder="1" applyAlignment="1">
      <alignment horizontal="left" wrapText="1"/>
    </xf>
    <xf numFmtId="0" fontId="21" fillId="0" borderId="33" xfId="3" applyFont="1" applyFill="1" applyBorder="1"/>
    <xf numFmtId="168" fontId="21" fillId="0" borderId="34" xfId="12" applyNumberFormat="1" applyFont="1" applyFill="1" applyBorder="1"/>
    <xf numFmtId="168" fontId="21" fillId="0" borderId="33" xfId="12" applyNumberFormat="1" applyFont="1" applyFill="1" applyBorder="1"/>
    <xf numFmtId="168" fontId="9" fillId="0" borderId="30" xfId="12" applyNumberFormat="1" applyFont="1" applyFill="1" applyBorder="1"/>
    <xf numFmtId="168" fontId="4" fillId="0" borderId="21" xfId="12" applyNumberFormat="1" applyFont="1" applyFill="1" applyBorder="1"/>
    <xf numFmtId="168" fontId="9" fillId="0" borderId="21" xfId="12" applyNumberFormat="1" applyFont="1" applyFill="1" applyBorder="1"/>
    <xf numFmtId="3" fontId="4" fillId="0" borderId="0" xfId="3" applyNumberFormat="1" applyFont="1" applyFill="1" applyBorder="1" applyAlignment="1">
      <alignment horizontal="center"/>
    </xf>
    <xf numFmtId="41" fontId="30" fillId="0" borderId="15" xfId="3" applyNumberFormat="1" applyFont="1" applyFill="1" applyBorder="1" applyAlignment="1">
      <alignment horizontal="left"/>
    </xf>
    <xf numFmtId="41" fontId="30" fillId="0" borderId="30" xfId="12" applyNumberFormat="1" applyFont="1" applyFill="1" applyBorder="1"/>
    <xf numFmtId="41" fontId="30" fillId="0" borderId="15" xfId="3" applyNumberFormat="1" applyFont="1" applyFill="1" applyBorder="1"/>
    <xf numFmtId="41" fontId="18" fillId="0" borderId="15" xfId="3" applyNumberFormat="1" applyFont="1" applyFill="1" applyBorder="1" applyAlignment="1">
      <alignment horizontal="left"/>
    </xf>
    <xf numFmtId="41" fontId="18" fillId="0" borderId="30" xfId="12" applyNumberFormat="1" applyFont="1" applyFill="1" applyBorder="1"/>
    <xf numFmtId="0" fontId="14" fillId="0" borderId="15" xfId="3" applyFont="1" applyFill="1" applyBorder="1"/>
    <xf numFmtId="0" fontId="18" fillId="0" borderId="31" xfId="3" applyFont="1" applyFill="1" applyBorder="1"/>
    <xf numFmtId="0" fontId="20" fillId="0" borderId="15" xfId="3" applyFont="1" applyFill="1" applyBorder="1"/>
    <xf numFmtId="177" fontId="18" fillId="0" borderId="15" xfId="3" applyNumberFormat="1" applyFont="1" applyFill="1" applyBorder="1"/>
    <xf numFmtId="0" fontId="30" fillId="0" borderId="15" xfId="3" applyFont="1" applyFill="1" applyBorder="1"/>
    <xf numFmtId="170" fontId="53" fillId="0" borderId="15" xfId="12" applyNumberFormat="1" applyFont="1" applyFill="1" applyBorder="1" applyAlignment="1">
      <alignment horizontal="right"/>
    </xf>
    <xf numFmtId="170" fontId="18" fillId="0" borderId="15" xfId="3" applyNumberFormat="1" applyFont="1" applyFill="1" applyBorder="1" applyAlignment="1">
      <alignment horizontal="left"/>
    </xf>
    <xf numFmtId="166" fontId="14" fillId="0" borderId="15" xfId="26" applyNumberFormat="1" applyFont="1" applyFill="1" applyBorder="1" applyAlignment="1">
      <alignment horizontal="right"/>
    </xf>
    <xf numFmtId="181" fontId="53" fillId="0" borderId="15" xfId="3" applyNumberFormat="1" applyFont="1" applyFill="1" applyBorder="1"/>
    <xf numFmtId="181" fontId="53" fillId="0" borderId="15" xfId="12" applyNumberFormat="1" applyFont="1" applyFill="1" applyBorder="1"/>
    <xf numFmtId="166" fontId="53" fillId="0" borderId="15" xfId="3" applyNumberFormat="1" applyFont="1" applyFill="1" applyBorder="1"/>
    <xf numFmtId="169" fontId="53" fillId="0" borderId="15" xfId="3" applyNumberFormat="1" applyFont="1" applyFill="1" applyBorder="1"/>
    <xf numFmtId="181" fontId="53" fillId="0" borderId="15" xfId="3" applyNumberFormat="1" applyFont="1" applyFill="1" applyBorder="1" applyAlignment="1">
      <alignment horizontal="right"/>
    </xf>
    <xf numFmtId="166" fontId="53" fillId="0" borderId="15" xfId="3" applyNumberFormat="1" applyFont="1" applyFill="1" applyBorder="1" applyAlignment="1">
      <alignment horizontal="right"/>
    </xf>
    <xf numFmtId="169" fontId="53" fillId="0" borderId="15" xfId="3" applyNumberFormat="1" applyFont="1" applyFill="1" applyBorder="1" applyAlignment="1">
      <alignment horizontal="right"/>
    </xf>
    <xf numFmtId="169" fontId="53" fillId="0" borderId="31" xfId="3" applyNumberFormat="1" applyFont="1" applyFill="1" applyBorder="1" applyAlignment="1">
      <alignment horizontal="right"/>
    </xf>
    <xf numFmtId="171" fontId="39" fillId="0" borderId="0" xfId="12" applyNumberFormat="1" applyFont="1" applyFill="1" applyBorder="1"/>
    <xf numFmtId="171" fontId="9" fillId="0" borderId="0" xfId="12" applyNumberFormat="1" applyFont="1" applyFill="1" applyBorder="1"/>
    <xf numFmtId="43" fontId="9" fillId="0" borderId="0" xfId="12" applyFont="1" applyFill="1" applyBorder="1"/>
    <xf numFmtId="0" fontId="20" fillId="0" borderId="0" xfId="3" applyFont="1" applyFill="1" applyBorder="1" applyAlignment="1">
      <alignment horizontal="left"/>
    </xf>
    <xf numFmtId="41" fontId="30" fillId="0" borderId="0" xfId="3" applyNumberFormat="1" applyFont="1" applyFill="1" applyBorder="1" applyAlignment="1">
      <alignment horizontal="left"/>
    </xf>
    <xf numFmtId="41" fontId="30" fillId="0" borderId="0" xfId="12" applyNumberFormat="1" applyFont="1" applyFill="1" applyBorder="1" applyAlignment="1">
      <alignment horizontal="left"/>
    </xf>
    <xf numFmtId="41" fontId="30" fillId="0" borderId="0" xfId="3" applyNumberFormat="1" applyFont="1" applyFill="1" applyBorder="1"/>
    <xf numFmtId="41" fontId="18" fillId="0" borderId="0" xfId="3" applyNumberFormat="1" applyFont="1" applyFill="1" applyBorder="1" applyAlignment="1">
      <alignment horizontal="left"/>
    </xf>
    <xf numFmtId="38" fontId="18" fillId="0" borderId="0" xfId="3" applyNumberFormat="1" applyFont="1" applyFill="1" applyBorder="1"/>
    <xf numFmtId="166" fontId="20" fillId="0" borderId="0" xfId="12" applyNumberFormat="1" applyFont="1" applyFill="1" applyBorder="1"/>
    <xf numFmtId="38" fontId="30" fillId="0" borderId="0" xfId="3" applyNumberFormat="1" applyFont="1" applyFill="1" applyBorder="1"/>
    <xf numFmtId="0" fontId="14" fillId="0" borderId="0" xfId="3" applyFont="1" applyFill="1" applyBorder="1"/>
    <xf numFmtId="177" fontId="18" fillId="0" borderId="0" xfId="3" applyNumberFormat="1" applyFont="1" applyFill="1" applyBorder="1"/>
    <xf numFmtId="0" fontId="30" fillId="0" borderId="0" xfId="3" applyFont="1" applyFill="1" applyBorder="1"/>
    <xf numFmtId="166" fontId="18" fillId="0" borderId="0" xfId="26" applyNumberFormat="1" applyFont="1" applyFill="1" applyBorder="1"/>
    <xf numFmtId="0" fontId="21" fillId="0" borderId="0" xfId="3" applyFont="1" applyFill="1" applyBorder="1"/>
    <xf numFmtId="170" fontId="53" fillId="0" borderId="0" xfId="12" applyNumberFormat="1" applyFont="1" applyFill="1" applyBorder="1" applyAlignment="1">
      <alignment horizontal="right"/>
    </xf>
    <xf numFmtId="170" fontId="18" fillId="0" borderId="0" xfId="3" applyNumberFormat="1" applyFont="1" applyFill="1" applyBorder="1" applyAlignment="1">
      <alignment horizontal="left"/>
    </xf>
    <xf numFmtId="3" fontId="53" fillId="0" borderId="14" xfId="3" applyNumberFormat="1" applyFont="1" applyFill="1" applyBorder="1"/>
    <xf numFmtId="3" fontId="53" fillId="0" borderId="0" xfId="3" applyNumberFormat="1" applyFont="1" applyFill="1" applyBorder="1"/>
    <xf numFmtId="3" fontId="53" fillId="0" borderId="14" xfId="3" applyNumberFormat="1" applyFont="1" applyFill="1" applyBorder="1" applyAlignment="1">
      <alignment horizontal="right"/>
    </xf>
    <xf numFmtId="3" fontId="53" fillId="0" borderId="0" xfId="3" applyNumberFormat="1" applyFont="1" applyFill="1" applyBorder="1" applyAlignment="1">
      <alignment horizontal="right"/>
    </xf>
    <xf numFmtId="3" fontId="53" fillId="0" borderId="13" xfId="3" applyNumberFormat="1" applyFont="1" applyFill="1" applyBorder="1" applyAlignment="1">
      <alignment horizontal="right"/>
    </xf>
    <xf numFmtId="3" fontId="53" fillId="0" borderId="20" xfId="3" applyNumberFormat="1" applyFont="1" applyFill="1" applyBorder="1" applyAlignment="1">
      <alignment horizontal="right"/>
    </xf>
    <xf numFmtId="3" fontId="53" fillId="0" borderId="20" xfId="3" applyNumberFormat="1" applyFont="1" applyFill="1" applyBorder="1"/>
    <xf numFmtId="3" fontId="53" fillId="0" borderId="13" xfId="3" applyNumberFormat="1" applyFont="1" applyFill="1" applyBorder="1"/>
    <xf numFmtId="166" fontId="20" fillId="0" borderId="16" xfId="26" applyNumberFormat="1" applyFont="1" applyFill="1" applyBorder="1"/>
    <xf numFmtId="166" fontId="14" fillId="0" borderId="16" xfId="26" applyNumberFormat="1" applyFont="1" applyFill="1" applyBorder="1"/>
    <xf numFmtId="166" fontId="14" fillId="0" borderId="12" xfId="26" applyNumberFormat="1" applyFont="1" applyFill="1" applyBorder="1"/>
    <xf numFmtId="166" fontId="20" fillId="0" borderId="0" xfId="26" applyNumberFormat="1" applyFont="1" applyFill="1" applyBorder="1" applyAlignment="1">
      <alignment horizontal="center"/>
    </xf>
    <xf numFmtId="0" fontId="18" fillId="4" borderId="32" xfId="3" applyFont="1" applyFill="1" applyBorder="1"/>
    <xf numFmtId="0" fontId="11" fillId="4" borderId="33" xfId="3" applyFont="1" applyFill="1" applyBorder="1" applyAlignment="1">
      <alignment horizontal="left"/>
    </xf>
    <xf numFmtId="0" fontId="35" fillId="4" borderId="33" xfId="3" applyFont="1" applyFill="1" applyBorder="1" applyAlignment="1">
      <alignment horizontal="center"/>
    </xf>
    <xf numFmtId="166" fontId="20" fillId="4" borderId="34" xfId="26" applyNumberFormat="1" applyFont="1" applyFill="1" applyBorder="1" applyAlignment="1">
      <alignment horizontal="right"/>
    </xf>
    <xf numFmtId="166" fontId="20" fillId="4" borderId="41" xfId="26" applyNumberFormat="1" applyFont="1" applyFill="1" applyBorder="1" applyAlignment="1">
      <alignment horizontal="right"/>
    </xf>
    <xf numFmtId="166" fontId="20" fillId="4" borderId="33" xfId="26" applyNumberFormat="1" applyFont="1" applyFill="1" applyBorder="1" applyAlignment="1">
      <alignment horizontal="right"/>
    </xf>
    <xf numFmtId="0" fontId="18" fillId="0" borderId="11" xfId="3" applyFont="1" applyFill="1" applyBorder="1"/>
    <xf numFmtId="0" fontId="18" fillId="0" borderId="21" xfId="3" applyFont="1" applyFill="1" applyBorder="1" applyAlignment="1">
      <alignment horizontal="center"/>
    </xf>
    <xf numFmtId="170" fontId="18" fillId="0" borderId="22" xfId="3" applyNumberFormat="1" applyFont="1" applyFill="1" applyBorder="1" applyAlignment="1">
      <alignment horizontal="left"/>
    </xf>
    <xf numFmtId="170" fontId="18" fillId="0" borderId="35" xfId="12" applyNumberFormat="1" applyFont="1" applyFill="1" applyBorder="1" applyAlignment="1">
      <alignment horizontal="left"/>
    </xf>
    <xf numFmtId="170" fontId="18" fillId="0" borderId="22" xfId="12" applyNumberFormat="1" applyFont="1" applyFill="1" applyBorder="1" applyAlignment="1">
      <alignment horizontal="left"/>
    </xf>
    <xf numFmtId="170" fontId="18" fillId="0" borderId="21" xfId="12" applyNumberFormat="1" applyFont="1" applyFill="1" applyBorder="1"/>
    <xf numFmtId="0" fontId="14" fillId="0" borderId="0" xfId="3" applyFont="1" applyFill="1" applyBorder="1" applyAlignment="1">
      <alignment horizontal="left" indent="1"/>
    </xf>
    <xf numFmtId="166" fontId="14" fillId="0" borderId="0" xfId="26" applyNumberFormat="1" applyFont="1" applyFill="1" applyBorder="1" applyAlignment="1">
      <alignment horizontal="center"/>
    </xf>
    <xf numFmtId="0" fontId="14" fillId="0" borderId="20" xfId="3" applyFont="1" applyFill="1" applyBorder="1" applyAlignment="1">
      <alignment horizontal="left" indent="1"/>
    </xf>
    <xf numFmtId="166" fontId="14" fillId="0" borderId="20" xfId="26" applyNumberFormat="1" applyFont="1" applyFill="1" applyBorder="1" applyAlignment="1">
      <alignment horizontal="center"/>
    </xf>
    <xf numFmtId="166" fontId="14" fillId="0" borderId="31" xfId="26" applyNumberFormat="1" applyFont="1" applyFill="1" applyBorder="1"/>
    <xf numFmtId="166" fontId="14" fillId="0" borderId="13" xfId="26" applyNumberFormat="1" applyFont="1" applyFill="1" applyBorder="1" applyAlignment="1">
      <alignment horizontal="right"/>
    </xf>
    <xf numFmtId="166" fontId="14" fillId="0" borderId="20" xfId="26" applyNumberFormat="1" applyFont="1" applyFill="1" applyBorder="1" applyAlignment="1">
      <alignment horizontal="right"/>
    </xf>
    <xf numFmtId="0" fontId="18" fillId="0" borderId="43" xfId="3" applyFont="1" applyFill="1" applyBorder="1"/>
    <xf numFmtId="0" fontId="18" fillId="0" borderId="8" xfId="3" applyFont="1" applyFill="1" applyBorder="1" applyAlignment="1">
      <alignment horizontal="center"/>
    </xf>
    <xf numFmtId="170" fontId="18" fillId="0" borderId="26" xfId="3" applyNumberFormat="1" applyFont="1" applyFill="1" applyBorder="1" applyAlignment="1">
      <alignment horizontal="left"/>
    </xf>
    <xf numFmtId="170" fontId="18" fillId="0" borderId="53" xfId="12" applyNumberFormat="1" applyFont="1" applyFill="1" applyBorder="1" applyAlignment="1">
      <alignment horizontal="left"/>
    </xf>
    <xf numFmtId="170" fontId="18" fillId="0" borderId="26" xfId="12" applyNumberFormat="1" applyFont="1" applyFill="1" applyBorder="1" applyAlignment="1">
      <alignment horizontal="left"/>
    </xf>
    <xf numFmtId="170" fontId="18" fillId="0" borderId="8" xfId="12" applyNumberFormat="1" applyFont="1" applyFill="1" applyBorder="1"/>
    <xf numFmtId="166" fontId="14" fillId="0" borderId="5" xfId="26" applyNumberFormat="1" applyFont="1" applyFill="1" applyBorder="1"/>
    <xf numFmtId="166" fontId="14" fillId="0" borderId="55" xfId="26" applyNumberFormat="1" applyFont="1" applyFill="1" applyBorder="1" applyAlignment="1">
      <alignment horizontal="right"/>
    </xf>
    <xf numFmtId="0" fontId="18" fillId="0" borderId="5" xfId="3" applyFont="1" applyFill="1" applyBorder="1"/>
    <xf numFmtId="170" fontId="18" fillId="0" borderId="55" xfId="12" applyNumberFormat="1" applyFont="1" applyFill="1" applyBorder="1" applyAlignment="1">
      <alignment horizontal="left"/>
    </xf>
    <xf numFmtId="166" fontId="14" fillId="0" borderId="4" xfId="26" applyNumberFormat="1" applyFont="1" applyFill="1" applyBorder="1"/>
    <xf numFmtId="0" fontId="14" fillId="0" borderId="27" xfId="3" applyFont="1" applyFill="1" applyBorder="1" applyAlignment="1">
      <alignment horizontal="left" indent="1"/>
    </xf>
    <xf numFmtId="166" fontId="14" fillId="0" borderId="27" xfId="26" applyNumberFormat="1" applyFont="1" applyFill="1" applyBorder="1" applyAlignment="1">
      <alignment horizontal="center"/>
    </xf>
    <xf numFmtId="166" fontId="14" fillId="0" borderId="28" xfId="26" applyNumberFormat="1" applyFont="1" applyFill="1" applyBorder="1"/>
    <xf numFmtId="166" fontId="14" fillId="0" borderId="51" xfId="26" applyNumberFormat="1" applyFont="1" applyFill="1" applyBorder="1"/>
    <xf numFmtId="166" fontId="14" fillId="0" borderId="27" xfId="26" applyNumberFormat="1" applyFont="1" applyFill="1" applyBorder="1"/>
    <xf numFmtId="166" fontId="14" fillId="0" borderId="28" xfId="26" applyNumberFormat="1" applyFont="1" applyFill="1" applyBorder="1" applyAlignment="1">
      <alignment horizontal="right"/>
    </xf>
    <xf numFmtId="166" fontId="14" fillId="0" borderId="27" xfId="26" applyNumberFormat="1" applyFont="1" applyFill="1" applyBorder="1" applyAlignment="1">
      <alignment horizontal="right"/>
    </xf>
    <xf numFmtId="166" fontId="14" fillId="0" borderId="56" xfId="26" applyNumberFormat="1" applyFont="1" applyFill="1" applyBorder="1" applyAlignment="1">
      <alignment horizontal="right"/>
    </xf>
    <xf numFmtId="166" fontId="20" fillId="0" borderId="55" xfId="26" applyNumberFormat="1" applyFont="1" applyFill="1" applyBorder="1" applyAlignment="1">
      <alignment horizontal="right"/>
    </xf>
    <xf numFmtId="166" fontId="4" fillId="0" borderId="0" xfId="26" applyNumberFormat="1" applyFont="1" applyFill="1" applyBorder="1" applyAlignment="1">
      <alignment horizontal="center"/>
    </xf>
    <xf numFmtId="170" fontId="18" fillId="0" borderId="0" xfId="12" applyNumberFormat="1" applyFont="1" applyFill="1" applyBorder="1" applyAlignment="1">
      <alignment horizontal="left"/>
    </xf>
    <xf numFmtId="166" fontId="54" fillId="0" borderId="0" xfId="26" applyNumberFormat="1" applyFont="1" applyFill="1" applyBorder="1" applyAlignment="1">
      <alignment horizontal="right"/>
    </xf>
    <xf numFmtId="170" fontId="53" fillId="0" borderId="0" xfId="12" applyNumberFormat="1" applyFont="1" applyFill="1" applyBorder="1"/>
    <xf numFmtId="0" fontId="18" fillId="0" borderId="57" xfId="3" applyFont="1" applyFill="1" applyBorder="1" applyAlignment="1">
      <alignment horizontal="left" indent="1"/>
    </xf>
    <xf numFmtId="0" fontId="35" fillId="0" borderId="57" xfId="3" applyFont="1" applyFill="1" applyBorder="1" applyAlignment="1">
      <alignment horizontal="center"/>
    </xf>
    <xf numFmtId="3" fontId="18" fillId="0" borderId="57" xfId="3" applyNumberFormat="1" applyFont="1" applyFill="1" applyBorder="1" applyAlignment="1">
      <alignment horizontal="center"/>
    </xf>
    <xf numFmtId="0" fontId="34" fillId="0" borderId="20" xfId="3" applyFont="1" applyFill="1" applyBorder="1"/>
    <xf numFmtId="0" fontId="23" fillId="0" borderId="20" xfId="3" applyFont="1" applyFill="1" applyBorder="1" applyAlignment="1">
      <alignment horizontal="center"/>
    </xf>
    <xf numFmtId="0" fontId="20" fillId="0" borderId="20" xfId="3" applyFont="1" applyFill="1" applyBorder="1" applyAlignment="1">
      <alignment horizontal="left"/>
    </xf>
    <xf numFmtId="38" fontId="18" fillId="0" borderId="20" xfId="3" applyNumberFormat="1" applyFont="1" applyFill="1" applyBorder="1"/>
    <xf numFmtId="170" fontId="18" fillId="0" borderId="20" xfId="3" applyNumberFormat="1" applyFont="1" applyFill="1" applyBorder="1"/>
    <xf numFmtId="0" fontId="11" fillId="0" borderId="8" xfId="3" applyFont="1" applyFill="1" applyBorder="1"/>
    <xf numFmtId="0" fontId="13" fillId="4" borderId="0" xfId="3" applyFont="1" applyFill="1" applyBorder="1"/>
    <xf numFmtId="0" fontId="20" fillId="4" borderId="0" xfId="24" applyFont="1" applyFill="1" applyBorder="1"/>
    <xf numFmtId="17" fontId="18" fillId="4" borderId="14" xfId="24" applyNumberFormat="1" applyFont="1" applyFill="1" applyBorder="1" applyAlignment="1">
      <alignment horizontal="center"/>
    </xf>
    <xf numFmtId="17" fontId="18" fillId="4" borderId="0" xfId="24" applyNumberFormat="1" applyFont="1" applyFill="1" applyBorder="1" applyAlignment="1">
      <alignment horizontal="center"/>
    </xf>
    <xf numFmtId="17" fontId="4" fillId="4" borderId="14" xfId="24" applyNumberFormat="1" applyFont="1" applyFill="1" applyBorder="1" applyAlignment="1">
      <alignment horizontal="center"/>
    </xf>
    <xf numFmtId="17" fontId="4" fillId="4" borderId="0" xfId="24" applyNumberFormat="1" applyFont="1" applyFill="1" applyBorder="1" applyAlignment="1">
      <alignment horizontal="center"/>
    </xf>
    <xf numFmtId="0" fontId="20" fillId="4" borderId="2" xfId="24" applyFont="1" applyFill="1" applyBorder="1" applyAlignment="1">
      <alignment horizontal="left"/>
    </xf>
    <xf numFmtId="0" fontId="16" fillId="4" borderId="2" xfId="3" applyFont="1" applyFill="1" applyBorder="1" applyAlignment="1">
      <alignment horizontal="center"/>
    </xf>
    <xf numFmtId="0" fontId="21" fillId="4" borderId="17" xfId="24" applyFont="1" applyFill="1" applyBorder="1" applyAlignment="1">
      <alignment horizontal="center"/>
    </xf>
    <xf numFmtId="0" fontId="21" fillId="4" borderId="2" xfId="24" applyFont="1" applyFill="1" applyBorder="1" applyAlignment="1">
      <alignment horizontal="center"/>
    </xf>
    <xf numFmtId="17" fontId="11" fillId="4" borderId="17" xfId="24" applyNumberFormat="1" applyFont="1" applyFill="1" applyBorder="1" applyAlignment="1">
      <alignment horizontal="center"/>
    </xf>
    <xf numFmtId="17" fontId="11" fillId="4" borderId="2" xfId="24" applyNumberFormat="1" applyFont="1" applyFill="1" applyBorder="1" applyAlignment="1">
      <alignment horizontal="center"/>
    </xf>
    <xf numFmtId="0" fontId="14" fillId="4" borderId="2" xfId="24" applyFont="1" applyFill="1" applyBorder="1" applyAlignment="1">
      <alignment horizontal="left"/>
    </xf>
    <xf numFmtId="0" fontId="11" fillId="4" borderId="2" xfId="24" applyFont="1" applyFill="1" applyBorder="1" applyAlignment="1">
      <alignment horizontal="center"/>
    </xf>
    <xf numFmtId="0" fontId="11" fillId="4" borderId="17" xfId="24" applyFont="1" applyFill="1" applyBorder="1" applyAlignment="1">
      <alignment horizontal="center"/>
    </xf>
    <xf numFmtId="17" fontId="18" fillId="4" borderId="15" xfId="24" applyNumberFormat="1" applyFont="1" applyFill="1" applyBorder="1" applyAlignment="1">
      <alignment horizontal="center"/>
    </xf>
    <xf numFmtId="0" fontId="21" fillId="4" borderId="59" xfId="24" applyFont="1" applyFill="1" applyBorder="1" applyAlignment="1">
      <alignment horizontal="center"/>
    </xf>
    <xf numFmtId="0" fontId="35" fillId="4" borderId="0" xfId="3" applyFont="1" applyFill="1" applyBorder="1" applyAlignment="1">
      <alignment horizontal="center"/>
    </xf>
    <xf numFmtId="0" fontId="35" fillId="4" borderId="2" xfId="3" applyFont="1" applyFill="1" applyBorder="1" applyAlignment="1">
      <alignment horizontal="center"/>
    </xf>
    <xf numFmtId="43" fontId="18" fillId="0" borderId="0" xfId="12" applyFont="1" applyFill="1"/>
    <xf numFmtId="10" fontId="4" fillId="4" borderId="33" xfId="26" applyNumberFormat="1" applyFont="1" applyFill="1" applyBorder="1"/>
    <xf numFmtId="0" fontId="0" fillId="0" borderId="12" xfId="3" applyFont="1" applyFill="1" applyBorder="1"/>
    <xf numFmtId="0" fontId="0" fillId="0" borderId="32" xfId="3" applyFont="1" applyFill="1" applyBorder="1"/>
    <xf numFmtId="0" fontId="24" fillId="0" borderId="0" xfId="3" applyFont="1" applyFill="1" applyBorder="1"/>
    <xf numFmtId="0" fontId="0" fillId="0" borderId="61" xfId="3" applyFont="1" applyFill="1" applyBorder="1"/>
    <xf numFmtId="0" fontId="25" fillId="0" borderId="0" xfId="3" applyFont="1" applyFill="1" applyBorder="1" applyAlignment="1">
      <alignment horizontal="left" indent="1"/>
    </xf>
    <xf numFmtId="0" fontId="13" fillId="0" borderId="62" xfId="3" applyFont="1" applyFill="1" applyBorder="1"/>
    <xf numFmtId="0" fontId="0" fillId="0" borderId="52" xfId="3" applyFont="1" applyFill="1" applyBorder="1"/>
    <xf numFmtId="0" fontId="0" fillId="0" borderId="40" xfId="3" applyFont="1" applyFill="1" applyBorder="1"/>
    <xf numFmtId="0" fontId="55" fillId="0" borderId="16" xfId="3" applyFont="1" applyFill="1" applyBorder="1"/>
    <xf numFmtId="187" fontId="11" fillId="0" borderId="23" xfId="12" applyNumberFormat="1" applyFont="1" applyFill="1" applyBorder="1"/>
    <xf numFmtId="177" fontId="11" fillId="0" borderId="23" xfId="12" applyNumberFormat="1" applyFont="1" applyFill="1" applyBorder="1"/>
    <xf numFmtId="0" fontId="52" fillId="0" borderId="0" xfId="3" applyFont="1"/>
    <xf numFmtId="0" fontId="18" fillId="0" borderId="0" xfId="3" applyFont="1" applyFill="1" applyAlignment="1">
      <alignment horizontal="left"/>
    </xf>
    <xf numFmtId="168" fontId="69" fillId="0" borderId="0" xfId="12" applyNumberFormat="1" applyFont="1" applyFill="1" applyBorder="1"/>
    <xf numFmtId="168" fontId="69" fillId="0" borderId="21" xfId="12" applyNumberFormat="1" applyFont="1" applyFill="1" applyBorder="1"/>
    <xf numFmtId="168" fontId="69" fillId="0" borderId="20" xfId="3" applyNumberFormat="1" applyFont="1" applyFill="1" applyBorder="1"/>
    <xf numFmtId="173" fontId="69" fillId="0" borderId="0" xfId="3" applyNumberFormat="1" applyFont="1" applyFill="1" applyBorder="1"/>
    <xf numFmtId="173" fontId="69" fillId="0" borderId="21" xfId="3" applyNumberFormat="1" applyFont="1" applyFill="1" applyBorder="1"/>
    <xf numFmtId="170" fontId="72" fillId="0" borderId="0" xfId="12" applyNumberFormat="1" applyFont="1" applyFill="1"/>
    <xf numFmtId="9" fontId="18" fillId="0" borderId="0" xfId="3" applyNumberFormat="1" applyFont="1" applyFill="1"/>
    <xf numFmtId="170" fontId="4" fillId="0" borderId="0" xfId="12" applyNumberFormat="1" applyFont="1" applyFill="1"/>
    <xf numFmtId="0" fontId="1" fillId="0" borderId="0" xfId="0" applyFont="1"/>
    <xf numFmtId="0" fontId="75" fillId="0" borderId="11" xfId="3" applyFont="1" applyFill="1" applyBorder="1"/>
    <xf numFmtId="0" fontId="76" fillId="0" borderId="21" xfId="3" applyFont="1" applyFill="1" applyBorder="1"/>
    <xf numFmtId="0" fontId="75" fillId="0" borderId="21" xfId="3" applyFont="1" applyFill="1" applyBorder="1" applyAlignment="1">
      <alignment horizontal="center"/>
    </xf>
    <xf numFmtId="170" fontId="75" fillId="0" borderId="22" xfId="3" applyNumberFormat="1" applyFont="1" applyFill="1" applyBorder="1" applyAlignment="1">
      <alignment horizontal="left"/>
    </xf>
    <xf numFmtId="170" fontId="75" fillId="0" borderId="35" xfId="12" applyNumberFormat="1" applyFont="1" applyFill="1" applyBorder="1" applyAlignment="1">
      <alignment horizontal="left"/>
    </xf>
    <xf numFmtId="170" fontId="75" fillId="0" borderId="22" xfId="12" applyNumberFormat="1" applyFont="1" applyFill="1" applyBorder="1" applyAlignment="1">
      <alignment horizontal="left"/>
    </xf>
    <xf numFmtId="170" fontId="75" fillId="0" borderId="21" xfId="12" applyNumberFormat="1" applyFont="1" applyFill="1" applyBorder="1"/>
    <xf numFmtId="170" fontId="75" fillId="0" borderId="63" xfId="12" applyNumberFormat="1" applyFont="1" applyFill="1" applyBorder="1" applyAlignment="1">
      <alignment horizontal="left"/>
    </xf>
    <xf numFmtId="0" fontId="75" fillId="0" borderId="0" xfId="3" applyFont="1" applyFill="1" applyBorder="1"/>
    <xf numFmtId="0" fontId="77" fillId="0" borderId="0" xfId="0" applyFont="1"/>
    <xf numFmtId="168" fontId="73" fillId="0" borderId="14" xfId="12" applyNumberFormat="1" applyFont="1" applyFill="1" applyBorder="1"/>
    <xf numFmtId="170" fontId="75" fillId="0" borderId="8" xfId="12" applyNumberFormat="1" applyFont="1" applyFill="1" applyBorder="1"/>
    <xf numFmtId="170" fontId="75" fillId="0" borderId="26" xfId="12" applyNumberFormat="1" applyFont="1" applyFill="1" applyBorder="1" applyAlignment="1">
      <alignment horizontal="left"/>
    </xf>
    <xf numFmtId="170" fontId="75" fillId="0" borderId="54" xfId="12" applyNumberFormat="1" applyFont="1" applyFill="1" applyBorder="1" applyAlignment="1">
      <alignment horizontal="left"/>
    </xf>
    <xf numFmtId="173" fontId="9" fillId="0" borderId="13" xfId="12" applyNumberFormat="1" applyFont="1" applyFill="1" applyBorder="1"/>
    <xf numFmtId="43" fontId="4" fillId="0" borderId="20" xfId="12" applyNumberFormat="1" applyFont="1" applyFill="1" applyBorder="1"/>
    <xf numFmtId="3" fontId="53" fillId="0" borderId="0" xfId="4" applyNumberFormat="1" applyFont="1" applyFill="1" applyBorder="1"/>
    <xf numFmtId="181" fontId="53" fillId="0" borderId="0" xfId="13" applyNumberFormat="1" applyFont="1" applyFill="1" applyBorder="1"/>
    <xf numFmtId="166" fontId="53" fillId="0" borderId="0" xfId="4" applyNumberFormat="1" applyFont="1" applyFill="1" applyBorder="1"/>
    <xf numFmtId="10" fontId="4" fillId="0" borderId="0" xfId="4" applyNumberFormat="1" applyFont="1" applyFill="1" applyBorder="1"/>
    <xf numFmtId="3" fontId="4" fillId="0" borderId="20" xfId="4" applyNumberFormat="1" applyFont="1" applyFill="1" applyBorder="1"/>
    <xf numFmtId="168" fontId="83" fillId="0" borderId="0" xfId="13" applyNumberFormat="1" applyFont="1" applyFill="1" applyBorder="1"/>
    <xf numFmtId="41" fontId="84" fillId="0" borderId="0" xfId="12" applyNumberFormat="1" applyFont="1" applyFill="1"/>
    <xf numFmtId="171" fontId="18" fillId="0" borderId="0" xfId="3" applyNumberFormat="1" applyFont="1" applyFill="1" applyBorder="1"/>
    <xf numFmtId="168" fontId="89" fillId="0" borderId="14" xfId="12" applyNumberFormat="1" applyFont="1" applyFill="1" applyBorder="1"/>
    <xf numFmtId="168" fontId="88" fillId="0" borderId="0" xfId="12" applyNumberFormat="1" applyFont="1" applyFill="1" applyBorder="1"/>
    <xf numFmtId="173" fontId="88" fillId="0" borderId="21" xfId="3" applyNumberFormat="1" applyFont="1" applyFill="1" applyBorder="1"/>
    <xf numFmtId="173" fontId="88" fillId="0" borderId="0" xfId="3" applyNumberFormat="1" applyFont="1" applyFill="1" applyBorder="1"/>
    <xf numFmtId="166" fontId="90" fillId="0" borderId="14" xfId="26" applyNumberFormat="1" applyFont="1" applyFill="1" applyBorder="1" applyAlignment="1">
      <alignment horizontal="right"/>
    </xf>
    <xf numFmtId="170" fontId="88" fillId="0" borderId="0" xfId="12" applyNumberFormat="1" applyFont="1" applyFill="1"/>
    <xf numFmtId="0" fontId="4" fillId="0" borderId="0" xfId="0" applyFont="1" applyFill="1"/>
    <xf numFmtId="168" fontId="88" fillId="0" borderId="20" xfId="3" applyNumberFormat="1" applyFont="1" applyFill="1" applyBorder="1"/>
    <xf numFmtId="170" fontId="18" fillId="0" borderId="0" xfId="3" applyNumberFormat="1" applyFont="1" applyFill="1"/>
    <xf numFmtId="188" fontId="4" fillId="0" borderId="0" xfId="12" applyNumberFormat="1" applyFont="1" applyFill="1"/>
    <xf numFmtId="168" fontId="91" fillId="0" borderId="0" xfId="12" applyNumberFormat="1" applyFont="1" applyFill="1" applyBorder="1"/>
    <xf numFmtId="168" fontId="11" fillId="0" borderId="33" xfId="13" applyNumberFormat="1" applyFont="1" applyFill="1" applyBorder="1"/>
    <xf numFmtId="168" fontId="9" fillId="0" borderId="10" xfId="13" applyNumberFormat="1" applyFont="1" applyFill="1" applyBorder="1"/>
    <xf numFmtId="177" fontId="11" fillId="0" borderId="23" xfId="13" applyNumberFormat="1" applyFont="1" applyFill="1" applyBorder="1"/>
    <xf numFmtId="165" fontId="4" fillId="0" borderId="0" xfId="15" applyNumberFormat="1" applyFont="1" applyFill="1" applyBorder="1" applyAlignment="1">
      <alignment horizontal="center"/>
    </xf>
    <xf numFmtId="0" fontId="4" fillId="0" borderId="8" xfId="4" applyFont="1" applyFill="1" applyBorder="1"/>
    <xf numFmtId="169" fontId="11" fillId="0" borderId="38" xfId="4" applyNumberFormat="1" applyFont="1" applyFill="1" applyBorder="1"/>
    <xf numFmtId="168" fontId="88" fillId="0" borderId="20" xfId="4" applyNumberFormat="1" applyFont="1" applyFill="1" applyBorder="1"/>
    <xf numFmtId="180" fontId="13" fillId="6" borderId="6" xfId="14" applyNumberFormat="1" applyFont="1" applyFill="1" applyBorder="1"/>
    <xf numFmtId="180" fontId="65" fillId="6" borderId="6" xfId="14" applyNumberFormat="1" applyFont="1" applyFill="1" applyBorder="1"/>
    <xf numFmtId="0" fontId="0" fillId="0" borderId="0" xfId="0" applyFont="1"/>
    <xf numFmtId="0" fontId="91" fillId="0" borderId="0" xfId="0" applyFont="1"/>
    <xf numFmtId="14" fontId="91" fillId="0" borderId="0" xfId="0" applyNumberFormat="1" applyFont="1"/>
    <xf numFmtId="0" fontId="87" fillId="0" borderId="0" xfId="0" applyFont="1"/>
    <xf numFmtId="0" fontId="11" fillId="7" borderId="32" xfId="0" applyFont="1" applyFill="1" applyBorder="1"/>
    <xf numFmtId="0" fontId="11" fillId="7" borderId="33" xfId="0" applyFont="1" applyFill="1" applyBorder="1"/>
    <xf numFmtId="0" fontId="11" fillId="7" borderId="41" xfId="0" applyFont="1" applyFill="1" applyBorder="1"/>
    <xf numFmtId="0" fontId="11" fillId="8" borderId="22" xfId="0" applyFont="1" applyFill="1" applyBorder="1" applyAlignment="1">
      <alignment horizontal="left"/>
    </xf>
    <xf numFmtId="176" fontId="4" fillId="8" borderId="22" xfId="0" applyNumberFormat="1" applyFont="1" applyFill="1" applyBorder="1" applyAlignment="1">
      <alignment horizontal="center"/>
    </xf>
    <xf numFmtId="165" fontId="4" fillId="8" borderId="22" xfId="0" applyNumberFormat="1" applyFont="1" applyFill="1" applyBorder="1" applyAlignment="1">
      <alignment horizontal="center"/>
    </xf>
    <xf numFmtId="0" fontId="11" fillId="0" borderId="14" xfId="0" applyFont="1" applyFill="1" applyBorder="1" applyAlignment="1">
      <alignment horizontal="left"/>
    </xf>
    <xf numFmtId="9" fontId="4" fillId="0" borderId="14" xfId="0" applyNumberFormat="1" applyFont="1" applyFill="1" applyBorder="1" applyAlignment="1">
      <alignment horizontal="center"/>
    </xf>
    <xf numFmtId="165" fontId="4" fillId="0" borderId="14" xfId="0" applyNumberFormat="1" applyFont="1" applyFill="1" applyBorder="1" applyAlignment="1">
      <alignment horizontal="center"/>
    </xf>
    <xf numFmtId="0" fontId="11" fillId="8" borderId="14" xfId="0" applyFont="1" applyFill="1" applyBorder="1" applyAlignment="1">
      <alignment horizontal="left"/>
    </xf>
    <xf numFmtId="176" fontId="4" fillId="8" borderId="14" xfId="0" applyNumberFormat="1" applyFont="1" applyFill="1" applyBorder="1" applyAlignment="1">
      <alignment horizontal="center"/>
    </xf>
    <xf numFmtId="165" fontId="4" fillId="8" borderId="14" xfId="27" applyNumberFormat="1" applyFont="1" applyFill="1" applyBorder="1" applyAlignment="1">
      <alignment horizontal="center"/>
    </xf>
    <xf numFmtId="8" fontId="4" fillId="0" borderId="14" xfId="0" applyNumberFormat="1" applyFont="1" applyFill="1" applyBorder="1" applyAlignment="1">
      <alignment horizontal="center"/>
    </xf>
    <xf numFmtId="165" fontId="4" fillId="8" borderId="14" xfId="0" applyNumberFormat="1" applyFont="1" applyFill="1" applyBorder="1" applyAlignment="1">
      <alignment horizontal="center"/>
    </xf>
    <xf numFmtId="0" fontId="11" fillId="8" borderId="13" xfId="0" applyFont="1" applyFill="1" applyBorder="1" applyAlignment="1">
      <alignment horizontal="left"/>
    </xf>
    <xf numFmtId="165" fontId="4" fillId="8" borderId="13" xfId="0" applyNumberFormat="1" applyFont="1" applyFill="1" applyBorder="1" applyAlignment="1">
      <alignment horizontal="center"/>
    </xf>
    <xf numFmtId="0" fontId="4" fillId="8" borderId="14" xfId="0" applyNumberFormat="1" applyFont="1" applyFill="1" applyBorder="1" applyAlignment="1">
      <alignment horizontal="center"/>
    </xf>
    <xf numFmtId="166" fontId="4" fillId="0" borderId="14" xfId="27" applyNumberFormat="1" applyFont="1" applyFill="1" applyBorder="1" applyAlignment="1">
      <alignment horizontal="center"/>
    </xf>
    <xf numFmtId="172" fontId="4" fillId="0" borderId="14" xfId="27" applyNumberFormat="1" applyFont="1" applyFill="1" applyBorder="1" applyAlignment="1">
      <alignment horizontal="center"/>
    </xf>
    <xf numFmtId="172" fontId="4" fillId="0" borderId="14" xfId="0" applyNumberFormat="1" applyFont="1" applyFill="1" applyBorder="1" applyAlignment="1">
      <alignment horizontal="center"/>
    </xf>
    <xf numFmtId="0" fontId="0" fillId="0" borderId="15" xfId="0" applyBorder="1"/>
    <xf numFmtId="165" fontId="4" fillId="8" borderId="15" xfId="0" applyNumberFormat="1" applyFont="1" applyFill="1" applyBorder="1" applyAlignment="1">
      <alignment horizontal="center"/>
    </xf>
    <xf numFmtId="0" fontId="11" fillId="0" borderId="14" xfId="0" applyFont="1" applyBorder="1" applyAlignment="1">
      <alignment horizontal="left"/>
    </xf>
    <xf numFmtId="172" fontId="4" fillId="8" borderId="14" xfId="0" applyNumberFormat="1" applyFont="1" applyFill="1" applyBorder="1" applyAlignment="1">
      <alignment horizontal="center"/>
    </xf>
    <xf numFmtId="0" fontId="94" fillId="3" borderId="0" xfId="22" applyFont="1" applyFill="1"/>
    <xf numFmtId="0" fontId="94" fillId="5" borderId="5" xfId="22" applyFont="1" applyFill="1" applyBorder="1"/>
    <xf numFmtId="0" fontId="94" fillId="5" borderId="0" xfId="22" applyFont="1" applyFill="1" applyBorder="1" applyAlignment="1">
      <alignment horizontal="left"/>
    </xf>
    <xf numFmtId="0" fontId="94" fillId="5" borderId="0" xfId="22" applyFont="1" applyFill="1" applyBorder="1"/>
    <xf numFmtId="0" fontId="94" fillId="5" borderId="6" xfId="22" applyFont="1" applyFill="1" applyBorder="1"/>
    <xf numFmtId="0" fontId="99" fillId="5" borderId="0" xfId="22" applyFont="1" applyFill="1" applyBorder="1" applyAlignment="1">
      <alignment horizontal="left"/>
    </xf>
    <xf numFmtId="0" fontId="6" fillId="5" borderId="0" xfId="18" applyFill="1" applyBorder="1" applyAlignment="1" applyProtection="1">
      <alignment horizontal="left"/>
    </xf>
    <xf numFmtId="0" fontId="6" fillId="5" borderId="0" xfId="18" applyFont="1" applyFill="1" applyBorder="1" applyAlignment="1" applyProtection="1">
      <alignment horizontal="left"/>
    </xf>
    <xf numFmtId="0" fontId="100" fillId="5" borderId="0" xfId="22" applyFont="1" applyFill="1" applyBorder="1" applyAlignment="1"/>
    <xf numFmtId="0" fontId="94" fillId="5" borderId="0" xfId="22" applyFont="1" applyFill="1" applyBorder="1" applyAlignment="1">
      <alignment horizontal="left" indent="8"/>
    </xf>
    <xf numFmtId="0" fontId="6" fillId="5" borderId="5" xfId="18" applyFill="1" applyBorder="1" applyAlignment="1" applyProtection="1"/>
    <xf numFmtId="0" fontId="101" fillId="5" borderId="0" xfId="22" applyFont="1" applyFill="1" applyBorder="1"/>
    <xf numFmtId="0" fontId="6" fillId="5" borderId="0" xfId="18" applyFill="1" applyBorder="1" applyAlignment="1" applyProtection="1"/>
    <xf numFmtId="0" fontId="100" fillId="5" borderId="4" xfId="22" applyFont="1" applyFill="1" applyBorder="1"/>
    <xf numFmtId="0" fontId="101" fillId="5" borderId="27" xfId="22" applyFont="1" applyFill="1" applyBorder="1"/>
    <xf numFmtId="0" fontId="94" fillId="5" borderId="27" xfId="22" applyFont="1" applyFill="1" applyBorder="1"/>
    <xf numFmtId="0" fontId="94" fillId="5" borderId="44" xfId="22" applyFont="1" applyFill="1" applyBorder="1"/>
    <xf numFmtId="0" fontId="101" fillId="3" borderId="0" xfId="22" applyFont="1" applyFill="1"/>
    <xf numFmtId="0" fontId="100" fillId="3" borderId="0" xfId="22" applyFont="1" applyFill="1"/>
    <xf numFmtId="0" fontId="94" fillId="3" borderId="0" xfId="22" applyFont="1" applyFill="1" applyAlignment="1">
      <alignment horizontal="left"/>
    </xf>
    <xf numFmtId="0" fontId="102" fillId="3" borderId="0" xfId="18" applyFont="1" applyFill="1" applyAlignment="1" applyProtection="1"/>
    <xf numFmtId="0" fontId="3" fillId="3" borderId="0" xfId="22" applyFill="1"/>
    <xf numFmtId="0" fontId="0" fillId="3" borderId="0" xfId="4" applyFont="1" applyFill="1"/>
    <xf numFmtId="0" fontId="11" fillId="7" borderId="33" xfId="0" applyFont="1" applyFill="1" applyBorder="1" applyAlignment="1">
      <alignment horizontal="center"/>
    </xf>
    <xf numFmtId="1" fontId="4" fillId="0" borderId="14" xfId="0" applyNumberFormat="1" applyFont="1" applyFill="1" applyBorder="1" applyAlignment="1">
      <alignment horizontal="center"/>
    </xf>
    <xf numFmtId="173" fontId="11" fillId="0" borderId="0" xfId="12" applyNumberFormat="1" applyFont="1" applyFill="1"/>
    <xf numFmtId="168" fontId="103" fillId="0" borderId="0" xfId="13" applyNumberFormat="1" applyFont="1" applyFill="1" applyBorder="1"/>
    <xf numFmtId="168" fontId="103" fillId="0" borderId="0" xfId="12" applyNumberFormat="1" applyFont="1" applyFill="1" applyBorder="1"/>
    <xf numFmtId="0" fontId="1" fillId="5" borderId="0" xfId="3" applyFont="1" applyFill="1"/>
    <xf numFmtId="44" fontId="1" fillId="6" borderId="0" xfId="3" applyNumberFormat="1" applyFont="1" applyFill="1"/>
    <xf numFmtId="180" fontId="1" fillId="6" borderId="0" xfId="14" applyNumberFormat="1" applyFont="1" applyFill="1"/>
    <xf numFmtId="180" fontId="1" fillId="6" borderId="0" xfId="14" applyNumberFormat="1" applyFont="1" applyFill="1" applyBorder="1"/>
    <xf numFmtId="0" fontId="1" fillId="6" borderId="0" xfId="3" applyFont="1" applyFill="1"/>
    <xf numFmtId="183" fontId="1" fillId="5" borderId="0" xfId="12" applyNumberFormat="1" applyFont="1" applyFill="1"/>
    <xf numFmtId="0" fontId="1" fillId="4" borderId="5" xfId="3" applyFont="1" applyFill="1" applyBorder="1"/>
    <xf numFmtId="0" fontId="4" fillId="4" borderId="6" xfId="3" applyFont="1" applyFill="1" applyBorder="1"/>
    <xf numFmtId="0" fontId="11" fillId="4" borderId="0" xfId="3" applyFont="1" applyFill="1" applyBorder="1" applyAlignment="1">
      <alignment horizontal="centerContinuous"/>
    </xf>
    <xf numFmtId="0" fontId="4" fillId="4" borderId="45" xfId="3" applyFont="1" applyFill="1" applyBorder="1"/>
    <xf numFmtId="0" fontId="4" fillId="4" borderId="4" xfId="3" applyFont="1" applyFill="1" applyBorder="1" applyAlignment="1">
      <alignment horizontal="right"/>
    </xf>
    <xf numFmtId="0" fontId="26" fillId="4" borderId="27" xfId="3" applyFont="1" applyFill="1" applyBorder="1" applyAlignment="1">
      <alignment horizontal="left"/>
    </xf>
    <xf numFmtId="0" fontId="11" fillId="4" borderId="44" xfId="3" applyFont="1" applyFill="1" applyBorder="1" applyAlignment="1">
      <alignment horizontal="center"/>
    </xf>
    <xf numFmtId="0" fontId="11" fillId="4" borderId="23" xfId="3" quotePrefix="1" applyFont="1" applyFill="1" applyBorder="1" applyAlignment="1">
      <alignment horizontal="center"/>
    </xf>
    <xf numFmtId="0" fontId="11" fillId="4" borderId="46" xfId="3" applyFont="1" applyFill="1" applyBorder="1" applyAlignment="1">
      <alignment horizontal="center"/>
    </xf>
    <xf numFmtId="9" fontId="53" fillId="0" borderId="7" xfId="3" applyNumberFormat="1" applyFont="1" applyFill="1" applyBorder="1"/>
    <xf numFmtId="9" fontId="53" fillId="0" borderId="6" xfId="3" applyNumberFormat="1" applyFont="1" applyFill="1" applyBorder="1"/>
    <xf numFmtId="9" fontId="53" fillId="0" borderId="44" xfId="3" applyNumberFormat="1" applyFont="1" applyFill="1" applyBorder="1"/>
    <xf numFmtId="166" fontId="106" fillId="0" borderId="0" xfId="26" applyNumberFormat="1" applyFont="1" applyFill="1" applyBorder="1" applyAlignment="1">
      <alignment horizontal="right"/>
    </xf>
    <xf numFmtId="168" fontId="4" fillId="0" borderId="20" xfId="3" applyNumberFormat="1" applyFont="1" applyFill="1" applyBorder="1"/>
    <xf numFmtId="17" fontId="107" fillId="4" borderId="19" xfId="24" applyNumberFormat="1" applyFont="1" applyFill="1" applyBorder="1" applyAlignment="1">
      <alignment horizontal="center"/>
    </xf>
    <xf numFmtId="0" fontId="4" fillId="4" borderId="20" xfId="3" applyFont="1" applyFill="1" applyBorder="1"/>
    <xf numFmtId="0" fontId="4" fillId="4" borderId="65" xfId="3" applyFont="1" applyFill="1" applyBorder="1"/>
    <xf numFmtId="17" fontId="107" fillId="4" borderId="14" xfId="24" applyNumberFormat="1" applyFont="1" applyFill="1" applyBorder="1" applyAlignment="1">
      <alignment horizontal="center"/>
    </xf>
    <xf numFmtId="17" fontId="107" fillId="4" borderId="0" xfId="24" applyNumberFormat="1" applyFont="1" applyFill="1" applyBorder="1" applyAlignment="1">
      <alignment horizontal="center"/>
    </xf>
    <xf numFmtId="0" fontId="107" fillId="0" borderId="0" xfId="3" applyFont="1" applyFill="1" applyBorder="1"/>
    <xf numFmtId="0" fontId="108" fillId="0" borderId="0" xfId="0" applyFont="1"/>
    <xf numFmtId="0" fontId="1" fillId="4" borderId="0" xfId="3" applyFont="1" applyFill="1"/>
    <xf numFmtId="0" fontId="14" fillId="4" borderId="0" xfId="24" applyFont="1" applyFill="1" applyBorder="1"/>
    <xf numFmtId="0" fontId="1" fillId="0" borderId="0" xfId="3" applyFont="1" applyFill="1"/>
    <xf numFmtId="0" fontId="14" fillId="0" borderId="0" xfId="24" applyFont="1" applyFill="1" applyBorder="1" applyAlignment="1">
      <alignment horizontal="left"/>
    </xf>
    <xf numFmtId="0" fontId="4" fillId="0" borderId="0" xfId="3" applyFont="1" applyFill="1" applyBorder="1" applyAlignment="1">
      <alignment horizontal="left" indent="1"/>
    </xf>
    <xf numFmtId="0" fontId="4" fillId="0" borderId="11" xfId="3" applyFont="1" applyFill="1" applyBorder="1" applyAlignment="1">
      <alignment horizontal="left"/>
    </xf>
    <xf numFmtId="0" fontId="4" fillId="0" borderId="16" xfId="3" applyFont="1" applyBorder="1"/>
    <xf numFmtId="0" fontId="25" fillId="0" borderId="16" xfId="3" applyFont="1" applyBorder="1"/>
    <xf numFmtId="0" fontId="25" fillId="0" borderId="12" xfId="3" applyFont="1" applyFill="1" applyBorder="1"/>
    <xf numFmtId="0" fontId="26" fillId="4" borderId="32" xfId="3" applyFont="1" applyFill="1" applyBorder="1"/>
    <xf numFmtId="0" fontId="25" fillId="0" borderId="16" xfId="3" applyFont="1" applyFill="1" applyBorder="1"/>
    <xf numFmtId="0" fontId="25" fillId="0" borderId="21" xfId="3" applyFont="1" applyFill="1" applyBorder="1"/>
    <xf numFmtId="0" fontId="11" fillId="4" borderId="32" xfId="3" applyFont="1" applyFill="1" applyBorder="1"/>
    <xf numFmtId="0" fontId="11" fillId="4" borderId="32" xfId="3" applyFont="1" applyFill="1" applyBorder="1" applyAlignment="1">
      <alignment wrapText="1"/>
    </xf>
    <xf numFmtId="0" fontId="25" fillId="0" borderId="16" xfId="3" applyFont="1" applyFill="1" applyBorder="1" applyAlignment="1">
      <alignment wrapText="1"/>
    </xf>
    <xf numFmtId="0" fontId="25" fillId="0" borderId="11" xfId="3" applyFont="1" applyFill="1" applyBorder="1"/>
    <xf numFmtId="0" fontId="1" fillId="0" borderId="0" xfId="3" applyFont="1" applyBorder="1"/>
    <xf numFmtId="0" fontId="1" fillId="0" borderId="16" xfId="3" applyFont="1" applyFill="1" applyBorder="1"/>
    <xf numFmtId="0" fontId="4" fillId="0" borderId="0" xfId="3" applyFont="1" applyFill="1" applyBorder="1" applyAlignment="1">
      <alignment horizontal="center"/>
    </xf>
    <xf numFmtId="0" fontId="1" fillId="0" borderId="5" xfId="3" applyFont="1" applyFill="1" applyBorder="1"/>
    <xf numFmtId="0" fontId="25" fillId="0" borderId="32" xfId="3" applyFont="1" applyFill="1" applyBorder="1"/>
    <xf numFmtId="168" fontId="4" fillId="0" borderId="34" xfId="12" applyNumberFormat="1" applyFont="1" applyFill="1" applyBorder="1"/>
    <xf numFmtId="168" fontId="4" fillId="0" borderId="33" xfId="12" applyNumberFormat="1" applyFont="1" applyFill="1" applyBorder="1"/>
    <xf numFmtId="173" fontId="88" fillId="0" borderId="20" xfId="3" applyNumberFormat="1" applyFont="1" applyFill="1" applyBorder="1"/>
    <xf numFmtId="10" fontId="88" fillId="0" borderId="0" xfId="3" applyNumberFormat="1" applyFont="1" applyFill="1" applyBorder="1"/>
    <xf numFmtId="168" fontId="4" fillId="0" borderId="0" xfId="12" applyNumberFormat="1" applyFont="1" applyFill="1"/>
    <xf numFmtId="173" fontId="11" fillId="0" borderId="0" xfId="3" applyNumberFormat="1" applyFont="1" applyFill="1"/>
    <xf numFmtId="173" fontId="4" fillId="0" borderId="0" xfId="3" applyNumberFormat="1" applyFont="1" applyFill="1"/>
    <xf numFmtId="173" fontId="4" fillId="0" borderId="0" xfId="12" applyNumberFormat="1" applyFont="1" applyFill="1" applyAlignment="1">
      <alignment horizontal="left"/>
    </xf>
    <xf numFmtId="0" fontId="41" fillId="9" borderId="43" xfId="21" applyFont="1" applyFill="1" applyBorder="1" applyAlignment="1">
      <alignment horizontal="left"/>
    </xf>
    <xf numFmtId="0" fontId="41" fillId="9" borderId="8" xfId="21" applyFont="1" applyFill="1" applyBorder="1" applyAlignment="1">
      <alignment horizontal="left"/>
    </xf>
    <xf numFmtId="0" fontId="7" fillId="9" borderId="8" xfId="3" applyFont="1" applyFill="1" applyBorder="1"/>
    <xf numFmtId="0" fontId="7" fillId="9" borderId="7" xfId="3" applyFont="1" applyFill="1" applyBorder="1"/>
    <xf numFmtId="0" fontId="63" fillId="9" borderId="4" xfId="3" applyFont="1" applyFill="1" applyBorder="1"/>
    <xf numFmtId="0" fontId="38" fillId="9" borderId="27" xfId="3" applyFont="1" applyFill="1" applyBorder="1" applyAlignment="1">
      <alignment horizontal="left"/>
    </xf>
    <xf numFmtId="0" fontId="7" fillId="9" borderId="27" xfId="3" applyFont="1" applyFill="1" applyBorder="1"/>
    <xf numFmtId="43" fontId="7" fillId="9" borderId="27" xfId="3" applyNumberFormat="1" applyFont="1" applyFill="1" applyBorder="1"/>
    <xf numFmtId="180" fontId="8" fillId="9" borderId="27" xfId="23" applyNumberFormat="1" applyFont="1" applyFill="1" applyBorder="1" applyAlignment="1">
      <alignment horizontal="right"/>
    </xf>
    <xf numFmtId="0" fontId="7" fillId="9" borderId="44" xfId="3" applyFont="1" applyFill="1" applyBorder="1"/>
    <xf numFmtId="0" fontId="107" fillId="4" borderId="0" xfId="3" applyFont="1" applyFill="1"/>
    <xf numFmtId="0" fontId="109" fillId="4" borderId="0" xfId="24" applyFont="1" applyFill="1" applyBorder="1"/>
    <xf numFmtId="17" fontId="107" fillId="4" borderId="15" xfId="24" applyNumberFormat="1" applyFont="1" applyFill="1" applyBorder="1" applyAlignment="1">
      <alignment horizontal="center"/>
    </xf>
    <xf numFmtId="0" fontId="0" fillId="0" borderId="0" xfId="0" applyFill="1"/>
    <xf numFmtId="166" fontId="20" fillId="0" borderId="0" xfId="3" applyNumberFormat="1" applyFont="1" applyFill="1" applyBorder="1"/>
    <xf numFmtId="0" fontId="60" fillId="9" borderId="8" xfId="21" applyFont="1" applyFill="1" applyBorder="1" applyAlignment="1">
      <alignment horizontal="left"/>
    </xf>
    <xf numFmtId="43" fontId="7" fillId="9" borderId="8" xfId="12" applyFont="1" applyFill="1" applyBorder="1"/>
    <xf numFmtId="38" fontId="7" fillId="9" borderId="8" xfId="3" applyNumberFormat="1" applyFont="1" applyFill="1" applyBorder="1"/>
    <xf numFmtId="38" fontId="7" fillId="9" borderId="8" xfId="12" applyNumberFormat="1" applyFont="1" applyFill="1" applyBorder="1"/>
    <xf numFmtId="0" fontId="67" fillId="9" borderId="4" xfId="3" applyFont="1" applyFill="1" applyBorder="1"/>
    <xf numFmtId="43" fontId="8" fillId="9" borderId="27" xfId="12" applyFont="1" applyFill="1" applyBorder="1" applyAlignment="1">
      <alignment horizontal="right"/>
    </xf>
    <xf numFmtId="0" fontId="7" fillId="9" borderId="65" xfId="3" applyFont="1" applyFill="1" applyBorder="1"/>
    <xf numFmtId="0" fontId="7" fillId="9" borderId="64" xfId="3" applyFont="1" applyFill="1" applyBorder="1"/>
    <xf numFmtId="0" fontId="7" fillId="9" borderId="66" xfId="3" applyFont="1" applyFill="1" applyBorder="1"/>
    <xf numFmtId="9" fontId="1" fillId="0" borderId="0" xfId="26" applyFont="1" applyFill="1" applyBorder="1"/>
    <xf numFmtId="0" fontId="1" fillId="0" borderId="27" xfId="3" applyFont="1" applyFill="1" applyBorder="1"/>
    <xf numFmtId="0" fontId="13" fillId="0" borderId="8" xfId="3" applyFont="1" applyFill="1" applyBorder="1"/>
    <xf numFmtId="0" fontId="1" fillId="0" borderId="4" xfId="3" applyFont="1" applyFill="1" applyBorder="1"/>
    <xf numFmtId="43" fontId="1" fillId="0" borderId="0" xfId="3" applyNumberFormat="1" applyFont="1" applyFill="1"/>
    <xf numFmtId="168" fontId="1" fillId="0" borderId="0" xfId="12" applyNumberFormat="1" applyFont="1" applyFill="1"/>
    <xf numFmtId="166" fontId="1" fillId="0" borderId="0" xfId="26" applyNumberFormat="1" applyFont="1" applyFill="1"/>
    <xf numFmtId="180" fontId="8" fillId="9" borderId="64" xfId="23" applyNumberFormat="1" applyFont="1" applyFill="1" applyBorder="1" applyAlignment="1">
      <alignment horizontal="right"/>
    </xf>
    <xf numFmtId="0" fontId="37" fillId="9" borderId="8" xfId="3" applyFont="1" applyFill="1" applyBorder="1" applyAlignment="1">
      <alignment horizontal="center"/>
    </xf>
    <xf numFmtId="0" fontId="37" fillId="9" borderId="8" xfId="3" applyFont="1" applyFill="1" applyBorder="1"/>
    <xf numFmtId="43" fontId="37" fillId="9" borderId="8" xfId="3" applyNumberFormat="1" applyFont="1" applyFill="1" applyBorder="1"/>
    <xf numFmtId="168" fontId="37" fillId="9" borderId="8" xfId="3" applyNumberFormat="1" applyFont="1" applyFill="1" applyBorder="1"/>
    <xf numFmtId="170" fontId="37" fillId="9" borderId="8" xfId="12" applyNumberFormat="1" applyFont="1" applyFill="1" applyBorder="1"/>
    <xf numFmtId="43" fontId="37" fillId="9" borderId="0" xfId="12" applyFont="1" applyFill="1" applyBorder="1"/>
    <xf numFmtId="0" fontId="37" fillId="9" borderId="7" xfId="3" applyFont="1" applyFill="1" applyBorder="1"/>
    <xf numFmtId="0" fontId="64" fillId="9" borderId="0" xfId="3" applyFont="1" applyFill="1" applyBorder="1"/>
    <xf numFmtId="0" fontId="37" fillId="9" borderId="0" xfId="3" applyFont="1" applyFill="1" applyBorder="1" applyAlignment="1">
      <alignment horizontal="center"/>
    </xf>
    <xf numFmtId="0" fontId="37" fillId="9" borderId="0" xfId="3" applyFont="1" applyFill="1" applyBorder="1"/>
    <xf numFmtId="43" fontId="37" fillId="9" borderId="0" xfId="3" applyNumberFormat="1" applyFont="1" applyFill="1" applyBorder="1"/>
    <xf numFmtId="177" fontId="36" fillId="9" borderId="0" xfId="3" applyNumberFormat="1" applyFont="1" applyFill="1" applyBorder="1"/>
    <xf numFmtId="176" fontId="37" fillId="9" borderId="0" xfId="3" applyNumberFormat="1" applyFont="1" applyFill="1" applyBorder="1"/>
    <xf numFmtId="166" fontId="37" fillId="9" borderId="0" xfId="3" applyNumberFormat="1" applyFont="1" applyFill="1" applyBorder="1"/>
    <xf numFmtId="180" fontId="8" fillId="9" borderId="0" xfId="23" applyNumberFormat="1" applyFont="1" applyFill="1" applyBorder="1" applyAlignment="1">
      <alignment horizontal="right"/>
    </xf>
    <xf numFmtId="180" fontId="36" fillId="9" borderId="0" xfId="23" applyNumberFormat="1" applyFont="1" applyFill="1" applyBorder="1" applyAlignment="1">
      <alignment horizontal="right"/>
    </xf>
    <xf numFmtId="166" fontId="37" fillId="9" borderId="0" xfId="26" applyNumberFormat="1" applyFont="1" applyFill="1" applyBorder="1"/>
    <xf numFmtId="166" fontId="36" fillId="9" borderId="0" xfId="26" applyNumberFormat="1" applyFont="1" applyFill="1" applyBorder="1" applyAlignment="1">
      <alignment horizontal="right"/>
    </xf>
    <xf numFmtId="183" fontId="104" fillId="9" borderId="11" xfId="12" applyNumberFormat="1" applyFont="1" applyFill="1" applyBorder="1" applyAlignment="1">
      <alignment wrapText="1"/>
    </xf>
    <xf numFmtId="183" fontId="8" fillId="9" borderId="21" xfId="12" applyNumberFormat="1" applyFont="1" applyFill="1" applyBorder="1"/>
    <xf numFmtId="43" fontId="8" fillId="9" borderId="21" xfId="12" applyNumberFormat="1" applyFont="1" applyFill="1" applyBorder="1"/>
    <xf numFmtId="43" fontId="8" fillId="9" borderId="21" xfId="12" applyFont="1" applyFill="1" applyBorder="1"/>
    <xf numFmtId="180" fontId="8" fillId="9" borderId="21" xfId="26" applyNumberFormat="1" applyFont="1" applyFill="1" applyBorder="1"/>
    <xf numFmtId="166" fontId="8" fillId="9" borderId="21" xfId="26" applyNumberFormat="1" applyFont="1" applyFill="1" applyBorder="1"/>
    <xf numFmtId="166" fontId="8" fillId="9" borderId="49" xfId="26" applyNumberFormat="1" applyFont="1" applyFill="1" applyBorder="1"/>
    <xf numFmtId="0" fontId="8" fillId="9" borderId="12" xfId="3" applyFont="1" applyFill="1" applyBorder="1" applyAlignment="1"/>
    <xf numFmtId="0" fontId="7" fillId="9" borderId="20" xfId="3" applyFont="1" applyFill="1" applyBorder="1"/>
    <xf numFmtId="43" fontId="7" fillId="9" borderId="20" xfId="3" applyNumberFormat="1" applyFont="1" applyFill="1" applyBorder="1"/>
    <xf numFmtId="184" fontId="7" fillId="9" borderId="20" xfId="3" applyNumberFormat="1" applyFont="1" applyFill="1" applyBorder="1"/>
    <xf numFmtId="44" fontId="7" fillId="9" borderId="20" xfId="14" applyFont="1" applyFill="1" applyBorder="1"/>
    <xf numFmtId="43" fontId="7" fillId="9" borderId="20" xfId="12" applyFont="1" applyFill="1" applyBorder="1"/>
    <xf numFmtId="166" fontId="7" fillId="9" borderId="20" xfId="26" applyNumberFormat="1" applyFont="1" applyFill="1" applyBorder="1"/>
    <xf numFmtId="0" fontId="94" fillId="9" borderId="0" xfId="22" applyFont="1" applyFill="1" applyBorder="1"/>
    <xf numFmtId="0" fontId="93" fillId="9" borderId="43" xfId="22" applyFont="1" applyFill="1" applyBorder="1"/>
    <xf numFmtId="0" fontId="94" fillId="9" borderId="8" xfId="22" applyFont="1" applyFill="1" applyBorder="1" applyAlignment="1">
      <alignment horizontal="left"/>
    </xf>
    <xf numFmtId="0" fontId="94" fillId="9" borderId="8" xfId="22" applyFont="1" applyFill="1" applyBorder="1"/>
    <xf numFmtId="0" fontId="94" fillId="9" borderId="7" xfId="22" applyFont="1" applyFill="1" applyBorder="1"/>
    <xf numFmtId="0" fontId="95" fillId="9" borderId="5" xfId="22" applyFont="1" applyFill="1" applyBorder="1" applyAlignment="1">
      <alignment horizontal="left"/>
    </xf>
    <xf numFmtId="0" fontId="94" fillId="9" borderId="0" xfId="22" applyFont="1" applyFill="1"/>
    <xf numFmtId="0" fontId="96" fillId="9" borderId="0" xfId="22" applyFont="1" applyFill="1" applyBorder="1"/>
    <xf numFmtId="0" fontId="94" fillId="9" borderId="6" xfId="22" applyFont="1" applyFill="1" applyBorder="1"/>
    <xf numFmtId="0" fontId="97" fillId="9" borderId="5" xfId="22" applyFont="1" applyFill="1" applyBorder="1" applyAlignment="1">
      <alignment horizontal="left"/>
    </xf>
    <xf numFmtId="0" fontId="97" fillId="9" borderId="5" xfId="22" applyFont="1" applyFill="1" applyBorder="1"/>
    <xf numFmtId="0" fontId="97" fillId="9" borderId="0" xfId="22" applyFont="1" applyFill="1" applyBorder="1" applyAlignment="1"/>
    <xf numFmtId="0" fontId="98" fillId="9" borderId="0" xfId="22" applyFont="1" applyFill="1" applyBorder="1"/>
    <xf numFmtId="0" fontId="63" fillId="9" borderId="5" xfId="3" applyFont="1" applyFill="1" applyBorder="1"/>
    <xf numFmtId="0" fontId="92" fillId="9" borderId="32" xfId="0" applyFont="1" applyFill="1" applyBorder="1" applyAlignment="1">
      <alignment horizontal="center"/>
    </xf>
    <xf numFmtId="0" fontId="92" fillId="9" borderId="33" xfId="0" applyFont="1" applyFill="1" applyBorder="1" applyAlignment="1">
      <alignment horizontal="centerContinuous"/>
    </xf>
    <xf numFmtId="0" fontId="92" fillId="9" borderId="33" xfId="0" applyFont="1" applyFill="1" applyBorder="1" applyAlignment="1">
      <alignment horizontal="center"/>
    </xf>
    <xf numFmtId="0" fontId="92" fillId="9" borderId="41" xfId="0" applyFont="1" applyFill="1" applyBorder="1" applyAlignment="1">
      <alignment horizontal="center"/>
    </xf>
    <xf numFmtId="0" fontId="1" fillId="0" borderId="0" xfId="19"/>
    <xf numFmtId="173" fontId="10" fillId="0" borderId="0" xfId="12" applyNumberFormat="1" applyFont="1" applyFill="1"/>
    <xf numFmtId="168" fontId="59" fillId="0" borderId="0" xfId="12" applyNumberFormat="1" applyFont="1" applyFill="1"/>
    <xf numFmtId="168" fontId="27" fillId="0" borderId="10" xfId="3" applyNumberFormat="1" applyFont="1" applyFill="1" applyBorder="1"/>
    <xf numFmtId="168" fontId="27" fillId="0" borderId="30" xfId="3" applyNumberFormat="1" applyFont="1" applyFill="1" applyBorder="1"/>
    <xf numFmtId="168" fontId="27" fillId="0" borderId="18" xfId="3" applyNumberFormat="1" applyFont="1" applyFill="1" applyBorder="1"/>
    <xf numFmtId="168" fontId="4" fillId="0" borderId="18" xfId="3" applyNumberFormat="1" applyFont="1" applyFill="1" applyBorder="1"/>
    <xf numFmtId="168" fontId="4" fillId="0" borderId="10" xfId="3" applyNumberFormat="1" applyFont="1" applyFill="1" applyBorder="1"/>
    <xf numFmtId="0" fontId="14" fillId="0" borderId="0" xfId="3" applyFont="1" applyFill="1" applyAlignment="1">
      <alignment horizontal="left" indent="1"/>
    </xf>
    <xf numFmtId="0" fontId="14" fillId="0" borderId="14" xfId="3" applyFont="1" applyFill="1" applyBorder="1"/>
    <xf numFmtId="9" fontId="14" fillId="0" borderId="14" xfId="26" applyFont="1" applyFill="1" applyBorder="1"/>
    <xf numFmtId="168" fontId="14" fillId="0" borderId="0" xfId="3" applyNumberFormat="1" applyFont="1" applyFill="1"/>
    <xf numFmtId="9" fontId="14" fillId="0" borderId="0" xfId="26" applyFont="1" applyFill="1"/>
    <xf numFmtId="173" fontId="10" fillId="0" borderId="0" xfId="12" applyNumberFormat="1" applyFont="1" applyFill="1" applyBorder="1"/>
    <xf numFmtId="173" fontId="10" fillId="0" borderId="15" xfId="12" applyNumberFormat="1" applyFont="1" applyFill="1" applyBorder="1"/>
    <xf numFmtId="173" fontId="10" fillId="0" borderId="14" xfId="12" applyNumberFormat="1" applyFont="1" applyFill="1" applyBorder="1"/>
    <xf numFmtId="186" fontId="11" fillId="0" borderId="14" xfId="12" applyNumberFormat="1" applyFont="1" applyFill="1" applyBorder="1"/>
    <xf numFmtId="173" fontId="9" fillId="0" borderId="0" xfId="3" applyNumberFormat="1" applyFont="1" applyFill="1"/>
    <xf numFmtId="0" fontId="4" fillId="0" borderId="10" xfId="3" applyFont="1" applyFill="1" applyBorder="1" applyAlignment="1">
      <alignment horizontal="left"/>
    </xf>
    <xf numFmtId="173" fontId="4" fillId="0" borderId="30" xfId="12" applyNumberFormat="1" applyFont="1" applyFill="1" applyBorder="1"/>
    <xf numFmtId="173" fontId="10" fillId="0" borderId="0" xfId="3" applyNumberFormat="1" applyFont="1" applyFill="1" applyBorder="1"/>
    <xf numFmtId="173" fontId="10" fillId="0" borderId="15" xfId="3" applyNumberFormat="1" applyFont="1" applyFill="1" applyBorder="1"/>
    <xf numFmtId="173" fontId="10" fillId="0" borderId="14" xfId="3" applyNumberFormat="1" applyFont="1" applyFill="1" applyBorder="1"/>
    <xf numFmtId="186" fontId="11" fillId="0" borderId="14" xfId="3" applyNumberFormat="1" applyFont="1" applyFill="1" applyBorder="1"/>
    <xf numFmtId="166" fontId="14" fillId="0" borderId="0" xfId="26" applyNumberFormat="1" applyFont="1" applyFill="1" applyAlignment="1">
      <alignment horizontal="left" indent="1"/>
    </xf>
    <xf numFmtId="173" fontId="14" fillId="0" borderId="0" xfId="26" applyNumberFormat="1" applyFont="1" applyFill="1" applyBorder="1"/>
    <xf numFmtId="173" fontId="14" fillId="0" borderId="15" xfId="26" applyNumberFormat="1" applyFont="1" applyFill="1" applyBorder="1"/>
    <xf numFmtId="173" fontId="14" fillId="0" borderId="14" xfId="26" applyNumberFormat="1" applyFont="1" applyFill="1" applyBorder="1"/>
    <xf numFmtId="173" fontId="14" fillId="0" borderId="0" xfId="26" applyNumberFormat="1" applyFont="1" applyFill="1"/>
    <xf numFmtId="173" fontId="9" fillId="0" borderId="18" xfId="12" applyNumberFormat="1" applyFont="1" applyFill="1" applyBorder="1"/>
    <xf numFmtId="173" fontId="9" fillId="0" borderId="0" xfId="12" applyNumberFormat="1" applyFont="1" applyFill="1" applyAlignment="1">
      <alignment horizontal="left"/>
    </xf>
    <xf numFmtId="173" fontId="4" fillId="0" borderId="0" xfId="3" applyNumberFormat="1" applyFont="1" applyFill="1" applyBorder="1" applyAlignment="1">
      <alignment horizontal="left"/>
    </xf>
    <xf numFmtId="173" fontId="4" fillId="0" borderId="14" xfId="3" applyNumberFormat="1" applyFont="1" applyFill="1" applyBorder="1" applyAlignment="1">
      <alignment horizontal="left"/>
    </xf>
    <xf numFmtId="173" fontId="9" fillId="0" borderId="0" xfId="12" applyNumberFormat="1" applyFont="1" applyFill="1" applyBorder="1" applyAlignment="1">
      <alignment horizontal="left"/>
    </xf>
    <xf numFmtId="173" fontId="9" fillId="0" borderId="15" xfId="12" applyNumberFormat="1" applyFont="1" applyFill="1" applyBorder="1"/>
    <xf numFmtId="186" fontId="4" fillId="0" borderId="0" xfId="3" applyNumberFormat="1" applyFont="1" applyFill="1"/>
    <xf numFmtId="43" fontId="58" fillId="0" borderId="0" xfId="12" applyFont="1" applyFill="1" applyBorder="1" applyAlignment="1">
      <alignment horizontal="right"/>
    </xf>
    <xf numFmtId="0" fontId="0" fillId="0" borderId="0" xfId="0" applyBorder="1"/>
    <xf numFmtId="173" fontId="9" fillId="0" borderId="30" xfId="12" applyNumberFormat="1" applyFont="1" applyFill="1" applyBorder="1"/>
    <xf numFmtId="43" fontId="59" fillId="0" borderId="0" xfId="3" applyNumberFormat="1" applyFont="1" applyFill="1"/>
    <xf numFmtId="173" fontId="59" fillId="0" borderId="0" xfId="3" applyNumberFormat="1" applyFont="1" applyFill="1"/>
    <xf numFmtId="168" fontId="9" fillId="0" borderId="14" xfId="3" applyNumberFormat="1" applyFont="1" applyFill="1" applyBorder="1"/>
    <xf numFmtId="168" fontId="9" fillId="0" borderId="15" xfId="3" applyNumberFormat="1" applyFont="1" applyFill="1" applyBorder="1"/>
    <xf numFmtId="168" fontId="9" fillId="0" borderId="0" xfId="3" applyNumberFormat="1" applyFont="1" applyFill="1" applyBorder="1"/>
    <xf numFmtId="0" fontId="14" fillId="0" borderId="0" xfId="3" applyFont="1" applyFill="1" applyAlignment="1">
      <alignment horizontal="left" indent="2"/>
    </xf>
    <xf numFmtId="173" fontId="4" fillId="0" borderId="18" xfId="3" applyNumberFormat="1" applyFont="1" applyFill="1" applyBorder="1"/>
    <xf numFmtId="173" fontId="4" fillId="0" borderId="30" xfId="3" applyNumberFormat="1" applyFont="1" applyFill="1" applyBorder="1"/>
    <xf numFmtId="173" fontId="4" fillId="0" borderId="10" xfId="3" applyNumberFormat="1" applyFont="1" applyFill="1" applyBorder="1"/>
    <xf numFmtId="173" fontId="4" fillId="0" borderId="15" xfId="3" applyNumberFormat="1" applyFont="1" applyFill="1" applyBorder="1"/>
    <xf numFmtId="43" fontId="4" fillId="0" borderId="20" xfId="3" applyNumberFormat="1" applyFont="1" applyFill="1" applyBorder="1"/>
    <xf numFmtId="0" fontId="4" fillId="0" borderId="31" xfId="3" applyFont="1" applyFill="1" applyBorder="1"/>
    <xf numFmtId="0" fontId="11" fillId="0" borderId="20" xfId="3" applyFont="1" applyFill="1" applyBorder="1"/>
    <xf numFmtId="166" fontId="9" fillId="0" borderId="0" xfId="26" applyNumberFormat="1" applyFont="1" applyFill="1" applyAlignment="1">
      <alignment horizontal="right"/>
    </xf>
    <xf numFmtId="0" fontId="4" fillId="0" borderId="0" xfId="3" applyFont="1" applyFill="1" applyAlignment="1">
      <alignment horizontal="left"/>
    </xf>
    <xf numFmtId="168" fontId="4" fillId="0" borderId="15" xfId="3" applyNumberFormat="1" applyFont="1" applyFill="1" applyBorder="1"/>
    <xf numFmtId="168" fontId="4" fillId="0" borderId="0" xfId="3" applyNumberFormat="1" applyFont="1" applyFill="1" applyBorder="1"/>
    <xf numFmtId="43" fontId="4" fillId="0" borderId="14" xfId="3" applyNumberFormat="1" applyFont="1" applyFill="1" applyBorder="1"/>
    <xf numFmtId="39" fontId="58" fillId="0" borderId="14" xfId="12" applyNumberFormat="1" applyFont="1" applyFill="1" applyBorder="1" applyAlignment="1">
      <alignment horizontal="right"/>
    </xf>
    <xf numFmtId="39" fontId="58" fillId="0" borderId="0" xfId="12" applyNumberFormat="1" applyFont="1" applyFill="1" applyAlignment="1">
      <alignment horizontal="right"/>
    </xf>
    <xf numFmtId="39" fontId="58" fillId="0" borderId="0" xfId="12" applyNumberFormat="1" applyFont="1" applyFill="1" applyAlignment="1">
      <alignment horizontal="center"/>
    </xf>
    <xf numFmtId="39" fontId="58" fillId="0" borderId="14" xfId="12" applyNumberFormat="1" applyFont="1" applyFill="1" applyBorder="1" applyAlignment="1">
      <alignment horizontal="center"/>
    </xf>
    <xf numFmtId="43" fontId="58" fillId="0" borderId="0" xfId="12" applyFont="1" applyFill="1" applyAlignment="1">
      <alignment horizontal="right"/>
    </xf>
    <xf numFmtId="43" fontId="58" fillId="0" borderId="14" xfId="12" applyFont="1" applyFill="1" applyBorder="1" applyAlignment="1">
      <alignment horizontal="right"/>
    </xf>
    <xf numFmtId="43" fontId="58" fillId="0" borderId="15" xfId="12" applyFont="1" applyFill="1" applyBorder="1" applyAlignment="1">
      <alignment horizontal="right"/>
    </xf>
    <xf numFmtId="174" fontId="58" fillId="0" borderId="0" xfId="12" applyNumberFormat="1" applyFont="1" applyFill="1" applyAlignment="1">
      <alignment horizontal="left"/>
    </xf>
    <xf numFmtId="178" fontId="4" fillId="0" borderId="14" xfId="3" applyNumberFormat="1" applyFont="1" applyFill="1" applyBorder="1"/>
    <xf numFmtId="178" fontId="4" fillId="0" borderId="0" xfId="3" applyNumberFormat="1" applyFont="1" applyFill="1" applyBorder="1"/>
    <xf numFmtId="166" fontId="4" fillId="0" borderId="0" xfId="26" applyNumberFormat="1" applyFont="1" applyFill="1" applyAlignment="1">
      <alignment horizontal="right"/>
    </xf>
    <xf numFmtId="166" fontId="4" fillId="0" borderId="14" xfId="26" applyNumberFormat="1" applyFont="1" applyFill="1" applyBorder="1" applyAlignment="1">
      <alignment horizontal="right"/>
    </xf>
    <xf numFmtId="166" fontId="4" fillId="0" borderId="15" xfId="26" applyNumberFormat="1" applyFont="1" applyFill="1" applyBorder="1" applyAlignment="1">
      <alignment horizontal="right"/>
    </xf>
    <xf numFmtId="166" fontId="4" fillId="0" borderId="0" xfId="26" applyNumberFormat="1" applyFont="1" applyFill="1" applyBorder="1" applyAlignment="1">
      <alignment horizontal="right"/>
    </xf>
    <xf numFmtId="178" fontId="4" fillId="0" borderId="0" xfId="3" applyNumberFormat="1" applyFont="1" applyFill="1"/>
    <xf numFmtId="168" fontId="4" fillId="0" borderId="14" xfId="3" applyNumberFormat="1" applyFont="1" applyFill="1" applyBorder="1"/>
    <xf numFmtId="0" fontId="29" fillId="0" borderId="0" xfId="3" applyFont="1" applyFill="1" applyAlignment="1">
      <alignment horizontal="left"/>
    </xf>
    <xf numFmtId="0" fontId="26" fillId="0" borderId="0" xfId="3" applyFont="1" applyFill="1"/>
    <xf numFmtId="168" fontId="4" fillId="0" borderId="10" xfId="12" applyNumberFormat="1" applyFont="1" applyFill="1" applyBorder="1"/>
    <xf numFmtId="166" fontId="4" fillId="0" borderId="0" xfId="12" applyNumberFormat="1" applyFont="1" applyFill="1" applyBorder="1"/>
    <xf numFmtId="166" fontId="4" fillId="0" borderId="0" xfId="12" applyNumberFormat="1" applyFont="1" applyFill="1"/>
    <xf numFmtId="168" fontId="11" fillId="0" borderId="0" xfId="12" applyNumberFormat="1" applyFont="1" applyFill="1"/>
    <xf numFmtId="168" fontId="11" fillId="0" borderId="15" xfId="12" applyNumberFormat="1" applyFont="1" applyFill="1" applyBorder="1"/>
    <xf numFmtId="168" fontId="4" fillId="0" borderId="15" xfId="12" applyNumberFormat="1" applyFont="1" applyFill="1" applyBorder="1"/>
    <xf numFmtId="168" fontId="88" fillId="0" borderId="0" xfId="12" applyNumberFormat="1" applyFont="1" applyFill="1"/>
    <xf numFmtId="0" fontId="4" fillId="0" borderId="15" xfId="3" applyFont="1" applyFill="1" applyBorder="1"/>
    <xf numFmtId="17" fontId="11" fillId="0" borderId="17" xfId="24" applyNumberFormat="1" applyFont="1" applyFill="1" applyBorder="1" applyAlignment="1">
      <alignment horizontal="center"/>
    </xf>
    <xf numFmtId="17" fontId="11" fillId="0" borderId="2" xfId="24" applyNumberFormat="1" applyFont="1" applyFill="1" applyBorder="1" applyAlignment="1">
      <alignment horizontal="center"/>
    </xf>
    <xf numFmtId="0" fontId="11" fillId="0" borderId="17" xfId="24" applyFont="1" applyFill="1" applyBorder="1" applyAlignment="1">
      <alignment horizontal="center"/>
    </xf>
    <xf numFmtId="0" fontId="11" fillId="0" borderId="59" xfId="24" applyFont="1" applyFill="1" applyBorder="1" applyAlignment="1">
      <alignment horizontal="center"/>
    </xf>
    <xf numFmtId="0" fontId="11" fillId="0" borderId="2" xfId="24" applyFont="1" applyFill="1" applyBorder="1" applyAlignment="1">
      <alignment horizontal="center"/>
    </xf>
    <xf numFmtId="0" fontId="14" fillId="0" borderId="2" xfId="24" applyFont="1" applyFill="1" applyBorder="1" applyAlignment="1">
      <alignment horizontal="left"/>
    </xf>
    <xf numFmtId="17" fontId="11" fillId="0" borderId="9" xfId="24" applyNumberFormat="1" applyFont="1" applyFill="1" applyBorder="1" applyAlignment="1">
      <alignment horizontal="centerContinuous"/>
    </xf>
    <xf numFmtId="17" fontId="107" fillId="0" borderId="19" xfId="24" applyNumberFormat="1" applyFont="1" applyFill="1" applyBorder="1" applyAlignment="1">
      <alignment horizontal="center"/>
    </xf>
    <xf numFmtId="17" fontId="107" fillId="0" borderId="9" xfId="24" applyNumberFormat="1" applyFont="1" applyFill="1" applyBorder="1" applyAlignment="1">
      <alignment horizontal="centerContinuous"/>
    </xf>
    <xf numFmtId="17" fontId="4" fillId="0" borderId="19" xfId="24" applyNumberFormat="1" applyFont="1" applyFill="1" applyBorder="1" applyAlignment="1">
      <alignment horizontal="center"/>
    </xf>
    <xf numFmtId="17" fontId="4" fillId="0" borderId="58" xfId="24" applyNumberFormat="1" applyFont="1" applyFill="1" applyBorder="1" applyAlignment="1">
      <alignment horizontal="center"/>
    </xf>
    <xf numFmtId="17" fontId="4" fillId="0" borderId="9" xfId="24" applyNumberFormat="1" applyFont="1" applyFill="1" applyBorder="1" applyAlignment="1">
      <alignment horizontal="center"/>
    </xf>
    <xf numFmtId="0" fontId="15" fillId="0" borderId="9" xfId="24" applyFont="1" applyFill="1" applyBorder="1"/>
    <xf numFmtId="178" fontId="4" fillId="0" borderId="15" xfId="3" applyNumberFormat="1" applyFont="1" applyFill="1" applyBorder="1"/>
    <xf numFmtId="168" fontId="9" fillId="0" borderId="15" xfId="12" applyNumberFormat="1" applyFont="1" applyFill="1" applyBorder="1"/>
    <xf numFmtId="173" fontId="4" fillId="0" borderId="15" xfId="3" applyNumberFormat="1" applyFont="1" applyFill="1" applyBorder="1" applyAlignment="1">
      <alignment horizontal="left"/>
    </xf>
    <xf numFmtId="168" fontId="4" fillId="0" borderId="0" xfId="13" applyNumberFormat="1" applyFont="1" applyFill="1" applyBorder="1"/>
    <xf numFmtId="168" fontId="9" fillId="0" borderId="0" xfId="13" applyNumberFormat="1" applyFont="1" applyFill="1" applyBorder="1"/>
    <xf numFmtId="168" fontId="9" fillId="0" borderId="20" xfId="13" applyNumberFormat="1" applyFont="1" applyFill="1" applyBorder="1"/>
    <xf numFmtId="3" fontId="4" fillId="0" borderId="0" xfId="4" applyNumberFormat="1" applyFont="1" applyFill="1" applyBorder="1"/>
    <xf numFmtId="166" fontId="14" fillId="0" borderId="0" xfId="27" applyNumberFormat="1" applyFont="1" applyFill="1" applyBorder="1" applyAlignment="1">
      <alignment horizontal="right"/>
    </xf>
    <xf numFmtId="0" fontId="4" fillId="0" borderId="0" xfId="4" applyFont="1" applyFill="1" applyBorder="1"/>
    <xf numFmtId="168" fontId="88" fillId="0" borderId="21" xfId="13" applyNumberFormat="1" applyFont="1" applyFill="1" applyBorder="1"/>
    <xf numFmtId="168" fontId="88" fillId="0" borderId="0" xfId="13" applyNumberFormat="1" applyFont="1" applyFill="1" applyBorder="1"/>
    <xf numFmtId="0" fontId="11" fillId="0" borderId="0" xfId="12" applyNumberFormat="1" applyFont="1" applyFill="1"/>
    <xf numFmtId="173" fontId="11" fillId="0" borderId="15" xfId="3" applyNumberFormat="1" applyFont="1" applyFill="1" applyBorder="1"/>
    <xf numFmtId="0" fontId="4" fillId="0" borderId="10" xfId="3" applyFont="1" applyFill="1" applyBorder="1" applyAlignment="1">
      <alignment horizontal="left" indent="1"/>
    </xf>
    <xf numFmtId="0" fontId="7" fillId="0" borderId="33" xfId="3" applyFont="1" applyFill="1" applyBorder="1"/>
    <xf numFmtId="0" fontId="7" fillId="0" borderId="41" xfId="3" applyFont="1" applyFill="1" applyBorder="1"/>
    <xf numFmtId="0" fontId="7" fillId="0" borderId="34" xfId="3" applyFont="1" applyFill="1" applyBorder="1"/>
    <xf numFmtId="10" fontId="4" fillId="0" borderId="14" xfId="26" applyNumberFormat="1" applyFont="1" applyFill="1" applyBorder="1"/>
    <xf numFmtId="166" fontId="88" fillId="0" borderId="0" xfId="26" applyNumberFormat="1" applyFont="1" applyFill="1"/>
    <xf numFmtId="7" fontId="4" fillId="0" borderId="14" xfId="3" applyNumberFormat="1" applyFont="1" applyFill="1" applyBorder="1"/>
    <xf numFmtId="0" fontId="4" fillId="0" borderId="0" xfId="3" applyFont="1" applyFill="1" applyAlignment="1">
      <alignment horizontal="right"/>
    </xf>
    <xf numFmtId="0" fontId="4" fillId="0" borderId="14" xfId="3" applyFont="1" applyFill="1" applyBorder="1" applyAlignment="1">
      <alignment horizontal="right"/>
    </xf>
    <xf numFmtId="166" fontId="4" fillId="0" borderId="13" xfId="26" applyNumberFormat="1" applyFont="1" applyFill="1" applyBorder="1"/>
    <xf numFmtId="166" fontId="4" fillId="0" borderId="20" xfId="26" applyNumberFormat="1" applyFont="1" applyFill="1" applyBorder="1"/>
    <xf numFmtId="173" fontId="0" fillId="0" borderId="0" xfId="0" applyNumberFormat="1" applyFill="1"/>
    <xf numFmtId="189" fontId="0" fillId="0" borderId="0" xfId="0" applyNumberFormat="1" applyFill="1"/>
    <xf numFmtId="0" fontId="26" fillId="0" borderId="0" xfId="3" applyFont="1" applyFill="1" applyBorder="1" applyAlignment="1">
      <alignment horizontal="left"/>
    </xf>
    <xf numFmtId="170" fontId="4" fillId="0" borderId="0" xfId="3" applyNumberFormat="1" applyFont="1" applyFill="1" applyBorder="1"/>
    <xf numFmtId="0" fontId="4" fillId="0" borderId="8" xfId="3" applyFont="1" applyFill="1" applyBorder="1"/>
    <xf numFmtId="44" fontId="4" fillId="0" borderId="8" xfId="3" applyNumberFormat="1" applyFont="1" applyFill="1" applyBorder="1"/>
    <xf numFmtId="43" fontId="4" fillId="0" borderId="8" xfId="12" applyFont="1" applyFill="1" applyBorder="1"/>
    <xf numFmtId="0" fontId="1" fillId="0" borderId="0" xfId="0" applyFont="1" applyFill="1"/>
    <xf numFmtId="0" fontId="11" fillId="0" borderId="48" xfId="3" applyFont="1" applyFill="1" applyBorder="1" applyAlignment="1">
      <alignment horizontal="center"/>
    </xf>
    <xf numFmtId="0" fontId="8" fillId="0" borderId="0" xfId="3" applyFont="1" applyFill="1" applyBorder="1" applyAlignment="1">
      <alignment horizontal="right"/>
    </xf>
    <xf numFmtId="0" fontId="10" fillId="0" borderId="0" xfId="3" applyFont="1" applyFill="1" applyBorder="1" applyAlignment="1">
      <alignment horizontal="right"/>
    </xf>
    <xf numFmtId="44" fontId="11" fillId="0" borderId="0" xfId="3" applyNumberFormat="1" applyFont="1" applyFill="1" applyBorder="1" applyAlignment="1">
      <alignment horizontal="right"/>
    </xf>
    <xf numFmtId="43" fontId="11" fillId="0" borderId="0" xfId="12" applyFont="1" applyFill="1" applyBorder="1" applyAlignment="1">
      <alignment horizontal="right"/>
    </xf>
    <xf numFmtId="10" fontId="11" fillId="0" borderId="0" xfId="12" applyNumberFormat="1" applyFont="1" applyFill="1" applyBorder="1" applyAlignment="1">
      <alignment horizontal="right"/>
    </xf>
    <xf numFmtId="44" fontId="4" fillId="0" borderId="0" xfId="3" applyNumberFormat="1" applyFont="1" applyFill="1" applyBorder="1"/>
    <xf numFmtId="43" fontId="11" fillId="0" borderId="0" xfId="12" applyNumberFormat="1" applyFont="1" applyFill="1" applyBorder="1" applyAlignment="1">
      <alignment horizontal="right"/>
    </xf>
    <xf numFmtId="0" fontId="11" fillId="0" borderId="0" xfId="3" applyFont="1" applyFill="1" applyBorder="1" applyAlignment="1">
      <alignment horizontal="center"/>
    </xf>
    <xf numFmtId="166" fontId="10" fillId="0" borderId="0" xfId="26" applyNumberFormat="1" applyFont="1" applyFill="1" applyBorder="1" applyAlignment="1">
      <alignment horizontal="right"/>
    </xf>
    <xf numFmtId="170" fontId="10" fillId="0" borderId="0" xfId="3" applyNumberFormat="1" applyFont="1" applyFill="1" applyBorder="1" applyAlignment="1">
      <alignment horizontal="right"/>
    </xf>
    <xf numFmtId="43" fontId="4" fillId="0" borderId="0" xfId="12" applyFont="1" applyFill="1"/>
    <xf numFmtId="43" fontId="4" fillId="0" borderId="0" xfId="12" applyFont="1" applyFill="1" applyBorder="1" applyAlignment="1">
      <alignment horizontal="right"/>
    </xf>
    <xf numFmtId="9" fontId="11" fillId="0" borderId="0" xfId="26" applyFont="1" applyFill="1" applyBorder="1" applyAlignment="1">
      <alignment horizontal="right"/>
    </xf>
    <xf numFmtId="10" fontId="11" fillId="0" borderId="0" xfId="26" applyNumberFormat="1" applyFont="1" applyFill="1" applyBorder="1" applyAlignment="1">
      <alignment horizontal="right"/>
    </xf>
    <xf numFmtId="43" fontId="11" fillId="0" borderId="0" xfId="3" applyNumberFormat="1" applyFont="1" applyFill="1" applyBorder="1" applyAlignment="1">
      <alignment horizontal="right"/>
    </xf>
    <xf numFmtId="166" fontId="8" fillId="0" borderId="0" xfId="26" applyNumberFormat="1" applyFont="1" applyFill="1" applyBorder="1" applyAlignment="1">
      <alignment horizontal="right"/>
    </xf>
    <xf numFmtId="43" fontId="10" fillId="0" borderId="0" xfId="12" applyFont="1" applyFill="1" applyBorder="1" applyAlignment="1">
      <alignment horizontal="right"/>
    </xf>
    <xf numFmtId="43" fontId="10" fillId="0" borderId="0" xfId="3" applyNumberFormat="1" applyFont="1" applyFill="1" applyBorder="1" applyAlignment="1">
      <alignment horizontal="right"/>
    </xf>
    <xf numFmtId="166" fontId="11" fillId="0" borderId="0" xfId="26" applyNumberFormat="1" applyFont="1" applyFill="1" applyBorder="1" applyAlignment="1">
      <alignment horizontal="right"/>
    </xf>
    <xf numFmtId="43" fontId="11" fillId="0" borderId="0" xfId="26" applyNumberFormat="1" applyFont="1" applyFill="1" applyBorder="1" applyAlignment="1">
      <alignment horizontal="right"/>
    </xf>
    <xf numFmtId="43" fontId="4" fillId="0" borderId="0" xfId="26" applyNumberFormat="1" applyFont="1" applyFill="1" applyBorder="1" applyAlignment="1">
      <alignment horizontal="right"/>
    </xf>
    <xf numFmtId="10" fontId="105" fillId="0" borderId="0" xfId="26" applyNumberFormat="1" applyFont="1" applyFill="1" applyBorder="1" applyAlignment="1">
      <alignment horizontal="right"/>
    </xf>
    <xf numFmtId="0" fontId="11" fillId="0" borderId="0" xfId="3" applyFont="1" applyFill="1" applyBorder="1" applyAlignment="1">
      <alignment horizontal="right"/>
    </xf>
    <xf numFmtId="166" fontId="9" fillId="0" borderId="0" xfId="26" applyNumberFormat="1" applyFont="1" applyFill="1" applyBorder="1"/>
    <xf numFmtId="10" fontId="4" fillId="0" borderId="0" xfId="26" applyNumberFormat="1" applyFont="1" applyFill="1" applyBorder="1"/>
    <xf numFmtId="166" fontId="103" fillId="0" borderId="0" xfId="26" applyNumberFormat="1" applyFont="1" applyFill="1"/>
    <xf numFmtId="0" fontId="4" fillId="0" borderId="27" xfId="3" applyFont="1" applyFill="1" applyBorder="1" applyAlignment="1">
      <alignment horizontal="center"/>
    </xf>
    <xf numFmtId="0" fontId="4" fillId="0" borderId="27" xfId="3" applyFont="1" applyFill="1" applyBorder="1"/>
    <xf numFmtId="166" fontId="4" fillId="0" borderId="27" xfId="3" applyNumberFormat="1" applyFont="1" applyFill="1" applyBorder="1"/>
    <xf numFmtId="10" fontId="1" fillId="0" borderId="0" xfId="26" applyNumberFormat="1" applyFont="1" applyFill="1"/>
    <xf numFmtId="0" fontId="1" fillId="0" borderId="43" xfId="3" applyFont="1" applyFill="1" applyBorder="1"/>
    <xf numFmtId="0" fontId="26" fillId="0" borderId="8" xfId="3" applyFont="1" applyFill="1" applyBorder="1"/>
    <xf numFmtId="0" fontId="11" fillId="0" borderId="8" xfId="3" applyFont="1" applyFill="1" applyBorder="1" applyAlignment="1">
      <alignment horizontal="right"/>
    </xf>
    <xf numFmtId="0" fontId="82" fillId="0" borderId="0" xfId="3" applyFont="1" applyFill="1" applyBorder="1"/>
    <xf numFmtId="0" fontId="40" fillId="0" borderId="0" xfId="3" applyFont="1" applyFill="1" applyBorder="1"/>
    <xf numFmtId="0" fontId="7" fillId="0" borderId="0" xfId="3" applyFont="1" applyFill="1" applyBorder="1" applyAlignment="1">
      <alignment horizontal="right"/>
    </xf>
    <xf numFmtId="43" fontId="4" fillId="0" borderId="0" xfId="12" applyFont="1" applyFill="1" applyBorder="1"/>
    <xf numFmtId="43" fontId="9" fillId="0" borderId="0" xfId="12" applyNumberFormat="1" applyFont="1" applyFill="1" applyBorder="1"/>
    <xf numFmtId="43" fontId="1" fillId="0" borderId="0" xfId="3" applyNumberFormat="1" applyFont="1" applyFill="1" applyBorder="1"/>
    <xf numFmtId="176" fontId="4" fillId="0" borderId="0" xfId="3" applyNumberFormat="1" applyFont="1" applyFill="1" applyBorder="1"/>
    <xf numFmtId="0" fontId="1" fillId="0" borderId="0" xfId="3" applyFont="1" applyFill="1" applyAlignment="1"/>
    <xf numFmtId="43" fontId="11" fillId="0" borderId="0" xfId="12" applyFont="1" applyFill="1"/>
    <xf numFmtId="166" fontId="11" fillId="0" borderId="0" xfId="26" applyNumberFormat="1" applyFont="1" applyFill="1"/>
    <xf numFmtId="0" fontId="66" fillId="0" borderId="48" xfId="12" applyNumberFormat="1" applyFont="1" applyFill="1" applyBorder="1" applyAlignment="1">
      <alignment horizontal="center"/>
    </xf>
    <xf numFmtId="166" fontId="1" fillId="0" borderId="0" xfId="26" applyNumberFormat="1" applyFont="1" applyFill="1" applyBorder="1"/>
    <xf numFmtId="0" fontId="8" fillId="0" borderId="3" xfId="3" applyFont="1" applyFill="1" applyBorder="1"/>
    <xf numFmtId="0" fontId="8" fillId="0" borderId="42" xfId="3" applyFont="1" applyFill="1" applyBorder="1"/>
    <xf numFmtId="0" fontId="20" fillId="0" borderId="11" xfId="24" applyFont="1" applyFill="1" applyBorder="1"/>
    <xf numFmtId="0" fontId="20" fillId="0" borderId="21" xfId="24" applyFont="1" applyFill="1" applyBorder="1"/>
    <xf numFmtId="17" fontId="18" fillId="0" borderId="22" xfId="24" applyNumberFormat="1" applyFont="1" applyFill="1" applyBorder="1" applyAlignment="1">
      <alignment horizontal="center"/>
    </xf>
    <xf numFmtId="17" fontId="68" fillId="0" borderId="22" xfId="24" applyNumberFormat="1" applyFont="1" applyFill="1" applyBorder="1" applyAlignment="1">
      <alignment horizontal="center"/>
    </xf>
    <xf numFmtId="17" fontId="68" fillId="0" borderId="21" xfId="24" applyNumberFormat="1" applyFont="1" applyFill="1" applyBorder="1" applyAlignment="1">
      <alignment horizontal="center"/>
    </xf>
    <xf numFmtId="0" fontId="20" fillId="0" borderId="2" xfId="24" applyFont="1" applyFill="1" applyBorder="1" applyAlignment="1">
      <alignment horizontal="left"/>
    </xf>
    <xf numFmtId="0" fontId="21" fillId="0" borderId="17" xfId="24" applyFont="1" applyFill="1" applyBorder="1" applyAlignment="1">
      <alignment horizontal="center"/>
    </xf>
    <xf numFmtId="0" fontId="21" fillId="0" borderId="2" xfId="24" applyFont="1" applyFill="1" applyBorder="1" applyAlignment="1">
      <alignment horizontal="center"/>
    </xf>
    <xf numFmtId="0" fontId="20" fillId="0" borderId="0" xfId="24" applyFont="1" applyFill="1" applyBorder="1" applyAlignment="1">
      <alignment horizontal="left"/>
    </xf>
    <xf numFmtId="0" fontId="21" fillId="0" borderId="14" xfId="24" applyFont="1" applyFill="1" applyBorder="1" applyAlignment="1">
      <alignment horizontal="center"/>
    </xf>
    <xf numFmtId="0" fontId="21" fillId="0" borderId="0" xfId="24" applyFont="1" applyFill="1" applyBorder="1" applyAlignment="1">
      <alignment horizontal="center"/>
    </xf>
    <xf numFmtId="168" fontId="69" fillId="0" borderId="0" xfId="13" applyNumberFormat="1" applyFont="1" applyFill="1" applyBorder="1"/>
    <xf numFmtId="0" fontId="25" fillId="0" borderId="10" xfId="3" applyFont="1" applyFill="1" applyBorder="1" applyAlignment="1">
      <alignment horizontal="left" indent="1"/>
    </xf>
    <xf numFmtId="168" fontId="69" fillId="0" borderId="10" xfId="12" applyNumberFormat="1" applyFont="1" applyFill="1" applyBorder="1"/>
    <xf numFmtId="168" fontId="83" fillId="0" borderId="10" xfId="13" applyNumberFormat="1" applyFont="1" applyFill="1" applyBorder="1"/>
    <xf numFmtId="168" fontId="69" fillId="0" borderId="10" xfId="13" applyNumberFormat="1" applyFont="1" applyFill="1" applyBorder="1"/>
    <xf numFmtId="0" fontId="25" fillId="0" borderId="0" xfId="3" applyFont="1" applyFill="1" applyBorder="1" applyAlignment="1">
      <alignment horizontal="left"/>
    </xf>
    <xf numFmtId="10" fontId="18" fillId="0" borderId="0" xfId="26" applyNumberFormat="1" applyFont="1" applyFill="1" applyBorder="1"/>
    <xf numFmtId="10" fontId="18" fillId="0" borderId="14" xfId="26" applyNumberFormat="1" applyFont="1" applyFill="1" applyBorder="1"/>
    <xf numFmtId="43" fontId="20" fillId="0" borderId="0" xfId="12" applyFont="1" applyFill="1" applyBorder="1" applyAlignment="1">
      <alignment horizontal="left" indent="1"/>
    </xf>
    <xf numFmtId="166" fontId="20" fillId="0" borderId="16" xfId="26" applyNumberFormat="1" applyFont="1" applyFill="1" applyBorder="1" applyAlignment="1">
      <alignment horizontal="right"/>
    </xf>
    <xf numFmtId="7" fontId="4" fillId="0" borderId="14" xfId="14" applyNumberFormat="1" applyFont="1" applyFill="1" applyBorder="1"/>
    <xf numFmtId="7" fontId="4" fillId="0" borderId="0" xfId="15" applyNumberFormat="1" applyFont="1" applyFill="1" applyBorder="1"/>
    <xf numFmtId="0" fontId="4" fillId="0" borderId="26" xfId="3" applyFont="1" applyFill="1" applyBorder="1"/>
    <xf numFmtId="0" fontId="11" fillId="0" borderId="27" xfId="3" applyFont="1" applyFill="1" applyBorder="1"/>
    <xf numFmtId="168" fontId="11" fillId="0" borderId="28" xfId="12" applyNumberFormat="1" applyFont="1" applyFill="1" applyBorder="1"/>
    <xf numFmtId="169" fontId="11" fillId="0" borderId="27" xfId="3" applyNumberFormat="1" applyFont="1" applyFill="1" applyBorder="1"/>
    <xf numFmtId="169" fontId="11" fillId="0" borderId="28" xfId="3" applyNumberFormat="1" applyFont="1" applyFill="1" applyBorder="1"/>
    <xf numFmtId="169" fontId="11" fillId="0" borderId="27" xfId="4" applyNumberFormat="1" applyFont="1" applyFill="1" applyBorder="1"/>
    <xf numFmtId="168" fontId="18" fillId="0" borderId="22" xfId="12" applyNumberFormat="1" applyFont="1" applyFill="1" applyBorder="1"/>
    <xf numFmtId="168" fontId="18" fillId="0" borderId="14" xfId="3" applyNumberFormat="1" applyFont="1" applyFill="1" applyBorder="1"/>
    <xf numFmtId="168" fontId="88" fillId="0" borderId="12" xfId="13" applyNumberFormat="1" applyFont="1" applyFill="1" applyBorder="1"/>
    <xf numFmtId="0" fontId="1" fillId="0" borderId="14" xfId="3" applyFont="1" applyFill="1" applyBorder="1"/>
    <xf numFmtId="0" fontId="18" fillId="0" borderId="22" xfId="3" applyFont="1" applyFill="1" applyBorder="1"/>
    <xf numFmtId="0" fontId="18" fillId="0" borderId="21" xfId="3" applyFont="1" applyFill="1" applyBorder="1"/>
    <xf numFmtId="0" fontId="30" fillId="0" borderId="21" xfId="3" applyFont="1" applyFill="1" applyBorder="1"/>
    <xf numFmtId="43" fontId="18" fillId="0" borderId="22" xfId="3" applyNumberFormat="1" applyFont="1" applyFill="1" applyBorder="1"/>
    <xf numFmtId="43" fontId="4" fillId="0" borderId="22" xfId="3" applyNumberFormat="1" applyFont="1" applyFill="1" applyBorder="1"/>
    <xf numFmtId="177" fontId="4" fillId="0" borderId="14" xfId="3" applyNumberFormat="1" applyFont="1" applyFill="1" applyBorder="1"/>
    <xf numFmtId="177" fontId="4" fillId="0" borderId="0" xfId="3" applyNumberFormat="1" applyFont="1" applyFill="1" applyBorder="1"/>
    <xf numFmtId="177" fontId="88" fillId="0" borderId="0" xfId="3" applyNumberFormat="1" applyFont="1" applyFill="1" applyBorder="1"/>
    <xf numFmtId="177" fontId="4" fillId="0" borderId="13" xfId="3" applyNumberFormat="1" applyFont="1" applyFill="1" applyBorder="1"/>
    <xf numFmtId="177" fontId="4" fillId="0" borderId="20" xfId="3" applyNumberFormat="1" applyFont="1" applyFill="1" applyBorder="1"/>
    <xf numFmtId="0" fontId="19" fillId="0" borderId="16" xfId="3" applyFont="1" applyFill="1" applyBorder="1" applyAlignment="1">
      <alignment horizontal="left"/>
    </xf>
    <xf numFmtId="0" fontId="19" fillId="0" borderId="0" xfId="3" applyFont="1" applyFill="1" applyBorder="1" applyAlignment="1">
      <alignment horizontal="left"/>
    </xf>
    <xf numFmtId="0" fontId="20" fillId="0" borderId="36" xfId="24" applyFont="1" applyFill="1" applyBorder="1"/>
    <xf numFmtId="0" fontId="20" fillId="0" borderId="9" xfId="24" applyFont="1" applyFill="1" applyBorder="1"/>
    <xf numFmtId="17" fontId="18" fillId="0" borderId="19" xfId="24" applyNumberFormat="1" applyFont="1" applyFill="1" applyBorder="1" applyAlignment="1">
      <alignment horizontal="center"/>
    </xf>
    <xf numFmtId="17" fontId="18" fillId="0" borderId="9" xfId="24" applyNumberFormat="1" applyFont="1" applyFill="1" applyBorder="1" applyAlignment="1">
      <alignment horizontal="center"/>
    </xf>
    <xf numFmtId="0" fontId="20" fillId="0" borderId="37" xfId="24" applyFont="1" applyFill="1" applyBorder="1" applyAlignment="1">
      <alignment horizontal="left"/>
    </xf>
    <xf numFmtId="0" fontId="20" fillId="0" borderId="16" xfId="3" applyFont="1" applyFill="1" applyBorder="1"/>
    <xf numFmtId="0" fontId="26" fillId="0" borderId="16" xfId="3" applyFont="1" applyFill="1" applyBorder="1"/>
    <xf numFmtId="0" fontId="26" fillId="0" borderId="0" xfId="3" applyFont="1" applyFill="1" applyBorder="1"/>
    <xf numFmtId="177" fontId="4" fillId="0" borderId="14" xfId="26" applyNumberFormat="1" applyFont="1" applyFill="1" applyBorder="1"/>
    <xf numFmtId="166" fontId="79" fillId="0" borderId="0" xfId="26" applyNumberFormat="1" applyFont="1" applyFill="1" applyBorder="1" applyAlignment="1">
      <alignment horizontal="right"/>
    </xf>
    <xf numFmtId="166" fontId="4" fillId="0" borderId="16" xfId="26" applyNumberFormat="1" applyFont="1" applyFill="1" applyBorder="1" applyAlignment="1">
      <alignment horizontal="left"/>
    </xf>
    <xf numFmtId="166" fontId="4" fillId="0" borderId="0" xfId="26" applyNumberFormat="1" applyFont="1" applyFill="1" applyBorder="1" applyAlignment="1">
      <alignment horizontal="left"/>
    </xf>
    <xf numFmtId="166" fontId="0" fillId="0" borderId="0" xfId="26" applyNumberFormat="1" applyFont="1" applyFill="1"/>
    <xf numFmtId="167" fontId="18" fillId="0" borderId="14" xfId="3" applyNumberFormat="1" applyFont="1" applyFill="1" applyBorder="1"/>
    <xf numFmtId="177" fontId="20" fillId="0" borderId="14" xfId="26" applyNumberFormat="1" applyFont="1" applyFill="1" applyBorder="1"/>
    <xf numFmtId="0" fontId="12" fillId="0" borderId="12" xfId="21" applyFont="1" applyFill="1" applyBorder="1"/>
    <xf numFmtId="0" fontId="12" fillId="0" borderId="20" xfId="21" applyFont="1" applyFill="1" applyBorder="1"/>
    <xf numFmtId="0" fontId="12" fillId="0" borderId="13" xfId="21" applyFont="1" applyFill="1" applyBorder="1"/>
    <xf numFmtId="44" fontId="4" fillId="0" borderId="20" xfId="14" applyFont="1" applyFill="1" applyBorder="1"/>
    <xf numFmtId="41" fontId="30" fillId="0" borderId="14" xfId="3" applyNumberFormat="1" applyFont="1" applyFill="1" applyBorder="1"/>
    <xf numFmtId="41" fontId="30" fillId="0" borderId="0" xfId="3" applyNumberFormat="1" applyFont="1" applyFill="1"/>
    <xf numFmtId="9" fontId="18" fillId="0" borderId="16" xfId="26" applyFont="1" applyFill="1" applyBorder="1"/>
    <xf numFmtId="9" fontId="18" fillId="0" borderId="0" xfId="26" applyFont="1" applyFill="1" applyBorder="1"/>
    <xf numFmtId="9" fontId="18" fillId="0" borderId="14" xfId="26" applyFont="1" applyFill="1" applyBorder="1"/>
    <xf numFmtId="9" fontId="30" fillId="0" borderId="14" xfId="26" applyFont="1" applyFill="1" applyBorder="1"/>
    <xf numFmtId="9" fontId="18" fillId="0" borderId="0" xfId="26" applyFont="1" applyFill="1"/>
    <xf numFmtId="0" fontId="11" fillId="0" borderId="11" xfId="3" applyFont="1" applyFill="1" applyBorder="1"/>
    <xf numFmtId="0" fontId="0" fillId="0" borderId="22" xfId="3" applyFont="1" applyFill="1" applyBorder="1"/>
    <xf numFmtId="0" fontId="0" fillId="0" borderId="21" xfId="3" applyFont="1" applyFill="1" applyBorder="1"/>
    <xf numFmtId="0" fontId="0" fillId="0" borderId="35" xfId="3" applyFont="1" applyFill="1" applyBorder="1"/>
    <xf numFmtId="173" fontId="18" fillId="0" borderId="14" xfId="3" applyNumberFormat="1" applyFont="1" applyFill="1" applyBorder="1"/>
    <xf numFmtId="173" fontId="35" fillId="0" borderId="14" xfId="3" applyNumberFormat="1" applyFont="1" applyFill="1" applyBorder="1"/>
    <xf numFmtId="0" fontId="62" fillId="0" borderId="0" xfId="1" applyFont="1" applyFill="1" applyAlignment="1">
      <alignment horizontal="left"/>
    </xf>
    <xf numFmtId="0" fontId="81" fillId="0" borderId="0" xfId="0" applyFont="1" applyFill="1"/>
    <xf numFmtId="169" fontId="81" fillId="0" borderId="0" xfId="0" applyNumberFormat="1" applyFont="1" applyFill="1"/>
    <xf numFmtId="0" fontId="21" fillId="0" borderId="59" xfId="24" applyFont="1" applyFill="1" applyBorder="1" applyAlignment="1">
      <alignment horizontal="center"/>
    </xf>
    <xf numFmtId="0" fontId="20" fillId="0" borderId="0" xfId="24" applyFont="1" applyFill="1" applyAlignment="1">
      <alignment horizontal="left"/>
    </xf>
    <xf numFmtId="0" fontId="21" fillId="0" borderId="15" xfId="24" applyFont="1" applyFill="1" applyBorder="1" applyAlignment="1">
      <alignment horizontal="center"/>
    </xf>
    <xf numFmtId="166" fontId="20" fillId="0" borderId="15" xfId="26" applyNumberFormat="1" applyFont="1" applyFill="1" applyBorder="1" applyAlignment="1">
      <alignment horizontal="right"/>
    </xf>
    <xf numFmtId="171" fontId="18" fillId="0" borderId="14" xfId="3" applyNumberFormat="1" applyFont="1" applyFill="1" applyBorder="1"/>
    <xf numFmtId="41" fontId="85" fillId="0" borderId="0" xfId="12" applyNumberFormat="1" applyFont="1" applyFill="1"/>
    <xf numFmtId="0" fontId="21" fillId="0" borderId="0" xfId="3" applyFont="1" applyFill="1" applyBorder="1" applyAlignment="1">
      <alignment horizontal="center"/>
    </xf>
    <xf numFmtId="0" fontId="21" fillId="0" borderId="15" xfId="3" applyFont="1" applyFill="1" applyBorder="1" applyAlignment="1">
      <alignment horizontal="center"/>
    </xf>
    <xf numFmtId="0" fontId="21" fillId="0" borderId="14" xfId="3" applyFont="1" applyFill="1" applyBorder="1" applyAlignment="1">
      <alignment horizontal="center"/>
    </xf>
    <xf numFmtId="0" fontId="21" fillId="0" borderId="0" xfId="3" applyFont="1" applyFill="1" applyAlignment="1">
      <alignment horizontal="center"/>
    </xf>
    <xf numFmtId="10" fontId="21" fillId="0" borderId="0" xfId="24" applyNumberFormat="1" applyFont="1" applyFill="1" applyAlignment="1">
      <alignment horizontal="center"/>
    </xf>
    <xf numFmtId="43" fontId="18" fillId="0" borderId="15" xfId="3" applyNumberFormat="1" applyFont="1" applyFill="1" applyBorder="1"/>
    <xf numFmtId="43" fontId="18" fillId="0" borderId="14" xfId="3" applyNumberFormat="1" applyFont="1" applyFill="1" applyBorder="1"/>
    <xf numFmtId="43" fontId="18" fillId="0" borderId="0" xfId="3" applyNumberFormat="1" applyFont="1" applyFill="1"/>
    <xf numFmtId="43" fontId="20" fillId="0" borderId="0" xfId="12" applyFont="1" applyFill="1" applyBorder="1"/>
    <xf numFmtId="38" fontId="30" fillId="0" borderId="0" xfId="3" applyNumberFormat="1" applyFont="1" applyFill="1"/>
    <xf numFmtId="166" fontId="33" fillId="0" borderId="0" xfId="26" applyNumberFormat="1" applyFont="1" applyFill="1" applyBorder="1"/>
    <xf numFmtId="166" fontId="33" fillId="0" borderId="15" xfId="26" applyNumberFormat="1" applyFont="1" applyFill="1" applyBorder="1"/>
    <xf numFmtId="43" fontId="30" fillId="0" borderId="0" xfId="3" applyNumberFormat="1" applyFont="1" applyFill="1"/>
    <xf numFmtId="171" fontId="18" fillId="0" borderId="15" xfId="3" applyNumberFormat="1" applyFont="1" applyFill="1" applyBorder="1"/>
    <xf numFmtId="171" fontId="18" fillId="0" borderId="0" xfId="3" applyNumberFormat="1" applyFont="1" applyFill="1"/>
    <xf numFmtId="166" fontId="33" fillId="0" borderId="0" xfId="26" applyNumberFormat="1" applyFont="1" applyFill="1" applyAlignment="1">
      <alignment horizontal="right"/>
    </xf>
    <xf numFmtId="171" fontId="4" fillId="0" borderId="0" xfId="3" applyNumberFormat="1" applyFont="1" applyFill="1" applyBorder="1" applyAlignment="1">
      <alignment horizontal="right"/>
    </xf>
    <xf numFmtId="171" fontId="4" fillId="0" borderId="15" xfId="3" applyNumberFormat="1" applyFont="1" applyFill="1" applyBorder="1" applyAlignment="1">
      <alignment horizontal="right"/>
    </xf>
    <xf numFmtId="171" fontId="4" fillId="0" borderId="14" xfId="3" applyNumberFormat="1" applyFont="1" applyFill="1" applyBorder="1" applyAlignment="1">
      <alignment horizontal="right"/>
    </xf>
    <xf numFmtId="171" fontId="4" fillId="0" borderId="0" xfId="3" applyNumberFormat="1" applyFont="1" applyFill="1" applyAlignment="1">
      <alignment horizontal="right"/>
    </xf>
    <xf numFmtId="40" fontId="4" fillId="0" borderId="0" xfId="3" applyNumberFormat="1" applyFont="1" applyFill="1" applyAlignment="1">
      <alignment horizontal="right"/>
    </xf>
    <xf numFmtId="40" fontId="4" fillId="0" borderId="14" xfId="3" applyNumberFormat="1" applyFont="1" applyFill="1" applyBorder="1" applyAlignment="1">
      <alignment horizontal="right"/>
    </xf>
    <xf numFmtId="170" fontId="4" fillId="0" borderId="0" xfId="12" applyNumberFormat="1" applyFont="1" applyFill="1" applyBorder="1" applyAlignment="1">
      <alignment horizontal="right"/>
    </xf>
    <xf numFmtId="170" fontId="4" fillId="0" borderId="15" xfId="12" applyNumberFormat="1" applyFont="1" applyFill="1" applyBorder="1" applyAlignment="1">
      <alignment horizontal="right"/>
    </xf>
    <xf numFmtId="170" fontId="4" fillId="0" borderId="14" xfId="12" applyNumberFormat="1" applyFont="1" applyFill="1" applyBorder="1" applyAlignment="1">
      <alignment horizontal="right"/>
    </xf>
    <xf numFmtId="172" fontId="18" fillId="0" borderId="0" xfId="3" applyNumberFormat="1" applyFont="1" applyFill="1"/>
    <xf numFmtId="172" fontId="18" fillId="0" borderId="0" xfId="3" applyNumberFormat="1" applyFont="1" applyFill="1" applyBorder="1"/>
    <xf numFmtId="172" fontId="18" fillId="0" borderId="15" xfId="3" applyNumberFormat="1" applyFont="1" applyFill="1" applyBorder="1"/>
    <xf numFmtId="172" fontId="18" fillId="0" borderId="14" xfId="3" applyNumberFormat="1" applyFont="1" applyFill="1" applyBorder="1"/>
    <xf numFmtId="0" fontId="24" fillId="0" borderId="0" xfId="3" applyFont="1" applyFill="1" applyAlignment="1">
      <alignment horizontal="left"/>
    </xf>
    <xf numFmtId="0" fontId="18" fillId="0" borderId="3" xfId="3" applyFont="1" applyFill="1" applyBorder="1"/>
    <xf numFmtId="0" fontId="18" fillId="0" borderId="23" xfId="3" applyFont="1" applyFill="1" applyBorder="1"/>
    <xf numFmtId="168" fontId="18" fillId="0" borderId="23" xfId="3" applyNumberFormat="1" applyFont="1" applyFill="1" applyBorder="1"/>
    <xf numFmtId="168" fontId="18" fillId="0" borderId="29" xfId="3" applyNumberFormat="1" applyFont="1" applyFill="1" applyBorder="1"/>
    <xf numFmtId="168" fontId="18" fillId="0" borderId="24" xfId="3" applyNumberFormat="1" applyFont="1" applyFill="1" applyBorder="1"/>
    <xf numFmtId="168" fontId="18" fillId="0" borderId="23" xfId="12" applyNumberFormat="1" applyFont="1" applyFill="1" applyBorder="1"/>
    <xf numFmtId="168" fontId="20" fillId="0" borderId="0" xfId="3" applyNumberFormat="1" applyFont="1" applyFill="1" applyBorder="1"/>
    <xf numFmtId="168" fontId="20" fillId="0" borderId="15" xfId="3" applyNumberFormat="1" applyFont="1" applyFill="1" applyBorder="1"/>
    <xf numFmtId="168" fontId="20" fillId="0" borderId="14" xfId="3" applyNumberFormat="1" applyFont="1" applyFill="1" applyBorder="1"/>
    <xf numFmtId="168" fontId="18" fillId="0" borderId="29" xfId="12" applyNumberFormat="1" applyFont="1" applyFill="1" applyBorder="1"/>
    <xf numFmtId="168" fontId="18" fillId="0" borderId="24" xfId="12" applyNumberFormat="1" applyFont="1" applyFill="1" applyBorder="1"/>
    <xf numFmtId="168" fontId="20" fillId="0" borderId="0" xfId="3" applyNumberFormat="1" applyFont="1" applyFill="1"/>
    <xf numFmtId="9" fontId="53" fillId="0" borderId="0" xfId="3" applyNumberFormat="1" applyFont="1" applyFill="1"/>
    <xf numFmtId="10" fontId="53" fillId="0" borderId="0" xfId="3" applyNumberFormat="1" applyFont="1" applyFill="1"/>
    <xf numFmtId="166" fontId="18" fillId="0" borderId="16" xfId="3" applyNumberFormat="1" applyFont="1" applyFill="1" applyBorder="1"/>
    <xf numFmtId="170" fontId="20" fillId="0" borderId="0" xfId="12" applyNumberFormat="1" applyFont="1" applyFill="1"/>
    <xf numFmtId="0" fontId="20" fillId="0" borderId="20" xfId="3" applyFont="1" applyFill="1" applyBorder="1"/>
    <xf numFmtId="0" fontId="20" fillId="0" borderId="31" xfId="3" applyFont="1" applyFill="1" applyBorder="1"/>
    <xf numFmtId="10" fontId="18" fillId="0" borderId="0" xfId="3" applyNumberFormat="1" applyFont="1" applyFill="1"/>
    <xf numFmtId="169" fontId="18" fillId="0" borderId="0" xfId="3" applyNumberFormat="1" applyFont="1" applyFill="1" applyBorder="1"/>
    <xf numFmtId="43" fontId="20" fillId="0" borderId="0" xfId="12" applyFont="1" applyFill="1" applyBorder="1" applyAlignment="1"/>
    <xf numFmtId="0" fontId="4" fillId="23" borderId="0" xfId="3" applyFont="1" applyFill="1"/>
    <xf numFmtId="0" fontId="4" fillId="23" borderId="0" xfId="3" applyFont="1" applyFill="1" applyAlignment="1">
      <alignment horizontal="left" indent="1"/>
    </xf>
    <xf numFmtId="178" fontId="4" fillId="23" borderId="0" xfId="3" applyNumberFormat="1" applyFont="1" applyFill="1" applyBorder="1"/>
    <xf numFmtId="178" fontId="4" fillId="23" borderId="15" xfId="3" applyNumberFormat="1" applyFont="1" applyFill="1" applyBorder="1"/>
    <xf numFmtId="178" fontId="4" fillId="23" borderId="14" xfId="3" applyNumberFormat="1" applyFont="1" applyFill="1" applyBorder="1"/>
    <xf numFmtId="178" fontId="4" fillId="23" borderId="0" xfId="3" applyNumberFormat="1" applyFont="1" applyFill="1"/>
    <xf numFmtId="173" fontId="4" fillId="23" borderId="0" xfId="12" applyNumberFormat="1" applyFont="1" applyFill="1"/>
    <xf numFmtId="173" fontId="4" fillId="23" borderId="14" xfId="12" applyNumberFormat="1" applyFont="1" applyFill="1" applyBorder="1"/>
    <xf numFmtId="0" fontId="4" fillId="23" borderId="0" xfId="3" applyFont="1" applyFill="1" applyBorder="1"/>
    <xf numFmtId="0" fontId="4" fillId="23" borderId="15" xfId="3" applyFont="1" applyFill="1" applyBorder="1"/>
    <xf numFmtId="0" fontId="4" fillId="23" borderId="14" xfId="3" applyFont="1" applyFill="1" applyBorder="1"/>
    <xf numFmtId="168" fontId="4" fillId="23" borderId="0" xfId="3" applyNumberFormat="1" applyFont="1" applyFill="1"/>
    <xf numFmtId="168" fontId="4" fillId="23" borderId="14" xfId="3" applyNumberFormat="1" applyFont="1" applyFill="1" applyBorder="1"/>
    <xf numFmtId="181" fontId="131" fillId="0" borderId="0" xfId="3" applyNumberFormat="1" applyFont="1" applyFill="1" applyBorder="1"/>
    <xf numFmtId="181" fontId="131" fillId="0" borderId="14" xfId="3" applyNumberFormat="1" applyFont="1" applyFill="1" applyBorder="1"/>
    <xf numFmtId="181" fontId="131" fillId="0" borderId="0" xfId="12" applyNumberFormat="1" applyFont="1" applyFill="1" applyBorder="1"/>
    <xf numFmtId="181" fontId="131" fillId="0" borderId="14" xfId="12" applyNumberFormat="1" applyFont="1" applyFill="1" applyBorder="1"/>
    <xf numFmtId="166" fontId="131" fillId="0" borderId="0" xfId="3" applyNumberFormat="1" applyFont="1" applyFill="1" applyBorder="1"/>
    <xf numFmtId="166" fontId="131" fillId="0" borderId="14" xfId="3" applyNumberFormat="1" applyFont="1" applyFill="1" applyBorder="1"/>
    <xf numFmtId="181" fontId="11" fillId="24" borderId="0" xfId="12" applyNumberFormat="1" applyFont="1" applyFill="1" applyBorder="1" applyAlignment="1"/>
    <xf numFmtId="166" fontId="14" fillId="23" borderId="14" xfId="26" applyNumberFormat="1" applyFont="1" applyFill="1" applyBorder="1"/>
    <xf numFmtId="169" fontId="131" fillId="0" borderId="0" xfId="12" applyNumberFormat="1" applyFont="1" applyFill="1"/>
    <xf numFmtId="41" fontId="18" fillId="0" borderId="16" xfId="12" applyNumberFormat="1" applyFont="1" applyFill="1" applyBorder="1" applyAlignment="1">
      <alignment horizontal="left"/>
    </xf>
    <xf numFmtId="41" fontId="18" fillId="0" borderId="0" xfId="12" applyNumberFormat="1" applyFont="1" applyFill="1" applyBorder="1" applyAlignment="1">
      <alignment horizontal="left"/>
    </xf>
    <xf numFmtId="41" fontId="18" fillId="0" borderId="11" xfId="3" applyNumberFormat="1" applyFont="1" applyFill="1" applyBorder="1"/>
    <xf numFmtId="41" fontId="18" fillId="0" borderId="21" xfId="3" applyNumberFormat="1" applyFont="1" applyFill="1" applyBorder="1"/>
    <xf numFmtId="41" fontId="18" fillId="0" borderId="22" xfId="3" applyNumberFormat="1" applyFont="1" applyFill="1" applyBorder="1"/>
    <xf numFmtId="41" fontId="131" fillId="0" borderId="10" xfId="12" applyNumberFormat="1" applyFont="1" applyFill="1" applyBorder="1"/>
    <xf numFmtId="41" fontId="4" fillId="0" borderId="0" xfId="12" applyNumberFormat="1" applyFont="1" applyFill="1"/>
    <xf numFmtId="41" fontId="4" fillId="0" borderId="14" xfId="12" applyNumberFormat="1" applyFont="1" applyFill="1" applyBorder="1"/>
    <xf numFmtId="9" fontId="14" fillId="0" borderId="14" xfId="12" applyNumberFormat="1" applyFont="1" applyFill="1" applyBorder="1"/>
    <xf numFmtId="9" fontId="14" fillId="0" borderId="0" xfId="12" applyNumberFormat="1" applyFont="1" applyFill="1"/>
    <xf numFmtId="170" fontId="131" fillId="0" borderId="0" xfId="12" applyNumberFormat="1" applyFont="1" applyFill="1"/>
    <xf numFmtId="0" fontId="131" fillId="0" borderId="0" xfId="3" applyFont="1" applyFill="1" applyBorder="1"/>
    <xf numFmtId="3" fontId="131" fillId="0" borderId="0" xfId="3" applyNumberFormat="1" applyFont="1" applyFill="1" applyBorder="1"/>
    <xf numFmtId="10" fontId="131" fillId="0" borderId="0" xfId="3" applyNumberFormat="1" applyFont="1" applyFill="1" applyBorder="1"/>
    <xf numFmtId="3" fontId="131" fillId="0" borderId="0" xfId="4" applyNumberFormat="1" applyFont="1" applyFill="1" applyBorder="1"/>
    <xf numFmtId="0" fontId="131" fillId="0" borderId="14" xfId="3" applyFont="1" applyFill="1" applyBorder="1"/>
    <xf numFmtId="3" fontId="131" fillId="0" borderId="14" xfId="3" applyNumberFormat="1" applyFont="1" applyFill="1" applyBorder="1"/>
    <xf numFmtId="181" fontId="131" fillId="0" borderId="0" xfId="13" applyNumberFormat="1" applyFont="1" applyFill="1" applyBorder="1"/>
    <xf numFmtId="166" fontId="131" fillId="0" borderId="0" xfId="4" applyNumberFormat="1" applyFont="1" applyFill="1" applyBorder="1"/>
    <xf numFmtId="10" fontId="131" fillId="0" borderId="14" xfId="3" applyNumberFormat="1" applyFont="1" applyFill="1" applyBorder="1"/>
    <xf numFmtId="3" fontId="4" fillId="0" borderId="14" xfId="3" applyNumberFormat="1" applyFont="1" applyFill="1" applyBorder="1"/>
    <xf numFmtId="173" fontId="131" fillId="0" borderId="20" xfId="3" applyNumberFormat="1" applyFont="1" applyFill="1" applyBorder="1"/>
    <xf numFmtId="0" fontId="25" fillId="23" borderId="16" xfId="3" applyFont="1" applyFill="1" applyBorder="1"/>
    <xf numFmtId="0" fontId="16" fillId="23" borderId="0" xfId="3" applyFont="1" applyFill="1" applyBorder="1" applyAlignment="1">
      <alignment horizontal="center"/>
    </xf>
    <xf numFmtId="168" fontId="4" fillId="23" borderId="14" xfId="12" applyNumberFormat="1" applyFont="1" applyFill="1" applyBorder="1"/>
    <xf numFmtId="168" fontId="4" fillId="23" borderId="0" xfId="12" applyNumberFormat="1" applyFont="1" applyFill="1" applyBorder="1"/>
    <xf numFmtId="0" fontId="4" fillId="23" borderId="16" xfId="3" applyFont="1" applyFill="1" applyBorder="1"/>
    <xf numFmtId="0" fontId="25" fillId="23" borderId="12" xfId="3" applyFont="1" applyFill="1" applyBorder="1"/>
    <xf numFmtId="0" fontId="16" fillId="23" borderId="20" xfId="3" applyFont="1" applyFill="1" applyBorder="1" applyAlignment="1">
      <alignment horizontal="center"/>
    </xf>
    <xf numFmtId="168" fontId="4" fillId="23" borderId="13" xfId="12" applyNumberFormat="1" applyFont="1" applyFill="1" applyBorder="1"/>
    <xf numFmtId="168" fontId="4" fillId="23" borderId="20" xfId="12" applyNumberFormat="1" applyFont="1" applyFill="1" applyBorder="1"/>
    <xf numFmtId="0" fontId="25" fillId="4" borderId="0" xfId="3" applyFont="1" applyFill="1" applyBorder="1"/>
    <xf numFmtId="168" fontId="4" fillId="4" borderId="0" xfId="12" applyNumberFormat="1" applyFont="1" applyFill="1" applyBorder="1"/>
    <xf numFmtId="168" fontId="9" fillId="4" borderId="0" xfId="12" applyNumberFormat="1" applyFont="1" applyFill="1" applyBorder="1"/>
    <xf numFmtId="0" fontId="1" fillId="0" borderId="0" xfId="0" applyFont="1" applyBorder="1"/>
    <xf numFmtId="0" fontId="11" fillId="4" borderId="0" xfId="18" applyFont="1" applyFill="1" applyBorder="1" applyAlignment="1" applyProtection="1"/>
    <xf numFmtId="168" fontId="56" fillId="4" borderId="0" xfId="12" applyNumberFormat="1" applyFont="1" applyFill="1" applyBorder="1"/>
    <xf numFmtId="0" fontId="130" fillId="0" borderId="0" xfId="3" applyFont="1" applyFill="1" applyBorder="1"/>
    <xf numFmtId="0" fontId="128" fillId="0" borderId="0" xfId="3" applyFont="1" applyFill="1" applyBorder="1" applyAlignment="1">
      <alignment horizontal="left" indent="1"/>
    </xf>
    <xf numFmtId="0" fontId="128" fillId="0" borderId="0" xfId="3" applyFont="1" applyFill="1" applyBorder="1" applyAlignment="1">
      <alignment horizontal="center"/>
    </xf>
    <xf numFmtId="3" fontId="128" fillId="0" borderId="0" xfId="3" applyNumberFormat="1" applyFont="1" applyFill="1" applyBorder="1" applyAlignment="1">
      <alignment horizontal="center"/>
    </xf>
    <xf numFmtId="0" fontId="128" fillId="0" borderId="0" xfId="3" applyFont="1" applyFill="1" applyBorder="1"/>
    <xf numFmtId="0" fontId="130" fillId="0" borderId="0" xfId="0" applyFont="1"/>
    <xf numFmtId="0" fontId="11" fillId="23" borderId="0" xfId="18" applyFont="1" applyFill="1" applyBorder="1" applyAlignment="1" applyProtection="1"/>
    <xf numFmtId="168" fontId="9" fillId="23" borderId="0" xfId="12" applyNumberFormat="1" applyFont="1" applyFill="1" applyBorder="1"/>
    <xf numFmtId="168" fontId="56" fillId="23" borderId="0" xfId="12" applyNumberFormat="1" applyFont="1" applyFill="1" applyBorder="1"/>
    <xf numFmtId="168" fontId="4" fillId="23" borderId="12" xfId="12" applyNumberFormat="1" applyFont="1" applyFill="1" applyBorder="1"/>
    <xf numFmtId="168" fontId="4" fillId="23" borderId="31" xfId="12" applyNumberFormat="1" applyFont="1" applyFill="1" applyBorder="1"/>
    <xf numFmtId="10" fontId="131" fillId="0" borderId="21" xfId="26" applyNumberFormat="1" applyFont="1" applyFill="1" applyBorder="1"/>
    <xf numFmtId="168" fontId="131" fillId="0" borderId="22" xfId="12" applyNumberFormat="1" applyFont="1" applyFill="1" applyBorder="1"/>
    <xf numFmtId="173" fontId="4" fillId="0" borderId="12" xfId="3" applyNumberFormat="1" applyFont="1" applyFill="1" applyBorder="1"/>
    <xf numFmtId="173" fontId="4" fillId="0" borderId="31" xfId="3" applyNumberFormat="1" applyFont="1" applyFill="1" applyBorder="1"/>
    <xf numFmtId="173" fontId="4" fillId="0" borderId="16" xfId="3" applyNumberFormat="1" applyFont="1" applyFill="1" applyBorder="1"/>
    <xf numFmtId="168" fontId="4" fillId="23" borderId="16" xfId="12" applyNumberFormat="1" applyFont="1" applyFill="1" applyBorder="1"/>
    <xf numFmtId="168" fontId="4" fillId="23" borderId="15" xfId="12" applyNumberFormat="1" applyFont="1" applyFill="1" applyBorder="1"/>
    <xf numFmtId="0" fontId="11" fillId="23" borderId="34" xfId="3" applyFont="1" applyFill="1" applyBorder="1"/>
    <xf numFmtId="171" fontId="11" fillId="23" borderId="20" xfId="12" applyNumberFormat="1" applyFont="1" applyFill="1" applyBorder="1"/>
    <xf numFmtId="171" fontId="11" fillId="23" borderId="31" xfId="12" applyNumberFormat="1" applyFont="1" applyFill="1" applyBorder="1"/>
    <xf numFmtId="171" fontId="11" fillId="23" borderId="13" xfId="12" applyNumberFormat="1" applyFont="1" applyFill="1" applyBorder="1"/>
    <xf numFmtId="171" fontId="21" fillId="23" borderId="20" xfId="12" applyNumberFormat="1" applyFont="1" applyFill="1" applyBorder="1"/>
    <xf numFmtId="171" fontId="21" fillId="23" borderId="13" xfId="12" applyNumberFormat="1" applyFont="1" applyFill="1" applyBorder="1"/>
    <xf numFmtId="171" fontId="21" fillId="23" borderId="32" xfId="12" applyNumberFormat="1" applyFont="1" applyFill="1" applyBorder="1"/>
    <xf numFmtId="171" fontId="21" fillId="23" borderId="33" xfId="12" applyNumberFormat="1" applyFont="1" applyFill="1" applyBorder="1"/>
    <xf numFmtId="169" fontId="21" fillId="23" borderId="33" xfId="12" applyNumberFormat="1" applyFont="1" applyFill="1" applyBorder="1"/>
    <xf numFmtId="171" fontId="21" fillId="23" borderId="34" xfId="12" applyNumberFormat="1" applyFont="1" applyFill="1" applyBorder="1"/>
    <xf numFmtId="169" fontId="21" fillId="23" borderId="34" xfId="12" applyNumberFormat="1" applyFont="1" applyFill="1" applyBorder="1"/>
    <xf numFmtId="0" fontId="21" fillId="23" borderId="0" xfId="3" applyFont="1" applyFill="1"/>
    <xf numFmtId="171" fontId="21" fillId="23" borderId="0" xfId="12" applyNumberFormat="1" applyFont="1" applyFill="1" applyBorder="1"/>
    <xf numFmtId="171" fontId="21" fillId="23" borderId="15" xfId="12" applyNumberFormat="1" applyFont="1" applyFill="1" applyBorder="1"/>
    <xf numFmtId="171" fontId="21" fillId="23" borderId="14" xfId="12" applyNumberFormat="1" applyFont="1" applyFill="1" applyBorder="1"/>
    <xf numFmtId="171" fontId="21" fillId="23" borderId="0" xfId="12" applyNumberFormat="1" applyFont="1" applyFill="1"/>
    <xf numFmtId="171" fontId="39" fillId="23" borderId="14" xfId="12" applyNumberFormat="1" applyFont="1" applyFill="1" applyBorder="1"/>
    <xf numFmtId="0" fontId="11" fillId="23" borderId="33" xfId="3" applyFont="1" applyFill="1" applyBorder="1"/>
    <xf numFmtId="0" fontId="11" fillId="23" borderId="41" xfId="3" applyFont="1" applyFill="1" applyBorder="1"/>
    <xf numFmtId="168" fontId="11" fillId="23" borderId="33" xfId="12" applyNumberFormat="1" applyFont="1" applyFill="1" applyBorder="1"/>
    <xf numFmtId="168" fontId="11" fillId="23" borderId="34" xfId="12" applyNumberFormat="1" applyFont="1" applyFill="1" applyBorder="1"/>
    <xf numFmtId="169" fontId="11" fillId="23" borderId="33" xfId="12" applyNumberFormat="1" applyFont="1" applyFill="1" applyBorder="1"/>
    <xf numFmtId="169" fontId="11" fillId="23" borderId="34" xfId="12" applyNumberFormat="1" applyFont="1" applyFill="1" applyBorder="1"/>
    <xf numFmtId="169" fontId="11" fillId="23" borderId="34" xfId="3" applyNumberFormat="1" applyFont="1" applyFill="1" applyBorder="1"/>
    <xf numFmtId="173" fontId="4" fillId="0" borderId="0" xfId="0" applyNumberFormat="1" applyFont="1" applyFill="1"/>
    <xf numFmtId="189" fontId="4" fillId="0" borderId="0" xfId="0" applyNumberFormat="1" applyFont="1" applyFill="1"/>
    <xf numFmtId="189" fontId="4" fillId="0" borderId="0" xfId="3" applyNumberFormat="1" applyFont="1" applyFill="1" applyBorder="1"/>
    <xf numFmtId="0" fontId="11" fillId="0" borderId="76" xfId="12" applyNumberFormat="1" applyFont="1" applyFill="1" applyBorder="1"/>
    <xf numFmtId="173" fontId="11" fillId="0" borderId="76" xfId="3" applyNumberFormat="1" applyFont="1" applyFill="1" applyBorder="1"/>
    <xf numFmtId="173" fontId="11" fillId="0" borderId="75" xfId="3" applyNumberFormat="1" applyFont="1" applyFill="1" applyBorder="1"/>
    <xf numFmtId="173" fontId="11" fillId="0" borderId="77" xfId="3" applyNumberFormat="1" applyFont="1" applyFill="1" applyBorder="1"/>
    <xf numFmtId="173" fontId="18" fillId="0" borderId="0" xfId="12" applyNumberFormat="1" applyFont="1" applyFill="1" applyAlignment="1">
      <alignment horizontal="left"/>
    </xf>
    <xf numFmtId="173" fontId="30" fillId="0" borderId="0" xfId="12" applyNumberFormat="1" applyFont="1" applyFill="1" applyAlignment="1">
      <alignment horizontal="left"/>
    </xf>
    <xf numFmtId="173" fontId="21" fillId="23" borderId="33" xfId="12" applyNumberFormat="1" applyFont="1" applyFill="1" applyBorder="1"/>
    <xf numFmtId="173" fontId="21" fillId="23" borderId="34" xfId="12" applyNumberFormat="1" applyFont="1" applyFill="1" applyBorder="1"/>
    <xf numFmtId="173" fontId="21" fillId="0" borderId="0" xfId="12" applyNumberFormat="1" applyFont="1" applyFill="1"/>
    <xf numFmtId="173" fontId="21" fillId="0" borderId="14" xfId="12" applyNumberFormat="1" applyFont="1" applyFill="1" applyBorder="1"/>
    <xf numFmtId="169" fontId="88" fillId="0" borderId="0" xfId="12" applyNumberFormat="1" applyFont="1" applyFill="1"/>
    <xf numFmtId="41" fontId="88" fillId="0" borderId="0" xfId="12" applyNumberFormat="1" applyFont="1" applyFill="1" applyAlignment="1">
      <alignment horizontal="left"/>
    </xf>
    <xf numFmtId="41" fontId="88" fillId="0" borderId="10" xfId="12" applyNumberFormat="1" applyFont="1" applyFill="1" applyBorder="1"/>
    <xf numFmtId="41" fontId="88" fillId="0" borderId="0" xfId="12" applyNumberFormat="1" applyFont="1" applyFill="1"/>
    <xf numFmtId="171" fontId="4" fillId="0" borderId="0" xfId="12" applyNumberFormat="1" applyFont="1" applyFill="1" applyBorder="1"/>
    <xf numFmtId="171" fontId="4" fillId="0" borderId="15" xfId="12" applyNumberFormat="1" applyFont="1" applyFill="1" applyBorder="1"/>
    <xf numFmtId="0" fontId="11" fillId="25" borderId="32" xfId="3" applyFont="1" applyFill="1" applyBorder="1"/>
    <xf numFmtId="0" fontId="20" fillId="25" borderId="33" xfId="3" applyFont="1" applyFill="1" applyBorder="1" applyAlignment="1">
      <alignment horizontal="left"/>
    </xf>
    <xf numFmtId="0" fontId="20" fillId="25" borderId="41" xfId="3" applyFont="1" applyFill="1" applyBorder="1" applyAlignment="1">
      <alignment horizontal="left"/>
    </xf>
    <xf numFmtId="0" fontId="20" fillId="25" borderId="34" xfId="3" applyFont="1" applyFill="1" applyBorder="1" applyAlignment="1">
      <alignment horizontal="left"/>
    </xf>
    <xf numFmtId="38" fontId="18" fillId="25" borderId="33" xfId="3" applyNumberFormat="1" applyFont="1" applyFill="1" applyBorder="1"/>
    <xf numFmtId="38" fontId="18" fillId="25" borderId="34" xfId="3" applyNumberFormat="1" applyFont="1" applyFill="1" applyBorder="1"/>
    <xf numFmtId="0" fontId="21" fillId="25" borderId="32" xfId="3" applyFont="1" applyFill="1" applyBorder="1"/>
    <xf numFmtId="0" fontId="18" fillId="25" borderId="33" xfId="3" applyFont="1" applyFill="1" applyBorder="1"/>
    <xf numFmtId="0" fontId="18" fillId="25" borderId="41" xfId="3" applyFont="1" applyFill="1" applyBorder="1"/>
    <xf numFmtId="0" fontId="18" fillId="25" borderId="34" xfId="3" applyFont="1" applyFill="1" applyBorder="1"/>
    <xf numFmtId="166" fontId="133" fillId="0" borderId="0" xfId="26" applyNumberFormat="1" applyFont="1" applyFill="1" applyAlignment="1">
      <alignment horizontal="right"/>
    </xf>
    <xf numFmtId="166" fontId="133" fillId="0" borderId="0" xfId="26" applyNumberFormat="1" applyFont="1" applyFill="1"/>
    <xf numFmtId="166" fontId="133" fillId="0" borderId="14" xfId="26" applyNumberFormat="1" applyFont="1" applyFill="1" applyBorder="1" applyAlignment="1">
      <alignment horizontal="right"/>
    </xf>
    <xf numFmtId="0" fontId="18" fillId="24" borderId="0" xfId="3" applyFont="1" applyFill="1" applyBorder="1"/>
    <xf numFmtId="169" fontId="18" fillId="24" borderId="14" xfId="3" applyNumberFormat="1" applyFont="1" applyFill="1" applyBorder="1"/>
    <xf numFmtId="169" fontId="18" fillId="24" borderId="0" xfId="3" applyNumberFormat="1" applyFont="1" applyFill="1" applyBorder="1"/>
    <xf numFmtId="166" fontId="20" fillId="24" borderId="0" xfId="3" applyNumberFormat="1" applyFont="1" applyFill="1" applyBorder="1"/>
    <xf numFmtId="166" fontId="133" fillId="24" borderId="0" xfId="3" applyNumberFormat="1" applyFont="1" applyFill="1" applyBorder="1"/>
    <xf numFmtId="166" fontId="20" fillId="24" borderId="14" xfId="3" applyNumberFormat="1" applyFont="1" applyFill="1" applyBorder="1"/>
    <xf numFmtId="168" fontId="18" fillId="24" borderId="0" xfId="12" applyNumberFormat="1" applyFont="1" applyFill="1" applyBorder="1"/>
    <xf numFmtId="168" fontId="18" fillId="24" borderId="14" xfId="12" applyNumberFormat="1" applyFont="1" applyFill="1" applyBorder="1"/>
    <xf numFmtId="166" fontId="18" fillId="24" borderId="0" xfId="3" applyNumberFormat="1" applyFont="1" applyFill="1" applyBorder="1"/>
    <xf numFmtId="0" fontId="4" fillId="24" borderId="0" xfId="4" applyFont="1" applyFill="1" applyBorder="1"/>
    <xf numFmtId="0" fontId="131" fillId="24" borderId="0" xfId="4" applyFont="1" applyFill="1" applyBorder="1"/>
    <xf numFmtId="0" fontId="131" fillId="24" borderId="0" xfId="3" applyFont="1" applyFill="1" applyBorder="1"/>
    <xf numFmtId="0" fontId="131" fillId="24" borderId="14" xfId="3" applyFont="1" applyFill="1" applyBorder="1"/>
    <xf numFmtId="0" fontId="18" fillId="24" borderId="14" xfId="3" applyFont="1" applyFill="1" applyBorder="1"/>
    <xf numFmtId="0" fontId="14" fillId="23" borderId="0" xfId="3" applyFont="1" applyFill="1" applyBorder="1" applyAlignment="1">
      <alignment horizontal="left" indent="1"/>
    </xf>
    <xf numFmtId="166" fontId="14" fillId="23" borderId="0" xfId="26" applyNumberFormat="1" applyFont="1" applyFill="1" applyBorder="1" applyAlignment="1">
      <alignment horizontal="center"/>
    </xf>
    <xf numFmtId="166" fontId="14" fillId="23" borderId="15" xfId="26" applyNumberFormat="1" applyFont="1" applyFill="1" applyBorder="1"/>
    <xf numFmtId="166" fontId="14" fillId="23" borderId="0" xfId="26" applyNumberFormat="1" applyFont="1" applyFill="1" applyBorder="1"/>
    <xf numFmtId="166" fontId="14" fillId="23" borderId="14" xfId="26" applyNumberFormat="1" applyFont="1" applyFill="1" applyBorder="1" applyAlignment="1">
      <alignment horizontal="right"/>
    </xf>
    <xf numFmtId="166" fontId="14" fillId="23" borderId="0" xfId="26" applyNumberFormat="1" applyFont="1" applyFill="1" applyBorder="1" applyAlignment="1">
      <alignment horizontal="right"/>
    </xf>
    <xf numFmtId="170" fontId="4" fillId="0" borderId="8" xfId="12" applyNumberFormat="1" applyFont="1" applyFill="1" applyBorder="1"/>
    <xf numFmtId="170" fontId="4" fillId="0" borderId="26" xfId="12" applyNumberFormat="1" applyFont="1" applyFill="1" applyBorder="1" applyAlignment="1">
      <alignment horizontal="left"/>
    </xf>
    <xf numFmtId="170" fontId="4" fillId="0" borderId="54" xfId="12" applyNumberFormat="1" applyFont="1" applyFill="1" applyBorder="1" applyAlignment="1">
      <alignment horizontal="left"/>
    </xf>
    <xf numFmtId="166" fontId="74" fillId="23" borderId="14" xfId="26" applyNumberFormat="1" applyFont="1" applyFill="1" applyBorder="1" applyAlignment="1">
      <alignment horizontal="right"/>
    </xf>
    <xf numFmtId="166" fontId="78" fillId="23" borderId="0" xfId="26" applyNumberFormat="1" applyFont="1" applyFill="1" applyBorder="1" applyAlignment="1">
      <alignment horizontal="right"/>
    </xf>
    <xf numFmtId="166" fontId="74" fillId="23" borderId="55" xfId="26" applyNumberFormat="1" applyFont="1" applyFill="1" applyBorder="1" applyAlignment="1">
      <alignment horizontal="right"/>
    </xf>
    <xf numFmtId="0" fontId="30" fillId="0" borderId="20" xfId="3" applyFont="1" applyFill="1" applyBorder="1"/>
    <xf numFmtId="0" fontId="30" fillId="0" borderId="31" xfId="3" applyFont="1" applyFill="1" applyBorder="1"/>
    <xf numFmtId="0" fontId="30" fillId="0" borderId="13" xfId="3" applyFont="1" applyFill="1" applyBorder="1"/>
    <xf numFmtId="166" fontId="30" fillId="0" borderId="13" xfId="3" applyNumberFormat="1" applyFont="1" applyFill="1" applyBorder="1"/>
    <xf numFmtId="173" fontId="4" fillId="0" borderId="15" xfId="4" applyNumberFormat="1" applyFont="1" applyFill="1" applyBorder="1"/>
    <xf numFmtId="173" fontId="4" fillId="0" borderId="14" xfId="4" applyNumberFormat="1" applyFont="1" applyFill="1" applyBorder="1"/>
    <xf numFmtId="173" fontId="9" fillId="0" borderId="14" xfId="13" applyNumberFormat="1" applyFont="1" applyFill="1" applyBorder="1"/>
    <xf numFmtId="173" fontId="9" fillId="0" borderId="0" xfId="13" applyNumberFormat="1" applyFont="1" applyFill="1"/>
    <xf numFmtId="173" fontId="9" fillId="0" borderId="0" xfId="13" applyNumberFormat="1" applyFont="1" applyFill="1" applyBorder="1"/>
    <xf numFmtId="173" fontId="4" fillId="0" borderId="14" xfId="13" applyNumberFormat="1" applyFont="1" applyFill="1" applyBorder="1"/>
    <xf numFmtId="173" fontId="9" fillId="0" borderId="0" xfId="13" applyNumberFormat="1" applyFont="1" applyFill="1" applyAlignment="1">
      <alignment horizontal="left"/>
    </xf>
    <xf numFmtId="0" fontId="52" fillId="0" borderId="0" xfId="3" applyFont="1" applyFill="1"/>
    <xf numFmtId="8" fontId="4" fillId="0" borderId="14" xfId="0" quotePrefix="1" applyNumberFormat="1" applyFont="1" applyFill="1" applyBorder="1" applyAlignment="1">
      <alignment horizontal="center"/>
    </xf>
    <xf numFmtId="168" fontId="88" fillId="0" borderId="20" xfId="13" applyNumberFormat="1" applyFont="1" applyFill="1" applyBorder="1"/>
    <xf numFmtId="176" fontId="4" fillId="8" borderId="14" xfId="0" quotePrefix="1" applyNumberFormat="1" applyFont="1" applyFill="1" applyBorder="1" applyAlignment="1">
      <alignment horizontal="center"/>
    </xf>
    <xf numFmtId="173" fontId="0" fillId="0" borderId="0" xfId="0" applyNumberFormat="1"/>
    <xf numFmtId="43" fontId="0" fillId="0" borderId="0" xfId="0" applyNumberFormat="1"/>
    <xf numFmtId="166" fontId="88" fillId="0" borderId="14" xfId="3" applyNumberFormat="1" applyFont="1" applyFill="1" applyBorder="1"/>
    <xf numFmtId="164" fontId="14" fillId="0" borderId="14" xfId="3" applyNumberFormat="1" applyFont="1" applyFill="1" applyBorder="1" applyAlignment="1">
      <alignment horizontal="left"/>
    </xf>
    <xf numFmtId="37" fontId="4" fillId="0" borderId="14" xfId="12" applyNumberFormat="1" applyFont="1" applyFill="1" applyBorder="1"/>
    <xf numFmtId="37" fontId="11" fillId="0" borderId="14" xfId="12" applyNumberFormat="1" applyFont="1" applyFill="1" applyBorder="1"/>
    <xf numFmtId="9" fontId="4" fillId="0" borderId="0" xfId="26" applyFont="1" applyFill="1" applyBorder="1"/>
    <xf numFmtId="9" fontId="16" fillId="0" borderId="0" xfId="26" applyFont="1" applyFill="1" applyBorder="1" applyAlignment="1">
      <alignment horizontal="center"/>
    </xf>
    <xf numFmtId="9" fontId="9" fillId="0" borderId="0" xfId="26" applyFont="1" applyFill="1" applyBorder="1"/>
    <xf numFmtId="9" fontId="56" fillId="0" borderId="0" xfId="26" applyFont="1" applyFill="1" applyBorder="1"/>
    <xf numFmtId="9" fontId="1" fillId="0" borderId="0" xfId="26" applyFont="1"/>
    <xf numFmtId="168" fontId="0" fillId="0" borderId="0" xfId="0" applyNumberFormat="1" applyFill="1"/>
    <xf numFmtId="5" fontId="4" fillId="8" borderId="14" xfId="0" applyNumberFormat="1" applyFont="1" applyFill="1" applyBorder="1" applyAlignment="1">
      <alignment horizontal="center"/>
    </xf>
    <xf numFmtId="165" fontId="4" fillId="0" borderId="14" xfId="0" quotePrefix="1" applyNumberFormat="1" applyFont="1" applyFill="1" applyBorder="1" applyAlignment="1">
      <alignment horizontal="center"/>
    </xf>
    <xf numFmtId="5" fontId="4" fillId="8" borderId="13" xfId="0" applyNumberFormat="1" applyFont="1" applyFill="1" applyBorder="1" applyAlignment="1">
      <alignment horizontal="center"/>
    </xf>
    <xf numFmtId="168" fontId="4" fillId="0" borderId="14" xfId="13" applyNumberFormat="1" applyFont="1" applyFill="1" applyBorder="1"/>
    <xf numFmtId="0" fontId="11" fillId="23" borderId="20" xfId="3" applyFont="1" applyFill="1" applyBorder="1"/>
    <xf numFmtId="0" fontId="0" fillId="26" borderId="62" xfId="3" applyFont="1" applyFill="1" applyBorder="1"/>
    <xf numFmtId="0" fontId="11" fillId="26" borderId="23" xfId="3" applyFont="1" applyFill="1" applyBorder="1"/>
    <xf numFmtId="168" fontId="11" fillId="26" borderId="24" xfId="12" applyNumberFormat="1" applyFont="1" applyFill="1" applyBorder="1"/>
    <xf numFmtId="169" fontId="11" fillId="26" borderId="23" xfId="3" applyNumberFormat="1" applyFont="1" applyFill="1" applyBorder="1"/>
    <xf numFmtId="169" fontId="11" fillId="26" borderId="24" xfId="3" applyNumberFormat="1" applyFont="1" applyFill="1" applyBorder="1"/>
    <xf numFmtId="169" fontId="11" fillId="26" borderId="23" xfId="4" applyNumberFormat="1" applyFont="1" applyFill="1" applyBorder="1"/>
    <xf numFmtId="0" fontId="3" fillId="0" borderId="50" xfId="3" applyFont="1" applyFill="1" applyBorder="1"/>
    <xf numFmtId="7" fontId="11" fillId="26" borderId="24" xfId="14" applyNumberFormat="1" applyFont="1" applyFill="1" applyBorder="1"/>
    <xf numFmtId="7" fontId="11" fillId="26" borderId="23" xfId="14" applyNumberFormat="1" applyFont="1" applyFill="1" applyBorder="1"/>
    <xf numFmtId="7" fontId="11" fillId="26" borderId="62" xfId="14" applyNumberFormat="1" applyFont="1" applyFill="1" applyBorder="1"/>
    <xf numFmtId="7" fontId="11" fillId="26" borderId="29" xfId="14" applyNumberFormat="1" applyFont="1" applyFill="1" applyBorder="1"/>
    <xf numFmtId="0" fontId="0" fillId="0" borderId="79" xfId="3" applyFont="1" applyFill="1" applyBorder="1"/>
    <xf numFmtId="0" fontId="11" fillId="0" borderId="80" xfId="3" applyFont="1" applyFill="1" applyBorder="1"/>
    <xf numFmtId="168" fontId="11" fillId="0" borderId="78" xfId="12" applyNumberFormat="1" applyFont="1" applyFill="1" applyBorder="1"/>
    <xf numFmtId="168" fontId="11" fillId="0" borderId="80" xfId="12" applyNumberFormat="1" applyFont="1" applyFill="1" applyBorder="1"/>
    <xf numFmtId="177" fontId="11" fillId="0" borderId="80" xfId="12" applyNumberFormat="1" applyFont="1" applyFill="1" applyBorder="1"/>
    <xf numFmtId="168" fontId="11" fillId="0" borderId="81" xfId="12" applyNumberFormat="1" applyFont="1" applyFill="1" applyBorder="1"/>
    <xf numFmtId="168" fontId="11" fillId="0" borderId="80" xfId="13" applyNumberFormat="1" applyFont="1" applyFill="1" applyBorder="1"/>
    <xf numFmtId="0" fontId="21" fillId="0" borderId="80" xfId="3" applyFont="1" applyFill="1" applyBorder="1"/>
    <xf numFmtId="168" fontId="21" fillId="0" borderId="78" xfId="12" applyNumberFormat="1" applyFont="1" applyFill="1" applyBorder="1"/>
    <xf numFmtId="168" fontId="21" fillId="0" borderId="80" xfId="12" applyNumberFormat="1" applyFont="1" applyFill="1" applyBorder="1"/>
    <xf numFmtId="168" fontId="11" fillId="0" borderId="78" xfId="3" applyNumberFormat="1" applyFont="1" applyFill="1" applyBorder="1"/>
    <xf numFmtId="168" fontId="11" fillId="0" borderId="80" xfId="3" applyNumberFormat="1" applyFont="1" applyFill="1" applyBorder="1"/>
    <xf numFmtId="168" fontId="11" fillId="0" borderId="80" xfId="4" applyNumberFormat="1" applyFont="1" applyFill="1" applyBorder="1"/>
    <xf numFmtId="177" fontId="21" fillId="0" borderId="0" xfId="12" applyNumberFormat="1" applyFont="1" applyFill="1" applyBorder="1"/>
    <xf numFmtId="175" fontId="21" fillId="0" borderId="0" xfId="12" applyNumberFormat="1" applyFont="1" applyFill="1" applyBorder="1"/>
    <xf numFmtId="43" fontId="21" fillId="0" borderId="14" xfId="12" applyNumberFormat="1" applyFont="1" applyFill="1" applyBorder="1"/>
    <xf numFmtId="177" fontId="11" fillId="0" borderId="0" xfId="13" applyNumberFormat="1" applyFont="1" applyFill="1" applyBorder="1"/>
    <xf numFmtId="168" fontId="11" fillId="0" borderId="0" xfId="4" applyNumberFormat="1" applyFont="1" applyFill="1" applyBorder="1"/>
    <xf numFmtId="0" fontId="25" fillId="0" borderId="80" xfId="3" applyFont="1" applyFill="1" applyBorder="1" applyAlignment="1">
      <alignment horizontal="left" indent="1"/>
    </xf>
    <xf numFmtId="168" fontId="18" fillId="0" borderId="78" xfId="12" applyNumberFormat="1" applyFont="1" applyFill="1" applyBorder="1"/>
    <xf numFmtId="168" fontId="18" fillId="0" borderId="80" xfId="12" applyNumberFormat="1" applyFont="1" applyFill="1" applyBorder="1"/>
    <xf numFmtId="168" fontId="4" fillId="0" borderId="80" xfId="13" applyNumberFormat="1" applyFont="1" applyFill="1" applyBorder="1"/>
    <xf numFmtId="0" fontId="4" fillId="0" borderId="47" xfId="3" applyFont="1" applyFill="1" applyBorder="1"/>
    <xf numFmtId="43" fontId="11" fillId="0" borderId="45" xfId="12" applyFont="1" applyFill="1" applyBorder="1" applyAlignment="1">
      <alignment horizontal="right"/>
    </xf>
    <xf numFmtId="43" fontId="11" fillId="0" borderId="45" xfId="3" applyNumberFormat="1" applyFont="1" applyFill="1" applyBorder="1" applyAlignment="1">
      <alignment horizontal="right"/>
    </xf>
    <xf numFmtId="0" fontId="11" fillId="0" borderId="45" xfId="3" applyFont="1" applyFill="1" applyBorder="1" applyAlignment="1">
      <alignment horizontal="right"/>
    </xf>
    <xf numFmtId="166" fontId="4" fillId="0" borderId="45" xfId="26" applyNumberFormat="1" applyFont="1" applyFill="1" applyBorder="1"/>
    <xf numFmtId="0" fontId="4" fillId="0" borderId="45" xfId="3" applyFont="1" applyFill="1" applyBorder="1"/>
    <xf numFmtId="0" fontId="1" fillId="0" borderId="45" xfId="3" applyFont="1" applyFill="1" applyBorder="1"/>
    <xf numFmtId="166" fontId="4" fillId="0" borderId="45" xfId="26" applyNumberFormat="1" applyFont="1" applyFill="1" applyBorder="1" applyAlignment="1">
      <alignment horizontal="right"/>
    </xf>
    <xf numFmtId="0" fontId="8" fillId="0" borderId="45" xfId="3" applyFont="1" applyFill="1" applyBorder="1" applyAlignment="1">
      <alignment horizontal="right"/>
    </xf>
    <xf numFmtId="0" fontId="4" fillId="0" borderId="46" xfId="3" applyFont="1" applyFill="1" applyBorder="1"/>
    <xf numFmtId="0" fontId="11" fillId="0" borderId="47" xfId="3" applyFont="1" applyFill="1" applyBorder="1" applyAlignment="1">
      <alignment horizontal="right"/>
    </xf>
    <xf numFmtId="0" fontId="7" fillId="0" borderId="45" xfId="3" applyFont="1" applyFill="1" applyBorder="1" applyAlignment="1">
      <alignment horizontal="right"/>
    </xf>
    <xf numFmtId="10" fontId="9" fillId="0" borderId="45" xfId="3" applyNumberFormat="1" applyFont="1" applyFill="1" applyBorder="1"/>
    <xf numFmtId="166" fontId="9" fillId="0" borderId="45" xfId="26" applyNumberFormat="1" applyFont="1" applyFill="1" applyBorder="1"/>
    <xf numFmtId="43" fontId="4" fillId="0" borderId="45" xfId="12" applyFont="1" applyFill="1" applyBorder="1"/>
    <xf numFmtId="0" fontId="1" fillId="0" borderId="46" xfId="3" applyFont="1" applyFill="1" applyBorder="1"/>
    <xf numFmtId="184" fontId="7" fillId="9" borderId="6" xfId="3" applyNumberFormat="1" applyFont="1" applyFill="1" applyBorder="1"/>
    <xf numFmtId="184" fontId="7" fillId="9" borderId="60" xfId="3" applyNumberFormat="1" applyFont="1" applyFill="1" applyBorder="1"/>
    <xf numFmtId="180" fontId="13" fillId="6" borderId="0" xfId="14" applyNumberFormat="1" applyFont="1" applyFill="1" applyBorder="1"/>
    <xf numFmtId="0" fontId="92" fillId="9" borderId="83" xfId="0" applyFont="1" applyFill="1" applyBorder="1" applyAlignment="1">
      <alignment horizontal="centerContinuous"/>
    </xf>
    <xf numFmtId="0" fontId="11" fillId="27" borderId="48" xfId="3" applyFont="1" applyFill="1" applyBorder="1" applyAlignment="1">
      <alignment horizontal="center"/>
    </xf>
    <xf numFmtId="168" fontId="4" fillId="4" borderId="20" xfId="12" applyNumberFormat="1" applyFont="1" applyFill="1" applyBorder="1"/>
    <xf numFmtId="166" fontId="4" fillId="0" borderId="0" xfId="3" applyNumberFormat="1" applyFont="1" applyFill="1"/>
    <xf numFmtId="0" fontId="11" fillId="0" borderId="33" xfId="3" applyFont="1" applyFill="1" applyBorder="1"/>
    <xf numFmtId="0" fontId="14" fillId="0" borderId="20" xfId="3" applyFont="1" applyFill="1" applyBorder="1"/>
    <xf numFmtId="0" fontId="14" fillId="0" borderId="31" xfId="3" applyFont="1" applyFill="1" applyBorder="1"/>
    <xf numFmtId="0" fontId="14" fillId="0" borderId="13" xfId="3" applyFont="1" applyFill="1" applyBorder="1"/>
    <xf numFmtId="9" fontId="14" fillId="0" borderId="13" xfId="26" applyFont="1" applyFill="1" applyBorder="1" applyAlignment="1">
      <alignment horizontal="right"/>
    </xf>
    <xf numFmtId="9" fontId="14" fillId="0" borderId="20" xfId="26" applyFont="1" applyFill="1" applyBorder="1" applyAlignment="1">
      <alignment horizontal="right"/>
    </xf>
    <xf numFmtId="0" fontId="1" fillId="0" borderId="0" xfId="19" applyFont="1"/>
    <xf numFmtId="37" fontId="0" fillId="0" borderId="0" xfId="0" applyNumberFormat="1" applyFill="1" applyAlignment="1">
      <alignment horizontal="center"/>
    </xf>
    <xf numFmtId="37" fontId="0" fillId="23" borderId="82" xfId="0" applyNumberFormat="1" applyFill="1" applyBorder="1" applyAlignment="1">
      <alignment horizontal="center"/>
    </xf>
    <xf numFmtId="166" fontId="132" fillId="0" borderId="0" xfId="26" applyNumberFormat="1" applyFont="1" applyFill="1"/>
    <xf numFmtId="166" fontId="31" fillId="0" borderId="0" xfId="3" applyNumberFormat="1" applyFont="1" applyFill="1"/>
    <xf numFmtId="166" fontId="129" fillId="0" borderId="0" xfId="3" applyNumberFormat="1" applyFont="1" applyFill="1"/>
    <xf numFmtId="181" fontId="4" fillId="0" borderId="14" xfId="3" applyNumberFormat="1" applyFont="1" applyFill="1" applyBorder="1"/>
    <xf numFmtId="181" fontId="4" fillId="0" borderId="14" xfId="12" applyNumberFormat="1" applyFont="1" applyFill="1" applyBorder="1"/>
    <xf numFmtId="166" fontId="4" fillId="0" borderId="14" xfId="3" applyNumberFormat="1" applyFont="1" applyFill="1" applyBorder="1"/>
    <xf numFmtId="5" fontId="131" fillId="0" borderId="14" xfId="3" applyNumberFormat="1" applyFont="1" applyFill="1" applyBorder="1"/>
    <xf numFmtId="5" fontId="131" fillId="0" borderId="0" xfId="3" applyNumberFormat="1" applyFont="1" applyFill="1" applyBorder="1"/>
    <xf numFmtId="5" fontId="4" fillId="0" borderId="14" xfId="3" applyNumberFormat="1" applyFont="1" applyFill="1" applyBorder="1"/>
    <xf numFmtId="0" fontId="18" fillId="0" borderId="84" xfId="3" applyFont="1" applyFill="1" applyBorder="1"/>
    <xf numFmtId="173" fontId="4" fillId="0" borderId="35" xfId="3" applyNumberFormat="1" applyFont="1" applyFill="1" applyBorder="1"/>
    <xf numFmtId="166" fontId="103" fillId="0" borderId="0" xfId="26" applyNumberFormat="1" applyFont="1" applyFill="1" applyBorder="1"/>
    <xf numFmtId="1" fontId="4" fillId="8" borderId="14" xfId="27" applyNumberFormat="1" applyFont="1" applyFill="1" applyBorder="1" applyAlignment="1">
      <alignment horizontal="center"/>
    </xf>
    <xf numFmtId="43" fontId="4" fillId="0" borderId="0" xfId="3" applyNumberFormat="1" applyFont="1" applyFill="1"/>
    <xf numFmtId="43" fontId="4" fillId="0" borderId="14" xfId="12" applyFont="1" applyFill="1" applyBorder="1"/>
    <xf numFmtId="0" fontId="0" fillId="0" borderId="14" xfId="0" applyBorder="1"/>
    <xf numFmtId="37" fontId="4" fillId="0" borderId="0" xfId="12" applyNumberFormat="1" applyFont="1" applyFill="1"/>
    <xf numFmtId="0" fontId="1" fillId="28" borderId="0" xfId="108" applyFont="1" applyFill="1" applyAlignment="1">
      <alignment vertical="top"/>
    </xf>
    <xf numFmtId="0" fontId="1" fillId="28" borderId="0" xfId="19" applyFill="1" applyAlignment="1">
      <alignment vertical="top"/>
    </xf>
    <xf numFmtId="0" fontId="1" fillId="28" borderId="0" xfId="19" applyFill="1"/>
    <xf numFmtId="0" fontId="42" fillId="28" borderId="0" xfId="108" applyFont="1" applyFill="1" applyAlignment="1">
      <alignment horizontal="left" vertical="top"/>
    </xf>
    <xf numFmtId="0" fontId="1" fillId="28" borderId="0" xfId="19" applyFont="1" applyFill="1" applyAlignment="1">
      <alignment vertical="top"/>
    </xf>
    <xf numFmtId="0" fontId="110" fillId="28" borderId="0" xfId="108" applyFont="1" applyFill="1" applyAlignment="1">
      <alignment vertical="top"/>
    </xf>
    <xf numFmtId="0" fontId="0" fillId="28" borderId="0" xfId="0" applyFill="1" applyAlignment="1">
      <alignment vertical="top"/>
    </xf>
    <xf numFmtId="0" fontId="135" fillId="28" borderId="0" xfId="0" applyFont="1" applyFill="1" applyAlignment="1">
      <alignment vertical="top"/>
    </xf>
    <xf numFmtId="0" fontId="136" fillId="28" borderId="0" xfId="0" applyFont="1" applyFill="1" applyAlignment="1">
      <alignment vertical="top"/>
    </xf>
    <xf numFmtId="0" fontId="135" fillId="28" borderId="85" xfId="0" applyFont="1" applyFill="1" applyBorder="1" applyAlignment="1">
      <alignment vertical="top"/>
    </xf>
    <xf numFmtId="9" fontId="135" fillId="28" borderId="85" xfId="0" applyNumberFormat="1" applyFont="1" applyFill="1" applyBorder="1" applyAlignment="1">
      <alignment vertical="top"/>
    </xf>
    <xf numFmtId="3" fontId="135" fillId="28" borderId="85" xfId="0" applyNumberFormat="1" applyFont="1" applyFill="1" applyBorder="1" applyAlignment="1">
      <alignment vertical="top"/>
    </xf>
    <xf numFmtId="2" fontId="1" fillId="0" borderId="0" xfId="19" applyNumberFormat="1" applyAlignment="1">
      <alignment horizontal="left"/>
    </xf>
    <xf numFmtId="0" fontId="1" fillId="0" borderId="0" xfId="19" applyNumberFormat="1" applyAlignment="1">
      <alignment horizontal="left"/>
    </xf>
    <xf numFmtId="1" fontId="1" fillId="0" borderId="0" xfId="19" applyNumberFormat="1" applyAlignment="1">
      <alignment horizontal="left"/>
    </xf>
    <xf numFmtId="190" fontId="1" fillId="0" borderId="0" xfId="19" applyNumberFormat="1" applyAlignment="1">
      <alignment horizontal="left"/>
    </xf>
    <xf numFmtId="49" fontId="1" fillId="0" borderId="0" xfId="19" applyNumberFormat="1"/>
    <xf numFmtId="0" fontId="19" fillId="0" borderId="0" xfId="19" applyFont="1" applyAlignment="1">
      <alignment wrapText="1"/>
    </xf>
    <xf numFmtId="0" fontId="19" fillId="0" borderId="0" xfId="19" applyFont="1" applyAlignment="1">
      <alignment horizontal="left" wrapText="1" indent="3"/>
    </xf>
    <xf numFmtId="0" fontId="19" fillId="0" borderId="0" xfId="19" applyFont="1" applyAlignment="1">
      <alignment horizontal="left" wrapText="1" indent="1"/>
    </xf>
    <xf numFmtId="0" fontId="138" fillId="0" borderId="0" xfId="19" applyFont="1" applyAlignment="1">
      <alignment wrapText="1"/>
    </xf>
    <xf numFmtId="0" fontId="0" fillId="28" borderId="90" xfId="0" applyFill="1" applyBorder="1" applyAlignment="1">
      <alignment vertical="top"/>
    </xf>
    <xf numFmtId="0" fontId="135" fillId="28" borderId="0" xfId="0" applyFont="1" applyFill="1" applyAlignment="1">
      <alignment vertical="top"/>
    </xf>
    <xf numFmtId="0" fontId="135" fillId="28" borderId="86" xfId="0" applyFont="1" applyFill="1" applyBorder="1" applyAlignment="1">
      <alignment vertical="top"/>
    </xf>
    <xf numFmtId="0" fontId="135" fillId="28" borderId="87" xfId="0" applyFont="1" applyFill="1" applyBorder="1" applyAlignment="1">
      <alignment vertical="top"/>
    </xf>
    <xf numFmtId="0" fontId="135" fillId="28" borderId="88" xfId="0" applyFont="1" applyFill="1" applyBorder="1" applyAlignment="1">
      <alignment vertical="top"/>
    </xf>
    <xf numFmtId="0" fontId="136" fillId="28" borderId="0" xfId="0" applyFont="1" applyFill="1" applyAlignment="1">
      <alignment vertical="top"/>
    </xf>
    <xf numFmtId="0" fontId="0" fillId="28" borderId="0" xfId="0" applyFill="1" applyAlignment="1">
      <alignment vertical="top"/>
    </xf>
    <xf numFmtId="0" fontId="0" fillId="28" borderId="89" xfId="0" applyFill="1" applyBorder="1" applyAlignment="1">
      <alignment vertical="top"/>
    </xf>
    <xf numFmtId="0" fontId="11" fillId="0" borderId="5" xfId="3" applyFont="1" applyFill="1" applyBorder="1" applyAlignment="1">
      <alignment horizontal="center" wrapText="1"/>
    </xf>
    <xf numFmtId="0" fontId="1" fillId="0" borderId="0" xfId="3" applyFont="1" applyFill="1" applyAlignment="1">
      <alignment wrapText="1"/>
    </xf>
  </cellXfs>
  <cellStyles count="109">
    <cellStyle name="_x000a_386grabber=M" xfId="1"/>
    <cellStyle name="%" xfId="2"/>
    <cellStyle name="%_Drivers" xfId="50"/>
    <cellStyle name="******************************************" xfId="3"/>
    <cellStyle name="****************************************** 2" xfId="4"/>
    <cellStyle name="****************************************** 3" xfId="105"/>
    <cellStyle name="_RRS1" xfId="51"/>
    <cellStyle name="_RRS1_Drivers" xfId="52"/>
    <cellStyle name="_RRS15" xfId="53"/>
    <cellStyle name="_RRS15_Drivers" xfId="54"/>
    <cellStyle name="_RRS7" xfId="55"/>
    <cellStyle name="_RRS7_Drivers" xfId="56"/>
    <cellStyle name="_SUMMARY " xfId="5"/>
    <cellStyle name="_SUMMARY _Drivers" xfId="57"/>
    <cellStyle name="=C:\WINNT35\SYSTEM32\COMMAND.COM" xfId="6"/>
    <cellStyle name="0_Capex &amp; Depreciation " xfId="7"/>
    <cellStyle name="0_Pension_UTX Example_Acute Care " xfId="8"/>
    <cellStyle name="0_TPP.N Ver 15_Acute Care " xfId="9"/>
    <cellStyle name="0_Valuing BP " xfId="10"/>
    <cellStyle name="20% - Accent1 2" xfId="58"/>
    <cellStyle name="20% - Accent2 2" xfId="59"/>
    <cellStyle name="20% - Accent3 2" xfId="60"/>
    <cellStyle name="20% - Accent4 2" xfId="61"/>
    <cellStyle name="20% - Accent5 2" xfId="62"/>
    <cellStyle name="20% - Accent6 2" xfId="63"/>
    <cellStyle name="40% - Accent1 2" xfId="64"/>
    <cellStyle name="40% - Accent2 2" xfId="65"/>
    <cellStyle name="40% - Accent3 2" xfId="66"/>
    <cellStyle name="40% - Accent4 2" xfId="67"/>
    <cellStyle name="40% - Accent5 2" xfId="68"/>
    <cellStyle name="40% - Accent6 2" xfId="69"/>
    <cellStyle name="60% - Accent1 2" xfId="70"/>
    <cellStyle name="60% - Accent2 2" xfId="71"/>
    <cellStyle name="60% - Accent3 2" xfId="72"/>
    <cellStyle name="60% - Accent4 2" xfId="73"/>
    <cellStyle name="60% - Accent5 2" xfId="74"/>
    <cellStyle name="60% - Accent6 2" xfId="75"/>
    <cellStyle name="Accent1 2" xfId="76"/>
    <cellStyle name="Accent2 2" xfId="77"/>
    <cellStyle name="Accent3 2" xfId="78"/>
    <cellStyle name="Accent4 2" xfId="79"/>
    <cellStyle name="Accent5 2" xfId="80"/>
    <cellStyle name="Accent6 2" xfId="81"/>
    <cellStyle name="Bad 2" xfId="82"/>
    <cellStyle name="c_HardInc " xfId="11"/>
    <cellStyle name="Calculation 2" xfId="83"/>
    <cellStyle name="Check Cell 2" xfId="84"/>
    <cellStyle name="Comma" xfId="12" builtinId="3"/>
    <cellStyle name="Comma 2" xfId="13"/>
    <cellStyle name="Comma 2 2" xfId="107"/>
    <cellStyle name="Currency" xfId="14" builtinId="4"/>
    <cellStyle name="Currency 2" xfId="15"/>
    <cellStyle name="Currency 3" xfId="16"/>
    <cellStyle name="Currency 3 2" xfId="85"/>
    <cellStyle name="Currency 4" xfId="17"/>
    <cellStyle name="Currency 4 2" xfId="86"/>
    <cellStyle name="Currency 5" xfId="87"/>
    <cellStyle name="Explanatory Text 2" xfId="88"/>
    <cellStyle name="Good 2" xfId="89"/>
    <cellStyle name="Heading 1 2" xfId="90"/>
    <cellStyle name="Heading 2 2" xfId="91"/>
    <cellStyle name="Heading 3 2" xfId="92"/>
    <cellStyle name="Heading 4 2" xfId="93"/>
    <cellStyle name="Hyperlink" xfId="18" builtinId="8"/>
    <cellStyle name="Input 2" xfId="94"/>
    <cellStyle name="Linked Cell 2" xfId="95"/>
    <cellStyle name="Neutral 2" xfId="96"/>
    <cellStyle name="Normal" xfId="0" builtinId="0"/>
    <cellStyle name="Normal 2" xfId="19"/>
    <cellStyle name="Normal 3" xfId="20"/>
    <cellStyle name="Normal 4" xfId="104"/>
    <cellStyle name="Normal_AET" xfId="21"/>
    <cellStyle name="Normal_AGNwk-old" xfId="22"/>
    <cellStyle name="Normal_Copy of WLP Model 2008 " xfId="23"/>
    <cellStyle name="Normal_DisclaimerSheet Samples" xfId="108"/>
    <cellStyle name="Normal_MCK" xfId="24"/>
    <cellStyle name="Note 2" xfId="97"/>
    <cellStyle name="Output 2" xfId="98"/>
    <cellStyle name="p " xfId="25"/>
    <cellStyle name="Percent" xfId="26" builtinId="5"/>
    <cellStyle name="Percent 2" xfId="27"/>
    <cellStyle name="Percent 2 2" xfId="99"/>
    <cellStyle name="Percent 2 3" xfId="106"/>
    <cellStyle name="RRSInstruction" xfId="28"/>
    <cellStyle name="RRSInstruction 2" xfId="29"/>
    <cellStyle name="s_HardInc " xfId="30"/>
    <cellStyle name="s_Valuation " xfId="31"/>
    <cellStyle name="ssp " xfId="32"/>
    <cellStyle name="Style 1" xfId="33"/>
    <cellStyle name="Style 1 2" xfId="100"/>
    <cellStyle name="Style 10" xfId="34"/>
    <cellStyle name="Style 11" xfId="35"/>
    <cellStyle name="Style 11 2" xfId="36"/>
    <cellStyle name="Style 12" xfId="37"/>
    <cellStyle name="Style 12 2" xfId="38"/>
    <cellStyle name="Style 13" xfId="39"/>
    <cellStyle name="Style 2" xfId="40"/>
    <cellStyle name="Style 3" xfId="41"/>
    <cellStyle name="Style 4" xfId="42"/>
    <cellStyle name="Style 5" xfId="43"/>
    <cellStyle name="Style 5 2" xfId="44"/>
    <cellStyle name="Style 6" xfId="45"/>
    <cellStyle name="Style 6 2" xfId="46"/>
    <cellStyle name="Style 7" xfId="47"/>
    <cellStyle name="Style 8" xfId="48"/>
    <cellStyle name="Style 9" xfId="49"/>
    <cellStyle name="Title 2" xfId="101"/>
    <cellStyle name="Total 2" xfId="102"/>
    <cellStyle name="Warning Text 2" xfId="10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2270AB"/>
      <color rgb="FFFFFFFF"/>
      <color rgb="FF0000FF"/>
      <color rgb="FF008000"/>
      <color rgb="FFCBCBCB"/>
      <color rgb="FFA3A3A3"/>
      <color rgb="FF003366"/>
      <color rgb="FF19B52C"/>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$1.56</v>
        <stp/>
        <stp>292dd357-0144-4c00-b2e2-fe2d0173e69b</stp>
        <tr r="I9" s="27"/>
      </tp>
      <tp t="s">
        <v>$13.74</v>
        <stp/>
        <stp>c906e58e-77e6-4dc9-be50-766e1672a7f6</stp>
        <tr r="I8" s="27"/>
      </tp>
      <tp t="s">
        <v>-$1.28</v>
        <stp/>
        <stp>7caa4540-1241-430a-a39b-6acb5c1028f7</stp>
        <tr r="I10" s="27"/>
      </tp>
      <tp t="s">
        <v>$506</v>
        <stp/>
        <stp>b261e2f5-b448-404d-a130-53c0641dac95</stp>
        <tr r="I13" s="27"/>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externalLinks/externalLink1.xml" Type="http://schemas.openxmlformats.org/officeDocument/2006/relationships/externalLink"/>
<Relationship Id="rId15" Target="externalLinks/externalLink2.xml" Type="http://schemas.openxmlformats.org/officeDocument/2006/relationships/externalLink"/>
<Relationship Id="rId16" Target="externalLinks/externalLink3.xml" Type="http://schemas.openxmlformats.org/officeDocument/2006/relationships/externalLink"/>
<Relationship Id="rId17" Target="externalLinks/externalLink4.xml" Type="http://schemas.openxmlformats.org/officeDocument/2006/relationships/externalLink"/>
<Relationship Id="rId18" Target="externalLinks/externalLink5.xml" Type="http://schemas.openxmlformats.org/officeDocument/2006/relationships/externalLink"/>
<Relationship Id="rId19" Target="externalLinks/externalLink6.xml" Type="http://schemas.openxmlformats.org/officeDocument/2006/relationships/externalLink"/>
<Relationship Id="rId2" Target="worksheets/sheet2.xml" Type="http://schemas.openxmlformats.org/officeDocument/2006/relationships/worksheet"/>
<Relationship Id="rId20" Target="externalLinks/externalLink7.xml" Type="http://schemas.openxmlformats.org/officeDocument/2006/relationships/externalLink"/>
<Relationship Id="rId21" Target="externalLinks/externalLink8.xml" Type="http://schemas.openxmlformats.org/officeDocument/2006/relationships/externalLink"/>
<Relationship Id="rId22" Target="externalLinks/externalLink9.xml" Type="http://schemas.openxmlformats.org/officeDocument/2006/relationships/externalLink"/>
<Relationship Id="rId23" Target="externalLinks/externalLink10.xml" Type="http://schemas.openxmlformats.org/officeDocument/2006/relationships/externalLink"/>
<Relationship Id="rId24" Target="externalLinks/externalLink11.xml" Type="http://schemas.openxmlformats.org/officeDocument/2006/relationships/externalLink"/>
<Relationship Id="rId25" Target="theme/theme1.xml" Type="http://schemas.openxmlformats.org/officeDocument/2006/relationships/theme"/>
<Relationship Id="rId26" Target="styles.xml" Type="http://schemas.openxmlformats.org/officeDocument/2006/relationships/styles"/>
<Relationship Id="rId27" Target="sharedStrings.xml" Type="http://schemas.openxmlformats.org/officeDocument/2006/relationships/sharedStrings"/>
<Relationship Id="rId28" Target="calcChain.xml" Type="http://schemas.openxmlformats.org/officeDocument/2006/relationships/calcChain"/>
<Relationship Id="rId29" Target="../customXml/item1.xml" Type="http://schemas.openxmlformats.org/officeDocument/2006/relationships/customXml"/>
<Relationship Id="rId3" Target="worksheets/sheet3.xml" Type="http://schemas.openxmlformats.org/officeDocument/2006/relationships/worksheet"/>
<Relationship Id="rId30" Target="../customXml/item2.xml" Type="http://schemas.openxmlformats.org/officeDocument/2006/relationships/customXml"/>
<Relationship Id="rId31" Target="volatileDependencies.xml" Type="http://schemas.openxmlformats.org/officeDocument/2006/relationships/volatileDependencies"/>
<Relationship Id="rId32"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181</xdr:row>
      <xdr:rowOff>0</xdr:rowOff>
    </xdr:from>
    <xdr:to>
      <xdr:col>7</xdr:col>
      <xdr:colOff>390525</xdr:colOff>
      <xdr:row>204</xdr:row>
      <xdr:rowOff>104775</xdr:rowOff>
    </xdr:to>
    <xdr:pic>
      <xdr:nvPicPr>
        <xdr:cNvPr id="2741249" name="Picture 1" descr="C:\Users\mutoko\AppData\Local\Temp\MercuryPriceRatingHistoryChart\CYH.N_2018_04_17_18_46_0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1495425</xdr:colOff>
      <xdr:row>0</xdr:row>
      <xdr:rowOff>19050</xdr:rowOff>
    </xdr:from>
    <xdr:to>
      <xdr:col>5</xdr:col>
      <xdr:colOff>1133475</xdr:colOff>
      <xdr:row>0</xdr:row>
      <xdr:rowOff>619125</xdr:rowOff>
    </xdr:to>
    <xdr:pic>
      <xdr:nvPicPr>
        <xdr:cNvPr id="354285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62425" y="19050"/>
          <a:ext cx="1905000" cy="600075"/>
        </a:xfrm>
        <a:prstGeom prst="rect">
          <a:avLst/>
        </a:prstGeom>
        <a:solidFill>
          <a:srgbClr val="4091B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HEALTH/Schenker/MCOs/Models/CI.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Goldwasser/Models/Clients/CTRX.O.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Schenker/Models/CYH%20V2.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HEALTH/Lieberman/CYH/CYH.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HEALTH/Schenker/Models/THC%20V2.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HEALTH/Schenker/Models/HMA%20V2.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file://///MSAD/ROOT/NA/NY/LIB/ER/HEALTH/DVeal/KTD/XRAY/XRAY%20initiation%20charts.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file://///MSAD/ROOT/NA/NY/LIB/ER/HEALTH/Goldwasser/Companies/PBMs/Comps.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Documents%20and%20Settings/rickgold/Local%20Settings/Temporary%20Internet%20Files/OLKF6/PHCC%20Model%207.14.05.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HEALTH/MCOs-Facilities/Models/Rlink%20Models/HCA.xlsm"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S"/>
      <sheetName val="IS - Adj Basis"/>
      <sheetName val="BS"/>
      <sheetName val="CF"/>
      <sheetName val="Scenarios"/>
      <sheetName val="Global Health"/>
      <sheetName val="Global Supp"/>
      <sheetName val="Grp Dis&amp;Life"/>
      <sheetName val="Other &amp; Runoff"/>
      <sheetName val="Debt"/>
      <sheetName val="Outlook"/>
      <sheetName val="One Pager"/>
      <sheetName val="Variance"/>
      <sheetName val="Crosswalk"/>
      <sheetName val="VADB"/>
      <sheetName val="One Pager - old"/>
      <sheetName val="DCF"/>
      <sheetName val="Corp"/>
      <sheetName val="Health Care"/>
      <sheetName val="Intl"/>
      <sheetName val="Dis&amp;Life"/>
      <sheetName val="MW-Cache"/>
      <sheetName val="mwareDates"/>
      <sheetName val="mwareSettings"/>
      <sheetName val="MWA RR"/>
      <sheetName val="Sheet1"/>
      <sheetName val="Sheet2"/>
      <sheetName val="mwareDates_41597_5077591"/>
      <sheetName val="#REF"/>
      <sheetName val="Q comps"/>
    </sheetNames>
    <sheetDataSet>
      <sheetData sheetId="0">
        <row r="1">
          <cell r="B1" t="str">
            <v>This sheet contains Factset binary data for use with this workbook's =FDS codes.  Modifying the worksheet's contents may damage the workbook's =FDS functionality.</v>
          </cell>
        </row>
      </sheetData>
      <sheetData sheetId="1">
        <row r="3">
          <cell r="D3" t="str">
            <v>CIGNA</v>
          </cell>
        </row>
      </sheetData>
      <sheetData sheetId="2">
        <row r="1">
          <cell r="CG1" t="str">
            <v>ElementName</v>
          </cell>
        </row>
        <row r="25">
          <cell r="A25" t="str">
            <v>Adjusted Income from continuing operations</v>
          </cell>
          <cell r="B25" t="str">
            <v>_realizedgains</v>
          </cell>
          <cell r="C25">
            <v>285.70999999999998</v>
          </cell>
          <cell r="D25">
            <v>286.48</v>
          </cell>
          <cell r="E25">
            <v>216.84</v>
          </cell>
          <cell r="F25">
            <v>188.54</v>
          </cell>
          <cell r="G25">
            <v>977.56999999999994</v>
          </cell>
          <cell r="H25">
            <v>215.71</v>
          </cell>
          <cell r="I25">
            <v>167.18</v>
          </cell>
          <cell r="J25">
            <v>215.9</v>
          </cell>
          <cell r="K25">
            <v>243.03</v>
          </cell>
          <cell r="L25">
            <v>841.82</v>
          </cell>
          <cell r="M25">
            <v>263.54000000000002</v>
          </cell>
          <cell r="N25">
            <v>243.66999999999976</v>
          </cell>
          <cell r="O25">
            <v>240.36999999999989</v>
          </cell>
          <cell r="P25">
            <v>332.52</v>
          </cell>
          <cell r="Q25">
            <v>1080.0999999999999</v>
          </cell>
          <cell r="R25">
            <v>307.54000000000002</v>
          </cell>
          <cell r="S25">
            <v>268.5</v>
          </cell>
          <cell r="T25">
            <v>260.86</v>
          </cell>
          <cell r="U25">
            <v>257.67</v>
          </cell>
          <cell r="V25">
            <v>1094.57</v>
          </cell>
          <cell r="W25">
            <v>267.18</v>
          </cell>
          <cell r="X25">
            <v>279.01</v>
          </cell>
          <cell r="Y25">
            <v>276.16000000000003</v>
          </cell>
          <cell r="Z25">
            <v>252.01</v>
          </cell>
          <cell r="AA25">
            <v>1074.3599999999999</v>
          </cell>
          <cell r="AB25">
            <v>273.18</v>
          </cell>
          <cell r="AC25">
            <v>286.48</v>
          </cell>
          <cell r="AD25">
            <v>353.33</v>
          </cell>
          <cell r="AE25">
            <v>284.99</v>
          </cell>
          <cell r="AF25">
            <v>1197.98</v>
          </cell>
          <cell r="AG25">
            <v>274.01</v>
          </cell>
          <cell r="AH25">
            <v>313.88</v>
          </cell>
          <cell r="AI25">
            <v>256.88</v>
          </cell>
          <cell r="AJ25">
            <v>106.71</v>
          </cell>
          <cell r="AK25">
            <v>951.48</v>
          </cell>
          <cell r="AL25">
            <v>199.73</v>
          </cell>
          <cell r="AM25">
            <v>325.92</v>
          </cell>
          <cell r="AN25">
            <v>321.54000000000002</v>
          </cell>
          <cell r="AO25">
            <v>295.37</v>
          </cell>
          <cell r="AP25">
            <v>1142.56</v>
          </cell>
          <cell r="AQ25">
            <v>291.37</v>
          </cell>
          <cell r="AR25">
            <v>395.39</v>
          </cell>
          <cell r="AS25">
            <v>345.9199999999999</v>
          </cell>
          <cell r="AT25">
            <v>327.96</v>
          </cell>
          <cell r="AU25">
            <v>1360.6399999999983</v>
          </cell>
          <cell r="AV25">
            <v>373.11</v>
          </cell>
          <cell r="AW25">
            <v>415.11</v>
          </cell>
          <cell r="AX25">
            <v>367.62000000000012</v>
          </cell>
          <cell r="AY25">
            <v>308.81</v>
          </cell>
          <cell r="AZ25">
            <v>1464.650000000001</v>
          </cell>
          <cell r="BA25">
            <v>380.42</v>
          </cell>
          <cell r="BB25">
            <v>458.48</v>
          </cell>
          <cell r="BC25">
            <v>519.12</v>
          </cell>
          <cell r="BD25">
            <v>478.18</v>
          </cell>
          <cell r="BE25">
            <v>1836.2</v>
          </cell>
          <cell r="BF25">
            <v>522.5</v>
          </cell>
          <cell r="BG25">
            <v>537.33000000000004</v>
          </cell>
          <cell r="BH25">
            <v>560.82000000000005</v>
          </cell>
          <cell r="BI25">
            <v>412.84</v>
          </cell>
          <cell r="BJ25">
            <v>2033.49</v>
          </cell>
          <cell r="BK25">
            <v>526.125</v>
          </cell>
          <cell r="BL25">
            <v>553.63</v>
          </cell>
          <cell r="BM25">
            <v>543.82000000000005</v>
          </cell>
          <cell r="BN25">
            <v>472.01</v>
          </cell>
          <cell r="BO25">
            <v>2095.585</v>
          </cell>
          <cell r="BP25">
            <v>513</v>
          </cell>
          <cell r="BQ25">
            <v>664</v>
          </cell>
          <cell r="BR25">
            <v>593</v>
          </cell>
          <cell r="BS25">
            <v>487</v>
          </cell>
          <cell r="BT25">
            <v>2257</v>
          </cell>
          <cell r="BU25">
            <v>601</v>
          </cell>
          <cell r="BV25">
            <v>620.16230495497325</v>
          </cell>
          <cell r="BW25">
            <v>637.48545776350636</v>
          </cell>
          <cell r="BX25">
            <v>542.46645446678792</v>
          </cell>
          <cell r="BY25">
            <v>2401.1142171852694</v>
          </cell>
          <cell r="BZ25">
            <v>648.32627822113056</v>
          </cell>
          <cell r="CA25">
            <v>704.23908884644368</v>
          </cell>
          <cell r="CB25">
            <v>698.62437637996925</v>
          </cell>
          <cell r="CC25">
            <v>567.7002783790814</v>
          </cell>
          <cell r="CD25">
            <v>2618.8900218266231</v>
          </cell>
          <cell r="CE25">
            <v>711.08105615616432</v>
          </cell>
          <cell r="CF25">
            <v>766.35353753794971</v>
          </cell>
          <cell r="CG25">
            <v>761.01842556896088</v>
          </cell>
          <cell r="CH25">
            <v>610.12788117746516</v>
          </cell>
          <cell r="CI25">
            <v>2848.5809004405419</v>
          </cell>
        </row>
        <row r="29">
          <cell r="A29" t="str">
            <v>YOY EPS growth</v>
          </cell>
          <cell r="B29" t="str">
            <v>_opepsg</v>
          </cell>
          <cell r="C29">
            <v>9.3147988685651217E-2</v>
          </cell>
          <cell r="D29">
            <v>0.12844752872880583</v>
          </cell>
          <cell r="E29">
            <v>-0.10528513237584125</v>
          </cell>
          <cell r="F29">
            <v>-0.33764893902931059</v>
          </cell>
          <cell r="G29">
            <v>-5.8158199470290994E-2</v>
          </cell>
          <cell r="H29">
            <v>-0.23738073293263928</v>
          </cell>
          <cell r="I29">
            <v>-0.4202245340739057</v>
          </cell>
          <cell r="J29">
            <v>-2.4625209357314159E-2</v>
          </cell>
          <cell r="K29">
            <v>0.30213094985189337</v>
          </cell>
          <cell r="L29">
            <v>-0.14413022536794373</v>
          </cell>
          <cell r="M29">
            <v>0.22491965124448732</v>
          </cell>
          <cell r="N29">
            <v>0.479222377842631</v>
          </cell>
          <cell r="O29">
            <v>0.16103286890869128</v>
          </cell>
          <cell r="P29">
            <v>0.4594904947058267</v>
          </cell>
          <cell r="Q29">
            <v>0.32693827782773943</v>
          </cell>
          <cell r="R29">
            <v>0.24811068766055477</v>
          </cell>
          <cell r="S29">
            <v>0.18350784398912734</v>
          </cell>
          <cell r="T29">
            <v>0.14846017496175512</v>
          </cell>
          <cell r="U29">
            <v>-0.17741263894945991</v>
          </cell>
          <cell r="V29">
            <v>7.8366578830001421E-2</v>
          </cell>
          <cell r="W29">
            <v>-5.8897151050636753E-2</v>
          </cell>
          <cell r="X29">
            <v>0.1660121495560638</v>
          </cell>
          <cell r="Y29">
            <v>0.27931178229752041</v>
          </cell>
          <cell r="Z29">
            <v>0.20250670986201946</v>
          </cell>
          <cell r="AA29">
            <v>0.13532668784944235</v>
          </cell>
          <cell r="AB29">
            <v>0.26905308081150503</v>
          </cell>
          <cell r="AC29">
            <v>0.25045017086147991</v>
          </cell>
          <cell r="AD29">
            <v>0.46943039214009352</v>
          </cell>
          <cell r="AE29">
            <v>0.23273362567318467</v>
          </cell>
          <cell r="AF29">
            <v>0.31138500516401568</v>
          </cell>
          <cell r="AG29">
            <v>5.3089251037409912E-2</v>
          </cell>
          <cell r="AH29">
            <v>0.12506098700656976</v>
          </cell>
          <cell r="AI29">
            <v>-0.26215433280086042</v>
          </cell>
          <cell r="AJ29">
            <v>-0.63730023261910995</v>
          </cell>
          <cell r="AK29">
            <v>-0.1863472667731414</v>
          </cell>
          <cell r="AL29">
            <v>-0.26558084204651022</v>
          </cell>
          <cell r="AM29">
            <v>5.1342014825357829E-2</v>
          </cell>
          <cell r="AN29">
            <v>0.258596236779012</v>
          </cell>
          <cell r="AO29">
            <v>1.8913475371651711</v>
          </cell>
          <cell r="AP29">
            <v>0.21182061872365732</v>
          </cell>
          <cell r="AQ29">
            <v>0.46656085749041742</v>
          </cell>
          <cell r="AR29">
            <v>0.21586989699220771</v>
          </cell>
          <cell r="AS29">
            <v>8.3650901250205356E-2</v>
          </cell>
          <cell r="AT29">
            <v>0.11695667107937879</v>
          </cell>
          <cell r="AU29">
            <v>0.19535422962546334</v>
          </cell>
          <cell r="AV29">
            <v>0.29729844779731596</v>
          </cell>
          <cell r="AW29">
            <v>6.266110078355025E-2</v>
          </cell>
          <cell r="AX29">
            <v>6.3099267760005073E-2</v>
          </cell>
          <cell r="AY29">
            <v>-8.2711302721998003E-2</v>
          </cell>
          <cell r="AZ29">
            <v>7.6547357444820552E-2</v>
          </cell>
          <cell r="BA29">
            <v>-5.2339281450800912E-2</v>
          </cell>
          <cell r="BB29">
            <v>1.5936704202796692E-2</v>
          </cell>
          <cell r="BC29">
            <v>0.31874523428213997</v>
          </cell>
          <cell r="BD29">
            <v>0.48698500319711013</v>
          </cell>
          <cell r="BE29">
            <v>0.17291065831467933</v>
          </cell>
          <cell r="BF29">
            <v>0.38316152916931201</v>
          </cell>
          <cell r="BG29">
            <v>0.19394580168995756</v>
          </cell>
          <cell r="BH29">
            <v>0.10469989430578841</v>
          </cell>
          <cell r="BI29">
            <v>-0.11388023721483842</v>
          </cell>
          <cell r="BJ29">
            <v>0.12846710459433908</v>
          </cell>
          <cell r="BK29">
            <v>6.2371914267139505E-2</v>
          </cell>
          <cell r="BL29">
            <v>0.10098461100655376</v>
          </cell>
          <cell r="BM29">
            <v>-6.0063378959642977E-2</v>
          </cell>
          <cell r="BN29">
            <v>0.28841655420749435</v>
          </cell>
          <cell r="BO29">
            <v>8.388302473280973E-2</v>
          </cell>
          <cell r="BP29">
            <v>0.1691354574007562</v>
          </cell>
          <cell r="BQ29">
            <v>5.172492390858352E-2</v>
          </cell>
          <cell r="BR29">
            <v>0.10033754479713175</v>
          </cell>
          <cell r="BS29">
            <v>7.7072691277556338E-2</v>
          </cell>
          <cell r="BT29">
            <v>9.6006989258942799E-2</v>
          </cell>
          <cell r="BU29">
            <v>0.14602250701594977</v>
          </cell>
          <cell r="BV29">
            <v>0.10593537675348852</v>
          </cell>
          <cell r="BW29">
            <v>0.14890872522962972</v>
          </cell>
          <cell r="BX29">
            <v>0.14344681014035832</v>
          </cell>
          <cell r="BY29">
            <v>0.13571067951564086</v>
          </cell>
        </row>
        <row r="45">
          <cell r="A45" t="str">
            <v>($ millions, enrollment 000s)</v>
          </cell>
          <cell r="B45" t="str">
            <v>_aggmlr</v>
          </cell>
          <cell r="C45" t="str">
            <v>Q1A</v>
          </cell>
          <cell r="D45" t="str">
            <v>Q2A</v>
          </cell>
          <cell r="E45" t="str">
            <v>Q3A</v>
          </cell>
          <cell r="F45" t="str">
            <v>Q4A</v>
          </cell>
          <cell r="G45" t="str">
            <v>2002A</v>
          </cell>
          <cell r="H45" t="str">
            <v>Q1A</v>
          </cell>
          <cell r="I45" t="str">
            <v>Q2A</v>
          </cell>
          <cell r="J45" t="str">
            <v>Q3A</v>
          </cell>
          <cell r="K45" t="str">
            <v>Q4A</v>
          </cell>
          <cell r="L45" t="str">
            <v>2003A</v>
          </cell>
          <cell r="M45" t="str">
            <v>Q1A</v>
          </cell>
          <cell r="N45" t="str">
            <v>Q2A</v>
          </cell>
          <cell r="O45" t="str">
            <v>Q3A</v>
          </cell>
          <cell r="P45" t="str">
            <v>Q4A</v>
          </cell>
          <cell r="Q45" t="str">
            <v>2004A</v>
          </cell>
          <cell r="R45" t="str">
            <v>Q1A</v>
          </cell>
          <cell r="S45" t="str">
            <v>Q2A</v>
          </cell>
          <cell r="T45" t="str">
            <v>Q3A</v>
          </cell>
          <cell r="U45" t="str">
            <v>Q4A</v>
          </cell>
          <cell r="V45" t="str">
            <v>2005A</v>
          </cell>
          <cell r="W45" t="str">
            <v>Q1A</v>
          </cell>
          <cell r="X45" t="str">
            <v>Q2A</v>
          </cell>
          <cell r="Y45" t="str">
            <v>Q3A</v>
          </cell>
          <cell r="Z45" t="str">
            <v>Q4A</v>
          </cell>
          <cell r="AA45" t="str">
            <v>2006A</v>
          </cell>
          <cell r="AB45" t="str">
            <v>Q1A</v>
          </cell>
          <cell r="AC45" t="str">
            <v>Q2A</v>
          </cell>
          <cell r="AD45" t="str">
            <v>Q3A</v>
          </cell>
          <cell r="AE45" t="str">
            <v>Q4A</v>
          </cell>
          <cell r="AF45" t="str">
            <v>2007A</v>
          </cell>
          <cell r="AG45" t="str">
            <v>Q1A</v>
          </cell>
          <cell r="AH45" t="str">
            <v>Q2A</v>
          </cell>
          <cell r="AI45" t="str">
            <v>Q3A</v>
          </cell>
          <cell r="AJ45" t="str">
            <v>Q4A</v>
          </cell>
          <cell r="AK45" t="str">
            <v>2008A</v>
          </cell>
          <cell r="AL45" t="str">
            <v>Q1A</v>
          </cell>
          <cell r="AM45" t="str">
            <v>Q2A</v>
          </cell>
          <cell r="AN45" t="str">
            <v>Q3A</v>
          </cell>
          <cell r="AO45" t="str">
            <v>Q4A</v>
          </cell>
          <cell r="AP45" t="str">
            <v>2009A</v>
          </cell>
          <cell r="AQ45" t="str">
            <v>Q1A</v>
          </cell>
          <cell r="AR45" t="str">
            <v>Q2A</v>
          </cell>
          <cell r="AS45" t="str">
            <v>Q3A</v>
          </cell>
          <cell r="AT45" t="str">
            <v>Q4A</v>
          </cell>
          <cell r="AU45" t="str">
            <v>2010A</v>
          </cell>
          <cell r="AV45" t="str">
            <v>Q1A</v>
          </cell>
          <cell r="AW45" t="str">
            <v>Q2A</v>
          </cell>
          <cell r="AX45" t="str">
            <v>Q3A</v>
          </cell>
          <cell r="AY45" t="str">
            <v>Q4A</v>
          </cell>
          <cell r="AZ45" t="str">
            <v>2011A</v>
          </cell>
          <cell r="BA45" t="str">
            <v>Q1A</v>
          </cell>
          <cell r="BB45" t="str">
            <v>Q2A</v>
          </cell>
          <cell r="BC45" t="str">
            <v>Q3A</v>
          </cell>
          <cell r="BD45" t="str">
            <v>Q4A</v>
          </cell>
          <cell r="BE45" t="str">
            <v>2012A</v>
          </cell>
          <cell r="BF45" t="str">
            <v>Q1A</v>
          </cell>
          <cell r="BG45" t="str">
            <v>Q2A</v>
          </cell>
          <cell r="BH45" t="str">
            <v>Q3A</v>
          </cell>
          <cell r="BI45" t="str">
            <v>Q4A</v>
          </cell>
          <cell r="BJ45" t="str">
            <v>2013A</v>
          </cell>
          <cell r="BK45" t="str">
            <v>Q1A</v>
          </cell>
          <cell r="BL45" t="str">
            <v>Q2A</v>
          </cell>
          <cell r="BM45" t="str">
            <v>Q3A</v>
          </cell>
          <cell r="BN45" t="str">
            <v>Q4A</v>
          </cell>
          <cell r="BO45" t="str">
            <v>2014E</v>
          </cell>
          <cell r="BP45" t="str">
            <v>Q1A</v>
          </cell>
          <cell r="BQ45" t="str">
            <v>Q2A</v>
          </cell>
          <cell r="BR45" t="str">
            <v>Q3A</v>
          </cell>
          <cell r="BS45" t="str">
            <v>Q4E</v>
          </cell>
          <cell r="BT45" t="str">
            <v>2015E</v>
          </cell>
          <cell r="BU45" t="str">
            <v>Q1E</v>
          </cell>
          <cell r="BV45" t="str">
            <v>Q2E</v>
          </cell>
          <cell r="BW45" t="str">
            <v>Q3E</v>
          </cell>
          <cell r="BX45" t="str">
            <v>Q4E</v>
          </cell>
          <cell r="BY45" t="str">
            <v>2016E</v>
          </cell>
          <cell r="BZ45" t="str">
            <v>Q1E</v>
          </cell>
          <cell r="CA45" t="str">
            <v>Q2E</v>
          </cell>
          <cell r="CB45" t="str">
            <v>Q3E</v>
          </cell>
          <cell r="CC45" t="str">
            <v>Q4E</v>
          </cell>
          <cell r="CD45" t="str">
            <v>2017E</v>
          </cell>
          <cell r="CE45" t="str">
            <v>Q1E</v>
          </cell>
          <cell r="CF45" t="str">
            <v>Q2E</v>
          </cell>
          <cell r="CG45" t="str">
            <v>Q3E</v>
          </cell>
          <cell r="CH45" t="str">
            <v>Q4E</v>
          </cell>
          <cell r="CI45" t="str">
            <v>2018E</v>
          </cell>
        </row>
        <row r="46">
          <cell r="A46" t="str">
            <v>Operating expense ratio (ex. health care inv income)</v>
          </cell>
          <cell r="B46" t="str">
            <v>_opratio</v>
          </cell>
          <cell r="C46">
            <v>0.26230882044835535</v>
          </cell>
          <cell r="D46">
            <v>0.25446791226645005</v>
          </cell>
          <cell r="E46">
            <v>0.2558230573497749</v>
          </cell>
          <cell r="F46">
            <v>0.29369565217391302</v>
          </cell>
          <cell r="G46">
            <v>0.26605173657631659</v>
          </cell>
          <cell r="H46">
            <v>0.25498663376516556</v>
          </cell>
          <cell r="I46">
            <v>0.2799370927881375</v>
          </cell>
          <cell r="J46">
            <v>0.26860215053763442</v>
          </cell>
          <cell r="K46">
            <v>0.2975920036347115</v>
          </cell>
          <cell r="L46">
            <v>0.27469236632908633</v>
          </cell>
          <cell r="M46">
            <v>0.25966731475480664</v>
          </cell>
          <cell r="N46">
            <v>0.29475128390529692</v>
          </cell>
          <cell r="O46">
            <v>0.27976265170392417</v>
          </cell>
          <cell r="P46">
            <v>0.29303845187232974</v>
          </cell>
          <cell r="Q46">
            <v>0.28105259358192253</v>
          </cell>
          <cell r="R46">
            <v>0.28248871048670349</v>
          </cell>
          <cell r="S46">
            <v>0.26949110052644776</v>
          </cell>
          <cell r="T46">
            <v>0.2792884371029225</v>
          </cell>
          <cell r="U46">
            <v>0.28626320845341019</v>
          </cell>
          <cell r="V46">
            <v>0.27945750902077887</v>
          </cell>
          <cell r="W46">
            <v>0.28597122302158273</v>
          </cell>
          <cell r="X46">
            <v>0.2817391304347826</v>
          </cell>
          <cell r="Y46">
            <v>0.28077592638647103</v>
          </cell>
          <cell r="Z46">
            <v>0.29772286821705424</v>
          </cell>
          <cell r="AA46">
            <v>0.28663015062865677</v>
          </cell>
          <cell r="AB46">
            <v>0.27611072342405213</v>
          </cell>
          <cell r="AC46">
            <v>0.27165898617511519</v>
          </cell>
          <cell r="AD46">
            <v>0.27450980392156865</v>
          </cell>
          <cell r="AE46">
            <v>0.28136281588447654</v>
          </cell>
          <cell r="AF46">
            <v>0.27593933126508102</v>
          </cell>
          <cell r="AG46">
            <v>0.28438331854480925</v>
          </cell>
          <cell r="AH46">
            <v>0.28743010975357219</v>
          </cell>
          <cell r="AI46">
            <v>0.2937149968886123</v>
          </cell>
          <cell r="AJ46">
            <v>0.28149806635456953</v>
          </cell>
          <cell r="AK46">
            <v>0.28677048922447695</v>
          </cell>
          <cell r="AL46">
            <v>0.28963350785340314</v>
          </cell>
          <cell r="AM46">
            <v>0.30538116591928249</v>
          </cell>
          <cell r="AN46">
            <v>0.29925859357447765</v>
          </cell>
          <cell r="AO46">
            <v>0.29760348583877994</v>
          </cell>
          <cell r="AP46">
            <v>0.29782228058656163</v>
          </cell>
          <cell r="AQ46">
            <v>0.2741904207872794</v>
          </cell>
          <cell r="AR46">
            <v>0.26675526865388266</v>
          </cell>
          <cell r="AS46">
            <v>0.2701022648848736</v>
          </cell>
          <cell r="AT46">
            <v>0.29441529235382308</v>
          </cell>
          <cell r="AU46">
            <v>0.27646425702312971</v>
          </cell>
          <cell r="AV46">
            <v>0.27708569271423178</v>
          </cell>
          <cell r="AW46">
            <v>0.27218825273299979</v>
          </cell>
          <cell r="AX46">
            <v>0.2569346864428832</v>
          </cell>
          <cell r="AY46">
            <v>0.29785247432306255</v>
          </cell>
          <cell r="AZ46">
            <v>0.27588539594110623</v>
          </cell>
          <cell r="BA46">
            <v>0.26157303370786517</v>
          </cell>
          <cell r="BB46">
            <v>0.2441276306856755</v>
          </cell>
          <cell r="BC46">
            <v>0.24461920529801323</v>
          </cell>
          <cell r="BD46">
            <v>0.25026567481402762</v>
          </cell>
          <cell r="BE46">
            <v>0.24989589117157135</v>
          </cell>
          <cell r="BF46">
            <v>0.23152214832475843</v>
          </cell>
          <cell r="BG46">
            <v>0.24301321138211382</v>
          </cell>
          <cell r="BH46">
            <v>0.24305293599899408</v>
          </cell>
          <cell r="BI46">
            <v>0.25236083499005962</v>
          </cell>
          <cell r="BJ46">
            <v>0.24250989259468628</v>
          </cell>
          <cell r="BK46">
            <v>0.24245316787972795</v>
          </cell>
          <cell r="BL46">
            <v>0.2381174277726002</v>
          </cell>
          <cell r="BM46">
            <v>0.26161548454043498</v>
          </cell>
          <cell r="BN46">
            <v>0.24834841227428273</v>
          </cell>
          <cell r="BO46">
            <v>0.24769495120658119</v>
          </cell>
          <cell r="BP46">
            <v>0.24188222590502478</v>
          </cell>
          <cell r="BQ46">
            <v>0.23467174451846964</v>
          </cell>
          <cell r="BR46">
            <v>0.25673007423516725</v>
          </cell>
          <cell r="BS46">
            <v>0.24885654557216935</v>
          </cell>
          <cell r="BT46">
            <v>0.24573633318110152</v>
          </cell>
          <cell r="BU46">
            <v>0.23538863946605351</v>
          </cell>
          <cell r="BV46">
            <v>0.23320335282893315</v>
          </cell>
          <cell r="BW46">
            <v>0.25239980081340835</v>
          </cell>
          <cell r="BX46">
            <v>0.24564469322479981</v>
          </cell>
          <cell r="BY46">
            <v>0.24181853036159681</v>
          </cell>
        </row>
        <row r="47">
          <cell r="A47" t="str">
            <v>Margins</v>
          </cell>
          <cell r="B47" t="str">
            <v>_pretaxmargin</v>
          </cell>
          <cell r="C47">
            <v>8.5249237029501532E-2</v>
          </cell>
          <cell r="D47">
            <v>8.3990536277602529E-2</v>
          </cell>
          <cell r="E47">
            <v>5.7802365509347579E-2</v>
          </cell>
          <cell r="F47">
            <v>5.5320945945945943E-2</v>
          </cell>
          <cell r="G47">
            <v>7.0623591284748308E-2</v>
          </cell>
          <cell r="H47">
            <v>6.2259176637598862E-2</v>
          </cell>
          <cell r="I47">
            <v>5.5248618784530384E-2</v>
          </cell>
          <cell r="J47">
            <v>6.2765055131467351E-2</v>
          </cell>
          <cell r="K47">
            <v>7.326334599061872E-2</v>
          </cell>
          <cell r="L47">
            <v>6.3327792374926264E-2</v>
          </cell>
          <cell r="M47">
            <v>8.1472027228249311E-2</v>
          </cell>
          <cell r="N47">
            <v>8.157347631031836E-2</v>
          </cell>
          <cell r="O47">
            <v>8.6362032462949864E-2</v>
          </cell>
          <cell r="P47">
            <v>0.12808489634748271</v>
          </cell>
          <cell r="Q47">
            <v>9.3625029404845933E-2</v>
          </cell>
          <cell r="R47">
            <v>0.10779477059694129</v>
          </cell>
          <cell r="S47">
            <v>9.4721262950172663E-2</v>
          </cell>
          <cell r="T47">
            <v>9.0931801149138153E-2</v>
          </cell>
          <cell r="U47">
            <v>8.2586125530910812E-2</v>
          </cell>
          <cell r="V47">
            <v>9.3889534528105695E-2</v>
          </cell>
          <cell r="W47">
            <v>9.6896290688872067E-2</v>
          </cell>
          <cell r="X47">
            <v>9.824046920821114E-2</v>
          </cell>
          <cell r="Y47">
            <v>9.7334311567620443E-2</v>
          </cell>
          <cell r="Z47">
            <v>8.4150131484580448E-2</v>
          </cell>
          <cell r="AA47">
            <v>9.4077295277760764E-2</v>
          </cell>
          <cell r="AB47">
            <v>9.0052837123822657E-2</v>
          </cell>
          <cell r="AC47">
            <v>9.676684881602915E-2</v>
          </cell>
          <cell r="AD47">
            <v>0.10829913360693115</v>
          </cell>
          <cell r="AE47">
            <v>9.1579182488273403E-2</v>
          </cell>
          <cell r="AF47">
            <v>9.6660608814175375E-2</v>
          </cell>
          <cell r="AG47">
            <v>7.947310647639956E-2</v>
          </cell>
          <cell r="AH47">
            <v>9.2175337976239252E-2</v>
          </cell>
          <cell r="AI47">
            <v>7.2410256410256404E-2</v>
          </cell>
          <cell r="AJ47">
            <v>2.8029844726759429E-2</v>
          </cell>
          <cell r="AK47">
            <v>6.7666441803746563E-2</v>
          </cell>
          <cell r="AL47">
            <v>5.9471823663963405E-2</v>
          </cell>
          <cell r="AM47">
            <v>0.10031069684864626</v>
          </cell>
          <cell r="AN47">
            <v>0.10304241616699977</v>
          </cell>
          <cell r="AO47">
            <v>9.5279154990299639E-2</v>
          </cell>
          <cell r="AP47">
            <v>8.9071896841306827E-2</v>
          </cell>
          <cell r="AQ47">
            <v>8.1366340433697948E-2</v>
          </cell>
          <cell r="AR47">
            <v>0.1089851810166948</v>
          </cell>
          <cell r="AS47">
            <v>9.7216643608396172E-2</v>
          </cell>
          <cell r="AT47">
            <v>8.8366061504260837E-2</v>
          </cell>
          <cell r="AU47">
            <v>9.4023079574123022E-2</v>
          </cell>
          <cell r="AV47">
            <v>0.10184667039731393</v>
          </cell>
          <cell r="AW47">
            <v>0.11204686927865251</v>
          </cell>
          <cell r="AX47">
            <v>9.9879261181185314E-2</v>
          </cell>
          <cell r="AY47">
            <v>8.3779295072891682E-2</v>
          </cell>
          <cell r="AZ47">
            <v>9.94096487377229E-2</v>
          </cell>
          <cell r="BA47">
            <v>7.9068387479602431E-2</v>
          </cell>
          <cell r="BB47">
            <v>9.1435496902774041E-2</v>
          </cell>
          <cell r="BC47">
            <v>0.10161378555798688</v>
          </cell>
          <cell r="BD47">
            <v>9.0968931016324375E-2</v>
          </cell>
          <cell r="BE47">
            <v>9.1006018916595016E-2</v>
          </cell>
          <cell r="BF47">
            <v>9.2988562904027849E-2</v>
          </cell>
          <cell r="BG47">
            <v>9.7812421423183304E-2</v>
          </cell>
          <cell r="BH47">
            <v>9.603184475681055E-2</v>
          </cell>
          <cell r="BI47">
            <v>7.072570725707257E-2</v>
          </cell>
          <cell r="BJ47">
            <v>8.9315136630708489E-2</v>
          </cell>
          <cell r="BK47">
            <v>9.5930920274426304E-2</v>
          </cell>
          <cell r="BL47">
            <v>9.6446700507614211E-2</v>
          </cell>
          <cell r="BM47">
            <v>8.5018684806911105E-2</v>
          </cell>
          <cell r="BN47">
            <v>8.3387151729210393E-2</v>
          </cell>
          <cell r="BO47">
            <v>9.0109352969472492E-2</v>
          </cell>
          <cell r="BP47">
            <v>9.5212514712769952E-2</v>
          </cell>
          <cell r="BQ47">
            <v>9.0705413042697108E-2</v>
          </cell>
          <cell r="BR47">
            <v>8.0867587463719692E-2</v>
          </cell>
          <cell r="BS47">
            <v>7.8529186990947242E-2</v>
          </cell>
          <cell r="BT47">
            <v>8.6152565161611308E-2</v>
          </cell>
          <cell r="BU47">
            <v>9.7792672541389153E-2</v>
          </cell>
          <cell r="BV47">
            <v>9.1673460230425607E-2</v>
          </cell>
          <cell r="BW47">
            <v>8.5495941730739322E-2</v>
          </cell>
          <cell r="BX47">
            <v>8.268327124140662E-2</v>
          </cell>
          <cell r="BY47">
            <v>8.9315141562636383E-2</v>
          </cell>
        </row>
        <row r="106">
          <cell r="A106" t="str">
            <v>Corporate</v>
          </cell>
          <cell r="B106" t="str">
            <v>_corpoprev</v>
          </cell>
          <cell r="C106">
            <v>-15</v>
          </cell>
          <cell r="D106">
            <v>-12</v>
          </cell>
          <cell r="E106">
            <v>-15</v>
          </cell>
          <cell r="F106">
            <v>-16</v>
          </cell>
          <cell r="G106">
            <v>-58</v>
          </cell>
          <cell r="H106">
            <v>-18</v>
          </cell>
          <cell r="I106">
            <v>-17</v>
          </cell>
          <cell r="J106">
            <v>-18</v>
          </cell>
          <cell r="K106">
            <v>-20</v>
          </cell>
          <cell r="L106">
            <v>-73</v>
          </cell>
          <cell r="M106">
            <v>-19</v>
          </cell>
          <cell r="N106">
            <v>-7</v>
          </cell>
          <cell r="O106">
            <v>0</v>
          </cell>
          <cell r="P106">
            <v>3</v>
          </cell>
          <cell r="Q106">
            <v>-23</v>
          </cell>
          <cell r="R106">
            <v>-1</v>
          </cell>
          <cell r="S106">
            <v>-3</v>
          </cell>
          <cell r="T106">
            <v>0</v>
          </cell>
          <cell r="U106">
            <v>-9</v>
          </cell>
          <cell r="V106">
            <v>-13</v>
          </cell>
          <cell r="W106">
            <v>0</v>
          </cell>
          <cell r="X106">
            <v>-2</v>
          </cell>
          <cell r="Y106">
            <v>-4</v>
          </cell>
          <cell r="Z106">
            <v>-5</v>
          </cell>
          <cell r="AA106">
            <v>-11</v>
          </cell>
          <cell r="AB106">
            <v>-6</v>
          </cell>
          <cell r="AC106">
            <v>-5</v>
          </cell>
          <cell r="AD106">
            <v>-8</v>
          </cell>
          <cell r="AE106">
            <v>-7</v>
          </cell>
          <cell r="AF106">
            <v>-26</v>
          </cell>
          <cell r="AG106">
            <v>-5</v>
          </cell>
          <cell r="AH106">
            <v>-13</v>
          </cell>
          <cell r="AI106">
            <v>-13</v>
          </cell>
          <cell r="AJ106">
            <v>-12</v>
          </cell>
          <cell r="AK106">
            <v>-43</v>
          </cell>
          <cell r="AL106">
            <v>-14</v>
          </cell>
          <cell r="AM106">
            <v>-13</v>
          </cell>
          <cell r="AN106">
            <v>-17</v>
          </cell>
          <cell r="AO106">
            <v>-14</v>
          </cell>
          <cell r="AP106">
            <v>-58</v>
          </cell>
          <cell r="AQ106">
            <v>-15</v>
          </cell>
          <cell r="AR106">
            <v>-15</v>
          </cell>
          <cell r="AS106">
            <v>-16</v>
          </cell>
          <cell r="AT106">
            <v>-15</v>
          </cell>
          <cell r="AU106">
            <v>-61</v>
          </cell>
          <cell r="AV106">
            <v>-14</v>
          </cell>
          <cell r="AW106">
            <v>-13</v>
          </cell>
          <cell r="AX106">
            <v>-13</v>
          </cell>
          <cell r="AY106">
            <v>-12</v>
          </cell>
          <cell r="AZ106">
            <v>-52</v>
          </cell>
          <cell r="BA106">
            <v>-16</v>
          </cell>
          <cell r="BB106">
            <v>-15</v>
          </cell>
          <cell r="BC106">
            <v>-14</v>
          </cell>
          <cell r="BD106">
            <v>-11</v>
          </cell>
          <cell r="BE106">
            <v>-56</v>
          </cell>
          <cell r="BF106">
            <v>-9</v>
          </cell>
          <cell r="BG106">
            <v>-11</v>
          </cell>
          <cell r="BH106">
            <v>-6</v>
          </cell>
          <cell r="BI106">
            <v>-11</v>
          </cell>
          <cell r="BJ106">
            <v>-37</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row>
      </sheetData>
      <sheetData sheetId="3">
        <row r="2">
          <cell r="A2" t="str">
            <v>CIGNA, Inc.</v>
          </cell>
        </row>
      </sheetData>
      <sheetData sheetId="4" refreshError="1"/>
      <sheetData sheetId="5" refreshError="1"/>
      <sheetData sheetId="6">
        <row r="1">
          <cell r="C1" t="str">
            <v>EPS</v>
          </cell>
        </row>
      </sheetData>
      <sheetData sheetId="7" refreshError="1"/>
      <sheetData sheetId="8">
        <row r="2">
          <cell r="A2" t="str">
            <v>CIGNA, Inc.</v>
          </cell>
        </row>
      </sheetData>
      <sheetData sheetId="9">
        <row r="2">
          <cell r="A2" t="str">
            <v>CIGNA, Inc.</v>
          </cell>
        </row>
      </sheetData>
      <sheetData sheetId="10">
        <row r="2">
          <cell r="A2" t="str">
            <v>CIGNA, Inc.</v>
          </cell>
        </row>
      </sheetData>
      <sheetData sheetId="11">
        <row r="1">
          <cell r="A1" t="str">
            <v>CI</v>
          </cell>
        </row>
      </sheetData>
      <sheetData sheetId="12">
        <row r="2">
          <cell r="A2" t="str">
            <v>CIGNA, Inc.</v>
          </cell>
        </row>
      </sheetData>
      <sheetData sheetId="13">
        <row r="2">
          <cell r="C2" t="str">
            <v>CI</v>
          </cell>
        </row>
      </sheetData>
      <sheetData sheetId="14">
        <row r="1">
          <cell r="A1" t="str">
            <v>CI</v>
          </cell>
        </row>
      </sheetData>
      <sheetData sheetId="15">
        <row r="1">
          <cell r="A1" t="str">
            <v>Item</v>
          </cell>
        </row>
      </sheetData>
      <sheetData sheetId="16">
        <row r="2">
          <cell r="A2" t="str">
            <v>CIGNA, Inc.</v>
          </cell>
        </row>
      </sheetData>
      <sheetData sheetId="17">
        <row r="3">
          <cell r="C3" t="str">
            <v>Consolidated Income Statement</v>
          </cell>
        </row>
      </sheetData>
      <sheetData sheetId="18">
        <row r="2">
          <cell r="A2" t="str">
            <v>CIGNA Corp.</v>
          </cell>
        </row>
      </sheetData>
      <sheetData sheetId="19">
        <row r="2">
          <cell r="A2" t="str">
            <v>CIGNA, Inc.</v>
          </cell>
        </row>
      </sheetData>
      <sheetData sheetId="20" refreshError="1">
        <row r="2">
          <cell r="A2" t="str">
            <v>CIGNA, Inc.</v>
          </cell>
        </row>
        <row r="7">
          <cell r="AU7" t="str">
            <v>2010A</v>
          </cell>
        </row>
        <row r="8">
          <cell r="AU8" t="str">
            <v>_hc_fy10</v>
          </cell>
        </row>
        <row r="10">
          <cell r="AU10">
            <v>13319</v>
          </cell>
        </row>
        <row r="11">
          <cell r="AU11">
            <v>243</v>
          </cell>
        </row>
        <row r="12">
          <cell r="AU12">
            <v>1686</v>
          </cell>
        </row>
        <row r="13">
          <cell r="AU13">
            <v>15248</v>
          </cell>
        </row>
        <row r="14">
          <cell r="AU14">
            <v>8570</v>
          </cell>
        </row>
        <row r="15">
          <cell r="AU15">
            <v>100</v>
          </cell>
        </row>
        <row r="17">
          <cell r="AU17">
            <v>1169</v>
          </cell>
        </row>
        <row r="18">
          <cell r="AU18">
            <v>4072</v>
          </cell>
        </row>
        <row r="19">
          <cell r="AU19">
            <v>13911</v>
          </cell>
        </row>
        <row r="20">
          <cell r="AU20">
            <v>1337</v>
          </cell>
        </row>
        <row r="21">
          <cell r="AU21">
            <v>476</v>
          </cell>
        </row>
        <row r="22">
          <cell r="AU22">
            <v>861</v>
          </cell>
        </row>
        <row r="23">
          <cell r="AU23">
            <v>0</v>
          </cell>
        </row>
        <row r="24">
          <cell r="AU24">
            <v>26</v>
          </cell>
        </row>
        <row r="25">
          <cell r="AU25">
            <v>887</v>
          </cell>
        </row>
        <row r="28">
          <cell r="AU28">
            <v>0.8229306702515844</v>
          </cell>
        </row>
        <row r="29">
          <cell r="AU29">
            <v>0.27137620793068978</v>
          </cell>
        </row>
        <row r="30">
          <cell r="AU30">
            <v>7.2909030323225585E-2</v>
          </cell>
        </row>
        <row r="31">
          <cell r="AU31">
            <v>8.7683630640083943E-2</v>
          </cell>
        </row>
        <row r="32">
          <cell r="AU32">
            <v>5.6466421825813219E-2</v>
          </cell>
        </row>
        <row r="33">
          <cell r="AU33">
            <v>0.35602094240837695</v>
          </cell>
        </row>
        <row r="36">
          <cell r="AU36">
            <v>0.16997540407589606</v>
          </cell>
        </row>
        <row r="37">
          <cell r="AU37">
            <v>0.16317034098710814</v>
          </cell>
        </row>
        <row r="38">
          <cell r="AU38">
            <v>0.16065903465346532</v>
          </cell>
        </row>
        <row r="39">
          <cell r="AU39">
            <v>0.18528368794326244</v>
          </cell>
        </row>
        <row r="40">
          <cell r="AU40">
            <v>0.18106995884773669</v>
          </cell>
        </row>
        <row r="45">
          <cell r="AU45" t="str">
            <v>2010A</v>
          </cell>
        </row>
        <row r="51">
          <cell r="AU51">
            <v>1177</v>
          </cell>
        </row>
        <row r="52">
          <cell r="AU52">
            <v>849</v>
          </cell>
        </row>
        <row r="53">
          <cell r="AU53">
            <v>2026</v>
          </cell>
        </row>
        <row r="54">
          <cell r="AU54">
            <v>145</v>
          </cell>
        </row>
        <row r="57">
          <cell r="A57" t="str">
            <v>Total risk</v>
          </cell>
          <cell r="B57" t="str">
            <v>_totriskenroll</v>
          </cell>
          <cell r="F57">
            <v>3630</v>
          </cell>
          <cell r="G57">
            <v>3630</v>
          </cell>
          <cell r="H57">
            <v>3271</v>
          </cell>
          <cell r="I57">
            <v>3199</v>
          </cell>
          <cell r="J57">
            <v>3057</v>
          </cell>
          <cell r="K57">
            <v>2868</v>
          </cell>
          <cell r="L57">
            <v>2868</v>
          </cell>
          <cell r="M57">
            <v>2476</v>
          </cell>
          <cell r="N57">
            <v>2410</v>
          </cell>
          <cell r="O57">
            <v>2378</v>
          </cell>
          <cell r="P57">
            <v>2246</v>
          </cell>
          <cell r="Q57">
            <v>2246</v>
          </cell>
          <cell r="R57">
            <v>2181</v>
          </cell>
          <cell r="S57">
            <v>2180</v>
          </cell>
          <cell r="T57">
            <v>2182</v>
          </cell>
          <cell r="U57">
            <v>2188</v>
          </cell>
          <cell r="V57">
            <v>2188</v>
          </cell>
          <cell r="W57">
            <v>2023</v>
          </cell>
          <cell r="X57">
            <v>2022</v>
          </cell>
          <cell r="Y57">
            <v>2239</v>
          </cell>
          <cell r="Z57">
            <v>2261</v>
          </cell>
          <cell r="AA57">
            <v>2261</v>
          </cell>
          <cell r="AB57">
            <v>2197</v>
          </cell>
          <cell r="AC57">
            <v>2186</v>
          </cell>
          <cell r="AD57">
            <v>2176</v>
          </cell>
          <cell r="AE57">
            <v>2156</v>
          </cell>
          <cell r="AF57">
            <v>2156</v>
          </cell>
          <cell r="AG57">
            <v>2095</v>
          </cell>
          <cell r="AH57">
            <v>2127</v>
          </cell>
          <cell r="AI57">
            <v>2052</v>
          </cell>
          <cell r="AJ57">
            <v>1991</v>
          </cell>
          <cell r="AK57">
            <v>1991</v>
          </cell>
          <cell r="AL57">
            <v>1872</v>
          </cell>
          <cell r="AM57">
            <v>1814</v>
          </cell>
          <cell r="AN57">
            <v>1797</v>
          </cell>
          <cell r="AO57">
            <v>1766</v>
          </cell>
          <cell r="AP57">
            <v>1766</v>
          </cell>
          <cell r="AQ57">
            <v>2039</v>
          </cell>
          <cell r="AR57">
            <v>2086</v>
          </cell>
          <cell r="AS57">
            <v>2164</v>
          </cell>
          <cell r="AT57">
            <v>2171</v>
          </cell>
          <cell r="AU57">
            <v>2171</v>
          </cell>
          <cell r="AV57">
            <v>2013</v>
          </cell>
          <cell r="AW57">
            <v>1991</v>
          </cell>
          <cell r="AX57">
            <v>1957</v>
          </cell>
          <cell r="AY57">
            <v>1933</v>
          </cell>
          <cell r="AZ57">
            <v>1933</v>
          </cell>
          <cell r="BA57">
            <v>2309</v>
          </cell>
          <cell r="BB57">
            <v>2321</v>
          </cell>
          <cell r="BC57">
            <v>2322</v>
          </cell>
        </row>
        <row r="58">
          <cell r="A58" t="str">
            <v>Total service</v>
          </cell>
          <cell r="B58" t="str">
            <v>_totservenroll</v>
          </cell>
          <cell r="F58">
            <v>9461</v>
          </cell>
          <cell r="G58">
            <v>9461</v>
          </cell>
          <cell r="H58">
            <v>9077</v>
          </cell>
          <cell r="I58">
            <v>8823</v>
          </cell>
          <cell r="J58">
            <v>8732</v>
          </cell>
          <cell r="K58">
            <v>8667</v>
          </cell>
          <cell r="L58">
            <v>8667</v>
          </cell>
          <cell r="M58">
            <v>7740</v>
          </cell>
          <cell r="N58">
            <v>7620</v>
          </cell>
          <cell r="O58">
            <v>7535</v>
          </cell>
          <cell r="P58">
            <v>7455</v>
          </cell>
          <cell r="Q58">
            <v>7455</v>
          </cell>
          <cell r="R58">
            <v>6825</v>
          </cell>
          <cell r="S58">
            <v>6834</v>
          </cell>
          <cell r="T58">
            <v>6884</v>
          </cell>
          <cell r="U58">
            <v>6902</v>
          </cell>
          <cell r="V58">
            <v>6902</v>
          </cell>
          <cell r="W58">
            <v>6995</v>
          </cell>
          <cell r="X58">
            <v>6997</v>
          </cell>
          <cell r="Y58">
            <v>7082</v>
          </cell>
          <cell r="Z58">
            <v>7128</v>
          </cell>
          <cell r="AA58">
            <v>7128</v>
          </cell>
          <cell r="AB58">
            <v>7633</v>
          </cell>
          <cell r="AC58">
            <v>7614</v>
          </cell>
          <cell r="AD58">
            <v>8047</v>
          </cell>
          <cell r="AE58">
            <v>8013</v>
          </cell>
          <cell r="AF58">
            <v>8013</v>
          </cell>
          <cell r="AG58">
            <v>8279</v>
          </cell>
          <cell r="AH58">
            <v>9940</v>
          </cell>
          <cell r="AI58">
            <v>9848</v>
          </cell>
          <cell r="AJ58">
            <v>9688</v>
          </cell>
          <cell r="AK58">
            <v>9688</v>
          </cell>
          <cell r="AL58">
            <v>9497</v>
          </cell>
          <cell r="AM58">
            <v>9375</v>
          </cell>
          <cell r="AN58">
            <v>9307</v>
          </cell>
          <cell r="AO58">
            <v>9267</v>
          </cell>
          <cell r="AP58">
            <v>9267</v>
          </cell>
          <cell r="AQ58">
            <v>9314</v>
          </cell>
          <cell r="AR58">
            <v>9279</v>
          </cell>
          <cell r="AS58">
            <v>9279</v>
          </cell>
          <cell r="AT58">
            <v>9266</v>
          </cell>
          <cell r="AU58">
            <v>9266</v>
          </cell>
          <cell r="AV58">
            <v>9409</v>
          </cell>
          <cell r="AW58">
            <v>9467</v>
          </cell>
          <cell r="AX58">
            <v>9514</v>
          </cell>
          <cell r="AY58">
            <v>9550</v>
          </cell>
          <cell r="AZ58">
            <v>9550</v>
          </cell>
          <cell r="BA58">
            <v>10351</v>
          </cell>
          <cell r="BB58">
            <v>10298</v>
          </cell>
          <cell r="BC58">
            <v>10409</v>
          </cell>
        </row>
        <row r="59">
          <cell r="AU59">
            <v>11437</v>
          </cell>
        </row>
        <row r="60">
          <cell r="AU60" t="str">
            <v>nm</v>
          </cell>
        </row>
        <row r="61">
          <cell r="A61" t="str">
            <v>YOY change</v>
          </cell>
          <cell r="B61" t="str">
            <v>_enrollg</v>
          </cell>
          <cell r="M61">
            <v>-0.17265954000647876</v>
          </cell>
          <cell r="N61">
            <v>-0.16569622359008485</v>
          </cell>
          <cell r="O61">
            <v>-0.15913139367206719</v>
          </cell>
          <cell r="P61">
            <v>-0.15899436497615949</v>
          </cell>
          <cell r="Q61">
            <v>-0.15899436497615949</v>
          </cell>
          <cell r="R61">
            <v>-0.11844166014095536</v>
          </cell>
          <cell r="S61">
            <v>-0.10129611166500496</v>
          </cell>
          <cell r="T61">
            <v>-8.5443357207707016E-2</v>
          </cell>
          <cell r="U61">
            <v>-6.2983197608494024E-2</v>
          </cell>
          <cell r="V61">
            <v>-6.2983197608494024E-2</v>
          </cell>
          <cell r="W61">
            <v>1.3324450366423157E-3</v>
          </cell>
          <cell r="X61">
            <v>5.5469270024399719E-4</v>
          </cell>
          <cell r="Y61">
            <v>2.8127068166776903E-2</v>
          </cell>
          <cell r="Z61">
            <v>3.2893289328932873E-2</v>
          </cell>
          <cell r="AA61">
            <v>3.2893289328932873E-2</v>
          </cell>
          <cell r="AB61">
            <v>9.0042137946329648E-2</v>
          </cell>
          <cell r="AC61">
            <v>8.6594966182503619E-2</v>
          </cell>
          <cell r="AD61">
            <v>9.6770732753996391E-2</v>
          </cell>
          <cell r="AE61">
            <v>8.3075939929704967E-2</v>
          </cell>
          <cell r="AF61">
            <v>8.3075939929704967E-2</v>
          </cell>
          <cell r="AG61">
            <v>5.5340793489318418E-2</v>
          </cell>
          <cell r="AH61">
            <v>0.23132653061224495</v>
          </cell>
          <cell r="AI61">
            <v>0.16404186637973206</v>
          </cell>
          <cell r="AJ61">
            <v>0.14849051037466809</v>
          </cell>
          <cell r="AK61">
            <v>0.14849051037466809</v>
          </cell>
          <cell r="AL61">
            <v>9.5912859070753864E-2</v>
          </cell>
          <cell r="AM61">
            <v>-7.2760420982845742E-2</v>
          </cell>
          <cell r="AN61">
            <v>-6.6890756302521059E-2</v>
          </cell>
          <cell r="AO61">
            <v>-5.5312954876273634E-2</v>
          </cell>
          <cell r="AP61">
            <v>-5.5312954876273634E-2</v>
          </cell>
          <cell r="AQ61">
            <v>-1.407335737531934E-3</v>
          </cell>
          <cell r="AR61">
            <v>1.5729734560729236E-2</v>
          </cell>
          <cell r="AS61">
            <v>3.0529538904899178E-2</v>
          </cell>
          <cell r="AT61">
            <v>3.6617420465875128E-2</v>
          </cell>
          <cell r="AU61">
            <v>3.6617420465875128E-2</v>
          </cell>
          <cell r="AV61">
            <v>6.0776887166387183E-3</v>
          </cell>
          <cell r="AW61">
            <v>8.1830180378354989E-3</v>
          </cell>
          <cell r="AX61">
            <v>2.4469107751463604E-3</v>
          </cell>
          <cell r="AY61">
            <v>4.0220337501093439E-3</v>
          </cell>
          <cell r="AZ61">
            <v>4.0220337501093439E-3</v>
          </cell>
          <cell r="BA61">
            <v>0.10838732271055851</v>
          </cell>
          <cell r="BB61">
            <v>0.1013265840460813</v>
          </cell>
          <cell r="BC61">
            <v>0.10984221079243306</v>
          </cell>
        </row>
        <row r="64">
          <cell r="AU64">
            <v>560</v>
          </cell>
        </row>
        <row r="65">
          <cell r="AU65">
            <v>10265.5</v>
          </cell>
        </row>
        <row r="66">
          <cell r="AU66">
            <v>18079.5</v>
          </cell>
        </row>
        <row r="67">
          <cell r="AU67">
            <v>6529.75</v>
          </cell>
        </row>
        <row r="71">
          <cell r="AU71">
            <v>3949</v>
          </cell>
        </row>
        <row r="72">
          <cell r="AU72">
            <v>6524</v>
          </cell>
        </row>
        <row r="73">
          <cell r="AU73">
            <v>621</v>
          </cell>
        </row>
        <row r="74">
          <cell r="AU74">
            <v>105</v>
          </cell>
        </row>
        <row r="75">
          <cell r="AU75">
            <v>93</v>
          </cell>
        </row>
        <row r="76">
          <cell r="AU76">
            <v>11292</v>
          </cell>
        </row>
        <row r="78">
          <cell r="AU78">
            <v>145</v>
          </cell>
        </row>
        <row r="79">
          <cell r="AU79">
            <v>0</v>
          </cell>
        </row>
        <row r="80">
          <cell r="AU80">
            <v>145</v>
          </cell>
        </row>
        <row r="82">
          <cell r="AU82">
            <v>11437</v>
          </cell>
        </row>
        <row r="84">
          <cell r="AU84">
            <v>5317</v>
          </cell>
        </row>
        <row r="85">
          <cell r="AU85">
            <v>0.74415675297410777</v>
          </cell>
        </row>
        <row r="88">
          <cell r="AU88" t="str">
            <v>2010A</v>
          </cell>
        </row>
        <row r="95">
          <cell r="AU95">
            <v>3929</v>
          </cell>
        </row>
        <row r="96">
          <cell r="AU96">
            <v>1823</v>
          </cell>
        </row>
        <row r="97">
          <cell r="AU97">
            <v>1287</v>
          </cell>
        </row>
        <row r="98">
          <cell r="AU98">
            <v>804</v>
          </cell>
        </row>
        <row r="99">
          <cell r="AU99">
            <v>1470</v>
          </cell>
        </row>
        <row r="101">
          <cell r="AU101">
            <v>558</v>
          </cell>
        </row>
        <row r="102">
          <cell r="AU102">
            <v>543</v>
          </cell>
        </row>
        <row r="103">
          <cell r="AU103">
            <v>10414</v>
          </cell>
        </row>
        <row r="104">
          <cell r="AU104">
            <v>103</v>
          </cell>
        </row>
        <row r="105">
          <cell r="AU105">
            <v>10517</v>
          </cell>
        </row>
        <row r="106">
          <cell r="AU106">
            <v>2802</v>
          </cell>
        </row>
        <row r="107">
          <cell r="AU107">
            <v>13319</v>
          </cell>
        </row>
        <row r="113">
          <cell r="AU113">
            <v>289.10963944076525</v>
          </cell>
        </row>
        <row r="114">
          <cell r="AU114">
            <v>181.66417538614849</v>
          </cell>
        </row>
        <row r="115">
          <cell r="AU115">
            <v>839.04109589041093</v>
          </cell>
        </row>
        <row r="117">
          <cell r="AU117">
            <v>87.901701323251416</v>
          </cell>
        </row>
        <row r="118">
          <cell r="AU118">
            <v>25.14944261941946</v>
          </cell>
        </row>
        <row r="124">
          <cell r="AU124">
            <v>1.6160507856890716E-2</v>
          </cell>
        </row>
        <row r="125">
          <cell r="AU125">
            <v>-8.4921139754239316E-3</v>
          </cell>
        </row>
        <row r="126">
          <cell r="AU126">
            <v>-0.1572925060435133</v>
          </cell>
        </row>
        <row r="128">
          <cell r="AU128">
            <v>-6.0346081140030261E-3</v>
          </cell>
        </row>
        <row r="129">
          <cell r="AU129">
            <v>5.1838453082778679E-2</v>
          </cell>
        </row>
        <row r="131">
          <cell r="AU131">
            <v>243</v>
          </cell>
        </row>
        <row r="132">
          <cell r="AU132">
            <v>0.34254143646408841</v>
          </cell>
        </row>
        <row r="134">
          <cell r="AU134">
            <v>1420</v>
          </cell>
        </row>
        <row r="135">
          <cell r="AU135">
            <v>266</v>
          </cell>
        </row>
        <row r="136">
          <cell r="AU136">
            <v>1686</v>
          </cell>
        </row>
        <row r="137">
          <cell r="AU137">
            <v>9.196891191709855E-2</v>
          </cell>
        </row>
        <row r="139">
          <cell r="AU139">
            <v>15248</v>
          </cell>
        </row>
        <row r="140">
          <cell r="AU140">
            <v>0.16317034098710814</v>
          </cell>
        </row>
        <row r="141">
          <cell r="AU141">
            <v>15005</v>
          </cell>
        </row>
        <row r="142">
          <cell r="AU142">
            <v>0.16065903465346532</v>
          </cell>
        </row>
        <row r="146">
          <cell r="AU146">
            <v>3929</v>
          </cell>
        </row>
        <row r="147">
          <cell r="AU147">
            <v>0.80099134639857472</v>
          </cell>
        </row>
        <row r="148">
          <cell r="AU148">
            <v>3147.0950000000003</v>
          </cell>
        </row>
        <row r="160">
          <cell r="AU160">
            <v>1470</v>
          </cell>
        </row>
        <row r="161">
          <cell r="AU161">
            <v>0.96183836734693873</v>
          </cell>
        </row>
        <row r="162">
          <cell r="AU162">
            <v>1413.9023999999999</v>
          </cell>
        </row>
        <row r="165">
          <cell r="AU165">
            <v>4457</v>
          </cell>
        </row>
        <row r="166">
          <cell r="AU166">
            <v>0.78330639443571914</v>
          </cell>
        </row>
        <row r="167">
          <cell r="AU167">
            <v>3491.1966000000002</v>
          </cell>
        </row>
        <row r="170">
          <cell r="AU170">
            <v>558</v>
          </cell>
        </row>
        <row r="171">
          <cell r="AU171">
            <v>0.92796774193548393</v>
          </cell>
        </row>
        <row r="172">
          <cell r="AU172">
            <v>517.80600000000004</v>
          </cell>
        </row>
        <row r="174">
          <cell r="AU174">
            <v>8570</v>
          </cell>
        </row>
        <row r="175">
          <cell r="AU175">
            <v>0.8229306702515844</v>
          </cell>
        </row>
        <row r="177">
          <cell r="AU177">
            <v>100</v>
          </cell>
        </row>
        <row r="178">
          <cell r="AU178">
            <v>0.970873786407767</v>
          </cell>
        </row>
        <row r="180">
          <cell r="AU180">
            <v>8670</v>
          </cell>
        </row>
        <row r="181">
          <cell r="AU181">
            <v>0.82437957592469335</v>
          </cell>
        </row>
        <row r="183">
          <cell r="AU183">
            <v>1169</v>
          </cell>
        </row>
        <row r="184">
          <cell r="AU184">
            <v>0.82323943661971832</v>
          </cell>
        </row>
        <row r="185">
          <cell r="AU185">
            <v>0.12837837837837829</v>
          </cell>
        </row>
        <row r="187">
          <cell r="AU187">
            <v>1791</v>
          </cell>
        </row>
        <row r="188">
          <cell r="AU188">
            <v>395</v>
          </cell>
        </row>
        <row r="189">
          <cell r="AU189">
            <v>183</v>
          </cell>
        </row>
        <row r="190">
          <cell r="AU190">
            <v>370</v>
          </cell>
        </row>
        <row r="191">
          <cell r="AU191">
            <v>2739</v>
          </cell>
        </row>
        <row r="192">
          <cell r="AU192">
            <v>402</v>
          </cell>
        </row>
        <row r="193">
          <cell r="AU193">
            <v>3141</v>
          </cell>
        </row>
        <row r="194">
          <cell r="AU194">
            <v>0.23766646489104115</v>
          </cell>
        </row>
        <row r="196">
          <cell r="AU196">
            <v>74</v>
          </cell>
        </row>
        <row r="198">
          <cell r="AU198">
            <v>193</v>
          </cell>
        </row>
        <row r="199">
          <cell r="AU199">
            <v>151</v>
          </cell>
        </row>
        <row r="200">
          <cell r="AU200">
            <v>148</v>
          </cell>
        </row>
        <row r="201">
          <cell r="AU201">
            <v>74</v>
          </cell>
        </row>
        <row r="202">
          <cell r="AU202">
            <v>61</v>
          </cell>
        </row>
        <row r="203">
          <cell r="AU203">
            <v>230</v>
          </cell>
        </row>
        <row r="204">
          <cell r="AU204">
            <v>857</v>
          </cell>
        </row>
        <row r="206">
          <cell r="AU206">
            <v>4072</v>
          </cell>
        </row>
        <row r="207">
          <cell r="AU207">
            <v>0.27137620793068978</v>
          </cell>
        </row>
        <row r="208">
          <cell r="AU208">
            <v>29.669785200081606</v>
          </cell>
        </row>
        <row r="209">
          <cell r="AU209">
            <v>2.0566609859705043E-2</v>
          </cell>
        </row>
        <row r="210">
          <cell r="AU210">
            <v>13911</v>
          </cell>
        </row>
        <row r="212">
          <cell r="AU212">
            <v>1337</v>
          </cell>
        </row>
        <row r="213">
          <cell r="AU213">
            <v>0.18528368794326244</v>
          </cell>
        </row>
        <row r="215">
          <cell r="AU215">
            <v>476</v>
          </cell>
        </row>
        <row r="216">
          <cell r="AU216">
            <v>0</v>
          </cell>
        </row>
        <row r="217">
          <cell r="AU217">
            <v>476</v>
          </cell>
        </row>
        <row r="218">
          <cell r="AU218">
            <v>0.35602094240837695</v>
          </cell>
        </row>
        <row r="220">
          <cell r="AU220">
            <v>861</v>
          </cell>
        </row>
        <row r="221">
          <cell r="AU221">
            <v>0.18106995884773669</v>
          </cell>
        </row>
        <row r="224">
          <cell r="AU224">
            <v>26</v>
          </cell>
        </row>
        <row r="225">
          <cell r="AU225">
            <v>26</v>
          </cell>
        </row>
        <row r="226">
          <cell r="AU226">
            <v>0</v>
          </cell>
        </row>
        <row r="229">
          <cell r="AU229">
            <v>0</v>
          </cell>
        </row>
        <row r="230">
          <cell r="AU230">
            <v>0</v>
          </cell>
        </row>
        <row r="231">
          <cell r="AU231">
            <v>0</v>
          </cell>
        </row>
        <row r="233">
          <cell r="AU233">
            <v>887</v>
          </cell>
        </row>
        <row r="234">
          <cell r="AU234">
            <v>0.2457865168539326</v>
          </cell>
        </row>
      </sheetData>
      <sheetData sheetId="21">
        <row r="2">
          <cell r="A2" t="str">
            <v>CIGNA, Inc.</v>
          </cell>
        </row>
      </sheetData>
      <sheetData sheetId="22">
        <row r="2">
          <cell r="A2" t="str">
            <v>CIGNA, Inc.</v>
          </cell>
        </row>
      </sheetData>
      <sheetData sheetId="23">
        <row r="1">
          <cell r="A1" t="str">
            <v>$EZ$2</v>
          </cell>
        </row>
      </sheetData>
      <sheetData sheetId="24">
        <row r="1">
          <cell r="B1" t="str">
            <v>ID</v>
          </cell>
        </row>
      </sheetData>
      <sheetData sheetId="25">
        <row r="1">
          <cell r="A1" t="str">
            <v>Most Recent User ID</v>
          </cell>
        </row>
      </sheetData>
      <sheetData sheetId="26">
        <row r="1">
          <cell r="A1" t="str">
            <v>RRST-10.2</v>
          </cell>
        </row>
      </sheetData>
      <sheetData sheetId="27"/>
      <sheetData sheetId="28"/>
      <sheetData sheetId="29" refreshError="1"/>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CircularReferenceAlert"/>
      <sheetName val="Cover"/>
      <sheetName val="Model"/>
      <sheetName val="PBM"/>
      <sheetName val="HCIT"/>
      <sheetName val="__FDSCACHE__"/>
      <sheetName val="Scenarios"/>
      <sheetName val="Guidance"/>
      <sheetName val="Debt"/>
      <sheetName val="Valuation"/>
      <sheetName val="IndexInformation"/>
      <sheetName val="ModPubIndex"/>
      <sheetName val="MW-Cache"/>
      <sheetName val="RRST"/>
      <sheetName val="CTRX.O"/>
    </sheetNames>
    <sheetDataSet>
      <sheetData sheetId="0"/>
      <sheetData sheetId="1"/>
      <sheetData sheetId="2"/>
      <sheetData sheetId="3">
        <row r="1">
          <cell r="B1" t="str">
            <v>SXCI</v>
          </cell>
          <cell r="G1" t="str">
            <v xml:space="preserve"> </v>
          </cell>
          <cell r="H1" t="str">
            <v xml:space="preserve"> </v>
          </cell>
          <cell r="I1" t="str">
            <v xml:space="preserve"> </v>
          </cell>
          <cell r="J1" t="str">
            <v xml:space="preserve"> </v>
          </cell>
          <cell r="N1" t="str">
            <v xml:space="preserve"> </v>
          </cell>
          <cell r="T1" t="str">
            <v xml:space="preserve"> </v>
          </cell>
        </row>
        <row r="3">
          <cell r="O3" t="str">
            <v>C</v>
          </cell>
          <cell r="BU3">
            <v>0.36303369580238032</v>
          </cell>
        </row>
        <row r="5">
          <cell r="B5" t="str">
            <v>CTRX</v>
          </cell>
          <cell r="K5" t="str">
            <v xml:space="preserve"> </v>
          </cell>
          <cell r="L5" t="str">
            <v xml:space="preserve"> </v>
          </cell>
          <cell r="M5" t="str">
            <v xml:space="preserve"> </v>
          </cell>
          <cell r="N5" t="str">
            <v xml:space="preserve"> </v>
          </cell>
          <cell r="O5" t="str">
            <v xml:space="preserve"> </v>
          </cell>
          <cell r="P5" t="str">
            <v xml:space="preserve"> </v>
          </cell>
          <cell r="Q5" t="str">
            <v xml:space="preserve"> </v>
          </cell>
          <cell r="R5" t="str">
            <v xml:space="preserve"> </v>
          </cell>
          <cell r="S5" t="str">
            <v xml:space="preserve"> </v>
          </cell>
          <cell r="T5" t="str">
            <v xml:space="preserve"> </v>
          </cell>
          <cell r="U5" t="str">
            <v xml:space="preserve"> </v>
          </cell>
          <cell r="V5" t="str">
            <v xml:space="preserve"> </v>
          </cell>
          <cell r="W5" t="str">
            <v xml:space="preserve"> </v>
          </cell>
          <cell r="X5" t="str">
            <v xml:space="preserve"> </v>
          </cell>
          <cell r="Y5" t="str">
            <v xml:space="preserve"> </v>
          </cell>
        </row>
        <row r="6">
          <cell r="B6" t="str">
            <v>Quarterly Income Statement</v>
          </cell>
          <cell r="H6" t="str">
            <v xml:space="preserve"> </v>
          </cell>
          <cell r="I6" t="str">
            <v xml:space="preserve"> </v>
          </cell>
          <cell r="J6" t="str">
            <v xml:space="preserve"> </v>
          </cell>
          <cell r="L6" t="str">
            <v xml:space="preserve"> </v>
          </cell>
          <cell r="M6" t="str">
            <v xml:space="preserve"> </v>
          </cell>
          <cell r="N6" t="str">
            <v xml:space="preserve"> </v>
          </cell>
          <cell r="O6" t="str">
            <v xml:space="preserve"> </v>
          </cell>
          <cell r="P6" t="str">
            <v xml:space="preserve"> </v>
          </cell>
          <cell r="Q6" t="str">
            <v xml:space="preserve"> </v>
          </cell>
          <cell r="R6" t="str">
            <v xml:space="preserve"> </v>
          </cell>
          <cell r="S6" t="str">
            <v xml:space="preserve"> </v>
          </cell>
          <cell r="T6" t="str">
            <v xml:space="preserve"> </v>
          </cell>
          <cell r="U6" t="str">
            <v xml:space="preserve"> </v>
          </cell>
          <cell r="V6" t="str">
            <v xml:space="preserve"> </v>
          </cell>
          <cell r="W6" t="str">
            <v xml:space="preserve"> </v>
          </cell>
          <cell r="X6" t="str">
            <v xml:space="preserve"> </v>
          </cell>
          <cell r="Y6" t="str">
            <v xml:space="preserve"> </v>
          </cell>
          <cell r="Z6" t="str">
            <v xml:space="preserve"> </v>
          </cell>
        </row>
        <row r="7">
          <cell r="E7">
            <v>36891</v>
          </cell>
          <cell r="F7">
            <v>36981</v>
          </cell>
          <cell r="G7">
            <v>37072</v>
          </cell>
          <cell r="H7">
            <v>37164</v>
          </cell>
          <cell r="I7">
            <v>37256</v>
          </cell>
          <cell r="J7">
            <v>37256</v>
          </cell>
          <cell r="K7">
            <v>37346</v>
          </cell>
          <cell r="L7">
            <v>37437</v>
          </cell>
          <cell r="M7">
            <v>37529</v>
          </cell>
          <cell r="N7">
            <v>37621</v>
          </cell>
          <cell r="O7">
            <v>37621</v>
          </cell>
          <cell r="P7">
            <v>37711</v>
          </cell>
          <cell r="Q7">
            <v>37802</v>
          </cell>
          <cell r="R7">
            <v>37894</v>
          </cell>
          <cell r="S7">
            <v>37986</v>
          </cell>
          <cell r="T7">
            <v>37986</v>
          </cell>
          <cell r="U7">
            <v>38077</v>
          </cell>
          <cell r="V7">
            <v>38168</v>
          </cell>
          <cell r="W7">
            <v>38260</v>
          </cell>
          <cell r="X7">
            <v>38352</v>
          </cell>
          <cell r="Y7">
            <v>38352</v>
          </cell>
          <cell r="Z7">
            <v>38442</v>
          </cell>
          <cell r="AA7">
            <v>38533</v>
          </cell>
          <cell r="AB7">
            <v>38625</v>
          </cell>
          <cell r="AC7">
            <v>38717</v>
          </cell>
          <cell r="AD7">
            <v>38717</v>
          </cell>
          <cell r="AE7">
            <v>38807</v>
          </cell>
          <cell r="AF7">
            <v>38898</v>
          </cell>
          <cell r="AG7">
            <v>38990</v>
          </cell>
          <cell r="AH7">
            <v>39082</v>
          </cell>
          <cell r="AI7">
            <v>39082</v>
          </cell>
          <cell r="AJ7">
            <v>39172</v>
          </cell>
          <cell r="AK7">
            <v>39263</v>
          </cell>
          <cell r="AL7">
            <v>39355</v>
          </cell>
          <cell r="AM7">
            <v>39447</v>
          </cell>
          <cell r="AN7">
            <v>39447</v>
          </cell>
          <cell r="AO7">
            <v>39538</v>
          </cell>
          <cell r="AP7">
            <v>39629</v>
          </cell>
          <cell r="AQ7">
            <v>39721</v>
          </cell>
          <cell r="AR7">
            <v>39813</v>
          </cell>
          <cell r="AS7">
            <v>39813</v>
          </cell>
          <cell r="AT7">
            <v>39903</v>
          </cell>
          <cell r="AU7">
            <v>39994</v>
          </cell>
          <cell r="AV7">
            <v>40086</v>
          </cell>
          <cell r="AW7">
            <v>40178</v>
          </cell>
          <cell r="AX7">
            <v>40178</v>
          </cell>
          <cell r="AY7">
            <v>40268</v>
          </cell>
          <cell r="AZ7">
            <v>40359</v>
          </cell>
          <cell r="BA7">
            <v>40451</v>
          </cell>
          <cell r="BB7">
            <v>40543</v>
          </cell>
          <cell r="BC7">
            <v>40543</v>
          </cell>
          <cell r="BD7">
            <v>40633</v>
          </cell>
          <cell r="BE7">
            <v>40724</v>
          </cell>
          <cell r="BF7">
            <v>40816</v>
          </cell>
          <cell r="BG7">
            <v>40908</v>
          </cell>
          <cell r="BH7">
            <v>40908</v>
          </cell>
          <cell r="BI7">
            <v>40999</v>
          </cell>
          <cell r="BJ7">
            <v>41090</v>
          </cell>
          <cell r="BK7">
            <v>41182</v>
          </cell>
          <cell r="BL7">
            <v>41274</v>
          </cell>
          <cell r="BM7">
            <v>41274</v>
          </cell>
          <cell r="BN7">
            <v>41364</v>
          </cell>
          <cell r="BO7">
            <v>41455</v>
          </cell>
          <cell r="BP7">
            <v>41547</v>
          </cell>
          <cell r="BQ7">
            <v>41639</v>
          </cell>
          <cell r="BR7">
            <v>41639</v>
          </cell>
          <cell r="BS7">
            <v>41729</v>
          </cell>
          <cell r="BT7">
            <v>41820</v>
          </cell>
          <cell r="BU7">
            <v>41912</v>
          </cell>
          <cell r="BV7">
            <v>42004</v>
          </cell>
          <cell r="BW7">
            <v>42004</v>
          </cell>
          <cell r="BX7">
            <v>42094</v>
          </cell>
          <cell r="BY7">
            <v>42185</v>
          </cell>
          <cell r="BZ7">
            <v>42277</v>
          </cell>
          <cell r="CA7">
            <v>42369</v>
          </cell>
          <cell r="CB7">
            <v>42369</v>
          </cell>
          <cell r="CC7">
            <v>42094</v>
          </cell>
          <cell r="CD7">
            <v>42185</v>
          </cell>
          <cell r="CE7">
            <v>42277</v>
          </cell>
          <cell r="CF7">
            <v>42369</v>
          </cell>
          <cell r="CG7">
            <v>42369</v>
          </cell>
        </row>
        <row r="8">
          <cell r="B8" t="str">
            <v>INCOME STATEMENT</v>
          </cell>
          <cell r="F8" t="str">
            <v>Fiscal Year End, Dec 31 2001</v>
          </cell>
          <cell r="K8" t="str">
            <v>Fiscal Year End, Dec 31 2002</v>
          </cell>
          <cell r="P8" t="str">
            <v>Fiscal Year End, Dec 31 2003</v>
          </cell>
          <cell r="U8" t="str">
            <v>Fiscal Year End, Dec 31 2004</v>
          </cell>
          <cell r="Z8" t="str">
            <v xml:space="preserve">Fiscal Year End, Dec 31 2005 </v>
          </cell>
          <cell r="AE8" t="str">
            <v xml:space="preserve">Fiscal Year End, Dec 31 2006 </v>
          </cell>
          <cell r="AJ8" t="str">
            <v xml:space="preserve">Fiscal Year End, Dec 31 2007 </v>
          </cell>
          <cell r="AO8" t="str">
            <v>Fiscal Year End, Dec 31 2008</v>
          </cell>
          <cell r="AT8" t="str">
            <v>Fiscal Year End, Dec 31 2009</v>
          </cell>
          <cell r="AY8" t="str">
            <v>Fiscal Year End, Dec 31 2010</v>
          </cell>
          <cell r="BD8" t="str">
            <v>Fiscal Year End, Dec 31 2011</v>
          </cell>
          <cell r="BI8" t="str">
            <v>Fiscal Year End, Dec 31 2012</v>
          </cell>
          <cell r="BN8" t="str">
            <v>Fiscal Year End, Dec 31 2013</v>
          </cell>
          <cell r="BS8" t="str">
            <v>Fiscal Year End, Dec 31 2014</v>
          </cell>
          <cell r="BX8" t="str">
            <v>Fiscal Year End, Dec 31 2015</v>
          </cell>
          <cell r="CC8" t="str">
            <v>Fiscal Year End, Dec 31 2016</v>
          </cell>
        </row>
        <row r="9">
          <cell r="B9" t="str">
            <v>(In millions, except per share)</v>
          </cell>
          <cell r="D9" t="str">
            <v>1999A</v>
          </cell>
          <cell r="E9" t="str">
            <v>2000A</v>
          </cell>
          <cell r="F9" t="str">
            <v>1Q01A</v>
          </cell>
          <cell r="G9" t="str">
            <v>2Q01A</v>
          </cell>
          <cell r="H9" t="str">
            <v>3Q01A</v>
          </cell>
          <cell r="I9" t="str">
            <v>4Q01A</v>
          </cell>
          <cell r="J9" t="str">
            <v>2001A</v>
          </cell>
          <cell r="K9" t="str">
            <v>1Q02A</v>
          </cell>
          <cell r="L9" t="str">
            <v>2Q02A</v>
          </cell>
          <cell r="M9" t="str">
            <v>3Q02A</v>
          </cell>
          <cell r="N9" t="str">
            <v>4Q02A</v>
          </cell>
          <cell r="O9" t="str">
            <v>2002A</v>
          </cell>
          <cell r="P9" t="str">
            <v>1Q03A</v>
          </cell>
          <cell r="Q9" t="str">
            <v>2Q03A</v>
          </cell>
          <cell r="R9" t="str">
            <v>3Q03A</v>
          </cell>
          <cell r="S9" t="str">
            <v>4Q03A</v>
          </cell>
          <cell r="T9" t="str">
            <v>2003A</v>
          </cell>
          <cell r="U9" t="str">
            <v>1QA</v>
          </cell>
          <cell r="V9" t="str">
            <v>2QA</v>
          </cell>
          <cell r="W9" t="str">
            <v>3QA</v>
          </cell>
          <cell r="X9" t="str">
            <v>4QA</v>
          </cell>
          <cell r="Y9" t="str">
            <v>2004A</v>
          </cell>
          <cell r="Z9" t="str">
            <v>1QA</v>
          </cell>
          <cell r="AA9" t="str">
            <v>2QA</v>
          </cell>
          <cell r="AB9" t="str">
            <v>3QA</v>
          </cell>
          <cell r="AC9" t="str">
            <v>4QA</v>
          </cell>
          <cell r="AD9" t="str">
            <v>2005A</v>
          </cell>
          <cell r="AE9" t="str">
            <v>1QA</v>
          </cell>
          <cell r="AF9" t="str">
            <v>2QA</v>
          </cell>
          <cell r="AG9" t="str">
            <v>3QA</v>
          </cell>
          <cell r="AH9" t="str">
            <v>4QA</v>
          </cell>
          <cell r="AI9" t="str">
            <v>2006A</v>
          </cell>
          <cell r="AJ9" t="str">
            <v>1QA</v>
          </cell>
          <cell r="AK9" t="str">
            <v>2QA</v>
          </cell>
          <cell r="AL9" t="str">
            <v>3QA</v>
          </cell>
          <cell r="AM9" t="str">
            <v>4QA</v>
          </cell>
          <cell r="AN9" t="str">
            <v>2007A</v>
          </cell>
          <cell r="AO9" t="str">
            <v>1QA</v>
          </cell>
          <cell r="AP9" t="str">
            <v>2QA</v>
          </cell>
          <cell r="AQ9" t="str">
            <v>3QA</v>
          </cell>
          <cell r="AR9" t="str">
            <v>4QA</v>
          </cell>
          <cell r="AS9" t="str">
            <v>2008A</v>
          </cell>
          <cell r="AT9" t="str">
            <v>1QA</v>
          </cell>
          <cell r="AU9" t="str">
            <v>2QA</v>
          </cell>
          <cell r="AV9" t="str">
            <v>3QA</v>
          </cell>
          <cell r="AW9" t="str">
            <v>4QA</v>
          </cell>
          <cell r="AX9" t="str">
            <v>2009A</v>
          </cell>
          <cell r="AY9" t="str">
            <v>1QA</v>
          </cell>
          <cell r="AZ9" t="str">
            <v>2QA</v>
          </cell>
          <cell r="BA9" t="str">
            <v>3QA</v>
          </cell>
          <cell r="BB9" t="str">
            <v>4QA</v>
          </cell>
          <cell r="BC9" t="str">
            <v>2010A</v>
          </cell>
          <cell r="BD9" t="str">
            <v>1QA</v>
          </cell>
          <cell r="BE9" t="str">
            <v>2QA</v>
          </cell>
          <cell r="BF9" t="str">
            <v>3QA</v>
          </cell>
          <cell r="BG9" t="str">
            <v>4QA</v>
          </cell>
          <cell r="BH9" t="str">
            <v>2011A</v>
          </cell>
          <cell r="BI9" t="str">
            <v>1QA</v>
          </cell>
          <cell r="BJ9" t="str">
            <v>2QA</v>
          </cell>
          <cell r="BK9" t="str">
            <v>3QA</v>
          </cell>
          <cell r="BL9" t="str">
            <v>4QA</v>
          </cell>
          <cell r="BM9" t="str">
            <v>2012A</v>
          </cell>
          <cell r="BN9" t="str">
            <v>1QA</v>
          </cell>
          <cell r="BO9" t="str">
            <v>2QA</v>
          </cell>
          <cell r="BP9" t="str">
            <v>3QA</v>
          </cell>
          <cell r="BQ9" t="str">
            <v>4QE</v>
          </cell>
          <cell r="BR9" t="str">
            <v>2013E</v>
          </cell>
          <cell r="BS9" t="str">
            <v>1QE</v>
          </cell>
          <cell r="BT9" t="str">
            <v>2QE</v>
          </cell>
          <cell r="BU9" t="str">
            <v>3QE</v>
          </cell>
          <cell r="BV9" t="str">
            <v>4QE</v>
          </cell>
          <cell r="BW9" t="str">
            <v>2014E</v>
          </cell>
          <cell r="BX9" t="str">
            <v>1QE</v>
          </cell>
          <cell r="BY9" t="str">
            <v>2QE</v>
          </cell>
          <cell r="BZ9" t="str">
            <v>3QE</v>
          </cell>
          <cell r="CA9" t="str">
            <v>4QE</v>
          </cell>
          <cell r="CB9" t="str">
            <v>2015E</v>
          </cell>
          <cell r="CC9" t="str">
            <v>1QE</v>
          </cell>
          <cell r="CD9" t="str">
            <v>2QE</v>
          </cell>
          <cell r="CE9" t="str">
            <v>3QE</v>
          </cell>
          <cell r="CF9" t="str">
            <v>4QE</v>
          </cell>
          <cell r="CG9" t="str">
            <v>2016E</v>
          </cell>
        </row>
        <row r="11">
          <cell r="B11" t="str">
            <v>Net revenues</v>
          </cell>
          <cell r="Y11">
            <v>33.042363000000002</v>
          </cell>
          <cell r="Z11">
            <v>10.572666999999999</v>
          </cell>
          <cell r="AA11">
            <v>12.209203</v>
          </cell>
          <cell r="AB11">
            <v>14.730212999999999</v>
          </cell>
          <cell r="AC11">
            <v>16.610953000000002</v>
          </cell>
          <cell r="AD11">
            <v>54.123035999999999</v>
          </cell>
          <cell r="AE11">
            <v>19.337153000000001</v>
          </cell>
          <cell r="AF11">
            <v>18.52777</v>
          </cell>
          <cell r="AG11">
            <v>21.046199999999999</v>
          </cell>
          <cell r="AH11">
            <v>22.011876999999998</v>
          </cell>
          <cell r="AI11">
            <v>80.923000000000002</v>
          </cell>
          <cell r="AJ11">
            <v>24.321999999999999</v>
          </cell>
          <cell r="AK11">
            <v>23.088000000000001</v>
          </cell>
          <cell r="AL11">
            <v>22.209</v>
          </cell>
          <cell r="AM11">
            <v>23.552</v>
          </cell>
          <cell r="AN11">
            <v>93.170999999999992</v>
          </cell>
          <cell r="AO11">
            <v>24.317</v>
          </cell>
          <cell r="AP11">
            <v>227.755</v>
          </cell>
          <cell r="AQ11">
            <v>318.101</v>
          </cell>
          <cell r="AR11">
            <v>292.76600000000002</v>
          </cell>
          <cell r="AS11">
            <v>862.93900000000008</v>
          </cell>
          <cell r="AT11">
            <v>290.95999999999998</v>
          </cell>
          <cell r="AU11">
            <v>320.82900000000001</v>
          </cell>
          <cell r="AV11">
            <v>383.529</v>
          </cell>
          <cell r="AW11">
            <v>443.31599999999997</v>
          </cell>
          <cell r="AX11">
            <v>1438.634</v>
          </cell>
          <cell r="AY11">
            <v>452.14800000000002</v>
          </cell>
          <cell r="AZ11">
            <v>479.44600000000003</v>
          </cell>
          <cell r="BA11">
            <v>489.92200000000003</v>
          </cell>
          <cell r="BB11">
            <v>526.87199999999996</v>
          </cell>
          <cell r="BC11">
            <v>1948.3879999999999</v>
          </cell>
          <cell r="BD11">
            <v>1097.652</v>
          </cell>
          <cell r="BE11">
            <v>1212.039</v>
          </cell>
          <cell r="BF11">
            <v>1287.29</v>
          </cell>
          <cell r="BG11">
            <v>1378.5139999999999</v>
          </cell>
          <cell r="BH11">
            <v>4975.4949999999999</v>
          </cell>
          <cell r="BI11">
            <v>1717.097</v>
          </cell>
          <cell r="BJ11">
            <v>1702.703</v>
          </cell>
          <cell r="BK11">
            <v>3190.78</v>
          </cell>
          <cell r="BL11">
            <v>3329.54</v>
          </cell>
          <cell r="BM11">
            <v>9940.119999999999</v>
          </cell>
          <cell r="BN11">
            <v>3219.7159999999999</v>
          </cell>
          <cell r="BO11">
            <v>3417.43</v>
          </cell>
          <cell r="BP11">
            <v>3614.1480000000001</v>
          </cell>
          <cell r="BQ11">
            <v>3869.8096956538307</v>
          </cell>
          <cell r="BR11">
            <v>14121.10369565383</v>
          </cell>
          <cell r="BS11">
            <v>4328.7765285598025</v>
          </cell>
          <cell r="BT11">
            <v>4965.7174281665466</v>
          </cell>
          <cell r="BU11">
            <v>4989.6395804635495</v>
          </cell>
          <cell r="BV11">
            <v>5447.1950938653954</v>
          </cell>
          <cell r="BW11">
            <v>19731.328631055294</v>
          </cell>
          <cell r="BX11">
            <v>4775.1207076354549</v>
          </cell>
          <cell r="BY11">
            <v>5595.858382485344</v>
          </cell>
          <cell r="BZ11">
            <v>5761.5570494921003</v>
          </cell>
          <cell r="CA11">
            <v>6289.4266889029777</v>
          </cell>
          <cell r="CB11">
            <v>22421.96282851588</v>
          </cell>
          <cell r="CC11">
            <v>6053.6810514903464</v>
          </cell>
          <cell r="CD11">
            <v>6784.7733407511796</v>
          </cell>
          <cell r="CE11">
            <v>6919.7614595123132</v>
          </cell>
          <cell r="CF11">
            <v>6930.6913188795024</v>
          </cell>
          <cell r="CG11">
            <v>26688.907170633342</v>
          </cell>
        </row>
        <row r="12">
          <cell r="B12" t="str">
            <v>Cost of Revenues</v>
          </cell>
          <cell r="Y12">
            <v>13.459543999999999</v>
          </cell>
          <cell r="Z12">
            <v>4.5199160000000003</v>
          </cell>
          <cell r="AA12">
            <v>4.7950790000000003</v>
          </cell>
          <cell r="AB12">
            <v>5.2325710000000001</v>
          </cell>
          <cell r="AC12">
            <v>6.2272309999999997</v>
          </cell>
          <cell r="AD12">
            <v>20.774797</v>
          </cell>
          <cell r="AE12">
            <v>7.6054789999999999</v>
          </cell>
          <cell r="AF12">
            <v>7.5043509999999998</v>
          </cell>
          <cell r="AG12">
            <v>8.2089400000000001</v>
          </cell>
          <cell r="AH12">
            <v>10.710230000000003</v>
          </cell>
          <cell r="AI12">
            <v>34.029000000000003</v>
          </cell>
          <cell r="AJ12">
            <v>9.6750000000000007</v>
          </cell>
          <cell r="AK12">
            <v>9.6479999999999997</v>
          </cell>
          <cell r="AL12">
            <v>10.3</v>
          </cell>
          <cell r="AM12">
            <v>9.9719999999999995</v>
          </cell>
          <cell r="AN12">
            <v>39.594999999999999</v>
          </cell>
          <cell r="AO12">
            <v>10.837</v>
          </cell>
          <cell r="AP12">
            <v>197.91499999999999</v>
          </cell>
          <cell r="AQ12">
            <v>283.21499999999997</v>
          </cell>
          <cell r="AR12">
            <v>255.48599999999999</v>
          </cell>
          <cell r="AS12">
            <v>747.45299999999997</v>
          </cell>
          <cell r="AT12">
            <v>251.77600000000001</v>
          </cell>
          <cell r="AU12">
            <v>273.61799999999999</v>
          </cell>
          <cell r="AV12">
            <v>335.84899999999999</v>
          </cell>
          <cell r="AW12">
            <v>390.79199999999997</v>
          </cell>
          <cell r="AX12">
            <v>1252.0349999999999</v>
          </cell>
          <cell r="AY12">
            <v>401.91899999999998</v>
          </cell>
          <cell r="AZ12">
            <v>425.70699999999999</v>
          </cell>
          <cell r="BA12">
            <v>437.05799999999999</v>
          </cell>
          <cell r="BB12">
            <v>469.65</v>
          </cell>
          <cell r="BC12">
            <v>1734.3339999999998</v>
          </cell>
          <cell r="BD12">
            <v>1034.0740000000001</v>
          </cell>
          <cell r="BE12">
            <v>1137.836</v>
          </cell>
          <cell r="BF12">
            <v>1204.9480000000001</v>
          </cell>
          <cell r="BG12">
            <v>1289.1479999999999</v>
          </cell>
          <cell r="BH12">
            <v>4666.0060000000003</v>
          </cell>
          <cell r="BI12">
            <v>1606.7080000000001</v>
          </cell>
          <cell r="BJ12">
            <v>1580.1990000000001</v>
          </cell>
          <cell r="BK12">
            <v>2955.8890000000001</v>
          </cell>
          <cell r="BL12">
            <v>3063.9479999999999</v>
          </cell>
          <cell r="BM12">
            <v>9206.7440000000006</v>
          </cell>
          <cell r="BN12">
            <v>2971.3440000000001</v>
          </cell>
          <cell r="BO12">
            <v>3152.8409999999999</v>
          </cell>
          <cell r="BP12">
            <v>3326.36</v>
          </cell>
          <cell r="BQ12">
            <v>3577.6486607445186</v>
          </cell>
          <cell r="BR12">
            <v>13028.193660744519</v>
          </cell>
          <cell r="BS12">
            <v>4058.4548240369982</v>
          </cell>
          <cell r="BT12">
            <v>4645.0399348537012</v>
          </cell>
          <cell r="BU12">
            <v>4686.6184969733367</v>
          </cell>
          <cell r="BV12">
            <v>5085.6695118223824</v>
          </cell>
          <cell r="BW12">
            <v>18475.782767686418</v>
          </cell>
          <cell r="BX12">
            <v>4460.0081993217327</v>
          </cell>
          <cell r="BY12">
            <v>5221.3992876837947</v>
          </cell>
          <cell r="BZ12">
            <v>5406.7405852078064</v>
          </cell>
          <cell r="CA12">
            <v>5864.3405474979691</v>
          </cell>
          <cell r="CB12">
            <v>20952.488619711301</v>
          </cell>
          <cell r="CC12">
            <v>5657.325480743586</v>
          </cell>
          <cell r="CD12">
            <v>6347.4342636622114</v>
          </cell>
          <cell r="CE12">
            <v>6512.6285989516819</v>
          </cell>
          <cell r="CF12">
            <v>6501.6145884270836</v>
          </cell>
          <cell r="CG12">
            <v>25019.002931784566</v>
          </cell>
        </row>
        <row r="13">
          <cell r="B13" t="str">
            <v>Gross Profit</v>
          </cell>
          <cell r="Y13">
            <v>19.582819000000001</v>
          </cell>
          <cell r="Z13">
            <v>6.0527509999999989</v>
          </cell>
          <cell r="AA13">
            <v>7.4141240000000002</v>
          </cell>
          <cell r="AB13">
            <v>9.497641999999999</v>
          </cell>
          <cell r="AC13">
            <v>10.383722000000002</v>
          </cell>
          <cell r="AD13">
            <v>33.348239</v>
          </cell>
          <cell r="AE13">
            <v>11.731674000000002</v>
          </cell>
          <cell r="AF13">
            <v>11.023419000000001</v>
          </cell>
          <cell r="AG13">
            <v>12.837259999999999</v>
          </cell>
          <cell r="AH13">
            <v>11.301646999999996</v>
          </cell>
          <cell r="AI13">
            <v>46.893999999999998</v>
          </cell>
          <cell r="AJ13">
            <v>14.646999999999998</v>
          </cell>
          <cell r="AK13">
            <v>13.440000000000001</v>
          </cell>
          <cell r="AL13">
            <v>11.908999999999999</v>
          </cell>
          <cell r="AM13">
            <v>13.58</v>
          </cell>
          <cell r="AN13">
            <v>53.575999999999993</v>
          </cell>
          <cell r="AO13">
            <v>13.48</v>
          </cell>
          <cell r="AP13">
            <v>29.840000000000003</v>
          </cell>
          <cell r="AQ13">
            <v>34.886000000000024</v>
          </cell>
          <cell r="AR13">
            <v>37.28000000000003</v>
          </cell>
          <cell r="AS13">
            <v>115.4860000000001</v>
          </cell>
          <cell r="AT13">
            <v>39.183999999999969</v>
          </cell>
          <cell r="AU13">
            <v>47.211000000000013</v>
          </cell>
          <cell r="AV13">
            <v>47.680000000000007</v>
          </cell>
          <cell r="AW13">
            <v>52.524000000000001</v>
          </cell>
          <cell r="AX13">
            <v>186.59900000000016</v>
          </cell>
          <cell r="AY13">
            <v>50.229000000000042</v>
          </cell>
          <cell r="AZ13">
            <v>53.739000000000033</v>
          </cell>
          <cell r="BA13">
            <v>52.864000000000033</v>
          </cell>
          <cell r="BB13">
            <v>57.22199999999998</v>
          </cell>
          <cell r="BC13">
            <v>214.05400000000009</v>
          </cell>
          <cell r="BD13">
            <v>63.577999999999975</v>
          </cell>
          <cell r="BE13">
            <v>74.202999999999975</v>
          </cell>
          <cell r="BF13">
            <v>82.341999999999871</v>
          </cell>
          <cell r="BG13">
            <v>89.365999999999985</v>
          </cell>
          <cell r="BH13">
            <v>309.48899999999958</v>
          </cell>
          <cell r="BI13">
            <v>110.3889999999999</v>
          </cell>
          <cell r="BJ13">
            <v>122.50399999999991</v>
          </cell>
          <cell r="BK13">
            <v>234.89100000000008</v>
          </cell>
          <cell r="BL13">
            <v>265.5920000000001</v>
          </cell>
          <cell r="BM13">
            <v>733.37599999999838</v>
          </cell>
          <cell r="BN13">
            <v>248.37199999999984</v>
          </cell>
          <cell r="BO13">
            <v>264.58899999999994</v>
          </cell>
          <cell r="BP13">
            <v>287.78800000000001</v>
          </cell>
          <cell r="BQ13">
            <v>292.16103490931209</v>
          </cell>
          <cell r="BR13">
            <v>1092.9100349093114</v>
          </cell>
          <cell r="BS13">
            <v>270.32170452280434</v>
          </cell>
          <cell r="BT13">
            <v>320.6774933128454</v>
          </cell>
          <cell r="BU13">
            <v>303.02108349021273</v>
          </cell>
          <cell r="BV13">
            <v>361.52558204301295</v>
          </cell>
          <cell r="BW13">
            <v>1255.5458633688759</v>
          </cell>
          <cell r="BX13">
            <v>315.11250831372217</v>
          </cell>
          <cell r="BY13">
            <v>374.45909480154933</v>
          </cell>
          <cell r="BZ13">
            <v>354.81646428429394</v>
          </cell>
          <cell r="CA13">
            <v>425.08614140500868</v>
          </cell>
          <cell r="CB13">
            <v>1469.4742088045787</v>
          </cell>
          <cell r="CC13">
            <v>396.35557074676035</v>
          </cell>
          <cell r="CD13">
            <v>437.33907708896822</v>
          </cell>
          <cell r="CE13">
            <v>407.13286056063134</v>
          </cell>
          <cell r="CF13">
            <v>429.07673045241881</v>
          </cell>
          <cell r="CG13">
            <v>1669.904238848776</v>
          </cell>
        </row>
        <row r="14">
          <cell r="B14" t="str">
            <v>Product development costs</v>
          </cell>
          <cell r="Y14">
            <v>6.9930199999999996</v>
          </cell>
          <cell r="Z14">
            <v>2.1613090000000001</v>
          </cell>
          <cell r="AA14">
            <v>2.2956660000000002</v>
          </cell>
          <cell r="AB14">
            <v>2.3187820000000001</v>
          </cell>
          <cell r="AC14">
            <v>2.1804119999999987</v>
          </cell>
          <cell r="AD14">
            <v>8.9561689999999992</v>
          </cell>
          <cell r="AE14">
            <v>2.8631759999999997</v>
          </cell>
          <cell r="AF14">
            <v>2.0640269999999998</v>
          </cell>
          <cell r="AG14">
            <v>2.2779370000000001</v>
          </cell>
          <cell r="AH14">
            <v>2.4108599999999996</v>
          </cell>
          <cell r="AI14">
            <v>9.6159999999999997</v>
          </cell>
          <cell r="AJ14">
            <v>2.9380000000000002</v>
          </cell>
          <cell r="AK14">
            <v>2.6419999999999999</v>
          </cell>
          <cell r="AL14">
            <v>2.419</v>
          </cell>
          <cell r="AM14">
            <v>2.2069999999999999</v>
          </cell>
          <cell r="AN14">
            <v>10.206</v>
          </cell>
          <cell r="AO14">
            <v>2.4580000000000002</v>
          </cell>
          <cell r="AP14">
            <v>2.48</v>
          </cell>
          <cell r="AQ14">
            <v>2.4860000000000002</v>
          </cell>
          <cell r="AR14">
            <v>2.68</v>
          </cell>
          <cell r="AS14">
            <v>10.104000000000001</v>
          </cell>
          <cell r="AT14">
            <v>3.1629999999999998</v>
          </cell>
          <cell r="AU14">
            <v>3.0270000000000001</v>
          </cell>
          <cell r="AV14">
            <v>2.8330000000000002</v>
          </cell>
          <cell r="AW14">
            <v>2.927</v>
          </cell>
          <cell r="AX14">
            <v>11.95</v>
          </cell>
          <cell r="AY14">
            <v>3.073</v>
          </cell>
          <cell r="AZ14">
            <v>3.0209999999999999</v>
          </cell>
          <cell r="BA14">
            <v>3.0750000000000002</v>
          </cell>
          <cell r="BB14">
            <v>3.2589999999999999</v>
          </cell>
          <cell r="BC14">
            <v>12.428000000000001</v>
          </cell>
          <cell r="BD14">
            <v>3.36</v>
          </cell>
          <cell r="BE14">
            <v>3.6659999999999999</v>
          </cell>
          <cell r="BF14">
            <v>3.5979999999999999</v>
          </cell>
          <cell r="BG14">
            <v>3.7029999999999998</v>
          </cell>
          <cell r="BH14">
            <v>14.326999999999998</v>
          </cell>
          <cell r="BI14">
            <v>3.0739999999999998</v>
          </cell>
          <cell r="BJ14">
            <v>3.4359999999999999</v>
          </cell>
          <cell r="BM14">
            <v>6.51</v>
          </cell>
          <cell r="BO14">
            <v>3.4619640566581711</v>
          </cell>
          <cell r="BP14">
            <v>3.6653710336252536</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row>
        <row r="15">
          <cell r="B15" t="str">
            <v>SXC SG&amp;A</v>
          </cell>
          <cell r="Y15">
            <v>7.84755</v>
          </cell>
          <cell r="Z15">
            <v>2.716472</v>
          </cell>
          <cell r="AA15">
            <v>2.8209919999999999</v>
          </cell>
          <cell r="AB15">
            <v>3.7426729999999999</v>
          </cell>
          <cell r="AC15">
            <v>3.9209060000000004</v>
          </cell>
          <cell r="AD15">
            <v>13.201043</v>
          </cell>
          <cell r="AE15">
            <v>4.3474620000000002</v>
          </cell>
          <cell r="AF15">
            <v>4.7830279999999998</v>
          </cell>
          <cell r="AG15">
            <v>5.018529</v>
          </cell>
          <cell r="AH15">
            <v>4.5069809999999997</v>
          </cell>
          <cell r="AI15">
            <v>18.655999999999999</v>
          </cell>
          <cell r="AJ15">
            <v>6.19</v>
          </cell>
          <cell r="AK15">
            <v>7.016</v>
          </cell>
          <cell r="AL15">
            <v>7.2949999999999999</v>
          </cell>
          <cell r="AM15">
            <v>6.0309999999999997</v>
          </cell>
          <cell r="AN15">
            <v>26.531999999999996</v>
          </cell>
          <cell r="AO15">
            <v>5.8710000000000004</v>
          </cell>
          <cell r="AP15">
            <v>19.556999999999999</v>
          </cell>
          <cell r="AQ15">
            <v>21.863</v>
          </cell>
          <cell r="AR15">
            <v>21.501000000000001</v>
          </cell>
          <cell r="AS15">
            <v>68.792000000000002</v>
          </cell>
          <cell r="AT15">
            <v>20.797000000000001</v>
          </cell>
          <cell r="AU15">
            <v>21.907</v>
          </cell>
          <cell r="AV15">
            <v>22.152999999999999</v>
          </cell>
          <cell r="AW15">
            <v>20.94</v>
          </cell>
          <cell r="AX15">
            <v>85.796999999999997</v>
          </cell>
          <cell r="AY15">
            <v>21.308</v>
          </cell>
          <cell r="AZ15">
            <v>21.486000000000001</v>
          </cell>
          <cell r="BA15">
            <v>21.606999999999999</v>
          </cell>
          <cell r="BB15">
            <v>24.850999999999999</v>
          </cell>
          <cell r="BC15">
            <v>89.251999999999995</v>
          </cell>
          <cell r="BD15">
            <v>27.437999999999999</v>
          </cell>
          <cell r="BE15">
            <v>32.228999999999999</v>
          </cell>
          <cell r="BF15">
            <v>33.773000000000003</v>
          </cell>
          <cell r="BG15">
            <v>38.018000000000001</v>
          </cell>
          <cell r="BH15">
            <v>131.458</v>
          </cell>
          <cell r="BI15">
            <v>53.64</v>
          </cell>
          <cell r="BJ15">
            <v>54.823</v>
          </cell>
          <cell r="BM15">
            <v>108.46299999999999</v>
          </cell>
          <cell r="BO15">
            <v>65.064326613677864</v>
          </cell>
          <cell r="BP15">
            <v>78.424292527688749</v>
          </cell>
          <cell r="BQ15">
            <v>87.776490424725864</v>
          </cell>
          <cell r="BR15">
            <v>87.776490424725864</v>
          </cell>
          <cell r="BS15">
            <v>71.756741032424571</v>
          </cell>
          <cell r="BT15">
            <v>87.451922750857733</v>
          </cell>
          <cell r="BU15">
            <v>88.622860823777643</v>
          </cell>
          <cell r="BV15">
            <v>99.467787285801791</v>
          </cell>
          <cell r="BW15">
            <v>347.29931189286174</v>
          </cell>
          <cell r="BX15">
            <v>87.61671464563338</v>
          </cell>
          <cell r="BY15">
            <v>108.46519347612882</v>
          </cell>
          <cell r="BZ15">
            <v>112.62956127577648</v>
          </cell>
          <cell r="CA15">
            <v>126.04630157399784</v>
          </cell>
          <cell r="CB15">
            <v>434.7577709715365</v>
          </cell>
          <cell r="CC15">
            <v>0</v>
          </cell>
          <cell r="CD15">
            <v>0</v>
          </cell>
          <cell r="CE15">
            <v>0</v>
          </cell>
          <cell r="CF15">
            <v>0</v>
          </cell>
          <cell r="CG15">
            <v>0</v>
          </cell>
        </row>
        <row r="16">
          <cell r="B16" t="str">
            <v>Catalyst SG&amp;A</v>
          </cell>
          <cell r="BM16">
            <v>0</v>
          </cell>
          <cell r="BO16">
            <v>51.760936737962851</v>
          </cell>
          <cell r="BP16">
            <v>52.279007423403769</v>
          </cell>
          <cell r="BQ16">
            <v>53.471563466638933</v>
          </cell>
          <cell r="BR16">
            <v>53.471563466638933</v>
          </cell>
          <cell r="BS16">
            <v>53.777778295809703</v>
          </cell>
          <cell r="BT16">
            <v>56.553882665972147</v>
          </cell>
          <cell r="BU16">
            <v>56.076687009665314</v>
          </cell>
          <cell r="BV16">
            <v>58.50087043629469</v>
          </cell>
          <cell r="BW16">
            <v>224.90921840774186</v>
          </cell>
          <cell r="BX16">
            <v>55.63690658343026</v>
          </cell>
          <cell r="BY16">
            <v>59.410557998431486</v>
          </cell>
          <cell r="BZ16">
            <v>60.217150208986524</v>
          </cell>
          <cell r="CA16">
            <v>62.636499093091501</v>
          </cell>
          <cell r="CB16">
            <v>237.90111388393979</v>
          </cell>
          <cell r="CC16">
            <v>55.63690658343026</v>
          </cell>
          <cell r="CD16">
            <v>59.410557998431486</v>
          </cell>
          <cell r="CE16">
            <v>60.217150208986524</v>
          </cell>
          <cell r="CF16">
            <v>62.636499093091501</v>
          </cell>
          <cell r="CG16">
            <v>237.90111388393979</v>
          </cell>
        </row>
        <row r="17">
          <cell r="B17" t="str">
            <v>Total SG&amp;A</v>
          </cell>
          <cell r="Y17">
            <v>14.84057</v>
          </cell>
          <cell r="Z17">
            <v>4.8777810000000006</v>
          </cell>
          <cell r="AA17">
            <v>5.1166580000000002</v>
          </cell>
          <cell r="AB17">
            <v>6.0614550000000005</v>
          </cell>
          <cell r="AC17">
            <v>6.1013179999999991</v>
          </cell>
          <cell r="AD17">
            <v>22.157212000000001</v>
          </cell>
          <cell r="AE17">
            <v>7.2106379999999994</v>
          </cell>
          <cell r="AF17">
            <v>6.8470549999999992</v>
          </cell>
          <cell r="AG17">
            <v>7.2964660000000006</v>
          </cell>
          <cell r="AH17">
            <v>6.9178409999999992</v>
          </cell>
          <cell r="AI17">
            <v>28.271999999999998</v>
          </cell>
          <cell r="AJ17">
            <v>9.1280000000000001</v>
          </cell>
          <cell r="AK17">
            <v>9.6579999999999995</v>
          </cell>
          <cell r="AL17">
            <v>9.7140000000000004</v>
          </cell>
          <cell r="AM17">
            <v>8.2379999999999995</v>
          </cell>
          <cell r="AN17">
            <v>36.738</v>
          </cell>
          <cell r="AO17">
            <v>8.3290000000000006</v>
          </cell>
          <cell r="AP17">
            <v>22.036999999999999</v>
          </cell>
          <cell r="AQ17">
            <v>24.349</v>
          </cell>
          <cell r="AR17">
            <v>24.181000000000001</v>
          </cell>
          <cell r="AS17">
            <v>78.896000000000001</v>
          </cell>
          <cell r="AT17">
            <v>23.96</v>
          </cell>
          <cell r="AU17">
            <v>24.934000000000001</v>
          </cell>
          <cell r="AV17">
            <v>24.985999999999997</v>
          </cell>
          <cell r="AW17">
            <v>23.867000000000001</v>
          </cell>
          <cell r="AX17">
            <v>97.747</v>
          </cell>
          <cell r="AY17">
            <v>24.381</v>
          </cell>
          <cell r="AZ17">
            <v>24.507000000000001</v>
          </cell>
          <cell r="BA17">
            <v>24.681999999999999</v>
          </cell>
          <cell r="BB17">
            <v>28.11</v>
          </cell>
          <cell r="BC17">
            <v>101.67999999999999</v>
          </cell>
          <cell r="BD17">
            <v>30.797999999999998</v>
          </cell>
          <cell r="BE17">
            <v>35.894999999999996</v>
          </cell>
          <cell r="BF17">
            <v>37.371000000000002</v>
          </cell>
          <cell r="BG17">
            <v>41.721000000000004</v>
          </cell>
          <cell r="BH17">
            <v>145.785</v>
          </cell>
          <cell r="BI17">
            <v>56.713999999999999</v>
          </cell>
          <cell r="BJ17">
            <v>58.259</v>
          </cell>
          <cell r="BK17">
            <v>97.616000000000014</v>
          </cell>
          <cell r="BL17">
            <v>112.7</v>
          </cell>
          <cell r="BM17">
            <v>325.28899999999999</v>
          </cell>
          <cell r="BN17">
            <v>100.495</v>
          </cell>
          <cell r="BO17">
            <v>99.888000000000005</v>
          </cell>
          <cell r="BP17">
            <v>110.45399999999999</v>
          </cell>
          <cell r="BQ17">
            <v>141.2480538913648</v>
          </cell>
          <cell r="BR17">
            <v>452.08505389136479</v>
          </cell>
          <cell r="BS17">
            <v>125.53451932823428</v>
          </cell>
          <cell r="BT17">
            <v>144.00580541682987</v>
          </cell>
          <cell r="BU17">
            <v>144.69954783344295</v>
          </cell>
          <cell r="BV17">
            <v>157.96865772209648</v>
          </cell>
          <cell r="BW17">
            <v>572.20853030060357</v>
          </cell>
          <cell r="BX17">
            <v>143.25362122906364</v>
          </cell>
          <cell r="BY17">
            <v>167.8757514745603</v>
          </cell>
          <cell r="BZ17">
            <v>172.84671148476301</v>
          </cell>
          <cell r="CA17">
            <v>188.68280066708934</v>
          </cell>
          <cell r="CB17">
            <v>672.65888485547634</v>
          </cell>
          <cell r="CC17">
            <v>144.68297713061929</v>
          </cell>
          <cell r="CD17">
            <v>156.04978683727714</v>
          </cell>
          <cell r="CE17">
            <v>159.15451356878319</v>
          </cell>
          <cell r="CF17">
            <v>159.40590033422856</v>
          </cell>
          <cell r="CG17">
            <v>619.29317787090815</v>
          </cell>
        </row>
        <row r="18">
          <cell r="B18" t="str">
            <v>Depreciation of property and equipment</v>
          </cell>
          <cell r="Y18">
            <v>0</v>
          </cell>
          <cell r="Z18">
            <v>0</v>
          </cell>
          <cell r="AA18">
            <v>0</v>
          </cell>
          <cell r="AB18">
            <v>0</v>
          </cell>
          <cell r="AC18">
            <v>0</v>
          </cell>
          <cell r="AD18">
            <v>0</v>
          </cell>
          <cell r="AE18">
            <v>0.89662500000000001</v>
          </cell>
          <cell r="AF18">
            <v>1.049922</v>
          </cell>
          <cell r="AG18">
            <v>1.1917469999999999</v>
          </cell>
          <cell r="AH18">
            <v>-1.5072940000000001</v>
          </cell>
          <cell r="AI18">
            <v>1.631</v>
          </cell>
          <cell r="AJ18">
            <v>0.57799999999999996</v>
          </cell>
          <cell r="AK18">
            <v>0.59</v>
          </cell>
          <cell r="AL18">
            <v>0.65100000000000002</v>
          </cell>
          <cell r="AM18">
            <v>0.65700000000000003</v>
          </cell>
          <cell r="AN18">
            <v>2.476</v>
          </cell>
          <cell r="AO18">
            <v>0.76200000000000001</v>
          </cell>
          <cell r="AP18">
            <v>1.4330000000000001</v>
          </cell>
          <cell r="AQ18">
            <v>1.222</v>
          </cell>
          <cell r="AR18">
            <v>1.3939999999999999</v>
          </cell>
          <cell r="AS18">
            <v>4.8109999999999999</v>
          </cell>
          <cell r="AT18">
            <v>1.482</v>
          </cell>
          <cell r="AU18">
            <v>1.405</v>
          </cell>
          <cell r="AV18">
            <v>1.4670000000000001</v>
          </cell>
          <cell r="AW18">
            <v>1.4570000000000001</v>
          </cell>
          <cell r="AX18">
            <v>5.8109999999999999</v>
          </cell>
          <cell r="AY18">
            <v>1.4810000000000001</v>
          </cell>
          <cell r="AZ18">
            <v>1.5369999999999999</v>
          </cell>
          <cell r="BA18">
            <v>1.4630000000000001</v>
          </cell>
          <cell r="BB18">
            <v>1.5129999999999999</v>
          </cell>
          <cell r="BC18">
            <v>5.9939999999999998</v>
          </cell>
          <cell r="BD18">
            <v>1.5940000000000001</v>
          </cell>
          <cell r="BE18">
            <v>1.5820000000000001</v>
          </cell>
          <cell r="BF18">
            <v>1.5880000000000001</v>
          </cell>
          <cell r="BG18">
            <v>1.9810000000000001</v>
          </cell>
          <cell r="BH18">
            <v>6.7450000000000001</v>
          </cell>
          <cell r="BI18">
            <v>2.3559999999999999</v>
          </cell>
          <cell r="BJ18">
            <v>2.4790000000000001</v>
          </cell>
          <cell r="BK18">
            <v>5.7169999999999996</v>
          </cell>
          <cell r="BL18">
            <v>6.1959999999999997</v>
          </cell>
          <cell r="BM18">
            <v>16.747999999999998</v>
          </cell>
          <cell r="BN18">
            <v>6.97</v>
          </cell>
          <cell r="BO18">
            <v>7.9379999999999997</v>
          </cell>
          <cell r="BP18">
            <v>9.9789999999999992</v>
          </cell>
          <cell r="BQ18">
            <v>9.9789999999999992</v>
          </cell>
          <cell r="BR18">
            <v>34.866</v>
          </cell>
          <cell r="BS18">
            <v>9.9789999999999992</v>
          </cell>
          <cell r="BT18">
            <v>9.9789999999999992</v>
          </cell>
          <cell r="BU18">
            <v>9.9789999999999992</v>
          </cell>
          <cell r="BV18">
            <v>9.9789999999999992</v>
          </cell>
          <cell r="BW18">
            <v>39.915999999999997</v>
          </cell>
          <cell r="BX18">
            <v>9.9789999999999992</v>
          </cell>
          <cell r="BY18">
            <v>9.9789999999999992</v>
          </cell>
          <cell r="BZ18">
            <v>9.9789999999999992</v>
          </cell>
          <cell r="CA18">
            <v>9.9789999999999992</v>
          </cell>
          <cell r="CB18">
            <v>39.915999999999997</v>
          </cell>
          <cell r="CC18">
            <v>19.442</v>
          </cell>
          <cell r="CD18">
            <v>19.442</v>
          </cell>
          <cell r="CE18">
            <v>19.442</v>
          </cell>
          <cell r="CF18">
            <v>19.442</v>
          </cell>
          <cell r="CG18">
            <v>77.768000000000001</v>
          </cell>
        </row>
        <row r="19">
          <cell r="B19" t="str">
            <v>Operating Expenses</v>
          </cell>
          <cell r="Y19">
            <v>14.84057</v>
          </cell>
          <cell r="Z19">
            <v>4.8777810000000006</v>
          </cell>
          <cell r="AA19">
            <v>5.1166580000000002</v>
          </cell>
          <cell r="AB19">
            <v>6.0614550000000005</v>
          </cell>
          <cell r="AC19">
            <v>6.1013179999999991</v>
          </cell>
          <cell r="AD19">
            <v>22.157212000000001</v>
          </cell>
          <cell r="AE19">
            <v>8.1072629999999997</v>
          </cell>
          <cell r="AF19">
            <v>7.8969769999999997</v>
          </cell>
          <cell r="AG19">
            <v>8.488213</v>
          </cell>
          <cell r="AH19">
            <v>5.4105469999999993</v>
          </cell>
          <cell r="AI19">
            <v>29.902999999999999</v>
          </cell>
          <cell r="AJ19">
            <v>9.7059999999999995</v>
          </cell>
          <cell r="AK19">
            <v>10.247999999999999</v>
          </cell>
          <cell r="AL19">
            <v>10.365</v>
          </cell>
          <cell r="AM19">
            <v>8.8949999999999996</v>
          </cell>
          <cell r="AN19">
            <v>39.213999999999999</v>
          </cell>
          <cell r="AO19">
            <v>9.0910000000000011</v>
          </cell>
          <cell r="AP19">
            <v>23.47</v>
          </cell>
          <cell r="AQ19">
            <v>25.570999999999998</v>
          </cell>
          <cell r="AR19">
            <v>25.575000000000003</v>
          </cell>
          <cell r="AS19">
            <v>83.707000000000008</v>
          </cell>
          <cell r="AT19">
            <v>25.442</v>
          </cell>
          <cell r="AU19">
            <v>26.338999999999999</v>
          </cell>
          <cell r="AV19">
            <v>26.452999999999999</v>
          </cell>
          <cell r="AW19">
            <v>25.324000000000002</v>
          </cell>
          <cell r="AX19">
            <v>103.55799999999999</v>
          </cell>
          <cell r="AY19">
            <v>25.862000000000002</v>
          </cell>
          <cell r="AZ19">
            <v>26.044</v>
          </cell>
          <cell r="BA19">
            <v>26.145</v>
          </cell>
          <cell r="BB19">
            <v>29.622999999999998</v>
          </cell>
          <cell r="BC19">
            <v>107.67399999999999</v>
          </cell>
          <cell r="BD19">
            <v>32.391999999999996</v>
          </cell>
          <cell r="BE19">
            <v>37.476999999999997</v>
          </cell>
          <cell r="BF19">
            <v>38.959000000000003</v>
          </cell>
          <cell r="BG19">
            <v>43.701999999999998</v>
          </cell>
          <cell r="BH19">
            <v>152.53</v>
          </cell>
          <cell r="BI19">
            <v>59.07</v>
          </cell>
          <cell r="BJ19">
            <v>60.738</v>
          </cell>
          <cell r="BK19">
            <v>103.33300000000001</v>
          </cell>
          <cell r="BL19">
            <v>118.896</v>
          </cell>
          <cell r="BM19">
            <v>131.721</v>
          </cell>
          <cell r="BN19">
            <v>107.465</v>
          </cell>
          <cell r="BO19">
            <v>107.82600000000001</v>
          </cell>
          <cell r="BP19">
            <v>120.43299999999999</v>
          </cell>
          <cell r="BQ19">
            <v>151.22705389136479</v>
          </cell>
          <cell r="BR19">
            <v>176.11405389136479</v>
          </cell>
          <cell r="BS19">
            <v>135.51351932823428</v>
          </cell>
          <cell r="BT19">
            <v>153.98480541682989</v>
          </cell>
          <cell r="BU19">
            <v>154.67854783344296</v>
          </cell>
          <cell r="BV19">
            <v>167.94765772209649</v>
          </cell>
          <cell r="BW19">
            <v>612.12453030060362</v>
          </cell>
          <cell r="BX19">
            <v>153.23262122906362</v>
          </cell>
          <cell r="BY19">
            <v>177.85475147456032</v>
          </cell>
          <cell r="BZ19">
            <v>182.82571148476302</v>
          </cell>
          <cell r="CA19">
            <v>198.66180066708932</v>
          </cell>
          <cell r="CB19">
            <v>712.57488485547628</v>
          </cell>
          <cell r="CC19">
            <v>164.1249771306193</v>
          </cell>
          <cell r="CD19">
            <v>175.49178683727715</v>
          </cell>
          <cell r="CE19">
            <v>178.59651356878319</v>
          </cell>
          <cell r="CF19">
            <v>178.84790033422857</v>
          </cell>
          <cell r="CG19">
            <v>697.06117787090818</v>
          </cell>
        </row>
        <row r="20">
          <cell r="B20" t="str">
            <v>Synergies</v>
          </cell>
          <cell r="BI20">
            <v>0</v>
          </cell>
          <cell r="BJ20">
            <v>0</v>
          </cell>
          <cell r="BK20">
            <v>16</v>
          </cell>
          <cell r="BL20">
            <v>18</v>
          </cell>
          <cell r="BM20">
            <v>34</v>
          </cell>
          <cell r="BN20">
            <v>0</v>
          </cell>
          <cell r="BO20">
            <v>0</v>
          </cell>
          <cell r="BP20">
            <v>0</v>
          </cell>
          <cell r="BQ20">
            <v>43.75</v>
          </cell>
          <cell r="BR20">
            <v>43.75</v>
          </cell>
          <cell r="BS20">
            <v>43.75</v>
          </cell>
          <cell r="BT20">
            <v>43.75</v>
          </cell>
          <cell r="BU20">
            <v>43.75</v>
          </cell>
          <cell r="BV20">
            <v>43.75</v>
          </cell>
          <cell r="BW20">
            <v>175</v>
          </cell>
          <cell r="BX20">
            <v>43.75</v>
          </cell>
          <cell r="BY20">
            <v>43.75</v>
          </cell>
          <cell r="BZ20">
            <v>43.75</v>
          </cell>
          <cell r="CA20">
            <v>43.75</v>
          </cell>
          <cell r="CB20">
            <v>175</v>
          </cell>
          <cell r="CC20">
            <v>0</v>
          </cell>
          <cell r="CD20">
            <v>0</v>
          </cell>
          <cell r="CE20">
            <v>0</v>
          </cell>
          <cell r="CF20">
            <v>0</v>
          </cell>
          <cell r="CG20">
            <v>0</v>
          </cell>
        </row>
        <row r="21">
          <cell r="B21" t="str">
            <v>Transaction Costs</v>
          </cell>
          <cell r="BI21">
            <v>0</v>
          </cell>
          <cell r="BJ21">
            <v>-6.4</v>
          </cell>
          <cell r="BK21">
            <v>-36.1</v>
          </cell>
          <cell r="BL21">
            <v>-1.7000000000000011</v>
          </cell>
          <cell r="BM21">
            <v>-44.2</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row>
        <row r="22">
          <cell r="B22" t="str">
            <v>Synergies, Net of Transaction Costs</v>
          </cell>
          <cell r="BI22">
            <v>0</v>
          </cell>
          <cell r="BJ22">
            <v>-6.4</v>
          </cell>
          <cell r="BK22">
            <v>-20.100000000000001</v>
          </cell>
          <cell r="BL22">
            <v>16.299999999999997</v>
          </cell>
          <cell r="BM22">
            <v>-10.200000000000003</v>
          </cell>
          <cell r="BN22">
            <v>0</v>
          </cell>
          <cell r="BO22">
            <v>0</v>
          </cell>
          <cell r="BP22">
            <v>0</v>
          </cell>
          <cell r="BQ22">
            <v>43.75</v>
          </cell>
          <cell r="BR22">
            <v>43.75</v>
          </cell>
          <cell r="BS22">
            <v>43.75</v>
          </cell>
          <cell r="BT22">
            <v>43.75</v>
          </cell>
          <cell r="BU22">
            <v>43.75</v>
          </cell>
          <cell r="BV22">
            <v>43.75</v>
          </cell>
          <cell r="BW22">
            <v>175</v>
          </cell>
          <cell r="BX22">
            <v>43.75</v>
          </cell>
          <cell r="BY22">
            <v>43.75</v>
          </cell>
          <cell r="BZ22">
            <v>43.75</v>
          </cell>
          <cell r="CA22">
            <v>43.75</v>
          </cell>
          <cell r="CB22">
            <v>175</v>
          </cell>
          <cell r="CC22">
            <v>0</v>
          </cell>
          <cell r="CD22">
            <v>0</v>
          </cell>
          <cell r="CE22">
            <v>0</v>
          </cell>
          <cell r="CF22">
            <v>0</v>
          </cell>
          <cell r="CG22">
            <v>0</v>
          </cell>
        </row>
        <row r="23">
          <cell r="B23" t="str">
            <v>EBIT (non-GAAP)</v>
          </cell>
          <cell r="Y23">
            <v>4.742249000000001</v>
          </cell>
          <cell r="Z23">
            <v>1.1749699999999983</v>
          </cell>
          <cell r="AA23">
            <v>2.297466</v>
          </cell>
          <cell r="AB23">
            <v>3.4361869999999985</v>
          </cell>
          <cell r="AC23">
            <v>4.2824040000000032</v>
          </cell>
          <cell r="AD23">
            <v>11.191026999999998</v>
          </cell>
          <cell r="AE23">
            <v>3.624411000000002</v>
          </cell>
          <cell r="AF23">
            <v>3.1264420000000008</v>
          </cell>
          <cell r="AG23">
            <v>4.3490469999999988</v>
          </cell>
          <cell r="AH23">
            <v>5.8910999999999962</v>
          </cell>
          <cell r="AI23">
            <v>16.991</v>
          </cell>
          <cell r="AJ23">
            <v>4.9409999999999989</v>
          </cell>
          <cell r="AK23">
            <v>3.1920000000000019</v>
          </cell>
          <cell r="AL23">
            <v>1.5439999999999987</v>
          </cell>
          <cell r="AM23">
            <v>4.6850000000000005</v>
          </cell>
          <cell r="AN23">
            <v>14.361999999999995</v>
          </cell>
          <cell r="AO23">
            <v>4.3889999999999993</v>
          </cell>
          <cell r="AP23">
            <v>6.3700000000000045</v>
          </cell>
          <cell r="AQ23">
            <v>9.3150000000000261</v>
          </cell>
          <cell r="AR23">
            <v>11.705000000000027</v>
          </cell>
          <cell r="AS23">
            <v>31.779000000000096</v>
          </cell>
          <cell r="AT23">
            <v>13.741999999999969</v>
          </cell>
          <cell r="AU23">
            <v>20.872000000000014</v>
          </cell>
          <cell r="AV23">
            <v>21.227000000000007</v>
          </cell>
          <cell r="AW23">
            <v>27.2</v>
          </cell>
          <cell r="AX23">
            <v>83.041000000000167</v>
          </cell>
          <cell r="AY23">
            <v>24.36700000000004</v>
          </cell>
          <cell r="AZ23">
            <v>27.695000000000032</v>
          </cell>
          <cell r="BA23">
            <v>26.719000000000033</v>
          </cell>
          <cell r="BB23">
            <v>27.598999999999982</v>
          </cell>
          <cell r="BC23">
            <v>106.38000000000009</v>
          </cell>
          <cell r="BD23">
            <v>31.185999999999979</v>
          </cell>
          <cell r="BE23">
            <v>36.725999999999978</v>
          </cell>
          <cell r="BF23">
            <v>43.382999999999868</v>
          </cell>
          <cell r="BG23">
            <v>45.663999999999987</v>
          </cell>
          <cell r="BH23">
            <v>156.95899999999958</v>
          </cell>
          <cell r="BI23">
            <v>51.318999999999896</v>
          </cell>
          <cell r="BJ23">
            <v>55.365999999999907</v>
          </cell>
          <cell r="BK23">
            <v>95.458000000000055</v>
          </cell>
          <cell r="BL23">
            <v>144.99600000000009</v>
          </cell>
          <cell r="BM23">
            <v>347.13899999999995</v>
          </cell>
          <cell r="BN23">
            <v>140.90699999999984</v>
          </cell>
          <cell r="BO23">
            <v>156.76299999999992</v>
          </cell>
          <cell r="BP23">
            <v>167.35500000000002</v>
          </cell>
          <cell r="BQ23">
            <v>184.6839810179473</v>
          </cell>
          <cell r="BR23">
            <v>649.70898101794705</v>
          </cell>
          <cell r="BS23">
            <v>178.55818519457006</v>
          </cell>
          <cell r="BT23">
            <v>210.44268789601551</v>
          </cell>
          <cell r="BU23">
            <v>192.09253565676977</v>
          </cell>
          <cell r="BV23">
            <v>237.32792432091645</v>
          </cell>
          <cell r="BW23">
            <v>818.42133306827191</v>
          </cell>
          <cell r="BX23">
            <v>205.62988708465855</v>
          </cell>
          <cell r="BY23">
            <v>240.35434332698901</v>
          </cell>
          <cell r="BZ23">
            <v>215.74075279953092</v>
          </cell>
          <cell r="CA23">
            <v>270.17434073791935</v>
          </cell>
          <cell r="CB23">
            <v>931.89932394909783</v>
          </cell>
          <cell r="CC23">
            <v>232.23059361614105</v>
          </cell>
          <cell r="CD23">
            <v>261.84729025169111</v>
          </cell>
          <cell r="CE23">
            <v>228.53634699184815</v>
          </cell>
          <cell r="CF23">
            <v>250.22883011819025</v>
          </cell>
          <cell r="CG23">
            <v>972.84306097786782</v>
          </cell>
        </row>
        <row r="24">
          <cell r="B24" t="str">
            <v>Interest income</v>
          </cell>
          <cell r="Y24">
            <v>0.20331299999999999</v>
          </cell>
          <cell r="Z24">
            <v>7.2106000000000003E-2</v>
          </cell>
          <cell r="AA24">
            <v>8.4483000000000003E-2</v>
          </cell>
          <cell r="AB24">
            <v>0.10671600000000001</v>
          </cell>
          <cell r="AC24">
            <v>0.28557999999999995</v>
          </cell>
          <cell r="AD24">
            <v>0.54888499999999996</v>
          </cell>
          <cell r="AE24">
            <v>0.48380099999999998</v>
          </cell>
          <cell r="AF24">
            <v>0.55979499999999993</v>
          </cell>
          <cell r="AG24">
            <v>0.89467099999999999</v>
          </cell>
          <cell r="AH24">
            <v>1.0027329999999999</v>
          </cell>
          <cell r="AI24">
            <v>2.9409999999999998</v>
          </cell>
          <cell r="AJ24">
            <v>1.0580000000000001</v>
          </cell>
          <cell r="AK24">
            <v>1.159</v>
          </cell>
          <cell r="AL24">
            <v>1.2190000000000001</v>
          </cell>
          <cell r="AM24">
            <v>1.2549999999999999</v>
          </cell>
          <cell r="AN24">
            <v>4.6909999999999998</v>
          </cell>
          <cell r="AO24">
            <v>1.0529999999999999</v>
          </cell>
          <cell r="AP24">
            <v>0.64700000000000002</v>
          </cell>
          <cell r="AQ24">
            <v>0.50800000000000001</v>
          </cell>
          <cell r="AR24">
            <v>0.54</v>
          </cell>
          <cell r="AS24">
            <v>2.7480000000000002</v>
          </cell>
          <cell r="AT24">
            <v>0.246</v>
          </cell>
          <cell r="AU24">
            <v>0.22500000000000001</v>
          </cell>
          <cell r="AV24">
            <v>0.10100000000000001</v>
          </cell>
          <cell r="AW24">
            <v>0.184</v>
          </cell>
          <cell r="AX24">
            <v>0.75600000000000001</v>
          </cell>
          <cell r="AY24">
            <v>0.14899999999999999</v>
          </cell>
          <cell r="AZ24">
            <v>0.17499999999999999</v>
          </cell>
          <cell r="BA24">
            <v>0.19900000000000001</v>
          </cell>
          <cell r="BB24">
            <v>0.20300000000000001</v>
          </cell>
          <cell r="BC24">
            <v>0.72599999999999998</v>
          </cell>
          <cell r="BD24">
            <v>0.16600000000000001</v>
          </cell>
          <cell r="BE24">
            <v>9.2999999999999999E-2</v>
          </cell>
          <cell r="BF24">
            <v>0.115</v>
          </cell>
          <cell r="BG24">
            <v>0.127</v>
          </cell>
          <cell r="BH24">
            <v>0.501</v>
          </cell>
          <cell r="BI24">
            <v>0</v>
          </cell>
          <cell r="BJ24">
            <v>0</v>
          </cell>
          <cell r="BK24">
            <v>0</v>
          </cell>
          <cell r="BL24">
            <v>0</v>
          </cell>
          <cell r="BM24">
            <v>0</v>
          </cell>
          <cell r="BN24">
            <v>0</v>
          </cell>
          <cell r="BO24">
            <v>0</v>
          </cell>
          <cell r="BP24">
            <v>0</v>
          </cell>
          <cell r="BQ24">
            <v>0.52593690284836292</v>
          </cell>
          <cell r="BR24">
            <v>0.52593690284836292</v>
          </cell>
          <cell r="BS24">
            <v>0.80926173718465733</v>
          </cell>
          <cell r="BT24">
            <v>0.9228299896717107</v>
          </cell>
          <cell r="BU24">
            <v>1.1189351404852863</v>
          </cell>
          <cell r="BV24">
            <v>1.2958156163433432</v>
          </cell>
          <cell r="BW24">
            <v>4.1468424836849973</v>
          </cell>
          <cell r="BX24">
            <v>1.9367593890420653</v>
          </cell>
          <cell r="BY24">
            <v>2.2861676874259032</v>
          </cell>
          <cell r="BZ24">
            <v>2.5558100341849168</v>
          </cell>
          <cell r="CA24">
            <v>2.799009983508848</v>
          </cell>
          <cell r="CB24">
            <v>9.5777470941617331</v>
          </cell>
          <cell r="CC24">
            <v>0</v>
          </cell>
          <cell r="CD24">
            <v>0</v>
          </cell>
          <cell r="CE24">
            <v>0</v>
          </cell>
          <cell r="CF24">
            <v>0</v>
          </cell>
          <cell r="CG24">
            <v>0</v>
          </cell>
        </row>
        <row r="25">
          <cell r="B25" t="str">
            <v>Interest expense and other expense, net</v>
          </cell>
          <cell r="Y25">
            <v>-1.0522039999999999</v>
          </cell>
          <cell r="Z25">
            <v>-0.42608200000000002</v>
          </cell>
          <cell r="AA25">
            <v>0.17065099999999994</v>
          </cell>
          <cell r="AB25">
            <v>-0.445469</v>
          </cell>
          <cell r="AC25">
            <v>-0.56869199999999998</v>
          </cell>
          <cell r="AD25">
            <v>-1.2695920000000001</v>
          </cell>
          <cell r="AE25">
            <v>-0.39047799999999999</v>
          </cell>
          <cell r="AF25">
            <v>-0.39370300000000003</v>
          </cell>
          <cell r="AG25">
            <v>-1.0440459999999998</v>
          </cell>
          <cell r="AH25">
            <v>-5.6773000000000184E-2</v>
          </cell>
          <cell r="AI25">
            <v>-1.885</v>
          </cell>
          <cell r="AJ25">
            <v>-0.16300000000000001</v>
          </cell>
          <cell r="AK25">
            <v>0.16800000000000001</v>
          </cell>
          <cell r="AL25">
            <v>1.4000000000000002E-2</v>
          </cell>
          <cell r="AM25">
            <v>-4.4999999999999998E-2</v>
          </cell>
          <cell r="AN25">
            <v>-2.5999999999999992E-2</v>
          </cell>
          <cell r="AO25">
            <v>-0.04</v>
          </cell>
          <cell r="AP25">
            <v>-0.79200000000000004</v>
          </cell>
          <cell r="AQ25">
            <v>-1.5589999999999999</v>
          </cell>
          <cell r="AR25">
            <v>-2.4670000000000001</v>
          </cell>
          <cell r="AS25">
            <v>-4.8580000000000005</v>
          </cell>
          <cell r="AT25">
            <v>-0.63100000000000001</v>
          </cell>
          <cell r="AU25">
            <v>-1.4869999999999999</v>
          </cell>
          <cell r="AV25">
            <v>-1.0680000000000001</v>
          </cell>
          <cell r="AW25">
            <v>-2.802</v>
          </cell>
          <cell r="AX25">
            <v>-5.9879999999999995</v>
          </cell>
          <cell r="AY25">
            <v>-0.59199999999999997</v>
          </cell>
          <cell r="AZ25">
            <v>-0.378</v>
          </cell>
          <cell r="BA25">
            <v>-0.373</v>
          </cell>
          <cell r="BB25">
            <v>-0.35099999999999998</v>
          </cell>
          <cell r="BC25">
            <v>-1.694</v>
          </cell>
          <cell r="BD25">
            <v>-0.45300000000000001</v>
          </cell>
          <cell r="BE25">
            <v>-0.67700000000000005</v>
          </cell>
          <cell r="BF25">
            <v>-1.2210000000000001</v>
          </cell>
          <cell r="BG25">
            <v>-0.42899999999999999</v>
          </cell>
          <cell r="BH25">
            <v>-2.78</v>
          </cell>
          <cell r="BI25">
            <v>-1.24</v>
          </cell>
          <cell r="BJ25">
            <v>-1.98</v>
          </cell>
          <cell r="BK25">
            <v>-11.843</v>
          </cell>
          <cell r="BL25">
            <v>-11.619</v>
          </cell>
          <cell r="BM25">
            <v>-26.681999999999999</v>
          </cell>
          <cell r="BN25">
            <v>-11.039</v>
          </cell>
          <cell r="BO25">
            <v>-10.907</v>
          </cell>
          <cell r="BP25">
            <v>-9.0259999999999998</v>
          </cell>
          <cell r="BQ25">
            <v>-12.083287500000001</v>
          </cell>
          <cell r="BR25">
            <v>-43.055287499999999</v>
          </cell>
          <cell r="BS25">
            <v>-12.083287500000001</v>
          </cell>
          <cell r="BT25">
            <v>-12.083287500000001</v>
          </cell>
          <cell r="BU25">
            <v>-12.083287500000001</v>
          </cell>
          <cell r="BV25">
            <v>-12.083287500000001</v>
          </cell>
          <cell r="BW25">
            <v>-48.333150000000003</v>
          </cell>
          <cell r="BX25">
            <v>-12.083287500000001</v>
          </cell>
          <cell r="BY25">
            <v>-12.083287500000001</v>
          </cell>
          <cell r="BZ25">
            <v>-12.083287500000001</v>
          </cell>
          <cell r="CA25">
            <v>-12.083287500000001</v>
          </cell>
          <cell r="CB25">
            <v>-48.333150000000003</v>
          </cell>
          <cell r="CC25">
            <v>-14.909367694034387</v>
          </cell>
          <cell r="CD25">
            <v>-14.859118536691653</v>
          </cell>
          <cell r="CE25">
            <v>-14.811877479428095</v>
          </cell>
          <cell r="CF25">
            <v>-14.769359345225517</v>
          </cell>
          <cell r="CG25">
            <v>-59.349723055379648</v>
          </cell>
        </row>
        <row r="26">
          <cell r="B26" t="str">
            <v>Pre-tax income (non-GAAP)</v>
          </cell>
          <cell r="Y26">
            <v>3.893358000000001</v>
          </cell>
          <cell r="Z26">
            <v>0.82099399999999823</v>
          </cell>
          <cell r="AA26">
            <v>2.5526</v>
          </cell>
          <cell r="AB26">
            <v>3.0974339999999985</v>
          </cell>
          <cell r="AC26">
            <v>3.9992920000000027</v>
          </cell>
          <cell r="AD26">
            <v>10.470319999999999</v>
          </cell>
          <cell r="AE26">
            <v>3.7177340000000019</v>
          </cell>
          <cell r="AF26">
            <v>3.2925340000000007</v>
          </cell>
          <cell r="AG26">
            <v>4.1996719999999987</v>
          </cell>
          <cell r="AH26">
            <v>6.8370599999999957</v>
          </cell>
          <cell r="AI26">
            <v>18.046999999999997</v>
          </cell>
          <cell r="AJ26">
            <v>5.8359999999999985</v>
          </cell>
          <cell r="AK26">
            <v>4.5190000000000019</v>
          </cell>
          <cell r="AL26">
            <v>2.7769999999999988</v>
          </cell>
          <cell r="AM26">
            <v>5.8950000000000005</v>
          </cell>
          <cell r="AN26">
            <v>19.026999999999994</v>
          </cell>
          <cell r="AO26">
            <v>5.4019999999999992</v>
          </cell>
          <cell r="AP26">
            <v>6.225000000000005</v>
          </cell>
          <cell r="AQ26">
            <v>8.264000000000026</v>
          </cell>
          <cell r="AR26">
            <v>9.7780000000000253</v>
          </cell>
          <cell r="AS26">
            <v>29.669000000000093</v>
          </cell>
          <cell r="AT26">
            <v>13.356999999999969</v>
          </cell>
          <cell r="AU26">
            <v>19.610000000000017</v>
          </cell>
          <cell r="AV26">
            <v>20.260000000000005</v>
          </cell>
          <cell r="AW26">
            <v>24.582000000000001</v>
          </cell>
          <cell r="AX26">
            <v>77.809000000000168</v>
          </cell>
          <cell r="AY26">
            <v>23.924000000000042</v>
          </cell>
          <cell r="AZ26">
            <v>27.492000000000033</v>
          </cell>
          <cell r="BA26">
            <v>26.545000000000034</v>
          </cell>
          <cell r="BB26">
            <v>27.450999999999983</v>
          </cell>
          <cell r="BC26">
            <v>105.41200000000009</v>
          </cell>
          <cell r="BD26">
            <v>30.89899999999998</v>
          </cell>
          <cell r="BE26">
            <v>36.141999999999982</v>
          </cell>
          <cell r="BF26">
            <v>42.276999999999873</v>
          </cell>
          <cell r="BG26">
            <v>45.361999999999988</v>
          </cell>
          <cell r="BH26">
            <v>154.67999999999958</v>
          </cell>
          <cell r="BI26">
            <v>50.078999999999894</v>
          </cell>
          <cell r="BJ26">
            <v>53.38599999999991</v>
          </cell>
          <cell r="BK26">
            <v>83.615000000000052</v>
          </cell>
          <cell r="BL26">
            <v>133.37700000000009</v>
          </cell>
          <cell r="BM26">
            <v>320.45699999999994</v>
          </cell>
          <cell r="BN26">
            <v>129.86799999999985</v>
          </cell>
          <cell r="BO26">
            <v>145.85599999999991</v>
          </cell>
          <cell r="BP26">
            <v>158.32900000000001</v>
          </cell>
          <cell r="BQ26">
            <v>173.12663042079566</v>
          </cell>
          <cell r="BR26">
            <v>607.17963042079543</v>
          </cell>
          <cell r="BS26">
            <v>167.28415943175472</v>
          </cell>
          <cell r="BT26">
            <v>199.2822303856872</v>
          </cell>
          <cell r="BU26">
            <v>181.12818329725505</v>
          </cell>
          <cell r="BV26">
            <v>226.54045243725977</v>
          </cell>
          <cell r="BW26">
            <v>774.23502555195682</v>
          </cell>
          <cell r="BX26">
            <v>195.4833589737006</v>
          </cell>
          <cell r="BY26">
            <v>230.55722351441491</v>
          </cell>
          <cell r="BZ26">
            <v>206.21327533371584</v>
          </cell>
          <cell r="CA26">
            <v>260.89006322142819</v>
          </cell>
          <cell r="CB26">
            <v>893.14392104325952</v>
          </cell>
          <cell r="CC26">
            <v>217.32122592210666</v>
          </cell>
          <cell r="CD26">
            <v>246.98817171499945</v>
          </cell>
          <cell r="CE26">
            <v>213.72446951242006</v>
          </cell>
          <cell r="CF26">
            <v>235.45947077296472</v>
          </cell>
          <cell r="CG26">
            <v>913.49333792248819</v>
          </cell>
        </row>
        <row r="27">
          <cell r="B27" t="str">
            <v>Current</v>
          </cell>
          <cell r="Z27">
            <v>0.03</v>
          </cell>
          <cell r="AA27">
            <v>3.1510000000000003E-2</v>
          </cell>
          <cell r="AB27">
            <v>3.0506999999999999E-2</v>
          </cell>
          <cell r="AC27">
            <v>0.03</v>
          </cell>
          <cell r="AE27">
            <v>0.67800700000000003</v>
          </cell>
          <cell r="AF27">
            <v>1.119329</v>
          </cell>
          <cell r="AG27">
            <v>0.93785099999999999</v>
          </cell>
          <cell r="AH27">
            <v>3.7528130000000006</v>
          </cell>
          <cell r="AJ27">
            <v>1.8460000000000001</v>
          </cell>
          <cell r="AK27">
            <v>1.2789999999999999</v>
          </cell>
          <cell r="AL27">
            <v>-9.1999999999999998E-2</v>
          </cell>
          <cell r="AM27">
            <v>2.2250000000000001</v>
          </cell>
          <cell r="AO27">
            <v>1.3819999999999999</v>
          </cell>
          <cell r="AP27">
            <v>0.59699999999999998</v>
          </cell>
          <cell r="AQ27">
            <v>3.3559999999999999</v>
          </cell>
          <cell r="AR27">
            <v>-0.46899999999999997</v>
          </cell>
          <cell r="AT27">
            <v>2.2010000000000001</v>
          </cell>
          <cell r="AU27">
            <v>4.4029999999999996</v>
          </cell>
          <cell r="AV27">
            <v>9.2149999999999999</v>
          </cell>
          <cell r="AW27">
            <v>6.4669999999999996</v>
          </cell>
          <cell r="AY27">
            <v>5.5289999999999999</v>
          </cell>
          <cell r="AZ27">
            <v>7.2089999999999996</v>
          </cell>
          <cell r="BA27">
            <v>8.8369999999999997</v>
          </cell>
          <cell r="BB27">
            <v>7.9550000000000001</v>
          </cell>
          <cell r="BD27">
            <v>8.609</v>
          </cell>
          <cell r="BE27">
            <v>11.686999999999999</v>
          </cell>
          <cell r="BF27">
            <v>14.289</v>
          </cell>
          <cell r="BG27">
            <v>17.815999999999999</v>
          </cell>
          <cell r="BI27">
            <v>13.654999999999999</v>
          </cell>
          <cell r="BJ27">
            <v>17.533000000000001</v>
          </cell>
          <cell r="BK27">
            <v>30.815999999999999</v>
          </cell>
          <cell r="BL27">
            <v>45.237000000000002</v>
          </cell>
          <cell r="BN27">
            <v>39.68</v>
          </cell>
          <cell r="BO27">
            <v>33.741</v>
          </cell>
          <cell r="BP27">
            <v>38.418999999999997</v>
          </cell>
          <cell r="BQ27">
            <v>35.898000000000003</v>
          </cell>
          <cell r="BS27">
            <v>40.442</v>
          </cell>
          <cell r="BT27">
            <v>33.241</v>
          </cell>
          <cell r="BU27">
            <v>33.762999999999998</v>
          </cell>
        </row>
        <row r="28">
          <cell r="B28" t="str">
            <v>Deferred</v>
          </cell>
          <cell r="Z28">
            <v>0</v>
          </cell>
          <cell r="AA28">
            <v>0</v>
          </cell>
          <cell r="AB28">
            <v>0</v>
          </cell>
          <cell r="AC28">
            <v>-0.68</v>
          </cell>
          <cell r="AE28">
            <v>-2.5368050000000002</v>
          </cell>
          <cell r="AF28">
            <v>5.8659999999999997E-2</v>
          </cell>
          <cell r="AG28">
            <v>0.71820399999999995</v>
          </cell>
          <cell r="AH28">
            <v>-1.9120590000000002</v>
          </cell>
          <cell r="AJ28">
            <v>-0.13900000000000001</v>
          </cell>
          <cell r="AK28">
            <v>-0.111</v>
          </cell>
          <cell r="AL28">
            <v>-0.20699999999999999</v>
          </cell>
          <cell r="AM28">
            <v>-0.503</v>
          </cell>
          <cell r="AO28">
            <v>0.26700000000000002</v>
          </cell>
          <cell r="AP28">
            <v>-7.0999999999999994E-2</v>
          </cell>
          <cell r="AQ28">
            <v>-2.08</v>
          </cell>
          <cell r="AR28">
            <v>2.2090000000000001</v>
          </cell>
          <cell r="AT28">
            <v>0.64900000000000002</v>
          </cell>
          <cell r="AU28">
            <v>0.81499999999999995</v>
          </cell>
          <cell r="AV28">
            <v>-2.4020000000000001</v>
          </cell>
          <cell r="AW28">
            <v>0.67600000000000005</v>
          </cell>
          <cell r="AY28">
            <v>1.6080000000000001</v>
          </cell>
          <cell r="AZ28">
            <v>1.1599999999999999</v>
          </cell>
          <cell r="BA28">
            <v>-0.41</v>
          </cell>
          <cell r="BB28">
            <v>0.93400000000000005</v>
          </cell>
          <cell r="BD28">
            <v>0.45900000000000002</v>
          </cell>
          <cell r="BE28">
            <v>-0.77700000000000002</v>
          </cell>
          <cell r="BF28">
            <v>-1.177</v>
          </cell>
          <cell r="BG28">
            <v>-4.3979999999999997</v>
          </cell>
          <cell r="BI28">
            <v>-0.23599999999999999</v>
          </cell>
          <cell r="BJ28">
            <v>-0.46800000000000003</v>
          </cell>
          <cell r="BK28">
            <v>-17.988</v>
          </cell>
          <cell r="BL28">
            <v>-19.228999999999999</v>
          </cell>
          <cell r="BN28">
            <v>-16.652000000000001</v>
          </cell>
          <cell r="BO28">
            <v>-9.1340000000000003</v>
          </cell>
          <cell r="BP28">
            <v>-10.438000000000001</v>
          </cell>
          <cell r="BQ28">
            <v>-8.1110000000000007</v>
          </cell>
          <cell r="BS28">
            <v>-12.334</v>
          </cell>
          <cell r="BT28">
            <v>0</v>
          </cell>
        </row>
        <row r="29">
          <cell r="B29" t="str">
            <v>Income tax provision (benefit)</v>
          </cell>
          <cell r="Y29">
            <v>9.9959999999999993E-2</v>
          </cell>
          <cell r="Z29">
            <v>0.03</v>
          </cell>
          <cell r="AA29">
            <v>3.1510000000000003E-2</v>
          </cell>
          <cell r="AB29">
            <v>3.0506999999999999E-2</v>
          </cell>
          <cell r="AC29">
            <v>-0.65</v>
          </cell>
          <cell r="AD29">
            <v>-0.55798300000000001</v>
          </cell>
          <cell r="AE29">
            <v>-1.8587980000000002</v>
          </cell>
          <cell r="AF29">
            <v>1.177989</v>
          </cell>
          <cell r="AG29">
            <v>1.6560549999999998</v>
          </cell>
          <cell r="AH29">
            <v>2.4549182247464012</v>
          </cell>
          <cell r="AI29">
            <v>3.4301642247464006</v>
          </cell>
          <cell r="AJ29">
            <v>1.8747483604677826</v>
          </cell>
          <cell r="AK29">
            <v>1.3357483604677824</v>
          </cell>
          <cell r="AL29">
            <v>-0.13125163953221736</v>
          </cell>
          <cell r="AM29">
            <v>1.8897483604677827</v>
          </cell>
          <cell r="AN29">
            <v>4.968993441871131</v>
          </cell>
          <cell r="AO29">
            <v>1.7974882978723405</v>
          </cell>
          <cell r="AP29">
            <v>1.2050000000000001</v>
          </cell>
          <cell r="AQ29">
            <v>2.4809999999999994</v>
          </cell>
          <cell r="AR29">
            <v>2.8450000000000002</v>
          </cell>
          <cell r="AS29">
            <v>8.3284882978723402</v>
          </cell>
          <cell r="AT29">
            <v>3.9750000000000005</v>
          </cell>
          <cell r="AU29">
            <v>6.3129999999999997</v>
          </cell>
          <cell r="AV29">
            <v>8.0069999999999997</v>
          </cell>
          <cell r="AW29">
            <v>7.8609999999999998</v>
          </cell>
          <cell r="AX29">
            <v>26.156000000000002</v>
          </cell>
          <cell r="AY29">
            <v>7.7860000000000005</v>
          </cell>
          <cell r="AZ29">
            <v>9.34</v>
          </cell>
          <cell r="BA29">
            <v>9.3849999999999998</v>
          </cell>
          <cell r="BB29">
            <v>9.5629999999999988</v>
          </cell>
          <cell r="BC29">
            <v>36.073999999999998</v>
          </cell>
          <cell r="BD29">
            <v>10.248999999999999</v>
          </cell>
          <cell r="BE29">
            <v>12.141999999999999</v>
          </cell>
          <cell r="BF29">
            <v>14.445</v>
          </cell>
          <cell r="BG29">
            <v>15.18</v>
          </cell>
          <cell r="BH29">
            <v>52.015999999999998</v>
          </cell>
          <cell r="BI29">
            <v>16.896000000000001</v>
          </cell>
          <cell r="BJ29">
            <v>20.533999999999999</v>
          </cell>
          <cell r="BK29">
            <v>33.277000000000001</v>
          </cell>
          <cell r="BL29">
            <v>46.919000000000004</v>
          </cell>
          <cell r="BM29">
            <v>117.626</v>
          </cell>
          <cell r="BN29">
            <v>37.494</v>
          </cell>
          <cell r="BO29">
            <v>37.481000000000002</v>
          </cell>
          <cell r="BP29">
            <v>39.879999999999995</v>
          </cell>
          <cell r="BQ29">
            <v>49.34108966992676</v>
          </cell>
          <cell r="BR29">
            <v>164.19608966992675</v>
          </cell>
          <cell r="BS29">
            <v>50.185247829526411</v>
          </cell>
          <cell r="BT29">
            <v>59.784669115706158</v>
          </cell>
          <cell r="BU29">
            <v>54.338454989176512</v>
          </cell>
          <cell r="BV29">
            <v>67.962135731177924</v>
          </cell>
          <cell r="BW29">
            <v>232.27050766558699</v>
          </cell>
          <cell r="BX29">
            <v>58.645007692110177</v>
          </cell>
          <cell r="BY29">
            <v>69.167167054324466</v>
          </cell>
          <cell r="BZ29">
            <v>61.863982600114753</v>
          </cell>
          <cell r="CA29">
            <v>78.267018966428452</v>
          </cell>
          <cell r="CB29">
            <v>267.94317631297781</v>
          </cell>
          <cell r="CC29">
            <v>58.6767309989688</v>
          </cell>
          <cell r="CD29">
            <v>66.686806363049854</v>
          </cell>
          <cell r="CE29">
            <v>57.70560676835342</v>
          </cell>
          <cell r="CF29">
            <v>63.57405710870048</v>
          </cell>
          <cell r="CG29">
            <v>246.64320123907257</v>
          </cell>
        </row>
        <row r="30">
          <cell r="B30" t="str">
            <v>Net loss attributable to non-controlling interest</v>
          </cell>
          <cell r="BK30">
            <v>1.07</v>
          </cell>
          <cell r="BL30">
            <v>-5.4329999999999998</v>
          </cell>
          <cell r="BM30">
            <v>-4.3629999999999995</v>
          </cell>
          <cell r="BN30">
            <v>-5.3760000000000003</v>
          </cell>
          <cell r="BO30">
            <v>-7.7359999999999998</v>
          </cell>
          <cell r="BP30">
            <v>-10.19</v>
          </cell>
          <cell r="BQ30">
            <v>-10.19</v>
          </cell>
          <cell r="BR30">
            <v>-33.491999999999997</v>
          </cell>
          <cell r="BS30">
            <v>-10.19</v>
          </cell>
          <cell r="BT30">
            <v>-10.19</v>
          </cell>
          <cell r="BU30">
            <v>-10.19</v>
          </cell>
          <cell r="BV30">
            <v>-10.19</v>
          </cell>
          <cell r="BW30">
            <v>-40.76</v>
          </cell>
          <cell r="BX30">
            <v>-10.19</v>
          </cell>
          <cell r="BY30">
            <v>-10.19</v>
          </cell>
          <cell r="BZ30">
            <v>-10.19</v>
          </cell>
          <cell r="CA30">
            <v>-10.19</v>
          </cell>
          <cell r="CB30">
            <v>-40.76</v>
          </cell>
          <cell r="CC30">
            <v>-14.343999999999999</v>
          </cell>
          <cell r="CD30">
            <v>-14.343999999999999</v>
          </cell>
          <cell r="CE30">
            <v>-14.343999999999999</v>
          </cell>
          <cell r="CF30">
            <v>-14.343999999999999</v>
          </cell>
          <cell r="CG30">
            <v>-57.375999999999998</v>
          </cell>
        </row>
        <row r="31">
          <cell r="B31" t="str">
            <v>Net income</v>
          </cell>
          <cell r="Y31">
            <v>3.7933980000000012</v>
          </cell>
          <cell r="Z31">
            <v>0.7909939999999982</v>
          </cell>
          <cell r="AA31">
            <v>2.5210900000000001</v>
          </cell>
          <cell r="AB31">
            <v>3.0669269999999984</v>
          </cell>
          <cell r="AC31">
            <v>4.6492920000000026</v>
          </cell>
          <cell r="AD31">
            <v>11.028302999999999</v>
          </cell>
          <cell r="AE31">
            <v>5.576532000000002</v>
          </cell>
          <cell r="AF31">
            <v>2.1145450000000006</v>
          </cell>
          <cell r="AG31">
            <v>2.5436169999999989</v>
          </cell>
          <cell r="AH31">
            <v>4.3821417752535945</v>
          </cell>
          <cell r="AI31">
            <v>14.616835775253596</v>
          </cell>
          <cell r="AJ31">
            <v>3.9612516395322159</v>
          </cell>
          <cell r="AK31">
            <v>3.1832516395322195</v>
          </cell>
          <cell r="AL31">
            <v>2.908251639532216</v>
          </cell>
          <cell r="AM31">
            <v>4.0052516395322177</v>
          </cell>
          <cell r="AN31">
            <v>14.058006558128863</v>
          </cell>
          <cell r="AO31">
            <v>3.6045117021276587</v>
          </cell>
          <cell r="AP31">
            <v>5.0200000000000049</v>
          </cell>
          <cell r="AQ31">
            <v>5.7830000000000261</v>
          </cell>
          <cell r="AR31">
            <v>6.9330000000000247</v>
          </cell>
          <cell r="AS31">
            <v>21.340511702127753</v>
          </cell>
          <cell r="AT31">
            <v>9.3819999999999695</v>
          </cell>
          <cell r="AU31">
            <v>13.297000000000018</v>
          </cell>
          <cell r="AV31">
            <v>12.253000000000005</v>
          </cell>
          <cell r="AW31">
            <v>16.721</v>
          </cell>
          <cell r="AX31">
            <v>51.653000000000162</v>
          </cell>
          <cell r="AY31">
            <v>16.138000000000041</v>
          </cell>
          <cell r="AZ31">
            <v>18.152000000000033</v>
          </cell>
          <cell r="BA31">
            <v>17.160000000000032</v>
          </cell>
          <cell r="BB31">
            <v>17.887999999999984</v>
          </cell>
          <cell r="BC31">
            <v>69.338000000000093</v>
          </cell>
          <cell r="BD31">
            <v>20.649999999999981</v>
          </cell>
          <cell r="BE31">
            <v>23.999999999999982</v>
          </cell>
          <cell r="BF31">
            <v>27.831999999999873</v>
          </cell>
          <cell r="BG31">
            <v>30.181999999999988</v>
          </cell>
          <cell r="BH31">
            <v>102.66399999999959</v>
          </cell>
          <cell r="BI31">
            <v>33.182999999999893</v>
          </cell>
          <cell r="BJ31">
            <v>32.851999999999911</v>
          </cell>
          <cell r="BK31">
            <v>51.408000000000051</v>
          </cell>
          <cell r="BL31">
            <v>81.025000000000091</v>
          </cell>
          <cell r="BM31">
            <v>202.83099999999993</v>
          </cell>
          <cell r="BN31">
            <v>86.997999999999848</v>
          </cell>
          <cell r="BO31">
            <v>100.63899999999991</v>
          </cell>
          <cell r="BP31">
            <v>108.25900000000001</v>
          </cell>
          <cell r="BQ31">
            <v>113.59554075086891</v>
          </cell>
          <cell r="BR31">
            <v>409.49154075086864</v>
          </cell>
          <cell r="BS31">
            <v>106.9089116022283</v>
          </cell>
          <cell r="BT31">
            <v>129.30756126998105</v>
          </cell>
          <cell r="BU31">
            <v>116.59972830807854</v>
          </cell>
          <cell r="BV31">
            <v>148.38831670608187</v>
          </cell>
          <cell r="BW31">
            <v>501.20451788636979</v>
          </cell>
          <cell r="BX31">
            <v>126.64835128159044</v>
          </cell>
          <cell r="BY31">
            <v>151.20005646009045</v>
          </cell>
          <cell r="BZ31">
            <v>134.15929273360109</v>
          </cell>
          <cell r="CA31">
            <v>172.43304425499974</v>
          </cell>
          <cell r="CB31">
            <v>584.44074473028172</v>
          </cell>
          <cell r="CC31">
            <v>144.30049492313788</v>
          </cell>
          <cell r="CD31">
            <v>165.95736535194959</v>
          </cell>
          <cell r="CE31">
            <v>141.67486274406664</v>
          </cell>
          <cell r="CF31">
            <v>157.54141366426424</v>
          </cell>
          <cell r="CG31">
            <v>609.47413668341562</v>
          </cell>
        </row>
        <row r="33">
          <cell r="B33" t="str">
            <v>EPS, diluted (as reported) GAAP</v>
          </cell>
          <cell r="Y33">
            <v>0.10351470189542487</v>
          </cell>
          <cell r="Z33">
            <v>2.0933933456452412E-2</v>
          </cell>
          <cell r="AA33">
            <v>5.1589237401119946E-2</v>
          </cell>
          <cell r="AB33">
            <v>5.8518095959545921E-2</v>
          </cell>
          <cell r="AC33">
            <v>7.7115693371932692E-2</v>
          </cell>
          <cell r="AD33">
            <v>0.21135120076699276</v>
          </cell>
          <cell r="AE33">
            <v>7.7292696259811763E-2</v>
          </cell>
          <cell r="AF33">
            <v>2.9144636023563753E-2</v>
          </cell>
          <cell r="AG33">
            <v>2.9776840019880426E-2</v>
          </cell>
          <cell r="AH33">
            <v>3.8882247037374605E-2</v>
          </cell>
          <cell r="AI33">
            <v>0.17318405722924082</v>
          </cell>
          <cell r="AJ33">
            <v>4.2912765394704545E-2</v>
          </cell>
          <cell r="AK33">
            <v>3.3963232726001026E-2</v>
          </cell>
          <cell r="AL33">
            <v>3.0754814494073877E-2</v>
          </cell>
          <cell r="AM33">
            <v>4.4112935468369821E-2</v>
          </cell>
          <cell r="AN33">
            <v>0.15240400182648281</v>
          </cell>
          <cell r="AO33">
            <v>3.9054581762075706E-2</v>
          </cell>
          <cell r="AP33">
            <v>3.4669094897006418E-2</v>
          </cell>
          <cell r="AQ33">
            <v>3.6339567432847539E-2</v>
          </cell>
          <cell r="AR33">
            <v>5.0298306554582908E-2</v>
          </cell>
          <cell r="AS33">
            <v>0.16137394716126061</v>
          </cell>
          <cell r="AT33">
            <v>7.7056693504302998E-2</v>
          </cell>
          <cell r="AU33">
            <v>0.11848730853224584</v>
          </cell>
          <cell r="AV33">
            <v>0.2146561200912997</v>
          </cell>
          <cell r="AW33">
            <v>0.24374846865060668</v>
          </cell>
          <cell r="AX33">
            <v>0.58429977708039371</v>
          </cell>
          <cell r="AY33">
            <v>0.11898371306662567</v>
          </cell>
          <cell r="AZ33">
            <v>0.13655254001742101</v>
          </cell>
          <cell r="BA33">
            <v>0.12852541903211676</v>
          </cell>
          <cell r="BB33">
            <v>0.13129450808390117</v>
          </cell>
          <cell r="BC33">
            <v>0.5154728921119226</v>
          </cell>
          <cell r="BD33">
            <v>0.14379313331635807</v>
          </cell>
          <cell r="BE33">
            <v>0.16908830019205251</v>
          </cell>
          <cell r="BF33">
            <v>0.20029960432068011</v>
          </cell>
          <cell r="BG33">
            <v>0.2113672756881024</v>
          </cell>
          <cell r="BH33">
            <v>0.72416826697352266</v>
          </cell>
          <cell r="BI33">
            <v>0.20812370123170243</v>
          </cell>
          <cell r="BJ33">
            <v>0.20415717839140551</v>
          </cell>
          <cell r="BK33">
            <v>0.10016188296865895</v>
          </cell>
          <cell r="BL33">
            <v>0.20630394398335469</v>
          </cell>
          <cell r="BM33">
            <v>0.69550568383162514</v>
          </cell>
          <cell r="BN33">
            <v>0.24904135331962465</v>
          </cell>
          <cell r="BO33">
            <v>0.30693853280622646</v>
          </cell>
          <cell r="BP33">
            <v>0.35265627808387889</v>
          </cell>
          <cell r="BQ33">
            <v>0.38584964344529205</v>
          </cell>
          <cell r="BR33">
            <v>1.2946701164213219</v>
          </cell>
          <cell r="BS33">
            <v>0.35847305039132421</v>
          </cell>
          <cell r="BT33">
            <v>0.46645162860821227</v>
          </cell>
          <cell r="BU33">
            <v>0.40489558828897065</v>
          </cell>
          <cell r="BV33">
            <v>0.55804279217416775</v>
          </cell>
          <cell r="BW33">
            <v>1.7879931013251404</v>
          </cell>
          <cell r="BX33">
            <v>0.45497852529727539</v>
          </cell>
          <cell r="BY33">
            <v>0.57307763893350339</v>
          </cell>
          <cell r="BZ33">
            <v>0.49071796755515185</v>
          </cell>
          <cell r="CA33">
            <v>0.67475087722130866</v>
          </cell>
          <cell r="CB33">
            <v>2.1936644172499093</v>
          </cell>
          <cell r="CC33">
            <v>0.50953438283027885</v>
          </cell>
          <cell r="CD33">
            <v>0.61352060381314366</v>
          </cell>
          <cell r="CE33">
            <v>0.49641237702455049</v>
          </cell>
          <cell r="CF33">
            <v>0.57246344676731231</v>
          </cell>
          <cell r="CG33">
            <v>2.191948090942915</v>
          </cell>
        </row>
        <row r="34">
          <cell r="B34" t="str">
            <v>EPS (continuing) Non GAAP excluding deal Amortization</v>
          </cell>
          <cell r="Y34">
            <v>8.2644836601307212E-2</v>
          </cell>
          <cell r="Z34">
            <v>1.3086856054377908E-2</v>
          </cell>
          <cell r="AA34">
            <v>4.1722592693997668E-2</v>
          </cell>
          <cell r="AB34">
            <v>4.9976440281311298E-2</v>
          </cell>
          <cell r="AC34">
            <v>7.0619761253668908E-2</v>
          </cell>
          <cell r="AD34">
            <v>0.17860018806594849</v>
          </cell>
          <cell r="AE34">
            <v>7.7292696259811763E-2</v>
          </cell>
          <cell r="AF34">
            <v>2.9144636023563753E-2</v>
          </cell>
          <cell r="AG34">
            <v>2.9776840019880426E-2</v>
          </cell>
          <cell r="AH34">
            <v>4.9933247211184986E-2</v>
          </cell>
          <cell r="AI34">
            <v>0.18549153098937013</v>
          </cell>
          <cell r="AJ34">
            <v>4.5536636023743575E-2</v>
          </cell>
          <cell r="AK34">
            <v>3.6586638327870395E-2</v>
          </cell>
          <cell r="AL34">
            <v>3.3374156595484906E-2</v>
          </cell>
          <cell r="AM34">
            <v>4.6778768098826355E-2</v>
          </cell>
          <cell r="AN34">
            <v>0.16298946041550239</v>
          </cell>
          <cell r="AO34">
            <v>4.1934077147185986E-2</v>
          </cell>
          <cell r="AP34">
            <v>5.3271765039171144E-2</v>
          </cell>
          <cell r="AQ34">
            <v>5.9381666703632867E-2</v>
          </cell>
          <cell r="AR34">
            <v>7.0448112998570275E-2</v>
          </cell>
          <cell r="AS34">
            <v>0.22787021821037617</v>
          </cell>
          <cell r="AT34">
            <v>9.4109072957220929E-2</v>
          </cell>
          <cell r="AU34">
            <v>0.13154594151734764</v>
          </cell>
          <cell r="AV34">
            <v>0.23464907123549783</v>
          </cell>
          <cell r="AW34">
            <v>0.26826289372123968</v>
          </cell>
          <cell r="AX34">
            <v>0.65523623858651947</v>
          </cell>
          <cell r="AY34">
            <v>0.12981065180294785</v>
          </cell>
          <cell r="AZ34">
            <v>0.14457286126545499</v>
          </cell>
          <cell r="BA34">
            <v>0.13634373087234938</v>
          </cell>
          <cell r="BB34">
            <v>0.14129443873209147</v>
          </cell>
          <cell r="BC34">
            <v>0.55212573404273557</v>
          </cell>
          <cell r="BD34">
            <v>0.16251591062245058</v>
          </cell>
          <cell r="BE34">
            <v>0.18818081171385395</v>
          </cell>
          <cell r="BF34">
            <v>0.22064191353808166</v>
          </cell>
          <cell r="BG34">
            <v>0.23907536781660574</v>
          </cell>
          <cell r="BH34">
            <v>0.80999292877529894</v>
          </cell>
          <cell r="BI34">
            <v>0.26217328896710912</v>
          </cell>
          <cell r="BJ34">
            <v>0.24558665779987029</v>
          </cell>
          <cell r="BK34">
            <v>0.2514588113323637</v>
          </cell>
          <cell r="BL34">
            <v>0.39304420657084094</v>
          </cell>
          <cell r="BM34">
            <v>1.2092622311136174</v>
          </cell>
          <cell r="BN34">
            <v>0.42145385263190027</v>
          </cell>
          <cell r="BO34">
            <v>0.48706243993449866</v>
          </cell>
          <cell r="BP34">
            <v>0.52343382062961197</v>
          </cell>
          <cell r="BQ34">
            <v>0.5490294328959815</v>
          </cell>
          <cell r="BR34">
            <v>1.9811509109628951</v>
          </cell>
          <cell r="BS34">
            <v>0.51646128037320349</v>
          </cell>
          <cell r="BT34">
            <v>0.62436334388514503</v>
          </cell>
          <cell r="BU34">
            <v>0.56273086293819763</v>
          </cell>
          <cell r="BV34">
            <v>0.71580170016540556</v>
          </cell>
          <cell r="BW34">
            <v>2.4194870441657401</v>
          </cell>
          <cell r="BX34">
            <v>0.61063610690736403</v>
          </cell>
          <cell r="BY34">
            <v>0.72865998034371016</v>
          </cell>
          <cell r="BZ34">
            <v>0.64622514146804022</v>
          </cell>
          <cell r="CA34">
            <v>0.8301829562341172</v>
          </cell>
          <cell r="CB34">
            <v>2.8158434115711684</v>
          </cell>
          <cell r="CC34">
            <v>0.69483634373069836</v>
          </cell>
          <cell r="CD34">
            <v>0.79873319723718306</v>
          </cell>
          <cell r="CE34">
            <v>0.68153568913099527</v>
          </cell>
          <cell r="CF34">
            <v>0.75749756359040987</v>
          </cell>
          <cell r="CG34">
            <v>2.9326198589556345</v>
          </cell>
        </row>
        <row r="35">
          <cell r="CD35">
            <v>36.2923056624861</v>
          </cell>
        </row>
        <row r="36">
          <cell r="B36" t="str">
            <v>Adjusted Net Income reconciliation</v>
          </cell>
          <cell r="CD36">
            <v>73.211928700850379</v>
          </cell>
        </row>
        <row r="37">
          <cell r="B37" t="str">
            <v>Amortization of intangible assets</v>
          </cell>
          <cell r="Y37">
            <v>1.4991030000000001</v>
          </cell>
          <cell r="Z37">
            <v>0.77538799999999997</v>
          </cell>
          <cell r="AA37">
            <v>0.97467499999999996</v>
          </cell>
          <cell r="AB37">
            <v>0.85694599999999999</v>
          </cell>
          <cell r="AC37">
            <v>0.69915800000000017</v>
          </cell>
          <cell r="AD37">
            <v>3.3061669999999999</v>
          </cell>
          <cell r="AE37">
            <v>0</v>
          </cell>
          <cell r="AF37">
            <v>0</v>
          </cell>
          <cell r="AG37">
            <v>0</v>
          </cell>
          <cell r="AH37">
            <v>1.5840000000000001</v>
          </cell>
          <cell r="AI37">
            <v>1.5840000000000001</v>
          </cell>
          <cell r="AJ37">
            <v>0.39600000000000002</v>
          </cell>
          <cell r="AK37">
            <v>0.39600000000000002</v>
          </cell>
          <cell r="AL37">
            <v>0.39600000000000002</v>
          </cell>
          <cell r="AM37">
            <v>0.39600000000000002</v>
          </cell>
          <cell r="AN37">
            <v>1.5840000000000001</v>
          </cell>
          <cell r="AO37">
            <v>0.39600000000000002</v>
          </cell>
          <cell r="AP37">
            <v>2.4319999999999999</v>
          </cell>
          <cell r="AQ37">
            <v>3.4489999999999998</v>
          </cell>
          <cell r="AR37">
            <v>3.0880000000000001</v>
          </cell>
          <cell r="AS37">
            <v>9.3649999999999984</v>
          </cell>
          <cell r="AT37">
            <v>2.8250000000000002</v>
          </cell>
          <cell r="AU37">
            <v>2.415</v>
          </cell>
          <cell r="AV37">
            <v>2.238</v>
          </cell>
          <cell r="AW37">
            <v>2.246</v>
          </cell>
          <cell r="AX37">
            <v>9.7240000000000002</v>
          </cell>
          <cell r="AY37">
            <v>1.9950000000000001</v>
          </cell>
          <cell r="AZ37">
            <v>1.978</v>
          </cell>
          <cell r="BA37">
            <v>1.9419999999999999</v>
          </cell>
          <cell r="BB37">
            <v>1.94</v>
          </cell>
          <cell r="BC37">
            <v>7.8550000000000004</v>
          </cell>
          <cell r="BD37">
            <v>3.56</v>
          </cell>
          <cell r="BE37">
            <v>3.6669999999999998</v>
          </cell>
          <cell r="BF37">
            <v>3.899</v>
          </cell>
          <cell r="BG37">
            <v>5.26</v>
          </cell>
          <cell r="BH37">
            <v>16.386000000000003</v>
          </cell>
          <cell r="BI37">
            <v>10.318</v>
          </cell>
          <cell r="BJ37">
            <v>9.0109999999999992</v>
          </cell>
          <cell r="BK37">
            <v>51.38</v>
          </cell>
          <cell r="BL37">
            <v>59.406999999999996</v>
          </cell>
          <cell r="BM37">
            <v>130.11599999999999</v>
          </cell>
          <cell r="BN37">
            <v>50.055999999999997</v>
          </cell>
          <cell r="BO37">
            <v>50.091999999999999</v>
          </cell>
          <cell r="BP37">
            <v>47.22</v>
          </cell>
          <cell r="BQ37">
            <v>47.22</v>
          </cell>
          <cell r="BR37">
            <v>194.58799999999999</v>
          </cell>
          <cell r="BS37">
            <v>46.72</v>
          </cell>
          <cell r="BT37">
            <v>46.72</v>
          </cell>
          <cell r="BU37">
            <v>46.72</v>
          </cell>
          <cell r="BV37">
            <v>46.72</v>
          </cell>
          <cell r="BW37">
            <v>186.88</v>
          </cell>
          <cell r="BX37">
            <v>46.12</v>
          </cell>
          <cell r="BY37">
            <v>46.12</v>
          </cell>
          <cell r="BZ37">
            <v>46.12</v>
          </cell>
          <cell r="CA37">
            <v>46.12</v>
          </cell>
          <cell r="CB37">
            <v>184.48</v>
          </cell>
          <cell r="CC37">
            <v>52.716000000000001</v>
          </cell>
          <cell r="CD37">
            <v>52.716000000000001</v>
          </cell>
          <cell r="CE37">
            <v>52.716000000000001</v>
          </cell>
          <cell r="CF37">
            <v>52.716000000000001</v>
          </cell>
          <cell r="CG37">
            <v>210.864</v>
          </cell>
        </row>
        <row r="38">
          <cell r="B38" t="str">
            <v>Net Income</v>
          </cell>
          <cell r="Y38">
            <v>3.7933980000000012</v>
          </cell>
          <cell r="Z38">
            <v>0.7909939999999982</v>
          </cell>
          <cell r="AA38">
            <v>2.5210900000000001</v>
          </cell>
          <cell r="AB38">
            <v>3.0669269999999984</v>
          </cell>
          <cell r="AC38">
            <v>4.6492920000000026</v>
          </cell>
          <cell r="AD38">
            <v>11.028302999999999</v>
          </cell>
          <cell r="AE38">
            <v>5.576532000000002</v>
          </cell>
          <cell r="AF38">
            <v>2.1145450000000006</v>
          </cell>
          <cell r="AG38">
            <v>2.5436169999999989</v>
          </cell>
          <cell r="AH38">
            <v>4.3821417752535945</v>
          </cell>
          <cell r="AI38">
            <v>14.616835775253595</v>
          </cell>
          <cell r="AJ38">
            <v>3.9612516395322159</v>
          </cell>
          <cell r="AK38">
            <v>3.1832516395322195</v>
          </cell>
          <cell r="AL38">
            <v>2.908251639532216</v>
          </cell>
          <cell r="AM38">
            <v>4.0052516395322177</v>
          </cell>
          <cell r="AN38">
            <v>14.05800655812887</v>
          </cell>
          <cell r="AO38">
            <v>3.6045117021276587</v>
          </cell>
          <cell r="AP38">
            <v>5.0200000000000049</v>
          </cell>
          <cell r="AQ38">
            <v>5.7830000000000261</v>
          </cell>
          <cell r="AR38">
            <v>6.9330000000000247</v>
          </cell>
          <cell r="AS38">
            <v>21.340511702127714</v>
          </cell>
          <cell r="AT38">
            <v>9.3819999999999695</v>
          </cell>
          <cell r="AU38">
            <v>13.297000000000018</v>
          </cell>
          <cell r="AV38">
            <v>12.253000000000005</v>
          </cell>
          <cell r="AW38">
            <v>16.721</v>
          </cell>
          <cell r="AX38">
            <v>51.652999999999992</v>
          </cell>
          <cell r="AY38">
            <v>16.138000000000041</v>
          </cell>
          <cell r="AZ38">
            <v>18.152000000000033</v>
          </cell>
          <cell r="BA38">
            <v>17.160000000000032</v>
          </cell>
          <cell r="BB38">
            <v>17.887999999999984</v>
          </cell>
          <cell r="BC38">
            <v>69.338000000000093</v>
          </cell>
          <cell r="BD38">
            <v>20.649999999999981</v>
          </cell>
          <cell r="BE38">
            <v>23.999999999999982</v>
          </cell>
          <cell r="BF38">
            <v>27.831999999999873</v>
          </cell>
          <cell r="BG38">
            <v>30.181999999999988</v>
          </cell>
          <cell r="BH38">
            <v>102.66399999999982</v>
          </cell>
          <cell r="BI38">
            <v>33.182999999999893</v>
          </cell>
          <cell r="BJ38">
            <v>32.851999999999911</v>
          </cell>
          <cell r="BK38">
            <v>51.408000000000051</v>
          </cell>
          <cell r="BL38">
            <v>81.025000000000091</v>
          </cell>
          <cell r="BM38">
            <v>198.46799999999993</v>
          </cell>
          <cell r="BN38">
            <v>86.997999999999848</v>
          </cell>
          <cell r="BO38">
            <v>100.63899999999991</v>
          </cell>
          <cell r="BP38">
            <v>108.25900000000001</v>
          </cell>
          <cell r="BQ38">
            <v>113.59554075086891</v>
          </cell>
          <cell r="BR38">
            <v>409.49154075086869</v>
          </cell>
          <cell r="BS38">
            <v>106.9089116022283</v>
          </cell>
          <cell r="BT38">
            <v>129.30756126998105</v>
          </cell>
          <cell r="BU38">
            <v>116.59972830807854</v>
          </cell>
          <cell r="BV38">
            <v>148.38831670608187</v>
          </cell>
          <cell r="BW38">
            <v>501.20451788636973</v>
          </cell>
          <cell r="BX38">
            <v>126.64835128159044</v>
          </cell>
          <cell r="BY38">
            <v>151.20005646009045</v>
          </cell>
          <cell r="BZ38">
            <v>134.15929273360109</v>
          </cell>
          <cell r="CA38">
            <v>172.43304425499974</v>
          </cell>
          <cell r="CB38">
            <v>584.44074473028172</v>
          </cell>
          <cell r="CC38">
            <v>144.30049492313788</v>
          </cell>
          <cell r="CD38">
            <v>165.95736535194959</v>
          </cell>
          <cell r="CE38">
            <v>141.67486274406664</v>
          </cell>
          <cell r="CF38">
            <v>157.54141366426424</v>
          </cell>
          <cell r="CG38">
            <v>609.47413668341835</v>
          </cell>
        </row>
        <row r="39">
          <cell r="B39" t="str">
            <v>Amortization of Intangibles (Net of Taxes)</v>
          </cell>
          <cell r="Y39">
            <v>0.95792681700000004</v>
          </cell>
          <cell r="Z39">
            <v>0.47429200082781542</v>
          </cell>
          <cell r="AA39">
            <v>0.59619255895996714</v>
          </cell>
          <cell r="AB39">
            <v>0.52417967900121376</v>
          </cell>
          <cell r="AC39">
            <v>0.42766337203409632</v>
          </cell>
          <cell r="AD39">
            <v>2.0223276108230928</v>
          </cell>
          <cell r="AE39">
            <v>0</v>
          </cell>
          <cell r="AF39">
            <v>0</v>
          </cell>
          <cell r="AG39">
            <v>0</v>
          </cell>
          <cell r="AH39">
            <v>0.9698357752535991</v>
          </cell>
          <cell r="AI39">
            <v>0.9698357752535991</v>
          </cell>
          <cell r="AJ39">
            <v>0.22825163953221739</v>
          </cell>
          <cell r="AK39">
            <v>0.22825163953221739</v>
          </cell>
          <cell r="AL39">
            <v>0.22825163953221739</v>
          </cell>
          <cell r="AM39">
            <v>0.22825163953221739</v>
          </cell>
          <cell r="AN39">
            <v>0.91300655812886955</v>
          </cell>
          <cell r="AO39">
            <v>0.24751170212765958</v>
          </cell>
          <cell r="AP39">
            <v>1.7529999999999999</v>
          </cell>
          <cell r="AQ39">
            <v>2.2440000000000002</v>
          </cell>
          <cell r="AR39">
            <v>1.9830000000000001</v>
          </cell>
          <cell r="AS39">
            <v>6.2275117021276607</v>
          </cell>
          <cell r="AT39">
            <v>1.7</v>
          </cell>
          <cell r="AU39">
            <v>1.32</v>
          </cell>
          <cell r="AV39">
            <v>1.044</v>
          </cell>
          <cell r="AW39">
            <v>1.528</v>
          </cell>
          <cell r="AX39">
            <v>5.5920000000000005</v>
          </cell>
          <cell r="AY39">
            <v>1.3460000000000001</v>
          </cell>
          <cell r="AZ39">
            <v>1.0069999999999999</v>
          </cell>
          <cell r="BA39">
            <v>0.98399999999999999</v>
          </cell>
          <cell r="BB39">
            <v>1.266</v>
          </cell>
          <cell r="BC39">
            <v>4.6029999999999998</v>
          </cell>
          <cell r="BD39">
            <v>2.379</v>
          </cell>
          <cell r="BE39">
            <v>2.4349999999999996</v>
          </cell>
          <cell r="BF39">
            <v>2.5659999999999998</v>
          </cell>
          <cell r="BG39">
            <v>3.4979999999999998</v>
          </cell>
          <cell r="BH39">
            <v>10.878</v>
          </cell>
          <cell r="BI39">
            <v>6.8409999999999993</v>
          </cell>
          <cell r="BJ39">
            <v>5.5419999999999998</v>
          </cell>
          <cell r="BK39">
            <v>30.931000000000001</v>
          </cell>
          <cell r="BL39">
            <v>38.495999999999995</v>
          </cell>
          <cell r="BM39">
            <v>81.81</v>
          </cell>
          <cell r="BN39">
            <v>35.589999999999996</v>
          </cell>
          <cell r="BO39">
            <v>37.217999999999996</v>
          </cell>
          <cell r="BP39">
            <v>35.320999999999998</v>
          </cell>
          <cell r="BQ39">
            <v>33.762300000000003</v>
          </cell>
          <cell r="BR39">
            <v>141.8913</v>
          </cell>
          <cell r="BS39">
            <v>32.704000000000001</v>
          </cell>
          <cell r="BT39">
            <v>32.704000000000001</v>
          </cell>
          <cell r="BU39">
            <v>32.704000000000001</v>
          </cell>
          <cell r="BV39">
            <v>32.704000000000001</v>
          </cell>
          <cell r="BW39">
            <v>130.816</v>
          </cell>
          <cell r="BX39">
            <v>32.283999999999999</v>
          </cell>
          <cell r="BY39">
            <v>32.283999999999999</v>
          </cell>
          <cell r="BZ39">
            <v>32.283999999999999</v>
          </cell>
          <cell r="CA39">
            <v>32.283999999999999</v>
          </cell>
          <cell r="CB39">
            <v>129.136</v>
          </cell>
          <cell r="CC39">
            <v>38.482680000000002</v>
          </cell>
          <cell r="CD39">
            <v>38.482680000000002</v>
          </cell>
          <cell r="CE39">
            <v>38.482680000000002</v>
          </cell>
          <cell r="CF39">
            <v>38.482680000000002</v>
          </cell>
          <cell r="CG39">
            <v>153.93072000000001</v>
          </cell>
        </row>
        <row r="40">
          <cell r="B40" t="str">
            <v>Net-Income to shareholders</v>
          </cell>
          <cell r="Y40">
            <v>4.7513248170000013</v>
          </cell>
          <cell r="Z40">
            <v>1.2652860008278135</v>
          </cell>
          <cell r="AA40">
            <v>3.1172825589599671</v>
          </cell>
          <cell r="AB40">
            <v>3.5911066790012121</v>
          </cell>
          <cell r="AC40">
            <v>5.0769553720340994</v>
          </cell>
          <cell r="AD40">
            <v>13.050630610823092</v>
          </cell>
          <cell r="AE40">
            <v>5.576532000000002</v>
          </cell>
          <cell r="AF40">
            <v>2.1145450000000006</v>
          </cell>
          <cell r="AG40">
            <v>2.5436169999999989</v>
          </cell>
          <cell r="AH40">
            <v>3.4123059999999956</v>
          </cell>
          <cell r="AI40">
            <v>13.646999999999997</v>
          </cell>
          <cell r="AJ40">
            <v>3.7329999999999988</v>
          </cell>
          <cell r="AK40">
            <v>2.9550000000000018</v>
          </cell>
          <cell r="AL40">
            <v>2.6799999999999988</v>
          </cell>
          <cell r="AM40">
            <v>3.7770000000000001</v>
          </cell>
          <cell r="AN40">
            <v>13.145</v>
          </cell>
          <cell r="AO40">
            <v>3.3569999999999993</v>
          </cell>
          <cell r="AP40">
            <v>3.2670000000000048</v>
          </cell>
          <cell r="AQ40">
            <v>3.5390000000000259</v>
          </cell>
          <cell r="AR40">
            <v>4.9500000000000242</v>
          </cell>
          <cell r="AS40">
            <v>15.113000000000055</v>
          </cell>
          <cell r="AT40">
            <v>7.6819999999999693</v>
          </cell>
          <cell r="AU40">
            <v>11.977000000000018</v>
          </cell>
          <cell r="AV40">
            <v>11.209000000000005</v>
          </cell>
          <cell r="AW40">
            <v>15.193</v>
          </cell>
          <cell r="AX40">
            <v>46.060999999999993</v>
          </cell>
          <cell r="AY40">
            <v>14.792000000000041</v>
          </cell>
          <cell r="AZ40">
            <v>17.145000000000032</v>
          </cell>
          <cell r="BA40">
            <v>16.17600000000003</v>
          </cell>
          <cell r="BB40">
            <v>16.621999999999986</v>
          </cell>
          <cell r="BC40">
            <v>64.735000000000085</v>
          </cell>
          <cell r="BD40">
            <v>18.270999999999979</v>
          </cell>
          <cell r="BE40">
            <v>21.564999999999984</v>
          </cell>
          <cell r="BF40">
            <v>25.265999999999874</v>
          </cell>
          <cell r="BG40">
            <v>26.683999999999987</v>
          </cell>
          <cell r="BH40">
            <v>91.785999999999817</v>
          </cell>
          <cell r="BI40">
            <v>26.341999999999892</v>
          </cell>
          <cell r="BJ40">
            <v>27.30999999999991</v>
          </cell>
          <cell r="BK40">
            <v>20.47700000000005</v>
          </cell>
          <cell r="BL40">
            <v>42.529000000000096</v>
          </cell>
          <cell r="BM40">
            <v>116.65799999999994</v>
          </cell>
          <cell r="BN40">
            <v>51.407999999999852</v>
          </cell>
          <cell r="BO40">
            <v>63.420999999999914</v>
          </cell>
          <cell r="BP40">
            <v>72.938000000000017</v>
          </cell>
          <cell r="BQ40">
            <v>79.833240750868896</v>
          </cell>
          <cell r="BR40">
            <v>267.60024075086869</v>
          </cell>
          <cell r="BS40">
            <v>74.204911602228293</v>
          </cell>
          <cell r="BT40">
            <v>96.603561269981043</v>
          </cell>
          <cell r="BU40">
            <v>83.895728308078532</v>
          </cell>
          <cell r="BV40">
            <v>115.68431670608186</v>
          </cell>
          <cell r="BW40">
            <v>370.38851788636975</v>
          </cell>
          <cell r="BX40">
            <v>94.364351281590444</v>
          </cell>
          <cell r="BY40">
            <v>118.91605646009046</v>
          </cell>
          <cell r="BZ40">
            <v>101.8752927336011</v>
          </cell>
          <cell r="CA40">
            <v>140.14904425499975</v>
          </cell>
          <cell r="CB40">
            <v>455.30474473028175</v>
          </cell>
          <cell r="CC40">
            <v>105.81781492313787</v>
          </cell>
          <cell r="CD40">
            <v>127.47468535194959</v>
          </cell>
          <cell r="CE40">
            <v>103.19218274406664</v>
          </cell>
          <cell r="CF40">
            <v>119.05873366426424</v>
          </cell>
          <cell r="CG40">
            <v>455.54341668341834</v>
          </cell>
        </row>
        <row r="41">
          <cell r="B41" t="str">
            <v>Adjusted EBITDA reconciliation</v>
          </cell>
          <cell r="AC41" t="str">
            <v xml:space="preserve"> </v>
          </cell>
        </row>
        <row r="42">
          <cell r="B42" t="str">
            <v>Net Income</v>
          </cell>
          <cell r="Y42">
            <v>3.7933980000000012</v>
          </cell>
          <cell r="Z42">
            <v>0.7909939999999982</v>
          </cell>
          <cell r="AA42">
            <v>2.5210900000000001</v>
          </cell>
          <cell r="AB42">
            <v>3.0669269999999984</v>
          </cell>
          <cell r="AC42">
            <v>4.6492920000000026</v>
          </cell>
          <cell r="AD42">
            <v>11.028302999999999</v>
          </cell>
          <cell r="AE42">
            <v>5.576532000000002</v>
          </cell>
          <cell r="AF42">
            <v>2.1145450000000006</v>
          </cell>
          <cell r="AG42">
            <v>2.5436169999999989</v>
          </cell>
          <cell r="AH42">
            <v>3.2909999999999999</v>
          </cell>
          <cell r="AI42">
            <v>13.525694000000001</v>
          </cell>
          <cell r="AJ42">
            <v>3.9612516395322159</v>
          </cell>
          <cell r="AK42">
            <v>3.1832516395322195</v>
          </cell>
          <cell r="AL42">
            <v>2.908251639532216</v>
          </cell>
          <cell r="AM42">
            <v>4.0052516395322177</v>
          </cell>
          <cell r="AN42">
            <v>14.05800655812887</v>
          </cell>
          <cell r="AO42">
            <v>3.6045117021276587</v>
          </cell>
          <cell r="AP42">
            <v>5.0200000000000049</v>
          </cell>
          <cell r="AQ42">
            <v>5.7830000000000261</v>
          </cell>
          <cell r="AR42">
            <v>6.9330000000000247</v>
          </cell>
          <cell r="AS42">
            <v>21.340511702127714</v>
          </cell>
          <cell r="AT42">
            <v>9.3819999999999695</v>
          </cell>
          <cell r="AU42">
            <v>13.297000000000018</v>
          </cell>
          <cell r="AV42">
            <v>12.253000000000005</v>
          </cell>
          <cell r="AW42">
            <v>16.721</v>
          </cell>
          <cell r="AX42">
            <v>51.652999999999992</v>
          </cell>
          <cell r="AY42">
            <v>16.138000000000041</v>
          </cell>
          <cell r="AZ42">
            <v>18.152000000000033</v>
          </cell>
          <cell r="BA42">
            <v>17.160000000000032</v>
          </cell>
          <cell r="BB42">
            <v>17.887999999999984</v>
          </cell>
          <cell r="BC42">
            <v>69.338000000000093</v>
          </cell>
          <cell r="BD42">
            <v>20.649999999999981</v>
          </cell>
          <cell r="BE42">
            <v>23.999999999999982</v>
          </cell>
          <cell r="BF42">
            <v>27.831999999999873</v>
          </cell>
          <cell r="BG42">
            <v>30.181999999999988</v>
          </cell>
          <cell r="BH42">
            <v>102.66399999999982</v>
          </cell>
          <cell r="BI42">
            <v>33.182999999999893</v>
          </cell>
          <cell r="BJ42">
            <v>32.851999999999911</v>
          </cell>
          <cell r="BK42">
            <v>51.408000000000051</v>
          </cell>
          <cell r="BL42">
            <v>81.025000000000091</v>
          </cell>
          <cell r="BM42">
            <v>198.46799999999993</v>
          </cell>
          <cell r="BN42">
            <v>86.997999999999848</v>
          </cell>
          <cell r="BO42">
            <v>100.63899999999991</v>
          </cell>
          <cell r="BP42">
            <v>108.25900000000001</v>
          </cell>
          <cell r="BQ42">
            <v>113.59554075086891</v>
          </cell>
          <cell r="BR42">
            <v>409.49154075086869</v>
          </cell>
          <cell r="BS42">
            <v>106.9089116022283</v>
          </cell>
          <cell r="BT42">
            <v>129.30756126998105</v>
          </cell>
          <cell r="BU42">
            <v>116.59972830807854</v>
          </cell>
          <cell r="BV42">
            <v>148.38831670608187</v>
          </cell>
          <cell r="BW42">
            <v>501.20451788636973</v>
          </cell>
          <cell r="BX42">
            <v>126.64835128159044</v>
          </cell>
          <cell r="BY42">
            <v>151.20005646009045</v>
          </cell>
          <cell r="BZ42">
            <v>134.15929273360109</v>
          </cell>
          <cell r="CA42">
            <v>172.43304425499974</v>
          </cell>
          <cell r="CB42">
            <v>584.44074473028172</v>
          </cell>
          <cell r="CC42">
            <v>144.30049492313788</v>
          </cell>
          <cell r="CD42">
            <v>165.95736535194959</v>
          </cell>
          <cell r="CE42">
            <v>141.67486274406664</v>
          </cell>
          <cell r="CF42">
            <v>157.54141366426424</v>
          </cell>
          <cell r="CG42">
            <v>609.47413668341835</v>
          </cell>
        </row>
        <row r="43">
          <cell r="B43" t="str">
            <v>Income Tax (Expense)</v>
          </cell>
          <cell r="Y43">
            <v>9.9959999999999993E-2</v>
          </cell>
          <cell r="Z43">
            <v>0.03</v>
          </cell>
          <cell r="AA43">
            <v>3.1510000000000003E-2</v>
          </cell>
          <cell r="AB43">
            <v>3.0506999999999999E-2</v>
          </cell>
          <cell r="AC43">
            <v>-0.65</v>
          </cell>
          <cell r="AD43">
            <v>-0.55798300000000001</v>
          </cell>
          <cell r="AE43">
            <v>-1.8587980000000002</v>
          </cell>
          <cell r="AF43">
            <v>1.177989</v>
          </cell>
          <cell r="AG43">
            <v>1.6560549999999998</v>
          </cell>
          <cell r="AH43">
            <v>2.4549182247464012</v>
          </cell>
          <cell r="AI43">
            <v>3.4301642247464006</v>
          </cell>
          <cell r="AJ43">
            <v>1.8747483604677826</v>
          </cell>
          <cell r="AK43">
            <v>1.3357483604677824</v>
          </cell>
          <cell r="AL43">
            <v>-0.13125163953221736</v>
          </cell>
          <cell r="AM43">
            <v>1.8897483604677827</v>
          </cell>
          <cell r="AN43">
            <v>4.968993441871131</v>
          </cell>
          <cell r="AO43">
            <v>1.7974882978723405</v>
          </cell>
          <cell r="AP43">
            <v>1.2050000000000001</v>
          </cell>
          <cell r="AQ43">
            <v>2.4809999999999994</v>
          </cell>
          <cell r="AR43">
            <v>2.8450000000000002</v>
          </cell>
          <cell r="AS43">
            <v>8.3284882978723402</v>
          </cell>
          <cell r="AT43">
            <v>3.9750000000000005</v>
          </cell>
          <cell r="AU43">
            <v>6.3129999999999997</v>
          </cell>
          <cell r="AV43">
            <v>8.0069999999999997</v>
          </cell>
          <cell r="AW43">
            <v>7.8609999999999998</v>
          </cell>
          <cell r="AX43">
            <v>26.156000000000002</v>
          </cell>
          <cell r="AY43">
            <v>7.7860000000000005</v>
          </cell>
          <cell r="AZ43">
            <v>9.34</v>
          </cell>
          <cell r="BA43">
            <v>9.3849999999999998</v>
          </cell>
          <cell r="BB43">
            <v>9.5629999999999988</v>
          </cell>
          <cell r="BC43">
            <v>36.073999999999998</v>
          </cell>
          <cell r="BD43">
            <v>10.248999999999999</v>
          </cell>
          <cell r="BE43">
            <v>12.141999999999999</v>
          </cell>
          <cell r="BF43">
            <v>14.445</v>
          </cell>
          <cell r="BG43">
            <v>15.18</v>
          </cell>
          <cell r="BH43">
            <v>52.015999999999998</v>
          </cell>
          <cell r="BI43">
            <v>16.896000000000001</v>
          </cell>
          <cell r="BJ43">
            <v>20.533999999999999</v>
          </cell>
          <cell r="BK43">
            <v>33.277000000000001</v>
          </cell>
          <cell r="BL43">
            <v>46.919000000000004</v>
          </cell>
          <cell r="BM43">
            <v>117.626</v>
          </cell>
          <cell r="BN43">
            <v>37.494</v>
          </cell>
          <cell r="BO43">
            <v>37.481000000000002</v>
          </cell>
          <cell r="BP43">
            <v>39.879999999999995</v>
          </cell>
          <cell r="BQ43">
            <v>49.34108966992676</v>
          </cell>
          <cell r="BR43">
            <v>164.19608966992675</v>
          </cell>
          <cell r="BS43">
            <v>50.185247829526411</v>
          </cell>
          <cell r="BT43">
            <v>59.784669115706158</v>
          </cell>
          <cell r="BU43">
            <v>54.338454989176512</v>
          </cell>
          <cell r="BV43">
            <v>67.962135731177924</v>
          </cell>
          <cell r="BW43">
            <v>232.27050766558699</v>
          </cell>
          <cell r="BX43">
            <v>58.645007692110177</v>
          </cell>
          <cell r="BY43">
            <v>69.167167054324466</v>
          </cell>
          <cell r="BZ43">
            <v>61.863982600114753</v>
          </cell>
          <cell r="CA43">
            <v>78.267018966428452</v>
          </cell>
          <cell r="CB43">
            <v>267.94317631297781</v>
          </cell>
          <cell r="CC43">
            <v>58.6767309989688</v>
          </cell>
          <cell r="CD43">
            <v>66.686806363049854</v>
          </cell>
          <cell r="CE43">
            <v>57.70560676835342</v>
          </cell>
          <cell r="CF43">
            <v>63.57405710870048</v>
          </cell>
          <cell r="CG43">
            <v>246.64320123907257</v>
          </cell>
        </row>
        <row r="44">
          <cell r="B44" t="str">
            <v>Interest expense and other expense, net</v>
          </cell>
          <cell r="Y44">
            <v>1.0522039999999999</v>
          </cell>
          <cell r="Z44">
            <v>0.42608200000000002</v>
          </cell>
          <cell r="AA44">
            <v>-0.17065099999999994</v>
          </cell>
          <cell r="AB44">
            <v>0.445469</v>
          </cell>
          <cell r="AC44">
            <v>0.56869199999999998</v>
          </cell>
          <cell r="AD44">
            <v>1.2695920000000001</v>
          </cell>
          <cell r="AE44">
            <v>0.39047799999999999</v>
          </cell>
          <cell r="AF44">
            <v>0.39370300000000003</v>
          </cell>
          <cell r="AG44">
            <v>1.0440459999999998</v>
          </cell>
          <cell r="AH44">
            <v>5.6773000000000184E-2</v>
          </cell>
          <cell r="AI44">
            <v>1.885</v>
          </cell>
          <cell r="AJ44">
            <v>0.16300000000000001</v>
          </cell>
          <cell r="AK44">
            <v>-0.16800000000000001</v>
          </cell>
          <cell r="AL44">
            <v>-1.4000000000000002E-2</v>
          </cell>
          <cell r="AM44">
            <v>4.4999999999999998E-2</v>
          </cell>
          <cell r="AN44">
            <v>2.5999999999999992E-2</v>
          </cell>
          <cell r="AO44">
            <v>0.04</v>
          </cell>
          <cell r="AP44">
            <v>0.79200000000000004</v>
          </cell>
          <cell r="AQ44">
            <v>1.5589999999999999</v>
          </cell>
          <cell r="AR44">
            <v>2.4670000000000001</v>
          </cell>
          <cell r="AS44">
            <v>4.8580000000000005</v>
          </cell>
          <cell r="AT44">
            <v>0.63100000000000001</v>
          </cell>
          <cell r="AU44">
            <v>1.4869999999999999</v>
          </cell>
          <cell r="AV44">
            <v>1.0680000000000001</v>
          </cell>
          <cell r="AW44">
            <v>2.802</v>
          </cell>
          <cell r="AX44">
            <v>5.9879999999999995</v>
          </cell>
          <cell r="AY44">
            <v>0.59199999999999997</v>
          </cell>
          <cell r="AZ44">
            <v>0.378</v>
          </cell>
          <cell r="BA44">
            <v>0.373</v>
          </cell>
          <cell r="BB44">
            <v>0.35099999999999998</v>
          </cell>
          <cell r="BC44">
            <v>1.694</v>
          </cell>
          <cell r="BD44">
            <v>0.45300000000000001</v>
          </cell>
          <cell r="BE44">
            <v>0.67700000000000005</v>
          </cell>
          <cell r="BF44">
            <v>1.2210000000000001</v>
          </cell>
          <cell r="BG44">
            <v>0.42899999999999999</v>
          </cell>
          <cell r="BH44">
            <v>2.78</v>
          </cell>
          <cell r="BI44">
            <v>1.24</v>
          </cell>
          <cell r="BJ44">
            <v>1.98</v>
          </cell>
          <cell r="BK44">
            <v>11.843</v>
          </cell>
          <cell r="BL44">
            <v>11.359</v>
          </cell>
          <cell r="BM44">
            <v>26.421999999999997</v>
          </cell>
          <cell r="BN44">
            <v>10.946999999999999</v>
          </cell>
          <cell r="BO44">
            <v>10.907</v>
          </cell>
          <cell r="BP44">
            <v>9.0259999999999998</v>
          </cell>
          <cell r="BQ44">
            <v>12.083287500000001</v>
          </cell>
          <cell r="BR44">
            <v>42.9632875</v>
          </cell>
          <cell r="BS44">
            <v>12.083287500000001</v>
          </cell>
          <cell r="BT44">
            <v>12.083287500000001</v>
          </cell>
          <cell r="BU44">
            <v>12.083287500000001</v>
          </cell>
          <cell r="BV44">
            <v>12.083287500000001</v>
          </cell>
          <cell r="BW44">
            <v>48.333150000000003</v>
          </cell>
          <cell r="BX44">
            <v>12.083287500000001</v>
          </cell>
          <cell r="BY44">
            <v>12.083287500000001</v>
          </cell>
          <cell r="BZ44">
            <v>12.083287500000001</v>
          </cell>
          <cell r="CA44">
            <v>12.083287500000001</v>
          </cell>
          <cell r="CB44">
            <v>48.333150000000003</v>
          </cell>
          <cell r="CC44">
            <v>14.909367694034387</v>
          </cell>
          <cell r="CD44">
            <v>14.859118536691653</v>
          </cell>
          <cell r="CE44">
            <v>14.811877479428095</v>
          </cell>
          <cell r="CF44">
            <v>14.769359345225517</v>
          </cell>
          <cell r="CG44">
            <v>59.349723055379648</v>
          </cell>
        </row>
        <row r="45">
          <cell r="B45" t="str">
            <v>Interest income</v>
          </cell>
          <cell r="Y45">
            <v>-0.20331299999999999</v>
          </cell>
          <cell r="Z45">
            <v>-7.2106000000000003E-2</v>
          </cell>
          <cell r="AA45">
            <v>-8.4483000000000003E-2</v>
          </cell>
          <cell r="AB45">
            <v>-0.10671600000000001</v>
          </cell>
          <cell r="AC45">
            <v>-0.28557999999999995</v>
          </cell>
          <cell r="AD45">
            <v>-0.54888499999999996</v>
          </cell>
          <cell r="AE45">
            <v>0.48380099999999998</v>
          </cell>
          <cell r="AF45">
            <v>-0.55979499999999993</v>
          </cell>
          <cell r="AG45">
            <v>-0.89467099999999999</v>
          </cell>
          <cell r="AH45">
            <v>-1.0227730000000002</v>
          </cell>
          <cell r="AI45">
            <v>-1.993438</v>
          </cell>
          <cell r="AJ45">
            <v>-1.0580000000000001</v>
          </cell>
          <cell r="AK45">
            <v>-1.159</v>
          </cell>
          <cell r="AL45">
            <v>-1.2190000000000001</v>
          </cell>
          <cell r="AM45">
            <v>-1.2549999999999999</v>
          </cell>
          <cell r="AN45">
            <v>-4.6909999999999998</v>
          </cell>
          <cell r="AO45">
            <v>-1.0529999999999999</v>
          </cell>
          <cell r="AP45">
            <v>-0.64700000000000002</v>
          </cell>
          <cell r="AQ45">
            <v>-0.50800000000000001</v>
          </cell>
          <cell r="AR45">
            <v>-0.54</v>
          </cell>
          <cell r="AS45">
            <v>-2.7480000000000002</v>
          </cell>
          <cell r="AT45">
            <v>-0.246</v>
          </cell>
          <cell r="AU45">
            <v>-0.22500000000000001</v>
          </cell>
          <cell r="AV45">
            <v>-0.10100000000000001</v>
          </cell>
          <cell r="AW45">
            <v>-0.184</v>
          </cell>
          <cell r="AX45">
            <v>-0.75600000000000001</v>
          </cell>
          <cell r="AY45">
            <v>-0.14899999999999999</v>
          </cell>
          <cell r="AZ45">
            <v>-0.17499999999999999</v>
          </cell>
          <cell r="BA45">
            <v>-0.19900000000000001</v>
          </cell>
          <cell r="BB45">
            <v>-0.20300000000000001</v>
          </cell>
          <cell r="BC45">
            <v>-0.72599999999999998</v>
          </cell>
          <cell r="BD45">
            <v>-0.16600000000000001</v>
          </cell>
          <cell r="BE45">
            <v>-9.2999999999999999E-2</v>
          </cell>
          <cell r="BF45">
            <v>-0.115</v>
          </cell>
          <cell r="BG45">
            <v>-0.127</v>
          </cell>
          <cell r="BH45">
            <v>-0.501</v>
          </cell>
          <cell r="BI45">
            <v>0</v>
          </cell>
          <cell r="BJ45">
            <v>0</v>
          </cell>
          <cell r="BK45">
            <v>0</v>
          </cell>
          <cell r="BL45">
            <v>0</v>
          </cell>
          <cell r="BM45">
            <v>0</v>
          </cell>
          <cell r="BN45">
            <v>0</v>
          </cell>
          <cell r="BO45">
            <v>0</v>
          </cell>
          <cell r="BP45">
            <v>0</v>
          </cell>
          <cell r="BQ45">
            <v>-0.52593690284836292</v>
          </cell>
          <cell r="BR45">
            <v>-0.52593690284836292</v>
          </cell>
          <cell r="BS45">
            <v>-0.80926173718465733</v>
          </cell>
          <cell r="BT45">
            <v>-0.9228299896717107</v>
          </cell>
          <cell r="BU45">
            <v>-1.1189351404852863</v>
          </cell>
          <cell r="BV45">
            <v>-1.2958156163433432</v>
          </cell>
          <cell r="BW45">
            <v>-4.1468424836849973</v>
          </cell>
          <cell r="BX45">
            <v>-1.9367593890420653</v>
          </cell>
          <cell r="BY45">
            <v>-2.2861676874259032</v>
          </cell>
          <cell r="BZ45">
            <v>-2.5558100341849168</v>
          </cell>
          <cell r="CA45">
            <v>-2.799009983508848</v>
          </cell>
          <cell r="CB45">
            <v>-9.5777470941617331</v>
          </cell>
          <cell r="CC45">
            <v>0</v>
          </cell>
          <cell r="CD45">
            <v>0</v>
          </cell>
          <cell r="CE45">
            <v>0</v>
          </cell>
          <cell r="CF45">
            <v>0</v>
          </cell>
          <cell r="CG45">
            <v>0</v>
          </cell>
        </row>
        <row r="46">
          <cell r="B46" t="str">
            <v>Stock-Based Compensation</v>
          </cell>
          <cell r="Y46">
            <v>0.57932799999999995</v>
          </cell>
          <cell r="Z46">
            <v>0.13853699999999999</v>
          </cell>
          <cell r="AA46">
            <v>0.22966700000000001</v>
          </cell>
          <cell r="AB46">
            <v>0.22679099999999999</v>
          </cell>
          <cell r="AC46">
            <v>0.24898400000000009</v>
          </cell>
          <cell r="AD46">
            <v>0.84397900000000003</v>
          </cell>
          <cell r="AE46">
            <v>0.47885699999999998</v>
          </cell>
          <cell r="AF46">
            <v>0.43487599999999998</v>
          </cell>
          <cell r="AG46">
            <v>0.47110999999999997</v>
          </cell>
          <cell r="AH46">
            <v>0.57299999999999995</v>
          </cell>
          <cell r="AI46">
            <v>1.9578429999999998</v>
          </cell>
          <cell r="AJ46">
            <v>0.40300000000000002</v>
          </cell>
          <cell r="AK46">
            <v>0.747</v>
          </cell>
          <cell r="AL46">
            <v>1.101</v>
          </cell>
          <cell r="AM46">
            <v>0.79</v>
          </cell>
          <cell r="AN46">
            <v>3.0409999999999999</v>
          </cell>
          <cell r="AO46">
            <v>0.77900000000000003</v>
          </cell>
          <cell r="AP46">
            <v>1.325</v>
          </cell>
          <cell r="AQ46">
            <v>0.90200000000000002</v>
          </cell>
          <cell r="AR46">
            <v>1.0740000000000001</v>
          </cell>
          <cell r="AS46">
            <v>4.08</v>
          </cell>
          <cell r="AT46">
            <v>0.61299999999999999</v>
          </cell>
          <cell r="AU46">
            <v>0.81699999999999995</v>
          </cell>
          <cell r="AV46">
            <v>1.046</v>
          </cell>
          <cell r="AW46">
            <v>1.18</v>
          </cell>
          <cell r="AX46">
            <v>3.6559999999999997</v>
          </cell>
          <cell r="AY46">
            <v>1.264</v>
          </cell>
          <cell r="AZ46">
            <v>1.617</v>
          </cell>
          <cell r="BA46">
            <v>1.6459999999999999</v>
          </cell>
          <cell r="BB46">
            <v>1.3680000000000001</v>
          </cell>
          <cell r="BC46">
            <v>5.8950000000000005</v>
          </cell>
          <cell r="BD46">
            <v>1.6830000000000001</v>
          </cell>
          <cell r="BE46">
            <v>2.419</v>
          </cell>
          <cell r="BF46">
            <v>2.4039999999999999</v>
          </cell>
          <cell r="BG46">
            <v>2.9380000000000002</v>
          </cell>
          <cell r="BH46">
            <v>9.4440000000000008</v>
          </cell>
          <cell r="BI46">
            <v>3.35</v>
          </cell>
          <cell r="BJ46">
            <v>3.35</v>
          </cell>
          <cell r="BK46">
            <v>3.35</v>
          </cell>
          <cell r="BL46">
            <v>0</v>
          </cell>
          <cell r="BM46">
            <v>10.050000000000001</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row>
        <row r="47">
          <cell r="B47" t="str">
            <v>Depreciation of Property &amp; Equipment</v>
          </cell>
          <cell r="Y47">
            <v>0</v>
          </cell>
          <cell r="Z47">
            <v>0</v>
          </cell>
          <cell r="AA47">
            <v>0</v>
          </cell>
          <cell r="AB47">
            <v>0</v>
          </cell>
          <cell r="AC47">
            <v>1.740167</v>
          </cell>
          <cell r="AD47">
            <v>1.740167</v>
          </cell>
          <cell r="AE47">
            <v>0.49918899999999999</v>
          </cell>
          <cell r="AF47">
            <v>0.655358</v>
          </cell>
          <cell r="AG47">
            <v>0.79574699999999998</v>
          </cell>
          <cell r="AH47">
            <v>0.56899999999999995</v>
          </cell>
          <cell r="AI47">
            <v>2.5192939999999999</v>
          </cell>
          <cell r="AJ47">
            <v>0.94</v>
          </cell>
          <cell r="AK47">
            <v>1.357</v>
          </cell>
          <cell r="AL47">
            <v>1.4379999999999999</v>
          </cell>
          <cell r="AM47">
            <v>1.448</v>
          </cell>
          <cell r="AN47">
            <v>5.1829999999999998</v>
          </cell>
          <cell r="AO47">
            <v>1.1639999999999999</v>
          </cell>
          <cell r="AP47">
            <v>1.881</v>
          </cell>
          <cell r="AQ47">
            <v>1.669</v>
          </cell>
          <cell r="AR47">
            <v>1.9</v>
          </cell>
          <cell r="AS47">
            <v>6.6140000000000008</v>
          </cell>
          <cell r="AT47">
            <v>1.976</v>
          </cell>
          <cell r="AU47">
            <v>1.968</v>
          </cell>
          <cell r="AV47">
            <v>2.0369999999999999</v>
          </cell>
          <cell r="AW47">
            <v>2.0329999999999999</v>
          </cell>
          <cell r="AX47">
            <v>8.0139999999999993</v>
          </cell>
          <cell r="AY47">
            <v>2.089</v>
          </cell>
          <cell r="AZ47">
            <v>2.1459999999999999</v>
          </cell>
          <cell r="BA47">
            <v>2.077</v>
          </cell>
          <cell r="BB47">
            <v>2.2170000000000001</v>
          </cell>
          <cell r="BC47">
            <v>8.5289999999999999</v>
          </cell>
          <cell r="BD47">
            <v>2.33</v>
          </cell>
          <cell r="BE47">
            <v>2.2509999999999999</v>
          </cell>
          <cell r="BF47">
            <v>2.2349999999999999</v>
          </cell>
          <cell r="BG47">
            <v>2.6760000000000002</v>
          </cell>
          <cell r="BH47">
            <v>9.4919999999999991</v>
          </cell>
          <cell r="BI47">
            <v>2.9</v>
          </cell>
          <cell r="BJ47">
            <v>2.9</v>
          </cell>
          <cell r="BK47">
            <v>5.7169999999999996</v>
          </cell>
          <cell r="BL47">
            <v>6.1959999999999997</v>
          </cell>
          <cell r="BM47">
            <v>17.713000000000001</v>
          </cell>
          <cell r="BN47">
            <v>8.1029999999999998</v>
          </cell>
          <cell r="BO47">
            <v>9.0419999999999998</v>
          </cell>
          <cell r="BP47">
            <v>11.058999999999999</v>
          </cell>
          <cell r="BQ47">
            <v>11.058999999999999</v>
          </cell>
          <cell r="BR47">
            <v>39.262999999999998</v>
          </cell>
          <cell r="BS47">
            <v>11.058999999999999</v>
          </cell>
          <cell r="BT47">
            <v>11.058999999999999</v>
          </cell>
          <cell r="BU47">
            <v>11.058999999999999</v>
          </cell>
          <cell r="BV47">
            <v>11.058999999999999</v>
          </cell>
          <cell r="BW47">
            <v>44.235999999999997</v>
          </cell>
          <cell r="BX47">
            <v>11.058999999999999</v>
          </cell>
          <cell r="BY47">
            <v>11.058999999999999</v>
          </cell>
          <cell r="BZ47">
            <v>11.058999999999999</v>
          </cell>
          <cell r="CA47">
            <v>11.058999999999999</v>
          </cell>
          <cell r="CB47">
            <v>44.235999999999997</v>
          </cell>
          <cell r="CC47">
            <v>21.483000000000001</v>
          </cell>
          <cell r="CD47">
            <v>21.483000000000001</v>
          </cell>
          <cell r="CE47">
            <v>21.483000000000001</v>
          </cell>
          <cell r="CF47">
            <v>21.483000000000001</v>
          </cell>
          <cell r="CG47">
            <v>85.932000000000002</v>
          </cell>
        </row>
        <row r="48">
          <cell r="B48" t="str">
            <v>Amortization of Intangible Assets</v>
          </cell>
          <cell r="Y48">
            <v>1.4991030000000001</v>
          </cell>
          <cell r="Z48">
            <v>0.77538799999999997</v>
          </cell>
          <cell r="AA48">
            <v>0.97467499999999996</v>
          </cell>
          <cell r="AB48">
            <v>0.85694599999999999</v>
          </cell>
          <cell r="AC48">
            <v>0.69915800000000017</v>
          </cell>
          <cell r="AD48">
            <v>3.3061669999999999</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1.0920000000000005</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-1</v>
          </cell>
          <cell r="CD48">
            <v>-1</v>
          </cell>
          <cell r="CE48">
            <v>-1</v>
          </cell>
          <cell r="CF48">
            <v>-1</v>
          </cell>
          <cell r="CG48">
            <v>-4</v>
          </cell>
        </row>
        <row r="49">
          <cell r="B49" t="str">
            <v>Adjusted EBITDA</v>
          </cell>
          <cell r="Y49">
            <v>6.8206800000000012</v>
          </cell>
          <cell r="Z49">
            <v>2.0888949999999982</v>
          </cell>
          <cell r="AA49">
            <v>3.501808</v>
          </cell>
          <cell r="AB49">
            <v>4.5199239999999987</v>
          </cell>
          <cell r="AC49">
            <v>6.9707130000000035</v>
          </cell>
          <cell r="AD49">
            <v>17.081339999999997</v>
          </cell>
          <cell r="AE49">
            <v>5.5700590000000014</v>
          </cell>
          <cell r="AF49">
            <v>4.2166760000000005</v>
          </cell>
          <cell r="AG49">
            <v>5.6159039999999987</v>
          </cell>
          <cell r="AH49">
            <v>5.9219182247464</v>
          </cell>
          <cell r="AI49">
            <v>21.3245572247464</v>
          </cell>
          <cell r="AJ49">
            <v>6.2839999999999989</v>
          </cell>
          <cell r="AK49">
            <v>5.296000000000002</v>
          </cell>
          <cell r="AL49">
            <v>4.0829999999999984</v>
          </cell>
          <cell r="AM49">
            <v>6.923</v>
          </cell>
          <cell r="AN49">
            <v>22.586000000000002</v>
          </cell>
          <cell r="AO49">
            <v>6.331999999999999</v>
          </cell>
          <cell r="AP49">
            <v>9.5760000000000041</v>
          </cell>
          <cell r="AQ49">
            <v>11.886000000000026</v>
          </cell>
          <cell r="AR49">
            <v>14.679000000000027</v>
          </cell>
          <cell r="AS49">
            <v>42.473000000000056</v>
          </cell>
          <cell r="AT49">
            <v>16.330999999999971</v>
          </cell>
          <cell r="AU49">
            <v>23.657000000000014</v>
          </cell>
          <cell r="AV49">
            <v>24.310000000000006</v>
          </cell>
          <cell r="AW49">
            <v>30.413</v>
          </cell>
          <cell r="AX49">
            <v>94.710999999999999</v>
          </cell>
          <cell r="AY49">
            <v>27.720000000000038</v>
          </cell>
          <cell r="AZ49">
            <v>31.458000000000034</v>
          </cell>
          <cell r="BA49">
            <v>30.442000000000029</v>
          </cell>
          <cell r="BB49">
            <v>31.18399999999998</v>
          </cell>
          <cell r="BC49">
            <v>120.80400000000007</v>
          </cell>
          <cell r="BD49">
            <v>35.198999999999977</v>
          </cell>
          <cell r="BE49">
            <v>41.395999999999972</v>
          </cell>
          <cell r="BF49">
            <v>48.021999999999878</v>
          </cell>
          <cell r="BG49">
            <v>51.277999999999992</v>
          </cell>
          <cell r="BH49">
            <v>175.89499999999978</v>
          </cell>
          <cell r="BI49">
            <v>57.568999999999896</v>
          </cell>
          <cell r="BJ49">
            <v>61.615999999999907</v>
          </cell>
          <cell r="BK49">
            <v>105.59500000000006</v>
          </cell>
          <cell r="BL49">
            <v>146.59100000000012</v>
          </cell>
          <cell r="BM49">
            <v>370.279</v>
          </cell>
          <cell r="BN49">
            <v>143.54199999999986</v>
          </cell>
          <cell r="BO49">
            <v>158.06899999999993</v>
          </cell>
          <cell r="BP49">
            <v>168.22400000000002</v>
          </cell>
          <cell r="BQ49">
            <v>185.5529810179473</v>
          </cell>
          <cell r="BR49">
            <v>655.38798101794714</v>
          </cell>
          <cell r="BS49">
            <v>179.42718519457006</v>
          </cell>
          <cell r="BT49">
            <v>211.31168789601551</v>
          </cell>
          <cell r="BU49">
            <v>192.96153565676977</v>
          </cell>
          <cell r="BV49">
            <v>238.19692432091645</v>
          </cell>
          <cell r="BW49">
            <v>821.89733306827179</v>
          </cell>
          <cell r="BX49">
            <v>206.49888708465855</v>
          </cell>
          <cell r="BY49">
            <v>241.22334332698901</v>
          </cell>
          <cell r="BZ49">
            <v>216.60975279953092</v>
          </cell>
          <cell r="CA49">
            <v>271.04334073791938</v>
          </cell>
          <cell r="CB49">
            <v>935.37532394909783</v>
          </cell>
          <cell r="CC49">
            <v>238.36959361614106</v>
          </cell>
          <cell r="CD49">
            <v>267.98629025169112</v>
          </cell>
          <cell r="CE49">
            <v>234.67534699184816</v>
          </cell>
          <cell r="CF49">
            <v>256.36783011819023</v>
          </cell>
          <cell r="CG49">
            <v>997.39906097787059</v>
          </cell>
        </row>
        <row r="51">
          <cell r="B51" t="str">
            <v>Guidance (continuing)</v>
          </cell>
          <cell r="BH51" t="str">
            <v>$1.62 to $1.63</v>
          </cell>
          <cell r="BM51" t="str">
            <v>$1.09 to $1.13</v>
          </cell>
          <cell r="BR51" t="str">
            <v>$1.81 to $1.88</v>
          </cell>
          <cell r="BW51" t="str">
            <v>$2.20 to $2.25</v>
          </cell>
        </row>
        <row r="52">
          <cell r="B52" t="str">
            <v>EPS GAAP-Guidance</v>
          </cell>
          <cell r="BH52" t="str">
            <v>$1.46 to $1.47</v>
          </cell>
          <cell r="BM52" t="str">
            <v>$0.64 to $0.68</v>
          </cell>
          <cell r="BR52" t="str">
            <v>$1.18 to $1.25</v>
          </cell>
          <cell r="BW52" t="str">
            <v>$1.45 to $1.50</v>
          </cell>
        </row>
        <row r="54">
          <cell r="B54" t="str">
            <v xml:space="preserve">Average basic shares </v>
          </cell>
          <cell r="Y54">
            <v>45.9</v>
          </cell>
          <cell r="Z54">
            <v>58.334867000000003</v>
          </cell>
          <cell r="AA54">
            <v>58.367683999999997</v>
          </cell>
          <cell r="AB54">
            <v>58.40184</v>
          </cell>
          <cell r="AC54">
            <v>65.835566666666665</v>
          </cell>
          <cell r="AD54">
            <v>59.223427999999998</v>
          </cell>
          <cell r="AE54">
            <v>67.804332000000002</v>
          </cell>
          <cell r="AF54">
            <v>68.236575999999999</v>
          </cell>
          <cell r="AG54">
            <v>81.405243999999996</v>
          </cell>
          <cell r="AH54">
            <v>87.76</v>
          </cell>
          <cell r="AI54">
            <v>74.841480000000004</v>
          </cell>
          <cell r="AJ54">
            <v>82.209215999999998</v>
          </cell>
          <cell r="AK54">
            <v>82.749871999999996</v>
          </cell>
          <cell r="AL54">
            <v>83.408956000000003</v>
          </cell>
          <cell r="AM54">
            <v>83.697252000000006</v>
          </cell>
          <cell r="AN54">
            <v>83.021500000000003</v>
          </cell>
          <cell r="AO54">
            <v>83.982752000000005</v>
          </cell>
          <cell r="AP54">
            <v>91.795760000000001</v>
          </cell>
          <cell r="AQ54">
            <v>91.795760000000001</v>
          </cell>
          <cell r="AR54">
            <v>96.223635999999999</v>
          </cell>
          <cell r="AS54">
            <v>91.913864000000004</v>
          </cell>
          <cell r="AT54">
            <v>97.299644000000001</v>
          </cell>
          <cell r="AU54">
            <v>98.555943999999997</v>
          </cell>
          <cell r="AV54">
            <v>50.223526</v>
          </cell>
          <cell r="AW54">
            <v>60.037660000000002</v>
          </cell>
          <cell r="AX54">
            <v>76.529193500000005</v>
          </cell>
          <cell r="AY54">
            <v>120.374004</v>
          </cell>
          <cell r="AZ54">
            <v>121.385864</v>
          </cell>
          <cell r="BA54">
            <v>121.640394</v>
          </cell>
          <cell r="BB54">
            <v>122.469504</v>
          </cell>
          <cell r="BC54">
            <v>121.46744150000001</v>
          </cell>
          <cell r="BD54">
            <v>123.60207200000001</v>
          </cell>
          <cell r="BE54">
            <v>124.148492</v>
          </cell>
          <cell r="BF54">
            <v>124.542534</v>
          </cell>
          <cell r="BG54">
            <v>124.694774</v>
          </cell>
          <cell r="BH54">
            <v>124.246968</v>
          </cell>
          <cell r="BI54">
            <v>125.057366</v>
          </cell>
          <cell r="BJ54">
            <v>132.44173799999999</v>
          </cell>
          <cell r="BK54">
            <v>203.50535500000001</v>
          </cell>
          <cell r="BL54">
            <v>205.23181700000001</v>
          </cell>
          <cell r="BM54">
            <v>166.55906899999999</v>
          </cell>
          <cell r="BN54">
            <v>205.576875</v>
          </cell>
          <cell r="BO54">
            <v>205.665436</v>
          </cell>
          <cell r="BP54">
            <v>206.20326299999999</v>
          </cell>
          <cell r="BQ54">
            <v>206.28087199999999</v>
          </cell>
          <cell r="BR54">
            <v>205.93161149999997</v>
          </cell>
          <cell r="BS54">
            <v>206.38087200000001</v>
          </cell>
          <cell r="BT54">
            <v>206.48087199999998</v>
          </cell>
          <cell r="BU54">
            <v>206.580872</v>
          </cell>
          <cell r="BV54">
            <v>206.68087199999997</v>
          </cell>
          <cell r="BW54">
            <v>206.53087199999999</v>
          </cell>
          <cell r="BX54">
            <v>206.78087199999999</v>
          </cell>
          <cell r="BY54">
            <v>206.88087199999995</v>
          </cell>
          <cell r="BZ54">
            <v>206.98087199999998</v>
          </cell>
          <cell r="CA54">
            <v>207.08087199999994</v>
          </cell>
          <cell r="CB54">
            <v>206.93087199999997</v>
          </cell>
          <cell r="CC54">
            <v>207.24831999999992</v>
          </cell>
          <cell r="CD54">
            <v>207.34831999999994</v>
          </cell>
          <cell r="CE54">
            <v>207.44831999999991</v>
          </cell>
          <cell r="CF54">
            <v>207.54831999999993</v>
          </cell>
          <cell r="CG54">
            <v>207.3983199999999</v>
          </cell>
        </row>
        <row r="55">
          <cell r="B55" t="str">
            <v xml:space="preserve">Average diluted shares </v>
          </cell>
          <cell r="Y55">
            <v>45.9</v>
          </cell>
          <cell r="Z55">
            <v>60.441865999999997</v>
          </cell>
          <cell r="AA55">
            <v>60.425055999999998</v>
          </cell>
          <cell r="AB55">
            <v>61.367455999999997</v>
          </cell>
          <cell r="AC55">
            <v>65.835566666666665</v>
          </cell>
          <cell r="AD55">
            <v>61.748551999999997</v>
          </cell>
          <cell r="AE55">
            <v>72.148240000000001</v>
          </cell>
          <cell r="AF55">
            <v>72.553488000000002</v>
          </cell>
          <cell r="AG55">
            <v>85.422663999999997</v>
          </cell>
          <cell r="AH55">
            <v>87.76</v>
          </cell>
          <cell r="AI55">
            <v>78.800556</v>
          </cell>
          <cell r="AJ55">
            <v>86.990431999999998</v>
          </cell>
          <cell r="AK55">
            <v>87.005852000000004</v>
          </cell>
          <cell r="AL55">
            <v>87.140827999999999</v>
          </cell>
          <cell r="AM55">
            <v>85.621144000000001</v>
          </cell>
          <cell r="AN55">
            <v>86.251016000000007</v>
          </cell>
          <cell r="AO55">
            <v>85.956624000000005</v>
          </cell>
          <cell r="AP55">
            <v>94.233784</v>
          </cell>
          <cell r="AQ55">
            <v>97.386960000000002</v>
          </cell>
          <cell r="AR55">
            <v>98.412856000000005</v>
          </cell>
          <cell r="AS55">
            <v>93.652044000000004</v>
          </cell>
          <cell r="AT55">
            <v>99.692831999999996</v>
          </cell>
          <cell r="AU55">
            <v>101.082556</v>
          </cell>
          <cell r="AV55">
            <v>52.218404</v>
          </cell>
          <cell r="AW55">
            <v>62.330647999999997</v>
          </cell>
          <cell r="AX55">
            <v>78.831109999999995</v>
          </cell>
          <cell r="AY55">
            <v>124.319536</v>
          </cell>
          <cell r="AZ55">
            <v>125.556068</v>
          </cell>
          <cell r="BA55">
            <v>125.858372</v>
          </cell>
          <cell r="BB55">
            <v>126.60087799999999</v>
          </cell>
          <cell r="BC55">
            <v>125.58371349999999</v>
          </cell>
          <cell r="BD55">
            <v>127.064482</v>
          </cell>
          <cell r="BE55">
            <v>127.536914</v>
          </cell>
          <cell r="BF55">
            <v>126.14103799999999</v>
          </cell>
          <cell r="BG55">
            <v>126.244708</v>
          </cell>
          <cell r="BH55">
            <v>126.7467855</v>
          </cell>
          <cell r="BI55">
            <v>126.56895799999999</v>
          </cell>
          <cell r="BJ55">
            <v>133.76948200000001</v>
          </cell>
          <cell r="BK55">
            <v>204.43904800000001</v>
          </cell>
          <cell r="BL55">
            <v>206.14729500000001</v>
          </cell>
          <cell r="BM55">
            <v>167.73119575000001</v>
          </cell>
          <cell r="BN55">
            <v>206.42354900000001</v>
          </cell>
          <cell r="BO55">
            <v>206.62443200000001</v>
          </cell>
          <cell r="BP55">
            <v>206.82461799999999</v>
          </cell>
          <cell r="BQ55">
            <v>206.90246086021875</v>
          </cell>
          <cell r="BR55">
            <v>206.6937649650547</v>
          </cell>
          <cell r="BS55">
            <v>207.00276219153184</v>
          </cell>
          <cell r="BT55">
            <v>207.10306352284491</v>
          </cell>
          <cell r="BU55">
            <v>207.203364854158</v>
          </cell>
          <cell r="BV55">
            <v>207.30366618547103</v>
          </cell>
          <cell r="BW55">
            <v>207.15321418850144</v>
          </cell>
          <cell r="BX55">
            <v>207.40396751678412</v>
          </cell>
          <cell r="BY55">
            <v>207.50426884809718</v>
          </cell>
          <cell r="BZ55">
            <v>207.60457017941027</v>
          </cell>
          <cell r="CA55">
            <v>207.70487151072331</v>
          </cell>
          <cell r="CB55">
            <v>207.55441951375371</v>
          </cell>
          <cell r="CC55">
            <v>207.67551413382205</v>
          </cell>
          <cell r="CD55">
            <v>207.77572026052738</v>
          </cell>
          <cell r="CE55">
            <v>207.87592638723265</v>
          </cell>
          <cell r="CF55">
            <v>207.97613251393798</v>
          </cell>
          <cell r="CG55">
            <v>207.82582332388</v>
          </cell>
        </row>
        <row r="56">
          <cell r="B56" t="str">
            <v>Period end shares outstanding</v>
          </cell>
          <cell r="Y56">
            <v>58.318494999999999</v>
          </cell>
          <cell r="Z56">
            <v>58.364496000000003</v>
          </cell>
          <cell r="AA56">
            <v>58.374496000000001</v>
          </cell>
          <cell r="AB56">
            <v>58.420163000000002</v>
          </cell>
          <cell r="AC56">
            <v>67.755331999999996</v>
          </cell>
          <cell r="AD56">
            <v>67.755331999999996</v>
          </cell>
          <cell r="AE56">
            <v>81.519295999999997</v>
          </cell>
          <cell r="AF56">
            <v>81.231211999999999</v>
          </cell>
          <cell r="AG56">
            <v>81.519295999999997</v>
          </cell>
          <cell r="AH56">
            <v>81.777959999999993</v>
          </cell>
          <cell r="AI56">
            <v>81.777959999999993</v>
          </cell>
          <cell r="AJ56">
            <v>82.449928</v>
          </cell>
          <cell r="AK56">
            <v>83.346608000000003</v>
          </cell>
          <cell r="AL56">
            <v>83.475064000000003</v>
          </cell>
          <cell r="AM56">
            <v>83.943736000000001</v>
          </cell>
          <cell r="AN56">
            <v>83.943736000000001</v>
          </cell>
          <cell r="AO56">
            <v>84.059768000000005</v>
          </cell>
          <cell r="AP56">
            <v>95.293083999999993</v>
          </cell>
          <cell r="AQ56">
            <v>96.173528000000005</v>
          </cell>
          <cell r="AR56">
            <v>96.412127999999996</v>
          </cell>
          <cell r="AS56">
            <v>96.412127999999996</v>
          </cell>
          <cell r="AT56">
            <v>97.906176000000002</v>
          </cell>
          <cell r="AU56">
            <v>98.556371999999996</v>
          </cell>
          <cell r="AV56">
            <v>59.958337999999998</v>
          </cell>
          <cell r="AW56">
            <v>60.114561999999999</v>
          </cell>
          <cell r="AX56">
            <v>60.114561999999999</v>
          </cell>
          <cell r="AY56">
            <v>121.274472</v>
          </cell>
          <cell r="AZ56">
            <v>121.61116</v>
          </cell>
          <cell r="BA56">
            <v>121.707812</v>
          </cell>
          <cell r="BB56">
            <v>123.205994</v>
          </cell>
          <cell r="BC56">
            <v>123.205994</v>
          </cell>
          <cell r="BD56">
            <v>123.753156</v>
          </cell>
          <cell r="BE56">
            <v>124.52312999999999</v>
          </cell>
          <cell r="BF56">
            <v>124.57543200000001</v>
          </cell>
          <cell r="BG56">
            <v>124.76732199999999</v>
          </cell>
          <cell r="BH56">
            <v>124.76732199999999</v>
          </cell>
          <cell r="BI56">
            <v>125.74814000000001</v>
          </cell>
          <cell r="BJ56">
            <v>137.97568000000001</v>
          </cell>
          <cell r="BK56">
            <v>205.13788199999999</v>
          </cell>
          <cell r="BL56">
            <v>205.1</v>
          </cell>
          <cell r="BM56">
            <v>205.1</v>
          </cell>
          <cell r="BN56">
            <v>205.2</v>
          </cell>
          <cell r="BO56">
            <v>206.13087200000001</v>
          </cell>
          <cell r="BP56">
            <v>206.23087200000001</v>
          </cell>
          <cell r="BQ56">
            <v>206.330872</v>
          </cell>
          <cell r="BR56">
            <v>206.330872</v>
          </cell>
          <cell r="BS56">
            <v>206.43087199999999</v>
          </cell>
          <cell r="BT56">
            <v>206.53087199999999</v>
          </cell>
          <cell r="BU56">
            <v>206.63087199999998</v>
          </cell>
          <cell r="BV56">
            <v>206.73087199999998</v>
          </cell>
          <cell r="BW56">
            <v>206.73087199999998</v>
          </cell>
          <cell r="BX56">
            <v>206.83087199999997</v>
          </cell>
          <cell r="BY56">
            <v>206.93087199999997</v>
          </cell>
          <cell r="BZ56">
            <v>207.03087199999996</v>
          </cell>
          <cell r="CA56">
            <v>207.13087199999995</v>
          </cell>
          <cell r="CB56">
            <v>207.13087199999995</v>
          </cell>
          <cell r="CC56">
            <v>207.29831999999993</v>
          </cell>
          <cell r="CD56">
            <v>207.39831999999993</v>
          </cell>
          <cell r="CE56">
            <v>207.49831999999992</v>
          </cell>
          <cell r="CF56">
            <v>207.59831999999992</v>
          </cell>
          <cell r="CG56">
            <v>207.59831999999992</v>
          </cell>
        </row>
        <row r="58">
          <cell r="B58" t="str">
            <v>Share repurchase</v>
          </cell>
        </row>
        <row r="59">
          <cell r="B59" t="str">
            <v>Amountavailable to repurchase</v>
          </cell>
        </row>
        <row r="60">
          <cell r="B60" t="str">
            <v>Amount repurchased ($)</v>
          </cell>
        </row>
        <row r="61">
          <cell r="B61" t="str">
            <v>Average repurchase price</v>
          </cell>
          <cell r="BJ61">
            <v>90</v>
          </cell>
          <cell r="BK61">
            <v>46.124999999999993</v>
          </cell>
          <cell r="BL61">
            <v>47.278124999999989</v>
          </cell>
          <cell r="BN61">
            <v>48.460078124999981</v>
          </cell>
          <cell r="BO61">
            <v>49.671580078124975</v>
          </cell>
          <cell r="BP61">
            <v>50.913369580078097</v>
          </cell>
          <cell r="BQ61">
            <v>52.186203819580044</v>
          </cell>
          <cell r="BS61">
            <v>53.490858915069538</v>
          </cell>
          <cell r="BT61">
            <v>54.828130387946274</v>
          </cell>
          <cell r="BU61">
            <v>56.198833647644925</v>
          </cell>
          <cell r="BV61">
            <v>57.60380448883604</v>
          </cell>
          <cell r="BX61">
            <v>59.043899601056935</v>
          </cell>
          <cell r="BY61">
            <v>60.519997091083354</v>
          </cell>
          <cell r="BZ61">
            <v>62.032997018360433</v>
          </cell>
          <cell r="CA61">
            <v>63.583821943819437</v>
          </cell>
          <cell r="CC61">
            <v>65.173417492414913</v>
          </cell>
          <cell r="CD61">
            <v>66.802752929725287</v>
          </cell>
          <cell r="CE61">
            <v>68.472821752968414</v>
          </cell>
          <cell r="CF61">
            <v>70.184642296792617</v>
          </cell>
        </row>
        <row r="62">
          <cell r="B62" t="str">
            <v>Number of shares repurchased</v>
          </cell>
          <cell r="BJ62">
            <v>-5.98</v>
          </cell>
          <cell r="BN62">
            <v>-0.1</v>
          </cell>
          <cell r="BO62">
            <v>-0.1</v>
          </cell>
          <cell r="BP62">
            <v>-0.1</v>
          </cell>
          <cell r="BQ62">
            <v>-0.1</v>
          </cell>
          <cell r="BS62">
            <v>-0.1</v>
          </cell>
          <cell r="BT62">
            <v>-0.1</v>
          </cell>
          <cell r="BU62">
            <v>-0.1</v>
          </cell>
          <cell r="BV62">
            <v>-0.1</v>
          </cell>
          <cell r="BX62">
            <v>-0.1</v>
          </cell>
          <cell r="BY62">
            <v>-0.1</v>
          </cell>
          <cell r="BZ62">
            <v>-0.1</v>
          </cell>
          <cell r="CA62">
            <v>-0.1</v>
          </cell>
          <cell r="CC62">
            <v>-0.1</v>
          </cell>
          <cell r="CD62">
            <v>-0.1</v>
          </cell>
          <cell r="CE62">
            <v>-0.1</v>
          </cell>
          <cell r="CF62">
            <v>-0.1</v>
          </cell>
        </row>
        <row r="63">
          <cell r="B63" t="str">
            <v>Remaining to repurchase ($)</v>
          </cell>
        </row>
        <row r="65">
          <cell r="B65" t="str">
            <v>EBIT and EBITDA</v>
          </cell>
        </row>
        <row r="66">
          <cell r="B66" t="str">
            <v>EBIT (non-GAAP)</v>
          </cell>
          <cell r="Y66">
            <v>4.742249000000001</v>
          </cell>
          <cell r="Z66">
            <v>1.1749699999999983</v>
          </cell>
          <cell r="AA66">
            <v>2.297466</v>
          </cell>
          <cell r="AB66">
            <v>3.4361869999999985</v>
          </cell>
          <cell r="AC66">
            <v>4.2824040000000032</v>
          </cell>
          <cell r="AD66">
            <v>11.191026999999998</v>
          </cell>
          <cell r="AE66">
            <v>3.624411000000002</v>
          </cell>
          <cell r="AF66">
            <v>3.1264420000000008</v>
          </cell>
          <cell r="AG66">
            <v>4.3490469999999988</v>
          </cell>
          <cell r="AH66">
            <v>5.8910999999999962</v>
          </cell>
          <cell r="AI66">
            <v>16.991</v>
          </cell>
          <cell r="AJ66">
            <v>4.9409999999999989</v>
          </cell>
          <cell r="AK66">
            <v>3.1920000000000019</v>
          </cell>
          <cell r="AL66">
            <v>1.5439999999999987</v>
          </cell>
          <cell r="AM66">
            <v>4.6850000000000005</v>
          </cell>
          <cell r="AN66">
            <v>14.361999999999995</v>
          </cell>
          <cell r="AO66">
            <v>4.3889999999999993</v>
          </cell>
          <cell r="AP66">
            <v>6.3700000000000045</v>
          </cell>
          <cell r="AQ66">
            <v>9.3150000000000261</v>
          </cell>
          <cell r="AR66">
            <v>11.705000000000027</v>
          </cell>
          <cell r="AS66">
            <v>31.779000000000096</v>
          </cell>
          <cell r="AT66">
            <v>13.741999999999969</v>
          </cell>
          <cell r="AU66">
            <v>20.872000000000014</v>
          </cell>
          <cell r="AV66">
            <v>21.227000000000007</v>
          </cell>
          <cell r="AW66">
            <v>27.2</v>
          </cell>
          <cell r="AX66">
            <v>83.041000000000167</v>
          </cell>
          <cell r="AY66">
            <v>24.36700000000004</v>
          </cell>
          <cell r="AZ66">
            <v>27.695000000000032</v>
          </cell>
          <cell r="BA66">
            <v>26.719000000000033</v>
          </cell>
          <cell r="BB66">
            <v>27.598999999999982</v>
          </cell>
          <cell r="BC66">
            <v>106.38000000000009</v>
          </cell>
          <cell r="BD66">
            <v>31.185999999999979</v>
          </cell>
          <cell r="BE66">
            <v>36.725999999999978</v>
          </cell>
          <cell r="BF66">
            <v>43.382999999999868</v>
          </cell>
          <cell r="BG66">
            <v>45.663999999999987</v>
          </cell>
          <cell r="BH66">
            <v>156.95899999999958</v>
          </cell>
          <cell r="BI66">
            <v>51.318999999999896</v>
          </cell>
          <cell r="BJ66">
            <v>55.365999999999907</v>
          </cell>
          <cell r="BK66">
            <v>96.528000000000048</v>
          </cell>
          <cell r="BL66">
            <v>139.5630000000001</v>
          </cell>
          <cell r="BM66">
            <v>347.13899999999995</v>
          </cell>
          <cell r="BN66">
            <v>140.90699999999984</v>
          </cell>
          <cell r="BO66">
            <v>156.76299999999992</v>
          </cell>
          <cell r="BP66">
            <v>167.35500000000002</v>
          </cell>
          <cell r="BQ66">
            <v>184.6839810179473</v>
          </cell>
          <cell r="BR66">
            <v>649.70898101794705</v>
          </cell>
          <cell r="BS66">
            <v>178.55818519457006</v>
          </cell>
          <cell r="BT66">
            <v>210.44268789601551</v>
          </cell>
          <cell r="BU66">
            <v>192.09253565676977</v>
          </cell>
          <cell r="BV66">
            <v>237.32792432091645</v>
          </cell>
          <cell r="BW66">
            <v>818.42133306827191</v>
          </cell>
          <cell r="BX66">
            <v>205.62988708465855</v>
          </cell>
          <cell r="BY66">
            <v>240.35434332698901</v>
          </cell>
          <cell r="BZ66">
            <v>215.74075279953092</v>
          </cell>
          <cell r="CA66">
            <v>270.17434073791935</v>
          </cell>
          <cell r="CB66">
            <v>931.89932394909783</v>
          </cell>
          <cell r="CC66">
            <v>232.23059361614105</v>
          </cell>
          <cell r="CD66">
            <v>261.84729025169111</v>
          </cell>
          <cell r="CE66">
            <v>228.53634699184815</v>
          </cell>
          <cell r="CF66">
            <v>250.22883011819025</v>
          </cell>
          <cell r="CG66">
            <v>972.84306097786782</v>
          </cell>
        </row>
        <row r="67">
          <cell r="B67" t="str">
            <v>Depreciation and amortization</v>
          </cell>
          <cell r="Y67">
            <v>1.565685</v>
          </cell>
          <cell r="Z67">
            <v>0.39622299999999999</v>
          </cell>
          <cell r="AA67">
            <v>0.44750000000000001</v>
          </cell>
          <cell r="AB67">
            <v>0.39</v>
          </cell>
          <cell r="AC67">
            <v>2.072444</v>
          </cell>
          <cell r="AD67">
            <v>3.3061670000000003</v>
          </cell>
          <cell r="AE67">
            <v>0.89662500000000001</v>
          </cell>
          <cell r="AF67">
            <v>1.049922</v>
          </cell>
          <cell r="AG67">
            <v>1.1917469999999999</v>
          </cell>
          <cell r="AH67">
            <v>0.96499999999999997</v>
          </cell>
          <cell r="AI67">
            <v>4.103294</v>
          </cell>
          <cell r="AJ67">
            <v>1.335</v>
          </cell>
          <cell r="AK67">
            <v>1.708</v>
          </cell>
          <cell r="AL67">
            <v>2.1429999999999998</v>
          </cell>
          <cell r="AM67">
            <v>1.8420000000000001</v>
          </cell>
          <cell r="AN67">
            <v>7.0280000000000005</v>
          </cell>
          <cell r="AO67">
            <v>1.9430000000000001</v>
          </cell>
          <cell r="AP67">
            <v>3.206</v>
          </cell>
          <cell r="AQ67">
            <v>2.5710000000000002</v>
          </cell>
          <cell r="AR67">
            <v>4.9879999999999995</v>
          </cell>
          <cell r="AS67">
            <v>12.707999999999998</v>
          </cell>
          <cell r="AT67">
            <v>2.589</v>
          </cell>
          <cell r="AU67">
            <v>2.7850000000000001</v>
          </cell>
          <cell r="AV67">
            <v>3.0830000000000002</v>
          </cell>
          <cell r="AW67">
            <v>3.2130000000000001</v>
          </cell>
          <cell r="AX67">
            <v>11.67</v>
          </cell>
          <cell r="AY67">
            <v>4.0839999999999996</v>
          </cell>
          <cell r="AZ67">
            <v>3.7629999999999999</v>
          </cell>
          <cell r="BA67">
            <v>4.0190000000000001</v>
          </cell>
          <cell r="BB67">
            <v>3.4950000000000001</v>
          </cell>
          <cell r="BC67">
            <v>15.361000000000001</v>
          </cell>
          <cell r="BD67">
            <v>2.33</v>
          </cell>
          <cell r="BE67">
            <v>2.2509999999999999</v>
          </cell>
          <cell r="BF67">
            <v>2.2349999999999999</v>
          </cell>
          <cell r="BG67">
            <v>2.6760000000000002</v>
          </cell>
          <cell r="BH67">
            <v>9.4919999999999991</v>
          </cell>
          <cell r="BI67">
            <v>3.0550000000000002</v>
          </cell>
          <cell r="BJ67">
            <v>3.2410000000000001</v>
          </cell>
          <cell r="BK67">
            <v>6.6319999999999997</v>
          </cell>
          <cell r="BL67">
            <v>7.2880000000000003</v>
          </cell>
          <cell r="BM67">
            <v>20.216000000000001</v>
          </cell>
          <cell r="BN67">
            <v>2.5930000000001598</v>
          </cell>
          <cell r="BO67">
            <v>9.0419999999999998</v>
          </cell>
          <cell r="BP67">
            <v>11.058999999999999</v>
          </cell>
          <cell r="BQ67">
            <v>11.058999999999999</v>
          </cell>
          <cell r="BR67">
            <v>33.753000000000156</v>
          </cell>
          <cell r="BS67">
            <v>11.058999999999999</v>
          </cell>
          <cell r="BT67">
            <v>11.058999999999999</v>
          </cell>
          <cell r="BU67">
            <v>11.058999999999999</v>
          </cell>
          <cell r="BV67">
            <v>11.058999999999999</v>
          </cell>
          <cell r="BW67">
            <v>44.235999999999997</v>
          </cell>
          <cell r="BX67">
            <v>11.058999999999999</v>
          </cell>
          <cell r="BY67">
            <v>11.058999999999999</v>
          </cell>
          <cell r="BZ67">
            <v>11.058999999999999</v>
          </cell>
          <cell r="CA67">
            <v>11.058999999999999</v>
          </cell>
          <cell r="CB67">
            <v>44.235999999999997</v>
          </cell>
          <cell r="CC67">
            <v>21.483000000000001</v>
          </cell>
          <cell r="CD67">
            <v>21.483000000000001</v>
          </cell>
          <cell r="CE67">
            <v>21.483000000000001</v>
          </cell>
          <cell r="CF67">
            <v>21.483000000000001</v>
          </cell>
          <cell r="CG67">
            <v>85.932000000000002</v>
          </cell>
        </row>
        <row r="68">
          <cell r="B68" t="str">
            <v>EBITDA (non-GAAP)</v>
          </cell>
          <cell r="Y68">
            <v>6.3079340000000013</v>
          </cell>
          <cell r="Z68">
            <v>1.5711929999999983</v>
          </cell>
          <cell r="AA68">
            <v>2.7449659999999998</v>
          </cell>
          <cell r="AB68">
            <v>3.8261869999999987</v>
          </cell>
          <cell r="AC68">
            <v>6.3548480000000032</v>
          </cell>
          <cell r="AD68">
            <v>14.497193999999999</v>
          </cell>
          <cell r="AE68">
            <v>4.5210360000000023</v>
          </cell>
          <cell r="AF68">
            <v>4.1763640000000013</v>
          </cell>
          <cell r="AG68">
            <v>5.5407939999999982</v>
          </cell>
          <cell r="AH68">
            <v>6.8560999999999961</v>
          </cell>
          <cell r="AI68">
            <v>21.094293999999998</v>
          </cell>
          <cell r="AJ68">
            <v>6.2759999999999989</v>
          </cell>
          <cell r="AK68">
            <v>4.9000000000000021</v>
          </cell>
          <cell r="AL68">
            <v>3.6869999999999985</v>
          </cell>
          <cell r="AM68">
            <v>6.527000000000001</v>
          </cell>
          <cell r="AN68">
            <v>21.389999999999993</v>
          </cell>
          <cell r="AO68">
            <v>6.331999999999999</v>
          </cell>
          <cell r="AP68">
            <v>9.5760000000000041</v>
          </cell>
          <cell r="AQ68">
            <v>11.886000000000026</v>
          </cell>
          <cell r="AR68">
            <v>16.693000000000026</v>
          </cell>
          <cell r="AS68">
            <v>44.487000000000094</v>
          </cell>
          <cell r="AT68">
            <v>16.330999999999968</v>
          </cell>
          <cell r="AU68">
            <v>23.657000000000014</v>
          </cell>
          <cell r="AV68">
            <v>24.310000000000009</v>
          </cell>
          <cell r="AW68">
            <v>30.413</v>
          </cell>
          <cell r="AX68">
            <v>94.711000000000169</v>
          </cell>
          <cell r="AY68">
            <v>28.45100000000004</v>
          </cell>
          <cell r="AZ68">
            <v>31.458000000000034</v>
          </cell>
          <cell r="BA68">
            <v>30.738000000000035</v>
          </cell>
          <cell r="BB68">
            <v>31.093999999999983</v>
          </cell>
          <cell r="BC68">
            <v>121.7410000000001</v>
          </cell>
          <cell r="BD68">
            <v>33.515999999999977</v>
          </cell>
          <cell r="BE68">
            <v>38.976999999999975</v>
          </cell>
          <cell r="BF68">
            <v>45.617999999999867</v>
          </cell>
          <cell r="BG68">
            <v>48.339999999999989</v>
          </cell>
          <cell r="BH68">
            <v>166.45099999999957</v>
          </cell>
          <cell r="BI68">
            <v>54.373999999999896</v>
          </cell>
          <cell r="BJ68">
            <v>58.606999999999907</v>
          </cell>
          <cell r="BK68">
            <v>103.16000000000005</v>
          </cell>
          <cell r="BL68">
            <v>146.85100000000011</v>
          </cell>
          <cell r="BM68">
            <v>367.35499999999996</v>
          </cell>
          <cell r="BN68">
            <v>143.5</v>
          </cell>
          <cell r="BO68">
            <v>165.80499999999992</v>
          </cell>
          <cell r="BP68">
            <v>178.41400000000002</v>
          </cell>
          <cell r="BQ68">
            <v>195.7429810179473</v>
          </cell>
          <cell r="BR68">
            <v>683.46198101794721</v>
          </cell>
          <cell r="BS68">
            <v>189.61718519457006</v>
          </cell>
          <cell r="BT68">
            <v>221.50168789601551</v>
          </cell>
          <cell r="BU68">
            <v>203.15153565676977</v>
          </cell>
          <cell r="BV68">
            <v>248.38692432091645</v>
          </cell>
          <cell r="BW68">
            <v>862.6573330682719</v>
          </cell>
          <cell r="BX68">
            <v>216.68888708465855</v>
          </cell>
          <cell r="BY68">
            <v>251.41334332698901</v>
          </cell>
          <cell r="BZ68">
            <v>226.79975279953092</v>
          </cell>
          <cell r="CA68">
            <v>281.23334073791938</v>
          </cell>
          <cell r="CB68">
            <v>976.13532394909782</v>
          </cell>
          <cell r="CC68">
            <v>253.71359361614105</v>
          </cell>
          <cell r="CD68">
            <v>283.33029025169111</v>
          </cell>
          <cell r="CE68">
            <v>250.01934699184815</v>
          </cell>
          <cell r="CF68">
            <v>271.71183011819022</v>
          </cell>
          <cell r="CG68">
            <v>1058.7750609778677</v>
          </cell>
        </row>
        <row r="70">
          <cell r="B70" t="str">
            <v>Margins</v>
          </cell>
        </row>
        <row r="71">
          <cell r="B71" t="str">
            <v>Gross profit</v>
          </cell>
          <cell r="Y71">
            <v>0.59265794640655689</v>
          </cell>
          <cell r="Z71">
            <v>0.57249046054321007</v>
          </cell>
          <cell r="AA71">
            <v>0.60725700113267012</v>
          </cell>
          <cell r="AB71">
            <v>0.64477288957057166</v>
          </cell>
          <cell r="AC71">
            <v>0.62511296010529926</v>
          </cell>
          <cell r="AD71">
            <v>0.61615610402934529</v>
          </cell>
          <cell r="AE71">
            <v>0.60669086085216373</v>
          </cell>
          <cell r="AF71">
            <v>0.59496739219020967</v>
          </cell>
          <cell r="AG71">
            <v>0.6099561916165388</v>
          </cell>
          <cell r="AH71">
            <v>0.51343404290329242</v>
          </cell>
          <cell r="AI71">
            <v>0.57948914400108742</v>
          </cell>
          <cell r="AJ71">
            <v>0.60221198914562946</v>
          </cell>
          <cell r="AK71">
            <v>0.58212058212058215</v>
          </cell>
          <cell r="AL71">
            <v>0.53622405331172041</v>
          </cell>
          <cell r="AM71">
            <v>0.57659646739130432</v>
          </cell>
          <cell r="AN71">
            <v>0.57502871065030958</v>
          </cell>
          <cell r="AO71">
            <v>0.55434469712546774</v>
          </cell>
          <cell r="AP71">
            <v>0.13101797984676519</v>
          </cell>
          <cell r="AQ71">
            <v>0.10966957035658494</v>
          </cell>
          <cell r="AR71">
            <v>0.12733719079401307</v>
          </cell>
          <cell r="AS71">
            <v>0.13382869472813269</v>
          </cell>
          <cell r="AT71">
            <v>0.13467143249931252</v>
          </cell>
          <cell r="AU71">
            <v>0.14715315635431964</v>
          </cell>
          <cell r="AV71">
            <v>0.12431915187639007</v>
          </cell>
          <cell r="AW71">
            <v>0.11847982026364942</v>
          </cell>
          <cell r="AX71">
            <v>0.12970567913729283</v>
          </cell>
          <cell r="AY71">
            <v>0.11108973168077718</v>
          </cell>
          <cell r="AZ71">
            <v>0.11208561548120129</v>
          </cell>
          <cell r="BA71">
            <v>0.10790289066422824</v>
          </cell>
          <cell r="BB71">
            <v>0.10860702409693433</v>
          </cell>
          <cell r="BC71">
            <v>0.10986210138842988</v>
          </cell>
          <cell r="BD71">
            <v>5.7921818572735234E-2</v>
          </cell>
          <cell r="BE71">
            <v>6.122162735687546E-2</v>
          </cell>
          <cell r="BF71">
            <v>6.3965384645262427E-2</v>
          </cell>
          <cell r="BG71">
            <v>6.4827778317811779E-2</v>
          </cell>
          <cell r="BH71">
            <v>6.2202655213199808E-2</v>
          </cell>
          <cell r="BI71">
            <v>6.4288156114651593E-2</v>
          </cell>
          <cell r="BJ71">
            <v>7.1946781088657222E-2</v>
          </cell>
          <cell r="BK71">
            <v>7.3615542281197724E-2</v>
          </cell>
          <cell r="BL71">
            <v>7.9768376412357289E-2</v>
          </cell>
          <cell r="BM71">
            <v>7.3779390993267538E-2</v>
          </cell>
          <cell r="BN71">
            <v>7.7140965227989008E-2</v>
          </cell>
          <cell r="BO71">
            <v>7.7423385409503623E-2</v>
          </cell>
          <cell r="BP71">
            <v>7.9628172393604243E-2</v>
          </cell>
          <cell r="BQ71">
            <v>7.5497520004003588E-2</v>
          </cell>
          <cell r="BR71">
            <v>7.7395510893789807E-2</v>
          </cell>
          <cell r="BS71">
            <v>6.2447599856290392E-2</v>
          </cell>
          <cell r="BT71">
            <v>6.4578280571080879E-2</v>
          </cell>
          <cell r="BU71">
            <v>6.0730054466591625E-2</v>
          </cell>
          <cell r="BV71">
            <v>6.6369126828257227E-2</v>
          </cell>
          <cell r="BW71">
            <v>6.3632099330237821E-2</v>
          </cell>
          <cell r="BX71">
            <v>6.5990480158931872E-2</v>
          </cell>
          <cell r="BY71">
            <v>6.6917185748227803E-2</v>
          </cell>
          <cell r="BZ71">
            <v>6.1583433303948998E-2</v>
          </cell>
          <cell r="CA71">
            <v>6.7587422897388699E-2</v>
          </cell>
          <cell r="CB71">
            <v>6.5537268973424836E-2</v>
          </cell>
          <cell r="CC71">
            <v>6.5473480907815948E-2</v>
          </cell>
          <cell r="CD71">
            <v>6.4458907486590847E-2</v>
          </cell>
          <cell r="CE71">
            <v>5.8836256559243447E-2</v>
          </cell>
          <cell r="CF71">
            <v>6.1909658172712913E-2</v>
          </cell>
          <cell r="CG71">
            <v>6.2569225040665019E-2</v>
          </cell>
        </row>
        <row r="72">
          <cell r="B72" t="str">
            <v>EBITDA</v>
          </cell>
          <cell r="Y72">
            <v>0.20642228281312691</v>
          </cell>
          <cell r="Z72">
            <v>0.19757503002790103</v>
          </cell>
          <cell r="AA72">
            <v>0.28681708380145698</v>
          </cell>
          <cell r="AB72">
            <v>0.30684715828616999</v>
          </cell>
          <cell r="AC72">
            <v>0.41964557963652072</v>
          </cell>
          <cell r="AD72">
            <v>0.31560202942052251</v>
          </cell>
          <cell r="AE72">
            <v>0.28804959034041883</v>
          </cell>
          <cell r="AF72">
            <v>0.22758680618336694</v>
          </cell>
          <cell r="AG72">
            <v>0.26683695869088003</v>
          </cell>
          <cell r="AH72">
            <v>0.26903286006669946</v>
          </cell>
          <cell r="AI72">
            <v>0.26351664205165898</v>
          </cell>
          <cell r="AJ72">
            <v>0.25836691061590328</v>
          </cell>
          <cell r="AK72">
            <v>0.22938322938322947</v>
          </cell>
          <cell r="AL72">
            <v>0.18384438741050918</v>
          </cell>
          <cell r="AM72">
            <v>0.2939453125</v>
          </cell>
          <cell r="AN72">
            <v>0.24241448519389083</v>
          </cell>
          <cell r="AO72">
            <v>0.26039396307110246</v>
          </cell>
          <cell r="AP72">
            <v>4.2045180127768894E-2</v>
          </cell>
          <cell r="AQ72">
            <v>3.736549083467209E-2</v>
          </cell>
          <cell r="AR72">
            <v>5.0139018875142695E-2</v>
          </cell>
          <cell r="AS72">
            <v>4.9219006210172507E-2</v>
          </cell>
          <cell r="AT72">
            <v>5.6127990101732105E-2</v>
          </cell>
          <cell r="AU72">
            <v>7.373709982576393E-2</v>
          </cell>
          <cell r="AV72">
            <v>6.3385037376573888E-2</v>
          </cell>
          <cell r="AW72">
            <v>6.8603434119228729E-2</v>
          </cell>
          <cell r="AX72">
            <v>6.583397862138668E-2</v>
          </cell>
          <cell r="AY72">
            <v>6.1307359537142787E-2</v>
          </cell>
          <cell r="AZ72">
            <v>6.5613228601344123E-2</v>
          </cell>
          <cell r="BA72">
            <v>6.2136421716109967E-2</v>
          </cell>
          <cell r="BB72">
            <v>5.9187051124371733E-2</v>
          </cell>
          <cell r="BC72">
            <v>6.2002024237472246E-2</v>
          </cell>
          <cell r="BD72">
            <v>3.2067540531971861E-2</v>
          </cell>
          <cell r="BE72">
            <v>3.4154016496168831E-2</v>
          </cell>
          <cell r="BF72">
            <v>3.7304725430943986E-2</v>
          </cell>
          <cell r="BG72">
            <v>3.7198026280473029E-2</v>
          </cell>
          <cell r="BH72">
            <v>3.5352261433284488E-2</v>
          </cell>
          <cell r="BI72">
            <v>3.3526935286707679E-2</v>
          </cell>
          <cell r="BJ72">
            <v>3.6187168284780087E-2</v>
          </cell>
          <cell r="BK72">
            <v>3.3093788979497191E-2</v>
          </cell>
          <cell r="BL72">
            <v>4.4027403184824364E-2</v>
          </cell>
          <cell r="BM72">
            <v>3.7250958740940754E-2</v>
          </cell>
          <cell r="BN72">
            <v>4.4582192963602961E-2</v>
          </cell>
          <cell r="BO72">
            <v>4.6253763793259829E-2</v>
          </cell>
          <cell r="BP72">
            <v>4.6545963253303409E-2</v>
          </cell>
          <cell r="BQ72">
            <v>4.7948864572421014E-2</v>
          </cell>
          <cell r="BR72">
            <v>4.6411951582769083E-2</v>
          </cell>
          <cell r="BS72">
            <v>4.1449860950494952E-2</v>
          </cell>
          <cell r="BT72">
            <v>4.2554110448857436E-2</v>
          </cell>
          <cell r="BU72">
            <v>3.8672439671252404E-2</v>
          </cell>
          <cell r="BV72">
            <v>4.3728362986149086E-2</v>
          </cell>
          <cell r="BW72">
            <v>4.1654434348363197E-2</v>
          </cell>
          <cell r="BX72">
            <v>4.324474703947593E-2</v>
          </cell>
          <cell r="BY72">
            <v>4.3107478216747167E-2</v>
          </cell>
          <cell r="BZ72">
            <v>3.7595696951161106E-2</v>
          </cell>
          <cell r="CA72">
            <v>4.3095079113672864E-2</v>
          </cell>
          <cell r="CB72">
            <v>4.1716924209663886E-2</v>
          </cell>
          <cell r="CC72">
            <v>3.9375974979299122E-2</v>
          </cell>
          <cell r="CD72">
            <v>3.949819349779795E-2</v>
          </cell>
          <cell r="CE72">
            <v>3.3913791445693488E-2</v>
          </cell>
          <cell r="CF72">
            <v>3.6990224830794755E-2</v>
          </cell>
          <cell r="CG72">
            <v>3.7371296419185747E-2</v>
          </cell>
        </row>
        <row r="73">
          <cell r="B73" t="str">
            <v>EBIT (excludes amortization)</v>
          </cell>
          <cell r="Y73">
            <v>0.14352027426125671</v>
          </cell>
          <cell r="Z73">
            <v>0.11113279175443608</v>
          </cell>
          <cell r="AA73">
            <v>0.18817493656219819</v>
          </cell>
          <cell r="AB73">
            <v>0.23327476663100519</v>
          </cell>
          <cell r="AC73">
            <v>0.25780603918390488</v>
          </cell>
          <cell r="AD73">
            <v>0.20677012649475168</v>
          </cell>
          <cell r="AE73">
            <v>0.18743250363691086</v>
          </cell>
          <cell r="AF73">
            <v>0.16874356708875385</v>
          </cell>
          <cell r="AG73">
            <v>0.20664286189430867</v>
          </cell>
          <cell r="AH73">
            <v>0.26763278751739328</v>
          </cell>
          <cell r="AI73">
            <v>0.20996502848386736</v>
          </cell>
          <cell r="AJ73">
            <v>0.20314941205492965</v>
          </cell>
          <cell r="AK73">
            <v>0.13825363825363834</v>
          </cell>
          <cell r="AL73">
            <v>6.9521365212301262E-2</v>
          </cell>
          <cell r="AM73">
            <v>0.19892153532608697</v>
          </cell>
          <cell r="AN73">
            <v>0.15414667654098374</v>
          </cell>
          <cell r="AO73">
            <v>0.1804910145165933</v>
          </cell>
          <cell r="AP73">
            <v>2.7968650523588965E-2</v>
          </cell>
          <cell r="AQ73">
            <v>2.9283152206374789E-2</v>
          </cell>
          <cell r="AR73">
            <v>3.9980735467916445E-2</v>
          </cell>
          <cell r="AS73">
            <v>3.6826473250137139E-2</v>
          </cell>
          <cell r="AT73">
            <v>4.7229859774539355E-2</v>
          </cell>
          <cell r="AU73">
            <v>6.5056463100280876E-2</v>
          </cell>
          <cell r="AV73">
            <v>5.5346531813761167E-2</v>
          </cell>
          <cell r="AW73">
            <v>6.1355782331339273E-2</v>
          </cell>
          <cell r="AX73">
            <v>5.7722116952609329E-2</v>
          </cell>
          <cell r="AY73">
            <v>5.3891646098180326E-2</v>
          </cell>
          <cell r="AZ73">
            <v>5.7764586627065469E-2</v>
          </cell>
          <cell r="BA73">
            <v>5.4537252868824083E-2</v>
          </cell>
          <cell r="BB73">
            <v>5.2382741918340671E-2</v>
          </cell>
          <cell r="BC73">
            <v>5.459898131173057E-2</v>
          </cell>
          <cell r="BD73">
            <v>2.8411554846162517E-2</v>
          </cell>
          <cell r="BE73">
            <v>3.0301005165675344E-2</v>
          </cell>
          <cell r="BF73">
            <v>3.3701030847749822E-2</v>
          </cell>
          <cell r="BG73">
            <v>3.3125525021871369E-2</v>
          </cell>
          <cell r="BH73">
            <v>3.1546408950265163E-2</v>
          </cell>
          <cell r="BI73">
            <v>2.9887071027437529E-2</v>
          </cell>
          <cell r="BJ73">
            <v>3.2516534005049565E-2</v>
          </cell>
          <cell r="BK73">
            <v>2.9916822845824548E-2</v>
          </cell>
          <cell r="BL73">
            <v>4.3548358031439804E-2</v>
          </cell>
          <cell r="BM73">
            <v>3.4923019037999541E-2</v>
          </cell>
          <cell r="BN73">
            <v>4.3763797800799774E-2</v>
          </cell>
          <cell r="BO73">
            <v>4.5871605270627322E-2</v>
          </cell>
          <cell r="BP73">
            <v>4.6305519309115181E-2</v>
          </cell>
          <cell r="BQ73">
            <v>4.7724305726290682E-2</v>
          </cell>
          <cell r="BR73">
            <v>4.6009787550665281E-2</v>
          </cell>
          <cell r="BS73">
            <v>4.1249111386670943E-2</v>
          </cell>
          <cell r="BT73">
            <v>4.2379110559602591E-2</v>
          </cell>
          <cell r="BU73">
            <v>3.8498278795304069E-2</v>
          </cell>
          <cell r="BV73">
            <v>4.3568831340040311E-2</v>
          </cell>
          <cell r="BW73">
            <v>4.14782678030182E-2</v>
          </cell>
          <cell r="BX73">
            <v>4.3062762111092764E-2</v>
          </cell>
          <cell r="BY73">
            <v>4.2952184794254576E-2</v>
          </cell>
          <cell r="BZ73">
            <v>3.7444869667401653E-2</v>
          </cell>
          <cell r="CA73">
            <v>4.2956910717253952E-2</v>
          </cell>
          <cell r="CB73">
            <v>4.1561897639216659E-2</v>
          </cell>
          <cell r="CC73">
            <v>3.8361881248925159E-2</v>
          </cell>
          <cell r="CD73">
            <v>3.8593373293543294E-2</v>
          </cell>
          <cell r="CE73">
            <v>3.3026622135606795E-2</v>
          </cell>
          <cell r="CF73">
            <v>3.6104454607083149E-2</v>
          </cell>
          <cell r="CG73">
            <v>3.6451213785490558E-2</v>
          </cell>
        </row>
        <row r="74">
          <cell r="B74" t="str">
            <v>Pre-tax income</v>
          </cell>
          <cell r="Y74">
            <v>0.11782928478813699</v>
          </cell>
          <cell r="Z74">
            <v>7.7652497709423576E-2</v>
          </cell>
          <cell r="AA74">
            <v>0.20907179608693541</v>
          </cell>
          <cell r="AB74">
            <v>0.21027761105694798</v>
          </cell>
          <cell r="AC74">
            <v>0.24076234518272385</v>
          </cell>
          <cell r="AD74">
            <v>0.19345404053091181</v>
          </cell>
          <cell r="AE74">
            <v>0.19225860187381263</v>
          </cell>
          <cell r="AF74">
            <v>0.17770805660907926</v>
          </cell>
          <cell r="AG74">
            <v>0.19954538111393025</v>
          </cell>
          <cell r="AH74">
            <v>0.31060776870595797</v>
          </cell>
          <cell r="AI74">
            <v>0.22301447054607462</v>
          </cell>
          <cell r="AJ74">
            <v>0.2399473727489515</v>
          </cell>
          <cell r="AK74">
            <v>0.1957293832293833</v>
          </cell>
          <cell r="AL74">
            <v>0.12503939844207299</v>
          </cell>
          <cell r="AM74">
            <v>0.25029721467391308</v>
          </cell>
          <cell r="AN74">
            <v>0.2042159040903285</v>
          </cell>
          <cell r="AO74">
            <v>0.22214911378870747</v>
          </cell>
          <cell r="AP74">
            <v>2.7332001492832231E-2</v>
          </cell>
          <cell r="AQ74">
            <v>2.5979170137786507E-2</v>
          </cell>
          <cell r="AR74">
            <v>3.339868700600488E-2</v>
          </cell>
          <cell r="AS74">
            <v>3.4381340975434056E-2</v>
          </cell>
          <cell r="AT74">
            <v>4.5906653835578667E-2</v>
          </cell>
          <cell r="AU74">
            <v>6.11229034781769E-2</v>
          </cell>
          <cell r="AV74">
            <v>5.2825210088415751E-2</v>
          </cell>
          <cell r="AW74">
            <v>5.5450288281947868E-2</v>
          </cell>
          <cell r="AX74">
            <v>5.4085333726298812E-2</v>
          </cell>
          <cell r="AY74">
            <v>5.2911878411493675E-2</v>
          </cell>
          <cell r="AZ74">
            <v>5.7341181280060799E-2</v>
          </cell>
          <cell r="BA74">
            <v>5.418209429256092E-2</v>
          </cell>
          <cell r="BB74">
            <v>5.2101838776780672E-2</v>
          </cell>
          <cell r="BC74">
            <v>5.4102160349991942E-2</v>
          </cell>
          <cell r="BD74">
            <v>2.8150087641620459E-2</v>
          </cell>
          <cell r="BE74">
            <v>2.9819172485373805E-2</v>
          </cell>
          <cell r="BF74">
            <v>3.2841861585190493E-2</v>
          </cell>
          <cell r="BG74">
            <v>3.2906448538063446E-2</v>
          </cell>
          <cell r="BH74">
            <v>3.108836407231835E-2</v>
          </cell>
          <cell r="BI74">
            <v>2.9164921958398329E-2</v>
          </cell>
          <cell r="BJ74">
            <v>3.1353677065230935E-2</v>
          </cell>
          <cell r="BK74">
            <v>2.6205191207165662E-2</v>
          </cell>
          <cell r="BL74">
            <v>4.0058686785562E-2</v>
          </cell>
          <cell r="BM74">
            <v>3.2238745608704919E-2</v>
          </cell>
          <cell r="BN74">
            <v>4.033523453621371E-2</v>
          </cell>
          <cell r="BO74">
            <v>4.2680025633297515E-2</v>
          </cell>
          <cell r="BP74">
            <v>4.3808111898018566E-2</v>
          </cell>
          <cell r="BQ74">
            <v>4.4737763362170897E-2</v>
          </cell>
          <cell r="BR74">
            <v>4.2998029297644222E-2</v>
          </cell>
          <cell r="BS74">
            <v>3.8644674385030144E-2</v>
          </cell>
          <cell r="BT74">
            <v>4.0131609031017021E-2</v>
          </cell>
          <cell r="BU74">
            <v>3.6300855077077095E-2</v>
          </cell>
          <cell r="BV74">
            <v>4.1588459479336169E-2</v>
          </cell>
          <cell r="BW74">
            <v>3.9238869314323931E-2</v>
          </cell>
          <cell r="BX74">
            <v>4.0937888472875925E-2</v>
          </cell>
          <cell r="BY74">
            <v>4.1201404280716489E-2</v>
          </cell>
          <cell r="BZ74">
            <v>3.5791240729256373E-2</v>
          </cell>
          <cell r="CA74">
            <v>4.1480738408437273E-2</v>
          </cell>
          <cell r="CB74">
            <v>3.983344044738911E-2</v>
          </cell>
          <cell r="CC74">
            <v>3.5899021450527972E-2</v>
          </cell>
          <cell r="CD74">
            <v>3.6403304769449238E-2</v>
          </cell>
          <cell r="CE74">
            <v>3.0886103626971386E-2</v>
          </cell>
          <cell r="CF74">
            <v>3.397344650620393E-2</v>
          </cell>
          <cell r="CG74">
            <v>3.422745382874403E-2</v>
          </cell>
        </row>
        <row r="75">
          <cell r="B75" t="str">
            <v>Net income - continuing operations</v>
          </cell>
          <cell r="Y75">
            <v>0.11480407742024991</v>
          </cell>
          <cell r="Z75">
            <v>7.4814992281512158E-2</v>
          </cell>
          <cell r="AA75">
            <v>0.20649095604356812</v>
          </cell>
          <cell r="AB75">
            <v>0.20820656157517875</v>
          </cell>
          <cell r="AC75">
            <v>0.27989315242779883</v>
          </cell>
          <cell r="AD75">
            <v>0.20376356936074316</v>
          </cell>
          <cell r="AE75">
            <v>0.2883843345501792</v>
          </cell>
          <cell r="AF75">
            <v>0.11412841372707026</v>
          </cell>
          <cell r="AG75">
            <v>0.12085872984196668</v>
          </cell>
          <cell r="AH75">
            <v>0.19908078603444834</v>
          </cell>
          <cell r="AI75">
            <v>0.1806264693011084</v>
          </cell>
          <cell r="AJ75">
            <v>0.16286701914037563</v>
          </cell>
          <cell r="AK75">
            <v>0.13787472451196375</v>
          </cell>
          <cell r="AL75">
            <v>0.13094923857590238</v>
          </cell>
          <cell r="AM75">
            <v>0.17005993714046441</v>
          </cell>
          <cell r="AN75">
            <v>0.15088392909949302</v>
          </cell>
          <cell r="AO75">
            <v>0.1482301148220446</v>
          </cell>
          <cell r="AP75">
            <v>2.2041228513095232E-2</v>
          </cell>
          <cell r="AQ75">
            <v>1.8179760516314081E-2</v>
          </cell>
          <cell r="AR75">
            <v>2.3681028534734309E-2</v>
          </cell>
          <cell r="AS75">
            <v>2.4730035033910566E-2</v>
          </cell>
          <cell r="AT75">
            <v>3.2244982128127472E-2</v>
          </cell>
          <cell r="AU75">
            <v>4.144575459201013E-2</v>
          </cell>
          <cell r="AV75">
            <v>3.1948040435012752E-2</v>
          </cell>
          <cell r="AW75">
            <v>3.7718016042732498E-2</v>
          </cell>
          <cell r="AX75">
            <v>3.5904198010056877E-2</v>
          </cell>
          <cell r="AY75">
            <v>3.5691853110043699E-2</v>
          </cell>
          <cell r="AZ75">
            <v>3.7860363836594801E-2</v>
          </cell>
          <cell r="BA75">
            <v>3.5025983728022077E-2</v>
          </cell>
          <cell r="BB75">
            <v>3.3951320244765305E-2</v>
          </cell>
          <cell r="BC75">
            <v>3.558736760850513E-2</v>
          </cell>
          <cell r="BD75">
            <v>1.881288422924568E-2</v>
          </cell>
          <cell r="BE75">
            <v>1.9801343026090729E-2</v>
          </cell>
          <cell r="BF75">
            <v>2.1620613847695449E-2</v>
          </cell>
          <cell r="BG75">
            <v>2.1894590842022634E-2</v>
          </cell>
          <cell r="BH75">
            <v>2.0633926875617319E-2</v>
          </cell>
          <cell r="BI75">
            <v>1.9325058514457771E-2</v>
          </cell>
          <cell r="BJ75">
            <v>1.929402837723309E-2</v>
          </cell>
          <cell r="BK75">
            <v>1.6111421031848028E-2</v>
          </cell>
          <cell r="BL75">
            <v>2.4335193450146293E-2</v>
          </cell>
          <cell r="BM75">
            <v>2.0405286857703927E-2</v>
          </cell>
          <cell r="BN75">
            <v>2.7020395587685327E-2</v>
          </cell>
          <cell r="BO75">
            <v>2.9448737794190348E-2</v>
          </cell>
          <cell r="BP75">
            <v>2.9954224342777332E-2</v>
          </cell>
          <cell r="BQ75">
            <v>2.9354296382700071E-2</v>
          </cell>
          <cell r="BR75">
            <v>2.8998550649897235E-2</v>
          </cell>
          <cell r="BS75">
            <v>2.4697258196832172E-2</v>
          </cell>
          <cell r="BT75">
            <v>2.6040056273947967E-2</v>
          </cell>
          <cell r="BU75">
            <v>2.3368366878564431E-2</v>
          </cell>
          <cell r="BV75">
            <v>2.7241234093707434E-2</v>
          </cell>
          <cell r="BW75">
            <v>2.540145812064171E-2</v>
          </cell>
          <cell r="BX75">
            <v>2.6522544462400446E-2</v>
          </cell>
          <cell r="BY75">
            <v>2.701999338177255E-2</v>
          </cell>
          <cell r="BZ75">
            <v>2.3285249383311696E-2</v>
          </cell>
          <cell r="CA75">
            <v>2.7416337415815572E-2</v>
          </cell>
          <cell r="CB75">
            <v>2.6065547838077748E-2</v>
          </cell>
          <cell r="CC75">
            <v>2.3836818242615004E-2</v>
          </cell>
          <cell r="CD75">
            <v>2.4460266690880427E-2</v>
          </cell>
          <cell r="CE75">
            <v>2.0473951822329368E-2</v>
          </cell>
          <cell r="CF75">
            <v>2.2730981141104153E-2</v>
          </cell>
          <cell r="CG75">
            <v>2.2836234274666724E-2</v>
          </cell>
        </row>
        <row r="77">
          <cell r="B77" t="str">
            <v>Expenses</v>
          </cell>
        </row>
        <row r="78">
          <cell r="B78" t="str">
            <v>Cost of sales</v>
          </cell>
          <cell r="Y78">
            <v>0.407342053593443</v>
          </cell>
          <cell r="Z78">
            <v>0.42750953945678993</v>
          </cell>
          <cell r="AA78">
            <v>0.39274299886732983</v>
          </cell>
          <cell r="AB78">
            <v>0.35522711042942828</v>
          </cell>
          <cell r="AC78">
            <v>0.37488703989470074</v>
          </cell>
          <cell r="AD78">
            <v>0.38384389597065471</v>
          </cell>
          <cell r="AE78">
            <v>0.39330913914783627</v>
          </cell>
          <cell r="AF78">
            <v>0.40503260780979039</v>
          </cell>
          <cell r="AG78">
            <v>0.3900438083834612</v>
          </cell>
          <cell r="AH78">
            <v>0.48656595709670752</v>
          </cell>
          <cell r="AI78">
            <v>0.42051085599891258</v>
          </cell>
          <cell r="AJ78">
            <v>0.39778801085437054</v>
          </cell>
          <cell r="AK78">
            <v>0.41787941787941785</v>
          </cell>
          <cell r="AL78">
            <v>0.46377594668827954</v>
          </cell>
          <cell r="AM78">
            <v>0.42340353260869562</v>
          </cell>
          <cell r="AN78">
            <v>0.42497128934969036</v>
          </cell>
          <cell r="AO78">
            <v>0.4456553028745322</v>
          </cell>
          <cell r="AP78">
            <v>0.86898202015323478</v>
          </cell>
          <cell r="AQ78">
            <v>0.89033042964341502</v>
          </cell>
          <cell r="AR78">
            <v>0.87266280920598693</v>
          </cell>
          <cell r="AS78">
            <v>0.86617130527186736</v>
          </cell>
          <cell r="AT78">
            <v>0.86532856750068743</v>
          </cell>
          <cell r="AU78">
            <v>0.85284684364568042</v>
          </cell>
          <cell r="AV78">
            <v>0.87568084812360991</v>
          </cell>
          <cell r="AW78">
            <v>0.88152017973635055</v>
          </cell>
          <cell r="AX78">
            <v>0.87029432086270719</v>
          </cell>
          <cell r="AY78">
            <v>0.88891026831922282</v>
          </cell>
          <cell r="AZ78">
            <v>0.88791438451879867</v>
          </cell>
          <cell r="BA78">
            <v>0.8920971093357718</v>
          </cell>
          <cell r="BB78">
            <v>0.89139297590306565</v>
          </cell>
          <cell r="BC78">
            <v>0.89013789861157011</v>
          </cell>
          <cell r="BD78">
            <v>0.94207818142726474</v>
          </cell>
          <cell r="BE78">
            <v>0.93877837264312458</v>
          </cell>
          <cell r="BF78">
            <v>0.93603461535473753</v>
          </cell>
          <cell r="BG78">
            <v>0.93517222168218817</v>
          </cell>
          <cell r="BH78">
            <v>0.93779734478680021</v>
          </cell>
          <cell r="BI78">
            <v>0.93571184388534845</v>
          </cell>
          <cell r="BJ78">
            <v>0.92805321891134274</v>
          </cell>
          <cell r="BK78">
            <v>0.92638445771880229</v>
          </cell>
          <cell r="BL78">
            <v>0.92023162358764266</v>
          </cell>
          <cell r="BM78">
            <v>0.92622060900673242</v>
          </cell>
          <cell r="BN78">
            <v>0.92285903477201103</v>
          </cell>
          <cell r="BO78">
            <v>0.92257661459049634</v>
          </cell>
          <cell r="BP78">
            <v>0.9203718276063958</v>
          </cell>
          <cell r="BQ78">
            <v>0.92450247999599644</v>
          </cell>
          <cell r="BR78">
            <v>0.92260448910621018</v>
          </cell>
          <cell r="BS78">
            <v>0.93755240014370966</v>
          </cell>
          <cell r="BT78">
            <v>0.93542171942891916</v>
          </cell>
          <cell r="BU78">
            <v>0.93926994553340837</v>
          </cell>
          <cell r="BV78">
            <v>0.93363087317174276</v>
          </cell>
          <cell r="BW78">
            <v>0.93636790066976217</v>
          </cell>
          <cell r="BX78">
            <v>0.93400951984106817</v>
          </cell>
          <cell r="BY78">
            <v>0.9330828142517722</v>
          </cell>
          <cell r="BZ78">
            <v>0.938416566696051</v>
          </cell>
          <cell r="CA78">
            <v>0.93241257710261127</v>
          </cell>
          <cell r="CB78">
            <v>0.93446273102657518</v>
          </cell>
          <cell r="CC78">
            <v>0.93452651909218409</v>
          </cell>
          <cell r="CD78">
            <v>0.93554109251340911</v>
          </cell>
          <cell r="CE78">
            <v>0.94116374344075659</v>
          </cell>
          <cell r="CF78">
            <v>0.93809034182728712</v>
          </cell>
          <cell r="CG78">
            <v>0.93743077495933502</v>
          </cell>
        </row>
        <row r="79">
          <cell r="B79" t="str">
            <v>Product development costs</v>
          </cell>
          <cell r="Y79">
            <v>0.21163801148241121</v>
          </cell>
          <cell r="Z79">
            <v>0.20442420062979383</v>
          </cell>
          <cell r="AA79">
            <v>0.18802750679139335</v>
          </cell>
          <cell r="AB79">
            <v>0.1574167325346891</v>
          </cell>
          <cell r="AC79">
            <v>0.13126351028745903</v>
          </cell>
          <cell r="AD79">
            <v>0.16547794916752268</v>
          </cell>
          <cell r="AE79">
            <v>0.14806605708710066</v>
          </cell>
          <cell r="AF79">
            <v>0.11140180388681421</v>
          </cell>
          <cell r="AG79">
            <v>0.10823507331489771</v>
          </cell>
          <cell r="AH79">
            <v>0.10952541666483052</v>
          </cell>
          <cell r="AI79">
            <v>0.11882901029373602</v>
          </cell>
          <cell r="AJ79">
            <v>0.12079598717210757</v>
          </cell>
          <cell r="AK79">
            <v>0.11443173943173943</v>
          </cell>
          <cell r="AL79">
            <v>0.10891980728533478</v>
          </cell>
          <cell r="AM79">
            <v>9.3707540760869554E-2</v>
          </cell>
          <cell r="AN79">
            <v>0.10954052226551181</v>
          </cell>
          <cell r="AO79">
            <v>0.1010815478883086</v>
          </cell>
          <cell r="AP79">
            <v>1.0888893767425523E-2</v>
          </cell>
          <cell r="AQ79">
            <v>7.8151278996293639E-3</v>
          </cell>
          <cell r="AR79">
            <v>9.1540684369086581E-3</v>
          </cell>
          <cell r="AS79">
            <v>1.1708822987488108E-2</v>
          </cell>
          <cell r="AT79">
            <v>1.0870910090734121E-2</v>
          </cell>
          <cell r="AU79">
            <v>9.4349326276614645E-3</v>
          </cell>
          <cell r="AV79">
            <v>7.3866643721856766E-3</v>
          </cell>
          <cell r="AW79">
            <v>6.602513782493752E-3</v>
          </cell>
          <cell r="AX79">
            <v>8.3064907405219109E-3</v>
          </cell>
          <cell r="AY79">
            <v>6.7964471810115267E-3</v>
          </cell>
          <cell r="AZ79">
            <v>6.3010224300546879E-3</v>
          </cell>
          <cell r="BA79">
            <v>6.276509321892056E-3</v>
          </cell>
          <cell r="BB79">
            <v>6.1855630969191765E-3</v>
          </cell>
          <cell r="BC79">
            <v>6.3786063145533645E-3</v>
          </cell>
          <cell r="BD79">
            <v>3.0610794678094695E-3</v>
          </cell>
          <cell r="BE79">
            <v>3.0246551472353613E-3</v>
          </cell>
          <cell r="BF79">
            <v>2.7950189933892131E-3</v>
          </cell>
          <cell r="BG79">
            <v>2.6862258925190461E-3</v>
          </cell>
          <cell r="BH79">
            <v>2.8795124907170038E-3</v>
          </cell>
          <cell r="BI79">
            <v>1.7902308372794314E-3</v>
          </cell>
          <cell r="BJ79">
            <v>2.017967901624652E-3</v>
          </cell>
          <cell r="BK79">
            <v>0</v>
          </cell>
          <cell r="BL79">
            <v>0</v>
          </cell>
          <cell r="BM79">
            <v>6.5492167096574297E-4</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row>
        <row r="80">
          <cell r="B80" t="str">
            <v>Selling, general and administrative</v>
          </cell>
          <cell r="Y80">
            <v>0.23749966066288902</v>
          </cell>
          <cell r="Z80">
            <v>0.25693346815898016</v>
          </cell>
          <cell r="AA80">
            <v>0.2310545577790786</v>
          </cell>
          <cell r="AB80">
            <v>0.25408139040487737</v>
          </cell>
          <cell r="AC80">
            <v>0.23604341063393533</v>
          </cell>
          <cell r="AD80">
            <v>0.24390802836707093</v>
          </cell>
          <cell r="AE80">
            <v>0.22482430583240459</v>
          </cell>
          <cell r="AF80">
            <v>0.25815454315333147</v>
          </cell>
          <cell r="AG80">
            <v>0.23845297488382702</v>
          </cell>
          <cell r="AH80">
            <v>0.20475223444143359</v>
          </cell>
          <cell r="AI80">
            <v>0.23054014309899531</v>
          </cell>
          <cell r="AJ80">
            <v>0.25450209686703401</v>
          </cell>
          <cell r="AK80">
            <v>0.30388080388080385</v>
          </cell>
          <cell r="AL80">
            <v>0.32847043991174751</v>
          </cell>
          <cell r="AM80">
            <v>0.25607167119565216</v>
          </cell>
          <cell r="AN80">
            <v>0.28476671925813823</v>
          </cell>
          <cell r="AO80">
            <v>0.24143603240531317</v>
          </cell>
          <cell r="AP80">
            <v>8.5868586858685869E-2</v>
          </cell>
          <cell r="AQ80">
            <v>6.872974306902524E-2</v>
          </cell>
          <cell r="AR80">
            <v>7.3440905023124267E-2</v>
          </cell>
          <cell r="AS80">
            <v>7.971826513809202E-2</v>
          </cell>
          <cell r="AT80">
            <v>7.1477178993676116E-2</v>
          </cell>
          <cell r="AU80">
            <v>6.8282480698440604E-2</v>
          </cell>
          <cell r="AV80">
            <v>5.7760951583843721E-2</v>
          </cell>
          <cell r="AW80">
            <v>4.7234929485964867E-2</v>
          </cell>
          <cell r="AX80">
            <v>5.9637823101636692E-2</v>
          </cell>
          <cell r="AY80">
            <v>4.7126162230066257E-2</v>
          </cell>
          <cell r="AZ80">
            <v>4.4814223082474354E-2</v>
          </cell>
          <cell r="BA80">
            <v>4.4102938835161511E-2</v>
          </cell>
          <cell r="BB80">
            <v>4.7167053857483411E-2</v>
          </cell>
          <cell r="BC80">
            <v>4.5808124459809856E-2</v>
          </cell>
          <cell r="BD80">
            <v>2.4996993582665543E-2</v>
          </cell>
          <cell r="BE80">
            <v>2.6590728516161607E-2</v>
          </cell>
          <cell r="BF80">
            <v>2.6235735537446889E-2</v>
          </cell>
          <cell r="BG80">
            <v>2.7578972719899838E-2</v>
          </cell>
          <cell r="BH80">
            <v>2.6421089760918261E-2</v>
          </cell>
          <cell r="BI80">
            <v>3.1238771018760152E-2</v>
          </cell>
          <cell r="BJ80">
            <v>3.2197629298826629E-2</v>
          </cell>
          <cell r="BK80">
            <v>3.0593146503362815E-2</v>
          </cell>
          <cell r="BL80">
            <v>3.3848519615322238E-2</v>
          </cell>
          <cell r="BM80">
            <v>3.2724856440364908E-2</v>
          </cell>
          <cell r="BN80">
            <v>3.1212380222355018E-2</v>
          </cell>
          <cell r="BO80">
            <v>2.9228982012799096E-2</v>
          </cell>
          <cell r="BP80">
            <v>3.0561559736900643E-2</v>
          </cell>
          <cell r="BQ80">
            <v>3.6499999999999998E-2</v>
          </cell>
          <cell r="BR80">
            <v>3.2014852637227413E-2</v>
          </cell>
          <cell r="BS80">
            <v>2.9000000000000001E-2</v>
          </cell>
          <cell r="BT80">
            <v>2.9000000000000001E-2</v>
          </cell>
          <cell r="BU80">
            <v>2.9000000000000001E-2</v>
          </cell>
          <cell r="BV80">
            <v>2.9000000000000001E-2</v>
          </cell>
          <cell r="BW80">
            <v>2.9000000000000001E-2</v>
          </cell>
          <cell r="BX80">
            <v>0.03</v>
          </cell>
          <cell r="BY80">
            <v>0.03</v>
          </cell>
          <cell r="BZ80">
            <v>0.03</v>
          </cell>
          <cell r="CA80">
            <v>0.03</v>
          </cell>
          <cell r="CB80">
            <v>0.03</v>
          </cell>
          <cell r="CC80">
            <v>2.3900000000000001E-2</v>
          </cell>
          <cell r="CD80">
            <v>2.3E-2</v>
          </cell>
          <cell r="CE80">
            <v>2.3E-2</v>
          </cell>
          <cell r="CF80">
            <v>2.3E-2</v>
          </cell>
          <cell r="CG80">
            <v>2.3204141477637431E-2</v>
          </cell>
        </row>
        <row r="81">
          <cell r="B81" t="str">
            <v>Depreciation of property and equipment</v>
          </cell>
          <cell r="Y81">
            <v>0</v>
          </cell>
          <cell r="Z81">
            <v>0</v>
          </cell>
          <cell r="AA81">
            <v>0</v>
          </cell>
          <cell r="AB81">
            <v>0</v>
          </cell>
          <cell r="AC81">
            <v>0</v>
          </cell>
          <cell r="AD81">
            <v>0</v>
          </cell>
          <cell r="AE81">
            <v>4.6367994295747672E-2</v>
          </cell>
          <cell r="AF81">
            <v>5.6667478061310131E-2</v>
          </cell>
          <cell r="AG81">
            <v>5.6625281523505426E-2</v>
          </cell>
          <cell r="AH81">
            <v>-6.8476395720364971E-2</v>
          </cell>
          <cell r="AI81">
            <v>2.0154962124488709E-2</v>
          </cell>
          <cell r="AJ81">
            <v>2.3764493051558259E-2</v>
          </cell>
          <cell r="AK81">
            <v>2.5554400554400551E-2</v>
          </cell>
          <cell r="AL81">
            <v>2.9312440902336891E-2</v>
          </cell>
          <cell r="AM81">
            <v>2.7895720108695655E-2</v>
          </cell>
          <cell r="AN81">
            <v>2.6574792585675803E-2</v>
          </cell>
          <cell r="AO81">
            <v>3.1336102315252704E-2</v>
          </cell>
          <cell r="AP81">
            <v>6.2918486970648287E-3</v>
          </cell>
          <cell r="AQ81">
            <v>3.8415471815555434E-3</v>
          </cell>
          <cell r="AR81">
            <v>4.7614818660636814E-3</v>
          </cell>
          <cell r="AS81">
            <v>5.575133352415408E-3</v>
          </cell>
          <cell r="AT81">
            <v>5.0934836403629365E-3</v>
          </cell>
          <cell r="AU81">
            <v>4.3792799279366891E-3</v>
          </cell>
          <cell r="AV81">
            <v>3.8250041065995013E-3</v>
          </cell>
          <cell r="AW81">
            <v>3.2865946638515192E-3</v>
          </cell>
          <cell r="AX81">
            <v>4.039248342524923E-3</v>
          </cell>
          <cell r="AY81">
            <v>3.2754761715190601E-3</v>
          </cell>
          <cell r="AZ81">
            <v>3.2057833416067709E-3</v>
          </cell>
          <cell r="BA81">
            <v>2.9861896383505944E-3</v>
          </cell>
          <cell r="BB81">
            <v>2.8716652241910748E-3</v>
          </cell>
          <cell r="BC81">
            <v>3.0763893023360851E-3</v>
          </cell>
          <cell r="BD81">
            <v>1.4521906760977068E-3</v>
          </cell>
          <cell r="BE81">
            <v>1.3052385278031484E-3</v>
          </cell>
          <cell r="BF81">
            <v>1.2335992666765066E-3</v>
          </cell>
          <cell r="BG81">
            <v>1.4370546835215314E-3</v>
          </cell>
          <cell r="BH81">
            <v>1.3556440112993783E-3</v>
          </cell>
          <cell r="BI81">
            <v>1.3720832311744763E-3</v>
          </cell>
          <cell r="BJ81">
            <v>1.4559203807123146E-3</v>
          </cell>
          <cell r="BK81">
            <v>1.7917249073894155E-3</v>
          </cell>
          <cell r="BL81">
            <v>1.8609177243703334E-3</v>
          </cell>
          <cell r="BM81">
            <v>1.6848891160267682E-3</v>
          </cell>
          <cell r="BN81">
            <v>2.1647872048342152E-3</v>
          </cell>
          <cell r="BO81">
            <v>2.3227981260771982E-3</v>
          </cell>
          <cell r="BP81">
            <v>2.7610933475884216E-3</v>
          </cell>
          <cell r="BQ81">
            <v>2.5786797762193262E-3</v>
          </cell>
          <cell r="BR81">
            <v>2.4690704601745116E-3</v>
          </cell>
          <cell r="BS81">
            <v>2.3052703077097963E-3</v>
          </cell>
          <cell r="BT81">
            <v>2.0095787052636358E-3</v>
          </cell>
          <cell r="BU81">
            <v>1.9999440518853923E-3</v>
          </cell>
          <cell r="BV81">
            <v>1.8319520098037797E-3</v>
          </cell>
          <cell r="BW81">
            <v>2.0229757836568536E-3</v>
          </cell>
          <cell r="BX81">
            <v>2.0897901039534984E-3</v>
          </cell>
          <cell r="BY81">
            <v>1.7832831565633594E-3</v>
          </cell>
          <cell r="BZ81">
            <v>1.7319970824344576E-3</v>
          </cell>
          <cell r="CA81">
            <v>1.5866311022603825E-3</v>
          </cell>
          <cell r="CB81">
            <v>1.7802188106937494E-3</v>
          </cell>
          <cell r="CC81">
            <v>3.2115996588907843E-3</v>
          </cell>
          <cell r="CD81">
            <v>2.8655341930475557E-3</v>
          </cell>
          <cell r="CE81">
            <v>2.8096344236366528E-3</v>
          </cell>
          <cell r="CF81">
            <v>2.8052035656297592E-3</v>
          </cell>
          <cell r="CG81">
            <v>2.9138697775370368E-3</v>
          </cell>
        </row>
        <row r="82">
          <cell r="B82" t="str">
            <v>Amortization of intangible assets</v>
          </cell>
          <cell r="Y82">
            <v>4.5369122057039322E-2</v>
          </cell>
          <cell r="Z82">
            <v>7.3338921957912792E-2</v>
          </cell>
          <cell r="AA82">
            <v>7.9831173255125662E-2</v>
          </cell>
          <cell r="AB82">
            <v>5.8176076612062567E-2</v>
          </cell>
          <cell r="AC82">
            <v>4.2090179895157134E-2</v>
          </cell>
          <cell r="AD82">
            <v>6.1086133453415285E-2</v>
          </cell>
          <cell r="AE82">
            <v>0</v>
          </cell>
          <cell r="AF82">
            <v>0</v>
          </cell>
          <cell r="AG82">
            <v>0</v>
          </cell>
          <cell r="AH82">
            <v>7.1961150791456818E-2</v>
          </cell>
          <cell r="AI82">
            <v>1.9574163093310927E-2</v>
          </cell>
          <cell r="AJ82">
            <v>1.628155579310912E-2</v>
          </cell>
          <cell r="AK82">
            <v>1.7151767151767153E-2</v>
          </cell>
          <cell r="AL82">
            <v>1.7830609212481429E-2</v>
          </cell>
          <cell r="AM82">
            <v>1.6813858695652176E-2</v>
          </cell>
          <cell r="AN82">
            <v>1.7000998164664972E-2</v>
          </cell>
          <cell r="AO82">
            <v>1.6284903565406919E-2</v>
          </cell>
          <cell r="AP82">
            <v>1.0678140984830191E-2</v>
          </cell>
          <cell r="AQ82">
            <v>1.084246827265554E-2</v>
          </cell>
          <cell r="AR82">
            <v>1.0547672885512661E-2</v>
          </cell>
          <cell r="AS82">
            <v>1.0852447276111055E-2</v>
          </cell>
          <cell r="AT82">
            <v>9.7092383832829265E-3</v>
          </cell>
          <cell r="AU82">
            <v>7.527374395706124E-3</v>
          </cell>
          <cell r="AV82">
            <v>5.8352823384933078E-3</v>
          </cell>
          <cell r="AW82">
            <v>5.0663634969186772E-3</v>
          </cell>
          <cell r="AX82">
            <v>6.7591896201535627E-3</v>
          </cell>
          <cell r="AY82">
            <v>4.4122720879004223E-3</v>
          </cell>
          <cell r="AZ82">
            <v>4.1255949575134633E-3</v>
          </cell>
          <cell r="BA82">
            <v>3.9638962936957307E-3</v>
          </cell>
          <cell r="BB82">
            <v>3.6821087474756681E-3</v>
          </cell>
          <cell r="BC82">
            <v>4.0315378661744993E-3</v>
          </cell>
          <cell r="BD82">
            <v>3.2432865789886046E-3</v>
          </cell>
          <cell r="BE82">
            <v>3.0254802031947814E-3</v>
          </cell>
          <cell r="BF82">
            <v>3.0288435395287778E-3</v>
          </cell>
          <cell r="BG82">
            <v>3.8157029961248127E-3</v>
          </cell>
          <cell r="BH82">
            <v>3.2933406625873414E-3</v>
          </cell>
          <cell r="BI82">
            <v>6.0089791083439079E-3</v>
          </cell>
          <cell r="BJ82">
            <v>5.292173679144278E-3</v>
          </cell>
          <cell r="BK82">
            <v>1.6102645748061601E-2</v>
          </cell>
          <cell r="BL82">
            <v>1.7842404656499094E-2</v>
          </cell>
          <cell r="BM82">
            <v>1.3089982817108848E-2</v>
          </cell>
          <cell r="BN82">
            <v>1.5546712815664486E-2</v>
          </cell>
          <cell r="BO82">
            <v>1.4657798404063872E-2</v>
          </cell>
          <cell r="BP82">
            <v>1.3065319959226903E-2</v>
          </cell>
          <cell r="BQ82">
            <v>1.2202150419187954E-2</v>
          </cell>
          <cell r="BR82">
            <v>1.3779942715093153E-2</v>
          </cell>
          <cell r="BS82">
            <v>1.0792887942298997E-2</v>
          </cell>
          <cell r="BT82">
            <v>9.4085095811120411E-3</v>
          </cell>
          <cell r="BU82">
            <v>9.3634017540921467E-3</v>
          </cell>
          <cell r="BV82">
            <v>8.5768912614523091E-3</v>
          </cell>
          <cell r="BW82">
            <v>9.4712324493885364E-3</v>
          </cell>
          <cell r="BX82">
            <v>9.6583945880684783E-3</v>
          </cell>
          <cell r="BY82">
            <v>8.2418097184790203E-3</v>
          </cell>
          <cell r="BZ82">
            <v>8.0047805834128852E-3</v>
          </cell>
          <cell r="CA82">
            <v>7.3329418214499289E-3</v>
          </cell>
          <cell r="CB82">
            <v>8.2276472140691177E-3</v>
          </cell>
          <cell r="CC82">
            <v>8.7080900945420529E-3</v>
          </cell>
          <cell r="CD82">
            <v>7.7697510812002341E-3</v>
          </cell>
          <cell r="CE82">
            <v>7.6181816827707938E-3</v>
          </cell>
          <cell r="CF82">
            <v>7.606167635312128E-3</v>
          </cell>
          <cell r="CG82">
            <v>7.9008105746652835E-3</v>
          </cell>
        </row>
        <row r="83">
          <cell r="B83" t="str">
            <v>Interest expense</v>
          </cell>
          <cell r="Y83">
            <v>3.1844090569430515E-2</v>
          </cell>
          <cell r="Z83">
            <v>4.0300332924511864E-2</v>
          </cell>
          <cell r="AA83">
            <v>-1.3977243232011126E-2</v>
          </cell>
          <cell r="AB83">
            <v>3.0241857330915719E-2</v>
          </cell>
          <cell r="AC83">
            <v>3.4235964667409503E-2</v>
          </cell>
          <cell r="AD83">
            <v>2.3457516315234055E-2</v>
          </cell>
          <cell r="AE83">
            <v>2.0193148391596218E-2</v>
          </cell>
          <cell r="AF83">
            <v>2.1249346251599625E-2</v>
          </cell>
          <cell r="AG83">
            <v>4.9607340042382944E-2</v>
          </cell>
          <cell r="AH83">
            <v>2.5791984936132518E-3</v>
          </cell>
          <cell r="AI83">
            <v>2.3293748378087811E-2</v>
          </cell>
          <cell r="AJ83">
            <v>6.701751500698956E-3</v>
          </cell>
          <cell r="AK83">
            <v>-7.2765072765072769E-3</v>
          </cell>
          <cell r="AL83">
            <v>-6.3037507316853543E-4</v>
          </cell>
          <cell r="AM83">
            <v>1.9106657608695652E-3</v>
          </cell>
          <cell r="AN83">
            <v>2.7905678805636942E-4</v>
          </cell>
          <cell r="AO83">
            <v>1.6449397540815069E-3</v>
          </cell>
          <cell r="AP83">
            <v>3.4774209128229897E-3</v>
          </cell>
          <cell r="AQ83">
            <v>4.9009591293331361E-3</v>
          </cell>
          <cell r="AR83">
            <v>8.4265249380050967E-3</v>
          </cell>
          <cell r="AS83">
            <v>5.6295983841268037E-3</v>
          </cell>
          <cell r="AT83">
            <v>2.1686829804784162E-3</v>
          </cell>
          <cell r="AU83">
            <v>4.6348677956169794E-3</v>
          </cell>
          <cell r="AV83">
            <v>2.7846655663587372E-3</v>
          </cell>
          <cell r="AW83">
            <v>6.320547871044583E-3</v>
          </cell>
          <cell r="AX83">
            <v>4.1622817200205192E-3</v>
          </cell>
          <cell r="AY83">
            <v>1.3093058025248369E-3</v>
          </cell>
          <cell r="AZ83">
            <v>7.884099564914505E-4</v>
          </cell>
          <cell r="BA83">
            <v>7.6134568359861367E-4</v>
          </cell>
          <cell r="BB83">
            <v>6.6619596410513369E-4</v>
          </cell>
          <cell r="BC83">
            <v>8.6943668304259732E-4</v>
          </cell>
          <cell r="BD83">
            <v>4.1269910682074099E-4</v>
          </cell>
          <cell r="BE83">
            <v>5.5856288452764316E-4</v>
          </cell>
          <cell r="BF83">
            <v>9.4850422204786813E-4</v>
          </cell>
          <cell r="BG83">
            <v>3.1120467401854463E-4</v>
          </cell>
          <cell r="BH83">
            <v>5.5873837678462144E-4</v>
          </cell>
          <cell r="BI83">
            <v>7.2214906903919813E-4</v>
          </cell>
          <cell r="BJ83">
            <v>1.1628569398186295E-3</v>
          </cell>
          <cell r="BK83">
            <v>3.7116316386588857E-3</v>
          </cell>
          <cell r="BL83">
            <v>3.4896712458778087E-3</v>
          </cell>
          <cell r="BM83">
            <v>2.6842734292946164E-3</v>
          </cell>
          <cell r="BN83">
            <v>3.4285632645860691E-3</v>
          </cell>
          <cell r="BO83">
            <v>3.1915796373298065E-3</v>
          </cell>
          <cell r="BP83">
            <v>2.4974074110966126E-3</v>
          </cell>
          <cell r="BQ83">
            <v>3.1224500557664884E-3</v>
          </cell>
          <cell r="BR83">
            <v>3.0490029977792376E-3</v>
          </cell>
          <cell r="BS83">
            <v>2.7913863005582661E-3</v>
          </cell>
          <cell r="BT83">
            <v>2.4333417426173239E-3</v>
          </cell>
          <cell r="BU83">
            <v>2.4216754146553876E-3</v>
          </cell>
          <cell r="BV83">
            <v>2.2182586251790651E-3</v>
          </cell>
          <cell r="BW83">
            <v>2.4495638841029732E-3</v>
          </cell>
          <cell r="BX83">
            <v>2.5304674457084886E-3</v>
          </cell>
          <cell r="BY83">
            <v>2.1593268939435403E-3</v>
          </cell>
          <cell r="BZ83">
            <v>2.0972260443147361E-3</v>
          </cell>
          <cell r="CA83">
            <v>1.9212065101767816E-3</v>
          </cell>
          <cell r="CB83">
            <v>2.1556163646177626E-3</v>
          </cell>
          <cell r="CC83">
            <v>2.4628597983971873E-3</v>
          </cell>
          <cell r="CD83">
            <v>2.1900685240940588E-3</v>
          </cell>
          <cell r="CE83">
            <v>2.1405185086354112E-3</v>
          </cell>
          <cell r="CF83">
            <v>2.1310081008792219E-3</v>
          </cell>
          <cell r="CG83">
            <v>2.2237599567465263E-3</v>
          </cell>
        </row>
        <row r="84">
          <cell r="B84" t="str">
            <v>Tax rate</v>
          </cell>
          <cell r="Y84">
            <v>2.5674494870494818E-2</v>
          </cell>
          <cell r="Z84">
            <v>3.6541070945707355E-2</v>
          </cell>
          <cell r="AA84">
            <v>1.2344276424038236E-2</v>
          </cell>
          <cell r="AB84">
            <v>9.8491202718120913E-3</v>
          </cell>
          <cell r="AC84">
            <v>-0.16252876759186366</v>
          </cell>
          <cell r="AD84">
            <v>-5.3291876466048799E-2</v>
          </cell>
          <cell r="AE84">
            <v>-0.49998144030745589</v>
          </cell>
          <cell r="AF84">
            <v>0.35777580428934058</v>
          </cell>
          <cell r="AG84">
            <v>0.39432960478818352</v>
          </cell>
          <cell r="AH84">
            <v>0.35906050623314739</v>
          </cell>
          <cell r="AI84">
            <v>0.19006838946896443</v>
          </cell>
          <cell r="AJ84">
            <v>0.32123858130016847</v>
          </cell>
          <cell r="AK84">
            <v>0.29558494367510113</v>
          </cell>
          <cell r="AL84">
            <v>-4.7263824102346925E-2</v>
          </cell>
          <cell r="AM84">
            <v>0.32056800007935243</v>
          </cell>
          <cell r="AN84">
            <v>0.26115485582967007</v>
          </cell>
          <cell r="AO84">
            <v>0.33274496443397644</v>
          </cell>
          <cell r="AP84">
            <v>0.19357429718875488</v>
          </cell>
          <cell r="AQ84">
            <v>0.30021781219748206</v>
          </cell>
          <cell r="AR84">
            <v>0.29095929637962697</v>
          </cell>
          <cell r="AS84">
            <v>0.28071348201396457</v>
          </cell>
          <cell r="AT84">
            <v>0.29759676574081079</v>
          </cell>
          <cell r="AU84">
            <v>0.3219275879653235</v>
          </cell>
          <cell r="AV84">
            <v>0.39521224086870671</v>
          </cell>
          <cell r="AW84">
            <v>0.31978683589618417</v>
          </cell>
          <cell r="AX84">
            <v>0.33615648575357537</v>
          </cell>
          <cell r="AY84">
            <v>0.32544724962380817</v>
          </cell>
          <cell r="AZ84">
            <v>0.33973519569329219</v>
          </cell>
          <cell r="BA84">
            <v>0.35355057449613819</v>
          </cell>
          <cell r="BB84">
            <v>0.34836617973844319</v>
          </cell>
          <cell r="BC84">
            <v>0.34221910218950374</v>
          </cell>
          <cell r="BD84">
            <v>0.33169358231658003</v>
          </cell>
          <cell r="BE84">
            <v>0.3359526312876987</v>
          </cell>
          <cell r="BF84">
            <v>0.34167514251247827</v>
          </cell>
          <cell r="BG84">
            <v>0.33464132974736571</v>
          </cell>
          <cell r="BH84">
            <v>0.33628135505559953</v>
          </cell>
          <cell r="BI84">
            <v>0.3373869286527294</v>
          </cell>
          <cell r="BJ84">
            <v>0.38463267523320782</v>
          </cell>
          <cell r="BK84">
            <v>0.39797883154936292</v>
          </cell>
          <cell r="BL84">
            <v>0.35177729293656307</v>
          </cell>
          <cell r="BM84">
            <v>0.36705704665524558</v>
          </cell>
          <cell r="BN84">
            <v>0.28870853481997139</v>
          </cell>
          <cell r="BO84">
            <v>0.25697263053971059</v>
          </cell>
          <cell r="BP84">
            <v>0.25188057778423406</v>
          </cell>
          <cell r="BQ84">
            <v>0.28499999999999998</v>
          </cell>
          <cell r="BR84">
            <v>0.27042423929164661</v>
          </cell>
          <cell r="BS84">
            <v>0.3</v>
          </cell>
          <cell r="BT84">
            <v>0.3</v>
          </cell>
          <cell r="BU84">
            <v>0.3</v>
          </cell>
          <cell r="BV84">
            <v>0.3</v>
          </cell>
          <cell r="BW84">
            <v>0.29999999999999993</v>
          </cell>
          <cell r="BX84">
            <v>0.3</v>
          </cell>
          <cell r="BY84">
            <v>0.3</v>
          </cell>
          <cell r="BZ84">
            <v>0.3</v>
          </cell>
          <cell r="CA84">
            <v>0.3</v>
          </cell>
          <cell r="CB84">
            <v>0.29999999999999993</v>
          </cell>
          <cell r="CC84">
            <v>0.27</v>
          </cell>
          <cell r="CD84">
            <v>0.27</v>
          </cell>
          <cell r="CE84">
            <v>0.27</v>
          </cell>
          <cell r="CF84">
            <v>0.27</v>
          </cell>
          <cell r="CG84">
            <v>0.27000000000000085</v>
          </cell>
        </row>
        <row r="86">
          <cell r="B86" t="str">
            <v>Growth Rates</v>
          </cell>
        </row>
        <row r="87">
          <cell r="B87" t="str">
            <v>Revenues</v>
          </cell>
          <cell r="AD87">
            <v>0.63798926850358728</v>
          </cell>
          <cell r="AE87">
            <v>0.82897588659512333</v>
          </cell>
          <cell r="AF87">
            <v>0.51752493590285953</v>
          </cell>
          <cell r="AG87">
            <v>0.42877771013901844</v>
          </cell>
          <cell r="AH87">
            <v>0.32514233229122946</v>
          </cell>
          <cell r="AI87">
            <v>0.49516741817661525</v>
          </cell>
          <cell r="AJ87">
            <v>0.25778598328306135</v>
          </cell>
          <cell r="AK87">
            <v>0.2461294586450502</v>
          </cell>
          <cell r="AL87">
            <v>5.5249878837984934E-2</v>
          </cell>
          <cell r="AM87">
            <v>6.9967817828529677E-2</v>
          </cell>
          <cell r="AN87">
            <v>0.15135375603969203</v>
          </cell>
          <cell r="AO87">
            <v>-2.0557519940789248E-4</v>
          </cell>
          <cell r="AP87">
            <v>8.8646483021483018</v>
          </cell>
          <cell r="AQ87">
            <v>13.323067224998875</v>
          </cell>
          <cell r="AR87">
            <v>11.430621603260871</v>
          </cell>
          <cell r="AS87">
            <v>8.2618840626375167</v>
          </cell>
          <cell r="AT87">
            <v>10.965291771188879</v>
          </cell>
          <cell r="AU87">
            <v>0.40865842681829156</v>
          </cell>
          <cell r="AV87">
            <v>0.20568310065042228</v>
          </cell>
          <cell r="AW87">
            <v>0.51423321014052159</v>
          </cell>
          <cell r="AX87">
            <v>0.6671329027891888</v>
          </cell>
          <cell r="AY87">
            <v>0.55398680230959596</v>
          </cell>
          <cell r="AZ87">
            <v>0.4943973269249351</v>
          </cell>
          <cell r="BA87">
            <v>0.27740535917753295</v>
          </cell>
          <cell r="BB87">
            <v>0.18847954957637447</v>
          </cell>
          <cell r="BC87">
            <v>0.3543319565643519</v>
          </cell>
          <cell r="BD87">
            <v>1.427638737758433</v>
          </cell>
          <cell r="BE87">
            <v>1.5279989821585747</v>
          </cell>
          <cell r="BF87">
            <v>1.6275407105620894</v>
          </cell>
          <cell r="BG87">
            <v>1.616411576246223</v>
          </cell>
          <cell r="BH87">
            <v>1.5536469122166632</v>
          </cell>
          <cell r="BI87">
            <v>0.56433641992179662</v>
          </cell>
          <cell r="BJ87">
            <v>0.40482525727307461</v>
          </cell>
          <cell r="BK87">
            <v>1.478680017711627</v>
          </cell>
          <cell r="BL87">
            <v>1.4153109797941843</v>
          </cell>
          <cell r="BM87">
            <v>0.99781529274976655</v>
          </cell>
          <cell r="BN87">
            <v>0.87509267094404097</v>
          </cell>
          <cell r="BO87">
            <v>1.0070617130527166</v>
          </cell>
          <cell r="BP87">
            <v>0.13268479807445188</v>
          </cell>
          <cell r="BQ87">
            <v>0.16226556691129423</v>
          </cell>
          <cell r="BR87">
            <v>0.42061702430693315</v>
          </cell>
          <cell r="BS87">
            <v>0.34445911644374938</v>
          </cell>
          <cell r="BT87">
            <v>0.4530560766911238</v>
          </cell>
          <cell r="BU87">
            <v>0.38058529436634836</v>
          </cell>
          <cell r="BV87">
            <v>0.40761317022465482</v>
          </cell>
          <cell r="BW87">
            <v>0.3972936575154653</v>
          </cell>
          <cell r="BX87">
            <v>0.10311093125986637</v>
          </cell>
          <cell r="BY87">
            <v>0.12689827067978365</v>
          </cell>
          <cell r="BZ87">
            <v>0.15470405358553729</v>
          </cell>
          <cell r="CA87">
            <v>0.15461748303931677</v>
          </cell>
          <cell r="CB87">
            <v>0.13636355907760689</v>
          </cell>
          <cell r="CC87">
            <v>0.10562000400256122</v>
          </cell>
          <cell r="CD87">
            <v>0.10420342785025816</v>
          </cell>
          <cell r="CE87">
            <v>9.956864229576956E-2</v>
          </cell>
          <cell r="CF87">
            <v>0.10009004814921463</v>
          </cell>
          <cell r="CG87">
            <v>0.10224887260289184</v>
          </cell>
        </row>
        <row r="88">
          <cell r="B88" t="str">
            <v>Gross profit</v>
          </cell>
          <cell r="AD88">
            <v>0.7029335255562541</v>
          </cell>
          <cell r="AE88">
            <v>0.93823833162804871</v>
          </cell>
          <cell r="AF88">
            <v>0.48681341180697824</v>
          </cell>
          <cell r="AG88">
            <v>0.35162601412013639</v>
          </cell>
          <cell r="AH88">
            <v>8.8400382829971091E-2</v>
          </cell>
          <cell r="AI88">
            <v>0.40619119348400967</v>
          </cell>
          <cell r="AJ88">
            <v>0.24850042713426879</v>
          </cell>
          <cell r="AK88">
            <v>0.21922245720678868</v>
          </cell>
          <cell r="AL88">
            <v>-7.2309823124249273E-2</v>
          </cell>
          <cell r="AM88">
            <v>0.20159477640736845</v>
          </cell>
          <cell r="AN88">
            <v>0.1424915767475583</v>
          </cell>
          <cell r="AO88">
            <v>-7.9675018775175688E-2</v>
          </cell>
          <cell r="AP88">
            <v>1.2202380952380953</v>
          </cell>
          <cell r="AQ88">
            <v>1.9293811403140504</v>
          </cell>
          <cell r="AR88">
            <v>1.7452135493372629</v>
          </cell>
          <cell r="AS88">
            <v>1.1555547259967169</v>
          </cell>
          <cell r="AT88">
            <v>1.9068249258160215</v>
          </cell>
          <cell r="AU88">
            <v>0.58213806970509419</v>
          </cell>
          <cell r="AV88">
            <v>0.36673737315828614</v>
          </cell>
          <cell r="AW88">
            <v>0.40890557939914052</v>
          </cell>
          <cell r="AX88">
            <v>0.61577160867983993</v>
          </cell>
          <cell r="AY88">
            <v>0.28187525520620871</v>
          </cell>
          <cell r="AZ88">
            <v>0.13827286013852746</v>
          </cell>
          <cell r="BA88">
            <v>0.10872483221476559</v>
          </cell>
          <cell r="BB88">
            <v>8.9444825222754876E-2</v>
          </cell>
          <cell r="BC88">
            <v>0.14713369310660784</v>
          </cell>
          <cell r="BD88">
            <v>0.2657628063469295</v>
          </cell>
          <cell r="BE88">
            <v>0.38080351327713458</v>
          </cell>
          <cell r="BF88">
            <v>0.55761955205810798</v>
          </cell>
          <cell r="BG88">
            <v>0.56174198734752401</v>
          </cell>
          <cell r="BH88">
            <v>0.44584544087005828</v>
          </cell>
          <cell r="BI88">
            <v>0.73627669948724317</v>
          </cell>
          <cell r="BJ88">
            <v>0.65093055536838063</v>
          </cell>
          <cell r="BK88">
            <v>1.8526268489956577</v>
          </cell>
          <cell r="BL88">
            <v>1.9719580153525964</v>
          </cell>
          <cell r="BM88">
            <v>1.3696351081944735</v>
          </cell>
          <cell r="BN88">
            <v>1.249970558660737</v>
          </cell>
          <cell r="BO88">
            <v>1.1598396787043699</v>
          </cell>
          <cell r="BP88">
            <v>0.22519807059444563</v>
          </cell>
          <cell r="BQ88">
            <v>0.10003703014138976</v>
          </cell>
          <cell r="BR88">
            <v>0.49024516061244694</v>
          </cell>
          <cell r="BS88">
            <v>8.8374311608411915E-2</v>
          </cell>
          <cell r="BT88">
            <v>0.21198346610344898</v>
          </cell>
          <cell r="BU88">
            <v>5.2931614557287787E-2</v>
          </cell>
          <cell r="BV88">
            <v>0.23741888494895247</v>
          </cell>
          <cell r="BW88">
            <v>0.1488098958420303</v>
          </cell>
          <cell r="BX88">
            <v>0.16569444125837585</v>
          </cell>
          <cell r="BY88">
            <v>0.16771242949761955</v>
          </cell>
          <cell r="BZ88">
            <v>0.17092995707592129</v>
          </cell>
          <cell r="CA88">
            <v>0.17581206564362439</v>
          </cell>
          <cell r="CB88">
            <v>0.17038672315935255</v>
          </cell>
          <cell r="CC88">
            <v>9.21425340448212E-2</v>
          </cell>
          <cell r="CD88">
            <v>9.2120514822650046E-2</v>
          </cell>
          <cell r="CE88">
            <v>8.8924569138484566E-2</v>
          </cell>
          <cell r="CF88">
            <v>8.9247841534581873E-2</v>
          </cell>
          <cell r="CG88">
            <v>9.0606294246810215E-2</v>
          </cell>
        </row>
        <row r="89">
          <cell r="B89" t="str">
            <v>SG&amp;A</v>
          </cell>
          <cell r="AD89">
            <v>0.4930162385946093</v>
          </cell>
          <cell r="AE89">
            <v>0.47826193918915139</v>
          </cell>
          <cell r="AF89">
            <v>0.3381889115903387</v>
          </cell>
          <cell r="AG89">
            <v>0.20374827496038495</v>
          </cell>
          <cell r="AH89">
            <v>0.13382731403280412</v>
          </cell>
          <cell r="AI89">
            <v>0.27597280740916297</v>
          </cell>
          <cell r="AJ89">
            <v>0.26590739959487641</v>
          </cell>
          <cell r="AK89">
            <v>0.41053343371712381</v>
          </cell>
          <cell r="AL89">
            <v>0.33132944085534</v>
          </cell>
          <cell r="AM89">
            <v>0.19083396105808159</v>
          </cell>
          <cell r="AN89">
            <v>0.29944821731748728</v>
          </cell>
          <cell r="AO89">
            <v>-8.7532865907098967E-2</v>
          </cell>
          <cell r="AP89">
            <v>1.2817353489335268</v>
          </cell>
          <cell r="AQ89">
            <v>1.5065884290714431</v>
          </cell>
          <cell r="AR89">
            <v>1.9352998300558393</v>
          </cell>
          <cell r="AS89">
            <v>1.147531166639447</v>
          </cell>
          <cell r="AT89">
            <v>1.8766958818585664</v>
          </cell>
          <cell r="AU89">
            <v>0.13146072514407603</v>
          </cell>
          <cell r="AV89">
            <v>2.6161238654564656E-2</v>
          </cell>
          <cell r="AW89">
            <v>-1.29854017617137E-2</v>
          </cell>
          <cell r="AX89">
            <v>0.23893480024335823</v>
          </cell>
          <cell r="AY89">
            <v>1.7570951585976546E-2</v>
          </cell>
          <cell r="AZ89">
            <v>-1.7125210555867465E-2</v>
          </cell>
          <cell r="BA89">
            <v>-1.2166813415512623E-2</v>
          </cell>
          <cell r="BB89">
            <v>0.17777684669208527</v>
          </cell>
          <cell r="BC89">
            <v>4.023652899833241E-2</v>
          </cell>
          <cell r="BD89">
            <v>0.26319675156884448</v>
          </cell>
          <cell r="BE89">
            <v>0.4646835597992407</v>
          </cell>
          <cell r="BF89">
            <v>0.51409934365124399</v>
          </cell>
          <cell r="BG89">
            <v>0.48420490928495208</v>
          </cell>
          <cell r="BH89">
            <v>0.43376278520849731</v>
          </cell>
          <cell r="BI89">
            <v>0.84148321319566222</v>
          </cell>
          <cell r="BJ89">
            <v>0.6230394205321077</v>
          </cell>
          <cell r="BK89">
            <v>1.61207888469669</v>
          </cell>
          <cell r="BL89">
            <v>1.7012775340955391</v>
          </cell>
          <cell r="BM89">
            <v>1.2312926569948899</v>
          </cell>
          <cell r="BN89">
            <v>0.77196106781394369</v>
          </cell>
          <cell r="BO89">
            <v>0.71455054154722886</v>
          </cell>
          <cell r="BP89">
            <v>0.13151532535649868</v>
          </cell>
          <cell r="BQ89">
            <v>0.25331014987901335</v>
          </cell>
          <cell r="BR89">
            <v>0.38979508649651473</v>
          </cell>
          <cell r="BS89">
            <v>0.2491618421636328</v>
          </cell>
          <cell r="BT89">
            <v>0.44167272762323662</v>
          </cell>
          <cell r="BU89">
            <v>0.3100435279251359</v>
          </cell>
          <cell r="BV89">
            <v>0.11837758730178072</v>
          </cell>
          <cell r="BW89">
            <v>0.26570990430952013</v>
          </cell>
          <cell r="BX89">
            <v>0.1411492392343443</v>
          </cell>
          <cell r="BY89">
            <v>0.16575683173770694</v>
          </cell>
          <cell r="BZ89">
            <v>0.19452143474365924</v>
          </cell>
          <cell r="CA89">
            <v>0.19443187900618963</v>
          </cell>
          <cell r="CB89">
            <v>0.17554850939062772</v>
          </cell>
          <cell r="CC89">
            <v>0.10562000400256144</v>
          </cell>
          <cell r="CD89">
            <v>0.10420342785025816</v>
          </cell>
          <cell r="CE89">
            <v>9.956864229576956E-2</v>
          </cell>
          <cell r="CF89">
            <v>0.10009004814921463</v>
          </cell>
          <cell r="CG89">
            <v>0.1022784409369053</v>
          </cell>
        </row>
        <row r="90">
          <cell r="B90" t="str">
            <v>EBITDA</v>
          </cell>
          <cell r="AD90">
            <v>1.5043456077693125</v>
          </cell>
          <cell r="AE90">
            <v>1.6665098054234444</v>
          </cell>
          <cell r="AF90">
            <v>0.20414254579348734</v>
          </cell>
          <cell r="AG90">
            <v>0.24247752838322056</v>
          </cell>
          <cell r="AH90">
            <v>-0.15045731695647246</v>
          </cell>
          <cell r="AI90">
            <v>0.24841243279194747</v>
          </cell>
          <cell r="AJ90">
            <v>0.1281747643965705</v>
          </cell>
          <cell r="AK90">
            <v>0.25596559944373287</v>
          </cell>
          <cell r="AL90">
            <v>-0.27295765739585298</v>
          </cell>
          <cell r="AM90">
            <v>0.16904687590421275</v>
          </cell>
          <cell r="AN90">
            <v>5.9154465059173322E-2</v>
          </cell>
          <cell r="AO90">
            <v>7.6384468491406121E-3</v>
          </cell>
          <cell r="AP90">
            <v>0.80815709969788529</v>
          </cell>
          <cell r="AQ90">
            <v>1.9110947832476195</v>
          </cell>
          <cell r="AR90">
            <v>1.1203235591506613</v>
          </cell>
          <cell r="AS90">
            <v>0.88050119543080019</v>
          </cell>
          <cell r="AT90">
            <v>1.5791219204042917</v>
          </cell>
          <cell r="AU90">
            <v>1.4704469507101092</v>
          </cell>
          <cell r="AV90">
            <v>1.045263335015981</v>
          </cell>
          <cell r="AW90">
            <v>1.0718713808842528</v>
          </cell>
          <cell r="AX90">
            <v>1.2299107668401073</v>
          </cell>
          <cell r="AY90">
            <v>0.69738534076297154</v>
          </cell>
          <cell r="AZ90">
            <v>0.32975440672950995</v>
          </cell>
          <cell r="BA90">
            <v>0.25224187577128832</v>
          </cell>
          <cell r="BB90">
            <v>2.535100121658429E-2</v>
          </cell>
          <cell r="BC90">
            <v>0.27550126173306233</v>
          </cell>
          <cell r="BD90">
            <v>0.26980519480519227</v>
          </cell>
          <cell r="BE90">
            <v>0.31591328120032824</v>
          </cell>
          <cell r="BF90">
            <v>0.57749162341501314</v>
          </cell>
          <cell r="BG90">
            <v>0.64436890713186323</v>
          </cell>
          <cell r="BH90">
            <v>0.45603622396609111</v>
          </cell>
          <cell r="BI90">
            <v>0.63552941844938582</v>
          </cell>
          <cell r="BJ90">
            <v>0.48845299062711245</v>
          </cell>
          <cell r="BK90">
            <v>1.198888009662245</v>
          </cell>
          <cell r="BL90">
            <v>1.8587503412769637</v>
          </cell>
          <cell r="BM90">
            <v>1.1051138463287784</v>
          </cell>
          <cell r="BN90">
            <v>1.4933905400475971</v>
          </cell>
          <cell r="BO90">
            <v>1.5653888600363568</v>
          </cell>
          <cell r="BP90">
            <v>0.59310573417301882</v>
          </cell>
          <cell r="BQ90">
            <v>0.26578699250258975</v>
          </cell>
          <cell r="BR90">
            <v>0.76998420385154742</v>
          </cell>
          <cell r="BS90">
            <v>0.24999780687582884</v>
          </cell>
          <cell r="BT90">
            <v>0.33683193982384663</v>
          </cell>
          <cell r="BU90">
            <v>0.14705116782842964</v>
          </cell>
          <cell r="BV90">
            <v>0.28371381054706557</v>
          </cell>
          <cell r="BW90">
            <v>0.25406226063484216</v>
          </cell>
          <cell r="BX90">
            <v>0.15087848511211965</v>
          </cell>
          <cell r="BY90">
            <v>0.14155229996408303</v>
          </cell>
          <cell r="BZ90">
            <v>0.12255404716940799</v>
          </cell>
          <cell r="CA90">
            <v>0.13789605600763255</v>
          </cell>
          <cell r="CB90">
            <v>0.13806832838500016</v>
          </cell>
          <cell r="CC90">
            <v>8.9683537819666981E-2</v>
          </cell>
          <cell r="CD90">
            <v>9.0159270085395482E-2</v>
          </cell>
          <cell r="CE90">
            <v>8.7267374822862287E-2</v>
          </cell>
          <cell r="CF90">
            <v>8.7619602135366792E-2</v>
          </cell>
          <cell r="CG90">
            <v>8.8710904076622521E-2</v>
          </cell>
        </row>
        <row r="91">
          <cell r="B91" t="str">
            <v>EBIT</v>
          </cell>
          <cell r="AD91">
            <v>1.359856473162838</v>
          </cell>
          <cell r="AE91">
            <v>2.084683864268881</v>
          </cell>
          <cell r="AF91">
            <v>0.36082187940974997</v>
          </cell>
          <cell r="AG91">
            <v>0.26566074547165242</v>
          </cell>
          <cell r="AH91">
            <v>0.3756525540327329</v>
          </cell>
          <cell r="AI91">
            <v>0.51826994966592443</v>
          </cell>
          <cell r="AJ91">
            <v>0.36325598835231321</v>
          </cell>
          <cell r="AK91">
            <v>2.0968884118112818E-2</v>
          </cell>
          <cell r="AL91">
            <v>-0.64497969325233795</v>
          </cell>
          <cell r="AM91">
            <v>-0.20473256267929529</v>
          </cell>
          <cell r="AN91">
            <v>-0.15472897416279241</v>
          </cell>
          <cell r="AO91">
            <v>-0.11171827565270187</v>
          </cell>
          <cell r="AP91">
            <v>0.9956140350877194</v>
          </cell>
          <cell r="AQ91">
            <v>5.0330310880829234</v>
          </cell>
          <cell r="AR91">
            <v>1.4983991462113182</v>
          </cell>
          <cell r="AS91">
            <v>1.2127141066703877</v>
          </cell>
          <cell r="AT91">
            <v>2.1310093415356506</v>
          </cell>
          <cell r="AU91">
            <v>2.2766091051805337</v>
          </cell>
          <cell r="AV91">
            <v>1.2787976382179225</v>
          </cell>
          <cell r="AW91">
            <v>1.3237932507475385</v>
          </cell>
          <cell r="AX91">
            <v>1.6130778186852925</v>
          </cell>
          <cell r="AY91">
            <v>0.77317712123417959</v>
          </cell>
          <cell r="AZ91">
            <v>0.32689727865082463</v>
          </cell>
          <cell r="BA91">
            <v>0.25872709285344242</v>
          </cell>
          <cell r="BB91">
            <v>1.4669117647058139E-2</v>
          </cell>
          <cell r="BC91">
            <v>0.28105393721173733</v>
          </cell>
          <cell r="BD91">
            <v>0.27984569294537387</v>
          </cell>
          <cell r="BE91">
            <v>0.32608774146957709</v>
          </cell>
          <cell r="BF91">
            <v>0.62367603577977526</v>
          </cell>
          <cell r="BG91">
            <v>0.65455270118482622</v>
          </cell>
          <cell r="BH91">
            <v>0.47545591276555221</v>
          </cell>
          <cell r="BI91">
            <v>0.64557814403898961</v>
          </cell>
          <cell r="BJ91">
            <v>0.50754234057615699</v>
          </cell>
          <cell r="BK91">
            <v>1.2003549777562719</v>
          </cell>
          <cell r="BL91">
            <v>2.1752803083391758</v>
          </cell>
          <cell r="BM91">
            <v>1.2116539988149828</v>
          </cell>
          <cell r="BN91">
            <v>1.7457082172294887</v>
          </cell>
          <cell r="BO91">
            <v>1.8313947187804822</v>
          </cell>
          <cell r="BP91">
            <v>0.75317940874520639</v>
          </cell>
          <cell r="BQ91">
            <v>0.27371776475176679</v>
          </cell>
          <cell r="BR91">
            <v>0.8716104529250448</v>
          </cell>
          <cell r="BS91">
            <v>0.26720592443647417</v>
          </cell>
          <cell r="BT91">
            <v>0.34242575031107858</v>
          </cell>
          <cell r="BU91">
            <v>0.14781473906826648</v>
          </cell>
          <cell r="BV91">
            <v>0.28504877907008774</v>
          </cell>
          <cell r="BW91">
            <v>0.25967372620583262</v>
          </cell>
          <cell r="BX91">
            <v>0.15161277462911693</v>
          </cell>
          <cell r="BY91">
            <v>0.14213682466246347</v>
          </cell>
          <cell r="BZ91">
            <v>0.12310846468816306</v>
          </cell>
          <cell r="CA91">
            <v>0.1384009762483227</v>
          </cell>
          <cell r="CB91">
            <v>0.13865473234354186</v>
          </cell>
          <cell r="CC91">
            <v>9.227307506129967E-2</v>
          </cell>
          <cell r="CD91">
            <v>9.246850897914527E-2</v>
          </cell>
          <cell r="CE91">
            <v>8.9822133528846271E-2</v>
          </cell>
          <cell r="CF91">
            <v>8.9962606856117233E-2</v>
          </cell>
          <cell r="CG91">
            <v>9.1154210728626284E-2</v>
          </cell>
        </row>
        <row r="92">
          <cell r="B92" t="str">
            <v>Pre-tax income</v>
          </cell>
          <cell r="AD92">
            <v>1.68927748231732</v>
          </cell>
          <cell r="AE92">
            <v>3.5283327283756156</v>
          </cell>
          <cell r="AF92">
            <v>0.28987463762438326</v>
          </cell>
          <cell r="AG92">
            <v>0.35585520143447802</v>
          </cell>
          <cell r="AH92">
            <v>0.70956759346404086</v>
          </cell>
          <cell r="AI92">
            <v>0.72363404365864636</v>
          </cell>
          <cell r="AJ92">
            <v>0.56977341574195339</v>
          </cell>
          <cell r="AK92">
            <v>0.37249911466366048</v>
          </cell>
          <cell r="AL92">
            <v>-0.33875788394903228</v>
          </cell>
          <cell r="AM92">
            <v>-0.13778729453888017</v>
          </cell>
          <cell r="AN92">
            <v>5.4302654180750087E-2</v>
          </cell>
          <cell r="AO92">
            <v>-7.4366004112405681E-2</v>
          </cell>
          <cell r="AP92">
            <v>0.37751714981190587</v>
          </cell>
          <cell r="AQ92">
            <v>1.975873244508473</v>
          </cell>
          <cell r="AR92">
            <v>0.6586938083121332</v>
          </cell>
          <cell r="AS92">
            <v>0.55931045356599052</v>
          </cell>
          <cell r="AT92">
            <v>1.472602739726022</v>
          </cell>
          <cell r="AU92">
            <v>2.1502008032128517</v>
          </cell>
          <cell r="AV92">
            <v>1.4515972894482019</v>
          </cell>
          <cell r="AW92">
            <v>1.5140110452035116</v>
          </cell>
          <cell r="AX92">
            <v>1.6225690114260649</v>
          </cell>
          <cell r="AY92">
            <v>0.79112076064985382</v>
          </cell>
          <cell r="AZ92">
            <v>0.40193778684344772</v>
          </cell>
          <cell r="BA92">
            <v>0.31021717670286408</v>
          </cell>
          <cell r="BB92">
            <v>0.11671141485639835</v>
          </cell>
          <cell r="BC92">
            <v>0.35475330617280609</v>
          </cell>
          <cell r="BD92">
            <v>0.29154823608091984</v>
          </cell>
          <cell r="BE92">
            <v>0.31463698530481365</v>
          </cell>
          <cell r="BF92">
            <v>0.59265398380108558</v>
          </cell>
          <cell r="BG92">
            <v>0.65247167680594576</v>
          </cell>
          <cell r="BH92">
            <v>0.46738511744392897</v>
          </cell>
          <cell r="BI92">
            <v>0.62073206252629309</v>
          </cell>
          <cell r="BJ92">
            <v>0.47711803441978695</v>
          </cell>
          <cell r="BK92">
            <v>0.9777893417224568</v>
          </cell>
          <cell r="BL92">
            <v>1.9402804109166292</v>
          </cell>
          <cell r="BM92">
            <v>1.0717416602017118</v>
          </cell>
          <cell r="BN92">
            <v>1.5932626450208698</v>
          </cell>
          <cell r="BO92">
            <v>1.7321020492263917</v>
          </cell>
          <cell r="BP92">
            <v>0.89354780840758119</v>
          </cell>
          <cell r="BQ92">
            <v>0.29802462509124927</v>
          </cell>
          <cell r="BR92">
            <v>0.89473043316512224</v>
          </cell>
          <cell r="BS92">
            <v>0.28810915261461556</v>
          </cell>
          <cell r="BT92">
            <v>0.36629436146395977</v>
          </cell>
          <cell r="BU92">
            <v>0.14399878289672174</v>
          </cell>
          <cell r="BV92">
            <v>0.30852458623285339</v>
          </cell>
          <cell r="BW92">
            <v>0.27513339835756101</v>
          </cell>
          <cell r="BX92">
            <v>0.16857065030984031</v>
          </cell>
          <cell r="BY92">
            <v>0.15693819297485101</v>
          </cell>
          <cell r="BZ92">
            <v>0.13849358824127811</v>
          </cell>
          <cell r="CA92">
            <v>0.15162683050472636</v>
          </cell>
          <cell r="CB92">
            <v>0.15358242854814241</v>
          </cell>
          <cell r="CC92">
            <v>0.10018817607168562</v>
          </cell>
          <cell r="CD92">
            <v>9.9445554078529952E-2</v>
          </cell>
          <cell r="CE92">
            <v>9.7670800866943575E-2</v>
          </cell>
          <cell r="CF92">
            <v>9.7093246813847456E-2</v>
          </cell>
          <cell r="CG92">
            <v>9.8599233833566613E-2</v>
          </cell>
        </row>
        <row r="93">
          <cell r="B93" t="str">
            <v>Net income - cont operations</v>
          </cell>
          <cell r="AD93">
            <v>1.9072359399145555</v>
          </cell>
          <cell r="AE93">
            <v>6.0500307208398736</v>
          </cell>
          <cell r="AF93">
            <v>-0.16125763062802179</v>
          </cell>
          <cell r="AG93">
            <v>-0.17063008020732151</v>
          </cell>
          <cell r="AH93">
            <v>-5.7460410046606625E-2</v>
          </cell>
          <cell r="AI93">
            <v>0.32539301606544524</v>
          </cell>
          <cell r="AJ93">
            <v>-0.28965679036142633</v>
          </cell>
          <cell r="AK93">
            <v>0.50540737583367523</v>
          </cell>
          <cell r="AL93">
            <v>0.1433528080415476</v>
          </cell>
          <cell r="AM93">
            <v>-8.6005920175772022E-2</v>
          </cell>
          <cell r="AN93">
            <v>-3.8231887237238804E-2</v>
          </cell>
          <cell r="AO93">
            <v>-9.0057378290333667E-2</v>
          </cell>
          <cell r="AP93">
            <v>0.57700382139367923</v>
          </cell>
          <cell r="AQ93">
            <v>0.98847992429231657</v>
          </cell>
          <cell r="AR93">
            <v>0.7309773826869328</v>
          </cell>
          <cell r="AS93">
            <v>0.51803256129425224</v>
          </cell>
          <cell r="AT93">
            <v>1.602849088952047</v>
          </cell>
          <cell r="AU93">
            <v>1.6488047808764952</v>
          </cell>
          <cell r="AV93">
            <v>1.118796472419151</v>
          </cell>
          <cell r="AW93">
            <v>1.4117986441655761</v>
          </cell>
          <cell r="AX93">
            <v>1.4204199374867899</v>
          </cell>
          <cell r="AY93">
            <v>0.72010232359838988</v>
          </cell>
          <cell r="AZ93">
            <v>0.36511995186884327</v>
          </cell>
          <cell r="BA93">
            <v>0.40047335346445978</v>
          </cell>
          <cell r="BB93">
            <v>6.979247652652254E-2</v>
          </cell>
          <cell r="BC93">
            <v>0.34238088784775078</v>
          </cell>
          <cell r="BD93">
            <v>0.27958854876688122</v>
          </cell>
          <cell r="BE93">
            <v>0.32216835610400718</v>
          </cell>
          <cell r="BF93">
            <v>0.62191142191141147</v>
          </cell>
          <cell r="BG93">
            <v>0.68727638640429412</v>
          </cell>
          <cell r="BH93">
            <v>0.48063111136749614</v>
          </cell>
          <cell r="BI93">
            <v>0.60692493946730863</v>
          </cell>
          <cell r="BJ93">
            <v>0.36883333333333068</v>
          </cell>
          <cell r="BK93">
            <v>0.84708249496982924</v>
          </cell>
          <cell r="BL93">
            <v>1.6845470810416847</v>
          </cell>
          <cell r="BM93">
            <v>0.97567793968675232</v>
          </cell>
          <cell r="BN93">
            <v>1.6217641563451202</v>
          </cell>
          <cell r="BO93">
            <v>2.0634055765250268</v>
          </cell>
          <cell r="BP93">
            <v>1.1058784624961078</v>
          </cell>
          <cell r="BQ93">
            <v>0.40198137304373693</v>
          </cell>
          <cell r="BR93">
            <v>1.0188804509708516</v>
          </cell>
          <cell r="BS93">
            <v>0.22886631419375725</v>
          </cell>
          <cell r="BT93">
            <v>0.28486532328402681</v>
          </cell>
          <cell r="BU93">
            <v>7.7044202404220608E-2</v>
          </cell>
          <cell r="BV93">
            <v>0.3062864591799288</v>
          </cell>
          <cell r="BW93">
            <v>0.22396794074751991</v>
          </cell>
          <cell r="BX93">
            <v>0.18463792572134574</v>
          </cell>
          <cell r="BY93">
            <v>0.16930560730628974</v>
          </cell>
          <cell r="BZ93">
            <v>0.15059695833189979</v>
          </cell>
          <cell r="CA93">
            <v>0.16203922305112561</v>
          </cell>
          <cell r="CB93">
            <v>0.1660723793850214</v>
          </cell>
          <cell r="CC93">
            <v>0.11125524848013035</v>
          </cell>
          <cell r="CD93">
            <v>0.10897750624113356</v>
          </cell>
          <cell r="CE93">
            <v>0.10863382448169712</v>
          </cell>
          <cell r="CF93">
            <v>0.10687832830804012</v>
          </cell>
          <cell r="CG93">
            <v>0.10889213566541178</v>
          </cell>
        </row>
        <row r="94">
          <cell r="B94" t="str">
            <v>EPS, diluted  (continuing) Non GAAP</v>
          </cell>
          <cell r="AD94">
            <v>1.161056823519977</v>
          </cell>
          <cell r="AE94">
            <v>4.9061317659985466</v>
          </cell>
          <cell r="AF94">
            <v>-0.30146632455665723</v>
          </cell>
          <cell r="AG94">
            <v>-0.40418245372679173</v>
          </cell>
          <cell r="AH94">
            <v>-0.29292812203339469</v>
          </cell>
          <cell r="AI94">
            <v>3.8585306085327176E-2</v>
          </cell>
          <cell r="AJ94">
            <v>-0.41085460558036857</v>
          </cell>
          <cell r="AK94">
            <v>0.25534723776580037</v>
          </cell>
          <cell r="AL94">
            <v>0.1208092118976607</v>
          </cell>
          <cell r="AM94">
            <v>-6.3173922957929118E-2</v>
          </cell>
          <cell r="AN94">
            <v>-0.12131050109860408</v>
          </cell>
          <cell r="AO94">
            <v>-7.9113417044666012E-2</v>
          </cell>
          <cell r="AP94">
            <v>0.45604426845061119</v>
          </cell>
          <cell r="AQ94">
            <v>0.77927093179836171</v>
          </cell>
          <cell r="AR94">
            <v>0.50598478458730023</v>
          </cell>
          <cell r="AS94">
            <v>0.39806719790025635</v>
          </cell>
          <cell r="AT94">
            <v>1.2442147141310391</v>
          </cell>
          <cell r="AU94">
            <v>1.4693370197255691</v>
          </cell>
          <cell r="AV94">
            <v>2.9515406734304817</v>
          </cell>
          <cell r="AW94">
            <v>2.8079500259529167</v>
          </cell>
          <cell r="AX94">
            <v>1.8754799277086178</v>
          </cell>
          <cell r="AY94">
            <v>0.37936383521656558</v>
          </cell>
          <cell r="AZ94">
            <v>9.9029431070584817E-2</v>
          </cell>
          <cell r="BA94">
            <v>-0.4189462154933804</v>
          </cell>
          <cell r="BB94">
            <v>-0.47329861102998871</v>
          </cell>
          <cell r="BC94">
            <v>-0.15736386126355684</v>
          </cell>
          <cell r="BD94">
            <v>0.25194587936550228</v>
          </cell>
          <cell r="BE94">
            <v>0.30163303172321521</v>
          </cell>
          <cell r="BF94">
            <v>0.61827692499228815</v>
          </cell>
          <cell r="BG94">
            <v>0.69203664321082581</v>
          </cell>
          <cell r="BH94">
            <v>0.46704433217489538</v>
          </cell>
          <cell r="BI94">
            <v>0.61321613350324777</v>
          </cell>
          <cell r="BJ94">
            <v>0.30505685230706292</v>
          </cell>
          <cell r="BK94">
            <v>0.13966928268578127</v>
          </cell>
          <cell r="BL94">
            <v>0.64401799382504521</v>
          </cell>
          <cell r="BM94">
            <v>0.49292936784276575</v>
          </cell>
          <cell r="BN94">
            <v>0.60753925120409069</v>
          </cell>
          <cell r="BO94">
            <v>0.98326099755552732</v>
          </cell>
          <cell r="BP94">
            <v>1.0815887017686068</v>
          </cell>
          <cell r="BQ94">
            <v>0.3968643315876641</v>
          </cell>
          <cell r="BR94">
            <v>0.63831372550058085</v>
          </cell>
          <cell r="BS94">
            <v>0.22542783070554373</v>
          </cell>
          <cell r="BT94">
            <v>0.28189589812983917</v>
          </cell>
          <cell r="BU94">
            <v>7.507547422388039E-2</v>
          </cell>
          <cell r="BV94">
            <v>0.30375833657905282</v>
          </cell>
          <cell r="BW94">
            <v>0.22125327796952199</v>
          </cell>
          <cell r="BX94">
            <v>0.18234634446576181</v>
          </cell>
          <cell r="BY94">
            <v>0.16704477846116328</v>
          </cell>
          <cell r="BZ94">
            <v>0.14837337709521092</v>
          </cell>
          <cell r="CA94">
            <v>0.15979461356725011</v>
          </cell>
          <cell r="CB94">
            <v>0.16381834668682638</v>
          </cell>
          <cell r="CC94">
            <v>0.10911046825034609</v>
          </cell>
          <cell r="CD94">
            <v>0.1068381544369017</v>
          </cell>
          <cell r="CE94">
            <v>0.10649616663133421</v>
          </cell>
          <cell r="CF94">
            <v>0.10474508371553681</v>
          </cell>
          <cell r="CG94">
            <v>0.10675346427084054</v>
          </cell>
        </row>
        <row r="99">
          <cell r="B99" t="str">
            <v>CTRX</v>
          </cell>
        </row>
        <row r="100">
          <cell r="B100" t="str">
            <v>Quarterly Balance Sheet &amp; Cash Flow Statement</v>
          </cell>
        </row>
        <row r="101">
          <cell r="B101" t="str">
            <v>Balance Sheet</v>
          </cell>
          <cell r="F101" t="str">
            <v>Fiscal Year End, Dec 31 2001</v>
          </cell>
          <cell r="K101" t="str">
            <v>Fiscal Year End, Dec 31 2002</v>
          </cell>
          <cell r="P101" t="str">
            <v>Fiscal Year End, Dec 31 2003</v>
          </cell>
          <cell r="U101" t="str">
            <v>Fiscal Year End, Dec 31 2004</v>
          </cell>
          <cell r="Z101" t="str">
            <v xml:space="preserve">Fiscal Year End, Dec 31 2005 </v>
          </cell>
          <cell r="AE101" t="str">
            <v xml:space="preserve">Fiscal Year End, Dec 31 2006 </v>
          </cell>
          <cell r="AJ101" t="str">
            <v xml:space="preserve">Fiscal Year End, Dec 31 2007 </v>
          </cell>
          <cell r="AO101" t="str">
            <v>Fiscal Year End, Dec 31 2008</v>
          </cell>
          <cell r="AT101" t="str">
            <v>Fiscal Year End, Dec 31 2009</v>
          </cell>
          <cell r="AY101" t="str">
            <v>Fiscal Year End, Dec 31 2010</v>
          </cell>
          <cell r="BD101" t="str">
            <v>Fiscal Year End, Dec 31 2011</v>
          </cell>
          <cell r="BI101" t="str">
            <v>Fiscal Year End, Dec 31 2012</v>
          </cell>
          <cell r="BN101" t="str">
            <v>Fiscal Year End, Dec 31 2013</v>
          </cell>
          <cell r="BS101" t="str">
            <v>Fiscal Year End, Dec 31 2014</v>
          </cell>
          <cell r="BX101" t="str">
            <v>Fiscal Year End, Dec 31 2015</v>
          </cell>
          <cell r="CC101" t="str">
            <v>Fiscal Year End, Dec 31 2015</v>
          </cell>
        </row>
        <row r="102">
          <cell r="B102" t="str">
            <v>(In millions, except per share data)</v>
          </cell>
          <cell r="U102" t="str">
            <v>1QA</v>
          </cell>
          <cell r="V102" t="str">
            <v>2QA</v>
          </cell>
          <cell r="W102" t="str">
            <v>3QA</v>
          </cell>
          <cell r="X102" t="str">
            <v>4QA</v>
          </cell>
          <cell r="Y102" t="str">
            <v>2004A</v>
          </cell>
          <cell r="Z102" t="str">
            <v>1QA</v>
          </cell>
          <cell r="AA102" t="str">
            <v>2QA</v>
          </cell>
          <cell r="AB102" t="str">
            <v>3QA</v>
          </cell>
          <cell r="AC102" t="str">
            <v>4QA</v>
          </cell>
          <cell r="AD102" t="str">
            <v>2005A</v>
          </cell>
          <cell r="AE102" t="str">
            <v>1QA</v>
          </cell>
          <cell r="AF102" t="str">
            <v>2QA</v>
          </cell>
          <cell r="AG102" t="str">
            <v>3QA</v>
          </cell>
          <cell r="AH102" t="str">
            <v>4QA</v>
          </cell>
          <cell r="AI102" t="str">
            <v>2006A</v>
          </cell>
          <cell r="AJ102" t="str">
            <v>1QA</v>
          </cell>
          <cell r="AK102" t="str">
            <v>2QA</v>
          </cell>
          <cell r="AL102" t="str">
            <v>3QA</v>
          </cell>
          <cell r="AM102" t="str">
            <v>4QA</v>
          </cell>
          <cell r="AN102" t="str">
            <v>2007A</v>
          </cell>
          <cell r="AO102" t="str">
            <v>1QA</v>
          </cell>
          <cell r="AP102" t="str">
            <v>2QA</v>
          </cell>
          <cell r="AQ102" t="str">
            <v>3QA</v>
          </cell>
          <cell r="AR102" t="str">
            <v>4QA</v>
          </cell>
          <cell r="AS102" t="str">
            <v>2008A</v>
          </cell>
          <cell r="AT102" t="str">
            <v>1QA</v>
          </cell>
          <cell r="AU102" t="str">
            <v>2QA</v>
          </cell>
          <cell r="AV102" t="str">
            <v>3QA</v>
          </cell>
          <cell r="AW102" t="str">
            <v>4QA</v>
          </cell>
          <cell r="AX102" t="str">
            <v>2009A</v>
          </cell>
          <cell r="AY102" t="str">
            <v>1QA</v>
          </cell>
          <cell r="AZ102" t="str">
            <v>2QA</v>
          </cell>
          <cell r="BA102" t="str">
            <v>3QA</v>
          </cell>
          <cell r="BB102" t="str">
            <v>4QA</v>
          </cell>
          <cell r="BC102" t="str">
            <v>2010A</v>
          </cell>
          <cell r="BD102" t="str">
            <v>1QA</v>
          </cell>
          <cell r="BE102" t="str">
            <v>2QA</v>
          </cell>
          <cell r="BF102" t="str">
            <v>3QA</v>
          </cell>
          <cell r="BG102" t="str">
            <v>4QA</v>
          </cell>
          <cell r="BH102" t="str">
            <v>2011A</v>
          </cell>
          <cell r="BI102" t="str">
            <v>1QA</v>
          </cell>
          <cell r="BJ102" t="str">
            <v>2QA</v>
          </cell>
          <cell r="BK102" t="str">
            <v>3QA</v>
          </cell>
          <cell r="BL102" t="str">
            <v>4QA</v>
          </cell>
          <cell r="BM102" t="str">
            <v>2012A</v>
          </cell>
          <cell r="BN102" t="str">
            <v>1QA</v>
          </cell>
          <cell r="BO102" t="str">
            <v>2QA</v>
          </cell>
          <cell r="BP102" t="str">
            <v>3QA</v>
          </cell>
          <cell r="BQ102" t="str">
            <v>4QE</v>
          </cell>
          <cell r="BR102" t="str">
            <v>2013E</v>
          </cell>
          <cell r="BS102" t="str">
            <v>1QE</v>
          </cell>
          <cell r="BT102" t="str">
            <v>2QE</v>
          </cell>
          <cell r="BU102" t="str">
            <v>3QE</v>
          </cell>
          <cell r="BV102" t="str">
            <v>4QE</v>
          </cell>
          <cell r="BW102" t="str">
            <v>2014E</v>
          </cell>
          <cell r="BX102" t="str">
            <v>1QE</v>
          </cell>
          <cell r="BY102" t="str">
            <v>2QE</v>
          </cell>
          <cell r="BZ102" t="str">
            <v>3QE</v>
          </cell>
          <cell r="CA102" t="str">
            <v>4QE</v>
          </cell>
          <cell r="CB102" t="str">
            <v>2015E</v>
          </cell>
          <cell r="CC102" t="str">
            <v>1QE</v>
          </cell>
          <cell r="CD102" t="str">
            <v>2QE</v>
          </cell>
          <cell r="CE102" t="str">
            <v>3QE</v>
          </cell>
          <cell r="CF102" t="str">
            <v>4QE</v>
          </cell>
          <cell r="CG102" t="str">
            <v>2016E</v>
          </cell>
        </row>
        <row r="103">
          <cell r="B103" t="str">
            <v>Assets</v>
          </cell>
        </row>
        <row r="104">
          <cell r="B104" t="str">
            <v>Cash and equivalents / securities</v>
          </cell>
          <cell r="X104">
            <v>29.636642999999999</v>
          </cell>
          <cell r="Y104">
            <v>29.636642999999999</v>
          </cell>
          <cell r="Z104">
            <v>12.148111999999999</v>
          </cell>
          <cell r="AA104">
            <v>10.270448</v>
          </cell>
          <cell r="AB104">
            <v>16.287365000000001</v>
          </cell>
          <cell r="AC104">
            <v>35.951931999999999</v>
          </cell>
          <cell r="AD104">
            <v>35.951931999999999</v>
          </cell>
          <cell r="AE104">
            <v>36.853735999999998</v>
          </cell>
          <cell r="AF104">
            <v>73.375029999999995</v>
          </cell>
          <cell r="AG104">
            <v>61.442382000000002</v>
          </cell>
          <cell r="AH104">
            <v>70.943380000000005</v>
          </cell>
          <cell r="AI104">
            <v>70.943380000000005</v>
          </cell>
          <cell r="AJ104">
            <v>76.966894999999994</v>
          </cell>
          <cell r="AK104">
            <v>74.695362000000003</v>
          </cell>
          <cell r="AL104">
            <v>81.113709</v>
          </cell>
          <cell r="AM104">
            <v>90.929000000000002</v>
          </cell>
          <cell r="AN104">
            <v>90.929000000000002</v>
          </cell>
          <cell r="AO104">
            <v>96.561999999999998</v>
          </cell>
          <cell r="AP104">
            <v>50.055</v>
          </cell>
          <cell r="AQ104">
            <v>51.59</v>
          </cell>
          <cell r="AR104">
            <v>67.715000000000003</v>
          </cell>
          <cell r="AS104">
            <v>67.715000000000003</v>
          </cell>
          <cell r="AT104">
            <v>79.97</v>
          </cell>
          <cell r="AU104">
            <v>96.634</v>
          </cell>
          <cell r="AV104">
            <v>319.52199999999999</v>
          </cell>
          <cell r="AW104">
            <v>304.37</v>
          </cell>
          <cell r="AX104">
            <v>304.37</v>
          </cell>
          <cell r="AY104">
            <v>313.24099999999999</v>
          </cell>
          <cell r="AZ104">
            <v>352.62400000000002</v>
          </cell>
          <cell r="BA104">
            <v>379.06099999999998</v>
          </cell>
          <cell r="BB104">
            <v>321.28399999999999</v>
          </cell>
          <cell r="BC104">
            <v>321.28399999999999</v>
          </cell>
          <cell r="BD104">
            <v>325.92899999999997</v>
          </cell>
          <cell r="BE104">
            <v>319.70699999999999</v>
          </cell>
          <cell r="BF104">
            <v>405.11099999999999</v>
          </cell>
          <cell r="BG104">
            <v>341.38200000000001</v>
          </cell>
          <cell r="BH104">
            <v>341.38200000000001</v>
          </cell>
          <cell r="BI104">
            <v>259.43700000000001</v>
          </cell>
          <cell r="BJ104">
            <v>798.92100000000005</v>
          </cell>
          <cell r="BK104">
            <v>393.03199999999998</v>
          </cell>
          <cell r="BL104">
            <v>370.77600000000001</v>
          </cell>
          <cell r="BM104">
            <v>370.77600000000001</v>
          </cell>
          <cell r="BN104">
            <v>311.35599999999999</v>
          </cell>
          <cell r="BO104">
            <v>373.58800000000002</v>
          </cell>
          <cell r="BP104">
            <v>436.22699999999998</v>
          </cell>
          <cell r="BQ104">
            <v>498.77193839708968</v>
          </cell>
          <cell r="BR104">
            <v>498.77193839708968</v>
          </cell>
          <cell r="BS104">
            <v>580.24371118245358</v>
          </cell>
          <cell r="BT104">
            <v>650.19627504649407</v>
          </cell>
          <cell r="BU104">
            <v>841.71724560055429</v>
          </cell>
          <cell r="BV104">
            <v>886.0369095239032</v>
          </cell>
          <cell r="BW104">
            <v>886.0369095239032</v>
          </cell>
          <cell r="BX104">
            <v>1179.8397721209667</v>
          </cell>
          <cell r="BY104">
            <v>1258.7390944666636</v>
          </cell>
          <cell r="BZ104">
            <v>1467.4582753305813</v>
          </cell>
          <cell r="CA104">
            <v>1518.1523737455232</v>
          </cell>
          <cell r="CB104">
            <v>1518.1523737455232</v>
          </cell>
          <cell r="CC104">
            <v>1992.9059835500325</v>
          </cell>
          <cell r="CD104">
            <v>2096.4457229167401</v>
          </cell>
          <cell r="CE104">
            <v>2370.8344416585041</v>
          </cell>
          <cell r="CF104">
            <v>2436.5907965373531</v>
          </cell>
          <cell r="CG104">
            <v>2436.5907965373531</v>
          </cell>
        </row>
        <row r="105">
          <cell r="B105" t="str">
            <v>Restricted cash</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17.454999999999998</v>
          </cell>
          <cell r="AQ105">
            <v>17.79</v>
          </cell>
          <cell r="AR105">
            <v>12.497999999999999</v>
          </cell>
          <cell r="AS105">
            <v>12.497999999999999</v>
          </cell>
          <cell r="AT105">
            <v>13.628</v>
          </cell>
          <cell r="AU105">
            <v>14.135</v>
          </cell>
          <cell r="AV105">
            <v>12.433</v>
          </cell>
          <cell r="AW105">
            <v>14.169</v>
          </cell>
          <cell r="AX105">
            <v>14.169</v>
          </cell>
          <cell r="AY105">
            <v>14.305</v>
          </cell>
          <cell r="AZ105">
            <v>14.321</v>
          </cell>
          <cell r="BA105">
            <v>14.331</v>
          </cell>
          <cell r="BB105">
            <v>13.79</v>
          </cell>
          <cell r="BC105">
            <v>13.79</v>
          </cell>
          <cell r="BD105">
            <v>13.802</v>
          </cell>
          <cell r="BE105">
            <v>14.962</v>
          </cell>
          <cell r="BF105">
            <v>14.971</v>
          </cell>
          <cell r="BG105">
            <v>12.016999999999999</v>
          </cell>
          <cell r="BH105">
            <v>12.016999999999999</v>
          </cell>
          <cell r="BI105">
            <v>12.682</v>
          </cell>
          <cell r="BJ105">
            <v>12.587999999999999</v>
          </cell>
          <cell r="BK105">
            <v>52.389000000000003</v>
          </cell>
          <cell r="BL105">
            <v>52.421999999999997</v>
          </cell>
          <cell r="BM105">
            <v>52.421999999999997</v>
          </cell>
          <cell r="BN105">
            <v>32.191000000000003</v>
          </cell>
          <cell r="BO105">
            <v>32.186999999999998</v>
          </cell>
          <cell r="BP105">
            <v>32.219000000000001</v>
          </cell>
          <cell r="BQ105">
            <v>32.219000000000001</v>
          </cell>
          <cell r="BR105">
            <v>32.219000000000001</v>
          </cell>
          <cell r="BS105">
            <v>32.219000000000001</v>
          </cell>
          <cell r="BT105">
            <v>32.219000000000001</v>
          </cell>
          <cell r="BU105">
            <v>32.219000000000001</v>
          </cell>
          <cell r="BV105">
            <v>32.219000000000001</v>
          </cell>
          <cell r="BW105">
            <v>32.219000000000001</v>
          </cell>
          <cell r="BX105">
            <v>32.219000000000001</v>
          </cell>
          <cell r="BY105">
            <v>32.219000000000001</v>
          </cell>
          <cell r="BZ105">
            <v>32.219000000000001</v>
          </cell>
          <cell r="CA105">
            <v>32.219000000000001</v>
          </cell>
          <cell r="CB105">
            <v>32.219000000000001</v>
          </cell>
          <cell r="CC105">
            <v>32.223999999999997</v>
          </cell>
          <cell r="CD105">
            <v>32.223999999999997</v>
          </cell>
          <cell r="CE105">
            <v>32.223999999999997</v>
          </cell>
          <cell r="CF105">
            <v>32.223999999999997</v>
          </cell>
          <cell r="CG105">
            <v>32.223999999999997</v>
          </cell>
        </row>
        <row r="106">
          <cell r="B106" t="str">
            <v>Short term investments</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4.6390000000000002</v>
          </cell>
          <cell r="AX106">
            <v>4.6390000000000002</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row>
        <row r="107">
          <cell r="B107" t="str">
            <v>Accounts receivable</v>
          </cell>
          <cell r="Y107">
            <v>8.6414030000000004</v>
          </cell>
          <cell r="Z107">
            <v>7.8424290000000001</v>
          </cell>
          <cell r="AA107">
            <v>9.1687729999999998</v>
          </cell>
          <cell r="AB107">
            <v>9.3332119999999996</v>
          </cell>
          <cell r="AC107">
            <v>8.6498010000000001</v>
          </cell>
          <cell r="AD107">
            <v>8.6498010000000001</v>
          </cell>
          <cell r="AE107">
            <v>13.550433</v>
          </cell>
          <cell r="AF107">
            <v>13.044561</v>
          </cell>
          <cell r="AG107">
            <v>14.038396000000001</v>
          </cell>
          <cell r="AH107">
            <v>14.311572999999999</v>
          </cell>
          <cell r="AI107">
            <v>14.311572999999999</v>
          </cell>
          <cell r="AJ107">
            <v>15.72236</v>
          </cell>
          <cell r="AK107">
            <v>14.487845</v>
          </cell>
          <cell r="AL107">
            <v>18.193742</v>
          </cell>
          <cell r="AM107">
            <v>17.989999999999998</v>
          </cell>
          <cell r="AN107">
            <v>17.989999999999998</v>
          </cell>
          <cell r="AO107">
            <v>16.78</v>
          </cell>
          <cell r="AP107">
            <v>75.540999999999997</v>
          </cell>
          <cell r="AQ107">
            <v>80.510999999999996</v>
          </cell>
          <cell r="AR107">
            <v>80.531000000000006</v>
          </cell>
          <cell r="AS107">
            <v>80.531000000000006</v>
          </cell>
          <cell r="AT107">
            <v>84.379000000000005</v>
          </cell>
          <cell r="AU107">
            <v>81.013000000000005</v>
          </cell>
          <cell r="AV107">
            <v>90.082999999999998</v>
          </cell>
          <cell r="AW107">
            <v>97.33</v>
          </cell>
          <cell r="AX107">
            <v>97.33</v>
          </cell>
          <cell r="AY107">
            <v>108.60899999999999</v>
          </cell>
          <cell r="AZ107">
            <v>103.938</v>
          </cell>
          <cell r="BA107">
            <v>110.51900000000001</v>
          </cell>
          <cell r="BB107">
            <v>122.175</v>
          </cell>
          <cell r="BC107">
            <v>122.175</v>
          </cell>
          <cell r="BD107">
            <v>200.49299999999999</v>
          </cell>
          <cell r="BE107">
            <v>227.06399999999999</v>
          </cell>
          <cell r="BF107">
            <v>217.791</v>
          </cell>
          <cell r="BG107">
            <v>240.42500000000001</v>
          </cell>
          <cell r="BH107">
            <v>240.42500000000001</v>
          </cell>
          <cell r="BI107">
            <v>292.471</v>
          </cell>
          <cell r="BJ107">
            <v>288.12099999999998</v>
          </cell>
          <cell r="BK107">
            <v>676.11099999999999</v>
          </cell>
          <cell r="BL107">
            <v>725.80899999999997</v>
          </cell>
          <cell r="BM107">
            <v>725.80899999999997</v>
          </cell>
          <cell r="BN107">
            <v>727.46199999999999</v>
          </cell>
          <cell r="BO107">
            <v>749.30799999999999</v>
          </cell>
          <cell r="BP107">
            <v>847.92399999999998</v>
          </cell>
          <cell r="BQ107">
            <v>907.90540851608148</v>
          </cell>
          <cell r="BR107">
            <v>907.90540851608148</v>
          </cell>
          <cell r="BS107">
            <v>1110.4620205788046</v>
          </cell>
          <cell r="BT107">
            <v>1273.8566134158498</v>
          </cell>
          <cell r="BU107">
            <v>1279.993368547712</v>
          </cell>
          <cell r="BV107">
            <v>1397.3701877452213</v>
          </cell>
          <cell r="BW107">
            <v>1397.3701877452213</v>
          </cell>
          <cell r="BX107">
            <v>1209.2637666653911</v>
          </cell>
          <cell r="BY107">
            <v>1417.1094721249779</v>
          </cell>
          <cell r="BZ107">
            <v>1459.0714258564565</v>
          </cell>
          <cell r="CA107">
            <v>1592.7504818521716</v>
          </cell>
          <cell r="CB107">
            <v>1592.7504818521716</v>
          </cell>
          <cell r="CC107">
            <v>1376.1928421825121</v>
          </cell>
          <cell r="CD107">
            <v>1542.3932030700234</v>
          </cell>
          <cell r="CE107">
            <v>1573.0802645849376</v>
          </cell>
          <cell r="CF107">
            <v>1575.5649667189366</v>
          </cell>
          <cell r="CG107">
            <v>1575.5649667189366</v>
          </cell>
        </row>
        <row r="108">
          <cell r="B108" t="str">
            <v>Rebates receivable</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26.05</v>
          </cell>
          <cell r="AQ108">
            <v>24.186</v>
          </cell>
          <cell r="AR108">
            <v>29.585999999999999</v>
          </cell>
          <cell r="AS108">
            <v>29.585999999999999</v>
          </cell>
          <cell r="AT108">
            <v>23.887</v>
          </cell>
          <cell r="AU108">
            <v>22.512</v>
          </cell>
          <cell r="AV108">
            <v>20.577000000000002</v>
          </cell>
          <cell r="AW108">
            <v>17.63</v>
          </cell>
          <cell r="AX108">
            <v>17.63</v>
          </cell>
          <cell r="AY108">
            <v>32.130000000000003</v>
          </cell>
          <cell r="AZ108">
            <v>34.930999999999997</v>
          </cell>
          <cell r="BA108">
            <v>38.088999999999999</v>
          </cell>
          <cell r="BB108">
            <v>34.249000000000002</v>
          </cell>
          <cell r="BC108">
            <v>34.249000000000002</v>
          </cell>
          <cell r="BD108">
            <v>33.927</v>
          </cell>
          <cell r="BE108">
            <v>37.456000000000003</v>
          </cell>
          <cell r="BF108">
            <v>32.439</v>
          </cell>
          <cell r="BG108">
            <v>33.834000000000003</v>
          </cell>
          <cell r="BH108">
            <v>33.834000000000003</v>
          </cell>
          <cell r="BI108">
            <v>46.97</v>
          </cell>
          <cell r="BJ108">
            <v>79.311999999999998</v>
          </cell>
          <cell r="BK108">
            <v>248.215</v>
          </cell>
          <cell r="BL108">
            <v>302.46100000000001</v>
          </cell>
          <cell r="BM108">
            <v>302.46100000000001</v>
          </cell>
          <cell r="BN108">
            <v>316.86599999999999</v>
          </cell>
          <cell r="BO108">
            <v>283.89999999999998</v>
          </cell>
          <cell r="BP108">
            <v>291.18200000000002</v>
          </cell>
          <cell r="BQ108">
            <v>311.6052376176919</v>
          </cell>
          <cell r="BR108">
            <v>311.6052376176919</v>
          </cell>
          <cell r="BS108">
            <v>344.28737315185811</v>
          </cell>
          <cell r="BT108">
            <v>395.13859443426071</v>
          </cell>
          <cell r="BU108">
            <v>397.29542290626989</v>
          </cell>
          <cell r="BV108">
            <v>433.70028981469579</v>
          </cell>
          <cell r="BW108">
            <v>433.70028981469579</v>
          </cell>
          <cell r="BX108">
            <v>374.64050989129385</v>
          </cell>
          <cell r="BY108">
            <v>439.32442119178819</v>
          </cell>
          <cell r="BZ108">
            <v>452.69772660731383</v>
          </cell>
          <cell r="CA108">
            <v>494.14361917694299</v>
          </cell>
          <cell r="CB108">
            <v>494.14361917694299</v>
          </cell>
          <cell r="CC108">
            <v>949.54654769412912</v>
          </cell>
          <cell r="CD108">
            <v>1064.7755498758752</v>
          </cell>
          <cell r="CE108">
            <v>1086.4077737168057</v>
          </cell>
          <cell r="CF108">
            <v>1087.2115470819174</v>
          </cell>
          <cell r="CG108">
            <v>1087.2115470819174</v>
          </cell>
        </row>
        <row r="109">
          <cell r="B109" t="str">
            <v>Prepaid expenses and other assets</v>
          </cell>
          <cell r="Y109">
            <v>0.80461400000000005</v>
          </cell>
          <cell r="Z109">
            <v>0.84108300000000003</v>
          </cell>
          <cell r="AA109">
            <v>1.154331</v>
          </cell>
          <cell r="AB109">
            <v>1.3462689999999999</v>
          </cell>
          <cell r="AC109">
            <v>2.1934149999999999</v>
          </cell>
          <cell r="AD109">
            <v>2.1934149999999999</v>
          </cell>
          <cell r="AE109">
            <v>2.3606210000000001</v>
          </cell>
          <cell r="AF109">
            <v>3.1153940000000002</v>
          </cell>
          <cell r="AG109">
            <v>3.9392899999999997</v>
          </cell>
          <cell r="AH109">
            <v>4.0020129999999998</v>
          </cell>
          <cell r="AI109">
            <v>4.0020129999999998</v>
          </cell>
          <cell r="AJ109">
            <v>4.076918</v>
          </cell>
          <cell r="AK109">
            <v>3.7188300000000001</v>
          </cell>
          <cell r="AL109">
            <v>3.3053509999999999</v>
          </cell>
          <cell r="AM109">
            <v>3.556</v>
          </cell>
          <cell r="AN109">
            <v>3.556</v>
          </cell>
          <cell r="AO109">
            <v>3.8449999999999998</v>
          </cell>
          <cell r="AP109">
            <v>4.2610000000000001</v>
          </cell>
          <cell r="AQ109">
            <v>4.6660000000000004</v>
          </cell>
          <cell r="AR109">
            <v>4.4550000000000001</v>
          </cell>
          <cell r="AS109">
            <v>4.4550000000000001</v>
          </cell>
          <cell r="AT109">
            <v>4.8040000000000003</v>
          </cell>
          <cell r="AU109">
            <v>5.58</v>
          </cell>
          <cell r="AV109">
            <v>4.718</v>
          </cell>
          <cell r="AW109">
            <v>4.4829999999999997</v>
          </cell>
          <cell r="AX109">
            <v>4.4829999999999997</v>
          </cell>
          <cell r="AY109">
            <v>4.641</v>
          </cell>
          <cell r="AZ109">
            <v>6.0529999999999999</v>
          </cell>
          <cell r="BA109">
            <v>5.8330000000000002</v>
          </cell>
          <cell r="BB109">
            <v>4.8879999999999999</v>
          </cell>
          <cell r="BC109">
            <v>4.8879999999999999</v>
          </cell>
          <cell r="BD109">
            <v>5.6710000000000003</v>
          </cell>
          <cell r="BE109">
            <v>7.8869999999999996</v>
          </cell>
          <cell r="BF109">
            <v>6.6760000000000002</v>
          </cell>
          <cell r="BG109">
            <v>6.4089999999999998</v>
          </cell>
          <cell r="BH109">
            <v>6.4089999999999998</v>
          </cell>
          <cell r="BI109">
            <v>7.7649999999999997</v>
          </cell>
          <cell r="BJ109">
            <v>8.5530000000000008</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row>
        <row r="110">
          <cell r="B110" t="str">
            <v>Inventory</v>
          </cell>
          <cell r="Y110">
            <v>0.193631</v>
          </cell>
          <cell r="Z110">
            <v>0.32592900000000002</v>
          </cell>
          <cell r="AA110">
            <v>0.44139099999999998</v>
          </cell>
          <cell r="AB110">
            <v>0.54460699999999995</v>
          </cell>
          <cell r="AC110">
            <v>0.43767400000000001</v>
          </cell>
          <cell r="AD110">
            <v>0.43767400000000001</v>
          </cell>
          <cell r="AE110">
            <v>0.42355300000000001</v>
          </cell>
          <cell r="AF110">
            <v>0.35323500000000002</v>
          </cell>
          <cell r="AG110">
            <v>0.24757799999999999</v>
          </cell>
          <cell r="AH110">
            <v>0.26023400000000002</v>
          </cell>
          <cell r="AI110">
            <v>0.26023400000000002</v>
          </cell>
          <cell r="AJ110">
            <v>0.28324199999999999</v>
          </cell>
          <cell r="AK110">
            <v>0.26628600000000002</v>
          </cell>
          <cell r="AL110">
            <v>0.28215200000000001</v>
          </cell>
          <cell r="AM110">
            <v>0.24199999999999999</v>
          </cell>
          <cell r="AN110">
            <v>0.24199999999999999</v>
          </cell>
          <cell r="AO110">
            <v>0.25700000000000001</v>
          </cell>
          <cell r="AP110">
            <v>6.87</v>
          </cell>
          <cell r="AQ110">
            <v>6.7770000000000001</v>
          </cell>
          <cell r="AR110">
            <v>6.6890000000000001</v>
          </cell>
          <cell r="AS110">
            <v>6.6890000000000001</v>
          </cell>
          <cell r="AT110">
            <v>6.032</v>
          </cell>
          <cell r="AU110">
            <v>6.1079999999999997</v>
          </cell>
          <cell r="AV110">
            <v>7.0229999999999997</v>
          </cell>
          <cell r="AW110">
            <v>7.1059999999999999</v>
          </cell>
          <cell r="AX110">
            <v>7.1059999999999999</v>
          </cell>
          <cell r="AY110">
            <v>8.2390000000000008</v>
          </cell>
          <cell r="AZ110">
            <v>8.2279999999999998</v>
          </cell>
          <cell r="BA110">
            <v>7.931</v>
          </cell>
          <cell r="BB110">
            <v>8.7360000000000007</v>
          </cell>
          <cell r="BC110">
            <v>8.7360000000000007</v>
          </cell>
          <cell r="BD110">
            <v>10.919</v>
          </cell>
          <cell r="BE110">
            <v>12.223000000000001</v>
          </cell>
          <cell r="BF110">
            <v>15.222</v>
          </cell>
          <cell r="BG110">
            <v>19.553999999999998</v>
          </cell>
          <cell r="BH110">
            <v>19.553999999999998</v>
          </cell>
          <cell r="BI110">
            <v>21.469000000000001</v>
          </cell>
          <cell r="BJ110">
            <v>23.039000000000001</v>
          </cell>
          <cell r="BK110">
            <v>23.392724379461566</v>
          </cell>
          <cell r="BL110">
            <v>24.238545065147797</v>
          </cell>
          <cell r="BM110">
            <v>24.238545065147797</v>
          </cell>
          <cell r="BN110">
            <v>39.883054384730372</v>
          </cell>
          <cell r="BO110">
            <v>42.328204357469453</v>
          </cell>
          <cell r="BP110">
            <v>44.696601651753348</v>
          </cell>
          <cell r="BQ110">
            <v>48.001247428748897</v>
          </cell>
          <cell r="BR110">
            <v>48.001247428748897</v>
          </cell>
          <cell r="BS110">
            <v>53.063391300182019</v>
          </cell>
          <cell r="BT110">
            <v>60.749614517579239</v>
          </cell>
          <cell r="BU110">
            <v>61.317736829124868</v>
          </cell>
          <cell r="BV110">
            <v>66.534327675839364</v>
          </cell>
          <cell r="BW110">
            <v>66.534327675839364</v>
          </cell>
          <cell r="BX110">
            <v>56.82200584620491</v>
          </cell>
          <cell r="BY110">
            <v>66.548228877791914</v>
          </cell>
          <cell r="BZ110">
            <v>68.945183113770668</v>
          </cell>
          <cell r="CA110">
            <v>74.775503558745484</v>
          </cell>
          <cell r="CB110">
            <v>74.775503558745484</v>
          </cell>
          <cell r="CC110">
            <v>72.288151839153556</v>
          </cell>
          <cell r="CD110">
            <v>81.126070842534247</v>
          </cell>
          <cell r="CE110">
            <v>83.254374412642676</v>
          </cell>
          <cell r="CF110">
            <v>83.080698665615628</v>
          </cell>
          <cell r="CG110">
            <v>83.080698665615628</v>
          </cell>
        </row>
        <row r="111">
          <cell r="B111" t="str">
            <v>Income tax recoverable</v>
          </cell>
          <cell r="Y111">
            <v>0</v>
          </cell>
          <cell r="Z111">
            <v>0</v>
          </cell>
          <cell r="AA111">
            <v>0</v>
          </cell>
          <cell r="AB111">
            <v>0</v>
          </cell>
          <cell r="AC111">
            <v>0</v>
          </cell>
          <cell r="AD111">
            <v>0</v>
          </cell>
          <cell r="AE111">
            <v>0</v>
          </cell>
          <cell r="AF111">
            <v>0</v>
          </cell>
          <cell r="AG111">
            <v>0</v>
          </cell>
          <cell r="AH111">
            <v>0</v>
          </cell>
          <cell r="AI111">
            <v>0</v>
          </cell>
          <cell r="AJ111">
            <v>0</v>
          </cell>
          <cell r="AK111">
            <v>0.73785299999999998</v>
          </cell>
          <cell r="AL111">
            <v>0</v>
          </cell>
          <cell r="AM111">
            <v>1.073</v>
          </cell>
          <cell r="AN111">
            <v>1.073</v>
          </cell>
          <cell r="AO111">
            <v>7.6999999999999999E-2</v>
          </cell>
          <cell r="AP111">
            <v>1.0640000000000001</v>
          </cell>
          <cell r="AQ111">
            <v>0.51900000000000002</v>
          </cell>
          <cell r="AR111">
            <v>1.4590000000000001</v>
          </cell>
          <cell r="AS111">
            <v>1.4590000000000001</v>
          </cell>
          <cell r="AT111">
            <v>2.9329999999999998</v>
          </cell>
          <cell r="AU111">
            <v>1.327</v>
          </cell>
          <cell r="AV111">
            <v>0</v>
          </cell>
          <cell r="AW111">
            <v>0.34499999999999997</v>
          </cell>
          <cell r="AX111">
            <v>0.34499999999999997</v>
          </cell>
          <cell r="AY111">
            <v>1.6060000000000001</v>
          </cell>
          <cell r="AZ111">
            <v>0</v>
          </cell>
          <cell r="BA111">
            <v>0</v>
          </cell>
          <cell r="BB111">
            <v>5.2850000000000001</v>
          </cell>
          <cell r="BC111">
            <v>5.2850000000000001</v>
          </cell>
          <cell r="BD111">
            <v>0.92300000000000004</v>
          </cell>
          <cell r="BE111">
            <v>2.6419999999999999</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row>
        <row r="112">
          <cell r="B112" t="str">
            <v>Deferred tax asset</v>
          </cell>
          <cell r="Y112">
            <v>0</v>
          </cell>
          <cell r="Z112">
            <v>0</v>
          </cell>
          <cell r="AA112">
            <v>0</v>
          </cell>
          <cell r="AB112">
            <v>0</v>
          </cell>
          <cell r="AC112">
            <v>0.32</v>
          </cell>
          <cell r="AD112">
            <v>0.32</v>
          </cell>
          <cell r="AE112">
            <v>0.80680499999999999</v>
          </cell>
          <cell r="AF112">
            <v>0.74814499999999995</v>
          </cell>
          <cell r="AG112">
            <v>2.9940999999999999E-2</v>
          </cell>
          <cell r="AH112">
            <v>2.3599030000000001</v>
          </cell>
          <cell r="AI112">
            <v>2.3599030000000001</v>
          </cell>
          <cell r="AJ112">
            <v>2.1455320000000002</v>
          </cell>
          <cell r="AK112">
            <v>3.0839470000000002</v>
          </cell>
          <cell r="AL112">
            <v>2.3724690000000002</v>
          </cell>
          <cell r="AM112">
            <v>3.246</v>
          </cell>
          <cell r="AN112">
            <v>3.246</v>
          </cell>
          <cell r="AO112">
            <v>2.657</v>
          </cell>
          <cell r="AP112">
            <v>4.0910000000000002</v>
          </cell>
          <cell r="AQ112">
            <v>4.1360000000000001</v>
          </cell>
          <cell r="AR112">
            <v>10.218999999999999</v>
          </cell>
          <cell r="AS112">
            <v>10.218999999999999</v>
          </cell>
          <cell r="AT112">
            <v>8.5459999999999994</v>
          </cell>
          <cell r="AU112">
            <v>8.2089999999999996</v>
          </cell>
          <cell r="AV112">
            <v>9.9190000000000005</v>
          </cell>
          <cell r="AW112">
            <v>9.875</v>
          </cell>
          <cell r="AX112">
            <v>9.875</v>
          </cell>
          <cell r="AY112">
            <v>8.0310000000000006</v>
          </cell>
          <cell r="AZ112">
            <v>6.3579999999999997</v>
          </cell>
          <cell r="BA112">
            <v>6.6509999999999998</v>
          </cell>
          <cell r="BB112">
            <v>6.6470000000000002</v>
          </cell>
          <cell r="BC112">
            <v>6.6470000000000002</v>
          </cell>
          <cell r="BD112">
            <v>6.3490000000000002</v>
          </cell>
          <cell r="BE112">
            <v>5.4749999999999996</v>
          </cell>
          <cell r="BF112">
            <v>5.5830000000000002</v>
          </cell>
          <cell r="BG112">
            <v>9.6419999999999995</v>
          </cell>
          <cell r="BH112">
            <v>9.6419999999999995</v>
          </cell>
          <cell r="BI112">
            <v>8.5259999999999998</v>
          </cell>
          <cell r="BJ112">
            <v>7.694</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row>
        <row r="113">
          <cell r="B113" t="str">
            <v>Other</v>
          </cell>
          <cell r="Y113">
            <v>0</v>
          </cell>
          <cell r="Z113">
            <v>0</v>
          </cell>
          <cell r="AA113">
            <v>0</v>
          </cell>
          <cell r="AB113">
            <v>0</v>
          </cell>
          <cell r="AC113">
            <v>0</v>
          </cell>
          <cell r="AD113">
            <v>0</v>
          </cell>
          <cell r="AE113">
            <v>0</v>
          </cell>
          <cell r="AF113">
            <v>0</v>
          </cell>
          <cell r="AG113">
            <v>0</v>
          </cell>
          <cell r="AH113">
            <v>0</v>
          </cell>
          <cell r="AI113">
            <v>0</v>
          </cell>
          <cell r="AJ113">
            <v>0</v>
          </cell>
          <cell r="AK113">
            <v>2.7E-2</v>
          </cell>
          <cell r="AL113">
            <v>2.3893339999999998</v>
          </cell>
          <cell r="AM113">
            <v>0</v>
          </cell>
          <cell r="AO113">
            <v>0</v>
          </cell>
          <cell r="AP113">
            <v>0</v>
          </cell>
          <cell r="AQ113">
            <v>0</v>
          </cell>
          <cell r="AR113">
            <v>0</v>
          </cell>
          <cell r="AT113">
            <v>0</v>
          </cell>
          <cell r="AU113">
            <v>0</v>
          </cell>
          <cell r="AV113">
            <v>0</v>
          </cell>
          <cell r="AW113">
            <v>0</v>
          </cell>
          <cell r="AY113">
            <v>0</v>
          </cell>
          <cell r="AZ113">
            <v>0</v>
          </cell>
          <cell r="BA113">
            <v>0</v>
          </cell>
          <cell r="BB113">
            <v>0</v>
          </cell>
          <cell r="BD113">
            <v>0</v>
          </cell>
          <cell r="BE113">
            <v>0</v>
          </cell>
          <cell r="BF113">
            <v>0</v>
          </cell>
          <cell r="BG113">
            <v>0</v>
          </cell>
          <cell r="BH113">
            <v>0</v>
          </cell>
          <cell r="BI113">
            <v>0</v>
          </cell>
          <cell r="BJ113">
            <v>0</v>
          </cell>
          <cell r="BK113">
            <v>116.98327562053844</v>
          </cell>
          <cell r="BL113">
            <v>77.072454934852203</v>
          </cell>
          <cell r="BM113">
            <v>77.072454934852203</v>
          </cell>
          <cell r="BN113">
            <v>71.750945615269629</v>
          </cell>
          <cell r="BO113">
            <v>71.750945615269629</v>
          </cell>
          <cell r="BP113">
            <v>71.750945615269629</v>
          </cell>
          <cell r="BQ113">
            <v>71.750945615269629</v>
          </cell>
          <cell r="BR113">
            <v>71.750945615269629</v>
          </cell>
          <cell r="BS113">
            <v>71.750945615269629</v>
          </cell>
          <cell r="BT113">
            <v>71.750945615269629</v>
          </cell>
          <cell r="BU113">
            <v>71.750945615269629</v>
          </cell>
          <cell r="BV113">
            <v>71.750945615269629</v>
          </cell>
          <cell r="BW113">
            <v>71.750945615269629</v>
          </cell>
          <cell r="BX113">
            <v>71.750945615269629</v>
          </cell>
          <cell r="BY113">
            <v>71.750945615269629</v>
          </cell>
          <cell r="BZ113">
            <v>71.750945615269629</v>
          </cell>
          <cell r="CA113">
            <v>71.750945615269629</v>
          </cell>
          <cell r="CB113">
            <v>71.750945615269629</v>
          </cell>
          <cell r="CC113">
            <v>151.48414323077321</v>
          </cell>
          <cell r="CD113">
            <v>151.48414323077321</v>
          </cell>
          <cell r="CE113">
            <v>151.48414323077321</v>
          </cell>
          <cell r="CF113">
            <v>151.48414323077321</v>
          </cell>
          <cell r="CG113">
            <v>151.48414323077321</v>
          </cell>
        </row>
        <row r="114">
          <cell r="B114" t="str">
            <v>Other</v>
          </cell>
          <cell r="Y114">
            <v>0</v>
          </cell>
          <cell r="Z114">
            <v>0</v>
          </cell>
          <cell r="AA114">
            <v>0</v>
          </cell>
          <cell r="AB114">
            <v>0</v>
          </cell>
          <cell r="AC114">
            <v>0.32</v>
          </cell>
          <cell r="AD114">
            <v>0.32</v>
          </cell>
          <cell r="AE114">
            <v>0.80680499999999999</v>
          </cell>
          <cell r="AF114">
            <v>0.74814499999999995</v>
          </cell>
          <cell r="AG114">
            <v>2.9940999999999999E-2</v>
          </cell>
          <cell r="AH114">
            <v>2.3599030000000001</v>
          </cell>
          <cell r="AI114">
            <v>2.3599030000000001</v>
          </cell>
          <cell r="AJ114">
            <v>2.1455320000000002</v>
          </cell>
          <cell r="AK114">
            <v>3.8488000000000002</v>
          </cell>
          <cell r="AL114">
            <v>4.7618030000000005</v>
          </cell>
          <cell r="AM114">
            <v>4.319</v>
          </cell>
          <cell r="AN114">
            <v>4.319</v>
          </cell>
          <cell r="AO114">
            <v>2.734</v>
          </cell>
          <cell r="AP114">
            <v>5.1550000000000002</v>
          </cell>
          <cell r="AQ114">
            <v>4.6550000000000002</v>
          </cell>
          <cell r="AR114">
            <v>11.677999999999999</v>
          </cell>
          <cell r="AS114">
            <v>11.677999999999999</v>
          </cell>
          <cell r="AT114">
            <v>11.478999999999999</v>
          </cell>
          <cell r="AU114">
            <v>9.5359999999999996</v>
          </cell>
          <cell r="AV114">
            <v>9.9190000000000005</v>
          </cell>
          <cell r="AW114">
            <v>10.220000000000001</v>
          </cell>
          <cell r="AX114">
            <v>10.220000000000001</v>
          </cell>
          <cell r="AY114">
            <v>9.6370000000000005</v>
          </cell>
          <cell r="AZ114">
            <v>6.3579999999999997</v>
          </cell>
          <cell r="BA114">
            <v>6.6509999999999998</v>
          </cell>
          <cell r="BB114">
            <v>11.932</v>
          </cell>
          <cell r="BC114">
            <v>11.932</v>
          </cell>
          <cell r="BD114">
            <v>7.2720000000000002</v>
          </cell>
          <cell r="BE114">
            <v>8.1169999999999991</v>
          </cell>
          <cell r="BF114">
            <v>5.5830000000000002</v>
          </cell>
          <cell r="BG114">
            <v>9.6419999999999995</v>
          </cell>
          <cell r="BH114">
            <v>9.6419999999999995</v>
          </cell>
          <cell r="BI114">
            <v>8.5259999999999998</v>
          </cell>
          <cell r="BJ114">
            <v>7.694</v>
          </cell>
          <cell r="BK114">
            <v>140.376</v>
          </cell>
          <cell r="BL114">
            <v>101.31100000000001</v>
          </cell>
          <cell r="BM114">
            <v>77.072454934852203</v>
          </cell>
          <cell r="BN114">
            <v>111.634</v>
          </cell>
          <cell r="BO114">
            <v>106.721</v>
          </cell>
          <cell r="BP114">
            <v>113.78400000000001</v>
          </cell>
          <cell r="BQ114">
            <v>119.75219304401853</v>
          </cell>
          <cell r="BR114">
            <v>71.750945615269629</v>
          </cell>
          <cell r="BS114">
            <v>124.81433691545165</v>
          </cell>
          <cell r="BT114">
            <v>132.50056013284888</v>
          </cell>
          <cell r="BU114">
            <v>133.06868244439448</v>
          </cell>
          <cell r="BV114">
            <v>138.28527329110898</v>
          </cell>
          <cell r="BW114">
            <v>71.750945615269629</v>
          </cell>
          <cell r="BX114">
            <v>128.57295146147453</v>
          </cell>
          <cell r="BY114">
            <v>138.29917449306154</v>
          </cell>
          <cell r="BZ114">
            <v>140.69612872904031</v>
          </cell>
          <cell r="CA114">
            <v>146.52644917401511</v>
          </cell>
          <cell r="CB114">
            <v>71.750945615269629</v>
          </cell>
          <cell r="CC114">
            <v>223.77229506992677</v>
          </cell>
          <cell r="CD114">
            <v>232.61021407330747</v>
          </cell>
          <cell r="CE114">
            <v>234.73851764341589</v>
          </cell>
          <cell r="CF114">
            <v>234.56484189638883</v>
          </cell>
          <cell r="CG114">
            <v>151.48414323077321</v>
          </cell>
        </row>
        <row r="116">
          <cell r="B116" t="str">
            <v>PPE</v>
          </cell>
          <cell r="Y116">
            <v>4.1904630000000003</v>
          </cell>
          <cell r="Z116">
            <v>4.3725310000000004</v>
          </cell>
          <cell r="AA116">
            <v>3.2484549999999999</v>
          </cell>
          <cell r="AB116">
            <v>3.0461499999999999</v>
          </cell>
          <cell r="AC116">
            <v>3.7779539999999998</v>
          </cell>
          <cell r="AD116">
            <v>3.7779539999999998</v>
          </cell>
          <cell r="AE116">
            <v>4.6637130000000004</v>
          </cell>
          <cell r="AF116">
            <v>5.9474640000000001</v>
          </cell>
          <cell r="AG116">
            <v>6.5375899999999998</v>
          </cell>
          <cell r="AH116">
            <v>10.113858</v>
          </cell>
          <cell r="AI116">
            <v>10.113858</v>
          </cell>
          <cell r="AJ116">
            <v>13.922038000000001</v>
          </cell>
          <cell r="AK116">
            <v>14.25188</v>
          </cell>
          <cell r="AL116">
            <v>13.739331</v>
          </cell>
          <cell r="AM116">
            <v>13.629</v>
          </cell>
          <cell r="AN116">
            <v>13.629</v>
          </cell>
          <cell r="AO116">
            <v>15.068</v>
          </cell>
          <cell r="AP116">
            <v>19.852</v>
          </cell>
          <cell r="AQ116">
            <v>20.216000000000001</v>
          </cell>
          <cell r="AR116">
            <v>20.756</v>
          </cell>
          <cell r="AS116">
            <v>20.756</v>
          </cell>
          <cell r="AT116">
            <v>20.117000000000001</v>
          </cell>
          <cell r="AU116">
            <v>20.777999999999999</v>
          </cell>
          <cell r="AV116">
            <v>19.542999999999999</v>
          </cell>
          <cell r="AW116">
            <v>19.88</v>
          </cell>
          <cell r="AX116">
            <v>19.88</v>
          </cell>
          <cell r="AY116">
            <v>18.760999999999999</v>
          </cell>
          <cell r="AZ116">
            <v>19.170999999999999</v>
          </cell>
          <cell r="BA116">
            <v>17.600999999999999</v>
          </cell>
          <cell r="BB116">
            <v>20.896000000000001</v>
          </cell>
          <cell r="BC116">
            <v>20.896000000000001</v>
          </cell>
          <cell r="BD116">
            <v>19.797999999999998</v>
          </cell>
          <cell r="BE116">
            <v>18.402999999999999</v>
          </cell>
          <cell r="BF116">
            <v>17.146000000000001</v>
          </cell>
          <cell r="BG116">
            <v>21.658000000000001</v>
          </cell>
          <cell r="BH116">
            <v>21.658000000000001</v>
          </cell>
          <cell r="BI116">
            <v>27.530999999999999</v>
          </cell>
          <cell r="BJ116">
            <v>29.016999999999999</v>
          </cell>
          <cell r="BK116">
            <v>80.09</v>
          </cell>
          <cell r="BL116">
            <v>105.20099999999999</v>
          </cell>
          <cell r="BM116">
            <v>105.20099999999999</v>
          </cell>
          <cell r="BN116">
            <v>123.693</v>
          </cell>
          <cell r="BO116">
            <v>159.089</v>
          </cell>
          <cell r="BP116">
            <v>172.86799999999999</v>
          </cell>
          <cell r="BQ116">
            <v>164.309</v>
          </cell>
          <cell r="BR116">
            <v>164.309</v>
          </cell>
          <cell r="BS116">
            <v>155.75</v>
          </cell>
          <cell r="BT116">
            <v>147.191</v>
          </cell>
          <cell r="BU116">
            <v>138.63200000000001</v>
          </cell>
          <cell r="BV116">
            <v>130.07300000000001</v>
          </cell>
          <cell r="BW116">
            <v>130.07300000000001</v>
          </cell>
          <cell r="BX116">
            <v>121.51400000000001</v>
          </cell>
          <cell r="BY116">
            <v>112.95500000000001</v>
          </cell>
          <cell r="BZ116">
            <v>104.39600000000002</v>
          </cell>
          <cell r="CA116">
            <v>95.837000000000018</v>
          </cell>
          <cell r="CB116">
            <v>95.837000000000018</v>
          </cell>
          <cell r="CC116">
            <v>74.829999999999984</v>
          </cell>
          <cell r="CD116">
            <v>55.84699999999998</v>
          </cell>
          <cell r="CE116">
            <v>36.863999999999976</v>
          </cell>
          <cell r="CF116">
            <v>17.880999999999975</v>
          </cell>
          <cell r="CG116">
            <v>17.880999999999975</v>
          </cell>
        </row>
        <row r="117">
          <cell r="B117" t="str">
            <v>Goodwill</v>
          </cell>
          <cell r="Y117">
            <v>26.266808000000001</v>
          </cell>
          <cell r="Z117">
            <v>25.538589000000002</v>
          </cell>
          <cell r="AA117">
            <v>14.123688</v>
          </cell>
          <cell r="AB117">
            <v>14.1372</v>
          </cell>
          <cell r="AC117">
            <v>26.825147000000001</v>
          </cell>
          <cell r="AD117">
            <v>26.825147000000001</v>
          </cell>
          <cell r="AE117">
            <v>26.427710999999999</v>
          </cell>
          <cell r="AF117">
            <v>13.996147000000001</v>
          </cell>
          <cell r="AG117">
            <v>27.637146999999999</v>
          </cell>
          <cell r="AH117">
            <v>27.241147000000002</v>
          </cell>
          <cell r="AI117">
            <v>27.241147000000002</v>
          </cell>
          <cell r="AJ117">
            <v>26.845147000000001</v>
          </cell>
          <cell r="AK117">
            <v>26.449147</v>
          </cell>
          <cell r="AL117">
            <v>26.053146999999999</v>
          </cell>
          <cell r="AM117">
            <v>15.996</v>
          </cell>
          <cell r="AN117">
            <v>15.996</v>
          </cell>
          <cell r="AO117">
            <v>15.996</v>
          </cell>
          <cell r="AP117">
            <v>158.84800000000001</v>
          </cell>
          <cell r="AQ117">
            <v>145.69499999999999</v>
          </cell>
          <cell r="AR117">
            <v>143.751</v>
          </cell>
          <cell r="AS117">
            <v>143.751</v>
          </cell>
          <cell r="AT117">
            <v>143.59399999999999</v>
          </cell>
          <cell r="AU117">
            <v>143.852</v>
          </cell>
          <cell r="AV117">
            <v>141.785</v>
          </cell>
          <cell r="AW117">
            <v>141.78700000000001</v>
          </cell>
          <cell r="AX117">
            <v>141.78700000000001</v>
          </cell>
          <cell r="AY117">
            <v>141.78700000000001</v>
          </cell>
          <cell r="AZ117">
            <v>141.78700000000001</v>
          </cell>
          <cell r="BA117">
            <v>141.78700000000001</v>
          </cell>
          <cell r="BB117">
            <v>220.59700000000001</v>
          </cell>
          <cell r="BC117">
            <v>220.59700000000001</v>
          </cell>
          <cell r="BD117">
            <v>220.81299999999999</v>
          </cell>
          <cell r="BE117">
            <v>229.76400000000001</v>
          </cell>
          <cell r="BF117">
            <v>229.19300000000001</v>
          </cell>
          <cell r="BG117">
            <v>291.04500000000002</v>
          </cell>
          <cell r="BH117">
            <v>291.04500000000002</v>
          </cell>
          <cell r="BI117">
            <v>464.90199999999999</v>
          </cell>
          <cell r="BJ117">
            <v>462.57900000000001</v>
          </cell>
          <cell r="BK117">
            <v>4471.5820000000003</v>
          </cell>
          <cell r="BL117">
            <v>4478.0379999999996</v>
          </cell>
          <cell r="BM117">
            <v>4478.0379999999996</v>
          </cell>
          <cell r="BN117">
            <v>4478.3180000000002</v>
          </cell>
          <cell r="BO117">
            <v>4495.45</v>
          </cell>
          <cell r="BP117">
            <v>4497.6210000000001</v>
          </cell>
          <cell r="BQ117">
            <v>4494.9574527329769</v>
          </cell>
          <cell r="BR117">
            <v>4494.9574527329769</v>
          </cell>
          <cell r="BS117">
            <v>4494.9574527329769</v>
          </cell>
          <cell r="BT117">
            <v>4494.9574527329769</v>
          </cell>
          <cell r="BU117">
            <v>4495.8574527329765</v>
          </cell>
          <cell r="BV117">
            <v>4495.8574527329765</v>
          </cell>
          <cell r="BW117">
            <v>4495.8574527329765</v>
          </cell>
          <cell r="BX117">
            <v>4495.8574527329765</v>
          </cell>
          <cell r="BY117">
            <v>4495.8574527329765</v>
          </cell>
          <cell r="BZ117">
            <v>4495.8574527329765</v>
          </cell>
          <cell r="CA117">
            <v>4495.8574527329765</v>
          </cell>
          <cell r="CB117">
            <v>4495.8574527329765</v>
          </cell>
          <cell r="CC117">
            <v>4680.2860000000001</v>
          </cell>
          <cell r="CD117">
            <v>4680.2860000000001</v>
          </cell>
          <cell r="CE117">
            <v>4680.2860000000001</v>
          </cell>
          <cell r="CF117">
            <v>4680.2860000000001</v>
          </cell>
          <cell r="CG117">
            <v>4680.2860000000001</v>
          </cell>
        </row>
        <row r="118">
          <cell r="B118" t="str">
            <v>Other Intangibles</v>
          </cell>
          <cell r="Y118">
            <v>0</v>
          </cell>
          <cell r="Z118">
            <v>0</v>
          </cell>
          <cell r="AA118">
            <v>13.42</v>
          </cell>
          <cell r="AB118">
            <v>13.225</v>
          </cell>
          <cell r="AC118">
            <v>0</v>
          </cell>
          <cell r="AD118">
            <v>0</v>
          </cell>
          <cell r="AE118">
            <v>0</v>
          </cell>
          <cell r="AF118">
            <v>12.037000000000001</v>
          </cell>
          <cell r="AG118">
            <v>0</v>
          </cell>
          <cell r="AH118">
            <v>0</v>
          </cell>
          <cell r="AI118">
            <v>0</v>
          </cell>
          <cell r="AJ118">
            <v>0</v>
          </cell>
          <cell r="AK118">
            <v>0</v>
          </cell>
          <cell r="AL118">
            <v>0</v>
          </cell>
          <cell r="AM118">
            <v>9.6609999999999996</v>
          </cell>
          <cell r="AN118">
            <v>9.6609999999999996</v>
          </cell>
          <cell r="AO118">
            <v>9.2650000000000006</v>
          </cell>
          <cell r="AP118">
            <v>51.253</v>
          </cell>
          <cell r="AQ118">
            <v>47.804000000000002</v>
          </cell>
          <cell r="AR118">
            <v>46.405999999999999</v>
          </cell>
          <cell r="AS118">
            <v>46.405999999999999</v>
          </cell>
          <cell r="AT118">
            <v>43.581000000000003</v>
          </cell>
          <cell r="AU118">
            <v>42.066000000000003</v>
          </cell>
          <cell r="AV118">
            <v>39.82</v>
          </cell>
          <cell r="AW118">
            <v>37.573999999999998</v>
          </cell>
          <cell r="AX118">
            <v>37.573999999999998</v>
          </cell>
          <cell r="AY118">
            <v>35.579000000000001</v>
          </cell>
          <cell r="AZ118">
            <v>33.600999999999999</v>
          </cell>
          <cell r="BA118">
            <v>31.658999999999999</v>
          </cell>
          <cell r="BB118">
            <v>56.281999999999996</v>
          </cell>
          <cell r="BC118">
            <v>56.281999999999996</v>
          </cell>
          <cell r="BD118">
            <v>52.722999999999999</v>
          </cell>
          <cell r="BE118">
            <v>53.555999999999997</v>
          </cell>
          <cell r="BF118">
            <v>49.656999999999996</v>
          </cell>
          <cell r="BG118">
            <v>69.777000000000001</v>
          </cell>
          <cell r="BH118">
            <v>69.777000000000001</v>
          </cell>
          <cell r="BI118">
            <v>136.589</v>
          </cell>
          <cell r="BJ118">
            <v>127.577</v>
          </cell>
          <cell r="BK118">
            <v>1258.3969999999999</v>
          </cell>
          <cell r="BL118">
            <v>1198.991</v>
          </cell>
          <cell r="BM118">
            <v>1198.991</v>
          </cell>
          <cell r="BN118">
            <v>1148.9349999999999</v>
          </cell>
          <cell r="BO118">
            <v>1101.7429999999999</v>
          </cell>
          <cell r="BP118">
            <v>1054.5229999999999</v>
          </cell>
          <cell r="BQ118">
            <v>1007.3029999999999</v>
          </cell>
          <cell r="BR118">
            <v>1007.3029999999999</v>
          </cell>
          <cell r="BS118">
            <v>960.58299999999986</v>
          </cell>
          <cell r="BT118">
            <v>913.86299999999983</v>
          </cell>
          <cell r="BU118">
            <v>866.24299999999982</v>
          </cell>
          <cell r="BV118">
            <v>819.5229999999998</v>
          </cell>
          <cell r="BW118">
            <v>819.5229999999998</v>
          </cell>
          <cell r="BX118">
            <v>773.40299999999979</v>
          </cell>
          <cell r="BY118">
            <v>727.28299999999979</v>
          </cell>
          <cell r="BZ118">
            <v>681.16299999999978</v>
          </cell>
          <cell r="CA118">
            <v>635.04299999999978</v>
          </cell>
          <cell r="CB118">
            <v>635.04299999999978</v>
          </cell>
          <cell r="CC118">
            <v>705.44399999999996</v>
          </cell>
          <cell r="CD118">
            <v>652.72799999999995</v>
          </cell>
          <cell r="CE118">
            <v>600.01199999999994</v>
          </cell>
          <cell r="CF118">
            <v>547.29599999999994</v>
          </cell>
          <cell r="CG118">
            <v>547.29599999999994</v>
          </cell>
        </row>
        <row r="119">
          <cell r="B119" t="str">
            <v>Deferred income taxes</v>
          </cell>
          <cell r="Y119">
            <v>0</v>
          </cell>
          <cell r="Z119">
            <v>0</v>
          </cell>
          <cell r="AA119">
            <v>0</v>
          </cell>
          <cell r="AB119">
            <v>0</v>
          </cell>
          <cell r="AC119">
            <v>0.36</v>
          </cell>
          <cell r="AD119">
            <v>0.36</v>
          </cell>
          <cell r="AE119">
            <v>2.41</v>
          </cell>
          <cell r="AF119">
            <v>2.41</v>
          </cell>
          <cell r="AG119">
            <v>2.41</v>
          </cell>
          <cell r="AH119">
            <v>1.9920389999999999</v>
          </cell>
          <cell r="AI119">
            <v>1.9920389999999999</v>
          </cell>
          <cell r="AJ119">
            <v>1.825034</v>
          </cell>
          <cell r="AK119">
            <v>1.825034</v>
          </cell>
          <cell r="AL119">
            <v>2.5047649999999999</v>
          </cell>
          <cell r="AM119">
            <v>3.157</v>
          </cell>
          <cell r="AN119">
            <v>3.157</v>
          </cell>
          <cell r="AO119">
            <v>3.444</v>
          </cell>
          <cell r="AP119">
            <v>3.9390000000000001</v>
          </cell>
          <cell r="AQ119">
            <v>6.1219999999999999</v>
          </cell>
          <cell r="AR119">
            <v>1.323</v>
          </cell>
          <cell r="AS119">
            <v>1.323</v>
          </cell>
          <cell r="AT119">
            <v>1.4610000000000001</v>
          </cell>
          <cell r="AU119">
            <v>1.8520000000000001</v>
          </cell>
          <cell r="AV119">
            <v>1.8460000000000001</v>
          </cell>
          <cell r="AW119">
            <v>1.641</v>
          </cell>
          <cell r="AX119">
            <v>1.641</v>
          </cell>
          <cell r="AY119">
            <v>1.385</v>
          </cell>
          <cell r="AZ119">
            <v>1.294</v>
          </cell>
          <cell r="BA119">
            <v>0.84599999999999997</v>
          </cell>
          <cell r="BB119">
            <v>0.66500000000000004</v>
          </cell>
          <cell r="BC119">
            <v>0.66500000000000004</v>
          </cell>
          <cell r="BD119">
            <v>0.56200000000000006</v>
          </cell>
          <cell r="BE119">
            <v>0.501</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row>
        <row r="120">
          <cell r="B120" t="str">
            <v>Other assets</v>
          </cell>
          <cell r="Y120">
            <v>1.0253859999999999</v>
          </cell>
          <cell r="Z120">
            <v>0.92872200000000005</v>
          </cell>
          <cell r="AA120">
            <v>2.88171</v>
          </cell>
          <cell r="AB120">
            <v>2.8346979999999999</v>
          </cell>
          <cell r="AC120">
            <v>2.7876859999999999</v>
          </cell>
          <cell r="AD120">
            <v>2.7876859999999999</v>
          </cell>
          <cell r="AE120">
            <v>2.7406740000000003</v>
          </cell>
          <cell r="AF120">
            <v>2.6936629999999999</v>
          </cell>
          <cell r="AG120">
            <v>0</v>
          </cell>
          <cell r="AH120">
            <v>0</v>
          </cell>
          <cell r="AI120">
            <v>0</v>
          </cell>
          <cell r="AJ120">
            <v>0</v>
          </cell>
          <cell r="AK120">
            <v>0</v>
          </cell>
          <cell r="AL120">
            <v>0</v>
          </cell>
          <cell r="AM120">
            <v>0</v>
          </cell>
          <cell r="AN120">
            <v>0</v>
          </cell>
          <cell r="AO120">
            <v>0</v>
          </cell>
          <cell r="AP120">
            <v>3.012</v>
          </cell>
          <cell r="AQ120">
            <v>2.992</v>
          </cell>
          <cell r="AR120">
            <v>2.9550000000000001</v>
          </cell>
          <cell r="AS120">
            <v>2.9550000000000001</v>
          </cell>
          <cell r="AT120">
            <v>2.766</v>
          </cell>
          <cell r="AU120">
            <v>2.569</v>
          </cell>
          <cell r="AV120">
            <v>2.4470000000000001</v>
          </cell>
          <cell r="AW120">
            <v>1.2509999999999999</v>
          </cell>
          <cell r="AX120">
            <v>1.2509999999999999</v>
          </cell>
          <cell r="AY120">
            <v>1.169</v>
          </cell>
          <cell r="AZ120">
            <v>0.252</v>
          </cell>
          <cell r="BA120">
            <v>0.252</v>
          </cell>
          <cell r="BB120">
            <v>0.81499999999999995</v>
          </cell>
          <cell r="BC120">
            <v>0.81499999999999995</v>
          </cell>
          <cell r="BD120">
            <v>2.5110000000000001</v>
          </cell>
          <cell r="BE120">
            <v>2.4449999999999998</v>
          </cell>
          <cell r="BF120">
            <v>3.3090000000000002</v>
          </cell>
          <cell r="BG120">
            <v>4.5640000000000001</v>
          </cell>
          <cell r="BH120">
            <v>4.5640000000000001</v>
          </cell>
          <cell r="BI120">
            <v>5.7889999999999997</v>
          </cell>
          <cell r="BJ120">
            <v>13.83</v>
          </cell>
          <cell r="BK120">
            <v>53.015999999999998</v>
          </cell>
          <cell r="BL120">
            <v>50.118000000000002</v>
          </cell>
          <cell r="BM120">
            <v>50.118000000000002</v>
          </cell>
          <cell r="BN120">
            <v>46.338999999999999</v>
          </cell>
          <cell r="BO120">
            <v>45.826000000000001</v>
          </cell>
          <cell r="BP120">
            <v>46.537999999999997</v>
          </cell>
          <cell r="BQ120">
            <v>46.537999999999997</v>
          </cell>
          <cell r="BR120">
            <v>46.537999999999997</v>
          </cell>
          <cell r="BS120">
            <v>46.537999999999997</v>
          </cell>
          <cell r="BT120">
            <v>46.537999999999997</v>
          </cell>
          <cell r="BU120">
            <v>46.537999999999997</v>
          </cell>
          <cell r="BV120">
            <v>46.537999999999997</v>
          </cell>
          <cell r="BW120">
            <v>46.537999999999997</v>
          </cell>
          <cell r="BX120">
            <v>46.537999999999997</v>
          </cell>
          <cell r="BY120">
            <v>46.537999999999997</v>
          </cell>
          <cell r="BZ120">
            <v>46.537999999999997</v>
          </cell>
          <cell r="CA120">
            <v>46.537999999999997</v>
          </cell>
          <cell r="CB120">
            <v>46.537999999999997</v>
          </cell>
          <cell r="CC120">
            <v>74.25</v>
          </cell>
          <cell r="CD120">
            <v>74.25</v>
          </cell>
          <cell r="CE120">
            <v>74.25</v>
          </cell>
          <cell r="CF120">
            <v>74.25</v>
          </cell>
          <cell r="CG120">
            <v>74.25</v>
          </cell>
        </row>
        <row r="121">
          <cell r="B121" t="str">
            <v>Total Assets</v>
          </cell>
          <cell r="Y121">
            <v>70.758948000000004</v>
          </cell>
          <cell r="Z121">
            <v>51.997395000000004</v>
          </cell>
          <cell r="AA121">
            <v>54.708796000000007</v>
          </cell>
          <cell r="AB121">
            <v>60.754500999999998</v>
          </cell>
          <cell r="AC121">
            <v>81.303608999999994</v>
          </cell>
          <cell r="AD121">
            <v>81.303608999999994</v>
          </cell>
          <cell r="AE121">
            <v>90.237245999999985</v>
          </cell>
          <cell r="AF121">
            <v>127.72063899999999</v>
          </cell>
          <cell r="AG121">
            <v>116.282324</v>
          </cell>
          <cell r="AH121">
            <v>131.22414699999999</v>
          </cell>
          <cell r="AI121">
            <v>131.22414699999999</v>
          </cell>
          <cell r="AJ121">
            <v>141.78716600000001</v>
          </cell>
          <cell r="AK121">
            <v>139.543184</v>
          </cell>
          <cell r="AL121">
            <v>149.95399999999998</v>
          </cell>
          <cell r="AM121">
            <v>159.47900000000004</v>
          </cell>
          <cell r="AN121">
            <v>159.47900000000004</v>
          </cell>
          <cell r="AO121">
            <v>163.95100000000002</v>
          </cell>
          <cell r="AP121">
            <v>422.29100000000005</v>
          </cell>
          <cell r="AQ121">
            <v>413.00400000000002</v>
          </cell>
          <cell r="AR121">
            <v>428.34300000000007</v>
          </cell>
          <cell r="AS121">
            <v>428.34300000000007</v>
          </cell>
          <cell r="AT121">
            <v>435.69799999999992</v>
          </cell>
          <cell r="AU121">
            <v>446.63499999999999</v>
          </cell>
          <cell r="AV121">
            <v>669.71599999999989</v>
          </cell>
          <cell r="AW121">
            <v>662.08</v>
          </cell>
          <cell r="AX121">
            <v>662.08</v>
          </cell>
          <cell r="AY121">
            <v>689.48299999999995</v>
          </cell>
          <cell r="AZ121">
            <v>722.55799999999999</v>
          </cell>
          <cell r="BA121">
            <v>754.56</v>
          </cell>
          <cell r="BB121">
            <v>816.30899999999997</v>
          </cell>
          <cell r="BC121">
            <v>816.30899999999997</v>
          </cell>
          <cell r="BD121">
            <v>894.42000000000019</v>
          </cell>
          <cell r="BE121">
            <v>932.08499999999992</v>
          </cell>
          <cell r="BF121">
            <v>997.09799999999984</v>
          </cell>
          <cell r="BG121">
            <v>1050.3070000000002</v>
          </cell>
          <cell r="BH121">
            <v>1050.3070000000002</v>
          </cell>
          <cell r="BI121">
            <v>1284.1310000000001</v>
          </cell>
          <cell r="BJ121">
            <v>1851.2309999999998</v>
          </cell>
          <cell r="BK121">
            <v>7373.2080000000005</v>
          </cell>
          <cell r="BL121">
            <v>7385.1269999999995</v>
          </cell>
          <cell r="BM121">
            <v>7385.1270000000004</v>
          </cell>
          <cell r="BN121">
            <v>7296.7939999999999</v>
          </cell>
          <cell r="BO121">
            <v>7347.8119999999981</v>
          </cell>
          <cell r="BP121">
            <v>7492.8859999999995</v>
          </cell>
          <cell r="BQ121">
            <v>7583.3612303078589</v>
          </cell>
          <cell r="BR121">
            <v>7583.361230307858</v>
          </cell>
          <cell r="BS121">
            <v>7849.8548945615448</v>
          </cell>
          <cell r="BT121">
            <v>8086.4604957624306</v>
          </cell>
          <cell r="BU121">
            <v>8231.5641722319051</v>
          </cell>
          <cell r="BV121">
            <v>8379.6031131079053</v>
          </cell>
          <cell r="BW121">
            <v>8379.6031131079053</v>
          </cell>
          <cell r="BX121">
            <v>8361.8484528721019</v>
          </cell>
          <cell r="BY121">
            <v>8668.3246150094674</v>
          </cell>
          <cell r="BZ121">
            <v>8880.0970092563657</v>
          </cell>
          <cell r="CA121">
            <v>9057.0673766816271</v>
          </cell>
          <cell r="CB121">
            <v>9057.0673766816271</v>
          </cell>
          <cell r="CC121">
            <v>10109.4516684966</v>
          </cell>
          <cell r="CD121">
            <v>10431.559689935946</v>
          </cell>
          <cell r="CE121">
            <v>10688.696997603663</v>
          </cell>
          <cell r="CF121">
            <v>10685.869152234596</v>
          </cell>
          <cell r="CG121">
            <v>10685.869152234596</v>
          </cell>
        </row>
        <row r="123">
          <cell r="B123" t="str">
            <v>Liabilities</v>
          </cell>
        </row>
        <row r="124">
          <cell r="B124" t="str">
            <v>Accounts payable</v>
          </cell>
          <cell r="Y124">
            <v>3.5260769999999999</v>
          </cell>
          <cell r="Z124">
            <v>3.1073770000000001</v>
          </cell>
          <cell r="AA124">
            <v>4.2146119999999998</v>
          </cell>
          <cell r="AB124">
            <v>4.995088</v>
          </cell>
          <cell r="AC124">
            <v>5.5989120000000003</v>
          </cell>
          <cell r="AD124">
            <v>5.5989120000000003</v>
          </cell>
          <cell r="AE124">
            <v>7.4340359999999999</v>
          </cell>
          <cell r="AF124">
            <v>0.69820199999999999</v>
          </cell>
          <cell r="AG124">
            <v>1.101529</v>
          </cell>
          <cell r="AH124">
            <v>0.654976</v>
          </cell>
          <cell r="AI124">
            <v>0.654976</v>
          </cell>
          <cell r="AJ124">
            <v>1.958461</v>
          </cell>
          <cell r="AK124">
            <v>0.91187200000000002</v>
          </cell>
          <cell r="AL124">
            <v>1.6807049999999999</v>
          </cell>
          <cell r="AM124">
            <v>1.3440000000000001</v>
          </cell>
          <cell r="AN124">
            <v>1.3440000000000001</v>
          </cell>
          <cell r="AO124">
            <v>0.75</v>
          </cell>
          <cell r="AP124">
            <v>7.7709999999999999</v>
          </cell>
          <cell r="AQ124">
            <v>7.0030000000000001</v>
          </cell>
          <cell r="AR124">
            <v>8.3019999999999996</v>
          </cell>
          <cell r="AS124">
            <v>8.3019999999999996</v>
          </cell>
          <cell r="AT124">
            <v>7.1040000000000001</v>
          </cell>
          <cell r="AU124">
            <v>8.3859999999999992</v>
          </cell>
          <cell r="AV124">
            <v>5.92</v>
          </cell>
          <cell r="AW124">
            <v>9.9160000000000004</v>
          </cell>
          <cell r="AX124">
            <v>9.9160000000000004</v>
          </cell>
          <cell r="AY124">
            <v>7.5330000000000004</v>
          </cell>
          <cell r="AZ124">
            <v>8.2270000000000003</v>
          </cell>
          <cell r="BA124">
            <v>9.625</v>
          </cell>
          <cell r="BB124">
            <v>30.93</v>
          </cell>
          <cell r="BC124">
            <v>30.93</v>
          </cell>
          <cell r="BD124">
            <v>37.47</v>
          </cell>
          <cell r="BE124">
            <v>38.530999999999999</v>
          </cell>
          <cell r="BF124">
            <v>15.092000000000001</v>
          </cell>
          <cell r="BG124">
            <v>19.678999999999998</v>
          </cell>
          <cell r="BH124">
            <v>19.678999999999998</v>
          </cell>
          <cell r="BI124">
            <v>16.757999999999999</v>
          </cell>
          <cell r="BJ124">
            <v>22.332999999999998</v>
          </cell>
          <cell r="BK124">
            <v>0</v>
          </cell>
          <cell r="BL124">
            <v>644.81799999999998</v>
          </cell>
          <cell r="BM124">
            <v>644.81799999999998</v>
          </cell>
          <cell r="BN124">
            <v>610.68100000000004</v>
          </cell>
          <cell r="BO124">
            <v>623.38499999999999</v>
          </cell>
          <cell r="BP124">
            <v>693.625</v>
          </cell>
          <cell r="BQ124">
            <v>682.20368982963964</v>
          </cell>
          <cell r="BR124">
            <v>682.20368982963964</v>
          </cell>
          <cell r="BS124">
            <v>834.10781464473257</v>
          </cell>
          <cell r="BT124">
            <v>918.42507116241347</v>
          </cell>
          <cell r="BU124">
            <v>977.27117779288187</v>
          </cell>
          <cell r="BV124">
            <v>969.76054252832262</v>
          </cell>
          <cell r="BW124">
            <v>969.76054252832262</v>
          </cell>
          <cell r="BX124">
            <v>916.63646725858575</v>
          </cell>
          <cell r="BY124">
            <v>1032.3838071608313</v>
          </cell>
          <cell r="BZ124">
            <v>1127.433722872679</v>
          </cell>
          <cell r="CA124">
            <v>1118.2413756324893</v>
          </cell>
          <cell r="CB124">
            <v>1118.2413756324893</v>
          </cell>
          <cell r="CC124">
            <v>1183.2139731143823</v>
          </cell>
          <cell r="CD124">
            <v>1256.3814469165011</v>
          </cell>
          <cell r="CE124">
            <v>1387.5234869202425</v>
          </cell>
          <cell r="CF124">
            <v>1264.7896296581082</v>
          </cell>
          <cell r="CG124">
            <v>1264.7896296581082</v>
          </cell>
        </row>
        <row r="125">
          <cell r="B125" t="str">
            <v>Pharmacy benefit management rebates payable</v>
          </cell>
          <cell r="Y125">
            <v>0</v>
          </cell>
          <cell r="Z125">
            <v>0</v>
          </cell>
          <cell r="AA125">
            <v>0</v>
          </cell>
          <cell r="AB125">
            <v>2.7419669999999998</v>
          </cell>
          <cell r="AC125">
            <v>0</v>
          </cell>
          <cell r="AD125">
            <v>0</v>
          </cell>
          <cell r="AE125">
            <v>0</v>
          </cell>
          <cell r="AF125">
            <v>0</v>
          </cell>
          <cell r="AG125">
            <v>0</v>
          </cell>
          <cell r="AH125">
            <v>1.172801</v>
          </cell>
          <cell r="AI125">
            <v>1.172801</v>
          </cell>
          <cell r="AJ125">
            <v>2.5216729999999998</v>
          </cell>
          <cell r="AK125">
            <v>0.57895099999999999</v>
          </cell>
          <cell r="AL125">
            <v>2.2661509999999998</v>
          </cell>
          <cell r="AM125">
            <v>2.766</v>
          </cell>
          <cell r="AN125">
            <v>2.766</v>
          </cell>
          <cell r="AO125">
            <v>4.1779999999999999</v>
          </cell>
          <cell r="AP125">
            <v>32.573</v>
          </cell>
          <cell r="AQ125">
            <v>29.940999999999999</v>
          </cell>
          <cell r="AR125">
            <v>36.326000000000001</v>
          </cell>
          <cell r="AS125">
            <v>36.326000000000001</v>
          </cell>
          <cell r="AT125">
            <v>38.777000000000001</v>
          </cell>
          <cell r="AU125">
            <v>45.856000000000002</v>
          </cell>
          <cell r="AV125">
            <v>43.83</v>
          </cell>
          <cell r="AW125">
            <v>46.606000000000002</v>
          </cell>
          <cell r="AX125">
            <v>46.606000000000002</v>
          </cell>
          <cell r="AY125">
            <v>58.603000000000002</v>
          </cell>
          <cell r="AZ125">
            <v>59.57</v>
          </cell>
          <cell r="BA125">
            <v>63.783000000000001</v>
          </cell>
          <cell r="BB125">
            <v>61.363999999999997</v>
          </cell>
          <cell r="BC125">
            <v>61.363999999999997</v>
          </cell>
          <cell r="BD125">
            <v>61.204000000000001</v>
          </cell>
          <cell r="BE125">
            <v>56.338000000000001</v>
          </cell>
          <cell r="BF125">
            <v>58.866</v>
          </cell>
          <cell r="BG125">
            <v>59.234999999999999</v>
          </cell>
          <cell r="BH125">
            <v>59.234999999999999</v>
          </cell>
          <cell r="BI125">
            <v>69.222999999999999</v>
          </cell>
          <cell r="BJ125">
            <v>64.718000000000004</v>
          </cell>
          <cell r="BK125">
            <v>248.536</v>
          </cell>
          <cell r="BL125">
            <v>302.065</v>
          </cell>
          <cell r="BM125">
            <v>302.065</v>
          </cell>
          <cell r="BN125">
            <v>292.52600000000001</v>
          </cell>
          <cell r="BO125">
            <v>314.49099999999999</v>
          </cell>
          <cell r="BP125">
            <v>314.565</v>
          </cell>
          <cell r="BQ125">
            <v>336.62829972735011</v>
          </cell>
          <cell r="BR125">
            <v>336.62829972735011</v>
          </cell>
          <cell r="BS125">
            <v>377.01292756371527</v>
          </cell>
          <cell r="BT125">
            <v>432.69771097693882</v>
          </cell>
          <cell r="BU125">
            <v>435.05955250786911</v>
          </cell>
          <cell r="BV125">
            <v>474.92481194234512</v>
          </cell>
          <cell r="BW125">
            <v>474.92481194234512</v>
          </cell>
          <cell r="BX125">
            <v>415.92987569468835</v>
          </cell>
          <cell r="BY125">
            <v>487.74264146971717</v>
          </cell>
          <cell r="BZ125">
            <v>502.58982727116899</v>
          </cell>
          <cell r="CA125">
            <v>548.60349768161996</v>
          </cell>
          <cell r="CB125">
            <v>548.60349768161996</v>
          </cell>
          <cell r="CC125">
            <v>1000.9414992048457</v>
          </cell>
          <cell r="CD125">
            <v>1122.4073614901229</v>
          </cell>
          <cell r="CE125">
            <v>1145.2104464100319</v>
          </cell>
          <cell r="CF125">
            <v>1146.0577246388345</v>
          </cell>
          <cell r="CG125">
            <v>1146.0577246388345</v>
          </cell>
        </row>
        <row r="126">
          <cell r="B126" t="str">
            <v>Pharmacy benefit claim payments payable</v>
          </cell>
          <cell r="Y126">
            <v>0</v>
          </cell>
          <cell r="Z126">
            <v>0</v>
          </cell>
          <cell r="AA126">
            <v>0</v>
          </cell>
          <cell r="AB126">
            <v>0</v>
          </cell>
          <cell r="AC126">
            <v>0</v>
          </cell>
          <cell r="AD126">
            <v>0</v>
          </cell>
          <cell r="AE126">
            <v>0</v>
          </cell>
          <cell r="AF126">
            <v>0</v>
          </cell>
          <cell r="AG126">
            <v>0</v>
          </cell>
          <cell r="AH126">
            <v>2.9637190000000002</v>
          </cell>
          <cell r="AI126">
            <v>2.9637190000000002</v>
          </cell>
          <cell r="AJ126">
            <v>5.7194919999999998</v>
          </cell>
          <cell r="AK126">
            <v>2.9269999999999999E-3</v>
          </cell>
          <cell r="AL126">
            <v>2.286835</v>
          </cell>
          <cell r="AM126">
            <v>2.0590000000000002</v>
          </cell>
          <cell r="AN126">
            <v>2.0590000000000002</v>
          </cell>
          <cell r="AO126">
            <v>1.821</v>
          </cell>
          <cell r="AP126">
            <v>58.226999999999997</v>
          </cell>
          <cell r="AQ126">
            <v>60.811999999999998</v>
          </cell>
          <cell r="AR126">
            <v>51.405999999999999</v>
          </cell>
          <cell r="AS126">
            <v>51.405999999999999</v>
          </cell>
          <cell r="AT126">
            <v>51.890999999999998</v>
          </cell>
          <cell r="AU126">
            <v>41.94</v>
          </cell>
          <cell r="AV126">
            <v>51.808</v>
          </cell>
          <cell r="AW126">
            <v>61.668999999999997</v>
          </cell>
          <cell r="AX126">
            <v>61.668999999999997</v>
          </cell>
          <cell r="AY126">
            <v>64.006</v>
          </cell>
          <cell r="AZ126">
            <v>72.915000000000006</v>
          </cell>
          <cell r="BA126">
            <v>80.828999999999994</v>
          </cell>
          <cell r="BB126">
            <v>84.599000000000004</v>
          </cell>
          <cell r="BC126">
            <v>84.599000000000004</v>
          </cell>
          <cell r="BD126">
            <v>137.31899999999999</v>
          </cell>
          <cell r="BE126">
            <v>144.928</v>
          </cell>
          <cell r="BF126">
            <v>190.21</v>
          </cell>
          <cell r="BG126">
            <v>199.70099999999999</v>
          </cell>
          <cell r="BH126">
            <v>199.70099999999999</v>
          </cell>
          <cell r="BI126">
            <v>263.35300000000001</v>
          </cell>
          <cell r="BJ126">
            <v>276.02499999999998</v>
          </cell>
          <cell r="BK126">
            <v>633.67499999999995</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row>
        <row r="127">
          <cell r="B127" t="str">
            <v>Customer deposits</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14.973000000000001</v>
          </cell>
          <cell r="AQ127">
            <v>13.801</v>
          </cell>
          <cell r="AR127">
            <v>11.875</v>
          </cell>
          <cell r="AS127">
            <v>11.875</v>
          </cell>
          <cell r="AT127">
            <v>14.048999999999999</v>
          </cell>
          <cell r="AU127">
            <v>12.647</v>
          </cell>
          <cell r="AV127">
            <v>12.553000000000001</v>
          </cell>
          <cell r="AW127">
            <v>14.832000000000001</v>
          </cell>
          <cell r="AX127">
            <v>14.832000000000001</v>
          </cell>
          <cell r="AY127">
            <v>15.483000000000001</v>
          </cell>
          <cell r="AZ127">
            <v>15.372</v>
          </cell>
          <cell r="BA127">
            <v>15.324</v>
          </cell>
          <cell r="BB127">
            <v>15.375999999999999</v>
          </cell>
          <cell r="BC127">
            <v>15.375999999999999</v>
          </cell>
          <cell r="BD127">
            <v>15.317</v>
          </cell>
          <cell r="BE127">
            <v>15.231</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row>
        <row r="128">
          <cell r="B128" t="str">
            <v>Salaries and wages payable</v>
          </cell>
          <cell r="Y128">
            <v>0</v>
          </cell>
          <cell r="Z128">
            <v>0</v>
          </cell>
          <cell r="AA128">
            <v>0</v>
          </cell>
          <cell r="AB128">
            <v>0</v>
          </cell>
          <cell r="AC128">
            <v>0</v>
          </cell>
          <cell r="AD128">
            <v>0</v>
          </cell>
          <cell r="AE128">
            <v>0</v>
          </cell>
          <cell r="AF128">
            <v>0</v>
          </cell>
          <cell r="AG128">
            <v>0</v>
          </cell>
          <cell r="AH128">
            <v>4.1833140000000002</v>
          </cell>
          <cell r="AI128">
            <v>4.1833140000000002</v>
          </cell>
          <cell r="AJ128">
            <v>2.5929000000000002</v>
          </cell>
          <cell r="AK128">
            <v>3.588781</v>
          </cell>
          <cell r="AL128">
            <v>3.4512109999999998</v>
          </cell>
          <cell r="AM128">
            <v>2.9089999999999998</v>
          </cell>
          <cell r="AN128">
            <v>2.9089999999999998</v>
          </cell>
          <cell r="AO128">
            <v>2.9580000000000002</v>
          </cell>
          <cell r="AP128">
            <v>9.2509999999999994</v>
          </cell>
          <cell r="AQ128">
            <v>11.254</v>
          </cell>
          <cell r="AR128">
            <v>15.680999999999999</v>
          </cell>
          <cell r="AS128">
            <v>15.680999999999999</v>
          </cell>
          <cell r="AT128">
            <v>11.779</v>
          </cell>
          <cell r="AU128">
            <v>12.509</v>
          </cell>
          <cell r="AV128">
            <v>13.183999999999999</v>
          </cell>
          <cell r="AW128">
            <v>12.349</v>
          </cell>
          <cell r="AX128">
            <v>12.349</v>
          </cell>
          <cell r="AY128">
            <v>7.7320000000000002</v>
          </cell>
          <cell r="AZ128">
            <v>9.343</v>
          </cell>
          <cell r="BA128">
            <v>11.763</v>
          </cell>
          <cell r="BB128">
            <v>12.833</v>
          </cell>
          <cell r="BC128">
            <v>12.833</v>
          </cell>
          <cell r="BD128">
            <v>8.0760000000000005</v>
          </cell>
          <cell r="BE128">
            <v>9.8610000000000007</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row>
        <row r="129">
          <cell r="B129" t="str">
            <v>Accrued liabilities</v>
          </cell>
          <cell r="Y129">
            <v>0</v>
          </cell>
          <cell r="Z129">
            <v>0</v>
          </cell>
          <cell r="AA129">
            <v>0</v>
          </cell>
          <cell r="AB129">
            <v>0</v>
          </cell>
          <cell r="AC129">
            <v>0</v>
          </cell>
          <cell r="AD129">
            <v>0</v>
          </cell>
          <cell r="AE129">
            <v>0</v>
          </cell>
          <cell r="AF129">
            <v>6.9085010000000002</v>
          </cell>
          <cell r="AG129">
            <v>5.2624760000000004</v>
          </cell>
          <cell r="AH129">
            <v>3.4567100000000002</v>
          </cell>
          <cell r="AI129">
            <v>3.4567100000000002</v>
          </cell>
          <cell r="AJ129">
            <v>2.745514</v>
          </cell>
          <cell r="AK129">
            <v>3.1024400000000001</v>
          </cell>
          <cell r="AL129">
            <v>3.9330980000000002</v>
          </cell>
          <cell r="AM129">
            <v>4.8070000000000004</v>
          </cell>
          <cell r="AN129">
            <v>4.8070000000000004</v>
          </cell>
          <cell r="AO129">
            <v>5.0990000000000002</v>
          </cell>
          <cell r="AP129">
            <v>29.645</v>
          </cell>
          <cell r="AQ129">
            <v>26.895</v>
          </cell>
          <cell r="AR129">
            <v>32.039000000000001</v>
          </cell>
          <cell r="AS129">
            <v>32.039000000000001</v>
          </cell>
          <cell r="AT129">
            <v>24.751000000000001</v>
          </cell>
          <cell r="AU129">
            <v>25.751000000000001</v>
          </cell>
          <cell r="AV129">
            <v>27.709</v>
          </cell>
          <cell r="AW129">
            <v>30.786000000000001</v>
          </cell>
          <cell r="AX129">
            <v>30.786000000000001</v>
          </cell>
          <cell r="AY129">
            <v>24.667999999999999</v>
          </cell>
          <cell r="AZ129">
            <v>23.792000000000002</v>
          </cell>
          <cell r="BA129">
            <v>22.692</v>
          </cell>
          <cell r="BB129">
            <v>21.652000000000001</v>
          </cell>
          <cell r="BC129">
            <v>21.652000000000001</v>
          </cell>
          <cell r="BD129">
            <v>19.102</v>
          </cell>
          <cell r="BE129">
            <v>18.103000000000002</v>
          </cell>
          <cell r="BF129">
            <v>69.471000000000004</v>
          </cell>
          <cell r="BG129">
            <v>66.728999999999999</v>
          </cell>
          <cell r="BH129">
            <v>66.728999999999999</v>
          </cell>
          <cell r="BI129">
            <v>95.754999999999995</v>
          </cell>
          <cell r="BJ129">
            <v>97.075999999999993</v>
          </cell>
          <cell r="BK129">
            <v>268.40100000000001</v>
          </cell>
          <cell r="BL129">
            <v>254.81100000000001</v>
          </cell>
          <cell r="BM129">
            <v>254.81100000000001</v>
          </cell>
          <cell r="BN129">
            <v>250.1</v>
          </cell>
          <cell r="BO129">
            <v>242.65100000000001</v>
          </cell>
          <cell r="BP129">
            <v>241.452</v>
          </cell>
          <cell r="BQ129">
            <v>241.452</v>
          </cell>
          <cell r="BR129">
            <v>241.452</v>
          </cell>
          <cell r="BS129">
            <v>241.452</v>
          </cell>
          <cell r="BT129">
            <v>241.452</v>
          </cell>
          <cell r="BU129">
            <v>241.452</v>
          </cell>
          <cell r="BV129">
            <v>241.452</v>
          </cell>
          <cell r="BW129">
            <v>241.452</v>
          </cell>
          <cell r="BX129">
            <v>241.452</v>
          </cell>
          <cell r="BY129">
            <v>241.452</v>
          </cell>
          <cell r="BZ129">
            <v>241.452</v>
          </cell>
          <cell r="CA129">
            <v>241.452</v>
          </cell>
          <cell r="CB129">
            <v>241.452</v>
          </cell>
          <cell r="CC129">
            <v>313.39800000000002</v>
          </cell>
          <cell r="CD129">
            <v>313.39800000000002</v>
          </cell>
          <cell r="CE129">
            <v>313.39800000000002</v>
          </cell>
          <cell r="CF129">
            <v>313.39800000000002</v>
          </cell>
          <cell r="CG129">
            <v>313.39800000000002</v>
          </cell>
        </row>
        <row r="130">
          <cell r="B130" t="str">
            <v>Deferred revenue</v>
          </cell>
          <cell r="Y130">
            <v>2.4962460000000002</v>
          </cell>
          <cell r="Z130">
            <v>2.0060289999999998</v>
          </cell>
          <cell r="AA130">
            <v>2.581852</v>
          </cell>
          <cell r="AB130">
            <v>2.6177160000000002</v>
          </cell>
          <cell r="AC130">
            <v>3.1310310000000001</v>
          </cell>
          <cell r="AD130">
            <v>3.1310310000000001</v>
          </cell>
          <cell r="AE130">
            <v>3.6612480000000001</v>
          </cell>
          <cell r="AF130">
            <v>3.684571</v>
          </cell>
          <cell r="AG130">
            <v>3.1288849999999999</v>
          </cell>
          <cell r="AH130">
            <v>3.241924</v>
          </cell>
          <cell r="AI130">
            <v>3.241924</v>
          </cell>
          <cell r="AJ130">
            <v>3.6114739999999999</v>
          </cell>
          <cell r="AK130">
            <v>2.5804990000000001</v>
          </cell>
          <cell r="AL130">
            <v>3.534443</v>
          </cell>
          <cell r="AM130">
            <v>6.75</v>
          </cell>
          <cell r="AN130">
            <v>6.75</v>
          </cell>
          <cell r="AO130">
            <v>6.0039999999999996</v>
          </cell>
          <cell r="AP130">
            <v>4.03</v>
          </cell>
          <cell r="AQ130">
            <v>3.8969999999999998</v>
          </cell>
          <cell r="AR130">
            <v>7.9779999999999998</v>
          </cell>
          <cell r="AS130">
            <v>7.9779999999999998</v>
          </cell>
          <cell r="AT130">
            <v>11.225</v>
          </cell>
          <cell r="AU130">
            <v>8.4930000000000003</v>
          </cell>
          <cell r="AV130">
            <v>8.43</v>
          </cell>
          <cell r="AW130">
            <v>7.3040000000000003</v>
          </cell>
          <cell r="AX130">
            <v>7.3040000000000003</v>
          </cell>
          <cell r="AY130">
            <v>8.7159999999999993</v>
          </cell>
          <cell r="AZ130">
            <v>10.435</v>
          </cell>
          <cell r="BA130">
            <v>9.6219999999999999</v>
          </cell>
          <cell r="BB130">
            <v>10.696</v>
          </cell>
          <cell r="BC130">
            <v>10.696</v>
          </cell>
          <cell r="BD130">
            <v>11.707000000000001</v>
          </cell>
          <cell r="BE130">
            <v>12.999000000000001</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row>
        <row r="131">
          <cell r="B131" t="str">
            <v>Current portion of long-term debt</v>
          </cell>
          <cell r="Y131">
            <v>18.431898</v>
          </cell>
          <cell r="Z131">
            <v>0.773007</v>
          </cell>
          <cell r="AA131">
            <v>1.02</v>
          </cell>
          <cell r="AB131">
            <v>1.36</v>
          </cell>
          <cell r="AC131">
            <v>1.53</v>
          </cell>
          <cell r="AD131">
            <v>1.53</v>
          </cell>
          <cell r="AE131">
            <v>1.7</v>
          </cell>
          <cell r="AF131">
            <v>1.87</v>
          </cell>
          <cell r="AG131">
            <v>0</v>
          </cell>
          <cell r="AH131">
            <v>0</v>
          </cell>
          <cell r="AI131">
            <v>0</v>
          </cell>
          <cell r="AJ131">
            <v>0</v>
          </cell>
          <cell r="AK131">
            <v>0</v>
          </cell>
          <cell r="AL131">
            <v>0</v>
          </cell>
          <cell r="AM131">
            <v>0</v>
          </cell>
          <cell r="AO131">
            <v>0</v>
          </cell>
          <cell r="AP131">
            <v>1.56</v>
          </cell>
          <cell r="AQ131">
            <v>2.64</v>
          </cell>
          <cell r="AR131">
            <v>3.72</v>
          </cell>
          <cell r="AS131">
            <v>3.72</v>
          </cell>
          <cell r="AT131">
            <v>4.8</v>
          </cell>
          <cell r="AU131">
            <v>4.8</v>
          </cell>
          <cell r="AV131">
            <v>4.8</v>
          </cell>
          <cell r="BK131">
            <v>27.5</v>
          </cell>
          <cell r="BL131">
            <v>41.25</v>
          </cell>
          <cell r="BM131">
            <v>41.25</v>
          </cell>
          <cell r="BN131">
            <v>55</v>
          </cell>
          <cell r="BO131">
            <v>37.5</v>
          </cell>
          <cell r="BP131">
            <v>43.75</v>
          </cell>
          <cell r="BQ131">
            <v>43.75</v>
          </cell>
          <cell r="BR131">
            <v>43.75</v>
          </cell>
          <cell r="BS131">
            <v>43.75</v>
          </cell>
          <cell r="BT131">
            <v>43.75</v>
          </cell>
          <cell r="BU131">
            <v>43.75</v>
          </cell>
          <cell r="BV131">
            <v>43.75</v>
          </cell>
          <cell r="BW131">
            <v>43.75</v>
          </cell>
          <cell r="BX131">
            <v>43.75</v>
          </cell>
          <cell r="BY131">
            <v>43.75</v>
          </cell>
          <cell r="BZ131">
            <v>43.75</v>
          </cell>
          <cell r="CA131">
            <v>43.75</v>
          </cell>
          <cell r="CB131">
            <v>43.75</v>
          </cell>
          <cell r="CC131">
            <v>75</v>
          </cell>
          <cell r="CD131">
            <v>75</v>
          </cell>
          <cell r="CE131">
            <v>75</v>
          </cell>
          <cell r="CF131">
            <v>75</v>
          </cell>
          <cell r="CG131">
            <v>75</v>
          </cell>
        </row>
        <row r="132">
          <cell r="B132" t="str">
            <v>Long-term debt, less current installments</v>
          </cell>
          <cell r="Y132">
            <v>13.751821</v>
          </cell>
          <cell r="Z132">
            <v>13.397773000000001</v>
          </cell>
          <cell r="AA132">
            <v>12.396668</v>
          </cell>
          <cell r="AB132">
            <v>12.069763</v>
          </cell>
          <cell r="AC132">
            <v>11.572858</v>
          </cell>
          <cell r="AD132">
            <v>11.572858</v>
          </cell>
          <cell r="AE132">
            <v>11.075953</v>
          </cell>
          <cell r="AF132">
            <v>10.579048</v>
          </cell>
          <cell r="AG132">
            <v>0</v>
          </cell>
          <cell r="AH132">
            <v>0</v>
          </cell>
          <cell r="AI132">
            <v>0</v>
          </cell>
          <cell r="AJ132">
            <v>0</v>
          </cell>
          <cell r="AK132">
            <v>0</v>
          </cell>
          <cell r="AL132">
            <v>0</v>
          </cell>
          <cell r="AM132">
            <v>0</v>
          </cell>
          <cell r="AN132">
            <v>0</v>
          </cell>
          <cell r="AO132">
            <v>0</v>
          </cell>
          <cell r="AP132">
            <v>46.32</v>
          </cell>
          <cell r="AQ132">
            <v>45.12</v>
          </cell>
          <cell r="AR132">
            <v>43.92</v>
          </cell>
          <cell r="AS132">
            <v>43.92</v>
          </cell>
          <cell r="AT132">
            <v>42.72</v>
          </cell>
          <cell r="AU132">
            <v>41.52</v>
          </cell>
          <cell r="AV132">
            <v>40.32</v>
          </cell>
          <cell r="AX132">
            <v>0</v>
          </cell>
          <cell r="AY132">
            <v>0</v>
          </cell>
          <cell r="AZ132">
            <v>0</v>
          </cell>
          <cell r="BA132">
            <v>0</v>
          </cell>
          <cell r="BB132">
            <v>0</v>
          </cell>
          <cell r="BC132">
            <v>0</v>
          </cell>
          <cell r="BD132">
            <v>0</v>
          </cell>
          <cell r="BE132">
            <v>0</v>
          </cell>
          <cell r="BF132">
            <v>0</v>
          </cell>
          <cell r="BG132">
            <v>0</v>
          </cell>
          <cell r="BH132">
            <v>0</v>
          </cell>
          <cell r="BI132">
            <v>100</v>
          </cell>
          <cell r="BJ132">
            <v>100</v>
          </cell>
          <cell r="BK132">
            <v>1244.425</v>
          </cell>
          <cell r="BL132">
            <v>1132.153</v>
          </cell>
          <cell r="BM132">
            <v>1132.153</v>
          </cell>
          <cell r="BN132">
            <v>1019.88</v>
          </cell>
          <cell r="BO132">
            <v>987.85699999999997</v>
          </cell>
          <cell r="BP132">
            <v>976.61</v>
          </cell>
          <cell r="BQ132">
            <v>976.61</v>
          </cell>
          <cell r="BR132">
            <v>976.61</v>
          </cell>
          <cell r="BS132">
            <v>976.61</v>
          </cell>
          <cell r="BT132">
            <v>976.61</v>
          </cell>
          <cell r="BU132">
            <v>976.61</v>
          </cell>
          <cell r="BV132">
            <v>976.61</v>
          </cell>
          <cell r="BW132">
            <v>976.61</v>
          </cell>
          <cell r="BX132">
            <v>976.61</v>
          </cell>
          <cell r="BY132">
            <v>976.61</v>
          </cell>
          <cell r="BZ132">
            <v>976.61</v>
          </cell>
          <cell r="CA132">
            <v>976.61</v>
          </cell>
          <cell r="CB132">
            <v>976.61</v>
          </cell>
          <cell r="CC132">
            <v>1417.925</v>
          </cell>
          <cell r="CD132">
            <v>1417.925</v>
          </cell>
          <cell r="CE132">
            <v>1417.925</v>
          </cell>
          <cell r="CF132">
            <v>1417.925</v>
          </cell>
          <cell r="CG132">
            <v>1417.925</v>
          </cell>
        </row>
        <row r="133">
          <cell r="B133" t="str">
            <v>Deferred income taxes</v>
          </cell>
          <cell r="Y133">
            <v>0</v>
          </cell>
          <cell r="Z133">
            <v>0</v>
          </cell>
          <cell r="AA133">
            <v>0</v>
          </cell>
          <cell r="AB133">
            <v>0</v>
          </cell>
          <cell r="AC133">
            <v>0</v>
          </cell>
          <cell r="AD133">
            <v>0</v>
          </cell>
          <cell r="AE133">
            <v>0</v>
          </cell>
          <cell r="AF133">
            <v>0</v>
          </cell>
          <cell r="AG133">
            <v>0</v>
          </cell>
          <cell r="AH133">
            <v>0</v>
          </cell>
          <cell r="AI133">
            <v>0</v>
          </cell>
          <cell r="AJ133">
            <v>0</v>
          </cell>
          <cell r="AK133">
            <v>0.8276</v>
          </cell>
          <cell r="AL133">
            <v>0.58901599999999998</v>
          </cell>
          <cell r="AM133">
            <v>1.091</v>
          </cell>
          <cell r="AN133">
            <v>1.091</v>
          </cell>
          <cell r="AO133">
            <v>1.091</v>
          </cell>
          <cell r="AP133">
            <v>28.135000000000002</v>
          </cell>
          <cell r="AQ133">
            <v>15.733000000000001</v>
          </cell>
          <cell r="AR133">
            <v>15.06</v>
          </cell>
          <cell r="AS133">
            <v>15.06</v>
          </cell>
          <cell r="AT133">
            <v>14.539</v>
          </cell>
          <cell r="AU133">
            <v>15.538</v>
          </cell>
          <cell r="AV133">
            <v>13.032</v>
          </cell>
          <cell r="AW133">
            <v>13.597</v>
          </cell>
          <cell r="AX133">
            <v>13.597</v>
          </cell>
          <cell r="AY133">
            <v>13.93</v>
          </cell>
          <cell r="AZ133">
            <v>13.676</v>
          </cell>
          <cell r="BA133">
            <v>13.211</v>
          </cell>
          <cell r="BB133">
            <v>15.111000000000001</v>
          </cell>
          <cell r="BC133">
            <v>15.111000000000001</v>
          </cell>
          <cell r="BD133">
            <v>15.702999999999999</v>
          </cell>
          <cell r="BE133">
            <v>14.656000000000001</v>
          </cell>
          <cell r="BF133">
            <v>13.89</v>
          </cell>
          <cell r="BG133">
            <v>18.361000000000001</v>
          </cell>
          <cell r="BH133">
            <v>18.361000000000001</v>
          </cell>
          <cell r="BI133">
            <v>20.419</v>
          </cell>
          <cell r="BJ133">
            <v>16.712</v>
          </cell>
          <cell r="BK133">
            <v>343.33199999999999</v>
          </cell>
          <cell r="BL133">
            <v>344.23200000000003</v>
          </cell>
          <cell r="BM133">
            <v>344.23200000000003</v>
          </cell>
          <cell r="BN133">
            <v>340.452</v>
          </cell>
          <cell r="BO133">
            <v>314.94400000000002</v>
          </cell>
          <cell r="BP133">
            <v>302.52699999999999</v>
          </cell>
          <cell r="BQ133">
            <v>302.52699999999999</v>
          </cell>
          <cell r="BR133">
            <v>302.52699999999999</v>
          </cell>
          <cell r="BS133">
            <v>302.52699999999999</v>
          </cell>
          <cell r="BT133">
            <v>302.52699999999999</v>
          </cell>
          <cell r="BU133">
            <v>302.52699999999999</v>
          </cell>
          <cell r="BV133">
            <v>302.52699999999999</v>
          </cell>
          <cell r="BW133">
            <v>302.52699999999999</v>
          </cell>
          <cell r="BX133">
            <v>302.52699999999999</v>
          </cell>
          <cell r="BY133">
            <v>302.52699999999999</v>
          </cell>
          <cell r="BZ133">
            <v>302.52699999999999</v>
          </cell>
          <cell r="CA133">
            <v>302.52699999999999</v>
          </cell>
          <cell r="CB133">
            <v>302.52699999999999</v>
          </cell>
          <cell r="CC133">
            <v>259.31099999999998</v>
          </cell>
          <cell r="CD133">
            <v>259.31099999999998</v>
          </cell>
          <cell r="CE133">
            <v>259.31099999999998</v>
          </cell>
          <cell r="CF133">
            <v>259.31099999999998</v>
          </cell>
          <cell r="CG133">
            <v>259.31099999999998</v>
          </cell>
        </row>
        <row r="134">
          <cell r="B134" t="str">
            <v>Other liabilities</v>
          </cell>
          <cell r="Y134">
            <v>0</v>
          </cell>
          <cell r="Z134">
            <v>0</v>
          </cell>
          <cell r="AA134">
            <v>0</v>
          </cell>
          <cell r="AB134">
            <v>0</v>
          </cell>
          <cell r="AC134">
            <v>0</v>
          </cell>
          <cell r="AD134">
            <v>0</v>
          </cell>
          <cell r="AE134">
            <v>0.75781500000000002</v>
          </cell>
          <cell r="AF134">
            <v>0.75781500000000002</v>
          </cell>
          <cell r="AG134">
            <v>0.75781500000000002</v>
          </cell>
          <cell r="AH134">
            <v>4.0606390000000001</v>
          </cell>
          <cell r="AI134">
            <v>4.0606390000000001</v>
          </cell>
          <cell r="AJ134">
            <v>6.1733520000000004</v>
          </cell>
          <cell r="AK134">
            <v>4.3762369999999997</v>
          </cell>
          <cell r="AL134">
            <v>4.5049429999999999</v>
          </cell>
          <cell r="AM134">
            <v>5.2960000000000003</v>
          </cell>
          <cell r="AN134">
            <v>5.2960000000000003</v>
          </cell>
          <cell r="AO134">
            <v>5.24</v>
          </cell>
          <cell r="AP134">
            <v>7.6109999999999998</v>
          </cell>
          <cell r="AQ134">
            <v>7.4509999999999996</v>
          </cell>
          <cell r="AR134">
            <v>7.8729999999999993</v>
          </cell>
          <cell r="AS134">
            <v>7.8729999999999993</v>
          </cell>
          <cell r="AT134">
            <v>7.6680000000000001</v>
          </cell>
          <cell r="AU134">
            <v>7.4120000000000008</v>
          </cell>
          <cell r="AV134">
            <v>7.1229999999999993</v>
          </cell>
          <cell r="AW134">
            <v>6.5270000000000001</v>
          </cell>
          <cell r="AX134">
            <v>6.5270000000000001</v>
          </cell>
          <cell r="AY134">
            <v>6.4119999999999999</v>
          </cell>
          <cell r="AZ134">
            <v>5.6000000000000005</v>
          </cell>
          <cell r="BA134">
            <v>5.4649999999999999</v>
          </cell>
          <cell r="BB134">
            <v>10.492000000000001</v>
          </cell>
          <cell r="BC134">
            <v>10.492000000000001</v>
          </cell>
          <cell r="BD134">
            <v>10.231</v>
          </cell>
          <cell r="BE134">
            <v>10.119</v>
          </cell>
          <cell r="BF134">
            <v>10.090999999999999</v>
          </cell>
          <cell r="BG134">
            <v>15.564</v>
          </cell>
          <cell r="BH134">
            <v>15.564</v>
          </cell>
          <cell r="BI134">
            <v>7.3310000000000004</v>
          </cell>
          <cell r="BJ134">
            <v>8.5190000000000001</v>
          </cell>
          <cell r="BK134">
            <v>54.462000000000003</v>
          </cell>
          <cell r="BL134">
            <v>55.936999999999998</v>
          </cell>
          <cell r="BM134">
            <v>55.936999999999998</v>
          </cell>
          <cell r="BN134">
            <v>51.006</v>
          </cell>
          <cell r="BO134">
            <v>73.713999999999999</v>
          </cell>
          <cell r="BP134">
            <v>87.694000000000003</v>
          </cell>
          <cell r="BQ134">
            <v>87.694000000000003</v>
          </cell>
          <cell r="BR134">
            <v>87.694000000000003</v>
          </cell>
          <cell r="BS134">
            <v>87.694000000000003</v>
          </cell>
          <cell r="BT134">
            <v>87.694000000000003</v>
          </cell>
          <cell r="BU134">
            <v>87.694000000000003</v>
          </cell>
          <cell r="BV134">
            <v>87.694000000000003</v>
          </cell>
          <cell r="BW134">
            <v>87.694000000000003</v>
          </cell>
          <cell r="BX134">
            <v>87.694000000000003</v>
          </cell>
          <cell r="BY134">
            <v>87.694000000000003</v>
          </cell>
          <cell r="BZ134">
            <v>87.694000000000003</v>
          </cell>
          <cell r="CA134">
            <v>87.694000000000003</v>
          </cell>
          <cell r="CB134">
            <v>87.694000000000003</v>
          </cell>
          <cell r="CC134">
            <v>97.335999999999999</v>
          </cell>
          <cell r="CD134">
            <v>97.335999999999999</v>
          </cell>
          <cell r="CE134">
            <v>97.335999999999999</v>
          </cell>
          <cell r="CF134">
            <v>97.335999999999999</v>
          </cell>
          <cell r="CG134">
            <v>97.335999999999999</v>
          </cell>
        </row>
        <row r="135">
          <cell r="B135" t="str">
            <v>Total Liabilities</v>
          </cell>
          <cell r="Y135">
            <v>38.206041999999997</v>
          </cell>
          <cell r="Z135">
            <v>19.284185999999998</v>
          </cell>
          <cell r="AA135">
            <v>20.213132000000002</v>
          </cell>
          <cell r="AB135">
            <v>23.784534000000001</v>
          </cell>
          <cell r="AC135">
            <v>21.832801</v>
          </cell>
          <cell r="AD135">
            <v>21.832801</v>
          </cell>
          <cell r="AE135">
            <v>24.629052000000001</v>
          </cell>
          <cell r="AF135">
            <v>24.498137000000003</v>
          </cell>
          <cell r="AG135">
            <v>10.250705000000002</v>
          </cell>
          <cell r="AH135">
            <v>19.734083000000005</v>
          </cell>
          <cell r="AI135">
            <v>19.734083000000005</v>
          </cell>
          <cell r="AJ135">
            <v>25.322866000000001</v>
          </cell>
          <cell r="AK135">
            <v>15.969306999999999</v>
          </cell>
          <cell r="AL135">
            <v>22.246402</v>
          </cell>
          <cell r="AM135">
            <v>27.021999999999998</v>
          </cell>
          <cell r="AN135">
            <v>27.021999999999998</v>
          </cell>
          <cell r="AO135">
            <v>27.141000000000005</v>
          </cell>
          <cell r="AP135">
            <v>240.09599999999998</v>
          </cell>
          <cell r="AQ135">
            <v>224.547</v>
          </cell>
          <cell r="AR135">
            <v>234.18</v>
          </cell>
          <cell r="AS135">
            <v>234.18</v>
          </cell>
          <cell r="AT135">
            <v>229.303</v>
          </cell>
          <cell r="AU135">
            <v>224.85200000000003</v>
          </cell>
          <cell r="AV135">
            <v>228.709</v>
          </cell>
          <cell r="AW135">
            <v>203.58599999999998</v>
          </cell>
          <cell r="AX135">
            <v>203.58599999999998</v>
          </cell>
          <cell r="AY135">
            <v>207.08300000000003</v>
          </cell>
          <cell r="AZ135">
            <v>218.92999999999998</v>
          </cell>
          <cell r="BA135">
            <v>232.31400000000005</v>
          </cell>
          <cell r="BB135">
            <v>263.053</v>
          </cell>
          <cell r="BC135">
            <v>263.053</v>
          </cell>
          <cell r="BD135">
            <v>316.12899999999996</v>
          </cell>
          <cell r="BE135">
            <v>320.76600000000008</v>
          </cell>
          <cell r="BF135">
            <v>357.62</v>
          </cell>
          <cell r="BG135">
            <v>379.26900000000001</v>
          </cell>
          <cell r="BH135">
            <v>379.26900000000001</v>
          </cell>
          <cell r="BI135">
            <v>572.83899999999994</v>
          </cell>
          <cell r="BJ135">
            <v>585.38299999999992</v>
          </cell>
          <cell r="BK135">
            <v>2820.3310000000001</v>
          </cell>
          <cell r="BL135">
            <v>2775.2659999999996</v>
          </cell>
          <cell r="BM135">
            <v>2775.2659999999996</v>
          </cell>
          <cell r="BN135">
            <v>2619.645</v>
          </cell>
          <cell r="BO135">
            <v>2594.5419999999999</v>
          </cell>
          <cell r="BP135">
            <v>2660.223</v>
          </cell>
          <cell r="BQ135">
            <v>2670.8649895569897</v>
          </cell>
          <cell r="BR135">
            <v>2670.8649895569897</v>
          </cell>
          <cell r="BS135">
            <v>2863.153742208448</v>
          </cell>
          <cell r="BT135">
            <v>3003.1557821393521</v>
          </cell>
          <cell r="BU135">
            <v>3064.3637303007508</v>
          </cell>
          <cell r="BV135">
            <v>3096.7183544706677</v>
          </cell>
          <cell r="BW135">
            <v>3096.7183544706677</v>
          </cell>
          <cell r="BX135">
            <v>2984.5993429532741</v>
          </cell>
          <cell r="BY135">
            <v>3172.1594486305485</v>
          </cell>
          <cell r="BZ135">
            <v>3282.0565501438482</v>
          </cell>
          <cell r="CA135">
            <v>3318.8778733141094</v>
          </cell>
          <cell r="CB135">
            <v>3318.8778733141094</v>
          </cell>
          <cell r="CC135">
            <v>4347.1254723192278</v>
          </cell>
          <cell r="CD135">
            <v>4541.7588084066238</v>
          </cell>
          <cell r="CE135">
            <v>4695.7039333302746</v>
          </cell>
          <cell r="CF135">
            <v>4573.8173542969425</v>
          </cell>
          <cell r="CG135">
            <v>4573.8173542969425</v>
          </cell>
        </row>
        <row r="137">
          <cell r="B137" t="str">
            <v>Equity</v>
          </cell>
        </row>
        <row r="138">
          <cell r="B138" t="str">
            <v>Common shares</v>
          </cell>
          <cell r="Y138">
            <v>45.695433000000001</v>
          </cell>
          <cell r="Z138">
            <v>45.701593000000003</v>
          </cell>
          <cell r="AA138">
            <v>45.707965999999999</v>
          </cell>
          <cell r="AB138">
            <v>45.745497</v>
          </cell>
          <cell r="AC138">
            <v>64.047219999999996</v>
          </cell>
          <cell r="AD138">
            <v>64.047219999999996</v>
          </cell>
          <cell r="AE138">
            <v>64.129216999999997</v>
          </cell>
          <cell r="AF138">
            <v>99.194103999999996</v>
          </cell>
          <cell r="AG138">
            <v>99.670226</v>
          </cell>
          <cell r="AH138">
            <v>99.839769000000004</v>
          </cell>
          <cell r="AI138">
            <v>99.839769000000004</v>
          </cell>
          <cell r="AJ138">
            <v>101.067404</v>
          </cell>
          <cell r="AK138">
            <v>102.86080200000001</v>
          </cell>
          <cell r="AL138">
            <v>103.130961</v>
          </cell>
          <cell r="AM138">
            <v>103.52</v>
          </cell>
          <cell r="AN138">
            <v>103.52</v>
          </cell>
          <cell r="AO138">
            <v>103.82299999999999</v>
          </cell>
          <cell r="AP138">
            <v>144.63800000000001</v>
          </cell>
          <cell r="AQ138">
            <v>146.20699999999999</v>
          </cell>
          <cell r="AR138">
            <v>146.988</v>
          </cell>
          <cell r="AS138">
            <v>146.988</v>
          </cell>
          <cell r="AT138">
            <v>150.495</v>
          </cell>
          <cell r="AU138">
            <v>153.32</v>
          </cell>
          <cell r="AV138">
            <v>360.13099999999997</v>
          </cell>
          <cell r="AW138">
            <v>361.53</v>
          </cell>
          <cell r="AX138">
            <v>361.53</v>
          </cell>
          <cell r="AY138">
            <v>366.90800000000002</v>
          </cell>
          <cell r="AZ138">
            <v>369.86900000000003</v>
          </cell>
          <cell r="BA138">
            <v>370.947</v>
          </cell>
          <cell r="BB138">
            <v>381.73599999999999</v>
          </cell>
          <cell r="BC138">
            <v>381.73599999999999</v>
          </cell>
          <cell r="BD138">
            <v>385.77499999999998</v>
          </cell>
          <cell r="BE138">
            <v>392.98099999999999</v>
          </cell>
          <cell r="BF138">
            <v>393.61599999999999</v>
          </cell>
          <cell r="BG138">
            <v>394.76900000000001</v>
          </cell>
          <cell r="BH138">
            <v>394.76900000000001</v>
          </cell>
          <cell r="BI138">
            <v>411.82600000000002</v>
          </cell>
          <cell r="BJ138">
            <v>936.24699999999996</v>
          </cell>
          <cell r="BK138">
            <v>4177.8040000000001</v>
          </cell>
          <cell r="BL138">
            <v>4180.7780000000002</v>
          </cell>
          <cell r="BM138">
            <v>4180.7780000000002</v>
          </cell>
          <cell r="BN138">
            <v>4202.8010000000004</v>
          </cell>
          <cell r="BO138">
            <v>4208.2280000000001</v>
          </cell>
          <cell r="BP138">
            <v>4215.1390000000001</v>
          </cell>
          <cell r="BQ138">
            <v>4215.1390000000001</v>
          </cell>
          <cell r="BR138">
            <v>4215.1390000000001</v>
          </cell>
          <cell r="BS138">
            <v>4215.1390000000001</v>
          </cell>
          <cell r="BT138">
            <v>4215.1390000000001</v>
          </cell>
          <cell r="BU138">
            <v>4215.1390000000001</v>
          </cell>
          <cell r="BV138">
            <v>4215.1390000000001</v>
          </cell>
          <cell r="BW138">
            <v>4215.1390000000001</v>
          </cell>
          <cell r="BX138">
            <v>4215.1390000000001</v>
          </cell>
          <cell r="BY138">
            <v>4215.1390000000001</v>
          </cell>
          <cell r="BZ138">
            <v>4215.1390000000001</v>
          </cell>
          <cell r="CA138">
            <v>4215.1390000000001</v>
          </cell>
          <cell r="CB138">
            <v>4215.1390000000001</v>
          </cell>
          <cell r="CC138">
            <v>4264.4440000000004</v>
          </cell>
          <cell r="CD138">
            <v>4264.4440000000004</v>
          </cell>
          <cell r="CE138">
            <v>4264.4440000000004</v>
          </cell>
          <cell r="CF138">
            <v>4264.4440000000004</v>
          </cell>
          <cell r="CG138">
            <v>4264.4440000000004</v>
          </cell>
        </row>
        <row r="139">
          <cell r="B139" t="str">
            <v>Additional paid in capital</v>
          </cell>
          <cell r="Y139">
            <v>0.87439299999999998</v>
          </cell>
          <cell r="Z139">
            <v>1.0129300000000001</v>
          </cell>
          <cell r="AA139">
            <v>1.242597</v>
          </cell>
          <cell r="AB139">
            <v>1.4693879999999999</v>
          </cell>
          <cell r="AC139">
            <v>1.718372</v>
          </cell>
          <cell r="AD139">
            <v>1.718372</v>
          </cell>
          <cell r="AE139">
            <v>2.1972290000000001</v>
          </cell>
          <cell r="AF139">
            <v>2.6321050000000001</v>
          </cell>
          <cell r="AG139">
            <v>2.4214829999999998</v>
          </cell>
          <cell r="AH139">
            <v>4.4184609999999997</v>
          </cell>
          <cell r="AI139">
            <v>4.4184609999999997</v>
          </cell>
          <cell r="AJ139">
            <v>4.4329270000000003</v>
          </cell>
          <cell r="AK139">
            <v>6.7938739999999997</v>
          </cell>
          <cell r="AL139">
            <v>7.9933040000000002</v>
          </cell>
          <cell r="AM139">
            <v>8.2989999999999995</v>
          </cell>
          <cell r="AN139">
            <v>8.2989999999999995</v>
          </cell>
          <cell r="AO139">
            <v>8.9920000000000009</v>
          </cell>
          <cell r="AP139">
            <v>10.295</v>
          </cell>
          <cell r="AQ139">
            <v>11.449</v>
          </cell>
          <cell r="AR139">
            <v>11.423999999999999</v>
          </cell>
          <cell r="AS139">
            <v>11.423999999999999</v>
          </cell>
          <cell r="AT139">
            <v>12.467000000000001</v>
          </cell>
          <cell r="AU139">
            <v>13.053000000000001</v>
          </cell>
          <cell r="AV139">
            <v>14.257</v>
          </cell>
          <cell r="AW139">
            <v>15.152000000000001</v>
          </cell>
          <cell r="AX139">
            <v>15.152000000000001</v>
          </cell>
          <cell r="AY139">
            <v>18.888000000000002</v>
          </cell>
          <cell r="AZ139">
            <v>20.010000000000002</v>
          </cell>
          <cell r="BA139">
            <v>21.373999999999999</v>
          </cell>
          <cell r="BB139">
            <v>24.972999999999999</v>
          </cell>
          <cell r="BC139">
            <v>24.972999999999999</v>
          </cell>
          <cell r="BD139">
            <v>27.698</v>
          </cell>
          <cell r="BE139">
            <v>31.954999999999998</v>
          </cell>
          <cell r="BF139">
            <v>34.213000000000001</v>
          </cell>
          <cell r="BG139">
            <v>37.936</v>
          </cell>
          <cell r="BH139">
            <v>37.936</v>
          </cell>
          <cell r="BI139">
            <v>34.790999999999997</v>
          </cell>
          <cell r="BJ139">
            <v>37.616</v>
          </cell>
          <cell r="BK139">
            <v>65.290999999999997</v>
          </cell>
          <cell r="BL139">
            <v>73.53</v>
          </cell>
          <cell r="BM139">
            <v>73.53</v>
          </cell>
          <cell r="BN139">
            <v>63.863999999999997</v>
          </cell>
          <cell r="BO139">
            <v>70.617999999999995</v>
          </cell>
          <cell r="BP139">
            <v>72.825000000000003</v>
          </cell>
          <cell r="BQ139">
            <v>72.825000000000003</v>
          </cell>
          <cell r="BR139">
            <v>72.825000000000003</v>
          </cell>
          <cell r="BS139">
            <v>72.825000000000003</v>
          </cell>
          <cell r="BT139">
            <v>72.825000000000003</v>
          </cell>
          <cell r="BU139">
            <v>72.825000000000003</v>
          </cell>
          <cell r="BV139">
            <v>72.825000000000003</v>
          </cell>
          <cell r="BW139">
            <v>72.825000000000003</v>
          </cell>
          <cell r="BX139">
            <v>72.825000000000003</v>
          </cell>
          <cell r="BY139">
            <v>72.825000000000003</v>
          </cell>
          <cell r="BZ139">
            <v>72.825000000000003</v>
          </cell>
          <cell r="CA139">
            <v>72.825000000000003</v>
          </cell>
          <cell r="CB139">
            <v>72.825000000000003</v>
          </cell>
          <cell r="CC139">
            <v>65.953000000000003</v>
          </cell>
          <cell r="CD139">
            <v>65.953000000000003</v>
          </cell>
          <cell r="CE139">
            <v>65.953000000000003</v>
          </cell>
          <cell r="CF139">
            <v>65.953000000000003</v>
          </cell>
          <cell r="CG139">
            <v>65.953000000000003</v>
          </cell>
        </row>
        <row r="140">
          <cell r="B140" t="str">
            <v>Retained earnings</v>
          </cell>
          <cell r="Y140">
            <v>-14.016920000000001</v>
          </cell>
          <cell r="Z140">
            <v>-14.001314000000001</v>
          </cell>
          <cell r="AA140">
            <v>-12.454898999999999</v>
          </cell>
          <cell r="AB140">
            <v>-10.244918</v>
          </cell>
          <cell r="AC140">
            <v>-6.2947839999999999</v>
          </cell>
          <cell r="AD140">
            <v>-6.2947839999999999</v>
          </cell>
          <cell r="AE140">
            <v>-0.718252</v>
          </cell>
          <cell r="AF140">
            <v>1.396293</v>
          </cell>
          <cell r="AG140">
            <v>3.9399099999999998</v>
          </cell>
          <cell r="AH140">
            <v>7.2318340000000001</v>
          </cell>
          <cell r="AI140">
            <v>7.2318340000000001</v>
          </cell>
          <cell r="AJ140">
            <v>10.963969000000001</v>
          </cell>
          <cell r="AK140">
            <v>13.919200999999999</v>
          </cell>
          <cell r="AL140">
            <v>16.583333</v>
          </cell>
          <cell r="AM140">
            <v>20.638000000000002</v>
          </cell>
          <cell r="AN140">
            <v>20.638000000000002</v>
          </cell>
          <cell r="AO140">
            <v>23.995000000000001</v>
          </cell>
          <cell r="AP140">
            <v>27.262</v>
          </cell>
          <cell r="AQ140">
            <v>30.800999999999998</v>
          </cell>
          <cell r="AR140">
            <v>35.750999999999998</v>
          </cell>
          <cell r="AS140">
            <v>35.750999999999998</v>
          </cell>
          <cell r="AT140">
            <v>43.433</v>
          </cell>
          <cell r="AU140">
            <v>55.41</v>
          </cell>
          <cell r="AV140">
            <v>66.619</v>
          </cell>
          <cell r="AW140">
            <v>81.811999999999998</v>
          </cell>
          <cell r="AX140">
            <v>81.811999999999998</v>
          </cell>
          <cell r="AY140">
            <v>96.603999999999999</v>
          </cell>
          <cell r="AZ140">
            <v>113.749</v>
          </cell>
          <cell r="BA140">
            <v>129.92500000000001</v>
          </cell>
          <cell r="BB140">
            <v>146.547</v>
          </cell>
          <cell r="BC140">
            <v>146.547</v>
          </cell>
          <cell r="BD140">
            <v>164.81800000000001</v>
          </cell>
          <cell r="BE140">
            <v>186.38300000000001</v>
          </cell>
          <cell r="BF140">
            <v>211.649</v>
          </cell>
          <cell r="BG140">
            <v>238.333</v>
          </cell>
          <cell r="BH140">
            <v>238.333</v>
          </cell>
          <cell r="BI140">
            <v>264.67500000000001</v>
          </cell>
          <cell r="BJ140">
            <v>291.98500000000001</v>
          </cell>
          <cell r="BK140">
            <v>312.46199999999999</v>
          </cell>
          <cell r="BL140">
            <v>352.8</v>
          </cell>
          <cell r="BM140">
            <v>352.8</v>
          </cell>
          <cell r="BN140">
            <v>404.46899999999999</v>
          </cell>
          <cell r="BO140">
            <v>468.673</v>
          </cell>
          <cell r="BP140">
            <v>540.75800000000004</v>
          </cell>
          <cell r="BQ140">
            <v>620.59124075086891</v>
          </cell>
          <cell r="BR140">
            <v>620.59124075086891</v>
          </cell>
          <cell r="BS140">
            <v>694.79615235309723</v>
          </cell>
          <cell r="BT140">
            <v>791.39971362307824</v>
          </cell>
          <cell r="BU140">
            <v>875.2954419311568</v>
          </cell>
          <cell r="BV140">
            <v>990.97975863723866</v>
          </cell>
          <cell r="BW140">
            <v>990.97975863723866</v>
          </cell>
          <cell r="BX140">
            <v>1085.3441099188292</v>
          </cell>
          <cell r="BY140">
            <v>1204.2601663789196</v>
          </cell>
          <cell r="BZ140">
            <v>1306.1354591125207</v>
          </cell>
          <cell r="CA140">
            <v>1446.2845033675205</v>
          </cell>
          <cell r="CB140">
            <v>1446.2845033675205</v>
          </cell>
          <cell r="CC140">
            <v>1423.6678422917648</v>
          </cell>
          <cell r="CD140">
            <v>1551.1425276437144</v>
          </cell>
          <cell r="CE140">
            <v>1654.3347103877811</v>
          </cell>
          <cell r="CF140">
            <v>1773.3934440520454</v>
          </cell>
          <cell r="CG140">
            <v>1773.3934440520454</v>
          </cell>
        </row>
        <row r="141">
          <cell r="B141" t="str">
            <v>Total Equity</v>
          </cell>
          <cell r="Y141">
            <v>32.552906</v>
          </cell>
          <cell r="Z141">
            <v>32.713209000000006</v>
          </cell>
          <cell r="AA141">
            <v>34.495663999999998</v>
          </cell>
          <cell r="AB141">
            <v>36.969966999999997</v>
          </cell>
          <cell r="AC141">
            <v>59.470807999999998</v>
          </cell>
          <cell r="AD141">
            <v>59.470807999999998</v>
          </cell>
          <cell r="AE141">
            <v>65.608193999999997</v>
          </cell>
          <cell r="AF141">
            <v>103.22250199999999</v>
          </cell>
          <cell r="AG141">
            <v>106.03161900000001</v>
          </cell>
          <cell r="AH141">
            <v>111.490064</v>
          </cell>
          <cell r="AI141">
            <v>111.490064</v>
          </cell>
          <cell r="AJ141">
            <v>116.46429999999999</v>
          </cell>
          <cell r="AK141">
            <v>123.57387700000001</v>
          </cell>
          <cell r="AL141">
            <v>127.70759799999999</v>
          </cell>
          <cell r="AM141">
            <v>132.45699999999999</v>
          </cell>
          <cell r="AN141">
            <v>132.45699999999999</v>
          </cell>
          <cell r="AO141">
            <v>136.81</v>
          </cell>
          <cell r="AP141">
            <v>182.19499999999999</v>
          </cell>
          <cell r="AQ141">
            <v>188.45699999999999</v>
          </cell>
          <cell r="AR141">
            <v>194.16300000000001</v>
          </cell>
          <cell r="AS141">
            <v>194.16300000000001</v>
          </cell>
          <cell r="AT141">
            <v>206.39500000000001</v>
          </cell>
          <cell r="AU141">
            <v>221.78299999999999</v>
          </cell>
          <cell r="AV141">
            <v>441.00699999999995</v>
          </cell>
          <cell r="AW141">
            <v>458.49399999999997</v>
          </cell>
          <cell r="AX141">
            <v>458.49399999999997</v>
          </cell>
          <cell r="AY141">
            <v>482.40000000000003</v>
          </cell>
          <cell r="AZ141">
            <v>503.62800000000004</v>
          </cell>
          <cell r="BA141">
            <v>522.24599999999998</v>
          </cell>
          <cell r="BB141">
            <v>553.25599999999997</v>
          </cell>
          <cell r="BC141">
            <v>553.25599999999997</v>
          </cell>
          <cell r="BD141">
            <v>578.29099999999994</v>
          </cell>
          <cell r="BE141">
            <v>611.31899999999996</v>
          </cell>
          <cell r="BF141">
            <v>639.47799999999995</v>
          </cell>
          <cell r="BG141">
            <v>671.03800000000001</v>
          </cell>
          <cell r="BH141">
            <v>671.03800000000001</v>
          </cell>
          <cell r="BI141">
            <v>711.29200000000003</v>
          </cell>
          <cell r="BJ141">
            <v>1265.848</v>
          </cell>
          <cell r="BK141">
            <v>4555.5569999999998</v>
          </cell>
          <cell r="BL141">
            <v>4607.1080000000002</v>
          </cell>
          <cell r="BM141">
            <v>4607.1080000000002</v>
          </cell>
          <cell r="BN141">
            <v>4671.134</v>
          </cell>
          <cell r="BO141">
            <v>4747.5190000000002</v>
          </cell>
          <cell r="BP141">
            <v>4828.7219999999998</v>
          </cell>
          <cell r="BQ141">
            <v>4908.5552407508694</v>
          </cell>
          <cell r="BR141">
            <v>4908.5552407508694</v>
          </cell>
          <cell r="BS141">
            <v>4982.7601523530975</v>
          </cell>
          <cell r="BT141">
            <v>5079.3637136230782</v>
          </cell>
          <cell r="BU141">
            <v>5163.2594419311572</v>
          </cell>
          <cell r="BV141">
            <v>5278.9437586372387</v>
          </cell>
          <cell r="BW141">
            <v>5278.9437586372387</v>
          </cell>
          <cell r="BX141">
            <v>5373.3081099188294</v>
          </cell>
          <cell r="BY141">
            <v>5492.22416637892</v>
          </cell>
          <cell r="BZ141">
            <v>5594.0994591125209</v>
          </cell>
          <cell r="CA141">
            <v>5734.2485033675202</v>
          </cell>
          <cell r="CB141">
            <v>5734.2485033675202</v>
          </cell>
          <cell r="CC141">
            <v>5754.0648422917657</v>
          </cell>
          <cell r="CD141">
            <v>5881.5395276437148</v>
          </cell>
          <cell r="CE141">
            <v>5984.7317103877813</v>
          </cell>
          <cell r="CF141">
            <v>6103.790444052046</v>
          </cell>
          <cell r="CG141">
            <v>6103.790444052046</v>
          </cell>
        </row>
        <row r="142">
          <cell r="B142" t="str">
            <v>Total liabilities and equity</v>
          </cell>
          <cell r="Y142">
            <v>70.758948000000004</v>
          </cell>
          <cell r="Z142">
            <v>51.997395000000004</v>
          </cell>
          <cell r="AA142">
            <v>54.708796</v>
          </cell>
          <cell r="AB142">
            <v>60.754500999999998</v>
          </cell>
          <cell r="AC142">
            <v>81.303608999999994</v>
          </cell>
          <cell r="AD142">
            <v>81.303608999999994</v>
          </cell>
          <cell r="AE142">
            <v>90.237245999999999</v>
          </cell>
          <cell r="AF142">
            <v>127.72063899999999</v>
          </cell>
          <cell r="AG142">
            <v>116.282324</v>
          </cell>
          <cell r="AH142">
            <v>131.22414700000002</v>
          </cell>
          <cell r="AI142">
            <v>131.22414700000002</v>
          </cell>
          <cell r="AJ142">
            <v>141.78716599999998</v>
          </cell>
          <cell r="AK142">
            <v>139.543184</v>
          </cell>
          <cell r="AL142">
            <v>149.95399999999998</v>
          </cell>
          <cell r="AM142">
            <v>159.47899999999998</v>
          </cell>
          <cell r="AN142">
            <v>159.47899999999998</v>
          </cell>
          <cell r="AO142">
            <v>163.95100000000002</v>
          </cell>
          <cell r="AP142">
            <v>422.29099999999994</v>
          </cell>
          <cell r="AQ142">
            <v>413.00400000000002</v>
          </cell>
          <cell r="AR142">
            <v>428.34300000000002</v>
          </cell>
          <cell r="AS142">
            <v>428.34300000000002</v>
          </cell>
          <cell r="AT142">
            <v>435.69799999999998</v>
          </cell>
          <cell r="AU142">
            <v>446.63499999999999</v>
          </cell>
          <cell r="AV142">
            <v>669.71599999999989</v>
          </cell>
          <cell r="AW142">
            <v>662.07999999999993</v>
          </cell>
          <cell r="AX142">
            <v>662.07999999999993</v>
          </cell>
          <cell r="AY142">
            <v>689.48300000000006</v>
          </cell>
          <cell r="AZ142">
            <v>722.55799999999999</v>
          </cell>
          <cell r="BA142">
            <v>754.56000000000006</v>
          </cell>
          <cell r="BB142">
            <v>816.30899999999997</v>
          </cell>
          <cell r="BC142">
            <v>816.30899999999997</v>
          </cell>
          <cell r="BD142">
            <v>894.41999999999985</v>
          </cell>
          <cell r="BE142">
            <v>932.08500000000004</v>
          </cell>
          <cell r="BF142">
            <v>997.09799999999996</v>
          </cell>
          <cell r="BG142">
            <v>1050.307</v>
          </cell>
          <cell r="BH142">
            <v>1050.307</v>
          </cell>
          <cell r="BI142">
            <v>1284.1309999999999</v>
          </cell>
          <cell r="BJ142">
            <v>1851.2309999999998</v>
          </cell>
          <cell r="BK142">
            <v>7375.8879999999999</v>
          </cell>
          <cell r="BL142">
            <v>7382.3739999999998</v>
          </cell>
          <cell r="BM142">
            <v>7382.3739999999998</v>
          </cell>
          <cell r="BN142">
            <v>7290.7790000000005</v>
          </cell>
          <cell r="BO142">
            <v>7342.0609999999997</v>
          </cell>
          <cell r="BP142">
            <v>7488.9449999999997</v>
          </cell>
          <cell r="BQ142">
            <v>7579.4202303078591</v>
          </cell>
          <cell r="BR142">
            <v>7579.4202303078591</v>
          </cell>
          <cell r="BS142">
            <v>7845.913894561545</v>
          </cell>
          <cell r="BT142">
            <v>8082.5194957624299</v>
          </cell>
          <cell r="BU142">
            <v>8227.623172231908</v>
          </cell>
          <cell r="BV142">
            <v>8375.6621131079064</v>
          </cell>
          <cell r="BW142">
            <v>8375.6621131079064</v>
          </cell>
          <cell r="BX142">
            <v>8357.907452872103</v>
          </cell>
          <cell r="BY142">
            <v>8664.3836150094685</v>
          </cell>
          <cell r="BZ142">
            <v>8876.1560092563686</v>
          </cell>
          <cell r="CA142">
            <v>9053.1263766816301</v>
          </cell>
          <cell r="CB142">
            <v>9053.1263766816301</v>
          </cell>
          <cell r="CC142">
            <v>10101.190314610994</v>
          </cell>
          <cell r="CD142">
            <v>10423.298336050339</v>
          </cell>
          <cell r="CE142">
            <v>10680.435643718056</v>
          </cell>
          <cell r="CF142">
            <v>10677.607798348989</v>
          </cell>
          <cell r="CG142">
            <v>10677.607798348989</v>
          </cell>
        </row>
        <row r="143">
          <cell r="B143" t="str">
            <v>Non-controlling Interest</v>
          </cell>
          <cell r="BK143">
            <v>-2.68</v>
          </cell>
          <cell r="BL143">
            <v>2.7530000000000001</v>
          </cell>
          <cell r="BM143">
            <v>2.7530000000000001</v>
          </cell>
          <cell r="BN143">
            <v>6.0149999999999997</v>
          </cell>
          <cell r="BO143">
            <v>5.7510000000000003</v>
          </cell>
          <cell r="BP143">
            <v>3.9409999999999998</v>
          </cell>
          <cell r="BQ143">
            <v>3.9409999999999998</v>
          </cell>
          <cell r="BR143">
            <v>3.9409999999999998</v>
          </cell>
          <cell r="BS143">
            <v>3.9409999999999998</v>
          </cell>
          <cell r="BT143">
            <v>3.9409999999999998</v>
          </cell>
          <cell r="BU143">
            <v>3.9409999999999998</v>
          </cell>
          <cell r="BV143">
            <v>3.9409999999999998</v>
          </cell>
          <cell r="BW143">
            <v>3.9409999999999998</v>
          </cell>
          <cell r="BX143">
            <v>3.9409999999999998</v>
          </cell>
          <cell r="BY143">
            <v>3.9409999999999998</v>
          </cell>
          <cell r="BZ143">
            <v>3.9409999999999998</v>
          </cell>
          <cell r="CA143">
            <v>3.9409999999999998</v>
          </cell>
          <cell r="CB143">
            <v>3.9409999999999998</v>
          </cell>
          <cell r="CC143">
            <v>8.2609999999999992</v>
          </cell>
          <cell r="CD143">
            <v>8.2609999999999992</v>
          </cell>
          <cell r="CE143">
            <v>8.2609999999999992</v>
          </cell>
          <cell r="CF143">
            <v>8.2609999999999992</v>
          </cell>
          <cell r="CG143">
            <v>8.2609999999999992</v>
          </cell>
        </row>
        <row r="144">
          <cell r="B144" t="str">
            <v>BS check: Assets, Liab + Equity</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6.1861626932113722E-13</v>
          </cell>
          <cell r="BL144">
            <v>-2.9842794901924208E-13</v>
          </cell>
          <cell r="BM144">
            <v>6.1106675275368616E-13</v>
          </cell>
          <cell r="BN144">
            <v>-5.8175686490358203E-13</v>
          </cell>
          <cell r="BO144">
            <v>-1.6155965454345278E-12</v>
          </cell>
          <cell r="BP144">
            <v>-1.9628743075372768E-13</v>
          </cell>
          <cell r="BQ144">
            <v>-1.9628743075372768E-13</v>
          </cell>
          <cell r="BR144">
            <v>-1.1057821325266559E-12</v>
          </cell>
          <cell r="BS144">
            <v>-1.9628743075372768E-13</v>
          </cell>
          <cell r="BT144">
            <v>7.1320727101920056E-13</v>
          </cell>
          <cell r="BU144">
            <v>-2.9247715360725124E-12</v>
          </cell>
          <cell r="BV144">
            <v>-1.1057821325266559E-12</v>
          </cell>
          <cell r="BW144">
            <v>-1.1057821325266559E-12</v>
          </cell>
          <cell r="BX144">
            <v>-1.1057821325266559E-12</v>
          </cell>
          <cell r="BY144">
            <v>-1.1057821325266559E-12</v>
          </cell>
          <cell r="BZ144">
            <v>-2.9247715360725124E-12</v>
          </cell>
          <cell r="CA144">
            <v>-2.9247715360725124E-12</v>
          </cell>
          <cell r="CB144">
            <v>-2.9247715360725124E-12</v>
          </cell>
          <cell r="CC144">
            <v>3.5388560578653028E-4</v>
          </cell>
          <cell r="CD144">
            <v>3.5388560760551968E-4</v>
          </cell>
          <cell r="CE144">
            <v>3.5388560760551968E-4</v>
          </cell>
          <cell r="CF144">
            <v>3.5388560760551968E-4</v>
          </cell>
          <cell r="CG144">
            <v>3.5388560760551968E-4</v>
          </cell>
        </row>
        <row r="146">
          <cell r="B146" t="str">
            <v>Days receivable</v>
          </cell>
          <cell r="Y146">
            <v>95.45661413501206</v>
          </cell>
          <cell r="Z146">
            <v>67.686010185509488</v>
          </cell>
          <cell r="AA146">
            <v>68.526220446166704</v>
          </cell>
          <cell r="AB146">
            <v>57.816923285494916</v>
          </cell>
          <cell r="AC146">
            <v>47.516499580126435</v>
          </cell>
          <cell r="AD146">
            <v>58.333338229584903</v>
          </cell>
          <cell r="AE146">
            <v>63.943074311404573</v>
          </cell>
          <cell r="AF146">
            <v>64.24497882098062</v>
          </cell>
          <cell r="AG146">
            <v>60.866267307162346</v>
          </cell>
          <cell r="AH146">
            <v>59.328472362897543</v>
          </cell>
          <cell r="AI146">
            <v>64.551785586298081</v>
          </cell>
          <cell r="AJ146">
            <v>58.986323081983393</v>
          </cell>
          <cell r="AK146">
            <v>57.259869033697157</v>
          </cell>
          <cell r="AL146">
            <v>74.752530843351792</v>
          </cell>
          <cell r="AM146">
            <v>69.700556216032609</v>
          </cell>
          <cell r="AN146">
            <v>70.47632847130545</v>
          </cell>
          <cell r="AO146">
            <v>62.967265698893783</v>
          </cell>
          <cell r="AP146">
            <v>30.265488134179272</v>
          </cell>
          <cell r="AQ146">
            <v>23.095270841650919</v>
          </cell>
          <cell r="AR146">
            <v>25.100092736178382</v>
          </cell>
          <cell r="AS146">
            <v>34.062448214763734</v>
          </cell>
          <cell r="AT146">
            <v>26.462688170195221</v>
          </cell>
          <cell r="AU146">
            <v>23.041670952438839</v>
          </cell>
          <cell r="AV146">
            <v>21.432730640968479</v>
          </cell>
          <cell r="AW146">
            <v>20.033931777783796</v>
          </cell>
          <cell r="AX146">
            <v>24.693876274299093</v>
          </cell>
          <cell r="AY146">
            <v>21.91886561479869</v>
          </cell>
          <cell r="AZ146">
            <v>19.781878459722261</v>
          </cell>
          <cell r="BA146">
            <v>20.584621123362496</v>
          </cell>
          <cell r="BB146">
            <v>21.159729023368108</v>
          </cell>
          <cell r="BC146">
            <v>22.887574240859625</v>
          </cell>
          <cell r="BD146">
            <v>16.66738296837249</v>
          </cell>
          <cell r="BE146">
            <v>17.094821206248312</v>
          </cell>
          <cell r="BF146">
            <v>15.438190889387783</v>
          </cell>
          <cell r="BG146">
            <v>15.914804818812144</v>
          </cell>
          <cell r="BH146">
            <v>15.914804818812144</v>
          </cell>
          <cell r="BI146">
            <v>15.54249920068581</v>
          </cell>
          <cell r="BJ146">
            <v>15.440767561929473</v>
          </cell>
          <cell r="BK146">
            <v>19.335437965011689</v>
          </cell>
          <cell r="BL146">
            <v>19.891658081897198</v>
          </cell>
          <cell r="BM146">
            <v>19.891658081897198</v>
          </cell>
          <cell r="BN146">
            <v>20.61700705900769</v>
          </cell>
          <cell r="BO146">
            <v>20.007536365046249</v>
          </cell>
          <cell r="BP146">
            <v>21.408383109933517</v>
          </cell>
          <cell r="BQ146">
            <v>21.408383109933517</v>
          </cell>
          <cell r="BR146">
            <v>21.408383109933517</v>
          </cell>
          <cell r="BS146">
            <v>23.408383109933517</v>
          </cell>
          <cell r="BT146">
            <v>23.408383109933517</v>
          </cell>
          <cell r="BU146">
            <v>23.408383109933517</v>
          </cell>
          <cell r="BV146">
            <v>23.408383109933517</v>
          </cell>
          <cell r="BW146">
            <v>23.408383109933517</v>
          </cell>
          <cell r="BX146">
            <v>23.108383109933516</v>
          </cell>
          <cell r="BY146">
            <v>23.108383109933516</v>
          </cell>
          <cell r="BZ146">
            <v>23.108383109933516</v>
          </cell>
          <cell r="CA146">
            <v>23.108383109933516</v>
          </cell>
          <cell r="CB146">
            <v>23.108383109933516</v>
          </cell>
          <cell r="CC146">
            <v>20.744006131317153</v>
          </cell>
          <cell r="CD146">
            <v>20.744006131317153</v>
          </cell>
          <cell r="CE146">
            <v>20.744006131317153</v>
          </cell>
          <cell r="CF146">
            <v>20.744006131317153</v>
          </cell>
          <cell r="CG146">
            <v>20.744006131317153</v>
          </cell>
        </row>
        <row r="147">
          <cell r="B147" t="str">
            <v>Rebates receivable</v>
          </cell>
          <cell r="Y147" t="str">
            <v>NM</v>
          </cell>
          <cell r="Z147" t="str">
            <v>NM</v>
          </cell>
          <cell r="AA147" t="str">
            <v>NM</v>
          </cell>
          <cell r="AB147" t="str">
            <v>NM</v>
          </cell>
          <cell r="AC147" t="str">
            <v>NM</v>
          </cell>
          <cell r="AD147" t="str">
            <v>NM</v>
          </cell>
          <cell r="AE147" t="str">
            <v>NM</v>
          </cell>
          <cell r="AF147" t="str">
            <v>NM</v>
          </cell>
          <cell r="AG147" t="str">
            <v>NM</v>
          </cell>
          <cell r="AH147" t="str">
            <v>NM</v>
          </cell>
          <cell r="AI147" t="str">
            <v>NM</v>
          </cell>
          <cell r="AJ147" t="str">
            <v>NM</v>
          </cell>
          <cell r="AK147" t="str">
            <v>NM</v>
          </cell>
          <cell r="AL147" t="str">
            <v>NM</v>
          </cell>
          <cell r="AM147" t="str">
            <v>NM</v>
          </cell>
          <cell r="AN147" t="str">
            <v>NM</v>
          </cell>
          <cell r="AO147" t="str">
            <v>NM</v>
          </cell>
          <cell r="AP147">
            <v>11.603351069022747</v>
          </cell>
          <cell r="AQ147">
            <v>7.4264329795610706</v>
          </cell>
          <cell r="AR147">
            <v>10.006310183023105</v>
          </cell>
          <cell r="AS147">
            <v>13.991099191542286</v>
          </cell>
          <cell r="AT147">
            <v>8.1398489431622973</v>
          </cell>
          <cell r="AU147">
            <v>6.9893775560893623</v>
          </cell>
          <cell r="AV147">
            <v>5.2525680261166583</v>
          </cell>
          <cell r="AW147">
            <v>3.8597071038356248</v>
          </cell>
          <cell r="AX147">
            <v>4.8167163437283396</v>
          </cell>
          <cell r="AY147">
            <v>6.8581258099377322</v>
          </cell>
          <cell r="AZ147">
            <v>7.0629050842575243</v>
          </cell>
          <cell r="BA147">
            <v>7.5060604653573542</v>
          </cell>
          <cell r="BB147">
            <v>6.2534316403240746</v>
          </cell>
          <cell r="BC147">
            <v>6.788056581233711</v>
          </cell>
          <cell r="BD147">
            <v>2.8881167303994784</v>
          </cell>
          <cell r="BE147">
            <v>2.8894979608675952</v>
          </cell>
          <cell r="BF147">
            <v>2.3560424922932675</v>
          </cell>
          <cell r="BG147">
            <v>2.2901611460328435</v>
          </cell>
          <cell r="BH147">
            <v>2.6466768366778783</v>
          </cell>
          <cell r="BI147">
            <v>2.5494603380434167</v>
          </cell>
          <cell r="BJ147">
            <v>4.356807930028312</v>
          </cell>
          <cell r="BK147">
            <v>7.1886321691150217</v>
          </cell>
          <cell r="BL147">
            <v>8.3836867446969308</v>
          </cell>
          <cell r="BM147">
            <v>11.991021472955042</v>
          </cell>
          <cell r="BN147">
            <v>9.0880216359746324</v>
          </cell>
          <cell r="BO147">
            <v>7.6594859255601753</v>
          </cell>
          <cell r="BP147">
            <v>7.4244446481148394</v>
          </cell>
          <cell r="BQ147">
            <v>7.4244446481148394</v>
          </cell>
          <cell r="BR147">
            <v>7.4244446481148394</v>
          </cell>
          <cell r="BS147">
            <v>7.3244446481148398</v>
          </cell>
          <cell r="BT147">
            <v>7.3244446481148398</v>
          </cell>
          <cell r="BU147">
            <v>7.3244446481148398</v>
          </cell>
          <cell r="BV147">
            <v>7.3244446481148398</v>
          </cell>
          <cell r="BW147">
            <v>7.3244446481148398</v>
          </cell>
          <cell r="BX147">
            <v>7.2244446481148401</v>
          </cell>
          <cell r="BY147">
            <v>7.2244446481148401</v>
          </cell>
          <cell r="BZ147">
            <v>7.2244446481148401</v>
          </cell>
          <cell r="CA147">
            <v>7.2244446481148401</v>
          </cell>
          <cell r="CB147">
            <v>7.2244446481148401</v>
          </cell>
          <cell r="CC147">
            <v>14.388448148049248</v>
          </cell>
          <cell r="CD147">
            <v>14.388448148049248</v>
          </cell>
          <cell r="CE147">
            <v>14.388448148049248</v>
          </cell>
          <cell r="CF147">
            <v>14.388448148049248</v>
          </cell>
          <cell r="CG147">
            <v>14.388448148049248</v>
          </cell>
        </row>
        <row r="148">
          <cell r="B148" t="str">
            <v>Inventory turnaround</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27.372052401746725</v>
          </cell>
          <cell r="AQ148">
            <v>40.23225616054301</v>
          </cell>
          <cell r="AR148">
            <v>36.123934818358499</v>
          </cell>
          <cell r="AS148">
            <v>36.123934818358499</v>
          </cell>
          <cell r="AT148">
            <v>39.617374005305038</v>
          </cell>
          <cell r="AU148">
            <v>42.464963981663388</v>
          </cell>
          <cell r="AV148">
            <v>45.740281930798801</v>
          </cell>
          <cell r="AW148">
            <v>53.215451730931605</v>
          </cell>
          <cell r="AX148">
            <v>53.215451730931605</v>
          </cell>
          <cell r="AY148">
            <v>47.234615851438278</v>
          </cell>
          <cell r="AZ148">
            <v>50.15568789499271</v>
          </cell>
          <cell r="BA148">
            <v>53.432480141218008</v>
          </cell>
          <cell r="BB148">
            <v>52.234890109890109</v>
          </cell>
          <cell r="BC148">
            <v>52.234890109890109</v>
          </cell>
          <cell r="BD148">
            <v>93.432365601245536</v>
          </cell>
          <cell r="BE148">
            <v>91.835146854291082</v>
          </cell>
          <cell r="BF148">
            <v>78.057876757324919</v>
          </cell>
          <cell r="BG148">
            <v>65.039173570624939</v>
          </cell>
          <cell r="BH148">
            <v>65.039173570624939</v>
          </cell>
          <cell r="BI148">
            <v>74.069076342633565</v>
          </cell>
          <cell r="BJ148">
            <v>67.902860367203431</v>
          </cell>
          <cell r="BK148">
            <v>125.68266749559642</v>
          </cell>
          <cell r="BL148">
            <v>125.68266749559641</v>
          </cell>
          <cell r="BM148">
            <v>125.68266749559641</v>
          </cell>
          <cell r="BN148">
            <v>74.069076342633565</v>
          </cell>
          <cell r="BO148">
            <v>74.069076342633565</v>
          </cell>
          <cell r="BP148">
            <v>74.069076342633565</v>
          </cell>
          <cell r="BQ148">
            <v>74.069076342633565</v>
          </cell>
          <cell r="BR148">
            <v>74.069076342633565</v>
          </cell>
          <cell r="BS148">
            <v>76.069076342633565</v>
          </cell>
          <cell r="BT148">
            <v>76.069076342633565</v>
          </cell>
          <cell r="BU148">
            <v>76.069076342633565</v>
          </cell>
          <cell r="BV148">
            <v>76.069076342633565</v>
          </cell>
          <cell r="BW148">
            <v>76.069076342633565</v>
          </cell>
          <cell r="BX148">
            <v>78.069076342633565</v>
          </cell>
          <cell r="BY148">
            <v>78.069076342633565</v>
          </cell>
          <cell r="BZ148">
            <v>78.069076342633565</v>
          </cell>
          <cell r="CA148">
            <v>78.069076342633565</v>
          </cell>
          <cell r="CB148">
            <v>78.069076342633565</v>
          </cell>
          <cell r="CC148">
            <v>78.069076342633565</v>
          </cell>
          <cell r="CD148">
            <v>78.069076342633565</v>
          </cell>
          <cell r="CE148">
            <v>78.069076342633565</v>
          </cell>
          <cell r="CF148">
            <v>78.069076342633565</v>
          </cell>
          <cell r="CG148">
            <v>78.069076342633565</v>
          </cell>
        </row>
        <row r="149">
          <cell r="B149" t="str">
            <v>Days Payable - AP</v>
          </cell>
          <cell r="Y149">
            <v>95.621226469485137</v>
          </cell>
          <cell r="Z149">
            <v>62.733057705054691</v>
          </cell>
          <cell r="AA149">
            <v>80.203755767110408</v>
          </cell>
          <cell r="AB149">
            <v>87.108570528713329</v>
          </cell>
          <cell r="AC149">
            <v>82.043001134854322</v>
          </cell>
          <cell r="AD149">
            <v>98.369330877216285</v>
          </cell>
          <cell r="AE149">
            <v>89.193038992021414</v>
          </cell>
          <cell r="AF149">
            <v>8.4898657458852878</v>
          </cell>
          <cell r="AG149">
            <v>12.244518933016931</v>
          </cell>
          <cell r="AH149">
            <v>5.5803246055406825</v>
          </cell>
          <cell r="AI149">
            <v>7.0253677745452396</v>
          </cell>
          <cell r="AJ149">
            <v>18.471272997416019</v>
          </cell>
          <cell r="AK149">
            <v>8.6244112769485906</v>
          </cell>
          <cell r="AL149">
            <v>14.889740898058252</v>
          </cell>
          <cell r="AM149">
            <v>12.29843561973526</v>
          </cell>
          <cell r="AN149">
            <v>12.389443111503978</v>
          </cell>
          <cell r="AO149">
            <v>6.3151702500692073</v>
          </cell>
          <cell r="AP149">
            <v>3.5828701715382869</v>
          </cell>
          <cell r="AQ149">
            <v>2.2563202867079784</v>
          </cell>
          <cell r="AR149">
            <v>2.9651624746561458</v>
          </cell>
          <cell r="AS149">
            <v>4.0540743029996538</v>
          </cell>
          <cell r="AT149">
            <v>2.5746695475343162</v>
          </cell>
          <cell r="AU149">
            <v>2.7966818703447873</v>
          </cell>
          <cell r="AV149">
            <v>1.6084609452462268</v>
          </cell>
          <cell r="AW149">
            <v>2.3153877254396202</v>
          </cell>
          <cell r="AX149">
            <v>2.8907658332235124</v>
          </cell>
          <cell r="AY149">
            <v>1.7102606495338615</v>
          </cell>
          <cell r="AZ149">
            <v>1.7634517402814611</v>
          </cell>
          <cell r="BA149">
            <v>2.0095301996531352</v>
          </cell>
          <cell r="BB149">
            <v>6.0095017566272766</v>
          </cell>
          <cell r="BC149">
            <v>6.5093863119791235</v>
          </cell>
          <cell r="BD149">
            <v>3.3064727475983338</v>
          </cell>
          <cell r="BE149">
            <v>3.0900356026703317</v>
          </cell>
          <cell r="BF149">
            <v>1.1429082416834584</v>
          </cell>
          <cell r="BG149">
            <v>1.3929422766043928</v>
          </cell>
          <cell r="BH149">
            <v>1.5393968631844877</v>
          </cell>
          <cell r="BI149">
            <v>0.95173951956422698</v>
          </cell>
          <cell r="BJ149">
            <v>1.2896389948354605</v>
          </cell>
          <cell r="BK149">
            <v>0</v>
          </cell>
          <cell r="BL149">
            <v>19.203864589085718</v>
          </cell>
          <cell r="BM149">
            <v>25.563713947080529</v>
          </cell>
          <cell r="BN149">
            <v>18.754018804285199</v>
          </cell>
          <cell r="BO149">
            <v>18.042102741622557</v>
          </cell>
          <cell r="BP149">
            <v>19.027790512752677</v>
          </cell>
          <cell r="BQ149">
            <v>17.399999999999999</v>
          </cell>
          <cell r="BR149">
            <v>19.112729920349427</v>
          </cell>
          <cell r="BS149">
            <v>18.754018804285199</v>
          </cell>
          <cell r="BT149">
            <v>18.042102741622557</v>
          </cell>
          <cell r="BU149">
            <v>19.027790512752677</v>
          </cell>
          <cell r="BV149">
            <v>17.399999999999999</v>
          </cell>
          <cell r="BW149">
            <v>19.158192238648073</v>
          </cell>
          <cell r="BX149">
            <v>18.754018804285199</v>
          </cell>
          <cell r="BY149">
            <v>18.042102741622557</v>
          </cell>
          <cell r="BZ149">
            <v>19.027790512752677</v>
          </cell>
          <cell r="CA149">
            <v>17.399999999999999</v>
          </cell>
          <cell r="CB149">
            <v>19.480172952910188</v>
          </cell>
          <cell r="CC149">
            <v>19.084685053774965</v>
          </cell>
          <cell r="CD149">
            <v>18.061598162181728</v>
          </cell>
          <cell r="CE149">
            <v>19.440924084301752</v>
          </cell>
          <cell r="CF149">
            <v>17.751291181076247</v>
          </cell>
          <cell r="CG149">
            <v>18.451902982861228</v>
          </cell>
        </row>
        <row r="150">
          <cell r="B150" t="str">
            <v>Days Payable - Rebates</v>
          </cell>
          <cell r="Y150">
            <v>0</v>
          </cell>
          <cell r="Z150" t="str">
            <v>NM</v>
          </cell>
          <cell r="AA150" t="str">
            <v>NM</v>
          </cell>
          <cell r="AB150" t="str">
            <v>NM</v>
          </cell>
          <cell r="AC150" t="str">
            <v>NM</v>
          </cell>
          <cell r="AD150">
            <v>0</v>
          </cell>
          <cell r="AE150" t="str">
            <v>NM</v>
          </cell>
          <cell r="AF150" t="str">
            <v>NM</v>
          </cell>
          <cell r="AG150" t="str">
            <v>NM</v>
          </cell>
          <cell r="AH150" t="str">
            <v>NM</v>
          </cell>
          <cell r="AI150">
            <v>0</v>
          </cell>
          <cell r="AJ150" t="str">
            <v>NM</v>
          </cell>
          <cell r="AK150" t="str">
            <v>NM</v>
          </cell>
          <cell r="AL150" t="str">
            <v>NM</v>
          </cell>
          <cell r="AM150" t="str">
            <v>NM</v>
          </cell>
          <cell r="AN150">
            <v>0</v>
          </cell>
          <cell r="AO150" t="str">
            <v>NM</v>
          </cell>
          <cell r="AP150">
            <v>14.508865810797618</v>
          </cell>
          <cell r="AQ150">
            <v>9.1935346829173099</v>
          </cell>
          <cell r="AR150">
            <v>12.285852217552129</v>
          </cell>
          <cell r="AS150">
            <v>17.178417806799334</v>
          </cell>
          <cell r="AT150">
            <v>13.213836918365823</v>
          </cell>
          <cell r="AU150">
            <v>14.237068994848695</v>
          </cell>
          <cell r="AV150">
            <v>11.188222607022068</v>
          </cell>
          <cell r="AW150">
            <v>10.203375455550946</v>
          </cell>
          <cell r="AX150">
            <v>12.733288821089225</v>
          </cell>
          <cell r="AY150">
            <v>12.508768964823556</v>
          </cell>
          <cell r="AZ150">
            <v>12.044809935851271</v>
          </cell>
          <cell r="BA150">
            <v>12.569483437787502</v>
          </cell>
          <cell r="BB150">
            <v>11.204285648540003</v>
          </cell>
          <cell r="BC150">
            <v>12.162174196351</v>
          </cell>
          <cell r="BD150">
            <v>5.2101363624066277</v>
          </cell>
          <cell r="BE150">
            <v>4.3461270856300338</v>
          </cell>
          <cell r="BF150">
            <v>4.2754338096530562</v>
          </cell>
          <cell r="BG150">
            <v>4.0095080535927021</v>
          </cell>
          <cell r="BH150">
            <v>4.4494130977629842</v>
          </cell>
          <cell r="BI150">
            <v>3.7573194162311996</v>
          </cell>
          <cell r="BJ150">
            <v>3.5551227508519809</v>
          </cell>
          <cell r="BK150">
            <v>7.1979287504106155</v>
          </cell>
          <cell r="BL150">
            <v>8.3727103214526117</v>
          </cell>
          <cell r="BM150">
            <v>8.3727103214526117</v>
          </cell>
          <cell r="BN150">
            <v>8.3899270262038712</v>
          </cell>
          <cell r="BO150">
            <v>8.4848164431678246</v>
          </cell>
          <cell r="BP150">
            <v>8.0206552284627648</v>
          </cell>
          <cell r="BQ150">
            <v>8.0206552284627648</v>
          </cell>
          <cell r="BR150">
            <v>8.0206552284627648</v>
          </cell>
          <cell r="BS150">
            <v>8.0206552284627648</v>
          </cell>
          <cell r="BT150">
            <v>8.0206552284627648</v>
          </cell>
          <cell r="BU150">
            <v>8.0206552284627648</v>
          </cell>
          <cell r="BV150">
            <v>8.0206552284627648</v>
          </cell>
          <cell r="BW150">
            <v>8.0206552284627648</v>
          </cell>
          <cell r="BX150">
            <v>8.0206552284627648</v>
          </cell>
          <cell r="BY150">
            <v>8.0206552284627648</v>
          </cell>
          <cell r="BZ150">
            <v>8.0206552284627648</v>
          </cell>
          <cell r="CA150">
            <v>8.0206552284627648</v>
          </cell>
          <cell r="CB150">
            <v>8.0206552284627648</v>
          </cell>
          <cell r="CC150">
            <v>15.167234187216293</v>
          </cell>
          <cell r="CD150">
            <v>15.167234187216293</v>
          </cell>
          <cell r="CE150">
            <v>15.167234187216293</v>
          </cell>
          <cell r="CF150">
            <v>15.167234187216293</v>
          </cell>
          <cell r="CG150">
            <v>15.167234187216293</v>
          </cell>
        </row>
        <row r="151">
          <cell r="B151" t="str">
            <v>Days Payable - Claims</v>
          </cell>
          <cell r="Y151">
            <v>0</v>
          </cell>
          <cell r="Z151" t="str">
            <v>NM</v>
          </cell>
          <cell r="AA151" t="str">
            <v>NM</v>
          </cell>
          <cell r="AB151" t="str">
            <v>NM</v>
          </cell>
          <cell r="AC151" t="str">
            <v>NM</v>
          </cell>
          <cell r="AD151">
            <v>0</v>
          </cell>
          <cell r="AE151" t="str">
            <v>NM</v>
          </cell>
          <cell r="AF151" t="str">
            <v>NM</v>
          </cell>
          <cell r="AG151" t="str">
            <v>NM</v>
          </cell>
          <cell r="AH151" t="str">
            <v>NM</v>
          </cell>
          <cell r="AI151">
            <v>32.560873672538072</v>
          </cell>
          <cell r="AJ151" t="str">
            <v>NM</v>
          </cell>
          <cell r="AK151" t="str">
            <v>NM</v>
          </cell>
          <cell r="AL151" t="str">
            <v>NM</v>
          </cell>
          <cell r="AM151" t="str">
            <v>NM</v>
          </cell>
          <cell r="AN151">
            <v>19.818295505450202</v>
          </cell>
          <cell r="AO151" t="str">
            <v>NM</v>
          </cell>
          <cell r="AP151">
            <v>25.935828126525429</v>
          </cell>
          <cell r="AQ151">
            <v>18.672630544656737</v>
          </cell>
          <cell r="AR151">
            <v>17.386073861572559</v>
          </cell>
          <cell r="AS151">
            <v>26.715518137407752</v>
          </cell>
          <cell r="AT151">
            <v>17.682626596459784</v>
          </cell>
          <cell r="AU151">
            <v>13.021255095166481</v>
          </cell>
          <cell r="AV151">
            <v>13.224719069691975</v>
          </cell>
          <cell r="AW151">
            <v>13.501093442225702</v>
          </cell>
          <cell r="AX151">
            <v>18.793188954782003</v>
          </cell>
          <cell r="AY151">
            <v>13.662035499249125</v>
          </cell>
          <cell r="AZ151">
            <v>14.743114260073789</v>
          </cell>
          <cell r="BA151">
            <v>15.928676556338303</v>
          </cell>
          <cell r="BB151">
            <v>15.446701023089037</v>
          </cell>
          <cell r="BC151">
            <v>18.358896015562944</v>
          </cell>
          <cell r="BD151">
            <v>11.689607135960324</v>
          </cell>
          <cell r="BE151">
            <v>11.180295826372779</v>
          </cell>
          <cell r="BF151">
            <v>13.814940117115277</v>
          </cell>
          <cell r="BG151">
            <v>13.517392889516604</v>
          </cell>
          <cell r="BH151">
            <v>15.836675602075495</v>
          </cell>
          <cell r="BI151">
            <v>14.294401286028272</v>
          </cell>
          <cell r="BJ151">
            <v>15.162748498159985</v>
          </cell>
          <cell r="BK151">
            <v>18.352059665064402</v>
          </cell>
          <cell r="BL151">
            <v>0</v>
          </cell>
          <cell r="BM151">
            <v>0</v>
          </cell>
          <cell r="BN151">
            <v>0</v>
          </cell>
          <cell r="BO151">
            <v>0</v>
          </cell>
          <cell r="BP151">
            <v>0</v>
          </cell>
          <cell r="BQ151">
            <v>0</v>
          </cell>
          <cell r="BR151">
            <v>0</v>
          </cell>
          <cell r="BS151">
            <v>0</v>
          </cell>
          <cell r="BT151">
            <v>0</v>
          </cell>
          <cell r="BU151">
            <v>0</v>
          </cell>
          <cell r="BV151">
            <v>0</v>
          </cell>
          <cell r="BW151">
            <v>0</v>
          </cell>
          <cell r="BX151">
            <v>0</v>
          </cell>
          <cell r="BY151">
            <v>0</v>
          </cell>
          <cell r="BZ151">
            <v>0</v>
          </cell>
          <cell r="CA151">
            <v>0</v>
          </cell>
          <cell r="CB151">
            <v>0</v>
          </cell>
          <cell r="CC151">
            <v>0</v>
          </cell>
          <cell r="CD151">
            <v>0</v>
          </cell>
          <cell r="CE151">
            <v>0</v>
          </cell>
          <cell r="CF151">
            <v>0</v>
          </cell>
          <cell r="CG151">
            <v>0</v>
          </cell>
        </row>
        <row r="152">
          <cell r="B152" t="str">
            <v>ROE (annualized)</v>
          </cell>
          <cell r="Y152">
            <v>0.11653024157044539</v>
          </cell>
          <cell r="Z152">
            <v>9.6956161708108168E-2</v>
          </cell>
          <cell r="AA152">
            <v>0.30009013839586324</v>
          </cell>
          <cell r="AB152">
            <v>0.3433176991049024</v>
          </cell>
          <cell r="AC152">
            <v>0.38567023128961814</v>
          </cell>
          <cell r="AD152">
            <v>0.23968393625147535</v>
          </cell>
          <cell r="AE152">
            <v>0.35667262519411541</v>
          </cell>
          <cell r="AF152">
            <v>0.1001971821522314</v>
          </cell>
          <cell r="AG152">
            <v>9.7245090814722795E-2</v>
          </cell>
          <cell r="AH152">
            <v>0.16116615924688646</v>
          </cell>
          <cell r="AI152">
            <v>0.17099627071688775</v>
          </cell>
          <cell r="AJ152">
            <v>0.13901911137028167</v>
          </cell>
          <cell r="AK152">
            <v>0.10609151191919673</v>
          </cell>
          <cell r="AL152">
            <v>9.2589448212438766E-2</v>
          </cell>
          <cell r="AM152">
            <v>0.12316054283549273</v>
          </cell>
          <cell r="AN152">
            <v>0.11525456652455437</v>
          </cell>
          <cell r="AO152">
            <v>0.10709107917799533</v>
          </cell>
          <cell r="AP152">
            <v>0.12589144370777899</v>
          </cell>
          <cell r="AQ152">
            <v>0.1248178884776022</v>
          </cell>
          <cell r="AR152">
            <v>0.14495844440959751</v>
          </cell>
          <cell r="AS152">
            <v>0.13067486193207858</v>
          </cell>
          <cell r="AT152">
            <v>0.18737860684345278</v>
          </cell>
          <cell r="AU152">
            <v>0.2484387334239502</v>
          </cell>
          <cell r="AV152">
            <v>0.14789601532913901</v>
          </cell>
          <cell r="AW152">
            <v>0.14871356452077319</v>
          </cell>
          <cell r="AX152">
            <v>0.15828528614570953</v>
          </cell>
          <cell r="AY152">
            <v>0.13721418140619487</v>
          </cell>
          <cell r="AZ152">
            <v>0.14727370825169292</v>
          </cell>
          <cell r="BA152">
            <v>0.13381760333140352</v>
          </cell>
          <cell r="BB152">
            <v>0.13305786507138051</v>
          </cell>
          <cell r="BC152">
            <v>0.13706548060291593</v>
          </cell>
          <cell r="BD152">
            <v>0.14599481948164755</v>
          </cell>
          <cell r="BE152">
            <v>0.16139743277208488</v>
          </cell>
          <cell r="BF152">
            <v>0.1780112999951223</v>
          </cell>
          <cell r="BG152">
            <v>0.18424498441835116</v>
          </cell>
          <cell r="BH152">
            <v>0.16771135037825816</v>
          </cell>
          <cell r="BI152">
            <v>0.19204097429701963</v>
          </cell>
          <cell r="BJ152">
            <v>0.13292735972161773</v>
          </cell>
          <cell r="BK152">
            <v>7.0646862741898298E-2</v>
          </cell>
          <cell r="BL152">
            <v>7.0743610074143343E-2</v>
          </cell>
          <cell r="BM152">
            <v>7.685691149884824E-2</v>
          </cell>
          <cell r="BN152">
            <v>7.5012486201588485E-2</v>
          </cell>
          <cell r="BO152">
            <v>8.5480588360140164E-2</v>
          </cell>
          <cell r="BP152">
            <v>9.0439662076173738E-2</v>
          </cell>
          <cell r="BQ152">
            <v>9.3328381593546353E-2</v>
          </cell>
          <cell r="BR152">
            <v>8.6066841667372024E-2</v>
          </cell>
          <cell r="BS152">
            <v>8.6466891290728126E-2</v>
          </cell>
          <cell r="BT152">
            <v>0.10280736988914917</v>
          </cell>
          <cell r="BU152">
            <v>9.1070208509897471E-2</v>
          </cell>
          <cell r="BV152">
            <v>0.11368353122873893</v>
          </cell>
          <cell r="BW152">
            <v>9.839598863596917E-2</v>
          </cell>
          <cell r="BX152">
            <v>9.511480039666606E-2</v>
          </cell>
          <cell r="BY152">
            <v>0.11132454636570047</v>
          </cell>
          <cell r="BZ152">
            <v>9.6810663131009944E-2</v>
          </cell>
          <cell r="CA152">
            <v>0.12177100832432416</v>
          </cell>
          <cell r="CB152">
            <v>0.10613466664821386</v>
          </cell>
          <cell r="CC152">
            <v>0.10124297358124146</v>
          </cell>
          <cell r="CD152">
            <v>0.11410313384718138</v>
          </cell>
          <cell r="CE152">
            <v>9.5514326212262912E-2</v>
          </cell>
          <cell r="CF152">
            <v>0.10425851011500395</v>
          </cell>
          <cell r="CG152">
            <v>0.10372229294972421</v>
          </cell>
        </row>
        <row r="153">
          <cell r="B153" t="str">
            <v>EBITDA/Interest Expense</v>
          </cell>
          <cell r="Y153">
            <v>6.482279101771141</v>
          </cell>
          <cell r="Z153">
            <v>4.9025657033153198</v>
          </cell>
          <cell r="AA153">
            <v>-20.520289948491374</v>
          </cell>
          <cell r="AB153">
            <v>10.146438921675804</v>
          </cell>
          <cell r="AC153">
            <v>12.257448671688724</v>
          </cell>
          <cell r="AD153">
            <v>13.454196308735401</v>
          </cell>
          <cell r="AE153">
            <v>14.264719139106433</v>
          </cell>
          <cell r="AF153">
            <v>10.710296848131714</v>
          </cell>
          <cell r="AG153">
            <v>5.3789813858776334</v>
          </cell>
          <cell r="AH153">
            <v>104.30870703937401</v>
          </cell>
          <cell r="AI153">
            <v>11.312762453446366</v>
          </cell>
          <cell r="AJ153">
            <v>38.552147239263796</v>
          </cell>
          <cell r="AK153">
            <v>-31.523809523809533</v>
          </cell>
          <cell r="AL153">
            <v>-291.642857142857</v>
          </cell>
          <cell r="AM153">
            <v>153.84444444444446</v>
          </cell>
          <cell r="AN153">
            <v>868.69230769230808</v>
          </cell>
          <cell r="AO153">
            <v>158.29999999999998</v>
          </cell>
          <cell r="AP153">
            <v>12.090909090909095</v>
          </cell>
          <cell r="AQ153">
            <v>7.6241180243746163</v>
          </cell>
          <cell r="AR153">
            <v>5.9501418727199136</v>
          </cell>
          <cell r="AS153">
            <v>8.7428983120625876</v>
          </cell>
          <cell r="AT153">
            <v>25.881141045958749</v>
          </cell>
          <cell r="AU153">
            <v>15.909213180901155</v>
          </cell>
          <cell r="AV153">
            <v>22.762172284644198</v>
          </cell>
          <cell r="AW153">
            <v>10.854032833690221</v>
          </cell>
          <cell r="AX153">
            <v>15.816800267201069</v>
          </cell>
          <cell r="AY153">
            <v>46.824324324324394</v>
          </cell>
          <cell r="AZ153">
            <v>83.222222222222314</v>
          </cell>
          <cell r="BA153">
            <v>81.613941018766837</v>
          </cell>
          <cell r="BB153">
            <v>88.843304843304793</v>
          </cell>
          <cell r="BC153">
            <v>71.312868949232637</v>
          </cell>
          <cell r="BD153">
            <v>77.701986754966839</v>
          </cell>
          <cell r="BE153">
            <v>61.146233382570117</v>
          </cell>
          <cell r="BF153">
            <v>39.33005733005723</v>
          </cell>
          <cell r="BG153">
            <v>119.52913752913751</v>
          </cell>
          <cell r="BH153">
            <v>63.271582733812878</v>
          </cell>
          <cell r="BI153">
            <v>46.426612903225724</v>
          </cell>
          <cell r="BJ153">
            <v>31.119191919191874</v>
          </cell>
          <cell r="BK153">
            <v>8.9162374398378841</v>
          </cell>
          <cell r="BL153">
            <v>12.616490231517353</v>
          </cell>
          <cell r="BM153">
            <v>13.8774829473053</v>
          </cell>
          <cell r="BN153">
            <v>13.00317057704501</v>
          </cell>
          <cell r="BO153">
            <v>14.492436050242956</v>
          </cell>
          <cell r="BP153">
            <v>18.637713272767563</v>
          </cell>
          <cell r="BQ153">
            <v>15.356167021429167</v>
          </cell>
          <cell r="BR153">
            <v>15.22200916711907</v>
          </cell>
          <cell r="BS153">
            <v>14.849202685491845</v>
          </cell>
          <cell r="BT153">
            <v>17.487930159405334</v>
          </cell>
          <cell r="BU153">
            <v>15.969291110285157</v>
          </cell>
          <cell r="BV153">
            <v>19.712923682476017</v>
          </cell>
          <cell r="BW153">
            <v>17.004836909414589</v>
          </cell>
          <cell r="BX153">
            <v>17.089627891801676</v>
          </cell>
          <cell r="BY153">
            <v>19.963386895080415</v>
          </cell>
          <cell r="BZ153">
            <v>17.926392366277049</v>
          </cell>
          <cell r="CA153">
            <v>22.431258110668917</v>
          </cell>
          <cell r="CB153">
            <v>19.352666315957013</v>
          </cell>
          <cell r="CC153">
            <v>15.987907636855635</v>
          </cell>
          <cell r="CD153">
            <v>18.035140482253507</v>
          </cell>
          <cell r="CE153">
            <v>15.84372725994958</v>
          </cell>
          <cell r="CF153">
            <v>17.358087383869233</v>
          </cell>
          <cell r="CG153">
            <v>16.80545434133181</v>
          </cell>
        </row>
        <row r="154">
          <cell r="B154" t="str">
            <v>Debt to equity</v>
          </cell>
          <cell r="Y154">
            <v>0.98865886197686914</v>
          </cell>
          <cell r="Z154">
            <v>0.43318220477850394</v>
          </cell>
          <cell r="AA154">
            <v>0.38893780969109626</v>
          </cell>
          <cell r="AB154">
            <v>0.36326142785034132</v>
          </cell>
          <cell r="AC154">
            <v>0.22032419670504561</v>
          </cell>
          <cell r="AD154">
            <v>0.22032419670504561</v>
          </cell>
          <cell r="AE154">
            <v>0.19473105752613767</v>
          </cell>
          <cell r="AF154">
            <v>0.12060401326059701</v>
          </cell>
          <cell r="AG154">
            <v>0</v>
          </cell>
          <cell r="AH154">
            <v>0</v>
          </cell>
          <cell r="AI154">
            <v>0</v>
          </cell>
          <cell r="AJ154">
            <v>0</v>
          </cell>
          <cell r="AK154">
            <v>0</v>
          </cell>
          <cell r="AL154">
            <v>0</v>
          </cell>
          <cell r="AM154">
            <v>0</v>
          </cell>
          <cell r="AN154">
            <v>0</v>
          </cell>
          <cell r="AO154">
            <v>0</v>
          </cell>
          <cell r="AP154">
            <v>0.26279535662339804</v>
          </cell>
          <cell r="AQ154">
            <v>0.25342651108740988</v>
          </cell>
          <cell r="AR154">
            <v>0.24536085659986712</v>
          </cell>
          <cell r="AS154">
            <v>0.24536085659986712</v>
          </cell>
          <cell r="AT154">
            <v>0.23023813561375031</v>
          </cell>
          <cell r="AU154">
            <v>0.20885279755436623</v>
          </cell>
          <cell r="AV154">
            <v>0.1023113011811604</v>
          </cell>
          <cell r="AW154">
            <v>0</v>
          </cell>
          <cell r="AX154">
            <v>0</v>
          </cell>
          <cell r="AY154">
            <v>0</v>
          </cell>
          <cell r="AZ154">
            <v>0</v>
          </cell>
          <cell r="BA154">
            <v>0</v>
          </cell>
          <cell r="BB154">
            <v>0</v>
          </cell>
          <cell r="BC154">
            <v>0</v>
          </cell>
          <cell r="BD154">
            <v>0</v>
          </cell>
          <cell r="BE154">
            <v>0</v>
          </cell>
          <cell r="BF154">
            <v>0</v>
          </cell>
          <cell r="BG154">
            <v>0</v>
          </cell>
          <cell r="BH154">
            <v>0</v>
          </cell>
          <cell r="BI154">
            <v>0.14058923761268227</v>
          </cell>
          <cell r="BJ154">
            <v>7.8998426351347087E-2</v>
          </cell>
          <cell r="BK154">
            <v>0.2792029602527199</v>
          </cell>
          <cell r="BL154">
            <v>0.25469405101855652</v>
          </cell>
          <cell r="BM154">
            <v>0.25469405101855652</v>
          </cell>
          <cell r="BN154">
            <v>0.23011114645822622</v>
          </cell>
          <cell r="BO154">
            <v>0.21597744000603261</v>
          </cell>
          <cell r="BP154">
            <v>0.21131057037452147</v>
          </cell>
          <cell r="BQ154">
            <v>0.20787379380575413</v>
          </cell>
          <cell r="BR154">
            <v>0.20787379380575413</v>
          </cell>
          <cell r="BS154">
            <v>0.20477806854061342</v>
          </cell>
          <cell r="BT154">
            <v>0.2008834290136281</v>
          </cell>
          <cell r="BU154">
            <v>0.19761935488145177</v>
          </cell>
          <cell r="BV154">
            <v>0.19328866656904986</v>
          </cell>
          <cell r="BW154">
            <v>0.19328866656904986</v>
          </cell>
          <cell r="BX154">
            <v>0.18989419164638482</v>
          </cell>
          <cell r="BY154">
            <v>0.18578265727866927</v>
          </cell>
          <cell r="BZ154">
            <v>0.18239933119849744</v>
          </cell>
          <cell r="CA154">
            <v>0.17794136396439375</v>
          </cell>
          <cell r="CB154">
            <v>0.17794136396439375</v>
          </cell>
          <cell r="CC154">
            <v>0.25945571364214731</v>
          </cell>
          <cell r="CD154">
            <v>0.2538323500136539</v>
          </cell>
          <cell r="CE154">
            <v>0.24945562679254435</v>
          </cell>
          <cell r="CF154">
            <v>0.24458981901234977</v>
          </cell>
          <cell r="CG154">
            <v>0.24458981901234977</v>
          </cell>
        </row>
        <row r="155">
          <cell r="B155" t="str">
            <v>Debt to EBITDA</v>
          </cell>
          <cell r="Y155">
            <v>1.1796374774949121</v>
          </cell>
          <cell r="Z155">
            <v>1.6959660490354964</v>
          </cell>
          <cell r="AA155">
            <v>0.95783863649863155</v>
          </cell>
          <cell r="AB155">
            <v>0.74280911581699183</v>
          </cell>
          <cell r="AC155">
            <v>0.46992531467010595</v>
          </cell>
          <cell r="AD155">
            <v>0.1917715179254087</v>
          </cell>
          <cell r="AE155">
            <v>0.57342090092762021</v>
          </cell>
          <cell r="AF155">
            <v>0.73808421609817776</v>
          </cell>
          <cell r="AG155">
            <v>0</v>
          </cell>
          <cell r="AH155">
            <v>0</v>
          </cell>
          <cell r="AI155">
            <v>0</v>
          </cell>
          <cell r="AJ155">
            <v>0</v>
          </cell>
          <cell r="AK155">
            <v>0</v>
          </cell>
          <cell r="AL155">
            <v>0</v>
          </cell>
          <cell r="AM155">
            <v>0</v>
          </cell>
          <cell r="AN155">
            <v>0</v>
          </cell>
          <cell r="AO155">
            <v>0</v>
          </cell>
          <cell r="AP155">
            <v>1.2499999999999996</v>
          </cell>
          <cell r="AQ155">
            <v>1.0045431600201895</v>
          </cell>
          <cell r="AR155">
            <v>0.81136317187819185</v>
          </cell>
          <cell r="AS155">
            <v>0.28041343912603267</v>
          </cell>
          <cell r="AT155">
            <v>0.72745086032698669</v>
          </cell>
          <cell r="AU155">
            <v>0.48949570951515381</v>
          </cell>
          <cell r="AV155">
            <v>0.46400658165364034</v>
          </cell>
          <cell r="AW155">
            <v>0</v>
          </cell>
          <cell r="AX155">
            <v>0</v>
          </cell>
          <cell r="AY155">
            <v>0</v>
          </cell>
          <cell r="AZ155">
            <v>0</v>
          </cell>
          <cell r="BA155">
            <v>0</v>
          </cell>
          <cell r="BB155">
            <v>0</v>
          </cell>
          <cell r="BC155">
            <v>0</v>
          </cell>
          <cell r="BD155">
            <v>0</v>
          </cell>
          <cell r="BE155">
            <v>0</v>
          </cell>
          <cell r="BF155">
            <v>0</v>
          </cell>
          <cell r="BG155">
            <v>0</v>
          </cell>
          <cell r="BH155">
            <v>0</v>
          </cell>
          <cell r="BI155">
            <v>0.43426149490177085</v>
          </cell>
          <cell r="BJ155">
            <v>0.40573876915087054</v>
          </cell>
          <cell r="BK155">
            <v>3.0113286613949506</v>
          </cell>
          <cell r="BL155">
            <v>2.001151162076797</v>
          </cell>
          <cell r="BM155">
            <v>0.79224247121764946</v>
          </cell>
          <cell r="BN155">
            <v>1.8720653188613805</v>
          </cell>
          <cell r="BO155">
            <v>1.6216921091422107</v>
          </cell>
          <cell r="BP155">
            <v>1.5163710291040515</v>
          </cell>
          <cell r="BQ155">
            <v>1.3747556013413056</v>
          </cell>
          <cell r="BR155">
            <v>0.38921983220350609</v>
          </cell>
          <cell r="BS155">
            <v>1.4216909200430332</v>
          </cell>
          <cell r="BT155">
            <v>1.2071741158280245</v>
          </cell>
          <cell r="BU155">
            <v>1.3219733100266222</v>
          </cell>
          <cell r="BV155">
            <v>1.0709206289176261</v>
          </cell>
          <cell r="BW155">
            <v>0.31036723169268476</v>
          </cell>
          <cell r="BX155">
            <v>1.2353093210396844</v>
          </cell>
          <cell r="BY155">
            <v>1.0574847213447918</v>
          </cell>
          <cell r="BZ155">
            <v>1.177647805341812</v>
          </cell>
          <cell r="CA155">
            <v>0.94114099724978972</v>
          </cell>
          <cell r="CB155">
            <v>0.27271405762878748</v>
          </cell>
          <cell r="CC155">
            <v>1.5657670273207482</v>
          </cell>
          <cell r="CD155">
            <v>1.3927251638487306</v>
          </cell>
          <cell r="CE155">
            <v>1.5904152472094344</v>
          </cell>
          <cell r="CF155">
            <v>1.4558427624399426</v>
          </cell>
          <cell r="CG155">
            <v>0.37420453317258628</v>
          </cell>
        </row>
        <row r="156">
          <cell r="B156" t="str">
            <v>Debt to total capitalization</v>
          </cell>
          <cell r="Y156">
            <v>0.69504176107117521</v>
          </cell>
          <cell r="Z156">
            <v>0.30731898097507443</v>
          </cell>
          <cell r="AA156">
            <v>0.28611645929658608</v>
          </cell>
          <cell r="AB156">
            <v>0.27385475001595644</v>
          </cell>
          <cell r="AC156">
            <v>0.18443386634918305</v>
          </cell>
          <cell r="AD156">
            <v>0.18443386634918305</v>
          </cell>
          <cell r="AE156">
            <v>0.16660487858070586</v>
          </cell>
          <cell r="AF156">
            <v>0.1093926049337641</v>
          </cell>
          <cell r="AG156">
            <v>0</v>
          </cell>
          <cell r="AH156">
            <v>0</v>
          </cell>
          <cell r="AI156">
            <v>0</v>
          </cell>
          <cell r="AJ156">
            <v>0</v>
          </cell>
          <cell r="AK156">
            <v>0</v>
          </cell>
          <cell r="AL156">
            <v>0</v>
          </cell>
          <cell r="AM156">
            <v>0</v>
          </cell>
          <cell r="AN156">
            <v>0</v>
          </cell>
          <cell r="AO156">
            <v>0</v>
          </cell>
          <cell r="AP156">
            <v>0.20952672691070612</v>
          </cell>
          <cell r="AQ156">
            <v>0.20447218690196381</v>
          </cell>
          <cell r="AR156">
            <v>0.20009828505185165</v>
          </cell>
          <cell r="AS156">
            <v>0.20009828505185165</v>
          </cell>
          <cell r="AT156">
            <v>0.19075527366878747</v>
          </cell>
          <cell r="AU156">
            <v>0.17591899826435703</v>
          </cell>
          <cell r="AV156">
            <v>9.3740845620544869E-2</v>
          </cell>
          <cell r="AW156">
            <v>0</v>
          </cell>
          <cell r="AX156">
            <v>0</v>
          </cell>
          <cell r="AY156">
            <v>0</v>
          </cell>
          <cell r="AZ156">
            <v>0</v>
          </cell>
          <cell r="BA156">
            <v>0</v>
          </cell>
          <cell r="BB156">
            <v>0</v>
          </cell>
          <cell r="BC156">
            <v>0</v>
          </cell>
          <cell r="BD156">
            <v>0</v>
          </cell>
          <cell r="BE156">
            <v>0</v>
          </cell>
          <cell r="BF156">
            <v>0</v>
          </cell>
          <cell r="BG156">
            <v>0</v>
          </cell>
          <cell r="BH156">
            <v>0</v>
          </cell>
          <cell r="BI156">
            <v>0.12326018252367828</v>
          </cell>
          <cell r="BJ156">
            <v>7.3214589031868851E-2</v>
          </cell>
          <cell r="BK156">
            <v>0.21929809437339631</v>
          </cell>
          <cell r="BL156">
            <v>0.20445193205187914</v>
          </cell>
          <cell r="BM156">
            <v>0.20445193205187914</v>
          </cell>
          <cell r="BN156">
            <v>0.18887319553246576</v>
          </cell>
          <cell r="BO156">
            <v>0.17877764247714534</v>
          </cell>
          <cell r="BP156">
            <v>0.17576255759360535</v>
          </cell>
          <cell r="BQ156">
            <v>0.17337830940322341</v>
          </cell>
          <cell r="BR156">
            <v>0.17337830940322341</v>
          </cell>
          <cell r="BS156">
            <v>0.17121943660390085</v>
          </cell>
          <cell r="BT156">
            <v>0.16848818179389921</v>
          </cell>
          <cell r="BU156">
            <v>0.16618594412311621</v>
          </cell>
          <cell r="BV156">
            <v>0.16311265786680471</v>
          </cell>
          <cell r="BW156">
            <v>0.16311265786680471</v>
          </cell>
          <cell r="BX156">
            <v>0.1606886864267047</v>
          </cell>
          <cell r="BY156">
            <v>0.15773475927134026</v>
          </cell>
          <cell r="BZ156">
            <v>0.15528916722758518</v>
          </cell>
          <cell r="CA156">
            <v>0.15204612040143323</v>
          </cell>
          <cell r="CB156">
            <v>0.15204612040143323</v>
          </cell>
          <cell r="CC156">
            <v>0.20816050117591142</v>
          </cell>
          <cell r="CD156">
            <v>0.20452527638789961</v>
          </cell>
          <cell r="CE156">
            <v>0.20167421756908602</v>
          </cell>
          <cell r="CF156">
            <v>0.19848198341251549</v>
          </cell>
          <cell r="CG156">
            <v>0.19848198341251549</v>
          </cell>
        </row>
        <row r="158">
          <cell r="B158" t="str">
            <v>CASHFLOW STATEMENT</v>
          </cell>
          <cell r="F158" t="str">
            <v>Fiscal Year End, Dec 31 2001</v>
          </cell>
          <cell r="K158" t="str">
            <v>Fiscal Year End, Dec 31 2002</v>
          </cell>
          <cell r="P158" t="str">
            <v>Fiscal Year End, Dec 31 2003</v>
          </cell>
          <cell r="U158" t="str">
            <v>Fiscal Year End, Dec 31 2004</v>
          </cell>
          <cell r="Z158" t="str">
            <v xml:space="preserve">Fiscal Year End, Dec 31 2005 </v>
          </cell>
          <cell r="AE158" t="str">
            <v xml:space="preserve">Fiscal Year End, Dec 31 2006 </v>
          </cell>
          <cell r="AJ158" t="str">
            <v xml:space="preserve">Fiscal Year End, Dec 31 2007 </v>
          </cell>
          <cell r="AO158" t="str">
            <v>Fiscal Year End, Dec 31 2008</v>
          </cell>
          <cell r="AT158" t="str">
            <v>Fiscal Year End, Dec 31 2009</v>
          </cell>
          <cell r="AY158" t="str">
            <v>Fiscal Year End, Dec 31 2010</v>
          </cell>
          <cell r="BD158" t="str">
            <v>Fiscal Year End, Dec 31 2011</v>
          </cell>
          <cell r="BI158" t="str">
            <v>Fiscal Year End, Dec 31 2012</v>
          </cell>
          <cell r="BN158" t="str">
            <v>Fiscal Year End, Dec 31 2013</v>
          </cell>
          <cell r="BS158" t="str">
            <v>Fiscal Year End, Dec 31 2014</v>
          </cell>
          <cell r="BX158" t="str">
            <v>Fiscal Year End, Dec 31 2015</v>
          </cell>
          <cell r="CC158" t="str">
            <v>Fiscal Year End, Dec 31 2015</v>
          </cell>
        </row>
        <row r="159">
          <cell r="B159" t="str">
            <v>(In millions, except per share data)</v>
          </cell>
          <cell r="D159" t="str">
            <v>1999A</v>
          </cell>
          <cell r="E159" t="str">
            <v>2000A</v>
          </cell>
          <cell r="F159" t="str">
            <v>1Q01A</v>
          </cell>
          <cell r="G159" t="str">
            <v>2Q01A</v>
          </cell>
          <cell r="H159" t="str">
            <v>3Q01A</v>
          </cell>
          <cell r="I159" t="str">
            <v>4Q01A</v>
          </cell>
          <cell r="J159" t="str">
            <v>2001A</v>
          </cell>
          <cell r="K159" t="str">
            <v>1Q02A</v>
          </cell>
          <cell r="L159" t="str">
            <v>2Q02A</v>
          </cell>
          <cell r="M159" t="str">
            <v>3Q02A</v>
          </cell>
          <cell r="N159" t="str">
            <v>4Q02A</v>
          </cell>
          <cell r="O159" t="str">
            <v>2002A</v>
          </cell>
          <cell r="P159" t="str">
            <v>1Q03A</v>
          </cell>
          <cell r="Q159" t="str">
            <v>2Q03A</v>
          </cell>
          <cell r="R159" t="str">
            <v>3Q03A</v>
          </cell>
          <cell r="S159" t="str">
            <v>4Q03A</v>
          </cell>
          <cell r="T159" t="str">
            <v>2003A</v>
          </cell>
          <cell r="U159" t="str">
            <v>1QA</v>
          </cell>
          <cell r="V159" t="str">
            <v>2QA</v>
          </cell>
          <cell r="W159" t="str">
            <v>3QA</v>
          </cell>
          <cell r="X159" t="str">
            <v>4QA</v>
          </cell>
          <cell r="Y159" t="str">
            <v>2004A</v>
          </cell>
          <cell r="Z159" t="str">
            <v>1QA</v>
          </cell>
          <cell r="AA159" t="str">
            <v>2QA</v>
          </cell>
          <cell r="AB159" t="str">
            <v>3QA</v>
          </cell>
          <cell r="AC159" t="str">
            <v>4QA</v>
          </cell>
          <cell r="AD159" t="str">
            <v>2005A</v>
          </cell>
          <cell r="AE159" t="str">
            <v>1QA</v>
          </cell>
          <cell r="AF159" t="str">
            <v>2QA</v>
          </cell>
          <cell r="AG159" t="str">
            <v>3QA</v>
          </cell>
          <cell r="AH159" t="str">
            <v>4QA</v>
          </cell>
          <cell r="AI159" t="str">
            <v>2006A</v>
          </cell>
          <cell r="AJ159" t="str">
            <v>1QA</v>
          </cell>
          <cell r="AK159" t="str">
            <v>2QA</v>
          </cell>
          <cell r="AL159" t="str">
            <v>3QA</v>
          </cell>
          <cell r="AM159" t="str">
            <v>4QA</v>
          </cell>
          <cell r="AN159" t="str">
            <v>2007A</v>
          </cell>
          <cell r="AO159" t="str">
            <v>1QA</v>
          </cell>
          <cell r="AP159" t="str">
            <v>2QA</v>
          </cell>
          <cell r="AQ159" t="str">
            <v>3QA</v>
          </cell>
          <cell r="AR159" t="str">
            <v>4QA</v>
          </cell>
          <cell r="AS159" t="str">
            <v>2008A</v>
          </cell>
          <cell r="AT159" t="str">
            <v>1QA</v>
          </cell>
          <cell r="AU159" t="str">
            <v>2QA</v>
          </cell>
          <cell r="AV159" t="str">
            <v>3QA</v>
          </cell>
          <cell r="AW159" t="str">
            <v>4QA</v>
          </cell>
          <cell r="AX159" t="str">
            <v>2009A</v>
          </cell>
          <cell r="AY159" t="str">
            <v>1QA</v>
          </cell>
          <cell r="AZ159" t="str">
            <v>2QA</v>
          </cell>
          <cell r="BA159" t="str">
            <v>3QA</v>
          </cell>
          <cell r="BB159" t="str">
            <v>4QA</v>
          </cell>
          <cell r="BC159" t="str">
            <v>2010A</v>
          </cell>
          <cell r="BD159" t="str">
            <v>1QA</v>
          </cell>
          <cell r="BE159" t="str">
            <v>2QA</v>
          </cell>
          <cell r="BF159" t="str">
            <v>3QA</v>
          </cell>
          <cell r="BG159" t="str">
            <v>4QA</v>
          </cell>
          <cell r="BH159" t="str">
            <v>2011A</v>
          </cell>
          <cell r="BI159" t="str">
            <v>1QA</v>
          </cell>
          <cell r="BJ159" t="str">
            <v>2QA</v>
          </cell>
          <cell r="BK159" t="str">
            <v>3QA</v>
          </cell>
          <cell r="BL159" t="str">
            <v>4QA</v>
          </cell>
          <cell r="BM159" t="str">
            <v>2012A</v>
          </cell>
          <cell r="BN159" t="str">
            <v>1QA</v>
          </cell>
          <cell r="BO159" t="str">
            <v>2QA</v>
          </cell>
          <cell r="BP159" t="str">
            <v>3QA</v>
          </cell>
          <cell r="BQ159" t="str">
            <v>4QE</v>
          </cell>
          <cell r="BR159" t="str">
            <v>2013E</v>
          </cell>
          <cell r="BS159" t="str">
            <v>1QE</v>
          </cell>
          <cell r="BT159" t="str">
            <v>2QE</v>
          </cell>
          <cell r="BU159" t="str">
            <v>3QE</v>
          </cell>
          <cell r="BV159" t="str">
            <v>4QE</v>
          </cell>
          <cell r="BW159" t="str">
            <v>2014E</v>
          </cell>
          <cell r="BX159" t="str">
            <v>1QE</v>
          </cell>
          <cell r="BY159" t="str">
            <v>2QE</v>
          </cell>
          <cell r="BZ159" t="str">
            <v>3QE</v>
          </cell>
          <cell r="CA159" t="str">
            <v>4QE</v>
          </cell>
          <cell r="CB159" t="str">
            <v>2015E</v>
          </cell>
          <cell r="CC159" t="str">
            <v>1QE</v>
          </cell>
          <cell r="CD159" t="str">
            <v>2QE</v>
          </cell>
          <cell r="CE159" t="str">
            <v>3QE</v>
          </cell>
          <cell r="CF159" t="str">
            <v>4QE</v>
          </cell>
          <cell r="CG159" t="str">
            <v>2016E</v>
          </cell>
        </row>
        <row r="160">
          <cell r="B160" t="str">
            <v>Net income (continuing)</v>
          </cell>
          <cell r="Y160">
            <v>4.7513248170000013</v>
          </cell>
          <cell r="Z160">
            <v>1.2652860008278135</v>
          </cell>
          <cell r="AA160">
            <v>3.1172825589599671</v>
          </cell>
          <cell r="AB160">
            <v>3.5911066790012121</v>
          </cell>
          <cell r="AC160">
            <v>5.0769553720340994</v>
          </cell>
          <cell r="AD160">
            <v>13.050630610823092</v>
          </cell>
          <cell r="AE160">
            <v>5.576532000000002</v>
          </cell>
          <cell r="AF160">
            <v>2.1145450000000006</v>
          </cell>
          <cell r="AG160">
            <v>2.5436169999999989</v>
          </cell>
          <cell r="AH160">
            <v>3.2909999999999999</v>
          </cell>
          <cell r="AI160">
            <v>13.525694000000001</v>
          </cell>
          <cell r="AJ160">
            <v>3.7329999999999988</v>
          </cell>
          <cell r="AK160">
            <v>2.9550000000000018</v>
          </cell>
          <cell r="AL160">
            <v>2.6799999999999988</v>
          </cell>
          <cell r="AM160">
            <v>3.7770000000000001</v>
          </cell>
          <cell r="AN160">
            <v>13.145</v>
          </cell>
          <cell r="AO160">
            <v>3.3569999999999993</v>
          </cell>
          <cell r="AP160">
            <v>3.2670000000000048</v>
          </cell>
          <cell r="AQ160">
            <v>3.5390000000000259</v>
          </cell>
          <cell r="AR160">
            <v>4.9500000000000242</v>
          </cell>
          <cell r="AS160">
            <v>15.113000000000055</v>
          </cell>
          <cell r="AT160">
            <v>7.6819999999999693</v>
          </cell>
          <cell r="AU160">
            <v>11.977000000000018</v>
          </cell>
          <cell r="AV160">
            <v>11.209000000000005</v>
          </cell>
          <cell r="AW160">
            <v>15.193</v>
          </cell>
          <cell r="AX160">
            <v>46.060999999999986</v>
          </cell>
          <cell r="AY160">
            <v>14.792000000000041</v>
          </cell>
          <cell r="AZ160">
            <v>17.145000000000032</v>
          </cell>
          <cell r="BA160">
            <v>16.17600000000003</v>
          </cell>
          <cell r="BB160">
            <v>16.621999999999986</v>
          </cell>
          <cell r="BC160">
            <v>64.735000000000085</v>
          </cell>
          <cell r="BD160">
            <v>18.270999999999979</v>
          </cell>
          <cell r="BE160">
            <v>21.564999999999984</v>
          </cell>
          <cell r="BF160">
            <v>25.265999999999874</v>
          </cell>
          <cell r="BG160">
            <v>26.683999999999987</v>
          </cell>
          <cell r="BH160">
            <v>91.785999999999831</v>
          </cell>
          <cell r="BI160">
            <v>26.341999999999892</v>
          </cell>
          <cell r="BJ160">
            <v>27.30999999999991</v>
          </cell>
          <cell r="BK160">
            <v>19.407</v>
          </cell>
          <cell r="BL160">
            <v>47.962000000000003</v>
          </cell>
          <cell r="BM160">
            <v>121.02099999999982</v>
          </cell>
          <cell r="BN160">
            <v>56.783999999999999</v>
          </cell>
          <cell r="BO160">
            <v>71.156999999999996</v>
          </cell>
          <cell r="BP160">
            <v>83.128</v>
          </cell>
          <cell r="BQ160">
            <v>79.833240750868896</v>
          </cell>
          <cell r="BR160">
            <v>290.90224075086888</v>
          </cell>
          <cell r="BS160">
            <v>74.204911602228293</v>
          </cell>
          <cell r="BT160">
            <v>96.603561269981043</v>
          </cell>
          <cell r="BU160">
            <v>83.895728308078532</v>
          </cell>
          <cell r="BV160">
            <v>115.68431670608186</v>
          </cell>
          <cell r="BW160">
            <v>370.38851788636975</v>
          </cell>
          <cell r="BX160">
            <v>94.364351281590444</v>
          </cell>
          <cell r="BY160">
            <v>118.91605646009046</v>
          </cell>
          <cell r="BZ160">
            <v>101.8752927336011</v>
          </cell>
          <cell r="CA160">
            <v>140.14904425499975</v>
          </cell>
          <cell r="CB160">
            <v>455.30474473028175</v>
          </cell>
          <cell r="CC160">
            <v>105.81781492313787</v>
          </cell>
          <cell r="CD160">
            <v>127.47468535194959</v>
          </cell>
          <cell r="CE160">
            <v>103.19218274406664</v>
          </cell>
          <cell r="CF160">
            <v>119.05873366426424</v>
          </cell>
          <cell r="CG160">
            <v>455.54341668341834</v>
          </cell>
        </row>
        <row r="161">
          <cell r="B161" t="str">
            <v>Depreciation of property and equipment</v>
          </cell>
          <cell r="Y161">
            <v>0</v>
          </cell>
          <cell r="Z161">
            <v>0</v>
          </cell>
          <cell r="AA161">
            <v>0</v>
          </cell>
          <cell r="AB161">
            <v>0</v>
          </cell>
          <cell r="AC161">
            <v>1.740167</v>
          </cell>
          <cell r="AD161">
            <v>1.740167</v>
          </cell>
          <cell r="AE161">
            <v>0.49918899999999999</v>
          </cell>
          <cell r="AF161">
            <v>0.655358</v>
          </cell>
          <cell r="AG161">
            <v>0.79574699999999998</v>
          </cell>
          <cell r="AH161">
            <v>0.56899999999999995</v>
          </cell>
          <cell r="AI161">
            <v>2.5192939999999999</v>
          </cell>
          <cell r="AJ161">
            <v>0.93899999999999995</v>
          </cell>
          <cell r="AK161">
            <v>0.747</v>
          </cell>
          <cell r="AL161">
            <v>1.101</v>
          </cell>
          <cell r="AM161">
            <v>0.79</v>
          </cell>
          <cell r="AN161">
            <v>3.577</v>
          </cell>
          <cell r="AO161">
            <v>0.77900000000000003</v>
          </cell>
          <cell r="AP161">
            <v>1.325</v>
          </cell>
          <cell r="AQ161">
            <v>0.90200000000000002</v>
          </cell>
          <cell r="AR161">
            <v>1.9</v>
          </cell>
          <cell r="AS161">
            <v>4.9059999999999997</v>
          </cell>
          <cell r="AT161">
            <v>0.61299999999999999</v>
          </cell>
          <cell r="AU161">
            <v>0.81699999999999995</v>
          </cell>
          <cell r="AV161">
            <v>1.046</v>
          </cell>
          <cell r="AW161">
            <v>1.18</v>
          </cell>
          <cell r="AX161">
            <v>3.6560000000000001</v>
          </cell>
          <cell r="AY161">
            <v>2.089</v>
          </cell>
          <cell r="AZ161">
            <v>1.617</v>
          </cell>
          <cell r="BA161">
            <v>2.077</v>
          </cell>
          <cell r="BB161">
            <v>1.3680000000000001</v>
          </cell>
          <cell r="BC161">
            <v>7.1509999999999998</v>
          </cell>
          <cell r="BD161">
            <v>2.33</v>
          </cell>
          <cell r="BE161">
            <v>2.2509999999999999</v>
          </cell>
          <cell r="BF161">
            <v>2.2349999999999999</v>
          </cell>
          <cell r="BG161">
            <v>2.6760000000000002</v>
          </cell>
          <cell r="BH161">
            <v>9.4919999999999991</v>
          </cell>
          <cell r="BI161">
            <v>3.0550000000000002</v>
          </cell>
          <cell r="BJ161">
            <v>3.2410000000000001</v>
          </cell>
          <cell r="BK161">
            <v>6.649</v>
          </cell>
          <cell r="BL161">
            <v>7.2880000000000003</v>
          </cell>
          <cell r="BM161">
            <v>20.233000000000001</v>
          </cell>
          <cell r="BN161">
            <v>8.1029999999999998</v>
          </cell>
          <cell r="BO161">
            <v>9.0419999999999998</v>
          </cell>
          <cell r="BP161">
            <v>11.058999999999999</v>
          </cell>
          <cell r="BQ161">
            <v>11.058999999999999</v>
          </cell>
          <cell r="BR161">
            <v>39.262999999999998</v>
          </cell>
          <cell r="BS161">
            <v>11.058999999999999</v>
          </cell>
          <cell r="BT161">
            <v>11.058999999999999</v>
          </cell>
          <cell r="BU161">
            <v>11.058999999999999</v>
          </cell>
          <cell r="BV161">
            <v>11.058999999999999</v>
          </cell>
          <cell r="BW161">
            <v>44.235999999999997</v>
          </cell>
          <cell r="BX161">
            <v>11.058999999999999</v>
          </cell>
          <cell r="BY161">
            <v>11.058999999999999</v>
          </cell>
          <cell r="BZ161">
            <v>11.058999999999999</v>
          </cell>
          <cell r="CA161">
            <v>11.058999999999999</v>
          </cell>
          <cell r="CB161">
            <v>44.235999999999997</v>
          </cell>
          <cell r="CC161">
            <v>21.483000000000001</v>
          </cell>
          <cell r="CD161">
            <v>21.483000000000001</v>
          </cell>
          <cell r="CE161">
            <v>21.483000000000001</v>
          </cell>
          <cell r="CF161">
            <v>21.483000000000001</v>
          </cell>
          <cell r="CG161">
            <v>85.932000000000002</v>
          </cell>
        </row>
        <row r="162">
          <cell r="B162" t="str">
            <v>Amortization of intangible assets</v>
          </cell>
          <cell r="Y162">
            <v>1.565685</v>
          </cell>
          <cell r="Z162">
            <v>0.39622299999999999</v>
          </cell>
          <cell r="AA162">
            <v>0.44750000000000001</v>
          </cell>
          <cell r="AB162">
            <v>0.39</v>
          </cell>
          <cell r="AC162">
            <v>0.33227700000000016</v>
          </cell>
          <cell r="AD162">
            <v>1.5660000000000001</v>
          </cell>
          <cell r="AE162">
            <v>0.39743600000000001</v>
          </cell>
          <cell r="AF162">
            <v>0.39456400000000003</v>
          </cell>
          <cell r="AG162">
            <v>0.39600000000000002</v>
          </cell>
          <cell r="AH162">
            <v>0.39600000000000002</v>
          </cell>
          <cell r="AI162">
            <v>1.5840000000000001</v>
          </cell>
          <cell r="AJ162">
            <v>0.39600000000000002</v>
          </cell>
          <cell r="AK162">
            <v>0.96099999999999997</v>
          </cell>
          <cell r="AL162">
            <v>1.042</v>
          </cell>
          <cell r="AM162">
            <v>1.052</v>
          </cell>
          <cell r="AN162">
            <v>3.4510000000000001</v>
          </cell>
          <cell r="AO162">
            <v>1.1639999999999999</v>
          </cell>
          <cell r="AP162">
            <v>1.881</v>
          </cell>
          <cell r="AQ162">
            <v>1.669</v>
          </cell>
          <cell r="AR162">
            <v>3.0880000000000001</v>
          </cell>
          <cell r="AS162">
            <v>7.8019999999999996</v>
          </cell>
          <cell r="AT162">
            <v>1.976</v>
          </cell>
          <cell r="AU162">
            <v>1.968</v>
          </cell>
          <cell r="AV162">
            <v>2.0369999999999999</v>
          </cell>
          <cell r="AW162">
            <v>2.0329999999999999</v>
          </cell>
          <cell r="AX162">
            <v>8.0139999999999993</v>
          </cell>
          <cell r="AY162">
            <v>1.9950000000000001</v>
          </cell>
          <cell r="AZ162">
            <v>2.1459999999999999</v>
          </cell>
          <cell r="BA162">
            <v>1.9419999999999999</v>
          </cell>
          <cell r="BB162">
            <v>2.1269999999999998</v>
          </cell>
          <cell r="BC162">
            <v>8.2100000000000009</v>
          </cell>
          <cell r="BD162">
            <v>3.56</v>
          </cell>
          <cell r="BE162">
            <v>3.6669999999999998</v>
          </cell>
          <cell r="BF162">
            <v>3.899</v>
          </cell>
          <cell r="BG162">
            <v>5.26</v>
          </cell>
          <cell r="BH162">
            <v>16.385999999999999</v>
          </cell>
          <cell r="BI162">
            <v>10.318</v>
          </cell>
          <cell r="BJ162">
            <v>9.0120000000000005</v>
          </cell>
          <cell r="BK162">
            <v>51.38</v>
          </cell>
          <cell r="BL162">
            <v>59.406999999999996</v>
          </cell>
          <cell r="BM162">
            <v>130.11700000000002</v>
          </cell>
          <cell r="BN162">
            <v>52.82</v>
          </cell>
          <cell r="BO162">
            <v>52.464999999999996</v>
          </cell>
          <cell r="BP162">
            <v>47.22</v>
          </cell>
          <cell r="BQ162">
            <v>47.22</v>
          </cell>
          <cell r="BR162">
            <v>199.72499999999999</v>
          </cell>
          <cell r="BS162">
            <v>46.72</v>
          </cell>
          <cell r="BT162">
            <v>46.72</v>
          </cell>
          <cell r="BU162">
            <v>46.72</v>
          </cell>
          <cell r="BV162">
            <v>46.72</v>
          </cell>
          <cell r="BW162">
            <v>186.88</v>
          </cell>
          <cell r="BX162">
            <v>46.12</v>
          </cell>
          <cell r="BY162">
            <v>46.12</v>
          </cell>
          <cell r="BZ162">
            <v>46.12</v>
          </cell>
          <cell r="CA162">
            <v>46.12</v>
          </cell>
          <cell r="CB162">
            <v>184.48</v>
          </cell>
          <cell r="CC162">
            <v>52.716000000000001</v>
          </cell>
          <cell r="CD162">
            <v>52.716000000000001</v>
          </cell>
          <cell r="CE162">
            <v>52.716000000000001</v>
          </cell>
          <cell r="CF162">
            <v>52.716000000000001</v>
          </cell>
          <cell r="CG162">
            <v>210.864</v>
          </cell>
        </row>
        <row r="163">
          <cell r="B163" t="str">
            <v>Stock-based compensation</v>
          </cell>
          <cell r="Y163">
            <v>0.57932799999999995</v>
          </cell>
          <cell r="Z163">
            <v>0.13853699999999999</v>
          </cell>
          <cell r="AA163">
            <v>0.22966700000000001</v>
          </cell>
          <cell r="AB163">
            <v>0.22679099999999999</v>
          </cell>
          <cell r="AC163">
            <v>0.24898400000000009</v>
          </cell>
          <cell r="AD163">
            <v>0.84397900000000003</v>
          </cell>
          <cell r="AE163">
            <v>0.47885699999999998</v>
          </cell>
          <cell r="AF163">
            <v>0.43487599999999998</v>
          </cell>
          <cell r="AG163">
            <v>0.47110999999999997</v>
          </cell>
          <cell r="AH163">
            <v>0.57299999999999995</v>
          </cell>
          <cell r="AI163">
            <v>1.9578429999999998</v>
          </cell>
          <cell r="AJ163">
            <v>0.40300000000000002</v>
          </cell>
          <cell r="AK163">
            <v>0.39600000000000002</v>
          </cell>
          <cell r="AL163">
            <v>0.39600000000000002</v>
          </cell>
          <cell r="AM163">
            <v>0.39600000000000002</v>
          </cell>
          <cell r="AN163">
            <v>1.5910000000000002</v>
          </cell>
          <cell r="AO163">
            <v>0.39600000000000002</v>
          </cell>
          <cell r="AP163">
            <v>2.4319999999999999</v>
          </cell>
          <cell r="AQ163">
            <v>3.4489999999999998</v>
          </cell>
          <cell r="AR163">
            <v>1.0740000000000001</v>
          </cell>
          <cell r="AS163">
            <v>7.351</v>
          </cell>
          <cell r="AT163">
            <v>2.8250000000000002</v>
          </cell>
          <cell r="AU163">
            <v>2.415</v>
          </cell>
          <cell r="AV163">
            <v>2.2389999999999999</v>
          </cell>
          <cell r="AW163">
            <v>2.246</v>
          </cell>
          <cell r="AX163">
            <v>9.7249999999999996</v>
          </cell>
          <cell r="AY163">
            <v>1.264</v>
          </cell>
          <cell r="AZ163">
            <v>1.978</v>
          </cell>
          <cell r="BA163">
            <v>1.6459999999999999</v>
          </cell>
          <cell r="BB163">
            <v>1.9410000000000001</v>
          </cell>
          <cell r="BC163">
            <v>6.8289999999999997</v>
          </cell>
          <cell r="BD163">
            <v>1.6830000000000001</v>
          </cell>
          <cell r="BE163">
            <v>2.419</v>
          </cell>
          <cell r="BF163">
            <v>2.4039999999999999</v>
          </cell>
          <cell r="BG163">
            <v>2.9380000000000002</v>
          </cell>
          <cell r="BH163">
            <v>9.4440000000000008</v>
          </cell>
          <cell r="BI163">
            <v>2.7890000000000001</v>
          </cell>
          <cell r="BJ163">
            <v>4.0640000000000001</v>
          </cell>
          <cell r="BK163">
            <v>6.3079999999999998</v>
          </cell>
          <cell r="BL163">
            <v>4.5060000000000002</v>
          </cell>
          <cell r="BM163">
            <v>17.667000000000002</v>
          </cell>
          <cell r="BN163">
            <v>6.6440000000000001</v>
          </cell>
          <cell r="BO163">
            <v>6.4870000000000001</v>
          </cell>
          <cell r="BP163">
            <v>6.5919999999999996</v>
          </cell>
          <cell r="BQ163">
            <v>0</v>
          </cell>
          <cell r="BR163">
            <v>19.722999999999999</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row>
        <row r="164">
          <cell r="B164" t="str">
            <v>Deferred lease inducements and rent</v>
          </cell>
          <cell r="Y164">
            <v>0</v>
          </cell>
          <cell r="Z164">
            <v>0</v>
          </cell>
          <cell r="AA164">
            <v>0</v>
          </cell>
          <cell r="AB164">
            <v>0</v>
          </cell>
          <cell r="AC164">
            <v>0</v>
          </cell>
          <cell r="AD164">
            <v>0</v>
          </cell>
          <cell r="AE164">
            <v>0</v>
          </cell>
          <cell r="AF164">
            <v>0</v>
          </cell>
          <cell r="AG164">
            <v>0</v>
          </cell>
          <cell r="AH164">
            <v>0.29799999999999999</v>
          </cell>
          <cell r="AI164">
            <v>0.29799999999999999</v>
          </cell>
          <cell r="AJ164">
            <v>0.189</v>
          </cell>
          <cell r="AK164">
            <v>0.19700000000000001</v>
          </cell>
          <cell r="AL164">
            <v>8.3000000000000004E-2</v>
          </cell>
          <cell r="AM164">
            <v>-1.6E-2</v>
          </cell>
          <cell r="AN164">
            <v>0.45300000000000001</v>
          </cell>
          <cell r="AO164">
            <v>-6.4000000000000001E-2</v>
          </cell>
          <cell r="AP164">
            <v>-4.2999999999999997E-2</v>
          </cell>
          <cell r="AQ164">
            <v>-9.9000000000000005E-2</v>
          </cell>
          <cell r="AR164">
            <v>-9.8000000000000004E-2</v>
          </cell>
          <cell r="AS164">
            <v>-0.30399999999999999</v>
          </cell>
          <cell r="AT164">
            <v>-4.4999999999999998E-2</v>
          </cell>
          <cell r="AU164">
            <v>-0.32400000000000001</v>
          </cell>
          <cell r="AV164">
            <v>-0.115</v>
          </cell>
          <cell r="AW164">
            <v>-0.109</v>
          </cell>
          <cell r="AX164">
            <v>-0.59300000000000008</v>
          </cell>
          <cell r="AY164">
            <v>-0.121</v>
          </cell>
          <cell r="AZ164">
            <v>-0.11700000000000001</v>
          </cell>
          <cell r="BA164">
            <v>-0.127</v>
          </cell>
          <cell r="BB164">
            <v>-9.7000000000000003E-2</v>
          </cell>
          <cell r="BC164">
            <v>-0.46200000000000002</v>
          </cell>
          <cell r="BD164">
            <v>-0.122</v>
          </cell>
          <cell r="BE164">
            <v>-0.125</v>
          </cell>
          <cell r="BF164">
            <v>-0.15</v>
          </cell>
          <cell r="BG164">
            <v>1.1559999999999999</v>
          </cell>
          <cell r="BH164">
            <v>0.75900000000000001</v>
          </cell>
          <cell r="BI164">
            <v>5.0999999999999997E-2</v>
          </cell>
          <cell r="BJ164">
            <v>0.154</v>
          </cell>
          <cell r="BK164">
            <v>1.204</v>
          </cell>
          <cell r="BL164">
            <v>1.7270000000000001</v>
          </cell>
          <cell r="BM164">
            <v>3.1360000000000001</v>
          </cell>
          <cell r="BN164">
            <v>14.528</v>
          </cell>
          <cell r="BO164">
            <v>0.82099999999999995</v>
          </cell>
          <cell r="BP164">
            <v>8.6929999999999996</v>
          </cell>
          <cell r="BQ164">
            <v>0</v>
          </cell>
          <cell r="BR164">
            <v>24.042000000000002</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row>
        <row r="165">
          <cell r="B165" t="str">
            <v>Deferred income taxes</v>
          </cell>
          <cell r="Y165">
            <v>0</v>
          </cell>
          <cell r="Z165">
            <v>0</v>
          </cell>
          <cell r="AA165">
            <v>0</v>
          </cell>
          <cell r="AB165">
            <v>0</v>
          </cell>
          <cell r="AC165">
            <v>-0.68</v>
          </cell>
          <cell r="AD165">
            <v>-0.68</v>
          </cell>
          <cell r="AE165">
            <v>-2.5368050000000002</v>
          </cell>
          <cell r="AF165">
            <v>5.8659999999999997E-2</v>
          </cell>
          <cell r="AG165">
            <v>0.71820399999999995</v>
          </cell>
          <cell r="AH165">
            <v>-1.9119999999999999</v>
          </cell>
          <cell r="AI165">
            <v>-3.6719409999999999</v>
          </cell>
          <cell r="AJ165">
            <v>0.38100000000000001</v>
          </cell>
          <cell r="AK165">
            <v>-0.11</v>
          </cell>
          <cell r="AL165">
            <v>-0.20699999999999999</v>
          </cell>
          <cell r="AM165">
            <v>-1.024</v>
          </cell>
          <cell r="AN165">
            <v>-0.96000000000000019</v>
          </cell>
          <cell r="AO165">
            <v>0.30199999999999999</v>
          </cell>
          <cell r="AP165">
            <v>-7.0999999999999994E-2</v>
          </cell>
          <cell r="AQ165">
            <v>-2.08</v>
          </cell>
          <cell r="AR165">
            <v>2.2090000000000001</v>
          </cell>
          <cell r="AS165">
            <v>0.36</v>
          </cell>
          <cell r="AT165">
            <v>0.64900000000000002</v>
          </cell>
          <cell r="AU165">
            <v>0.81499999999999995</v>
          </cell>
          <cell r="AV165">
            <v>-2.4020000000000001</v>
          </cell>
          <cell r="AW165">
            <v>0.67600000000000005</v>
          </cell>
          <cell r="AX165">
            <v>-0.26200000000000001</v>
          </cell>
          <cell r="AY165">
            <v>1.6080000000000001</v>
          </cell>
          <cell r="AZ165">
            <v>1.1599999999999999</v>
          </cell>
          <cell r="BA165">
            <v>-0.41</v>
          </cell>
          <cell r="BB165">
            <v>0.93200000000000005</v>
          </cell>
          <cell r="BC165">
            <v>3.29</v>
          </cell>
          <cell r="BD165">
            <v>0.45900000000000002</v>
          </cell>
          <cell r="BE165">
            <v>-0.77800000000000002</v>
          </cell>
          <cell r="BF165">
            <v>-1.177</v>
          </cell>
          <cell r="BG165">
            <v>-4.3979999999999997</v>
          </cell>
          <cell r="BH165">
            <v>-5.8940000000000001</v>
          </cell>
          <cell r="BI165">
            <v>-0.23599999999999999</v>
          </cell>
          <cell r="BJ165">
            <v>-0.46899999999999997</v>
          </cell>
          <cell r="BK165">
            <v>-17.988</v>
          </cell>
          <cell r="BL165">
            <v>-19.228999999999999</v>
          </cell>
          <cell r="BM165">
            <v>-37.921999999999997</v>
          </cell>
          <cell r="BN165">
            <v>-16.652000000000001</v>
          </cell>
          <cell r="BO165">
            <v>-9.1349999999999998</v>
          </cell>
          <cell r="BP165">
            <v>-10.438000000000001</v>
          </cell>
          <cell r="BQ165">
            <v>0</v>
          </cell>
          <cell r="BR165">
            <v>-36.225000000000001</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row>
        <row r="166">
          <cell r="B166" t="str">
            <v>Tax benefit on stock-based compensation plans &amp; other</v>
          </cell>
          <cell r="Y166">
            <v>0</v>
          </cell>
          <cell r="Z166">
            <v>0.37916500000000003</v>
          </cell>
          <cell r="AA166">
            <v>-9.9165999999999976E-2</v>
          </cell>
          <cell r="AB166">
            <v>0.46694599999999997</v>
          </cell>
          <cell r="AC166">
            <v>-1.1855869999999999</v>
          </cell>
          <cell r="AD166">
            <v>-0.43864199999999998</v>
          </cell>
          <cell r="AE166">
            <v>0.80482699999999996</v>
          </cell>
          <cell r="AF166">
            <v>4.7010999999999997E-2</v>
          </cell>
          <cell r="AG166">
            <v>0.693712</v>
          </cell>
          <cell r="AH166">
            <v>0.01</v>
          </cell>
          <cell r="AI166">
            <v>1.55555</v>
          </cell>
          <cell r="AJ166">
            <v>0.12000000000000001</v>
          </cell>
          <cell r="AK166">
            <v>-0.122</v>
          </cell>
          <cell r="AL166">
            <v>-0.16399999999999998</v>
          </cell>
          <cell r="AM166">
            <v>-1.2E-2</v>
          </cell>
          <cell r="AN166">
            <v>-0.17799999999999999</v>
          </cell>
          <cell r="AO166">
            <v>-7.9999999999999984E-3</v>
          </cell>
          <cell r="AP166">
            <v>-9.4E-2</v>
          </cell>
          <cell r="AQ166">
            <v>-0.71899999999999997</v>
          </cell>
          <cell r="AR166">
            <v>1E-3</v>
          </cell>
          <cell r="AS166">
            <v>-0.82</v>
          </cell>
          <cell r="AT166">
            <v>-1.5620000000000001</v>
          </cell>
          <cell r="AU166">
            <v>-0.54400000000000004</v>
          </cell>
          <cell r="AV166">
            <v>-1.341</v>
          </cell>
          <cell r="AW166">
            <v>-1.0169999999999999</v>
          </cell>
          <cell r="AX166">
            <v>-4.4639999999999995</v>
          </cell>
          <cell r="AY166">
            <v>-4.0819999999999999</v>
          </cell>
          <cell r="AZ166">
            <v>-1.506</v>
          </cell>
          <cell r="BA166">
            <v>-0.48199999999999998</v>
          </cell>
          <cell r="BB166">
            <v>-7.0369999999999999</v>
          </cell>
          <cell r="BC166">
            <v>-13.106999999999999</v>
          </cell>
          <cell r="BD166">
            <v>-3.323</v>
          </cell>
          <cell r="BE166">
            <v>-5.6959999999999997</v>
          </cell>
          <cell r="BF166">
            <v>-0.30399999999999999</v>
          </cell>
          <cell r="BG166">
            <v>-1.482</v>
          </cell>
          <cell r="BH166">
            <v>-10.805</v>
          </cell>
          <cell r="BI166">
            <v>-7.7889999999999997</v>
          </cell>
          <cell r="BJ166">
            <v>-2.7919999999999998</v>
          </cell>
          <cell r="BK166">
            <v>-6.633</v>
          </cell>
          <cell r="BL166">
            <v>0.31000000000000005</v>
          </cell>
          <cell r="BM166">
            <v>-16.904</v>
          </cell>
          <cell r="BN166">
            <v>-4.9279999999999999</v>
          </cell>
          <cell r="BO166">
            <v>-4.5490000000000004</v>
          </cell>
          <cell r="BP166">
            <v>-0.99199999999999999</v>
          </cell>
          <cell r="BQ166">
            <v>0</v>
          </cell>
          <cell r="BR166">
            <v>-10.469000000000001</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row>
        <row r="167">
          <cell r="B167" t="str">
            <v>Other</v>
          </cell>
          <cell r="Y167">
            <v>0.57932799999999995</v>
          </cell>
          <cell r="Z167">
            <v>0.517702</v>
          </cell>
          <cell r="AA167">
            <v>0.13050100000000003</v>
          </cell>
          <cell r="AB167">
            <v>0.69373699999999994</v>
          </cell>
          <cell r="AC167">
            <v>-1.616603</v>
          </cell>
          <cell r="AD167">
            <v>-0.27466299999999999</v>
          </cell>
          <cell r="AE167">
            <v>-1.2531210000000002</v>
          </cell>
          <cell r="AF167">
            <v>0.540547</v>
          </cell>
          <cell r="AG167">
            <v>1.8830260000000001</v>
          </cell>
          <cell r="AH167">
            <v>-1.0309999999999999</v>
          </cell>
          <cell r="AI167">
            <v>0.13945199999999969</v>
          </cell>
          <cell r="AJ167">
            <v>1.0930000000000002</v>
          </cell>
          <cell r="AK167">
            <v>0.36099999999999999</v>
          </cell>
          <cell r="AL167">
            <v>0.10800000000000004</v>
          </cell>
          <cell r="AM167">
            <v>-0.65600000000000003</v>
          </cell>
          <cell r="AN167">
            <v>0.90600000000000014</v>
          </cell>
          <cell r="AO167">
            <v>0.626</v>
          </cell>
          <cell r="AP167">
            <v>2.2239999999999998</v>
          </cell>
          <cell r="AQ167">
            <v>0.5509999999999996</v>
          </cell>
          <cell r="AR167">
            <v>3.1859999999999999</v>
          </cell>
          <cell r="AS167">
            <v>6.5869999999999997</v>
          </cell>
          <cell r="AT167">
            <v>1.8670000000000002</v>
          </cell>
          <cell r="AU167">
            <v>2.3620000000000001</v>
          </cell>
          <cell r="AV167">
            <v>-1.6190000000000004</v>
          </cell>
          <cell r="AW167">
            <v>1.7960000000000003</v>
          </cell>
          <cell r="AX167">
            <v>4.4059999999999997</v>
          </cell>
          <cell r="AY167">
            <v>-1.3309999999999995</v>
          </cell>
          <cell r="AZ167">
            <v>1.5149999999999999</v>
          </cell>
          <cell r="BA167">
            <v>0.627</v>
          </cell>
          <cell r="BB167">
            <v>-4.2609999999999992</v>
          </cell>
          <cell r="BC167">
            <v>-3.4499999999999993</v>
          </cell>
          <cell r="BD167">
            <v>-1.3029999999999999</v>
          </cell>
          <cell r="BE167">
            <v>-4.18</v>
          </cell>
          <cell r="BF167">
            <v>0.77299999999999991</v>
          </cell>
          <cell r="BG167">
            <v>-1.7859999999999994</v>
          </cell>
          <cell r="BH167">
            <v>-6.4959999999999996</v>
          </cell>
          <cell r="BI167">
            <v>-5.1849999999999996</v>
          </cell>
          <cell r="BJ167">
            <v>0.95700000000000029</v>
          </cell>
          <cell r="BK167">
            <v>-17.108999999999998</v>
          </cell>
          <cell r="BL167">
            <v>-12.685999999999998</v>
          </cell>
          <cell r="BM167">
            <v>-34.022999999999996</v>
          </cell>
          <cell r="BN167">
            <v>-0.40800000000000036</v>
          </cell>
          <cell r="BO167">
            <v>-6.3760000000000003</v>
          </cell>
          <cell r="BP167">
            <v>3.8549999999999995</v>
          </cell>
          <cell r="BQ167">
            <v>0</v>
          </cell>
          <cell r="BR167">
            <v>-2.9290000000000012</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row>
        <row r="168">
          <cell r="B168" t="str">
            <v>Accounts receivable</v>
          </cell>
          <cell r="Y168">
            <v>-0.549674</v>
          </cell>
          <cell r="Z168">
            <v>0.86397400000000002</v>
          </cell>
          <cell r="AA168">
            <v>-1.326343</v>
          </cell>
          <cell r="AB168">
            <v>-8.6693999999999993E-2</v>
          </cell>
          <cell r="AC168">
            <v>0.54066500000000006</v>
          </cell>
          <cell r="AD168">
            <v>-8.3980000000000166E-3</v>
          </cell>
          <cell r="AE168">
            <v>-4.9006319999999999</v>
          </cell>
          <cell r="AF168">
            <v>0.50587199999999999</v>
          </cell>
          <cell r="AG168">
            <v>-0.99383500000000002</v>
          </cell>
          <cell r="AH168">
            <v>-0.27300000000000002</v>
          </cell>
          <cell r="AI168">
            <v>-5.6615949999999993</v>
          </cell>
          <cell r="AJ168">
            <v>-1.411</v>
          </cell>
          <cell r="AK168">
            <v>1.2350000000000001</v>
          </cell>
          <cell r="AL168">
            <v>-3.706</v>
          </cell>
          <cell r="AM168">
            <v>0.20399999999999999</v>
          </cell>
          <cell r="AN168">
            <v>-3.6779999999999995</v>
          </cell>
          <cell r="AO168">
            <v>1.21</v>
          </cell>
          <cell r="AP168">
            <v>11.618</v>
          </cell>
          <cell r="AQ168">
            <v>-4.97</v>
          </cell>
          <cell r="AR168">
            <v>0.14699999999999999</v>
          </cell>
          <cell r="AS168">
            <v>8.0050000000000008</v>
          </cell>
          <cell r="AT168">
            <v>-3.863</v>
          </cell>
          <cell r="AU168">
            <v>3.4889999999999999</v>
          </cell>
          <cell r="AV168">
            <v>-9.07</v>
          </cell>
          <cell r="AW168">
            <v>-7.2610000000000001</v>
          </cell>
          <cell r="AX168">
            <v>-16.704999999999998</v>
          </cell>
          <cell r="AY168">
            <v>-11.288</v>
          </cell>
          <cell r="AZ168">
            <v>4.6639999999999997</v>
          </cell>
          <cell r="BA168">
            <v>-6.5609999999999999</v>
          </cell>
          <cell r="BB168">
            <v>3.7290000000000001</v>
          </cell>
          <cell r="BC168">
            <v>-9.4559999999999995</v>
          </cell>
          <cell r="BD168">
            <v>-78.168999999999997</v>
          </cell>
          <cell r="BE168">
            <v>-24.879000000000001</v>
          </cell>
          <cell r="BF168">
            <v>9.2110000000000003</v>
          </cell>
          <cell r="BG168">
            <v>-16.469000000000001</v>
          </cell>
          <cell r="BH168">
            <v>-110.306</v>
          </cell>
          <cell r="BI168">
            <v>-31.841999999999999</v>
          </cell>
          <cell r="BJ168">
            <v>4.2590000000000003</v>
          </cell>
          <cell r="BK168">
            <v>-58.581000000000003</v>
          </cell>
          <cell r="BL168">
            <v>-48.122999999999998</v>
          </cell>
          <cell r="BM168">
            <v>-134.28700000000001</v>
          </cell>
          <cell r="BN168">
            <v>-1.6639999999999999</v>
          </cell>
          <cell r="BO168">
            <v>-19.608000000000001</v>
          </cell>
          <cell r="BP168">
            <v>-98.414000000000001</v>
          </cell>
          <cell r="BQ168">
            <v>-59.981408516081501</v>
          </cell>
          <cell r="BR168">
            <v>-179.66740851608148</v>
          </cell>
          <cell r="BS168">
            <v>-202.55661206272316</v>
          </cell>
          <cell r="BT168">
            <v>-163.39459283704514</v>
          </cell>
          <cell r="BU168">
            <v>-6.1367551318621736</v>
          </cell>
          <cell r="BV168">
            <v>-117.37681919750935</v>
          </cell>
          <cell r="BW168">
            <v>-489.46477922913982</v>
          </cell>
          <cell r="BX168">
            <v>188.10642107983017</v>
          </cell>
          <cell r="BY168">
            <v>-207.84570545958672</v>
          </cell>
          <cell r="BZ168">
            <v>-41.961953731478616</v>
          </cell>
          <cell r="CA168">
            <v>-133.67905599571509</v>
          </cell>
          <cell r="CB168">
            <v>-195.38029410695026</v>
          </cell>
          <cell r="CC168">
            <v>76.734401256351475</v>
          </cell>
          <cell r="CD168">
            <v>-166.20036088751135</v>
          </cell>
          <cell r="CE168">
            <v>-30.687061514914149</v>
          </cell>
          <cell r="CF168">
            <v>-2.4847021339990079</v>
          </cell>
          <cell r="CG168">
            <v>-122.63772328007303</v>
          </cell>
        </row>
        <row r="169">
          <cell r="B169" t="str">
            <v>Rebates receivable</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1.153</v>
          </cell>
          <cell r="AQ169">
            <v>1.8640000000000001</v>
          </cell>
          <cell r="AR169">
            <v>-5.4</v>
          </cell>
          <cell r="AS169">
            <v>-2.3830000000000005</v>
          </cell>
          <cell r="AT169">
            <v>5.6989999999999998</v>
          </cell>
          <cell r="AU169">
            <v>1.375</v>
          </cell>
          <cell r="AV169">
            <v>1.9350000000000001</v>
          </cell>
          <cell r="AW169">
            <v>2.9470000000000001</v>
          </cell>
          <cell r="AX169">
            <v>11.956</v>
          </cell>
          <cell r="AY169">
            <v>-14.5</v>
          </cell>
          <cell r="AZ169">
            <v>-2.8010000000000002</v>
          </cell>
          <cell r="BA169">
            <v>-3.1579999999999999</v>
          </cell>
          <cell r="BB169">
            <v>3.84</v>
          </cell>
          <cell r="BC169">
            <v>-16.619</v>
          </cell>
          <cell r="BD169">
            <v>0.32200000000000001</v>
          </cell>
          <cell r="BE169">
            <v>-0.72299999999999998</v>
          </cell>
          <cell r="BF169">
            <v>5.0170000000000003</v>
          </cell>
          <cell r="BG169">
            <v>0.65100000000000002</v>
          </cell>
          <cell r="BH169">
            <v>5.2670000000000003</v>
          </cell>
          <cell r="BI169">
            <v>-8.7769999999999992</v>
          </cell>
          <cell r="BJ169">
            <v>-32.234999999999999</v>
          </cell>
          <cell r="BK169">
            <v>47.692999999999998</v>
          </cell>
          <cell r="BL169">
            <v>-47.668999999999997</v>
          </cell>
          <cell r="BM169">
            <v>-40.988</v>
          </cell>
          <cell r="BN169">
            <v>-14.553000000000001</v>
          </cell>
          <cell r="BO169">
            <v>32.966000000000001</v>
          </cell>
          <cell r="BP169">
            <v>-7.282</v>
          </cell>
          <cell r="BQ169">
            <v>-20.423237617691882</v>
          </cell>
          <cell r="BR169">
            <v>-9.2922376176918817</v>
          </cell>
          <cell r="BS169">
            <v>-32.682135534166207</v>
          </cell>
          <cell r="BT169">
            <v>-50.851221282402605</v>
          </cell>
          <cell r="BU169">
            <v>-2.156828472009181</v>
          </cell>
          <cell r="BV169">
            <v>-36.404866908425902</v>
          </cell>
          <cell r="BW169">
            <v>-122.09505219700389</v>
          </cell>
          <cell r="BX169">
            <v>59.059779923401948</v>
          </cell>
          <cell r="BY169">
            <v>-64.683911300494344</v>
          </cell>
          <cell r="BZ169">
            <v>-13.373305415525635</v>
          </cell>
          <cell r="CA169">
            <v>-41.445892569629166</v>
          </cell>
          <cell r="CB169">
            <v>-60.443329362247198</v>
          </cell>
          <cell r="CC169">
            <v>44.86010258315423</v>
          </cell>
          <cell r="CD169">
            <v>-115.22900218174607</v>
          </cell>
          <cell r="CE169">
            <v>-21.632223840930465</v>
          </cell>
          <cell r="CF169">
            <v>-0.8037733651117378</v>
          </cell>
          <cell r="CG169">
            <v>-92.804896804634041</v>
          </cell>
        </row>
        <row r="170">
          <cell r="B170" t="str">
            <v>Restricted cash</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-4.3250000000000002</v>
          </cell>
          <cell r="AQ170">
            <v>-0.33500000000000002</v>
          </cell>
          <cell r="AR170">
            <v>5.2919999999999998</v>
          </cell>
          <cell r="AS170">
            <v>0.63199999999999967</v>
          </cell>
          <cell r="AT170">
            <v>-1.1299999999999999</v>
          </cell>
          <cell r="AU170">
            <v>-0.50700000000000001</v>
          </cell>
          <cell r="AV170">
            <v>1.702</v>
          </cell>
          <cell r="AW170">
            <v>-1.736</v>
          </cell>
          <cell r="AX170">
            <v>-1.6709999999999998</v>
          </cell>
          <cell r="AY170">
            <v>-0.13600000000000001</v>
          </cell>
          <cell r="AZ170">
            <v>-1.6E-2</v>
          </cell>
          <cell r="BA170">
            <v>-0.01</v>
          </cell>
          <cell r="BB170">
            <v>0.54100000000000004</v>
          </cell>
          <cell r="BC170">
            <v>0.379</v>
          </cell>
          <cell r="BD170">
            <v>-1.2E-2</v>
          </cell>
          <cell r="BE170">
            <v>-1.1599999999999999</v>
          </cell>
          <cell r="BF170">
            <v>-8.9999999999999993E-3</v>
          </cell>
          <cell r="BG170">
            <v>2.9540000000000002</v>
          </cell>
          <cell r="BH170">
            <v>1.7730000000000004</v>
          </cell>
          <cell r="BI170">
            <v>-0.66500000000000004</v>
          </cell>
          <cell r="BJ170">
            <v>9.4E-2</v>
          </cell>
          <cell r="BK170">
            <v>9.9090000000000007</v>
          </cell>
          <cell r="BL170">
            <v>-3.3000000000000002E-2</v>
          </cell>
          <cell r="BM170">
            <v>9.3049999999999997</v>
          </cell>
          <cell r="BN170">
            <v>0.22700000000000001</v>
          </cell>
          <cell r="BO170">
            <v>4.0000000000000001E-3</v>
          </cell>
          <cell r="BP170">
            <v>-3.2000000000000001E-2</v>
          </cell>
          <cell r="BQ170">
            <v>0</v>
          </cell>
          <cell r="BR170">
            <v>0.19900000000000001</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row>
        <row r="171">
          <cell r="B171" t="str">
            <v>Prepaid expenses and other assets</v>
          </cell>
          <cell r="Y171">
            <v>-0.14282400000000001</v>
          </cell>
          <cell r="Z171">
            <v>-3.6470000000000002E-2</v>
          </cell>
          <cell r="AA171">
            <v>-0.31324799999999997</v>
          </cell>
          <cell r="AB171">
            <v>-0.191938</v>
          </cell>
          <cell r="AC171">
            <v>-0.84714500000000004</v>
          </cell>
          <cell r="AD171">
            <v>-1.388801</v>
          </cell>
          <cell r="AE171">
            <v>-0.16720600000000002</v>
          </cell>
          <cell r="AF171">
            <v>-0.75477299999999992</v>
          </cell>
          <cell r="AG171">
            <v>-0.82389599999999996</v>
          </cell>
          <cell r="AH171">
            <v>-6.3E-2</v>
          </cell>
          <cell r="AI171">
            <v>-1.8088749999999998</v>
          </cell>
          <cell r="AJ171">
            <v>-7.4999999999999956E-2</v>
          </cell>
          <cell r="AK171">
            <v>-0.27900000000000003</v>
          </cell>
          <cell r="AL171">
            <v>-0.23300000000000001</v>
          </cell>
          <cell r="AM171">
            <v>-0.251</v>
          </cell>
          <cell r="AN171">
            <v>-0.83799999999999997</v>
          </cell>
          <cell r="AO171">
            <v>-0.46700000000000003</v>
          </cell>
          <cell r="AP171">
            <v>1.7889999999999999</v>
          </cell>
          <cell r="AQ171">
            <v>-0.40699999999999997</v>
          </cell>
          <cell r="AR171">
            <v>-0.80800000000000005</v>
          </cell>
          <cell r="AS171">
            <v>0.10699999999999982</v>
          </cell>
          <cell r="AT171">
            <v>-0.42099999999999999</v>
          </cell>
          <cell r="AU171">
            <v>-0.74299999999999999</v>
          </cell>
          <cell r="AV171">
            <v>0.86199999999999999</v>
          </cell>
          <cell r="AW171">
            <v>0.23</v>
          </cell>
          <cell r="AX171">
            <v>-7.1999999999999897E-2</v>
          </cell>
          <cell r="AY171">
            <v>-0.159</v>
          </cell>
          <cell r="AZ171">
            <v>-1.4119999999999999</v>
          </cell>
          <cell r="BA171">
            <v>0.221</v>
          </cell>
          <cell r="BB171">
            <v>0.52600000000000002</v>
          </cell>
          <cell r="BC171">
            <v>-0.82399999999999995</v>
          </cell>
          <cell r="BD171">
            <v>-0.77800000000000002</v>
          </cell>
          <cell r="BE171">
            <v>-2.1619999999999999</v>
          </cell>
          <cell r="BF171">
            <v>1.2010000000000001</v>
          </cell>
          <cell r="BG171">
            <v>0.27100000000000002</v>
          </cell>
          <cell r="BH171">
            <v>-1.468</v>
          </cell>
          <cell r="BI171">
            <v>0.14399999999999999</v>
          </cell>
          <cell r="BJ171">
            <v>-0.79800000000000004</v>
          </cell>
          <cell r="BK171">
            <v>21.616</v>
          </cell>
          <cell r="BL171">
            <v>30.978000000000002</v>
          </cell>
          <cell r="BM171">
            <v>51.94</v>
          </cell>
          <cell r="BN171">
            <v>12.467000000000001</v>
          </cell>
          <cell r="BO171">
            <v>0</v>
          </cell>
          <cell r="BP171">
            <v>-5.3380000000000001</v>
          </cell>
          <cell r="BQ171">
            <v>0</v>
          </cell>
          <cell r="BR171">
            <v>7.1290000000000004</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row>
        <row r="172">
          <cell r="B172" t="str">
            <v>Inventory</v>
          </cell>
          <cell r="Y172">
            <v>0</v>
          </cell>
          <cell r="Z172">
            <v>-0.132297</v>
          </cell>
          <cell r="AA172">
            <v>-0.115463</v>
          </cell>
          <cell r="AB172">
            <v>-0.103216</v>
          </cell>
          <cell r="AC172">
            <v>0.10693299999999994</v>
          </cell>
          <cell r="AD172">
            <v>-0.24404300000000001</v>
          </cell>
          <cell r="AE172">
            <v>1.4121E-2</v>
          </cell>
          <cell r="AF172">
            <v>7.0318000000000006E-2</v>
          </cell>
          <cell r="AG172">
            <v>0.105657</v>
          </cell>
          <cell r="AH172">
            <v>-1.2999999999999999E-2</v>
          </cell>
          <cell r="AI172">
            <v>0.17709599999999998</v>
          </cell>
          <cell r="AJ172">
            <v>-2.3E-2</v>
          </cell>
          <cell r="AK172">
            <v>1.7000000000000001E-2</v>
          </cell>
          <cell r="AL172">
            <v>-1.6E-2</v>
          </cell>
          <cell r="AM172">
            <v>0.04</v>
          </cell>
          <cell r="AN172">
            <v>1.8000000000000002E-2</v>
          </cell>
          <cell r="AO172">
            <v>-1.4999999999999999E-2</v>
          </cell>
          <cell r="AP172">
            <v>-0.249</v>
          </cell>
          <cell r="AQ172">
            <v>9.2999999999999999E-2</v>
          </cell>
          <cell r="AR172">
            <v>8.7999999999999995E-2</v>
          </cell>
          <cell r="AS172">
            <v>-8.3000000000000004E-2</v>
          </cell>
          <cell r="AT172">
            <v>0.65700000000000003</v>
          </cell>
          <cell r="AU172">
            <v>-0.06</v>
          </cell>
          <cell r="AV172">
            <v>-0.91500000000000004</v>
          </cell>
          <cell r="AW172">
            <v>-8.3000000000000004E-2</v>
          </cell>
          <cell r="AX172">
            <v>-0.40100000000000002</v>
          </cell>
          <cell r="AY172">
            <v>-1.133</v>
          </cell>
          <cell r="AZ172">
            <v>1.0999999999999999E-2</v>
          </cell>
          <cell r="BA172">
            <v>0.29699999999999999</v>
          </cell>
          <cell r="BB172">
            <v>1.3260000000000001</v>
          </cell>
          <cell r="BC172">
            <v>0.50099999999999989</v>
          </cell>
          <cell r="BD172">
            <v>-2.1829999999999998</v>
          </cell>
          <cell r="BE172">
            <v>-1.304</v>
          </cell>
          <cell r="BF172">
            <v>-2.9990000000000001</v>
          </cell>
          <cell r="BG172">
            <v>-3.8050000000000002</v>
          </cell>
          <cell r="BH172">
            <v>-10.291</v>
          </cell>
          <cell r="BI172">
            <v>-1.6020000000000001</v>
          </cell>
          <cell r="BJ172">
            <v>-1.57</v>
          </cell>
          <cell r="BK172">
            <v>0</v>
          </cell>
          <cell r="BL172">
            <v>0</v>
          </cell>
          <cell r="BM172">
            <v>-3.1720000000000002</v>
          </cell>
          <cell r="BN172">
            <v>0</v>
          </cell>
          <cell r="BO172">
            <v>0</v>
          </cell>
          <cell r="BP172">
            <v>0</v>
          </cell>
          <cell r="BQ172">
            <v>-3.3046457769955495</v>
          </cell>
          <cell r="BR172">
            <v>-3.3046457769955495</v>
          </cell>
          <cell r="BS172">
            <v>-5.0621438714331219</v>
          </cell>
          <cell r="BT172">
            <v>-7.6862232173972203</v>
          </cell>
          <cell r="BU172">
            <v>-0.56812231154562909</v>
          </cell>
          <cell r="BV172">
            <v>-5.2165908467144959</v>
          </cell>
          <cell r="BW172">
            <v>-18.533080247090467</v>
          </cell>
          <cell r="BX172">
            <v>9.7123218296344547</v>
          </cell>
          <cell r="BY172">
            <v>-9.7262230315870042</v>
          </cell>
          <cell r="BZ172">
            <v>-2.3969542359787539</v>
          </cell>
          <cell r="CA172">
            <v>-5.8303204449748165</v>
          </cell>
          <cell r="CB172">
            <v>-8.2411758829061199</v>
          </cell>
          <cell r="CC172">
            <v>5.1408634372681661</v>
          </cell>
          <cell r="CD172">
            <v>-8.8379190033806907</v>
          </cell>
          <cell r="CE172">
            <v>-2.1283035701084287</v>
          </cell>
          <cell r="CF172">
            <v>0.17367574702704758</v>
          </cell>
          <cell r="CG172">
            <v>-5.6516833891939058</v>
          </cell>
        </row>
        <row r="173">
          <cell r="B173" t="str">
            <v>Income tax recoverable</v>
          </cell>
          <cell r="Y173">
            <v>0</v>
          </cell>
          <cell r="Z173">
            <v>0</v>
          </cell>
          <cell r="AA173">
            <v>0</v>
          </cell>
          <cell r="AB173">
            <v>0</v>
          </cell>
          <cell r="AC173">
            <v>0</v>
          </cell>
          <cell r="AD173">
            <v>0</v>
          </cell>
          <cell r="AE173">
            <v>0</v>
          </cell>
          <cell r="AF173">
            <v>-1.288035</v>
          </cell>
          <cell r="AG173">
            <v>-0.198875</v>
          </cell>
          <cell r="AH173">
            <v>1.391</v>
          </cell>
          <cell r="AI173">
            <v>-9.590999999999994E-2</v>
          </cell>
          <cell r="AJ173">
            <v>1.677</v>
          </cell>
          <cell r="AK173">
            <v>-0.73799999999999999</v>
          </cell>
          <cell r="AL173">
            <v>-1.472</v>
          </cell>
          <cell r="AM173">
            <v>-1.079</v>
          </cell>
          <cell r="AN173">
            <v>-1.6120000000000001</v>
          </cell>
          <cell r="AO173">
            <v>1.018</v>
          </cell>
          <cell r="AP173">
            <v>-0.66300000000000003</v>
          </cell>
          <cell r="AQ173">
            <v>1.264</v>
          </cell>
          <cell r="AR173">
            <v>-0.94099999999999995</v>
          </cell>
          <cell r="AS173">
            <v>0.67800000000000005</v>
          </cell>
          <cell r="AT173">
            <v>8.7999999999999995E-2</v>
          </cell>
          <cell r="AU173">
            <v>2.15</v>
          </cell>
          <cell r="AV173">
            <v>2.9670000000000001</v>
          </cell>
          <cell r="AW173">
            <v>0.89300000000000002</v>
          </cell>
          <cell r="AX173">
            <v>6.0979999999999999</v>
          </cell>
          <cell r="AY173">
            <v>3.6429999999999998</v>
          </cell>
          <cell r="AZ173">
            <v>3.4620000000000002</v>
          </cell>
          <cell r="BA173">
            <v>0.58199999999999996</v>
          </cell>
          <cell r="BB173">
            <v>2.8359999999999999</v>
          </cell>
          <cell r="BC173">
            <v>10.523</v>
          </cell>
          <cell r="BD173">
            <v>8.2189999999999994</v>
          </cell>
          <cell r="BE173">
            <v>4.6429999999999998</v>
          </cell>
          <cell r="BF173">
            <v>11.725</v>
          </cell>
          <cell r="BG173">
            <v>-2.609</v>
          </cell>
          <cell r="BH173">
            <v>21.978000000000002</v>
          </cell>
          <cell r="BI173">
            <v>5.8869999999999996</v>
          </cell>
          <cell r="BJ173">
            <v>5.8159999999999998</v>
          </cell>
          <cell r="BK173">
            <v>0</v>
          </cell>
          <cell r="BL173">
            <v>0</v>
          </cell>
          <cell r="BM173">
            <v>11.702999999999999</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row>
        <row r="174">
          <cell r="B174" t="str">
            <v>Accounts payable</v>
          </cell>
          <cell r="Y174">
            <v>-1.371513</v>
          </cell>
          <cell r="Z174">
            <v>-0.41870099999999999</v>
          </cell>
          <cell r="AA174">
            <v>1.1072360000000001</v>
          </cell>
          <cell r="AB174">
            <v>0.78179799999999999</v>
          </cell>
          <cell r="AC174">
            <v>0.60250199999999987</v>
          </cell>
          <cell r="AD174">
            <v>2.072835</v>
          </cell>
          <cell r="AE174">
            <v>1.835124</v>
          </cell>
          <cell r="AF174">
            <v>-1.050586</v>
          </cell>
          <cell r="AG174">
            <v>0.40332699999999999</v>
          </cell>
          <cell r="AH174">
            <v>-0.44700000000000001</v>
          </cell>
          <cell r="AI174">
            <v>0.74086499999999988</v>
          </cell>
          <cell r="AJ174">
            <v>1.304</v>
          </cell>
          <cell r="AK174">
            <v>-1.046</v>
          </cell>
          <cell r="AL174">
            <v>0.76900000000000002</v>
          </cell>
          <cell r="AM174">
            <v>-0.33700000000000002</v>
          </cell>
          <cell r="AN174">
            <v>0.69</v>
          </cell>
          <cell r="AO174">
            <v>-0.59399999999999997</v>
          </cell>
          <cell r="AP174">
            <v>1.8580000000000001</v>
          </cell>
          <cell r="AQ174">
            <v>-0.76800000000000002</v>
          </cell>
          <cell r="AR174">
            <v>1.1819999999999999</v>
          </cell>
          <cell r="AS174">
            <v>1.6780000000000004</v>
          </cell>
          <cell r="AT174">
            <v>-1.198</v>
          </cell>
          <cell r="AU174">
            <v>1.282</v>
          </cell>
          <cell r="AV174">
            <v>-2.4660000000000002</v>
          </cell>
          <cell r="AW174">
            <v>4.0170000000000003</v>
          </cell>
          <cell r="AX174">
            <v>1.6350000000000002</v>
          </cell>
          <cell r="AY174">
            <v>-2.383</v>
          </cell>
          <cell r="AZ174">
            <v>0.69799999999999995</v>
          </cell>
          <cell r="BA174">
            <v>1.397</v>
          </cell>
          <cell r="BB174">
            <v>2.4569999999999999</v>
          </cell>
          <cell r="BC174">
            <v>2.1689999999999996</v>
          </cell>
          <cell r="BD174">
            <v>6.532</v>
          </cell>
          <cell r="BE174">
            <v>-0.20899999999999999</v>
          </cell>
          <cell r="BF174">
            <v>-23.43</v>
          </cell>
          <cell r="BG174">
            <v>-3.2109999999999999</v>
          </cell>
          <cell r="BH174">
            <v>-20.317999999999998</v>
          </cell>
          <cell r="BI174">
            <v>-4.032</v>
          </cell>
          <cell r="BJ174">
            <v>5.5780000000000003</v>
          </cell>
          <cell r="BK174">
            <v>0</v>
          </cell>
          <cell r="BL174">
            <v>11.143000000000001</v>
          </cell>
          <cell r="BM174">
            <v>12.689</v>
          </cell>
          <cell r="BN174">
            <v>-34.136000000000003</v>
          </cell>
          <cell r="BO174">
            <v>11.504</v>
          </cell>
          <cell r="BP174">
            <v>70.242000000000004</v>
          </cell>
          <cell r="BQ174">
            <v>-11.421310170360357</v>
          </cell>
          <cell r="BR174">
            <v>36.18868982963965</v>
          </cell>
          <cell r="BS174">
            <v>151.90412481509293</v>
          </cell>
          <cell r="BT174">
            <v>84.317256517680903</v>
          </cell>
          <cell r="BU174">
            <v>58.846106630468398</v>
          </cell>
          <cell r="BV174">
            <v>-7.5106352645592551</v>
          </cell>
          <cell r="BW174">
            <v>287.55685269868297</v>
          </cell>
          <cell r="BX174">
            <v>-53.124075269736863</v>
          </cell>
          <cell r="BY174">
            <v>115.74733990224559</v>
          </cell>
          <cell r="BZ174">
            <v>95.049915711847689</v>
          </cell>
          <cell r="CA174">
            <v>-9.192347240189747</v>
          </cell>
          <cell r="CB174">
            <v>148.48083310416666</v>
          </cell>
          <cell r="CC174">
            <v>34.254593789817363</v>
          </cell>
          <cell r="CD174">
            <v>73.16747380211882</v>
          </cell>
          <cell r="CE174">
            <v>131.14204000374139</v>
          </cell>
          <cell r="CF174">
            <v>-122.73385726213428</v>
          </cell>
          <cell r="CG174">
            <v>115.83025033354329</v>
          </cell>
        </row>
        <row r="175">
          <cell r="B175" t="str">
            <v>Accrued liabilities</v>
          </cell>
          <cell r="Y175">
            <v>0</v>
          </cell>
          <cell r="Z175">
            <v>0</v>
          </cell>
          <cell r="AA175">
            <v>0</v>
          </cell>
          <cell r="AB175">
            <v>0</v>
          </cell>
          <cell r="AC175">
            <v>0</v>
          </cell>
          <cell r="AD175">
            <v>0</v>
          </cell>
          <cell r="AE175">
            <v>0</v>
          </cell>
          <cell r="AG175">
            <v>0.56418800000000002</v>
          </cell>
          <cell r="AH175">
            <v>2.024</v>
          </cell>
          <cell r="AI175">
            <v>2.5881880000000002</v>
          </cell>
          <cell r="AJ175">
            <v>-2.2999999999999998</v>
          </cell>
          <cell r="AK175">
            <v>1.3520000000000001</v>
          </cell>
          <cell r="AL175">
            <v>0.69299999999999995</v>
          </cell>
          <cell r="AM175">
            <v>0.94</v>
          </cell>
          <cell r="AN175">
            <v>0.6850000000000005</v>
          </cell>
          <cell r="AO175">
            <v>0.35799999999999998</v>
          </cell>
          <cell r="AP175">
            <v>-6.1079999999999997</v>
          </cell>
          <cell r="AQ175">
            <v>1.2110000000000001</v>
          </cell>
          <cell r="AR175">
            <v>9.2970000000000006</v>
          </cell>
          <cell r="AS175">
            <v>4.7580000000000009</v>
          </cell>
          <cell r="AT175">
            <v>-8.6170000000000009</v>
          </cell>
          <cell r="AU175">
            <v>2.601</v>
          </cell>
          <cell r="AV175">
            <v>2.4409999999999998</v>
          </cell>
          <cell r="AW175">
            <v>2.4359999999999999</v>
          </cell>
          <cell r="AX175">
            <v>-1.1390000000000011</v>
          </cell>
          <cell r="AY175">
            <v>-10.734</v>
          </cell>
          <cell r="AZ175">
            <v>3.7999999999999999E-2</v>
          </cell>
          <cell r="BA175">
            <v>1.32</v>
          </cell>
          <cell r="BB175">
            <v>-0.14099999999999999</v>
          </cell>
          <cell r="BC175">
            <v>-9.5169999999999995</v>
          </cell>
          <cell r="BD175">
            <v>-7.782</v>
          </cell>
          <cell r="BE175">
            <v>-9.5000000000000001E-2</v>
          </cell>
          <cell r="BF175">
            <v>4.8949999999999996</v>
          </cell>
          <cell r="BG175">
            <v>-9.5009999999999994</v>
          </cell>
          <cell r="BH175">
            <v>-12.483000000000001</v>
          </cell>
          <cell r="BI175">
            <v>7.63</v>
          </cell>
          <cell r="BJ175">
            <v>2.3439999999999999</v>
          </cell>
          <cell r="BK175">
            <v>-31.712</v>
          </cell>
          <cell r="BL175">
            <v>1.512</v>
          </cell>
          <cell r="BM175">
            <v>-20.225999999999999</v>
          </cell>
          <cell r="BN175">
            <v>-10.154</v>
          </cell>
          <cell r="BO175">
            <v>-2.1150000000000002</v>
          </cell>
          <cell r="BP175">
            <v>-5.6959999999999997</v>
          </cell>
          <cell r="BQ175">
            <v>0</v>
          </cell>
          <cell r="BR175">
            <v>-17.965</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row>
        <row r="176">
          <cell r="B176" t="str">
            <v>Pharmacy benefit claim payments payable</v>
          </cell>
          <cell r="Y176">
            <v>0</v>
          </cell>
          <cell r="Z176">
            <v>0</v>
          </cell>
          <cell r="AA176">
            <v>0</v>
          </cell>
          <cell r="AB176">
            <v>0</v>
          </cell>
          <cell r="AC176">
            <v>0</v>
          </cell>
          <cell r="AD176">
            <v>0</v>
          </cell>
          <cell r="AE176">
            <v>0</v>
          </cell>
          <cell r="AF176">
            <v>2.3119580000000002</v>
          </cell>
          <cell r="AG176">
            <v>-1.819968</v>
          </cell>
          <cell r="AH176">
            <v>2.5289999999999999</v>
          </cell>
          <cell r="AI176">
            <v>3.0209900000000003</v>
          </cell>
          <cell r="AJ176">
            <v>2.7549999999999999</v>
          </cell>
          <cell r="AK176">
            <v>-5.7169999999999996</v>
          </cell>
          <cell r="AL176">
            <v>2.2839999999999998</v>
          </cell>
          <cell r="AM176">
            <v>-0.22800000000000001</v>
          </cell>
          <cell r="AN176">
            <v>-0.90600000000000014</v>
          </cell>
          <cell r="AO176">
            <v>-0.23799999999999999</v>
          </cell>
          <cell r="AP176">
            <v>-0.94299999999999995</v>
          </cell>
          <cell r="AQ176">
            <v>2.585</v>
          </cell>
          <cell r="AR176">
            <v>-1.254</v>
          </cell>
          <cell r="AS176">
            <v>0.15000000000000002</v>
          </cell>
          <cell r="AT176">
            <v>0.48499999999999999</v>
          </cell>
          <cell r="AU176">
            <v>-9.9510000000000005</v>
          </cell>
          <cell r="AV176">
            <v>9.8680000000000003</v>
          </cell>
          <cell r="AW176">
            <v>9.8610000000000007</v>
          </cell>
          <cell r="AX176">
            <v>10.262999999999998</v>
          </cell>
          <cell r="AY176">
            <v>2.3370000000000002</v>
          </cell>
          <cell r="AZ176">
            <v>8.9090000000000007</v>
          </cell>
          <cell r="BA176">
            <v>7.9139999999999997</v>
          </cell>
          <cell r="BB176">
            <v>3.77</v>
          </cell>
          <cell r="BC176">
            <v>22.93</v>
          </cell>
          <cell r="BD176">
            <v>52.72</v>
          </cell>
          <cell r="BE176">
            <v>7.609</v>
          </cell>
          <cell r="BF176">
            <v>45.281999999999996</v>
          </cell>
          <cell r="BG176">
            <v>9.4909999999999997</v>
          </cell>
          <cell r="BH176">
            <v>115.102</v>
          </cell>
          <cell r="BI176">
            <v>48.761000000000003</v>
          </cell>
          <cell r="BJ176">
            <v>12.672000000000001</v>
          </cell>
          <cell r="BK176">
            <v>-3.5030000000000001</v>
          </cell>
          <cell r="BL176">
            <v>50.593000000000004</v>
          </cell>
          <cell r="BM176">
            <v>108.523</v>
          </cell>
          <cell r="BN176">
            <v>0</v>
          </cell>
          <cell r="BO176">
            <v>0</v>
          </cell>
          <cell r="BP176">
            <v>0</v>
          </cell>
          <cell r="BQ176">
            <v>22.063299727350113</v>
          </cell>
          <cell r="BR176">
            <v>22.063299727350113</v>
          </cell>
          <cell r="BS176">
            <v>40.384627836365155</v>
          </cell>
          <cell r="BT176">
            <v>55.684783413223556</v>
          </cell>
          <cell r="BU176">
            <v>2.3618415309302918</v>
          </cell>
          <cell r="BV176">
            <v>39.865259434476002</v>
          </cell>
          <cell r="BW176">
            <v>138.296512214995</v>
          </cell>
          <cell r="BX176">
            <v>-58.994936247656767</v>
          </cell>
          <cell r="BY176">
            <v>71.812765775028822</v>
          </cell>
          <cell r="BZ176">
            <v>14.847185801451815</v>
          </cell>
          <cell r="CA176">
            <v>46.01367041045097</v>
          </cell>
          <cell r="CB176">
            <v>73.67868573927484</v>
          </cell>
          <cell r="CC176">
            <v>-40.053256614573684</v>
          </cell>
          <cell r="CD176">
            <v>121.46586228527713</v>
          </cell>
          <cell r="CE176">
            <v>22.803084919908997</v>
          </cell>
          <cell r="CF176">
            <v>0.84727822880267922</v>
          </cell>
          <cell r="CG176">
            <v>105.06296881941512</v>
          </cell>
        </row>
        <row r="177">
          <cell r="B177" t="str">
            <v>Pharmacy benefit management rebates payable</v>
          </cell>
          <cell r="Y177">
            <v>0</v>
          </cell>
          <cell r="Z177">
            <v>0</v>
          </cell>
          <cell r="AA177">
            <v>0</v>
          </cell>
          <cell r="AB177">
            <v>2.7419669999999998</v>
          </cell>
          <cell r="AC177">
            <v>-2.7419669999999998</v>
          </cell>
          <cell r="AD177">
            <v>0</v>
          </cell>
          <cell r="AE177">
            <v>0</v>
          </cell>
          <cell r="AF177">
            <v>0.19933000000000001</v>
          </cell>
          <cell r="AG177">
            <v>-0.19137100000000001</v>
          </cell>
          <cell r="AH177">
            <v>1.165</v>
          </cell>
          <cell r="AI177">
            <v>1.1729590000000001</v>
          </cell>
          <cell r="AJ177">
            <v>1.349</v>
          </cell>
          <cell r="AK177">
            <v>-1.9430000000000001</v>
          </cell>
          <cell r="AL177">
            <v>1.6870000000000001</v>
          </cell>
          <cell r="AM177">
            <v>0.5</v>
          </cell>
          <cell r="AN177">
            <v>1.5930000000000002</v>
          </cell>
          <cell r="AO177">
            <v>1.4119999999999999</v>
          </cell>
          <cell r="AP177">
            <v>-1.298</v>
          </cell>
          <cell r="AQ177">
            <v>-2.6320000000000001</v>
          </cell>
          <cell r="AR177">
            <v>-3.2770000000000001</v>
          </cell>
          <cell r="AS177">
            <v>-5.7950000000000008</v>
          </cell>
          <cell r="AT177">
            <v>2.5409999999999999</v>
          </cell>
          <cell r="AU177">
            <v>6.9889999999999999</v>
          </cell>
          <cell r="AV177">
            <v>-2.0259999999999998</v>
          </cell>
          <cell r="AW177">
            <v>2.7759999999999998</v>
          </cell>
          <cell r="AX177">
            <v>10.28</v>
          </cell>
          <cell r="AY177">
            <v>11.997</v>
          </cell>
          <cell r="AZ177">
            <v>0.96699999999999997</v>
          </cell>
          <cell r="BA177">
            <v>4.2130000000000001</v>
          </cell>
          <cell r="BB177">
            <v>-2.419</v>
          </cell>
          <cell r="BC177">
            <v>14.757999999999999</v>
          </cell>
          <cell r="BD177">
            <v>-0.16</v>
          </cell>
          <cell r="BE177">
            <v>-7.6719999999999997</v>
          </cell>
          <cell r="BF177">
            <v>2.528</v>
          </cell>
          <cell r="BG177">
            <v>-0.71499999999999997</v>
          </cell>
          <cell r="BH177">
            <v>-6.0190000000000001</v>
          </cell>
          <cell r="BI177">
            <v>7.2249999999999996</v>
          </cell>
          <cell r="BJ177">
            <v>-4.5049999999999999</v>
          </cell>
          <cell r="BK177">
            <v>7.6159999999999997</v>
          </cell>
          <cell r="BL177">
            <v>0</v>
          </cell>
          <cell r="BM177">
            <v>10.335999999999999</v>
          </cell>
          <cell r="BN177">
            <v>-8.6739999999999995</v>
          </cell>
          <cell r="BO177">
            <v>22.460999999999999</v>
          </cell>
          <cell r="BP177">
            <v>0.23499999999999999</v>
          </cell>
          <cell r="BQ177">
            <v>0</v>
          </cell>
          <cell r="BR177">
            <v>14.021999999999998</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row>
        <row r="178">
          <cell r="B178" t="str">
            <v>Deferred revenue</v>
          </cell>
          <cell r="Y178">
            <v>0.35183799999999998</v>
          </cell>
          <cell r="Z178">
            <v>-0.49021700000000001</v>
          </cell>
          <cell r="AA178">
            <v>0.57582299999999997</v>
          </cell>
          <cell r="AB178">
            <v>3.5864E-2</v>
          </cell>
          <cell r="AC178">
            <v>0.51331500000000008</v>
          </cell>
          <cell r="AD178">
            <v>0.63478500000000004</v>
          </cell>
          <cell r="AE178">
            <v>0.53021700000000005</v>
          </cell>
          <cell r="AF178">
            <v>2.3323E-2</v>
          </cell>
          <cell r="AG178">
            <v>-0.55568499999999998</v>
          </cell>
          <cell r="AH178">
            <v>0.113</v>
          </cell>
          <cell r="AI178">
            <v>0.11085500000000005</v>
          </cell>
          <cell r="AJ178">
            <v>0.37</v>
          </cell>
          <cell r="AK178">
            <v>-1.429</v>
          </cell>
          <cell r="AL178">
            <v>0.70499999999999996</v>
          </cell>
          <cell r="AM178">
            <v>5.032</v>
          </cell>
          <cell r="AN178">
            <v>4.6779999999999999</v>
          </cell>
          <cell r="AO178">
            <v>-0.755</v>
          </cell>
          <cell r="AP178">
            <v>-3.86</v>
          </cell>
          <cell r="AQ178">
            <v>-0.13900000000000001</v>
          </cell>
          <cell r="AR178">
            <v>1.698</v>
          </cell>
          <cell r="AS178">
            <v>-3.056</v>
          </cell>
          <cell r="AT178">
            <v>3.2469999999999999</v>
          </cell>
          <cell r="AU178">
            <v>-2.7749999999999999</v>
          </cell>
          <cell r="AV178">
            <v>-6.3E-2</v>
          </cell>
          <cell r="AW178">
            <v>-1.0389999999999999</v>
          </cell>
          <cell r="AX178">
            <v>-0.62999999999999989</v>
          </cell>
          <cell r="AY178">
            <v>1.3879999999999999</v>
          </cell>
          <cell r="AZ178">
            <v>1.7190000000000001</v>
          </cell>
          <cell r="BA178">
            <v>-0.91600000000000004</v>
          </cell>
          <cell r="BB178">
            <v>1.0740000000000001</v>
          </cell>
          <cell r="BC178">
            <v>3.2650000000000001</v>
          </cell>
          <cell r="BD178">
            <v>0.52300000000000002</v>
          </cell>
          <cell r="BE178">
            <v>1.2929999999999999</v>
          </cell>
          <cell r="BF178">
            <v>0</v>
          </cell>
          <cell r="BG178">
            <v>0</v>
          </cell>
          <cell r="BH178">
            <v>1.8159999999999998</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cell r="CE178">
            <v>0</v>
          </cell>
          <cell r="CF178">
            <v>0</v>
          </cell>
          <cell r="CG178">
            <v>0</v>
          </cell>
        </row>
        <row r="179">
          <cell r="B179" t="str">
            <v>Customer deposits</v>
          </cell>
          <cell r="Y179">
            <v>0</v>
          </cell>
          <cell r="Z179">
            <v>0</v>
          </cell>
          <cell r="AA179">
            <v>0</v>
          </cell>
          <cell r="AB179">
            <v>0</v>
          </cell>
          <cell r="AC179">
            <v>0</v>
          </cell>
          <cell r="AD179">
            <v>0</v>
          </cell>
          <cell r="AE179">
            <v>0</v>
          </cell>
          <cell r="AF179">
            <v>0</v>
          </cell>
          <cell r="AG179">
            <v>0</v>
          </cell>
          <cell r="AH179">
            <v>0</v>
          </cell>
          <cell r="AI179">
            <v>0</v>
          </cell>
          <cell r="AJ179">
            <v>0</v>
          </cell>
          <cell r="AK179">
            <v>0.53200000000000003</v>
          </cell>
          <cell r="AL179">
            <v>0.29499999999999998</v>
          </cell>
          <cell r="AM179">
            <v>0</v>
          </cell>
          <cell r="AN179">
            <v>0.82699999999999996</v>
          </cell>
          <cell r="AO179">
            <v>0</v>
          </cell>
          <cell r="AP179">
            <v>1.546</v>
          </cell>
          <cell r="AQ179">
            <v>-1.1719999999999999</v>
          </cell>
          <cell r="AR179">
            <v>0.57999999999999996</v>
          </cell>
          <cell r="AS179">
            <v>0.95400000000000007</v>
          </cell>
          <cell r="AT179">
            <v>2.1739999999999999</v>
          </cell>
          <cell r="AU179">
            <v>-1.4019999999999999</v>
          </cell>
          <cell r="AV179">
            <v>-9.4E-2</v>
          </cell>
          <cell r="AW179">
            <v>2.2789999999999999</v>
          </cell>
          <cell r="AX179">
            <v>2.9569999999999999</v>
          </cell>
          <cell r="AY179">
            <v>0.65100000000000002</v>
          </cell>
          <cell r="AZ179">
            <v>-0.111</v>
          </cell>
          <cell r="BA179">
            <v>-4.8000000000000001E-2</v>
          </cell>
          <cell r="BB179">
            <v>5.1999999999999998E-2</v>
          </cell>
          <cell r="BC179">
            <v>0.54400000000000004</v>
          </cell>
          <cell r="BD179">
            <v>-5.8999999999999997E-2</v>
          </cell>
          <cell r="BE179">
            <v>-8.5999999999999993E-2</v>
          </cell>
          <cell r="BF179">
            <v>0</v>
          </cell>
          <cell r="BG179">
            <v>0</v>
          </cell>
          <cell r="BH179">
            <v>-0.14499999999999999</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row>
        <row r="180">
          <cell r="B180" t="str">
            <v>Other</v>
          </cell>
          <cell r="Y180">
            <v>0</v>
          </cell>
          <cell r="Z180">
            <v>0</v>
          </cell>
          <cell r="AA180">
            <v>0</v>
          </cell>
          <cell r="AB180">
            <v>0</v>
          </cell>
          <cell r="AC180">
            <v>0</v>
          </cell>
          <cell r="AD180">
            <v>0</v>
          </cell>
          <cell r="AE180">
            <v>0</v>
          </cell>
          <cell r="AF180">
            <v>0</v>
          </cell>
          <cell r="AG180">
            <v>0</v>
          </cell>
          <cell r="AH180">
            <v>0</v>
          </cell>
          <cell r="AI180">
            <v>0</v>
          </cell>
          <cell r="AJ180">
            <v>0</v>
          </cell>
          <cell r="AK180">
            <v>-1.661</v>
          </cell>
          <cell r="AL180">
            <v>0.67400000000000004</v>
          </cell>
          <cell r="AM180">
            <v>2.4049999999999998</v>
          </cell>
          <cell r="AN180">
            <v>1.4179999999999997</v>
          </cell>
          <cell r="AO180">
            <v>0.17799999999999999</v>
          </cell>
          <cell r="AP180">
            <v>-0.20800000000000002</v>
          </cell>
          <cell r="AQ180">
            <v>2.8999999999999998E-2</v>
          </cell>
          <cell r="AR180">
            <v>1.2569999999999999</v>
          </cell>
          <cell r="AS180">
            <v>1.2559999999999998</v>
          </cell>
          <cell r="AT180">
            <v>4.2000000000000003E-2</v>
          </cell>
          <cell r="AU180">
            <v>0.26600000000000001</v>
          </cell>
          <cell r="AV180">
            <v>9.8000000000000004E-2</v>
          </cell>
          <cell r="AW180">
            <v>1.2689999999999999</v>
          </cell>
          <cell r="AX180">
            <v>1.675</v>
          </cell>
          <cell r="AY180">
            <v>0.105</v>
          </cell>
          <cell r="AZ180">
            <v>0.91700000000000004</v>
          </cell>
          <cell r="BA180">
            <v>0</v>
          </cell>
          <cell r="BB180">
            <v>-5.7000000000000002E-2</v>
          </cell>
          <cell r="BC180">
            <v>0.96499999999999997</v>
          </cell>
          <cell r="BD180">
            <v>-1.2490000000000001</v>
          </cell>
          <cell r="BE180">
            <v>6.6000000000000003E-2</v>
          </cell>
          <cell r="BF180">
            <v>-0.28599999999999998</v>
          </cell>
          <cell r="BG180">
            <v>0.26900000000000002</v>
          </cell>
          <cell r="BH180">
            <v>-1.2000000000000002</v>
          </cell>
          <cell r="BI180">
            <v>-1.048</v>
          </cell>
          <cell r="BJ180">
            <v>-2.4590000000000001</v>
          </cell>
          <cell r="BK180">
            <v>8.2029999999999994</v>
          </cell>
          <cell r="BL180">
            <v>1.8819999999999999</v>
          </cell>
          <cell r="BM180">
            <v>6.5779999999999994</v>
          </cell>
          <cell r="BN180">
            <v>2.7639999999999998</v>
          </cell>
          <cell r="BO180">
            <v>1.4830000000000001</v>
          </cell>
          <cell r="BP180">
            <v>0.54200000000000004</v>
          </cell>
          <cell r="BQ180">
            <v>0</v>
          </cell>
          <cell r="BR180">
            <v>4.7889999999999997</v>
          </cell>
          <cell r="BS180">
            <v>0</v>
          </cell>
          <cell r="BT180">
            <v>0</v>
          </cell>
          <cell r="BU180">
            <v>0</v>
          </cell>
          <cell r="BV180">
            <v>0</v>
          </cell>
          <cell r="BW180">
            <v>0</v>
          </cell>
          <cell r="BX180">
            <v>0</v>
          </cell>
          <cell r="BY180">
            <v>0</v>
          </cell>
          <cell r="BZ180">
            <v>0</v>
          </cell>
          <cell r="CA180">
            <v>0</v>
          </cell>
          <cell r="CB180">
            <v>0</v>
          </cell>
          <cell r="CC180">
            <v>0</v>
          </cell>
          <cell r="CD180">
            <v>0</v>
          </cell>
          <cell r="CE180">
            <v>0</v>
          </cell>
          <cell r="CF180">
            <v>0</v>
          </cell>
          <cell r="CG180">
            <v>0</v>
          </cell>
        </row>
        <row r="181">
          <cell r="B181" t="str">
            <v>Changes in working capital</v>
          </cell>
          <cell r="Y181">
            <v>-1.7121729999999999</v>
          </cell>
          <cell r="Z181">
            <v>-0.21371099999999998</v>
          </cell>
          <cell r="AA181">
            <v>-7.1995000000000031E-2</v>
          </cell>
          <cell r="AB181">
            <v>3.177781</v>
          </cell>
          <cell r="AC181">
            <v>-1.8256969999999999</v>
          </cell>
          <cell r="AD181">
            <v>1.0663779999999998</v>
          </cell>
          <cell r="AE181">
            <v>-2.6883759999999999</v>
          </cell>
          <cell r="AF181">
            <v>1.740700000000019E-2</v>
          </cell>
          <cell r="AG181">
            <v>-3.5104579999999999</v>
          </cell>
          <cell r="AH181">
            <v>6.4260000000000002</v>
          </cell>
          <cell r="AI181">
            <v>0.24457300000000226</v>
          </cell>
          <cell r="AJ181">
            <v>3.6460000000000004</v>
          </cell>
          <cell r="AK181">
            <v>-9.6769999999999996</v>
          </cell>
          <cell r="AL181">
            <v>1.6800000000000006</v>
          </cell>
          <cell r="AM181">
            <v>7.2259999999999991</v>
          </cell>
          <cell r="AN181">
            <v>2.8749999999999996</v>
          </cell>
          <cell r="AO181">
            <v>2.1070000000000002</v>
          </cell>
          <cell r="AP181">
            <v>0.31000000000000177</v>
          </cell>
          <cell r="AQ181">
            <v>-3.3769999999999989</v>
          </cell>
          <cell r="AR181">
            <v>7.8609999999999989</v>
          </cell>
          <cell r="AS181">
            <v>6.9010000000000016</v>
          </cell>
          <cell r="AT181">
            <v>-0.29600000000000054</v>
          </cell>
          <cell r="AU181">
            <v>2.7139999999999995</v>
          </cell>
          <cell r="AV181">
            <v>5.2390000000000008</v>
          </cell>
          <cell r="AW181">
            <v>16.589000000000002</v>
          </cell>
          <cell r="AX181">
            <v>24.246000000000002</v>
          </cell>
          <cell r="AY181">
            <v>-20.211999999999996</v>
          </cell>
          <cell r="AZ181">
            <v>17.045000000000002</v>
          </cell>
          <cell r="BA181">
            <v>5.2510000000000021</v>
          </cell>
          <cell r="BB181">
            <v>17.534000000000002</v>
          </cell>
          <cell r="BC181">
            <v>19.618000000000009</v>
          </cell>
          <cell r="BD181">
            <v>-22.076000000000001</v>
          </cell>
          <cell r="BE181">
            <v>-24.678999999999995</v>
          </cell>
          <cell r="BF181">
            <v>53.134999999999998</v>
          </cell>
          <cell r="BG181">
            <v>-22.673999999999996</v>
          </cell>
          <cell r="BH181">
            <v>-16.293999999999993</v>
          </cell>
          <cell r="BI181">
            <v>21.681000000000004</v>
          </cell>
          <cell r="BJ181">
            <v>-10.803999999999998</v>
          </cell>
          <cell r="BK181">
            <v>1.2409999999999926</v>
          </cell>
          <cell r="BL181">
            <v>0.28299999999999614</v>
          </cell>
          <cell r="BM181">
            <v>12.400999999999994</v>
          </cell>
          <cell r="BN181">
            <v>-53.722999999999999</v>
          </cell>
          <cell r="BO181">
            <v>46.694999999999993</v>
          </cell>
          <cell r="BP181">
            <v>-45.742999999999981</v>
          </cell>
          <cell r="BQ181">
            <v>-73.067302353779183</v>
          </cell>
          <cell r="BR181">
            <v>-125.83830235377917</v>
          </cell>
          <cell r="BS181">
            <v>-48.012138816864422</v>
          </cell>
          <cell r="BT181">
            <v>-81.929997405940497</v>
          </cell>
          <cell r="BU181">
            <v>52.346242245981706</v>
          </cell>
          <cell r="BV181">
            <v>-126.643652782733</v>
          </cell>
          <cell r="BW181">
            <v>-204.23954675955622</v>
          </cell>
          <cell r="BX181">
            <v>144.75951131547293</v>
          </cell>
          <cell r="BY181">
            <v>-94.695734114393645</v>
          </cell>
          <cell r="BZ181">
            <v>52.164888130316498</v>
          </cell>
          <cell r="CA181">
            <v>-144.13394584005783</v>
          </cell>
          <cell r="CB181">
            <v>-41.905280508662031</v>
          </cell>
          <cell r="CC181">
            <v>120.93670445201755</v>
          </cell>
          <cell r="CD181">
            <v>-95.633945985242178</v>
          </cell>
          <cell r="CE181">
            <v>99.497535997697341</v>
          </cell>
          <cell r="CF181">
            <v>-125.0013787854153</v>
          </cell>
          <cell r="CG181">
            <v>-0.20108432094258433</v>
          </cell>
        </row>
        <row r="182">
          <cell r="B182" t="str">
            <v>Cash from operations</v>
          </cell>
          <cell r="Y182">
            <v>5.184164817000001</v>
          </cell>
          <cell r="Z182">
            <v>1.9655000008278134</v>
          </cell>
          <cell r="AA182">
            <v>3.6232885589599668</v>
          </cell>
          <cell r="AB182">
            <v>7.8526246790012113</v>
          </cell>
          <cell r="AC182">
            <v>3.7070993720340999</v>
          </cell>
          <cell r="AD182">
            <v>17.14851261082309</v>
          </cell>
          <cell r="AE182">
            <v>2.5316600000000018</v>
          </cell>
          <cell r="AF182">
            <v>3.7224210000000006</v>
          </cell>
          <cell r="AG182">
            <v>2.107931999999999</v>
          </cell>
          <cell r="AH182">
            <v>9.6509999999999998</v>
          </cell>
          <cell r="AI182">
            <v>18.013013000000004</v>
          </cell>
          <cell r="AJ182">
            <v>9.8069999999999986</v>
          </cell>
          <cell r="AK182">
            <v>-4.6529999999999969</v>
          </cell>
          <cell r="AL182">
            <v>6.6109999999999998</v>
          </cell>
          <cell r="AM182">
            <v>12.189</v>
          </cell>
          <cell r="AN182">
            <v>23.954000000000001</v>
          </cell>
          <cell r="AO182">
            <v>8.0329999999999995</v>
          </cell>
          <cell r="AP182">
            <v>9.0070000000000068</v>
          </cell>
          <cell r="AQ182">
            <v>3.2840000000000269</v>
          </cell>
          <cell r="AR182">
            <v>20.985000000000024</v>
          </cell>
          <cell r="AS182">
            <v>41.309000000000054</v>
          </cell>
          <cell r="AT182">
            <v>11.84199999999997</v>
          </cell>
          <cell r="AU182">
            <v>19.838000000000019</v>
          </cell>
          <cell r="AV182">
            <v>17.912000000000006</v>
          </cell>
          <cell r="AW182">
            <v>36.791000000000004</v>
          </cell>
          <cell r="AX182">
            <v>86.382999999999981</v>
          </cell>
          <cell r="AY182">
            <v>-2.6669999999999554</v>
          </cell>
          <cell r="AZ182">
            <v>39.468000000000032</v>
          </cell>
          <cell r="BA182">
            <v>26.073000000000032</v>
          </cell>
          <cell r="BB182">
            <v>33.389999999999986</v>
          </cell>
          <cell r="BC182">
            <v>96.264000000000095</v>
          </cell>
          <cell r="BD182">
            <v>0.78199999999997871</v>
          </cell>
          <cell r="BE182">
            <v>-1.3760000000000119</v>
          </cell>
          <cell r="BF182">
            <v>85.307999999999879</v>
          </cell>
          <cell r="BG182">
            <v>10.159999999999993</v>
          </cell>
          <cell r="BH182">
            <v>94.873999999999839</v>
          </cell>
          <cell r="BI182">
            <v>56.210999999999899</v>
          </cell>
          <cell r="BJ182">
            <v>29.715999999999912</v>
          </cell>
          <cell r="BK182">
            <v>61.567999999999998</v>
          </cell>
          <cell r="BL182">
            <v>102.25399999999999</v>
          </cell>
          <cell r="BM182">
            <v>249.74899999999982</v>
          </cell>
          <cell r="BN182">
            <v>63.576000000000001</v>
          </cell>
          <cell r="BO182">
            <v>172.983</v>
          </cell>
          <cell r="BP182">
            <v>99.519000000000005</v>
          </cell>
          <cell r="BQ182">
            <v>65.044938397089709</v>
          </cell>
          <cell r="BR182">
            <v>401.12293839708968</v>
          </cell>
          <cell r="BS182">
            <v>83.971772785363868</v>
          </cell>
          <cell r="BT182">
            <v>72.452563864040542</v>
          </cell>
          <cell r="BU182">
            <v>194.02097055406023</v>
          </cell>
          <cell r="BV182">
            <v>46.819663923348855</v>
          </cell>
          <cell r="BW182">
            <v>397.26497112681352</v>
          </cell>
          <cell r="BX182">
            <v>296.30286259706338</v>
          </cell>
          <cell r="BY182">
            <v>81.399322345696817</v>
          </cell>
          <cell r="BZ182">
            <v>211.21918086391759</v>
          </cell>
          <cell r="CA182">
            <v>53.194098414941919</v>
          </cell>
          <cell r="CB182">
            <v>642.11546422161973</v>
          </cell>
          <cell r="CC182">
            <v>300.95351937515545</v>
          </cell>
          <cell r="CD182">
            <v>106.03973936670741</v>
          </cell>
          <cell r="CE182">
            <v>276.88871874176397</v>
          </cell>
          <cell r="CF182">
            <v>68.256354878848953</v>
          </cell>
          <cell r="CG182">
            <v>752.13833236247569</v>
          </cell>
        </row>
        <row r="184">
          <cell r="B184" t="str">
            <v>Purchases of property and equipment</v>
          </cell>
          <cell r="Y184">
            <v>-1.454164</v>
          </cell>
          <cell r="Z184">
            <v>-0.24757199999999999</v>
          </cell>
          <cell r="AA184">
            <v>1.2702530000000001</v>
          </cell>
          <cell r="AB184">
            <v>-0.29669600000000002</v>
          </cell>
          <cell r="AC184">
            <v>-0.94084600000000007</v>
          </cell>
          <cell r="AD184">
            <v>-0.21486099999999997</v>
          </cell>
          <cell r="AE184">
            <v>-1.3849480000000001</v>
          </cell>
          <cell r="AF184">
            <v>-1.939109</v>
          </cell>
          <cell r="AG184">
            <v>-1.3858729999999999</v>
          </cell>
          <cell r="AH184">
            <v>-4.1760000000000002</v>
          </cell>
          <cell r="AI184">
            <v>-8.8859300000000001</v>
          </cell>
          <cell r="AJ184">
            <v>-4.8809999999999993</v>
          </cell>
          <cell r="AK184">
            <v>-1.29</v>
          </cell>
          <cell r="AL184">
            <v>-0.52900000000000003</v>
          </cell>
          <cell r="AM184">
            <v>-0.94099999999999995</v>
          </cell>
          <cell r="AN184">
            <v>-7.6409999999999991</v>
          </cell>
          <cell r="AO184">
            <v>-2.6030000000000002</v>
          </cell>
          <cell r="AP184">
            <v>-0.81</v>
          </cell>
          <cell r="AQ184">
            <v>-2.556</v>
          </cell>
          <cell r="AR184">
            <v>-2.44</v>
          </cell>
          <cell r="AS184">
            <v>-8.4090000000000007</v>
          </cell>
          <cell r="AT184">
            <v>-3.2890000000000001</v>
          </cell>
          <cell r="AU184">
            <v>-2.4569999999999999</v>
          </cell>
          <cell r="AV184">
            <v>-0.86499999999999999</v>
          </cell>
          <cell r="AW184">
            <v>-2.383</v>
          </cell>
          <cell r="AX184">
            <v>-8.9939999999999998</v>
          </cell>
          <cell r="AY184">
            <v>-0.97</v>
          </cell>
          <cell r="AZ184">
            <v>-2.556</v>
          </cell>
          <cell r="BA184">
            <v>-0.50700000000000001</v>
          </cell>
          <cell r="BB184">
            <v>-5.0369999999999999</v>
          </cell>
          <cell r="BC184">
            <v>-9.07</v>
          </cell>
          <cell r="BD184">
            <v>-1.198</v>
          </cell>
          <cell r="BE184">
            <v>-0.89800000000000002</v>
          </cell>
          <cell r="BF184">
            <v>-0.97799999999999998</v>
          </cell>
          <cell r="BG184">
            <v>-6.6150000000000002</v>
          </cell>
          <cell r="BH184">
            <v>-9.6890000000000001</v>
          </cell>
          <cell r="BI184">
            <v>-6.141</v>
          </cell>
          <cell r="BJ184">
            <v>-4.6970000000000001</v>
          </cell>
          <cell r="BK184">
            <v>-2.0630000000000002</v>
          </cell>
          <cell r="BL184">
            <v>-27.334</v>
          </cell>
          <cell r="BM184">
            <v>-40.234999999999999</v>
          </cell>
          <cell r="BN184">
            <v>-25.242999999999999</v>
          </cell>
          <cell r="BO184">
            <v>-46.892000000000003</v>
          </cell>
          <cell r="BP184">
            <v>-21.137</v>
          </cell>
          <cell r="BQ184">
            <v>-2.5</v>
          </cell>
          <cell r="BR184">
            <v>-95.771999999999991</v>
          </cell>
          <cell r="BS184">
            <v>-2.5</v>
          </cell>
          <cell r="BT184">
            <v>-2.5</v>
          </cell>
          <cell r="BU184">
            <v>-2.5</v>
          </cell>
          <cell r="BV184">
            <v>-2.5</v>
          </cell>
          <cell r="BW184">
            <v>-10</v>
          </cell>
          <cell r="BX184">
            <v>-2.5</v>
          </cell>
          <cell r="BY184">
            <v>-2.5</v>
          </cell>
          <cell r="BZ184">
            <v>-2.5</v>
          </cell>
          <cell r="CA184">
            <v>-2.5</v>
          </cell>
          <cell r="CB184">
            <v>-10</v>
          </cell>
          <cell r="CC184">
            <v>-2.5</v>
          </cell>
          <cell r="CD184">
            <v>-2.5</v>
          </cell>
          <cell r="CE184">
            <v>-2.5</v>
          </cell>
          <cell r="CF184">
            <v>-2.5</v>
          </cell>
          <cell r="CG184">
            <v>-10</v>
          </cell>
        </row>
        <row r="185">
          <cell r="B185" t="str">
            <v>Acquisitions, net of cash acquired</v>
          </cell>
          <cell r="Y185">
            <v>-2.1204910000000003</v>
          </cell>
          <cell r="Z185">
            <v>0</v>
          </cell>
          <cell r="AA185">
            <v>-2.4525990000000002</v>
          </cell>
          <cell r="AB185">
            <v>-0.208512</v>
          </cell>
          <cell r="AC185">
            <v>-19.949683</v>
          </cell>
          <cell r="AD185">
            <v>-22.610793999999999</v>
          </cell>
          <cell r="AE185">
            <v>0</v>
          </cell>
          <cell r="AF185">
            <v>0</v>
          </cell>
          <cell r="AG185">
            <v>0</v>
          </cell>
          <cell r="AH185">
            <v>0</v>
          </cell>
          <cell r="AI185">
            <v>0</v>
          </cell>
          <cell r="AJ185">
            <v>0</v>
          </cell>
          <cell r="AK185">
            <v>0</v>
          </cell>
          <cell r="AL185">
            <v>0</v>
          </cell>
          <cell r="AM185">
            <v>0</v>
          </cell>
          <cell r="AN185">
            <v>0</v>
          </cell>
          <cell r="AO185">
            <v>0</v>
          </cell>
          <cell r="AP185">
            <v>-101.67</v>
          </cell>
          <cell r="AQ185">
            <v>-0.89200000000000002</v>
          </cell>
          <cell r="AR185">
            <v>-2.2069999999999999</v>
          </cell>
          <cell r="AS185">
            <v>-104.76900000000001</v>
          </cell>
          <cell r="AT185">
            <v>-0.18</v>
          </cell>
          <cell r="AU185">
            <v>-1.996</v>
          </cell>
          <cell r="AV185">
            <v>0</v>
          </cell>
          <cell r="AW185">
            <v>0</v>
          </cell>
          <cell r="AX185">
            <v>-2.1760000000000002</v>
          </cell>
          <cell r="AY185">
            <v>0</v>
          </cell>
          <cell r="AZ185">
            <v>0</v>
          </cell>
          <cell r="BA185">
            <v>0</v>
          </cell>
          <cell r="BB185">
            <v>-99.2</v>
          </cell>
          <cell r="BC185">
            <v>-99.2</v>
          </cell>
          <cell r="BD185">
            <v>0</v>
          </cell>
          <cell r="BE185">
            <v>-12.984999999999999</v>
          </cell>
          <cell r="BF185">
            <v>0.56399999999999995</v>
          </cell>
          <cell r="BG185">
            <v>-67.641000000000005</v>
          </cell>
          <cell r="BH185">
            <v>-80.062000000000012</v>
          </cell>
          <cell r="BI185">
            <v>-243.178</v>
          </cell>
          <cell r="BJ185">
            <v>0.29399999999999998</v>
          </cell>
          <cell r="BK185">
            <v>-1321.501</v>
          </cell>
          <cell r="BL185">
            <v>-1.32</v>
          </cell>
          <cell r="BM185">
            <v>-1565.7049999999999</v>
          </cell>
          <cell r="BN185">
            <v>0</v>
          </cell>
          <cell r="BO185">
            <v>-7.0759999999999996</v>
          </cell>
          <cell r="BP185">
            <v>0</v>
          </cell>
          <cell r="BQ185">
            <v>0</v>
          </cell>
          <cell r="BR185">
            <v>-7.0759999999999996</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row>
        <row r="186">
          <cell r="B186" t="str">
            <v>Purchases of short term investments, net</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-4.649</v>
          </cell>
          <cell r="AX186">
            <v>-4.649</v>
          </cell>
          <cell r="AY186">
            <v>4.62</v>
          </cell>
          <cell r="AZ186">
            <v>0</v>
          </cell>
          <cell r="BA186">
            <v>0</v>
          </cell>
          <cell r="BB186">
            <v>0</v>
          </cell>
          <cell r="BC186">
            <v>4.62</v>
          </cell>
          <cell r="BD186">
            <v>0</v>
          </cell>
          <cell r="BE186">
            <v>0</v>
          </cell>
          <cell r="BF186">
            <v>0</v>
          </cell>
          <cell r="BG186">
            <v>0</v>
          </cell>
          <cell r="BH186">
            <v>0</v>
          </cell>
          <cell r="BI186">
            <v>0</v>
          </cell>
          <cell r="BJ186">
            <v>0</v>
          </cell>
          <cell r="BK186">
            <v>0</v>
          </cell>
          <cell r="BL186">
            <v>0</v>
          </cell>
          <cell r="BM186">
            <v>0</v>
          </cell>
          <cell r="BN186">
            <v>0</v>
          </cell>
          <cell r="BO186">
            <v>0</v>
          </cell>
          <cell r="BP186">
            <v>0</v>
          </cell>
          <cell r="BQ186">
            <v>0</v>
          </cell>
          <cell r="BR186">
            <v>0</v>
          </cell>
          <cell r="BS186">
            <v>0</v>
          </cell>
          <cell r="BT186">
            <v>0</v>
          </cell>
          <cell r="BU186">
            <v>0</v>
          </cell>
          <cell r="BV186">
            <v>0</v>
          </cell>
          <cell r="BW186">
            <v>0</v>
          </cell>
          <cell r="BX186">
            <v>0</v>
          </cell>
          <cell r="BY186">
            <v>0</v>
          </cell>
          <cell r="BZ186">
            <v>0</v>
          </cell>
          <cell r="CA186">
            <v>0</v>
          </cell>
          <cell r="CB186">
            <v>0</v>
          </cell>
          <cell r="CC186">
            <v>0</v>
          </cell>
          <cell r="CD186">
            <v>0</v>
          </cell>
          <cell r="CE186">
            <v>0</v>
          </cell>
          <cell r="CF186">
            <v>0</v>
          </cell>
          <cell r="CG186">
            <v>0</v>
          </cell>
        </row>
        <row r="187">
          <cell r="B187" t="str">
            <v>Other</v>
          </cell>
          <cell r="Y187">
            <v>0</v>
          </cell>
          <cell r="Z187">
            <v>0</v>
          </cell>
          <cell r="AA187">
            <v>-2</v>
          </cell>
          <cell r="AB187">
            <v>0</v>
          </cell>
          <cell r="AC187">
            <v>2</v>
          </cell>
          <cell r="AD187">
            <v>0</v>
          </cell>
          <cell r="AE187">
            <v>0</v>
          </cell>
          <cell r="AF187">
            <v>0</v>
          </cell>
          <cell r="AG187">
            <v>0</v>
          </cell>
          <cell r="AH187">
            <v>2.4420000000000002</v>
          </cell>
          <cell r="AI187">
            <v>2.4420000000000002</v>
          </cell>
          <cell r="AJ187">
            <v>0.247</v>
          </cell>
          <cell r="AK187">
            <v>0.14299999999999999</v>
          </cell>
          <cell r="AL187">
            <v>0</v>
          </cell>
          <cell r="AM187">
            <v>0</v>
          </cell>
          <cell r="AN187">
            <v>0.39</v>
          </cell>
          <cell r="AO187">
            <v>0</v>
          </cell>
          <cell r="AP187">
            <v>0.373</v>
          </cell>
          <cell r="AQ187">
            <v>0</v>
          </cell>
          <cell r="AR187">
            <v>0</v>
          </cell>
          <cell r="AS187">
            <v>0.373</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20.004000000000001</v>
          </cell>
          <cell r="BO187">
            <v>0</v>
          </cell>
          <cell r="BP187">
            <v>0</v>
          </cell>
          <cell r="BQ187">
            <v>0</v>
          </cell>
          <cell r="BR187">
            <v>20.004000000000001</v>
          </cell>
          <cell r="BS187">
            <v>0</v>
          </cell>
          <cell r="BT187">
            <v>0</v>
          </cell>
          <cell r="BU187">
            <v>0</v>
          </cell>
          <cell r="BV187">
            <v>0</v>
          </cell>
          <cell r="BW187">
            <v>0</v>
          </cell>
          <cell r="BX187">
            <v>0</v>
          </cell>
          <cell r="BY187">
            <v>0</v>
          </cell>
          <cell r="BZ187">
            <v>0</v>
          </cell>
          <cell r="CA187">
            <v>0</v>
          </cell>
          <cell r="CB187">
            <v>0</v>
          </cell>
          <cell r="CC187">
            <v>0</v>
          </cell>
          <cell r="CD187">
            <v>0</v>
          </cell>
          <cell r="CE187">
            <v>0</v>
          </cell>
          <cell r="CF187">
            <v>0</v>
          </cell>
          <cell r="CG187">
            <v>0</v>
          </cell>
        </row>
        <row r="188">
          <cell r="B188" t="str">
            <v>Cash from investing</v>
          </cell>
          <cell r="Y188">
            <v>-3.5746550000000004</v>
          </cell>
          <cell r="Z188">
            <v>-0.24757199999999999</v>
          </cell>
          <cell r="AA188">
            <v>-3.1823459999999999</v>
          </cell>
          <cell r="AB188">
            <v>-0.50520799999999999</v>
          </cell>
          <cell r="AC188">
            <v>-18.890529000000001</v>
          </cell>
          <cell r="AD188">
            <v>-22.825654999999998</v>
          </cell>
          <cell r="AE188">
            <v>-1.3849480000000001</v>
          </cell>
          <cell r="AF188">
            <v>-1.939109</v>
          </cell>
          <cell r="AG188">
            <v>-1.3858729999999999</v>
          </cell>
          <cell r="AH188">
            <v>-1.734</v>
          </cell>
          <cell r="AI188">
            <v>-6.4439299999999999</v>
          </cell>
          <cell r="AJ188">
            <v>-4.6339999999999995</v>
          </cell>
          <cell r="AK188">
            <v>-1.147</v>
          </cell>
          <cell r="AL188">
            <v>-0.52900000000000003</v>
          </cell>
          <cell r="AM188">
            <v>-0.94099999999999995</v>
          </cell>
          <cell r="AN188">
            <v>-7.2509999999999994</v>
          </cell>
          <cell r="AO188">
            <v>-2.6030000000000002</v>
          </cell>
          <cell r="AP188">
            <v>-102.107</v>
          </cell>
          <cell r="AQ188">
            <v>-3.448</v>
          </cell>
          <cell r="AR188">
            <v>-4.6470000000000002</v>
          </cell>
          <cell r="AS188">
            <v>-112.80500000000001</v>
          </cell>
          <cell r="AT188">
            <v>-3.4690000000000003</v>
          </cell>
          <cell r="AU188">
            <v>-4.4529999999999994</v>
          </cell>
          <cell r="AV188">
            <v>-0.86499999999999999</v>
          </cell>
          <cell r="AW188">
            <v>-7.032</v>
          </cell>
          <cell r="AX188">
            <v>-15.818999999999999</v>
          </cell>
          <cell r="AY188">
            <v>3.6500000000000004</v>
          </cell>
          <cell r="AZ188">
            <v>-2.556</v>
          </cell>
          <cell r="BA188">
            <v>-0.50700000000000001</v>
          </cell>
          <cell r="BB188">
            <v>-104.23700000000001</v>
          </cell>
          <cell r="BC188">
            <v>-103.65</v>
          </cell>
          <cell r="BD188">
            <v>-1.198</v>
          </cell>
          <cell r="BE188">
            <v>-13.882999999999999</v>
          </cell>
          <cell r="BF188">
            <v>-0.41400000000000003</v>
          </cell>
          <cell r="BG188">
            <v>-74.256</v>
          </cell>
          <cell r="BH188">
            <v>-89.751000000000005</v>
          </cell>
          <cell r="BI188">
            <v>-249.31899999999999</v>
          </cell>
          <cell r="BJ188">
            <v>-4.4030000000000005</v>
          </cell>
          <cell r="BK188">
            <v>-1323.5640000000001</v>
          </cell>
          <cell r="BL188">
            <v>-28.654</v>
          </cell>
          <cell r="BM188">
            <v>-1605.9399999999998</v>
          </cell>
          <cell r="BN188">
            <v>-5.2389999999999972</v>
          </cell>
          <cell r="BO188">
            <v>-53.968000000000004</v>
          </cell>
          <cell r="BP188">
            <v>-21.137</v>
          </cell>
          <cell r="BQ188">
            <v>-2.5</v>
          </cell>
          <cell r="BR188">
            <v>-82.84399999999998</v>
          </cell>
          <cell r="BS188">
            <v>-2.5</v>
          </cell>
          <cell r="BT188">
            <v>-2.5</v>
          </cell>
          <cell r="BU188">
            <v>-2.5</v>
          </cell>
          <cell r="BV188">
            <v>-2.5</v>
          </cell>
          <cell r="BW188">
            <v>-10</v>
          </cell>
          <cell r="BX188">
            <v>-2.5</v>
          </cell>
          <cell r="BY188">
            <v>-2.5</v>
          </cell>
          <cell r="BZ188">
            <v>-2.5</v>
          </cell>
          <cell r="CA188">
            <v>-2.5</v>
          </cell>
          <cell r="CB188">
            <v>-10</v>
          </cell>
          <cell r="CC188">
            <v>-2.5</v>
          </cell>
          <cell r="CD188">
            <v>-2.5</v>
          </cell>
          <cell r="CE188">
            <v>-2.5</v>
          </cell>
          <cell r="CF188">
            <v>-2.5</v>
          </cell>
          <cell r="CG188">
            <v>-10</v>
          </cell>
        </row>
        <row r="190">
          <cell r="B190" t="str">
            <v>Proceeds from exercise of options</v>
          </cell>
          <cell r="Y190">
            <v>0.40279300000000001</v>
          </cell>
          <cell r="Z190">
            <v>6.1599999999999997E-3</v>
          </cell>
          <cell r="AA190">
            <v>6.3730000000000002E-3</v>
          </cell>
          <cell r="AB190">
            <v>3.7531000000000002E-2</v>
          </cell>
          <cell r="AC190">
            <v>0.37127900000000003</v>
          </cell>
          <cell r="AD190">
            <v>0.42134300000000002</v>
          </cell>
          <cell r="AE190">
            <v>8.1997E-2</v>
          </cell>
          <cell r="AF190">
            <v>6.9581000000000004E-2</v>
          </cell>
          <cell r="AG190">
            <v>5.6389000000000002E-2</v>
          </cell>
          <cell r="AH190">
            <v>0.21299999999999999</v>
          </cell>
          <cell r="AI190">
            <v>0.42096699999999998</v>
          </cell>
          <cell r="AJ190">
            <v>0.83799999999999997</v>
          </cell>
          <cell r="AK190">
            <v>1.1910000000000001</v>
          </cell>
          <cell r="AL190">
            <v>0.17299999999999999</v>
          </cell>
          <cell r="AM190">
            <v>0.32800000000000001</v>
          </cell>
          <cell r="AN190">
            <v>2.5300000000000002</v>
          </cell>
          <cell r="AO190">
            <v>0.19500000000000001</v>
          </cell>
          <cell r="AP190">
            <v>0.13700000000000001</v>
          </cell>
          <cell r="AQ190">
            <v>1.107</v>
          </cell>
          <cell r="AR190">
            <v>0.109</v>
          </cell>
          <cell r="AS190">
            <v>1.548</v>
          </cell>
          <cell r="AT190">
            <v>2.3460000000000001</v>
          </cell>
          <cell r="AU190">
            <v>2.0030000000000001</v>
          </cell>
          <cell r="AV190">
            <v>1.569</v>
          </cell>
          <cell r="AW190">
            <v>0.34699999999999998</v>
          </cell>
          <cell r="AX190">
            <v>6.2650000000000006</v>
          </cell>
          <cell r="AY190">
            <v>4.0819999999999999</v>
          </cell>
          <cell r="AZ190">
            <v>0.96</v>
          </cell>
          <cell r="BA190">
            <v>0.313</v>
          </cell>
          <cell r="BB190">
            <v>5.984</v>
          </cell>
          <cell r="BC190">
            <v>11.338999999999999</v>
          </cell>
          <cell r="BD190">
            <v>3.323</v>
          </cell>
          <cell r="BE190">
            <v>3.3479999999999999</v>
          </cell>
          <cell r="BF190">
            <v>0.185</v>
          </cell>
          <cell r="BG190">
            <v>0.45600000000000002</v>
          </cell>
          <cell r="BH190">
            <v>7.3119999999999994</v>
          </cell>
          <cell r="BI190">
            <v>3.3340000000000001</v>
          </cell>
          <cell r="BJ190">
            <v>1.1299999999999999</v>
          </cell>
          <cell r="BK190">
            <v>1.274</v>
          </cell>
          <cell r="BL190">
            <v>2.0249999999999999</v>
          </cell>
          <cell r="BM190">
            <v>7.7629999999999999</v>
          </cell>
          <cell r="BN190">
            <v>0.78500000000000003</v>
          </cell>
          <cell r="BO190">
            <v>1.145</v>
          </cell>
          <cell r="BP190">
            <v>1.534</v>
          </cell>
          <cell r="BQ190">
            <v>0</v>
          </cell>
          <cell r="BR190">
            <v>3.4640000000000004</v>
          </cell>
          <cell r="BS190">
            <v>0</v>
          </cell>
          <cell r="BT190">
            <v>0</v>
          </cell>
          <cell r="BU190">
            <v>0</v>
          </cell>
          <cell r="BV190">
            <v>0</v>
          </cell>
          <cell r="BW190">
            <v>0</v>
          </cell>
          <cell r="BX190">
            <v>0</v>
          </cell>
          <cell r="BY190">
            <v>0</v>
          </cell>
          <cell r="BZ190">
            <v>0</v>
          </cell>
          <cell r="CA190">
            <v>0</v>
          </cell>
          <cell r="CB190">
            <v>0</v>
          </cell>
          <cell r="CC190">
            <v>0</v>
          </cell>
          <cell r="CD190">
            <v>0</v>
          </cell>
          <cell r="CE190">
            <v>0</v>
          </cell>
          <cell r="CF190">
            <v>0</v>
          </cell>
          <cell r="CG190">
            <v>0</v>
          </cell>
        </row>
        <row r="191">
          <cell r="B191" t="str">
            <v>Tax benefit on option exercises</v>
          </cell>
          <cell r="Y191">
            <v>0</v>
          </cell>
          <cell r="Z191">
            <v>0</v>
          </cell>
          <cell r="AA191">
            <v>0</v>
          </cell>
          <cell r="AB191">
            <v>0</v>
          </cell>
          <cell r="AC191">
            <v>0</v>
          </cell>
          <cell r="AD191">
            <v>0</v>
          </cell>
          <cell r="AE191">
            <v>0</v>
          </cell>
          <cell r="AF191">
            <v>0</v>
          </cell>
          <cell r="AG191">
            <v>0</v>
          </cell>
          <cell r="AH191">
            <v>1.4330000000000001</v>
          </cell>
          <cell r="AI191">
            <v>1.4330000000000001</v>
          </cell>
          <cell r="AJ191">
            <v>0</v>
          </cell>
          <cell r="AK191">
            <v>2.2160000000000002</v>
          </cell>
          <cell r="AL191">
            <v>0.17899999999999999</v>
          </cell>
          <cell r="AM191">
            <v>0.01</v>
          </cell>
          <cell r="AN191">
            <v>2.4050000000000002</v>
          </cell>
          <cell r="AO191">
            <v>2.1999999999999999E-2</v>
          </cell>
          <cell r="AP191">
            <v>5.8999999999999997E-2</v>
          </cell>
          <cell r="AQ191">
            <v>0.71899999999999997</v>
          </cell>
          <cell r="AR191">
            <v>-1E-3</v>
          </cell>
          <cell r="AS191">
            <v>0.79899999999999993</v>
          </cell>
          <cell r="AT191">
            <v>1.5620000000000001</v>
          </cell>
          <cell r="AU191">
            <v>0.54400000000000004</v>
          </cell>
          <cell r="AV191">
            <v>1.341</v>
          </cell>
          <cell r="AW191">
            <v>1.0169999999999999</v>
          </cell>
          <cell r="AX191">
            <v>4.4639999999999995</v>
          </cell>
          <cell r="AY191">
            <v>3.7669999999999999</v>
          </cell>
          <cell r="AZ191">
            <v>1.506</v>
          </cell>
          <cell r="BA191">
            <v>0.48299999999999998</v>
          </cell>
          <cell r="BB191">
            <v>7.0359999999999996</v>
          </cell>
          <cell r="BC191">
            <v>12.791999999999998</v>
          </cell>
          <cell r="BD191">
            <v>1.758</v>
          </cell>
          <cell r="BE191">
            <v>5.6959999999999997</v>
          </cell>
          <cell r="BF191">
            <v>0.30399999999999999</v>
          </cell>
          <cell r="BG191">
            <v>1.482</v>
          </cell>
          <cell r="BH191">
            <v>9.2399999999999984</v>
          </cell>
          <cell r="BI191">
            <v>7.7889999999999997</v>
          </cell>
          <cell r="BJ191">
            <v>2.7919999999999998</v>
          </cell>
          <cell r="BK191">
            <v>6.633</v>
          </cell>
          <cell r="BL191">
            <v>2.1829999999999998</v>
          </cell>
          <cell r="BM191">
            <v>19.396999999999998</v>
          </cell>
          <cell r="BN191">
            <v>4.9279999999999999</v>
          </cell>
          <cell r="BO191">
            <v>4.5490000000000004</v>
          </cell>
          <cell r="BP191">
            <v>0.99199999999999999</v>
          </cell>
          <cell r="BQ191">
            <v>0</v>
          </cell>
          <cell r="BR191">
            <v>10.469000000000001</v>
          </cell>
          <cell r="BS191">
            <v>0</v>
          </cell>
          <cell r="BT191">
            <v>0</v>
          </cell>
          <cell r="BU191">
            <v>0</v>
          </cell>
          <cell r="BV191">
            <v>0</v>
          </cell>
          <cell r="BW191">
            <v>0</v>
          </cell>
          <cell r="BX191">
            <v>0</v>
          </cell>
          <cell r="BY191">
            <v>0</v>
          </cell>
          <cell r="BZ191">
            <v>0</v>
          </cell>
          <cell r="CA191">
            <v>0</v>
          </cell>
          <cell r="CB191">
            <v>0</v>
          </cell>
          <cell r="CC191">
            <v>0</v>
          </cell>
          <cell r="CD191">
            <v>0</v>
          </cell>
          <cell r="CE191">
            <v>0</v>
          </cell>
          <cell r="CF191">
            <v>0</v>
          </cell>
          <cell r="CG191">
            <v>0</v>
          </cell>
        </row>
        <row r="192">
          <cell r="B192" t="str">
            <v>Long-term debt, net</v>
          </cell>
          <cell r="Y192">
            <v>5.15313</v>
          </cell>
          <cell r="Z192">
            <v>-1.2939000000000001E-2</v>
          </cell>
          <cell r="AA192">
            <v>-0.754112</v>
          </cell>
          <cell r="AB192">
            <v>0</v>
          </cell>
          <cell r="AC192">
            <v>-0.31381000000000003</v>
          </cell>
          <cell r="AD192">
            <v>-1.0808610000000001</v>
          </cell>
          <cell r="AE192">
            <v>-0.326905</v>
          </cell>
          <cell r="AF192">
            <v>-0.326905</v>
          </cell>
          <cell r="AG192">
            <v>-12.449047999999999</v>
          </cell>
          <cell r="AH192">
            <v>0</v>
          </cell>
          <cell r="AI192">
            <v>-13.102857999999999</v>
          </cell>
          <cell r="AJ192">
            <v>0</v>
          </cell>
          <cell r="AK192">
            <v>0</v>
          </cell>
          <cell r="AL192">
            <v>0</v>
          </cell>
          <cell r="AM192">
            <v>0</v>
          </cell>
          <cell r="AN192">
            <v>0</v>
          </cell>
          <cell r="AO192">
            <v>0</v>
          </cell>
          <cell r="AP192">
            <v>46.362000000000002</v>
          </cell>
          <cell r="AQ192">
            <v>-0.12</v>
          </cell>
          <cell r="AR192">
            <v>-0.12</v>
          </cell>
          <cell r="AS192">
            <v>46.122</v>
          </cell>
          <cell r="AT192">
            <v>-0.12</v>
          </cell>
          <cell r="AU192">
            <v>-1.2</v>
          </cell>
          <cell r="AV192">
            <v>202.90700000000001</v>
          </cell>
          <cell r="AW192">
            <v>-45.12</v>
          </cell>
          <cell r="AX192">
            <v>156.46700000000001</v>
          </cell>
          <cell r="AY192">
            <v>0</v>
          </cell>
          <cell r="AZ192">
            <v>0</v>
          </cell>
          <cell r="BA192">
            <v>0</v>
          </cell>
          <cell r="BB192">
            <v>0</v>
          </cell>
          <cell r="BC192">
            <v>0</v>
          </cell>
          <cell r="BD192">
            <v>0</v>
          </cell>
          <cell r="BE192">
            <v>0</v>
          </cell>
          <cell r="BF192">
            <v>0</v>
          </cell>
          <cell r="BG192">
            <v>0</v>
          </cell>
          <cell r="BH192">
            <v>0</v>
          </cell>
          <cell r="BI192">
            <v>100</v>
          </cell>
          <cell r="BJ192">
            <v>0</v>
          </cell>
          <cell r="BK192">
            <v>858.45500000000015</v>
          </cell>
          <cell r="BL192">
            <v>-100</v>
          </cell>
          <cell r="BM192">
            <v>858.45500000000015</v>
          </cell>
          <cell r="BN192">
            <v>-100</v>
          </cell>
          <cell r="BO192">
            <v>-50</v>
          </cell>
          <cell r="BP192">
            <v>-6.25</v>
          </cell>
          <cell r="BQ192">
            <v>0</v>
          </cell>
          <cell r="BR192">
            <v>-156.25</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row>
        <row r="193">
          <cell r="B193" t="str">
            <v>Other</v>
          </cell>
          <cell r="Y193">
            <v>11.432824</v>
          </cell>
          <cell r="Z193">
            <v>-17.95</v>
          </cell>
          <cell r="AA193">
            <v>0</v>
          </cell>
          <cell r="AB193">
            <v>1.3095000000000001E-2</v>
          </cell>
          <cell r="AC193">
            <v>16.686579999999999</v>
          </cell>
          <cell r="AD193">
            <v>-1.2503250000000001</v>
          </cell>
          <cell r="AE193">
            <v>0</v>
          </cell>
          <cell r="AF193">
            <v>-1.068694</v>
          </cell>
          <cell r="AG193">
            <v>-0.262048</v>
          </cell>
          <cell r="AH193">
            <v>0</v>
          </cell>
          <cell r="AI193">
            <v>-1.3307420000000001</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-1.595</v>
          </cell>
          <cell r="BH193">
            <v>-1.595</v>
          </cell>
          <cell r="BI193">
            <v>0</v>
          </cell>
          <cell r="BJ193">
            <v>-9</v>
          </cell>
          <cell r="BK193">
            <v>-10.252999999999998</v>
          </cell>
          <cell r="BL193">
            <v>-6.0000000000000001E-3</v>
          </cell>
          <cell r="BM193">
            <v>-19.259</v>
          </cell>
          <cell r="BN193">
            <v>-23.202999999999999</v>
          </cell>
          <cell r="BO193">
            <v>-12.462</v>
          </cell>
          <cell r="BP193">
            <v>-12</v>
          </cell>
          <cell r="BQ193">
            <v>0</v>
          </cell>
          <cell r="BR193">
            <v>-47.664999999999999</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row>
        <row r="194">
          <cell r="B194" t="str">
            <v>Share Repurchases/ Offering</v>
          </cell>
          <cell r="Y194">
            <v>0</v>
          </cell>
          <cell r="Z194">
            <v>0</v>
          </cell>
          <cell r="AA194">
            <v>0</v>
          </cell>
          <cell r="AB194">
            <v>0</v>
          </cell>
          <cell r="AC194">
            <v>19.230768999999999</v>
          </cell>
          <cell r="AD194">
            <v>19.230768999999999</v>
          </cell>
          <cell r="AE194">
            <v>0</v>
          </cell>
          <cell r="AF194">
            <v>36.064</v>
          </cell>
          <cell r="AG194">
            <v>0</v>
          </cell>
          <cell r="AH194">
            <v>-5.1999999999999998E-2</v>
          </cell>
          <cell r="AI194">
            <v>36.012</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-0.98599999999999999</v>
          </cell>
          <cell r="AX194">
            <v>-0.98599999999999999</v>
          </cell>
          <cell r="AY194">
            <v>0</v>
          </cell>
          <cell r="AZ194">
            <v>0</v>
          </cell>
          <cell r="BA194">
            <v>0</v>
          </cell>
          <cell r="BB194">
            <v>0</v>
          </cell>
          <cell r="BC194">
            <v>0</v>
          </cell>
          <cell r="BD194">
            <v>0</v>
          </cell>
          <cell r="BE194">
            <v>0</v>
          </cell>
          <cell r="BF194">
            <v>0</v>
          </cell>
          <cell r="BG194">
            <v>0</v>
          </cell>
          <cell r="BH194">
            <v>0</v>
          </cell>
          <cell r="BI194">
            <v>0</v>
          </cell>
          <cell r="BJ194">
            <v>519.26</v>
          </cell>
          <cell r="BK194">
            <v>0</v>
          </cell>
          <cell r="BL194">
            <v>0</v>
          </cell>
          <cell r="BM194">
            <v>519.26</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row>
        <row r="195">
          <cell r="B195" t="str">
            <v>Dividends</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cell r="BP195">
            <v>0</v>
          </cell>
          <cell r="BQ195">
            <v>0</v>
          </cell>
          <cell r="BR195">
            <v>0</v>
          </cell>
          <cell r="BS195">
            <v>0</v>
          </cell>
          <cell r="BT195">
            <v>0</v>
          </cell>
          <cell r="BU195">
            <v>0</v>
          </cell>
          <cell r="BV195">
            <v>0</v>
          </cell>
          <cell r="BW195">
            <v>0</v>
          </cell>
          <cell r="BX195">
            <v>0</v>
          </cell>
          <cell r="BY195">
            <v>0</v>
          </cell>
          <cell r="BZ195">
            <v>0</v>
          </cell>
          <cell r="CA195">
            <v>0</v>
          </cell>
          <cell r="CB195">
            <v>0</v>
          </cell>
          <cell r="CC195">
            <v>0</v>
          </cell>
          <cell r="CD195">
            <v>0</v>
          </cell>
          <cell r="CE195">
            <v>0</v>
          </cell>
          <cell r="CF195">
            <v>0</v>
          </cell>
          <cell r="CG195">
            <v>0</v>
          </cell>
        </row>
        <row r="196">
          <cell r="B196" t="str">
            <v>Cash from financing</v>
          </cell>
          <cell r="Y196">
            <v>16.988747</v>
          </cell>
          <cell r="Z196">
            <v>-17.956779000000001</v>
          </cell>
          <cell r="AA196">
            <v>-0.74773900000000004</v>
          </cell>
          <cell r="AB196">
            <v>5.0626000000000004E-2</v>
          </cell>
          <cell r="AC196">
            <v>35.974817999999999</v>
          </cell>
          <cell r="AD196">
            <v>17.320926</v>
          </cell>
          <cell r="AE196">
            <v>-0.24490800000000001</v>
          </cell>
          <cell r="AF196">
            <v>34.737982000000002</v>
          </cell>
          <cell r="AG196">
            <v>-12.654707</v>
          </cell>
          <cell r="AH196">
            <v>1.5940000000000001</v>
          </cell>
          <cell r="AI196">
            <v>23.432366999999999</v>
          </cell>
          <cell r="AJ196">
            <v>0.83799999999999997</v>
          </cell>
          <cell r="AK196">
            <v>3.407</v>
          </cell>
          <cell r="AL196">
            <v>0.35199999999999998</v>
          </cell>
          <cell r="AM196">
            <v>0.33800000000000002</v>
          </cell>
          <cell r="AN196">
            <v>4.9350000000000005</v>
          </cell>
          <cell r="AO196">
            <v>0.217</v>
          </cell>
          <cell r="AP196">
            <v>46.558</v>
          </cell>
          <cell r="AQ196">
            <v>1.706</v>
          </cell>
          <cell r="AR196">
            <v>-1.1999999999999997E-2</v>
          </cell>
          <cell r="AS196">
            <v>48.469000000000001</v>
          </cell>
          <cell r="AT196">
            <v>3.7880000000000003</v>
          </cell>
          <cell r="AU196">
            <v>1.3470000000000002</v>
          </cell>
          <cell r="AV196">
            <v>205.81700000000001</v>
          </cell>
          <cell r="AW196">
            <v>-44.741999999999997</v>
          </cell>
          <cell r="AX196">
            <v>166.21000000000004</v>
          </cell>
          <cell r="AY196">
            <v>7.8490000000000002</v>
          </cell>
          <cell r="AZ196">
            <v>2.4660000000000002</v>
          </cell>
          <cell r="BA196">
            <v>0.79600000000000004</v>
          </cell>
          <cell r="BB196">
            <v>13.02</v>
          </cell>
          <cell r="BC196">
            <v>24.130999999999997</v>
          </cell>
          <cell r="BD196">
            <v>5.0809999999999995</v>
          </cell>
          <cell r="BE196">
            <v>9.0440000000000005</v>
          </cell>
          <cell r="BF196">
            <v>0.48899999999999999</v>
          </cell>
          <cell r="BG196">
            <v>0.34299999999999997</v>
          </cell>
          <cell r="BH196">
            <v>14.956999999999999</v>
          </cell>
          <cell r="BI196">
            <v>111.123</v>
          </cell>
          <cell r="BJ196">
            <v>514.18200000000002</v>
          </cell>
          <cell r="BK196">
            <v>856.10900000000015</v>
          </cell>
          <cell r="BL196">
            <v>-95.798000000000002</v>
          </cell>
          <cell r="BM196">
            <v>1385.616</v>
          </cell>
          <cell r="BN196">
            <v>-117.49000000000001</v>
          </cell>
          <cell r="BO196">
            <v>-56.768000000000001</v>
          </cell>
          <cell r="BP196">
            <v>-15.724</v>
          </cell>
          <cell r="BQ196">
            <v>0</v>
          </cell>
          <cell r="BR196">
            <v>-189.982</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row>
        <row r="198">
          <cell r="B198" t="str">
            <v>Foreign exchange adjustment</v>
          </cell>
          <cell r="Y198">
            <v>0</v>
          </cell>
          <cell r="Z198">
            <v>0</v>
          </cell>
          <cell r="AA198">
            <v>0</v>
          </cell>
          <cell r="AB198">
            <v>0</v>
          </cell>
          <cell r="AC198">
            <v>0</v>
          </cell>
          <cell r="AD198">
            <v>0</v>
          </cell>
          <cell r="AE198">
            <v>0</v>
          </cell>
          <cell r="AF198">
            <v>0</v>
          </cell>
          <cell r="AG198">
            <v>0</v>
          </cell>
          <cell r="AH198">
            <v>-0.01</v>
          </cell>
          <cell r="AI198">
            <v>-0.01</v>
          </cell>
          <cell r="AJ198">
            <v>1.2999999999999999E-2</v>
          </cell>
          <cell r="AK198">
            <v>0.122</v>
          </cell>
          <cell r="AL198">
            <v>-1.4999999999999999E-2</v>
          </cell>
          <cell r="AM198">
            <v>2E-3</v>
          </cell>
          <cell r="AN198">
            <v>0.12200000000000001</v>
          </cell>
          <cell r="AO198">
            <v>-1.4E-2</v>
          </cell>
          <cell r="AP198">
            <v>3.5000000000000003E-2</v>
          </cell>
          <cell r="AQ198">
            <v>-7.0000000000000001E-3</v>
          </cell>
          <cell r="AR198">
            <v>-0.20100000000000001</v>
          </cell>
          <cell r="AS198">
            <v>-0.187</v>
          </cell>
          <cell r="AT198">
            <v>9.4E-2</v>
          </cell>
          <cell r="AU198">
            <v>-6.8000000000000005E-2</v>
          </cell>
          <cell r="AV198">
            <v>2.4E-2</v>
          </cell>
          <cell r="AW198">
            <v>-0.16900000000000001</v>
          </cell>
          <cell r="AX198">
            <v>-0.11900000000000002</v>
          </cell>
          <cell r="AY198">
            <v>3.9E-2</v>
          </cell>
          <cell r="AZ198">
            <v>5.0000000000000001E-3</v>
          </cell>
          <cell r="BA198">
            <v>7.4999999999999997E-2</v>
          </cell>
          <cell r="BB198">
            <v>0.05</v>
          </cell>
          <cell r="BC198">
            <v>0.16899999999999998</v>
          </cell>
          <cell r="BD198">
            <v>-0.02</v>
          </cell>
          <cell r="BE198">
            <v>-7.0000000000000001E-3</v>
          </cell>
          <cell r="BF198">
            <v>2.1000000000000001E-2</v>
          </cell>
          <cell r="BG198">
            <v>2.4E-2</v>
          </cell>
          <cell r="BH198">
            <v>1.8000000000000002E-2</v>
          </cell>
          <cell r="BI198">
            <v>0.04</v>
          </cell>
          <cell r="BJ198">
            <v>0</v>
          </cell>
          <cell r="BK198">
            <v>-2E-3</v>
          </cell>
          <cell r="BL198">
            <v>-5.8000000000000003E-2</v>
          </cell>
          <cell r="BM198">
            <v>-2.0000000000000004E-2</v>
          </cell>
          <cell r="BN198">
            <v>4.0000000000000001E-3</v>
          </cell>
          <cell r="BO198">
            <v>1.5E-3</v>
          </cell>
          <cell r="BP198">
            <v>-1.9E-2</v>
          </cell>
          <cell r="BQ198">
            <v>0</v>
          </cell>
          <cell r="BR198">
            <v>-1.35E-2</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row>
        <row r="199">
          <cell r="B199" t="str">
            <v>Change in cash due to restatement</v>
          </cell>
          <cell r="Y199">
            <v>0</v>
          </cell>
          <cell r="Z199">
            <v>0</v>
          </cell>
          <cell r="AA199">
            <v>0</v>
          </cell>
          <cell r="AB199">
            <v>0</v>
          </cell>
          <cell r="AC199">
            <v>0</v>
          </cell>
          <cell r="AD199">
            <v>0</v>
          </cell>
          <cell r="AE199">
            <v>0</v>
          </cell>
          <cell r="AF199">
            <v>0</v>
          </cell>
          <cell r="AG199">
            <v>0</v>
          </cell>
          <cell r="AH199">
            <v>-2.0000000002795559E-6</v>
          </cell>
          <cell r="AI199">
            <v>-2.0000000002795559E-6</v>
          </cell>
          <cell r="AJ199">
            <v>-4.8500000000029075E-4</v>
          </cell>
          <cell r="AK199">
            <v>-5.3400000000021074E-4</v>
          </cell>
          <cell r="AL199">
            <v>-6.5299999999979264E-4</v>
          </cell>
          <cell r="AM199">
            <v>-1.772708999999999</v>
          </cell>
          <cell r="AN199">
            <v>-1.7743809999999993</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-1.0999999999999999E-2</v>
          </cell>
          <cell r="BK199">
            <v>0</v>
          </cell>
          <cell r="BL199">
            <v>0</v>
          </cell>
          <cell r="BM199">
            <v>-1.0999999999999999E-2</v>
          </cell>
          <cell r="BN199">
            <v>0</v>
          </cell>
          <cell r="BO199">
            <v>0</v>
          </cell>
          <cell r="BP199">
            <v>0</v>
          </cell>
          <cell r="BQ199">
            <v>0</v>
          </cell>
          <cell r="BR199">
            <v>0</v>
          </cell>
          <cell r="BS199">
            <v>0</v>
          </cell>
          <cell r="BT199">
            <v>0</v>
          </cell>
          <cell r="BU199">
            <v>0</v>
          </cell>
          <cell r="BV199">
            <v>0</v>
          </cell>
          <cell r="BW199">
            <v>0</v>
          </cell>
          <cell r="BX199">
            <v>0</v>
          </cell>
          <cell r="BY199">
            <v>0</v>
          </cell>
          <cell r="BZ199">
            <v>0</v>
          </cell>
          <cell r="CA199">
            <v>0</v>
          </cell>
          <cell r="CB199">
            <v>0</v>
          </cell>
          <cell r="CC199">
            <v>0</v>
          </cell>
          <cell r="CD199">
            <v>0</v>
          </cell>
          <cell r="CE199">
            <v>0</v>
          </cell>
          <cell r="CF199">
            <v>0</v>
          </cell>
          <cell r="CG199">
            <v>0</v>
          </cell>
        </row>
        <row r="200">
          <cell r="B200" t="str">
            <v>Net Increase (Decrease) in Cash and Cash Equivalents</v>
          </cell>
          <cell r="Y200">
            <v>18.598256816999999</v>
          </cell>
          <cell r="Z200">
            <v>-16.238850999172186</v>
          </cell>
          <cell r="AA200">
            <v>-0.30679644104003312</v>
          </cell>
          <cell r="AB200">
            <v>7.3980426790012119</v>
          </cell>
          <cell r="AC200">
            <v>20.791388372034099</v>
          </cell>
          <cell r="AD200">
            <v>11.643783610823093</v>
          </cell>
          <cell r="AE200">
            <v>0.90180400000000172</v>
          </cell>
          <cell r="AF200">
            <v>36.521294000000005</v>
          </cell>
          <cell r="AG200">
            <v>-11.932648</v>
          </cell>
          <cell r="AH200">
            <v>9.5009979999999992</v>
          </cell>
          <cell r="AI200">
            <v>34.991448000000005</v>
          </cell>
          <cell r="AJ200">
            <v>6.0235149999999988</v>
          </cell>
          <cell r="AK200">
            <v>-2.2715339999999973</v>
          </cell>
          <cell r="AL200">
            <v>6.4183470000000007</v>
          </cell>
          <cell r="AM200">
            <v>9.8152910000000002</v>
          </cell>
          <cell r="AN200">
            <v>19.985619000000007</v>
          </cell>
          <cell r="AO200">
            <v>5.6329999999999991</v>
          </cell>
          <cell r="AP200">
            <v>-46.506999999999998</v>
          </cell>
          <cell r="AQ200">
            <v>1.535000000000027</v>
          </cell>
          <cell r="AR200">
            <v>16.125000000000021</v>
          </cell>
          <cell r="AS200">
            <v>-23.213999999999952</v>
          </cell>
          <cell r="AT200">
            <v>12.254999999999969</v>
          </cell>
          <cell r="AU200">
            <v>16.664000000000019</v>
          </cell>
          <cell r="AV200">
            <v>222.88800000000001</v>
          </cell>
          <cell r="AW200">
            <v>-15.151999999999994</v>
          </cell>
          <cell r="AX200">
            <v>236.655</v>
          </cell>
          <cell r="AY200">
            <v>8.8710000000000448</v>
          </cell>
          <cell r="AZ200">
            <v>39.383000000000038</v>
          </cell>
          <cell r="BA200">
            <v>26.43700000000003</v>
          </cell>
          <cell r="BB200">
            <v>-57.777000000000029</v>
          </cell>
          <cell r="BC200">
            <v>16.914000000000087</v>
          </cell>
          <cell r="BD200">
            <v>4.6449999999999783</v>
          </cell>
          <cell r="BE200">
            <v>-6.2220000000000102</v>
          </cell>
          <cell r="BF200">
            <v>85.403999999999883</v>
          </cell>
          <cell r="BG200">
            <v>-63.728999999999999</v>
          </cell>
          <cell r="BH200">
            <v>20.097999999999836</v>
          </cell>
          <cell r="BI200">
            <v>-81.945000000000078</v>
          </cell>
          <cell r="BJ200">
            <v>539.48399999999992</v>
          </cell>
          <cell r="BK200">
            <v>-405.88899999999995</v>
          </cell>
          <cell r="BL200">
            <v>-22.256000000000007</v>
          </cell>
          <cell r="BM200">
            <v>29.393999999999956</v>
          </cell>
          <cell r="BN200">
            <v>-59.149000000000008</v>
          </cell>
          <cell r="BO200">
            <v>62.2485</v>
          </cell>
          <cell r="BP200">
            <v>62.639000000000003</v>
          </cell>
          <cell r="BQ200">
            <v>62.544938397089709</v>
          </cell>
          <cell r="BR200">
            <v>128.2834383970897</v>
          </cell>
          <cell r="BS200">
            <v>81.471772785363868</v>
          </cell>
          <cell r="BT200">
            <v>69.952563864040542</v>
          </cell>
          <cell r="BU200">
            <v>191.52097055406023</v>
          </cell>
          <cell r="BV200">
            <v>44.319663923348855</v>
          </cell>
          <cell r="BW200">
            <v>387.26497112681352</v>
          </cell>
          <cell r="BX200">
            <v>293.80286259706338</v>
          </cell>
          <cell r="BY200">
            <v>78.899322345696817</v>
          </cell>
          <cell r="BZ200">
            <v>208.71918086391759</v>
          </cell>
          <cell r="CA200">
            <v>50.694098414941919</v>
          </cell>
          <cell r="CB200">
            <v>632.11546422161973</v>
          </cell>
          <cell r="CC200">
            <v>298.45351937515545</v>
          </cell>
          <cell r="CD200">
            <v>103.53973936670741</v>
          </cell>
          <cell r="CE200">
            <v>274.38871874176397</v>
          </cell>
          <cell r="CF200">
            <v>65.756354878848953</v>
          </cell>
          <cell r="CG200">
            <v>742.13833236247569</v>
          </cell>
        </row>
        <row r="202">
          <cell r="B202" t="str">
            <v>Change in cash</v>
          </cell>
          <cell r="Z202">
            <v>-17.488531000000002</v>
          </cell>
          <cell r="AA202">
            <v>-1.8776639999999993</v>
          </cell>
          <cell r="AB202">
            <v>6.0169170000000012</v>
          </cell>
          <cell r="AC202">
            <v>19.664566999999998</v>
          </cell>
          <cell r="AE202">
            <v>0.9018039999999985</v>
          </cell>
          <cell r="AF202">
            <v>36.521293999999997</v>
          </cell>
          <cell r="AG202">
            <v>-11.932647999999993</v>
          </cell>
          <cell r="AH202">
            <v>9.5009980000000027</v>
          </cell>
          <cell r="AJ202">
            <v>6.0235149999999891</v>
          </cell>
          <cell r="AK202">
            <v>-2.2715329999999909</v>
          </cell>
          <cell r="AL202">
            <v>6.4183469999999971</v>
          </cell>
          <cell r="AM202">
            <v>9.815291000000002</v>
          </cell>
          <cell r="AO202">
            <v>5.6329999999999956</v>
          </cell>
          <cell r="AP202">
            <v>-46.506999999999998</v>
          </cell>
          <cell r="AQ202">
            <v>1.5350000000000037</v>
          </cell>
          <cell r="AR202">
            <v>16.125</v>
          </cell>
          <cell r="AT202">
            <v>12.254999999999995</v>
          </cell>
          <cell r="AU202">
            <v>16.664000000000001</v>
          </cell>
          <cell r="AV202">
            <v>222.88799999999998</v>
          </cell>
          <cell r="AW202">
            <v>-15.151999999999987</v>
          </cell>
          <cell r="AY202">
            <v>8.8709999999999809</v>
          </cell>
          <cell r="AZ202">
            <v>39.383000000000038</v>
          </cell>
          <cell r="BA202">
            <v>26.436999999999955</v>
          </cell>
          <cell r="BB202">
            <v>-57.776999999999987</v>
          </cell>
          <cell r="BD202">
            <v>4.6449999999999818</v>
          </cell>
          <cell r="BE202">
            <v>-6.22199999999998</v>
          </cell>
          <cell r="BF202">
            <v>85.403999999999996</v>
          </cell>
          <cell r="BG202">
            <v>-63.728999999999985</v>
          </cell>
          <cell r="BI202">
            <v>-81.944999999999993</v>
          </cell>
          <cell r="BJ202">
            <v>539.48400000000004</v>
          </cell>
          <cell r="BK202">
            <v>-405.88900000000007</v>
          </cell>
          <cell r="BL202">
            <v>-22.255999999999972</v>
          </cell>
          <cell r="BN202">
            <v>-59.420000000000016</v>
          </cell>
          <cell r="BO202">
            <v>62.232000000000028</v>
          </cell>
          <cell r="BP202">
            <v>62.638999999999953</v>
          </cell>
          <cell r="BQ202">
            <v>62.544938397089709</v>
          </cell>
          <cell r="BS202">
            <v>81.471772785363896</v>
          </cell>
          <cell r="BT202">
            <v>69.952563864040485</v>
          </cell>
          <cell r="BU202">
            <v>191.52097055406023</v>
          </cell>
          <cell r="BV202">
            <v>44.319663923348912</v>
          </cell>
          <cell r="BX202">
            <v>293.80286259706349</v>
          </cell>
          <cell r="BY202">
            <v>78.899322345696874</v>
          </cell>
          <cell r="BZ202">
            <v>208.7191808639177</v>
          </cell>
          <cell r="CA202">
            <v>50.694098414941891</v>
          </cell>
          <cell r="CC202">
            <v>298.45351937515557</v>
          </cell>
          <cell r="CD202">
            <v>103.53973936670764</v>
          </cell>
          <cell r="CE202">
            <v>274.38871874176402</v>
          </cell>
          <cell r="CF202">
            <v>65.756354878848924</v>
          </cell>
        </row>
        <row r="203">
          <cell r="B203" t="str">
            <v>Check</v>
          </cell>
          <cell r="Z203">
            <v>1.2496799999999999</v>
          </cell>
          <cell r="AA203">
            <v>1.57087</v>
          </cell>
          <cell r="AB203">
            <v>1.38113</v>
          </cell>
          <cell r="AC203">
            <v>1.1268199999999999</v>
          </cell>
          <cell r="AE203">
            <v>0</v>
          </cell>
          <cell r="AF203">
            <v>0</v>
          </cell>
          <cell r="AG203">
            <v>0</v>
          </cell>
          <cell r="AH203">
            <v>0</v>
          </cell>
          <cell r="AJ203">
            <v>0</v>
          </cell>
          <cell r="AK203">
            <v>0</v>
          </cell>
          <cell r="AL203">
            <v>0</v>
          </cell>
          <cell r="AM203">
            <v>0</v>
          </cell>
          <cell r="AO203">
            <v>0</v>
          </cell>
          <cell r="AP203">
            <v>0</v>
          </cell>
          <cell r="AQ203">
            <v>0</v>
          </cell>
          <cell r="AR203">
            <v>0</v>
          </cell>
          <cell r="AT203">
            <v>0</v>
          </cell>
          <cell r="AU203">
            <v>0</v>
          </cell>
          <cell r="AV203">
            <v>0</v>
          </cell>
          <cell r="AW203">
            <v>0</v>
          </cell>
          <cell r="AY203">
            <v>0</v>
          </cell>
          <cell r="AZ203">
            <v>0</v>
          </cell>
          <cell r="BA203">
            <v>0</v>
          </cell>
          <cell r="BB203">
            <v>0</v>
          </cell>
          <cell r="BD203">
            <v>0</v>
          </cell>
          <cell r="BE203">
            <v>0</v>
          </cell>
          <cell r="BF203">
            <v>0</v>
          </cell>
          <cell r="BG203">
            <v>0</v>
          </cell>
          <cell r="BI203">
            <v>0</v>
          </cell>
          <cell r="BJ203">
            <v>0</v>
          </cell>
          <cell r="BK203">
            <v>0</v>
          </cell>
          <cell r="BL203">
            <v>0</v>
          </cell>
          <cell r="BN203">
            <v>0.27100000000000002</v>
          </cell>
          <cell r="BO203">
            <v>1.6500000000000001E-2</v>
          </cell>
          <cell r="BP203">
            <v>0</v>
          </cell>
          <cell r="BQ203">
            <v>0</v>
          </cell>
          <cell r="BS203">
            <v>0</v>
          </cell>
          <cell r="BT203">
            <v>0</v>
          </cell>
          <cell r="BU203">
            <v>0</v>
          </cell>
          <cell r="BV203">
            <v>0</v>
          </cell>
          <cell r="BX203">
            <v>0</v>
          </cell>
          <cell r="BY203">
            <v>0</v>
          </cell>
          <cell r="BZ203">
            <v>0</v>
          </cell>
          <cell r="CA203">
            <v>0</v>
          </cell>
          <cell r="CC203">
            <v>0</v>
          </cell>
          <cell r="CD203">
            <v>0</v>
          </cell>
          <cell r="CE203">
            <v>0</v>
          </cell>
          <cell r="CF203">
            <v>0</v>
          </cell>
        </row>
        <row r="205">
          <cell r="B205" t="str">
            <v>CFO as % of EBITDA</v>
          </cell>
          <cell r="Y205">
            <v>0.82184829723963504</v>
          </cell>
          <cell r="Z205">
            <v>1.2509602581145762</v>
          </cell>
          <cell r="AA205">
            <v>1.3199757515976398</v>
          </cell>
          <cell r="AB205">
            <v>2.0523368771576544</v>
          </cell>
          <cell r="AC205">
            <v>0.58334980978838491</v>
          </cell>
          <cell r="AD205">
            <v>1.1828849507582704</v>
          </cell>
          <cell r="AE205">
            <v>0.55997342202097056</v>
          </cell>
          <cell r="AF205">
            <v>0.89130664855841102</v>
          </cell>
          <cell r="AG205">
            <v>0.3804386158373691</v>
          </cell>
          <cell r="AH205">
            <v>1.4076515803445115</v>
          </cell>
          <cell r="AI205">
            <v>0.85392822343331354</v>
          </cell>
          <cell r="AJ205">
            <v>1.5626195028680689</v>
          </cell>
          <cell r="AK205">
            <v>-0.94959183673469283</v>
          </cell>
          <cell r="AL205">
            <v>1.7930566856522925</v>
          </cell>
          <cell r="AM205">
            <v>1.8674735713191357</v>
          </cell>
          <cell r="AN205">
            <v>1.1198690977092103</v>
          </cell>
          <cell r="AO205">
            <v>1.2686355022109919</v>
          </cell>
          <cell r="AP205">
            <v>0.94058061821219752</v>
          </cell>
          <cell r="AQ205">
            <v>0.27629143530203765</v>
          </cell>
          <cell r="AR205">
            <v>1.2571137602587905</v>
          </cell>
          <cell r="AS205">
            <v>0.92856340054397835</v>
          </cell>
          <cell r="AT205">
            <v>0.72512399730573718</v>
          </cell>
          <cell r="AU205">
            <v>0.83856786574798181</v>
          </cell>
          <cell r="AV205">
            <v>0.73681612505141914</v>
          </cell>
          <cell r="AW205">
            <v>1.209712951698287</v>
          </cell>
          <cell r="AX205">
            <v>0.91206934780542737</v>
          </cell>
          <cell r="AY205">
            <v>-9.3740114582965509E-2</v>
          </cell>
          <cell r="AZ205">
            <v>1.2546252145718098</v>
          </cell>
          <cell r="BA205">
            <v>0.84823345695881325</v>
          </cell>
          <cell r="BB205">
            <v>1.0738406123367854</v>
          </cell>
          <cell r="BC205">
            <v>0.79072785667934398</v>
          </cell>
          <cell r="BD205">
            <v>2.3332139873492638E-2</v>
          </cell>
          <cell r="BE205">
            <v>-3.5302870923878509E-2</v>
          </cell>
          <cell r="BF205">
            <v>1.8700512955412365</v>
          </cell>
          <cell r="BG205">
            <v>0.21017790649565568</v>
          </cell>
          <cell r="BH205">
            <v>0.56998155613363743</v>
          </cell>
          <cell r="BI205">
            <v>1.0337845293706551</v>
          </cell>
          <cell r="BJ205">
            <v>0.50703840838125069</v>
          </cell>
          <cell r="BK205">
            <v>0.59682047305157004</v>
          </cell>
          <cell r="BL205">
            <v>0.69631122702603254</v>
          </cell>
          <cell r="BM205">
            <v>0.6798573586857396</v>
          </cell>
          <cell r="BN205">
            <v>0.44303832752613242</v>
          </cell>
          <cell r="BO205">
            <v>1.0432918187026934</v>
          </cell>
          <cell r="BP205">
            <v>0.55779815485331863</v>
          </cell>
          <cell r="BQ205">
            <v>0.33229767963493856</v>
          </cell>
          <cell r="BR205">
            <v>0.58689868571717452</v>
          </cell>
          <cell r="BS205">
            <v>0.44284895748873565</v>
          </cell>
          <cell r="BT205">
            <v>0.32709711854680568</v>
          </cell>
          <cell r="BU205">
            <v>0.9550553970798632</v>
          </cell>
          <cell r="BV205">
            <v>0.18849488173080217</v>
          </cell>
          <cell r="BW205">
            <v>0.46051306341283188</v>
          </cell>
          <cell r="BX205">
            <v>1.367411437584708</v>
          </cell>
          <cell r="BY205">
            <v>0.32376691415231923</v>
          </cell>
          <cell r="BZ205">
            <v>0.93130251799972175</v>
          </cell>
          <cell r="CA205">
            <v>0.18914577580086198</v>
          </cell>
          <cell r="CB205">
            <v>0.65781398179900707</v>
          </cell>
          <cell r="CC205">
            <v>1.1861939089889153</v>
          </cell>
          <cell r="CD205">
            <v>0.37426192332810237</v>
          </cell>
          <cell r="CE205">
            <v>1.1074691701790258</v>
          </cell>
          <cell r="CF205">
            <v>0.25120862367000563</v>
          </cell>
          <cell r="CG205">
            <v>0.71038538787248418</v>
          </cell>
        </row>
        <row r="207">
          <cell r="B207" t="str">
            <v>Free Cash Flow - MW Definition</v>
          </cell>
        </row>
        <row r="208">
          <cell r="B208" t="str">
            <v>EBITDA</v>
          </cell>
          <cell r="Y208">
            <v>6.3079340000000013</v>
          </cell>
          <cell r="Z208">
            <v>1.5711929999999983</v>
          </cell>
          <cell r="AA208">
            <v>2.7449659999999998</v>
          </cell>
          <cell r="AB208">
            <v>3.8261869999999987</v>
          </cell>
          <cell r="AC208">
            <v>6.3548480000000032</v>
          </cell>
          <cell r="AD208">
            <v>14.497193999999999</v>
          </cell>
          <cell r="AE208">
            <v>4.5210360000000023</v>
          </cell>
          <cell r="AF208">
            <v>4.1763640000000013</v>
          </cell>
          <cell r="AG208">
            <v>5.5407939999999982</v>
          </cell>
          <cell r="AH208">
            <v>6.8560999999999961</v>
          </cell>
          <cell r="AI208">
            <v>21.094293999999998</v>
          </cell>
          <cell r="AJ208">
            <v>6.2759999999999989</v>
          </cell>
          <cell r="AK208">
            <v>4.9000000000000021</v>
          </cell>
          <cell r="AL208">
            <v>3.6869999999999985</v>
          </cell>
          <cell r="AM208">
            <v>6.527000000000001</v>
          </cell>
          <cell r="AN208">
            <v>21.389999999999993</v>
          </cell>
          <cell r="AO208">
            <v>6.331999999999999</v>
          </cell>
          <cell r="AP208">
            <v>9.5760000000000041</v>
          </cell>
          <cell r="AQ208">
            <v>11.886000000000026</v>
          </cell>
          <cell r="AR208">
            <v>16.693000000000026</v>
          </cell>
          <cell r="AS208">
            <v>44.487000000000094</v>
          </cell>
          <cell r="AT208">
            <v>16.330999999999968</v>
          </cell>
          <cell r="AU208">
            <v>23.657000000000014</v>
          </cell>
          <cell r="AV208">
            <v>24.310000000000009</v>
          </cell>
          <cell r="AW208">
            <v>30.413</v>
          </cell>
          <cell r="AX208">
            <v>94.711000000000169</v>
          </cell>
          <cell r="AY208">
            <v>28.45100000000004</v>
          </cell>
          <cell r="AZ208">
            <v>31.458000000000034</v>
          </cell>
          <cell r="BA208">
            <v>30.738000000000035</v>
          </cell>
          <cell r="BB208">
            <v>31.093999999999983</v>
          </cell>
          <cell r="BC208">
            <v>121.7410000000001</v>
          </cell>
          <cell r="BD208">
            <v>33.515999999999977</v>
          </cell>
          <cell r="BE208">
            <v>38.976999999999975</v>
          </cell>
          <cell r="BF208">
            <v>45.617999999999867</v>
          </cell>
          <cell r="BG208">
            <v>48.339999999999989</v>
          </cell>
          <cell r="BH208">
            <v>166.45099999999957</v>
          </cell>
          <cell r="BI208">
            <v>54.373999999999896</v>
          </cell>
          <cell r="BJ208">
            <v>58.606999999999907</v>
          </cell>
          <cell r="BK208">
            <v>103.16000000000005</v>
          </cell>
          <cell r="BL208">
            <v>146.85100000000011</v>
          </cell>
          <cell r="BM208">
            <v>367.35499999999996</v>
          </cell>
          <cell r="BN208">
            <v>143.5</v>
          </cell>
          <cell r="BO208">
            <v>165.80499999999992</v>
          </cell>
          <cell r="BP208">
            <v>178.41400000000002</v>
          </cell>
          <cell r="BQ208">
            <v>195.7429810179473</v>
          </cell>
          <cell r="BR208">
            <v>683.46198101794721</v>
          </cell>
          <cell r="BS208">
            <v>189.61718519457006</v>
          </cell>
          <cell r="BT208">
            <v>221.50168789601551</v>
          </cell>
          <cell r="BU208">
            <v>203.15153565676977</v>
          </cell>
          <cell r="BV208">
            <v>248.38692432091645</v>
          </cell>
          <cell r="BW208">
            <v>862.6573330682719</v>
          </cell>
          <cell r="BX208">
            <v>216.68888708465855</v>
          </cell>
          <cell r="BY208">
            <v>251.41334332698901</v>
          </cell>
          <cell r="BZ208">
            <v>226.79975279953092</v>
          </cell>
          <cell r="CA208">
            <v>281.23334073791938</v>
          </cell>
          <cell r="CB208">
            <v>976.13532394909782</v>
          </cell>
          <cell r="CC208">
            <v>253.71359361614105</v>
          </cell>
          <cell r="CD208">
            <v>283.33029025169111</v>
          </cell>
          <cell r="CE208">
            <v>250.01934699184815</v>
          </cell>
          <cell r="CF208">
            <v>271.71183011819022</v>
          </cell>
          <cell r="CG208">
            <v>1058.7750609778677</v>
          </cell>
        </row>
        <row r="209">
          <cell r="B209" t="str">
            <v>Less: Maintenance Capex</v>
          </cell>
          <cell r="Y209">
            <v>-1.454164</v>
          </cell>
          <cell r="Z209">
            <v>-0.24757199999999999</v>
          </cell>
          <cell r="AA209">
            <v>1.2702530000000001</v>
          </cell>
          <cell r="AB209">
            <v>-0.29669600000000002</v>
          </cell>
          <cell r="AC209">
            <v>-0.94084600000000007</v>
          </cell>
          <cell r="AD209">
            <v>-0.21486099999999997</v>
          </cell>
          <cell r="AE209">
            <v>-1.3849480000000001</v>
          </cell>
          <cell r="AF209">
            <v>-1.939109</v>
          </cell>
          <cell r="AG209">
            <v>-1.3858729999999999</v>
          </cell>
          <cell r="AH209">
            <v>-4.1760000000000002</v>
          </cell>
          <cell r="AI209">
            <v>-8.8859300000000001</v>
          </cell>
          <cell r="AJ209">
            <v>-4.8809999999999993</v>
          </cell>
          <cell r="AK209">
            <v>-1.29</v>
          </cell>
          <cell r="AL209">
            <v>-0.52900000000000003</v>
          </cell>
          <cell r="AM209">
            <v>-0.94099999999999995</v>
          </cell>
          <cell r="AN209">
            <v>-7.6409999999999991</v>
          </cell>
          <cell r="AO209">
            <v>-2.6030000000000002</v>
          </cell>
          <cell r="AP209">
            <v>-0.81</v>
          </cell>
          <cell r="AQ209">
            <v>-2.556</v>
          </cell>
          <cell r="AR209">
            <v>-2.44</v>
          </cell>
          <cell r="AS209">
            <v>-8.4090000000000007</v>
          </cell>
          <cell r="AT209">
            <v>-3.2890000000000001</v>
          </cell>
          <cell r="AU209">
            <v>-2.4569999999999999</v>
          </cell>
          <cell r="AV209">
            <v>-0.86499999999999999</v>
          </cell>
          <cell r="AW209">
            <v>-2.383</v>
          </cell>
          <cell r="AX209">
            <v>-8.9939999999999998</v>
          </cell>
          <cell r="AY209">
            <v>-0.97</v>
          </cell>
          <cell r="AZ209">
            <v>-2.556</v>
          </cell>
          <cell r="BA209">
            <v>-0.50700000000000001</v>
          </cell>
          <cell r="BB209">
            <v>-5.0369999999999999</v>
          </cell>
          <cell r="BC209">
            <v>-9.07</v>
          </cell>
          <cell r="BD209">
            <v>-1.198</v>
          </cell>
          <cell r="BE209">
            <v>-0.89800000000000002</v>
          </cell>
          <cell r="BF209">
            <v>-0.97799999999999998</v>
          </cell>
          <cell r="BG209">
            <v>-6.6150000000000002</v>
          </cell>
          <cell r="BH209">
            <v>-9.6890000000000001</v>
          </cell>
          <cell r="BI209">
            <v>-6.141</v>
          </cell>
          <cell r="BJ209">
            <v>-4.6970000000000001</v>
          </cell>
          <cell r="BK209">
            <v>-2.0630000000000002</v>
          </cell>
          <cell r="BL209">
            <v>-27.334</v>
          </cell>
          <cell r="BM209">
            <v>-40.234999999999999</v>
          </cell>
          <cell r="BN209">
            <v>-25.242999999999999</v>
          </cell>
          <cell r="BO209">
            <v>-46.892000000000003</v>
          </cell>
          <cell r="BP209">
            <v>-21.137</v>
          </cell>
          <cell r="BQ209">
            <v>-2.5</v>
          </cell>
          <cell r="BR209">
            <v>-95.771999999999991</v>
          </cell>
          <cell r="BS209">
            <v>-2.5</v>
          </cell>
          <cell r="BT209">
            <v>-2.5</v>
          </cell>
          <cell r="BU209">
            <v>-2.5</v>
          </cell>
          <cell r="BV209">
            <v>-2.5</v>
          </cell>
          <cell r="BW209">
            <v>-10</v>
          </cell>
          <cell r="BX209">
            <v>-2.5</v>
          </cell>
          <cell r="BY209">
            <v>-2.5</v>
          </cell>
          <cell r="BZ209">
            <v>-2.5</v>
          </cell>
          <cell r="CA209">
            <v>-2.5</v>
          </cell>
          <cell r="CB209">
            <v>-10</v>
          </cell>
          <cell r="CC209">
            <v>-2.5</v>
          </cell>
          <cell r="CD209">
            <v>-2.5</v>
          </cell>
          <cell r="CE209">
            <v>-2.5</v>
          </cell>
          <cell r="CF209">
            <v>-2.5</v>
          </cell>
          <cell r="CG209">
            <v>-10</v>
          </cell>
        </row>
        <row r="210">
          <cell r="B210" t="str">
            <v>Less: NWC</v>
          </cell>
          <cell r="Y210">
            <v>-1.1328450000000001</v>
          </cell>
          <cell r="Z210">
            <v>0.30399100000000001</v>
          </cell>
          <cell r="AA210">
            <v>5.8506000000000002E-2</v>
          </cell>
          <cell r="AB210">
            <v>3.871518</v>
          </cell>
          <cell r="AC210">
            <v>-3.4422999999999999</v>
          </cell>
          <cell r="AD210">
            <v>0.79171499999999984</v>
          </cell>
          <cell r="AE210">
            <v>-3.941497</v>
          </cell>
          <cell r="AF210">
            <v>0.55795400000000017</v>
          </cell>
          <cell r="AG210">
            <v>-1.6274319999999998</v>
          </cell>
          <cell r="AH210">
            <v>5.3950000000000005</v>
          </cell>
          <cell r="AI210">
            <v>0.38402500000000195</v>
          </cell>
          <cell r="AJ210">
            <v>4.7390000000000008</v>
          </cell>
          <cell r="AK210">
            <v>-9.3159999999999989</v>
          </cell>
          <cell r="AL210">
            <v>1.7880000000000007</v>
          </cell>
          <cell r="AM210">
            <v>6.5699999999999994</v>
          </cell>
          <cell r="AN210">
            <v>3.7809999999999997</v>
          </cell>
          <cell r="AO210">
            <v>2.7330000000000001</v>
          </cell>
          <cell r="AP210">
            <v>2.5340000000000016</v>
          </cell>
          <cell r="AQ210">
            <v>-2.8259999999999992</v>
          </cell>
          <cell r="AR210">
            <v>11.046999999999999</v>
          </cell>
          <cell r="AS210">
            <v>13.488000000000001</v>
          </cell>
          <cell r="AT210">
            <v>1.5709999999999997</v>
          </cell>
          <cell r="AU210">
            <v>5.0759999999999996</v>
          </cell>
          <cell r="AV210">
            <v>3.62</v>
          </cell>
          <cell r="AW210">
            <v>18.385000000000002</v>
          </cell>
          <cell r="AX210">
            <v>28.652000000000001</v>
          </cell>
          <cell r="AY210">
            <v>-21.542999999999996</v>
          </cell>
          <cell r="AZ210">
            <v>18.560000000000002</v>
          </cell>
          <cell r="BA210">
            <v>5.8780000000000019</v>
          </cell>
          <cell r="BB210">
            <v>13.273000000000003</v>
          </cell>
          <cell r="BC210">
            <v>16.16800000000001</v>
          </cell>
          <cell r="BD210">
            <v>-23.379000000000001</v>
          </cell>
          <cell r="BE210">
            <v>-28.858999999999995</v>
          </cell>
          <cell r="BF210">
            <v>53.908000000000001</v>
          </cell>
          <cell r="BG210">
            <v>-24.459999999999994</v>
          </cell>
          <cell r="BH210">
            <v>-22.789999999999992</v>
          </cell>
          <cell r="BI210">
            <v>16.496000000000006</v>
          </cell>
          <cell r="BJ210">
            <v>-9.8469999999999978</v>
          </cell>
          <cell r="BK210">
            <v>-15.868000000000006</v>
          </cell>
          <cell r="BL210">
            <v>-12.403000000000002</v>
          </cell>
          <cell r="BM210">
            <v>-21.622</v>
          </cell>
          <cell r="BN210">
            <v>-54.131</v>
          </cell>
          <cell r="BO210">
            <v>40.318999999999996</v>
          </cell>
          <cell r="BP210">
            <v>-41.887999999999984</v>
          </cell>
          <cell r="BQ210">
            <v>-73.067302353779183</v>
          </cell>
          <cell r="BR210">
            <v>-128.76730235377917</v>
          </cell>
          <cell r="BS210">
            <v>-48.012138816864422</v>
          </cell>
          <cell r="BT210">
            <v>-81.929997405940497</v>
          </cell>
          <cell r="BU210">
            <v>52.346242245981706</v>
          </cell>
          <cell r="BV210">
            <v>-126.643652782733</v>
          </cell>
          <cell r="BW210">
            <v>-204.23954675955622</v>
          </cell>
          <cell r="BX210">
            <v>144.75951131547293</v>
          </cell>
          <cell r="BY210">
            <v>-94.695734114393645</v>
          </cell>
          <cell r="BZ210">
            <v>52.164888130316498</v>
          </cell>
          <cell r="CA210">
            <v>-144.13394584005783</v>
          </cell>
          <cell r="CB210">
            <v>-41.905280508662031</v>
          </cell>
          <cell r="CC210">
            <v>120.93670445201755</v>
          </cell>
          <cell r="CD210">
            <v>-95.633945985242178</v>
          </cell>
          <cell r="CE210">
            <v>99.497535997697341</v>
          </cell>
          <cell r="CF210">
            <v>-125.0013787854153</v>
          </cell>
          <cell r="CG210">
            <v>-0.20108432094258433</v>
          </cell>
        </row>
        <row r="211">
          <cell r="B211" t="str">
            <v>Free Cash Flow</v>
          </cell>
          <cell r="Y211">
            <v>3.7209250000000007</v>
          </cell>
          <cell r="Z211">
            <v>1.6276119999999983</v>
          </cell>
          <cell r="AA211">
            <v>4.0737250000000005</v>
          </cell>
          <cell r="AB211">
            <v>7.4010089999999984</v>
          </cell>
          <cell r="AC211">
            <v>1.9717020000000036</v>
          </cell>
          <cell r="AD211">
            <v>15.074047999999998</v>
          </cell>
          <cell r="AE211">
            <v>-0.80540899999999782</v>
          </cell>
          <cell r="AF211">
            <v>2.7952090000000012</v>
          </cell>
          <cell r="AG211">
            <v>2.5274889999999983</v>
          </cell>
          <cell r="AH211">
            <v>8.0750999999999955</v>
          </cell>
          <cell r="AI211">
            <v>12.592388999999999</v>
          </cell>
          <cell r="AJ211">
            <v>6.1340000000000003</v>
          </cell>
          <cell r="AK211">
            <v>-5.7059999999999969</v>
          </cell>
          <cell r="AL211">
            <v>4.9459999999999997</v>
          </cell>
          <cell r="AM211">
            <v>12.156000000000001</v>
          </cell>
          <cell r="AN211">
            <v>17.529999999999994</v>
          </cell>
          <cell r="AO211">
            <v>6.4619999999999989</v>
          </cell>
          <cell r="AP211">
            <v>11.300000000000004</v>
          </cell>
          <cell r="AQ211">
            <v>6.504000000000028</v>
          </cell>
          <cell r="AR211">
            <v>25.300000000000026</v>
          </cell>
          <cell r="AS211">
            <v>49.566000000000095</v>
          </cell>
          <cell r="AT211">
            <v>14.612999999999968</v>
          </cell>
          <cell r="AU211">
            <v>26.276000000000014</v>
          </cell>
          <cell r="AV211">
            <v>27.065000000000012</v>
          </cell>
          <cell r="AW211">
            <v>46.415000000000006</v>
          </cell>
          <cell r="AX211">
            <v>114.36900000000017</v>
          </cell>
          <cell r="AY211">
            <v>5.938000000000045</v>
          </cell>
          <cell r="AZ211">
            <v>47.462000000000032</v>
          </cell>
          <cell r="BA211">
            <v>36.109000000000037</v>
          </cell>
          <cell r="BB211">
            <v>39.329999999999984</v>
          </cell>
          <cell r="BC211">
            <v>128.83900000000011</v>
          </cell>
          <cell r="BD211">
            <v>8.9389999999999752</v>
          </cell>
          <cell r="BE211">
            <v>9.2199999999999775</v>
          </cell>
          <cell r="BF211">
            <v>98.54799999999986</v>
          </cell>
          <cell r="BG211">
            <v>17.264999999999993</v>
          </cell>
          <cell r="BH211">
            <v>133.97199999999958</v>
          </cell>
          <cell r="BI211">
            <v>64.7289999999999</v>
          </cell>
          <cell r="BJ211">
            <v>44.062999999999903</v>
          </cell>
          <cell r="BK211">
            <v>85.229000000000042</v>
          </cell>
          <cell r="BL211">
            <v>107.1140000000001</v>
          </cell>
          <cell r="BM211">
            <v>305.49799999999993</v>
          </cell>
          <cell r="BN211">
            <v>64.126000000000005</v>
          </cell>
          <cell r="BO211">
            <v>159.23199999999991</v>
          </cell>
          <cell r="BP211">
            <v>115.38900000000004</v>
          </cell>
          <cell r="BQ211">
            <v>120.17567866416812</v>
          </cell>
          <cell r="BR211">
            <v>458.92267866416807</v>
          </cell>
          <cell r="BS211">
            <v>139.10504637770563</v>
          </cell>
          <cell r="BT211">
            <v>137.07169049007501</v>
          </cell>
          <cell r="BU211">
            <v>252.99777790275147</v>
          </cell>
          <cell r="BV211">
            <v>119.24327153818345</v>
          </cell>
          <cell r="BW211">
            <v>648.41778630871568</v>
          </cell>
          <cell r="BX211">
            <v>358.94839840013151</v>
          </cell>
          <cell r="BY211">
            <v>154.21760921259536</v>
          </cell>
          <cell r="BZ211">
            <v>276.46464092984741</v>
          </cell>
          <cell r="CA211">
            <v>134.59939489786154</v>
          </cell>
          <cell r="CB211">
            <v>924.23004344043579</v>
          </cell>
          <cell r="CC211">
            <v>372.15029806815858</v>
          </cell>
          <cell r="CD211">
            <v>185.19634426644893</v>
          </cell>
          <cell r="CE211">
            <v>347.01688298954548</v>
          </cell>
          <cell r="CF211">
            <v>144.21045133277494</v>
          </cell>
          <cell r="CG211">
            <v>1048.5739766569252</v>
          </cell>
        </row>
        <row r="212">
          <cell r="B212" t="str">
            <v>Taxes on EBIT</v>
          </cell>
          <cell r="Y212">
            <v>-1.7119518890000003</v>
          </cell>
          <cell r="Z212">
            <v>-0.45626030599821149</v>
          </cell>
          <cell r="AA212">
            <v>-0.89214408893885677</v>
          </cell>
          <cell r="AB212">
            <v>-1.3343283080309098</v>
          </cell>
          <cell r="AC212">
            <v>-1.6629283806803317</v>
          </cell>
          <cell r="AD212">
            <v>-4.3456610836483094</v>
          </cell>
          <cell r="AE212">
            <v>-1.4052926590765966</v>
          </cell>
          <cell r="AF212">
            <v>-1.2122151686518863</v>
          </cell>
          <cell r="AG212">
            <v>-1.6862557317807199</v>
          </cell>
          <cell r="AH212">
            <v>-2.2841558487395961</v>
          </cell>
          <cell r="AI212">
            <v>-6.5879194082487995</v>
          </cell>
          <cell r="AJ212">
            <v>-2.0930420431093784</v>
          </cell>
          <cell r="AK212">
            <v>-1.3521534510433395</v>
          </cell>
          <cell r="AL212">
            <v>-0.65404916303600036</v>
          </cell>
          <cell r="AM212">
            <v>-1.9845986585645496</v>
          </cell>
          <cell r="AN212">
            <v>-6.0838433157532652</v>
          </cell>
          <cell r="AO212">
            <v>-1.6457453014184393</v>
          </cell>
          <cell r="AP212">
            <v>-2.3885617612293162</v>
          </cell>
          <cell r="AQ212">
            <v>-3.4928497340425628</v>
          </cell>
          <cell r="AR212">
            <v>-4.3890291075650216</v>
          </cell>
          <cell r="AS212">
            <v>-11.916185904255356</v>
          </cell>
          <cell r="AT212">
            <v>-5.2151884042006191</v>
          </cell>
          <cell r="AU212">
            <v>-7.9210749798046605</v>
          </cell>
          <cell r="AV212">
            <v>-8.0558000477344507</v>
          </cell>
          <cell r="AW212">
            <v>-10.322596754057427</v>
          </cell>
          <cell r="AX212">
            <v>-31.514660185797226</v>
          </cell>
          <cell r="AY212">
            <v>-9.0190070954118813</v>
          </cell>
          <cell r="AZ212">
            <v>-10.250806480380511</v>
          </cell>
          <cell r="BA212">
            <v>-9.8895576222887502</v>
          </cell>
          <cell r="BB212">
            <v>-10.215273805814091</v>
          </cell>
          <cell r="BC212">
            <v>-39.374645003895239</v>
          </cell>
          <cell r="BD212">
            <v>-11.542937385706663</v>
          </cell>
          <cell r="BE212">
            <v>-12.338196336672015</v>
          </cell>
          <cell r="BF212">
            <v>-14.8228927076188</v>
          </cell>
          <cell r="BG212">
            <v>-15.281061681583704</v>
          </cell>
          <cell r="BH212">
            <v>-57.931143716058813</v>
          </cell>
          <cell r="BI212">
            <v>-17.314359791529384</v>
          </cell>
          <cell r="BJ212">
            <v>-21.295572696961749</v>
          </cell>
          <cell r="BK212">
            <v>-37.990263302039111</v>
          </cell>
          <cell r="BL212">
            <v>-51.006300366629929</v>
          </cell>
          <cell r="BM212">
            <v>-127.41981611885528</v>
          </cell>
          <cell r="BN212">
            <v>-40.681053515877664</v>
          </cell>
          <cell r="BO212">
            <v>-40.28380048129663</v>
          </cell>
          <cell r="BP212">
            <v>-42.153474095080497</v>
          </cell>
          <cell r="BQ212">
            <v>-52.63493459011498</v>
          </cell>
          <cell r="BR212">
            <v>-175.69705695272918</v>
          </cell>
          <cell r="BS212">
            <v>-53.567455558371016</v>
          </cell>
          <cell r="BT212">
            <v>-63.132806368804651</v>
          </cell>
          <cell r="BU212">
            <v>-57.627760697030929</v>
          </cell>
          <cell r="BV212">
            <v>-71.198377296274927</v>
          </cell>
          <cell r="BW212">
            <v>-245.52639992048151</v>
          </cell>
          <cell r="BX212">
            <v>-61.688966125397563</v>
          </cell>
          <cell r="BY212">
            <v>-72.106302998096695</v>
          </cell>
          <cell r="BZ212">
            <v>-64.722225839859277</v>
          </cell>
          <cell r="CA212">
            <v>-81.052302221375797</v>
          </cell>
          <cell r="CB212">
            <v>-279.56979718472928</v>
          </cell>
          <cell r="CC212">
            <v>-62.702260276358089</v>
          </cell>
          <cell r="CD212">
            <v>-70.698768367956603</v>
          </cell>
          <cell r="CE212">
            <v>-61.704813687799003</v>
          </cell>
          <cell r="CF212">
            <v>-67.561784131911367</v>
          </cell>
          <cell r="CG212">
            <v>-262.66762646402515</v>
          </cell>
        </row>
        <row r="213">
          <cell r="B213" t="str">
            <v>Operating FCF - After Tax</v>
          </cell>
          <cell r="Y213">
            <v>2.0089731110000004</v>
          </cell>
          <cell r="Z213">
            <v>1.1713516940017867</v>
          </cell>
          <cell r="AA213">
            <v>3.1815809110611437</v>
          </cell>
          <cell r="AB213">
            <v>6.0666806919690881</v>
          </cell>
          <cell r="AC213">
            <v>0.30877361931967195</v>
          </cell>
          <cell r="AD213">
            <v>10.728386916351688</v>
          </cell>
          <cell r="AE213">
            <v>-2.2107016590765944</v>
          </cell>
          <cell r="AF213">
            <v>1.5829938313481149</v>
          </cell>
          <cell r="AG213">
            <v>0.84123326821927846</v>
          </cell>
          <cell r="AH213">
            <v>5.7909441512603994</v>
          </cell>
          <cell r="AI213">
            <v>6.0044695917511994</v>
          </cell>
          <cell r="AJ213">
            <v>4.0409579568906224</v>
          </cell>
          <cell r="AK213">
            <v>-7.0581534510433368</v>
          </cell>
          <cell r="AL213">
            <v>4.2919508369639994</v>
          </cell>
          <cell r="AM213">
            <v>10.171401341435452</v>
          </cell>
          <cell r="AN213">
            <v>11.446156684246729</v>
          </cell>
          <cell r="AO213">
            <v>4.8162546985815595</v>
          </cell>
          <cell r="AP213">
            <v>8.911438238770689</v>
          </cell>
          <cell r="AQ213">
            <v>3.0111502659574652</v>
          </cell>
          <cell r="AR213">
            <v>20.910970892435003</v>
          </cell>
          <cell r="AS213">
            <v>37.649814095744738</v>
          </cell>
          <cell r="AT213">
            <v>9.3978115957993484</v>
          </cell>
          <cell r="AU213">
            <v>18.354925020195353</v>
          </cell>
          <cell r="AV213">
            <v>19.009199952265561</v>
          </cell>
          <cell r="AW213">
            <v>36.092403245942577</v>
          </cell>
          <cell r="AX213">
            <v>82.854339814202945</v>
          </cell>
          <cell r="AY213">
            <v>-3.0810070954118363</v>
          </cell>
          <cell r="AZ213">
            <v>37.21119351961952</v>
          </cell>
          <cell r="BA213">
            <v>26.219442377711289</v>
          </cell>
          <cell r="BB213">
            <v>29.114726194185891</v>
          </cell>
          <cell r="BC213">
            <v>89.464354996104873</v>
          </cell>
          <cell r="BD213">
            <v>-2.6039373857066881</v>
          </cell>
          <cell r="BE213">
            <v>-3.1181963366720371</v>
          </cell>
          <cell r="BF213">
            <v>83.725107292381054</v>
          </cell>
          <cell r="BG213">
            <v>1.9839383184162891</v>
          </cell>
          <cell r="BH213">
            <v>76.040856283940769</v>
          </cell>
          <cell r="BI213">
            <v>47.414640208470516</v>
          </cell>
          <cell r="BJ213">
            <v>22.767427303038154</v>
          </cell>
          <cell r="BK213">
            <v>47.238736697960931</v>
          </cell>
          <cell r="BL213">
            <v>56.107699633370174</v>
          </cell>
          <cell r="BM213">
            <v>178.07818388114464</v>
          </cell>
          <cell r="BN213">
            <v>23.44494648412234</v>
          </cell>
          <cell r="BO213">
            <v>118.94819951870329</v>
          </cell>
          <cell r="BP213">
            <v>73.235525904919541</v>
          </cell>
          <cell r="BQ213">
            <v>67.540744074053137</v>
          </cell>
          <cell r="BR213">
            <v>283.22562171143886</v>
          </cell>
          <cell r="BS213">
            <v>85.537590819334611</v>
          </cell>
          <cell r="BT213">
            <v>73.938884121270362</v>
          </cell>
          <cell r="BU213">
            <v>195.37001720572053</v>
          </cell>
          <cell r="BV213">
            <v>48.044894241908523</v>
          </cell>
          <cell r="BW213">
            <v>402.8913863882342</v>
          </cell>
          <cell r="BX213">
            <v>297.25943227473397</v>
          </cell>
          <cell r="BY213">
            <v>82.111306214498669</v>
          </cell>
          <cell r="BZ213">
            <v>211.74241508998813</v>
          </cell>
          <cell r="CA213">
            <v>53.547092676485747</v>
          </cell>
          <cell r="CB213">
            <v>644.66024625570651</v>
          </cell>
          <cell r="CC213">
            <v>309.44803779180052</v>
          </cell>
          <cell r="CD213">
            <v>114.49757589849233</v>
          </cell>
          <cell r="CE213">
            <v>285.31206930174648</v>
          </cell>
          <cell r="CF213">
            <v>76.648667200863571</v>
          </cell>
          <cell r="CG213">
            <v>785.90635019290005</v>
          </cell>
        </row>
        <row r="215">
          <cell r="B215" t="str">
            <v>Free Cash Flow - CFO + Capex</v>
          </cell>
        </row>
        <row r="216">
          <cell r="B216" t="str">
            <v>Cash from Operations</v>
          </cell>
          <cell r="Y216">
            <v>5.184164817000001</v>
          </cell>
          <cell r="Z216">
            <v>1.9655000008278134</v>
          </cell>
          <cell r="AA216">
            <v>3.6232885589599668</v>
          </cell>
          <cell r="AB216">
            <v>7.8526246790012113</v>
          </cell>
          <cell r="AC216">
            <v>3.7070993720340999</v>
          </cell>
          <cell r="AD216">
            <v>17.14851261082309</v>
          </cell>
          <cell r="AE216">
            <v>2.5316600000000018</v>
          </cell>
          <cell r="AF216">
            <v>3.7224210000000006</v>
          </cell>
          <cell r="AG216">
            <v>2.107931999999999</v>
          </cell>
          <cell r="AH216">
            <v>9.6509999999999998</v>
          </cell>
          <cell r="AI216">
            <v>18.013013000000004</v>
          </cell>
          <cell r="AJ216">
            <v>9.8069999999999986</v>
          </cell>
          <cell r="AK216">
            <v>-4.6529999999999969</v>
          </cell>
          <cell r="AL216">
            <v>6.6109999999999998</v>
          </cell>
          <cell r="AM216">
            <v>12.189</v>
          </cell>
          <cell r="AN216">
            <v>23.954000000000001</v>
          </cell>
          <cell r="AO216">
            <v>8.0329999999999995</v>
          </cell>
          <cell r="AP216">
            <v>9.0070000000000068</v>
          </cell>
          <cell r="AQ216">
            <v>3.2840000000000269</v>
          </cell>
          <cell r="AR216">
            <v>20.985000000000024</v>
          </cell>
          <cell r="AS216">
            <v>41.309000000000054</v>
          </cell>
          <cell r="AT216">
            <v>11.84199999999997</v>
          </cell>
          <cell r="AU216">
            <v>19.838000000000019</v>
          </cell>
          <cell r="AV216">
            <v>17.912000000000006</v>
          </cell>
          <cell r="AW216">
            <v>36.791000000000004</v>
          </cell>
          <cell r="AX216">
            <v>86.382999999999981</v>
          </cell>
          <cell r="AY216">
            <v>-2.6669999999999554</v>
          </cell>
          <cell r="AZ216">
            <v>39.468000000000032</v>
          </cell>
          <cell r="BA216">
            <v>26.073000000000032</v>
          </cell>
          <cell r="BB216">
            <v>33.389999999999986</v>
          </cell>
          <cell r="BC216">
            <v>96.264000000000095</v>
          </cell>
          <cell r="BD216">
            <v>0.78199999999997871</v>
          </cell>
          <cell r="BE216">
            <v>-1.3760000000000119</v>
          </cell>
          <cell r="BF216">
            <v>85.307999999999879</v>
          </cell>
          <cell r="BG216">
            <v>10.159999999999993</v>
          </cell>
          <cell r="BH216">
            <v>94.873999999999839</v>
          </cell>
          <cell r="BI216">
            <v>56.210999999999899</v>
          </cell>
          <cell r="BJ216">
            <v>29.715999999999912</v>
          </cell>
          <cell r="BK216">
            <v>61.567999999999998</v>
          </cell>
          <cell r="BL216">
            <v>102.25399999999999</v>
          </cell>
          <cell r="BM216">
            <v>249.74899999999982</v>
          </cell>
          <cell r="BN216">
            <v>63.576000000000001</v>
          </cell>
          <cell r="BO216">
            <v>172.983</v>
          </cell>
          <cell r="BP216">
            <v>99.519000000000005</v>
          </cell>
          <cell r="BQ216">
            <v>65.044938397089709</v>
          </cell>
          <cell r="BR216">
            <v>401.12293839708968</v>
          </cell>
          <cell r="BS216">
            <v>83.971772785363868</v>
          </cell>
          <cell r="BT216">
            <v>72.452563864040542</v>
          </cell>
          <cell r="BU216">
            <v>194.02097055406023</v>
          </cell>
          <cell r="BV216">
            <v>46.819663923348855</v>
          </cell>
          <cell r="BW216">
            <v>397.26497112681352</v>
          </cell>
          <cell r="BX216">
            <v>296.30286259706338</v>
          </cell>
          <cell r="BY216">
            <v>81.399322345696817</v>
          </cell>
          <cell r="BZ216">
            <v>211.21918086391759</v>
          </cell>
          <cell r="CA216">
            <v>53.194098414941919</v>
          </cell>
          <cell r="CB216">
            <v>642.11546422161973</v>
          </cell>
          <cell r="CC216">
            <v>300.95351937515545</v>
          </cell>
          <cell r="CD216">
            <v>106.03973936670741</v>
          </cell>
          <cell r="CE216">
            <v>276.88871874176397</v>
          </cell>
          <cell r="CF216">
            <v>68.256354878848953</v>
          </cell>
          <cell r="CG216">
            <v>752.13833236247569</v>
          </cell>
        </row>
        <row r="217">
          <cell r="B217" t="str">
            <v>Capex</v>
          </cell>
          <cell r="Y217">
            <v>-1.454164</v>
          </cell>
          <cell r="Z217">
            <v>-0.24757199999999999</v>
          </cell>
          <cell r="AA217">
            <v>1.2702530000000001</v>
          </cell>
          <cell r="AB217">
            <v>-0.29669600000000002</v>
          </cell>
          <cell r="AC217">
            <v>-0.94084600000000007</v>
          </cell>
          <cell r="AD217">
            <v>-0.21486099999999997</v>
          </cell>
          <cell r="AE217">
            <v>-1.3849480000000001</v>
          </cell>
          <cell r="AF217">
            <v>-1.939109</v>
          </cell>
          <cell r="AG217">
            <v>-1.3858729999999999</v>
          </cell>
          <cell r="AH217">
            <v>-4.1760000000000002</v>
          </cell>
          <cell r="AI217">
            <v>-8.8859300000000001</v>
          </cell>
          <cell r="AJ217">
            <v>-4.8809999999999993</v>
          </cell>
          <cell r="AK217">
            <v>-1.29</v>
          </cell>
          <cell r="AL217">
            <v>-0.52900000000000003</v>
          </cell>
          <cell r="AM217">
            <v>-0.94099999999999995</v>
          </cell>
          <cell r="AN217">
            <v>-7.6409999999999991</v>
          </cell>
          <cell r="AO217">
            <v>-2.6030000000000002</v>
          </cell>
          <cell r="AP217">
            <v>-0.81</v>
          </cell>
          <cell r="AQ217">
            <v>-2.556</v>
          </cell>
          <cell r="AR217">
            <v>-2.44</v>
          </cell>
          <cell r="AS217">
            <v>-8.4090000000000007</v>
          </cell>
          <cell r="AT217">
            <v>-3.2890000000000001</v>
          </cell>
          <cell r="AU217">
            <v>-2.4569999999999999</v>
          </cell>
          <cell r="AV217">
            <v>-0.86499999999999999</v>
          </cell>
          <cell r="AW217">
            <v>-2.383</v>
          </cell>
          <cell r="AX217">
            <v>-8.9939999999999998</v>
          </cell>
          <cell r="AY217">
            <v>-0.97</v>
          </cell>
          <cell r="AZ217">
            <v>-2.556</v>
          </cell>
          <cell r="BA217">
            <v>-0.50700000000000001</v>
          </cell>
          <cell r="BB217">
            <v>-5.0369999999999999</v>
          </cell>
          <cell r="BC217">
            <v>-9.07</v>
          </cell>
          <cell r="BD217">
            <v>-1.198</v>
          </cell>
          <cell r="BE217">
            <v>-0.89800000000000002</v>
          </cell>
          <cell r="BF217">
            <v>-0.97799999999999998</v>
          </cell>
          <cell r="BG217">
            <v>-6.6150000000000002</v>
          </cell>
          <cell r="BH217">
            <v>-9.6890000000000001</v>
          </cell>
          <cell r="BI217">
            <v>-6.141</v>
          </cell>
          <cell r="BJ217">
            <v>-4.6970000000000001</v>
          </cell>
          <cell r="BK217">
            <v>-2.0630000000000002</v>
          </cell>
          <cell r="BL217">
            <v>-27.334</v>
          </cell>
          <cell r="BM217">
            <v>-40.234999999999999</v>
          </cell>
          <cell r="BN217">
            <v>-25.242999999999999</v>
          </cell>
          <cell r="BO217">
            <v>-46.892000000000003</v>
          </cell>
          <cell r="BP217">
            <v>-21.137</v>
          </cell>
          <cell r="BQ217">
            <v>-2.5</v>
          </cell>
          <cell r="BR217">
            <v>-95.771999999999991</v>
          </cell>
          <cell r="BS217">
            <v>-2.5</v>
          </cell>
          <cell r="BT217">
            <v>-2.5</v>
          </cell>
          <cell r="BU217">
            <v>-2.5</v>
          </cell>
          <cell r="BV217">
            <v>-2.5</v>
          </cell>
          <cell r="BW217">
            <v>-10</v>
          </cell>
          <cell r="BX217">
            <v>-2.5</v>
          </cell>
          <cell r="BY217">
            <v>-2.5</v>
          </cell>
          <cell r="BZ217">
            <v>-2.5</v>
          </cell>
          <cell r="CA217">
            <v>-2.5</v>
          </cell>
          <cell r="CB217">
            <v>-10</v>
          </cell>
          <cell r="CC217">
            <v>-2.5</v>
          </cell>
          <cell r="CD217">
            <v>-2.5</v>
          </cell>
          <cell r="CE217">
            <v>-2.5</v>
          </cell>
          <cell r="CF217">
            <v>-2.5</v>
          </cell>
          <cell r="CG217">
            <v>-10</v>
          </cell>
        </row>
        <row r="218">
          <cell r="B218" t="str">
            <v>Free Cash Flow</v>
          </cell>
          <cell r="Y218">
            <v>3.730000817000001</v>
          </cell>
          <cell r="Z218">
            <v>1.7179280008278135</v>
          </cell>
          <cell r="AA218">
            <v>4.8935415589599671</v>
          </cell>
          <cell r="AB218">
            <v>7.5559286790012115</v>
          </cell>
          <cell r="AC218">
            <v>2.7662533720340998</v>
          </cell>
          <cell r="AD218">
            <v>16.933651610823091</v>
          </cell>
          <cell r="AE218">
            <v>1.1467120000000017</v>
          </cell>
          <cell r="AF218">
            <v>1.7833120000000007</v>
          </cell>
          <cell r="AG218">
            <v>0.72205899999999912</v>
          </cell>
          <cell r="AH218">
            <v>5.4749999999999996</v>
          </cell>
          <cell r="AI218">
            <v>9.1270830000000043</v>
          </cell>
          <cell r="AJ218">
            <v>4.9259999999999993</v>
          </cell>
          <cell r="AK218">
            <v>-5.942999999999997</v>
          </cell>
          <cell r="AL218">
            <v>6.0819999999999999</v>
          </cell>
          <cell r="AM218">
            <v>11.247999999999999</v>
          </cell>
          <cell r="AN218">
            <v>16.313000000000002</v>
          </cell>
          <cell r="AO218">
            <v>5.43</v>
          </cell>
          <cell r="AP218">
            <v>8.1970000000000063</v>
          </cell>
          <cell r="AQ218">
            <v>0.72800000000002685</v>
          </cell>
          <cell r="AR218">
            <v>18.545000000000023</v>
          </cell>
          <cell r="AS218">
            <v>32.900000000000055</v>
          </cell>
          <cell r="AT218">
            <v>8.5529999999999706</v>
          </cell>
          <cell r="AU218">
            <v>17.381000000000018</v>
          </cell>
          <cell r="AV218">
            <v>17.047000000000008</v>
          </cell>
          <cell r="AW218">
            <v>34.408000000000001</v>
          </cell>
          <cell r="AX218">
            <v>77.388999999999982</v>
          </cell>
          <cell r="AY218">
            <v>-3.6369999999999552</v>
          </cell>
          <cell r="AZ218">
            <v>36.912000000000035</v>
          </cell>
          <cell r="BA218">
            <v>25.566000000000031</v>
          </cell>
          <cell r="BB218">
            <v>28.352999999999987</v>
          </cell>
          <cell r="BC218">
            <v>87.194000000000102</v>
          </cell>
          <cell r="BD218">
            <v>-0.41600000000002124</v>
          </cell>
          <cell r="BE218">
            <v>-2.274000000000012</v>
          </cell>
          <cell r="BF218">
            <v>84.329999999999885</v>
          </cell>
          <cell r="BG218">
            <v>3.5449999999999928</v>
          </cell>
          <cell r="BH218">
            <v>85.184999999999832</v>
          </cell>
          <cell r="BI218">
            <v>50.069999999999901</v>
          </cell>
          <cell r="BJ218">
            <v>25.018999999999913</v>
          </cell>
          <cell r="BK218">
            <v>59.504999999999995</v>
          </cell>
          <cell r="BL218">
            <v>74.919999999999987</v>
          </cell>
          <cell r="BM218">
            <v>209.51399999999984</v>
          </cell>
          <cell r="BN218">
            <v>38.332999999999998</v>
          </cell>
          <cell r="BO218">
            <v>126.09100000000001</v>
          </cell>
          <cell r="BP218">
            <v>78.382000000000005</v>
          </cell>
          <cell r="BQ218">
            <v>62.544938397089709</v>
          </cell>
          <cell r="BR218">
            <v>305.35093839708969</v>
          </cell>
          <cell r="BS218">
            <v>81.471772785363868</v>
          </cell>
          <cell r="BT218">
            <v>69.952563864040542</v>
          </cell>
          <cell r="BU218">
            <v>191.52097055406023</v>
          </cell>
          <cell r="BV218">
            <v>44.319663923348855</v>
          </cell>
          <cell r="BW218">
            <v>387.26497112681352</v>
          </cell>
          <cell r="BX218">
            <v>293.80286259706338</v>
          </cell>
          <cell r="BY218">
            <v>78.899322345696817</v>
          </cell>
          <cell r="BZ218">
            <v>208.71918086391759</v>
          </cell>
          <cell r="CA218">
            <v>50.694098414941919</v>
          </cell>
          <cell r="CB218">
            <v>632.11546422161973</v>
          </cell>
          <cell r="CC218">
            <v>298.45351937515545</v>
          </cell>
          <cell r="CD218">
            <v>103.53973936670741</v>
          </cell>
          <cell r="CE218">
            <v>274.38871874176397</v>
          </cell>
          <cell r="CF218">
            <v>65.756354878848953</v>
          </cell>
          <cell r="CG218">
            <v>742.13833236247569</v>
          </cell>
        </row>
        <row r="220">
          <cell r="B220" t="str">
            <v>FCF Per Share</v>
          </cell>
          <cell r="Y220">
            <v>8.1263634357298498E-2</v>
          </cell>
          <cell r="Z220">
            <v>2.8422815417839906E-2</v>
          </cell>
          <cell r="AA220">
            <v>8.0985304489580731E-2</v>
          </cell>
          <cell r="AB220">
            <v>0.12312598845552945</v>
          </cell>
          <cell r="AC220">
            <v>4.2017613154907145E-2</v>
          </cell>
          <cell r="AD220">
            <v>0.27423560654220835</v>
          </cell>
          <cell r="AE220">
            <v>1.589383192161031E-2</v>
          </cell>
          <cell r="AF220">
            <v>2.45792731563781E-2</v>
          </cell>
          <cell r="AG220">
            <v>8.4527801661629185E-3</v>
          </cell>
          <cell r="AH220">
            <v>6.2386052871467632E-2</v>
          </cell>
          <cell r="AI220">
            <v>0.11582510915278318</v>
          </cell>
          <cell r="AJ220">
            <v>5.6626917314308765E-2</v>
          </cell>
          <cell r="AK220">
            <v>-6.8305750284475081E-2</v>
          </cell>
          <cell r="AL220">
            <v>6.9795067818267692E-2</v>
          </cell>
          <cell r="AM220">
            <v>0.13136941968446483</v>
          </cell>
          <cell r="AN220">
            <v>0.18913400394031302</v>
          </cell>
          <cell r="AO220">
            <v>6.3171396773330696E-2</v>
          </cell>
          <cell r="AP220">
            <v>8.69857884514115E-2</v>
          </cell>
          <cell r="AQ220">
            <v>7.4753334532675301E-3</v>
          </cell>
          <cell r="AR220">
            <v>0.18844082728378517</v>
          </cell>
          <cell r="AS220">
            <v>0.35130039446870004</v>
          </cell>
          <cell r="AT220">
            <v>8.5793530271062735E-2</v>
          </cell>
          <cell r="AU220">
            <v>0.17194856054095051</v>
          </cell>
          <cell r="AV220">
            <v>0.32645578367351114</v>
          </cell>
          <cell r="AW220">
            <v>0.55202378130257856</v>
          </cell>
          <cell r="AX220">
            <v>0.98170633395876306</v>
          </cell>
          <cell r="AY220">
            <v>-2.9255257194653262E-2</v>
          </cell>
          <cell r="AZ220">
            <v>0.29398818064293025</v>
          </cell>
          <cell r="BA220">
            <v>0.20313308994653156</v>
          </cell>
          <cell r="BB220">
            <v>0.22395579278683983</v>
          </cell>
          <cell r="BC220">
            <v>0.69430977608414257</v>
          </cell>
          <cell r="BD220">
            <v>-3.273928272103775E-3</v>
          </cell>
          <cell r="BE220">
            <v>-1.7830131909887768E-2</v>
          </cell>
          <cell r="BF220">
            <v>0.66853738749160985</v>
          </cell>
          <cell r="BG220">
            <v>2.8080384961562056E-2</v>
          </cell>
          <cell r="BH220">
            <v>0.67208805070642075</v>
          </cell>
          <cell r="BI220">
            <v>0.39559462913489341</v>
          </cell>
          <cell r="BJ220">
            <v>0.18703070106827438</v>
          </cell>
          <cell r="BK220">
            <v>0.29106474806124116</v>
          </cell>
          <cell r="BL220">
            <v>0.36342945950370092</v>
          </cell>
          <cell r="BM220">
            <v>1.2491057436463773</v>
          </cell>
          <cell r="BN220">
            <v>0.18570071188922344</v>
          </cell>
          <cell r="BO220">
            <v>0.61024245187035775</v>
          </cell>
          <cell r="BP220">
            <v>0.37897809631153295</v>
          </cell>
          <cell r="BQ220">
            <v>0.30229190188000926</v>
          </cell>
          <cell r="BR220">
            <v>1.4773108344546086</v>
          </cell>
          <cell r="BS220">
            <v>0.39357819153147877</v>
          </cell>
          <cell r="BT220">
            <v>0.33776691988104895</v>
          </cell>
          <cell r="BU220">
            <v>0.92431399793562252</v>
          </cell>
          <cell r="BV220">
            <v>0.2137910281031731</v>
          </cell>
          <cell r="BW220">
            <v>1.8694615608252998</v>
          </cell>
          <cell r="BX220">
            <v>1.416573010221164</v>
          </cell>
          <cell r="BY220">
            <v>0.38022987567284605</v>
          </cell>
          <cell r="BZ220">
            <v>1.0053689120790745</v>
          </cell>
          <cell r="CA220">
            <v>0.24406793180257549</v>
          </cell>
          <cell r="CB220">
            <v>3.0455408547912528</v>
          </cell>
          <cell r="CC220">
            <v>1.4371146286549594</v>
          </cell>
          <cell r="CD220">
            <v>0.4983245358835971</v>
          </cell>
          <cell r="CE220">
            <v>1.319963901113931</v>
          </cell>
          <cell r="CF220">
            <v>0.31617260155773952</v>
          </cell>
          <cell r="CG220">
            <v>3.5709630328561826</v>
          </cell>
        </row>
        <row r="221">
          <cell r="B221" t="str">
            <v>FCF Yield</v>
          </cell>
          <cell r="Y221" t="str">
            <v>NM</v>
          </cell>
          <cell r="Z221" t="str">
            <v>NM</v>
          </cell>
          <cell r="AA221" t="str">
            <v>NM</v>
          </cell>
          <cell r="AB221" t="str">
            <v>NM</v>
          </cell>
          <cell r="AC221" t="str">
            <v>NM</v>
          </cell>
          <cell r="AD221" t="str">
            <v>NM</v>
          </cell>
          <cell r="AE221" t="str">
            <v>NM</v>
          </cell>
          <cell r="AF221" t="e">
            <v>#VALUE!</v>
          </cell>
          <cell r="AG221">
            <v>4.8997310205060231E-3</v>
          </cell>
          <cell r="AH221">
            <v>2.7818532625758702E-2</v>
          </cell>
          <cell r="AI221" t="e">
            <v>#VALUE!</v>
          </cell>
          <cell r="AJ221">
            <v>2.309939306561375E-2</v>
          </cell>
          <cell r="AK221">
            <v>-2.2876517466051939E-2</v>
          </cell>
          <cell r="AL221">
            <v>2.5417845540081738E-2</v>
          </cell>
          <cell r="AM221">
            <v>7.7513346216273926E-2</v>
          </cell>
          <cell r="AN221">
            <v>7.4562431869301888E-3</v>
          </cell>
          <cell r="AO221">
            <v>3.693588955243178E-2</v>
          </cell>
          <cell r="AP221">
            <v>4.5998308873538903E-2</v>
          </cell>
          <cell r="AQ221">
            <v>4.0797141289093466E-3</v>
          </cell>
          <cell r="AR221">
            <v>0.10142331779208789</v>
          </cell>
          <cell r="AS221">
            <v>1.071674525687432E-2</v>
          </cell>
          <cell r="AT221">
            <v>3.5503898967802344E-2</v>
          </cell>
          <cell r="AU221">
            <v>6.0148962810997006E-2</v>
          </cell>
          <cell r="AV221">
            <v>7.0559947217744889E-2</v>
          </cell>
          <cell r="AW221">
            <v>8.7176996246954921E-2</v>
          </cell>
          <cell r="AX221">
            <v>2.9227902705132508E-2</v>
          </cell>
          <cell r="AY221">
            <v>-4.3198223803019783E-3</v>
          </cell>
          <cell r="AZ221">
            <v>3.383398677763759E-2</v>
          </cell>
          <cell r="BA221">
            <v>2.196365376811777E-2</v>
          </cell>
          <cell r="BB221">
            <v>2.2344814964357036E-2</v>
          </cell>
          <cell r="BC221">
            <v>1.4261523012643964E-2</v>
          </cell>
          <cell r="BD221" t="e">
            <v>#NAME?</v>
          </cell>
          <cell r="BE221" t="e">
            <v>#NAME?</v>
          </cell>
          <cell r="BF221" t="e">
            <v>#NAME?</v>
          </cell>
          <cell r="BG221" t="e">
            <v>#NAME?</v>
          </cell>
          <cell r="BH221" t="e">
            <v>#NAME?</v>
          </cell>
          <cell r="BI221" t="e">
            <v>#NAME?</v>
          </cell>
          <cell r="BJ221" t="e">
            <v>#NAME?</v>
          </cell>
          <cell r="BK221" t="e">
            <v>#NAME?</v>
          </cell>
          <cell r="BL221" t="e">
            <v>#NAME?</v>
          </cell>
          <cell r="BM221" t="e">
            <v>#NAME?</v>
          </cell>
          <cell r="BN221">
            <v>1.5468617289526585E-2</v>
          </cell>
          <cell r="BO221" t="e">
            <v>#NAME?</v>
          </cell>
          <cell r="BP221" t="e">
            <v>#NAME?</v>
          </cell>
          <cell r="BQ221" t="e">
            <v>#NAME?</v>
          </cell>
          <cell r="BR221" t="e">
            <v>#NAME?</v>
          </cell>
          <cell r="BS221" t="e">
            <v>#NAME?</v>
          </cell>
          <cell r="BT221" t="e">
            <v>#NAME?</v>
          </cell>
          <cell r="BU221" t="e">
            <v>#NAME?</v>
          </cell>
          <cell r="BV221" t="e">
            <v>#NAME?</v>
          </cell>
          <cell r="BW221" t="e">
            <v>#NAME?</v>
          </cell>
          <cell r="BX221" t="e">
            <v>#NAME?</v>
          </cell>
          <cell r="BY221" t="e">
            <v>#NAME?</v>
          </cell>
          <cell r="BZ221" t="e">
            <v>#NAME?</v>
          </cell>
          <cell r="CA221" t="e">
            <v>#NAME?</v>
          </cell>
          <cell r="CB221" t="e">
            <v>#NAME?</v>
          </cell>
          <cell r="CC221" t="str">
            <v>NA</v>
          </cell>
          <cell r="CD221" t="str">
            <v>NA</v>
          </cell>
          <cell r="CE221" t="str">
            <v>NA</v>
          </cell>
          <cell r="CF221" t="str">
            <v>NA</v>
          </cell>
          <cell r="CG221">
            <v>0.29964027966068241</v>
          </cell>
        </row>
        <row r="223">
          <cell r="B223" t="str">
            <v>Free Cash Flow (CFO - cap ex)</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Y223">
            <v>3.730000817000001</v>
          </cell>
          <cell r="Z223">
            <v>1.7179280008278135</v>
          </cell>
          <cell r="AA223">
            <v>4.8935415589599671</v>
          </cell>
          <cell r="AB223">
            <v>7.5559286790012115</v>
          </cell>
          <cell r="AC223">
            <v>2.7662533720340998</v>
          </cell>
          <cell r="AD223">
            <v>16.933651610823091</v>
          </cell>
          <cell r="AE223">
            <v>1.1467120000000017</v>
          </cell>
          <cell r="AF223">
            <v>1.7833120000000007</v>
          </cell>
          <cell r="AG223">
            <v>0.72205899999999912</v>
          </cell>
          <cell r="AH223">
            <v>5.4749999999999996</v>
          </cell>
          <cell r="AI223">
            <v>9.1270830000000043</v>
          </cell>
          <cell r="AJ223">
            <v>4.9259999999999993</v>
          </cell>
          <cell r="AK223">
            <v>-5.942999999999997</v>
          </cell>
          <cell r="AL223">
            <v>6.0819999999999999</v>
          </cell>
          <cell r="AM223">
            <v>11.247999999999999</v>
          </cell>
          <cell r="AN223">
            <v>16.313000000000002</v>
          </cell>
          <cell r="AO223">
            <v>5.43</v>
          </cell>
          <cell r="AP223">
            <v>8.1970000000000063</v>
          </cell>
          <cell r="AQ223">
            <v>0.72800000000002685</v>
          </cell>
          <cell r="AR223">
            <v>18.545000000000023</v>
          </cell>
          <cell r="AS223">
            <v>32.900000000000055</v>
          </cell>
          <cell r="AT223">
            <v>8.5529999999999706</v>
          </cell>
          <cell r="AU223">
            <v>17.381000000000018</v>
          </cell>
          <cell r="AV223">
            <v>17.047000000000008</v>
          </cell>
          <cell r="AW223">
            <v>34.408000000000001</v>
          </cell>
          <cell r="AX223">
            <v>77.388999999999982</v>
          </cell>
          <cell r="AY223">
            <v>-3.6369999999999552</v>
          </cell>
          <cell r="AZ223">
            <v>36.912000000000035</v>
          </cell>
          <cell r="BA223">
            <v>25.566000000000031</v>
          </cell>
          <cell r="BB223">
            <v>28.352999999999987</v>
          </cell>
          <cell r="BC223">
            <v>87.194000000000102</v>
          </cell>
          <cell r="BD223">
            <v>-0.41600000000002124</v>
          </cell>
          <cell r="BE223">
            <v>-2.274000000000012</v>
          </cell>
          <cell r="BF223">
            <v>84.329999999999885</v>
          </cell>
          <cell r="BG223">
            <v>3.5449999999999928</v>
          </cell>
          <cell r="BH223">
            <v>85.184999999999832</v>
          </cell>
          <cell r="BI223">
            <v>50.069999999999901</v>
          </cell>
          <cell r="BJ223">
            <v>25.018999999999913</v>
          </cell>
          <cell r="BK223">
            <v>59.504999999999995</v>
          </cell>
          <cell r="BL223">
            <v>74.919999999999987</v>
          </cell>
          <cell r="BM223">
            <v>209.51399999999984</v>
          </cell>
          <cell r="BN223">
            <v>38.332999999999998</v>
          </cell>
          <cell r="BO223">
            <v>126.09100000000001</v>
          </cell>
          <cell r="BP223">
            <v>78.382000000000005</v>
          </cell>
          <cell r="BQ223">
            <v>62.544938397089709</v>
          </cell>
          <cell r="BR223">
            <v>305.35093839708969</v>
          </cell>
          <cell r="BS223">
            <v>81.471772785363868</v>
          </cell>
          <cell r="BT223">
            <v>69.952563864040542</v>
          </cell>
          <cell r="BU223">
            <v>191.52097055406023</v>
          </cell>
          <cell r="BV223">
            <v>44.319663923348855</v>
          </cell>
          <cell r="BW223">
            <v>387.26497112681352</v>
          </cell>
          <cell r="BX223">
            <v>293.80286259706338</v>
          </cell>
          <cell r="BY223">
            <v>78.899322345696817</v>
          </cell>
          <cell r="BZ223">
            <v>208.71918086391759</v>
          </cell>
          <cell r="CA223">
            <v>50.694098414941919</v>
          </cell>
          <cell r="CB223">
            <v>632.11546422161973</v>
          </cell>
          <cell r="CC223">
            <v>298.45351937515545</v>
          </cell>
          <cell r="CD223">
            <v>103.53973936670741</v>
          </cell>
          <cell r="CE223">
            <v>274.38871874176397</v>
          </cell>
          <cell r="CF223">
            <v>65.756354878848953</v>
          </cell>
          <cell r="CG223">
            <v>742.13833236247569</v>
          </cell>
        </row>
        <row r="225">
          <cell r="B225" t="str">
            <v>Synergies, Net of Transaction Costs</v>
          </cell>
          <cell r="BI225">
            <v>0</v>
          </cell>
          <cell r="BJ225">
            <v>-6.4</v>
          </cell>
          <cell r="BK225">
            <v>-36.1</v>
          </cell>
          <cell r="BL225">
            <v>-1.7000000000000011</v>
          </cell>
          <cell r="BM225">
            <v>-44.2</v>
          </cell>
          <cell r="BN225">
            <v>0</v>
          </cell>
          <cell r="BO225">
            <v>0</v>
          </cell>
          <cell r="BP225">
            <v>0</v>
          </cell>
          <cell r="BQ225">
            <v>43.75</v>
          </cell>
          <cell r="BR225">
            <v>43.75</v>
          </cell>
          <cell r="BS225">
            <v>43.75</v>
          </cell>
          <cell r="BT225">
            <v>43.75</v>
          </cell>
          <cell r="BU225">
            <v>43.75</v>
          </cell>
          <cell r="BV225">
            <v>43.75</v>
          </cell>
          <cell r="BW225">
            <v>175</v>
          </cell>
          <cell r="BX225">
            <v>43.75</v>
          </cell>
          <cell r="BY225">
            <v>43.75</v>
          </cell>
          <cell r="BZ225">
            <v>43.75</v>
          </cell>
          <cell r="CA225">
            <v>43.75</v>
          </cell>
          <cell r="CB225">
            <v>175</v>
          </cell>
          <cell r="CC225">
            <v>0</v>
          </cell>
          <cell r="CD225">
            <v>0</v>
          </cell>
          <cell r="CE225">
            <v>0</v>
          </cell>
          <cell r="CF225">
            <v>0</v>
          </cell>
          <cell r="CG225">
            <v>0</v>
          </cell>
        </row>
        <row r="226">
          <cell r="B226" t="str">
            <v>Net Income</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4.7513248170000013</v>
          </cell>
          <cell r="Z226">
            <v>1.2652860008278135</v>
          </cell>
          <cell r="AA226">
            <v>3.1172825589599671</v>
          </cell>
          <cell r="AB226">
            <v>3.5911066790012121</v>
          </cell>
          <cell r="AC226">
            <v>5.0769553720340994</v>
          </cell>
          <cell r="AD226">
            <v>13.050630610823092</v>
          </cell>
          <cell r="AE226">
            <v>5.576532000000002</v>
          </cell>
          <cell r="AF226">
            <v>2.1145450000000006</v>
          </cell>
          <cell r="AG226">
            <v>2.5436169999999989</v>
          </cell>
          <cell r="AH226">
            <v>3.4123059999999956</v>
          </cell>
          <cell r="AI226">
            <v>13.646999999999997</v>
          </cell>
          <cell r="AJ226">
            <v>3.7329999999999988</v>
          </cell>
          <cell r="AK226">
            <v>2.9550000000000018</v>
          </cell>
          <cell r="AL226">
            <v>2.6799999999999988</v>
          </cell>
          <cell r="AM226">
            <v>3.7770000000000001</v>
          </cell>
          <cell r="AN226">
            <v>13.145</v>
          </cell>
          <cell r="AO226">
            <v>3.3569999999999993</v>
          </cell>
          <cell r="AP226">
            <v>3.2670000000000048</v>
          </cell>
          <cell r="AQ226">
            <v>3.5390000000000259</v>
          </cell>
          <cell r="AR226">
            <v>4.9500000000000242</v>
          </cell>
          <cell r="AS226">
            <v>15.113000000000055</v>
          </cell>
          <cell r="AT226">
            <v>7.6819999999999693</v>
          </cell>
          <cell r="AU226">
            <v>11.977000000000018</v>
          </cell>
          <cell r="AV226">
            <v>11.209000000000005</v>
          </cell>
          <cell r="AW226">
            <v>15.193</v>
          </cell>
          <cell r="AX226">
            <v>46.060999999999993</v>
          </cell>
          <cell r="AY226">
            <v>14.792000000000041</v>
          </cell>
          <cell r="AZ226">
            <v>17.145000000000032</v>
          </cell>
          <cell r="BA226">
            <v>16.17600000000003</v>
          </cell>
          <cell r="BB226">
            <v>16.621999999999986</v>
          </cell>
          <cell r="BC226">
            <v>64.735000000000085</v>
          </cell>
          <cell r="BD226">
            <v>18.270999999999979</v>
          </cell>
          <cell r="BE226">
            <v>21.564999999999984</v>
          </cell>
          <cell r="BF226">
            <v>25.265999999999874</v>
          </cell>
          <cell r="BG226">
            <v>26.683999999999987</v>
          </cell>
          <cell r="BH226">
            <v>91.785999999999817</v>
          </cell>
          <cell r="BI226">
            <v>26.341999999999892</v>
          </cell>
          <cell r="BJ226">
            <v>27.30999999999991</v>
          </cell>
          <cell r="BK226">
            <v>19.40700000000005</v>
          </cell>
          <cell r="BL226">
            <v>47.962000000000096</v>
          </cell>
          <cell r="BM226">
            <v>121.02099999999994</v>
          </cell>
          <cell r="BN226">
            <v>56.78399999999985</v>
          </cell>
          <cell r="BO226">
            <v>71.156999999999911</v>
          </cell>
          <cell r="BP226">
            <v>83.128000000000014</v>
          </cell>
          <cell r="BQ226">
            <v>90.023240750868894</v>
          </cell>
          <cell r="BR226">
            <v>301.09224075086871</v>
          </cell>
          <cell r="BS226">
            <v>84.394911602228291</v>
          </cell>
          <cell r="BT226">
            <v>106.79356126998104</v>
          </cell>
          <cell r="BU226">
            <v>94.085728308078529</v>
          </cell>
          <cell r="BV226">
            <v>125.87431670608186</v>
          </cell>
          <cell r="BW226">
            <v>411.14851788636975</v>
          </cell>
          <cell r="BX226">
            <v>104.55435128159044</v>
          </cell>
          <cell r="BY226">
            <v>129.10605646009046</v>
          </cell>
          <cell r="BZ226">
            <v>112.0652927336011</v>
          </cell>
          <cell r="CA226">
            <v>150.33904425499975</v>
          </cell>
          <cell r="CB226">
            <v>496.06474473028175</v>
          </cell>
          <cell r="CC226">
            <v>120.16181492313787</v>
          </cell>
          <cell r="CD226">
            <v>141.8186853519496</v>
          </cell>
          <cell r="CE226">
            <v>117.53618274406664</v>
          </cell>
          <cell r="CF226">
            <v>133.40273366426425</v>
          </cell>
          <cell r="CG226">
            <v>512.91941668341838</v>
          </cell>
        </row>
        <row r="228">
          <cell r="B228" t="str">
            <v>Stock price</v>
          </cell>
          <cell r="AE228" t="str">
            <v>N/A</v>
          </cell>
          <cell r="AF228" t="str">
            <v>N/A</v>
          </cell>
          <cell r="AG228">
            <v>6.900607507462686</v>
          </cell>
          <cell r="AH228">
            <v>8.9704304264705854</v>
          </cell>
          <cell r="AI228" t="str">
            <v>N/A</v>
          </cell>
          <cell r="AJ228">
            <v>9.8057844469697013</v>
          </cell>
          <cell r="AK228">
            <v>11.943382621212123</v>
          </cell>
          <cell r="AL228">
            <v>10.983632378787876</v>
          </cell>
          <cell r="AM228">
            <v>6.7791897058823567</v>
          </cell>
          <cell r="AN228">
            <v>25.365857738095237</v>
          </cell>
          <cell r="AO228">
            <v>6.8411940298507448</v>
          </cell>
          <cell r="AP228">
            <v>7.5642596940298521</v>
          </cell>
          <cell r="AQ228">
            <v>7.329271823529413</v>
          </cell>
          <cell r="AR228">
            <v>7.431854188405798</v>
          </cell>
          <cell r="AS228">
            <v>32.780511811023622</v>
          </cell>
          <cell r="AT228">
            <v>9.665815053030304</v>
          </cell>
          <cell r="AU228">
            <v>11.434847917910448</v>
          </cell>
          <cell r="AV228">
            <v>18.506577544117654</v>
          </cell>
          <cell r="AW228">
            <v>25.328873673913062</v>
          </cell>
          <cell r="AX228">
            <v>33.58798418972335</v>
          </cell>
          <cell r="AY228">
            <v>27.089314901515156</v>
          </cell>
          <cell r="AZ228">
            <v>34.756552052238824</v>
          </cell>
          <cell r="BA228">
            <v>36.994407595588235</v>
          </cell>
          <cell r="BB228">
            <v>40.090874441176481</v>
          </cell>
          <cell r="BC228">
            <v>48.684125494071161</v>
          </cell>
          <cell r="BD228" t="e">
            <v>#NAME?</v>
          </cell>
          <cell r="BE228" t="e">
            <v>#NAME?</v>
          </cell>
          <cell r="BF228" t="e">
            <v>#NAME?</v>
          </cell>
          <cell r="BG228" t="e">
            <v>#NAME?</v>
          </cell>
          <cell r="BH228" t="e">
            <v>#NAME?</v>
          </cell>
          <cell r="BI228" t="e">
            <v>#NAME?</v>
          </cell>
          <cell r="BJ228" t="e">
            <v>#NAME?</v>
          </cell>
          <cell r="BK228" t="e">
            <v>#NAME?</v>
          </cell>
          <cell r="BL228" t="e">
            <v>#NAME?</v>
          </cell>
          <cell r="BM228" t="e">
            <v>#NAME?</v>
          </cell>
          <cell r="BN228">
            <v>48.01999</v>
          </cell>
          <cell r="BO228" t="e">
            <v>#NAME?</v>
          </cell>
          <cell r="BP228" t="e">
            <v>#NAME?</v>
          </cell>
          <cell r="BQ228" t="e">
            <v>#NAME?</v>
          </cell>
          <cell r="BR228" t="e">
            <v>#NAME?</v>
          </cell>
          <cell r="BS228" t="e">
            <v>#NAME?</v>
          </cell>
          <cell r="BT228" t="e">
            <v>#NAME?</v>
          </cell>
          <cell r="BU228" t="e">
            <v>#NAME?</v>
          </cell>
          <cell r="BV228" t="e">
            <v>#NAME?</v>
          </cell>
          <cell r="BW228" t="e">
            <v>#NAME?</v>
          </cell>
          <cell r="BX228" t="e">
            <v>#NAME?</v>
          </cell>
          <cell r="BY228" t="e">
            <v>#NAME?</v>
          </cell>
          <cell r="BZ228" t="e">
            <v>#NAME?</v>
          </cell>
          <cell r="CA228" t="e">
            <v>#NAME?</v>
          </cell>
          <cell r="CB228" t="e">
            <v>#NAME?</v>
          </cell>
          <cell r="CC228" t="str">
            <v>Manual Calculation</v>
          </cell>
          <cell r="CD228" t="str">
            <v>Manual Calculation</v>
          </cell>
          <cell r="CE228" t="str">
            <v>Manual Calculation</v>
          </cell>
          <cell r="CF228" t="str">
            <v>Manual Calculation</v>
          </cell>
          <cell r="CG228" t="str">
            <v xml:space="preserve">$47.67 </v>
          </cell>
        </row>
        <row r="230">
          <cell r="B230" t="str">
            <v>ModelWare required tags</v>
          </cell>
        </row>
        <row r="231">
          <cell r="B231" t="str">
            <v>Statutory tax</v>
          </cell>
          <cell r="U231">
            <v>0.36099999999999999</v>
          </cell>
          <cell r="V231">
            <v>0.38831655786804103</v>
          </cell>
          <cell r="W231">
            <v>0.38831655786804103</v>
          </cell>
          <cell r="X231">
            <v>0.38831655786804103</v>
          </cell>
          <cell r="Y231">
            <v>0.36099999999999999</v>
          </cell>
          <cell r="Z231">
            <v>0.38831655786804103</v>
          </cell>
          <cell r="AA231">
            <v>0.38831655786804103</v>
          </cell>
          <cell r="AB231">
            <v>0.38831655786804103</v>
          </cell>
          <cell r="AC231">
            <v>0.38831655786804103</v>
          </cell>
          <cell r="AD231">
            <v>0.38831655786804103</v>
          </cell>
          <cell r="AE231">
            <v>0.38772993986515214</v>
          </cell>
          <cell r="AF231">
            <v>0.38772993986515214</v>
          </cell>
          <cell r="AG231">
            <v>0.38772993986515214</v>
          </cell>
          <cell r="AH231">
            <v>0.38772993986515214</v>
          </cell>
          <cell r="AI231">
            <v>0.38772993986515214</v>
          </cell>
          <cell r="AJ231">
            <v>0.42360697087823895</v>
          </cell>
          <cell r="AK231">
            <v>0.42360697087823895</v>
          </cell>
          <cell r="AL231">
            <v>0.42360697087823895</v>
          </cell>
          <cell r="AM231">
            <v>0.42360697087823895</v>
          </cell>
          <cell r="AN231">
            <v>0.42360697087823895</v>
          </cell>
          <cell r="AO231">
            <v>0.37497044917257683</v>
          </cell>
          <cell r="AP231">
            <v>0.37497044917257683</v>
          </cell>
          <cell r="AQ231">
            <v>0.37497044917257683</v>
          </cell>
          <cell r="AR231">
            <v>0.37497044917257683</v>
          </cell>
          <cell r="AS231">
            <v>0.37497044917257683</v>
          </cell>
          <cell r="AT231">
            <v>0.37950723360505245</v>
          </cell>
          <cell r="AU231">
            <v>0.37950723360505245</v>
          </cell>
          <cell r="AV231">
            <v>0.37950723360505245</v>
          </cell>
          <cell r="AW231">
            <v>0.37950723360505245</v>
          </cell>
          <cell r="AX231">
            <v>0.37950723360505245</v>
          </cell>
          <cell r="AY231">
            <v>0.37013202673336343</v>
          </cell>
          <cell r="AZ231">
            <v>0.37013202673336343</v>
          </cell>
          <cell r="BA231">
            <v>0.37013202673336343</v>
          </cell>
          <cell r="BB231">
            <v>0.37013202673336343</v>
          </cell>
          <cell r="BC231">
            <v>0.37013202673336343</v>
          </cell>
          <cell r="BD231">
            <v>0.37013202673336343</v>
          </cell>
          <cell r="BE231">
            <v>0.3359526312876987</v>
          </cell>
          <cell r="BF231">
            <v>0.34167514251247827</v>
          </cell>
          <cell r="BG231">
            <v>0.33464132974736571</v>
          </cell>
          <cell r="BH231">
            <v>0.36908456167571768</v>
          </cell>
          <cell r="BI231">
            <v>0.3373869286527294</v>
          </cell>
          <cell r="BJ231">
            <v>0.38463267523320782</v>
          </cell>
          <cell r="BK231">
            <v>0.39797883154936292</v>
          </cell>
          <cell r="BL231">
            <v>0.35177729293656307</v>
          </cell>
          <cell r="BM231">
            <v>0.36705704665524558</v>
          </cell>
          <cell r="BN231">
            <v>0.28870853481997139</v>
          </cell>
          <cell r="BO231">
            <v>0.25697263053971059</v>
          </cell>
          <cell r="BP231">
            <v>0.25188057778423406</v>
          </cell>
          <cell r="BQ231">
            <v>0.28499999999999998</v>
          </cell>
          <cell r="BR231">
            <v>0.27042423929164661</v>
          </cell>
          <cell r="BS231">
            <v>0.3</v>
          </cell>
          <cell r="BT231">
            <v>0.3</v>
          </cell>
          <cell r="BU231">
            <v>0.3</v>
          </cell>
          <cell r="BV231">
            <v>0.3</v>
          </cell>
          <cell r="BW231">
            <v>0.29999999999999993</v>
          </cell>
          <cell r="BX231">
            <v>0.3</v>
          </cell>
          <cell r="BY231">
            <v>0.3</v>
          </cell>
          <cell r="BZ231">
            <v>0.3</v>
          </cell>
          <cell r="CA231">
            <v>0.3</v>
          </cell>
          <cell r="CB231">
            <v>0.29999999999999993</v>
          </cell>
          <cell r="CC231">
            <v>0.27</v>
          </cell>
          <cell r="CD231">
            <v>0.27</v>
          </cell>
          <cell r="CE231">
            <v>0.27</v>
          </cell>
          <cell r="CF231">
            <v>0.27</v>
          </cell>
          <cell r="CG231">
            <v>0.27000000000000085</v>
          </cell>
        </row>
        <row r="232">
          <cell r="B232" t="str">
            <v xml:space="preserve">State </v>
          </cell>
          <cell r="Y232">
            <v>0</v>
          </cell>
          <cell r="Z232">
            <v>2.5125091549552331E-3</v>
          </cell>
          <cell r="AA232">
            <v>2.5125091549552331E-3</v>
          </cell>
          <cell r="AB232">
            <v>2.5125091549552331E-3</v>
          </cell>
          <cell r="AC232">
            <v>2.5125091549552331E-3</v>
          </cell>
          <cell r="AD232">
            <v>2.5125091549552331E-3</v>
          </cell>
          <cell r="AE232">
            <v>2.9399258944299334E-2</v>
          </cell>
          <cell r="AF232">
            <v>2.9399258944299334E-2</v>
          </cell>
          <cell r="AG232">
            <v>2.9399258944299334E-2</v>
          </cell>
          <cell r="AH232">
            <v>2.9399258944299334E-2</v>
          </cell>
          <cell r="AI232">
            <v>2.9399258944299334E-2</v>
          </cell>
          <cell r="AJ232">
            <v>2.8605824352212796E-2</v>
          </cell>
          <cell r="AK232">
            <v>2.8605824352212796E-2</v>
          </cell>
          <cell r="AL232">
            <v>2.8605824352212796E-2</v>
          </cell>
          <cell r="AM232">
            <v>2.8605824352212796E-2</v>
          </cell>
          <cell r="AN232">
            <v>2.8605824352212796E-2</v>
          </cell>
          <cell r="AO232">
            <v>1.8961780929866039E-2</v>
          </cell>
          <cell r="AP232">
            <v>1.8961780929866039E-2</v>
          </cell>
          <cell r="AQ232">
            <v>1.8961780929866039E-2</v>
          </cell>
          <cell r="AR232">
            <v>1.8961780929866039E-2</v>
          </cell>
          <cell r="AS232">
            <v>1.8961780929866039E-2</v>
          </cell>
          <cell r="AT232">
            <v>2.3823162223690977E-2</v>
          </cell>
          <cell r="AU232">
            <v>2.3823162223690977E-2</v>
          </cell>
          <cell r="AV232">
            <v>2.3823162223690977E-2</v>
          </cell>
          <cell r="AW232">
            <v>2.3823162223690977E-2</v>
          </cell>
          <cell r="AX232">
            <v>2.3823162223690977E-2</v>
          </cell>
          <cell r="AY232">
            <v>2.2643404813645497E-2</v>
          </cell>
          <cell r="AZ232">
            <v>2.2643404813645497E-2</v>
          </cell>
          <cell r="BA232">
            <v>2.2643404813645497E-2</v>
          </cell>
          <cell r="BB232">
            <v>2.2643404813645497E-2</v>
          </cell>
          <cell r="BC232">
            <v>2.2643404813645497E-2</v>
          </cell>
          <cell r="BD232">
            <v>2.2643404813645497E-2</v>
          </cell>
          <cell r="BH232">
            <v>1.9556503749676806E-2</v>
          </cell>
        </row>
        <row r="233">
          <cell r="B233" t="str">
            <v xml:space="preserve">Federal </v>
          </cell>
          <cell r="Y233">
            <v>0.36099999999999999</v>
          </cell>
          <cell r="Z233">
            <v>0.36099999999999999</v>
          </cell>
          <cell r="AA233">
            <v>0.36099999999999999</v>
          </cell>
          <cell r="AB233">
            <v>0.36099999999999999</v>
          </cell>
          <cell r="AC233">
            <v>0.36099999999999999</v>
          </cell>
          <cell r="AD233">
            <v>0.36099999999999999</v>
          </cell>
          <cell r="AE233">
            <v>0.34599999999999997</v>
          </cell>
          <cell r="AF233">
            <v>0.34599999999999997</v>
          </cell>
          <cell r="AG233">
            <v>0.34599999999999997</v>
          </cell>
          <cell r="AH233">
            <v>0.34599999999999997</v>
          </cell>
          <cell r="AI233">
            <v>0.34599999999999997</v>
          </cell>
          <cell r="AJ233">
            <v>0.35</v>
          </cell>
          <cell r="AK233">
            <v>0.35</v>
          </cell>
          <cell r="AL233">
            <v>0.35</v>
          </cell>
          <cell r="AM233">
            <v>0.35</v>
          </cell>
          <cell r="AN233">
            <v>0.35</v>
          </cell>
          <cell r="AO233">
            <v>0.35</v>
          </cell>
          <cell r="AP233">
            <v>0.35</v>
          </cell>
          <cell r="AQ233">
            <v>0.35</v>
          </cell>
          <cell r="AR233">
            <v>0.35</v>
          </cell>
          <cell r="AS233">
            <v>0.35</v>
          </cell>
          <cell r="AT233">
            <v>0.35</v>
          </cell>
          <cell r="AU233">
            <v>0.35</v>
          </cell>
          <cell r="AV233">
            <v>0.35</v>
          </cell>
          <cell r="AW233">
            <v>0.35</v>
          </cell>
          <cell r="AX233">
            <v>0.35</v>
          </cell>
          <cell r="AY233">
            <v>0.35</v>
          </cell>
          <cell r="AZ233">
            <v>0.35</v>
          </cell>
          <cell r="BA233">
            <v>0.35</v>
          </cell>
          <cell r="BB233">
            <v>0.35</v>
          </cell>
          <cell r="BC233">
            <v>0.35</v>
          </cell>
          <cell r="BD233">
            <v>0.35</v>
          </cell>
          <cell r="BH233">
            <v>0.35</v>
          </cell>
        </row>
        <row r="234">
          <cell r="B234" t="str">
            <v xml:space="preserve">Foreign </v>
          </cell>
          <cell r="Y234">
            <v>0</v>
          </cell>
          <cell r="Z234">
            <v>2.4804048713085832E-2</v>
          </cell>
          <cell r="AA234">
            <v>2.4804048713085832E-2</v>
          </cell>
          <cell r="AB234">
            <v>2.4804048713085832E-2</v>
          </cell>
          <cell r="AC234">
            <v>2.4804048713085832E-2</v>
          </cell>
          <cell r="AD234">
            <v>2.4804048713085832E-2</v>
          </cell>
          <cell r="AE234">
            <v>1.2330680920852821E-2</v>
          </cell>
          <cell r="AF234">
            <v>1.2330680920852821E-2</v>
          </cell>
          <cell r="AG234">
            <v>1.2330680920852821E-2</v>
          </cell>
          <cell r="AH234">
            <v>1.2330680920852821E-2</v>
          </cell>
          <cell r="AI234">
            <v>1.2330680920852821E-2</v>
          </cell>
          <cell r="AJ234">
            <v>4.5001146526026145E-2</v>
          </cell>
          <cell r="AK234">
            <v>4.5001146526026145E-2</v>
          </cell>
          <cell r="AL234">
            <v>4.5001146526026145E-2</v>
          </cell>
          <cell r="AM234">
            <v>4.5001146526026145E-2</v>
          </cell>
          <cell r="AN234">
            <v>4.5001146526026145E-2</v>
          </cell>
          <cell r="AO234">
            <v>6.0086682427107959E-3</v>
          </cell>
          <cell r="AP234">
            <v>6.0086682427107959E-3</v>
          </cell>
          <cell r="AQ234">
            <v>6.0086682427107959E-3</v>
          </cell>
          <cell r="AR234">
            <v>6.0086682427107959E-3</v>
          </cell>
          <cell r="AS234">
            <v>6.0086682427107959E-3</v>
          </cell>
          <cell r="AT234">
            <v>5.6840713813615341E-3</v>
          </cell>
          <cell r="AU234">
            <v>5.6840713813615341E-3</v>
          </cell>
          <cell r="AV234">
            <v>5.6840713813615341E-3</v>
          </cell>
          <cell r="AW234">
            <v>5.6840713813615341E-3</v>
          </cell>
          <cell r="AX234">
            <v>5.6840713813615341E-3</v>
          </cell>
          <cell r="AY234">
            <v>-2.5113780802820942E-3</v>
          </cell>
          <cell r="AZ234">
            <v>-2.5113780802820942E-3</v>
          </cell>
          <cell r="BA234">
            <v>-2.5113780802820942E-3</v>
          </cell>
          <cell r="BB234">
            <v>-2.5113780802820942E-3</v>
          </cell>
          <cell r="BC234">
            <v>-2.5113780802820942E-3</v>
          </cell>
          <cell r="BD234">
            <v>-2.5113780802820942E-3</v>
          </cell>
          <cell r="BH234">
            <v>-4.7194207395914273E-4</v>
          </cell>
        </row>
        <row r="235">
          <cell r="B235" t="str">
            <v>Unrecorded Goodwill</v>
          </cell>
          <cell r="U235" t="str">
            <v>ND</v>
          </cell>
          <cell r="V235" t="str">
            <v>ND</v>
          </cell>
          <cell r="W235" t="str">
            <v>ND</v>
          </cell>
          <cell r="X235" t="str">
            <v>ND</v>
          </cell>
          <cell r="Y235" t="str">
            <v>ND</v>
          </cell>
          <cell r="Z235" t="str">
            <v>ND</v>
          </cell>
          <cell r="AA235" t="str">
            <v>ND</v>
          </cell>
          <cell r="AB235" t="str">
            <v>ND</v>
          </cell>
          <cell r="AC235" t="str">
            <v>ND</v>
          </cell>
          <cell r="AD235" t="str">
            <v>ND</v>
          </cell>
          <cell r="AE235" t="str">
            <v>ND</v>
          </cell>
          <cell r="AF235" t="str">
            <v>ND</v>
          </cell>
          <cell r="AG235" t="str">
            <v>ND</v>
          </cell>
          <cell r="AH235" t="str">
            <v>ND</v>
          </cell>
          <cell r="AI235" t="str">
            <v>ND</v>
          </cell>
          <cell r="AJ235" t="str">
            <v>ND</v>
          </cell>
          <cell r="AK235" t="str">
            <v>ND</v>
          </cell>
          <cell r="AL235" t="str">
            <v>ND</v>
          </cell>
          <cell r="AM235" t="str">
            <v>ND</v>
          </cell>
          <cell r="AN235" t="str">
            <v>ND</v>
          </cell>
          <cell r="AO235" t="str">
            <v>ND</v>
          </cell>
          <cell r="AP235" t="str">
            <v>ND</v>
          </cell>
          <cell r="AQ235" t="str">
            <v>ND</v>
          </cell>
          <cell r="AR235" t="str">
            <v>ND</v>
          </cell>
          <cell r="AS235" t="str">
            <v>ND</v>
          </cell>
          <cell r="AT235" t="str">
            <v>ND</v>
          </cell>
          <cell r="AU235" t="str">
            <v>ND</v>
          </cell>
          <cell r="AV235" t="str">
            <v>ND</v>
          </cell>
          <cell r="AW235" t="str">
            <v>ND</v>
          </cell>
          <cell r="AX235" t="str">
            <v>ND</v>
          </cell>
          <cell r="AY235" t="str">
            <v>ND</v>
          </cell>
          <cell r="AZ235" t="str">
            <v>ND</v>
          </cell>
          <cell r="BA235" t="str">
            <v>ND</v>
          </cell>
          <cell r="BB235" t="str">
            <v>ND</v>
          </cell>
          <cell r="BC235" t="str">
            <v>ND</v>
          </cell>
          <cell r="BD235" t="str">
            <v>ND</v>
          </cell>
          <cell r="BE235" t="str">
            <v>ND</v>
          </cell>
          <cell r="BF235" t="str">
            <v>ND</v>
          </cell>
          <cell r="BG235" t="str">
            <v>ND</v>
          </cell>
          <cell r="BH235" t="str">
            <v>ND</v>
          </cell>
          <cell r="BI235" t="str">
            <v>ND</v>
          </cell>
          <cell r="BJ235" t="str">
            <v>ND</v>
          </cell>
          <cell r="BK235" t="str">
            <v>ND</v>
          </cell>
          <cell r="BL235" t="str">
            <v>ND</v>
          </cell>
          <cell r="BM235" t="str">
            <v>ND</v>
          </cell>
          <cell r="BN235" t="str">
            <v>ND</v>
          </cell>
          <cell r="BO235" t="str">
            <v>ND</v>
          </cell>
          <cell r="BP235" t="str">
            <v>ND</v>
          </cell>
          <cell r="BQ235" t="str">
            <v>ND</v>
          </cell>
          <cell r="BR235" t="str">
            <v>ND</v>
          </cell>
          <cell r="BS235" t="str">
            <v>ND</v>
          </cell>
          <cell r="BT235" t="str">
            <v>ND</v>
          </cell>
          <cell r="BU235" t="str">
            <v>ND</v>
          </cell>
          <cell r="BV235" t="str">
            <v>ND</v>
          </cell>
          <cell r="BW235" t="str">
            <v>ND</v>
          </cell>
          <cell r="BX235" t="str">
            <v>ND</v>
          </cell>
          <cell r="BY235" t="str">
            <v>ND</v>
          </cell>
          <cell r="BZ235" t="str">
            <v>ND</v>
          </cell>
          <cell r="CA235" t="str">
            <v>ND</v>
          </cell>
          <cell r="CB235" t="str">
            <v>ND</v>
          </cell>
          <cell r="CC235" t="str">
            <v>ND</v>
          </cell>
          <cell r="CD235" t="str">
            <v>ND</v>
          </cell>
          <cell r="CE235" t="str">
            <v>ND</v>
          </cell>
          <cell r="CF235" t="str">
            <v>ND</v>
          </cell>
          <cell r="CG235" t="str">
            <v>ND</v>
          </cell>
        </row>
        <row r="237">
          <cell r="B237" t="str">
            <v>Change in Shareholders' Equity</v>
          </cell>
        </row>
        <row r="238">
          <cell r="B238" t="str">
            <v>Other changes</v>
          </cell>
          <cell r="Y238">
            <v>28.759508</v>
          </cell>
          <cell r="Z238">
            <v>-0.63069099999999878</v>
          </cell>
          <cell r="AA238">
            <v>-0.73863500000000215</v>
          </cell>
          <cell r="AB238">
            <v>-0.59262400000000071</v>
          </cell>
          <cell r="AC238">
            <v>17.851548999999991</v>
          </cell>
          <cell r="AD238">
            <v>15.88959899999999</v>
          </cell>
          <cell r="AE238">
            <v>0.56085399999999197</v>
          </cell>
          <cell r="AF238">
            <v>35.499763000000002</v>
          </cell>
          <cell r="AG238">
            <v>0.26550000000000296</v>
          </cell>
          <cell r="AH238">
            <v>1.076303224746411</v>
          </cell>
          <cell r="AI238">
            <v>37.402420224746407</v>
          </cell>
          <cell r="AJ238">
            <v>1.0129843604677831</v>
          </cell>
          <cell r="AK238">
            <v>3.9263253604677857</v>
          </cell>
          <cell r="AL238">
            <v>1.2254693604677698</v>
          </cell>
          <cell r="AM238">
            <v>0.74415036046778482</v>
          </cell>
          <cell r="AN238">
            <v>6.9089294418711233</v>
          </cell>
          <cell r="AO238">
            <v>0.74848829787234195</v>
          </cell>
          <cell r="AP238">
            <v>40.364999999999995</v>
          </cell>
          <cell r="AQ238">
            <v>0.47899999999995657</v>
          </cell>
          <cell r="AR238">
            <v>-1.2270000000000323</v>
          </cell>
          <cell r="AS238">
            <v>40.365488297872261</v>
          </cell>
          <cell r="AT238">
            <v>2.8500000000000227</v>
          </cell>
          <cell r="AU238">
            <v>2.0909999999999513</v>
          </cell>
          <cell r="AV238">
            <v>206.97099999999995</v>
          </cell>
          <cell r="AW238">
            <v>0.76600000000001955</v>
          </cell>
          <cell r="AX238">
            <v>212.67799999999994</v>
          </cell>
          <cell r="AY238">
            <v>7.7680000000000291</v>
          </cell>
          <cell r="AZ238">
            <v>3.075999999999965</v>
          </cell>
          <cell r="BA238">
            <v>1.45799999999997</v>
          </cell>
          <cell r="BB238">
            <v>13.121999999999957</v>
          </cell>
          <cell r="BC238">
            <v>25.423999999999921</v>
          </cell>
          <cell r="BD238">
            <v>4.3849999999999909</v>
          </cell>
          <cell r="BE238">
            <v>9.02800000000002</v>
          </cell>
          <cell r="BF238">
            <v>0.32700000000011187</v>
          </cell>
          <cell r="BG238">
            <v>1.3780000000000427</v>
          </cell>
          <cell r="BH238">
            <v>15.118000000000166</v>
          </cell>
          <cell r="BI238">
            <v>7.0710000000001401</v>
          </cell>
          <cell r="BJ238">
            <v>521.70400000000006</v>
          </cell>
          <cell r="BK238">
            <v>3238.3009999999999</v>
          </cell>
          <cell r="BL238">
            <v>-29.47400000000016</v>
          </cell>
          <cell r="BM238">
            <v>3737.6019999999999</v>
          </cell>
          <cell r="BN238">
            <v>-22.971999999999753</v>
          </cell>
          <cell r="BO238">
            <v>-24.253999999999905</v>
          </cell>
          <cell r="BP238">
            <v>-27.055999999999585</v>
          </cell>
          <cell r="BQ238">
            <v>-33.762300000000323</v>
          </cell>
          <cell r="BR238">
            <v>-108.04429999999957</v>
          </cell>
          <cell r="BS238">
            <v>-32.703999999999724</v>
          </cell>
          <cell r="BT238">
            <v>-32.703999999999724</v>
          </cell>
          <cell r="BU238">
            <v>-32.703999999999724</v>
          </cell>
          <cell r="BV238">
            <v>-32.703999999999724</v>
          </cell>
          <cell r="BW238">
            <v>-130.81599999999889</v>
          </cell>
          <cell r="BX238">
            <v>-32.283999999999651</v>
          </cell>
          <cell r="BY238">
            <v>-32.283999999999651</v>
          </cell>
          <cell r="BZ238">
            <v>-32.283999999999651</v>
          </cell>
          <cell r="CA238">
            <v>-32.283999999999651</v>
          </cell>
          <cell r="CB238">
            <v>-129.1359999999986</v>
          </cell>
          <cell r="CC238">
            <v>-38.482680000000073</v>
          </cell>
          <cell r="CD238">
            <v>-38.482680000000073</v>
          </cell>
          <cell r="CE238">
            <v>-38.482680000000073</v>
          </cell>
          <cell r="CF238">
            <v>-38.482680000000073</v>
          </cell>
          <cell r="CG238">
            <v>-153.93072000000029</v>
          </cell>
        </row>
        <row r="243">
          <cell r="B243" t="str">
            <v>EBITDA, for consensus</v>
          </cell>
          <cell r="BM243">
            <v>472.34999999999997</v>
          </cell>
          <cell r="BN243">
            <v>147.87699999999984</v>
          </cell>
          <cell r="BO243">
            <v>164.70099999999991</v>
          </cell>
          <cell r="BP243">
            <v>177.334</v>
          </cell>
          <cell r="BQ243">
            <v>194.97199999999992</v>
          </cell>
          <cell r="BR243">
            <v>684.88399999999956</v>
          </cell>
          <cell r="BS243">
            <v>184.14300000000026</v>
          </cell>
          <cell r="BT243">
            <v>203.17800000000008</v>
          </cell>
          <cell r="BU243">
            <v>219.65099999999978</v>
          </cell>
          <cell r="BV243">
            <v>229.29703399655932</v>
          </cell>
          <cell r="BW243">
            <v>836.26903399655771</v>
          </cell>
          <cell r="BX243">
            <v>232.05421110216233</v>
          </cell>
          <cell r="BY243">
            <v>259.12606237757251</v>
          </cell>
          <cell r="BZ243">
            <v>229.14259238184766</v>
          </cell>
          <cell r="CA243">
            <v>249.01760979082491</v>
          </cell>
          <cell r="CB243">
            <v>969.34047565240553</v>
          </cell>
          <cell r="CC243">
            <v>251.67259361614106</v>
          </cell>
          <cell r="CD243">
            <v>281.28929025169111</v>
          </cell>
          <cell r="CE243">
            <v>247.97834699184816</v>
          </cell>
          <cell r="CF243">
            <v>269.67083011819022</v>
          </cell>
          <cell r="CG243">
            <v>1050.6110609778677</v>
          </cell>
        </row>
        <row r="244">
          <cell r="B244" t="str">
            <v>EBITDA Delta</v>
          </cell>
          <cell r="BM244">
            <v>6.3919999999999959</v>
          </cell>
          <cell r="BN244">
            <v>-4.3349999999999795</v>
          </cell>
          <cell r="BO244">
            <v>-6.6319999999999766</v>
          </cell>
          <cell r="BP244">
            <v>-9.782999999999987</v>
          </cell>
          <cell r="BQ244">
            <v>-13.003000000000043</v>
          </cell>
          <cell r="BR244">
            <v>-32.352999999999838</v>
          </cell>
          <cell r="BS244">
            <v>-13.292999999999978</v>
          </cell>
          <cell r="BT244">
            <v>-14.673999999999978</v>
          </cell>
          <cell r="BU244">
            <v>-13.947000000000003</v>
          </cell>
          <cell r="BV244">
            <v>-12.947000000000031</v>
          </cell>
          <cell r="BW244">
            <v>-54.860999999998171</v>
          </cell>
          <cell r="BX244">
            <v>-13.302999999999997</v>
          </cell>
          <cell r="BY244">
            <v>-13.302999999999997</v>
          </cell>
          <cell r="BZ244">
            <v>-13.302999999999997</v>
          </cell>
          <cell r="CA244">
            <v>-13.302999999999997</v>
          </cell>
          <cell r="CB244">
            <v>-53.211999999998056</v>
          </cell>
          <cell r="CC244">
            <v>-13.302999999999997</v>
          </cell>
          <cell r="CD244">
            <v>-13.302999999999997</v>
          </cell>
          <cell r="CE244">
            <v>-13.302999999999997</v>
          </cell>
          <cell r="CF244">
            <v>-13.302999999999997</v>
          </cell>
          <cell r="CG244">
            <v>-53.211999999997147</v>
          </cell>
        </row>
        <row r="245">
          <cell r="B245" t="str">
            <v>Toggle</v>
          </cell>
          <cell r="BM245">
            <v>1</v>
          </cell>
          <cell r="BN245">
            <v>1</v>
          </cell>
          <cell r="BO245">
            <v>1</v>
          </cell>
          <cell r="BP245">
            <v>1</v>
          </cell>
          <cell r="BQ245">
            <v>1</v>
          </cell>
          <cell r="BR245">
            <v>1</v>
          </cell>
          <cell r="BS245">
            <v>1</v>
          </cell>
          <cell r="BT245">
            <v>1</v>
          </cell>
          <cell r="BU245">
            <v>1</v>
          </cell>
          <cell r="BV245">
            <v>1</v>
          </cell>
          <cell r="BW245">
            <v>1</v>
          </cell>
          <cell r="BX245">
            <v>1</v>
          </cell>
          <cell r="BY245">
            <v>1</v>
          </cell>
          <cell r="BZ245">
            <v>1</v>
          </cell>
          <cell r="CA245">
            <v>1</v>
          </cell>
          <cell r="CB245">
            <v>1</v>
          </cell>
          <cell r="CC245">
            <v>1</v>
          </cell>
          <cell r="CD245">
            <v>1</v>
          </cell>
          <cell r="CE245">
            <v>1</v>
          </cell>
          <cell r="CF245">
            <v>1</v>
          </cell>
          <cell r="CG245">
            <v>1</v>
          </cell>
        </row>
      </sheetData>
      <sheetData sheetId="4">
        <row r="1">
          <cell r="B1" t="str">
            <v>CTRX</v>
          </cell>
        </row>
        <row r="2">
          <cell r="B2" t="str">
            <v>PBM Segment - Includes Specialty Segment</v>
          </cell>
        </row>
        <row r="3">
          <cell r="E3">
            <v>36891</v>
          </cell>
          <cell r="F3">
            <v>36981</v>
          </cell>
          <cell r="G3">
            <v>37072</v>
          </cell>
          <cell r="H3">
            <v>37164</v>
          </cell>
          <cell r="I3">
            <v>37256</v>
          </cell>
          <cell r="J3">
            <v>37256</v>
          </cell>
          <cell r="K3">
            <v>37346</v>
          </cell>
          <cell r="L3">
            <v>37437</v>
          </cell>
          <cell r="M3">
            <v>37529</v>
          </cell>
          <cell r="N3">
            <v>37621</v>
          </cell>
          <cell r="O3">
            <v>37621</v>
          </cell>
          <cell r="P3">
            <v>37711</v>
          </cell>
          <cell r="Q3">
            <v>37802</v>
          </cell>
          <cell r="R3">
            <v>37894</v>
          </cell>
          <cell r="S3">
            <v>37986</v>
          </cell>
          <cell r="T3">
            <v>37986</v>
          </cell>
          <cell r="U3">
            <v>38077</v>
          </cell>
          <cell r="V3">
            <v>38168</v>
          </cell>
          <cell r="W3">
            <v>38260</v>
          </cell>
          <cell r="X3">
            <v>38352</v>
          </cell>
          <cell r="Y3">
            <v>38352</v>
          </cell>
          <cell r="Z3">
            <v>38442</v>
          </cell>
          <cell r="AA3">
            <v>38533</v>
          </cell>
          <cell r="AB3">
            <v>38625</v>
          </cell>
          <cell r="AC3">
            <v>38717</v>
          </cell>
          <cell r="AD3">
            <v>38717</v>
          </cell>
          <cell r="AE3">
            <v>38807</v>
          </cell>
          <cell r="AF3">
            <v>38898</v>
          </cell>
          <cell r="AG3">
            <v>38990</v>
          </cell>
          <cell r="AH3">
            <v>39082</v>
          </cell>
          <cell r="AI3">
            <v>39082</v>
          </cell>
          <cell r="AJ3">
            <v>39172</v>
          </cell>
          <cell r="AK3">
            <v>39263</v>
          </cell>
          <cell r="AL3">
            <v>39355</v>
          </cell>
          <cell r="AM3">
            <v>39447</v>
          </cell>
          <cell r="AN3">
            <v>39447</v>
          </cell>
          <cell r="AO3">
            <v>39538</v>
          </cell>
          <cell r="AP3">
            <v>39629</v>
          </cell>
          <cell r="AQ3">
            <v>39721</v>
          </cell>
          <cell r="AR3">
            <v>39813</v>
          </cell>
          <cell r="AS3">
            <v>39813</v>
          </cell>
          <cell r="AT3">
            <v>39903</v>
          </cell>
          <cell r="AU3">
            <v>39994</v>
          </cell>
          <cell r="AV3">
            <v>40086</v>
          </cell>
          <cell r="AW3">
            <v>40178</v>
          </cell>
          <cell r="AX3">
            <v>40178</v>
          </cell>
          <cell r="AY3">
            <v>40268</v>
          </cell>
          <cell r="AZ3">
            <v>40359</v>
          </cell>
          <cell r="BA3">
            <v>40451</v>
          </cell>
          <cell r="BB3">
            <v>40543</v>
          </cell>
          <cell r="BC3">
            <v>40543</v>
          </cell>
          <cell r="BD3">
            <v>40633</v>
          </cell>
          <cell r="BE3">
            <v>40724</v>
          </cell>
          <cell r="BF3">
            <v>40816</v>
          </cell>
          <cell r="BG3">
            <v>40908</v>
          </cell>
          <cell r="BH3">
            <v>40908</v>
          </cell>
          <cell r="BI3">
            <v>40999</v>
          </cell>
          <cell r="BJ3">
            <v>41090</v>
          </cell>
          <cell r="BK3">
            <v>41182</v>
          </cell>
          <cell r="BL3">
            <v>41274</v>
          </cell>
          <cell r="BM3">
            <v>41274</v>
          </cell>
          <cell r="BN3">
            <v>41364</v>
          </cell>
          <cell r="BO3">
            <v>41455</v>
          </cell>
          <cell r="BP3">
            <v>41547</v>
          </cell>
          <cell r="BQ3">
            <v>41639</v>
          </cell>
          <cell r="BR3">
            <v>41639</v>
          </cell>
          <cell r="BS3">
            <v>41729</v>
          </cell>
          <cell r="BT3">
            <v>41820</v>
          </cell>
          <cell r="BU3">
            <v>41912</v>
          </cell>
          <cell r="BV3">
            <v>42004</v>
          </cell>
          <cell r="BW3">
            <v>42004</v>
          </cell>
          <cell r="BX3">
            <v>42094</v>
          </cell>
          <cell r="BY3">
            <v>42185</v>
          </cell>
          <cell r="BZ3">
            <v>42277</v>
          </cell>
          <cell r="CA3">
            <v>42369</v>
          </cell>
          <cell r="CB3">
            <v>42369</v>
          </cell>
          <cell r="CC3">
            <v>42094</v>
          </cell>
          <cell r="CD3">
            <v>42185</v>
          </cell>
          <cell r="CE3">
            <v>42277</v>
          </cell>
          <cell r="CF3">
            <v>42369</v>
          </cell>
          <cell r="CG3">
            <v>42369</v>
          </cell>
        </row>
        <row r="4">
          <cell r="F4" t="str">
            <v>Fiscal Year End, Dec 31 2001</v>
          </cell>
          <cell r="K4" t="str">
            <v>Fiscal Year End, Dec 31 2002</v>
          </cell>
          <cell r="P4" t="str">
            <v>Fiscal Year End, Dec 31 2003</v>
          </cell>
          <cell r="U4" t="str">
            <v>Fiscal Year End, Dec 31 2004</v>
          </cell>
          <cell r="Z4" t="str">
            <v xml:space="preserve">Fiscal Year End, Dec 31 2005 </v>
          </cell>
          <cell r="AE4" t="str">
            <v xml:space="preserve">Fiscal Year End, Dec 31 2006 </v>
          </cell>
          <cell r="AJ4" t="str">
            <v xml:space="preserve">Fiscal Year End, Dec 31 2007 </v>
          </cell>
          <cell r="AO4" t="str">
            <v>Fiscal Year End, Dec 31 2008</v>
          </cell>
          <cell r="AT4" t="str">
            <v>Fiscal Year End, Dec 31 2009</v>
          </cell>
          <cell r="AY4" t="str">
            <v>Fiscal Year End, Dec 31 2010</v>
          </cell>
          <cell r="BD4" t="str">
            <v>Fiscal Year End, Dec 31 2011</v>
          </cell>
          <cell r="BI4" t="str">
            <v>Fiscal Year End, Dec 31 2012</v>
          </cell>
          <cell r="BN4" t="str">
            <v>Fiscal Year End, Dec 31 2013</v>
          </cell>
          <cell r="BS4" t="str">
            <v>Fiscal Year End, Dec 31 2014</v>
          </cell>
          <cell r="BX4" t="str">
            <v>Fiscal Year End, Dec 31 2015</v>
          </cell>
          <cell r="CC4" t="str">
            <v>Fiscal Year End, Dec 31 2016</v>
          </cell>
        </row>
        <row r="5">
          <cell r="B5" t="str">
            <v>(In millions, except per share)</v>
          </cell>
          <cell r="D5" t="str">
            <v>1999A</v>
          </cell>
          <cell r="E5" t="str">
            <v>2000A</v>
          </cell>
          <cell r="F5" t="str">
            <v>1Q01A</v>
          </cell>
          <cell r="G5" t="str">
            <v>2Q01A</v>
          </cell>
          <cell r="H5" t="str">
            <v>3Q01A</v>
          </cell>
          <cell r="I5" t="str">
            <v>4Q01A</v>
          </cell>
          <cell r="J5" t="str">
            <v>2001A</v>
          </cell>
          <cell r="K5" t="str">
            <v>1Q02A</v>
          </cell>
          <cell r="L5" t="str">
            <v>2Q02A</v>
          </cell>
          <cell r="M5" t="str">
            <v>3Q02A</v>
          </cell>
          <cell r="N5" t="str">
            <v>4Q02A</v>
          </cell>
          <cell r="O5" t="str">
            <v>2002A</v>
          </cell>
          <cell r="P5" t="str">
            <v>1Q03A</v>
          </cell>
          <cell r="Q5" t="str">
            <v>2Q03A</v>
          </cell>
          <cell r="R5" t="str">
            <v>3Q03A</v>
          </cell>
          <cell r="S5" t="str">
            <v>4Q03A</v>
          </cell>
          <cell r="T5" t="str">
            <v>2003A</v>
          </cell>
          <cell r="U5" t="str">
            <v>1QA</v>
          </cell>
          <cell r="V5" t="str">
            <v>2QA</v>
          </cell>
          <cell r="W5" t="str">
            <v>3QA</v>
          </cell>
          <cell r="X5" t="str">
            <v>4QA</v>
          </cell>
          <cell r="Y5" t="str">
            <v>2004A</v>
          </cell>
          <cell r="Z5" t="str">
            <v>1QA</v>
          </cell>
          <cell r="AA5" t="str">
            <v>2QA</v>
          </cell>
          <cell r="AB5" t="str">
            <v>3QA</v>
          </cell>
          <cell r="AC5" t="str">
            <v>4QA</v>
          </cell>
          <cell r="AD5" t="str">
            <v>2005A</v>
          </cell>
          <cell r="AE5" t="str">
            <v>1QA</v>
          </cell>
          <cell r="AF5" t="str">
            <v>2QA</v>
          </cell>
          <cell r="AG5" t="str">
            <v>3QA</v>
          </cell>
          <cell r="AH5" t="str">
            <v>4QA</v>
          </cell>
          <cell r="AI5" t="str">
            <v>2006A</v>
          </cell>
          <cell r="AJ5" t="str">
            <v>1QA</v>
          </cell>
          <cell r="AK5" t="str">
            <v>2QA</v>
          </cell>
          <cell r="AL5" t="str">
            <v>3QA</v>
          </cell>
          <cell r="AM5" t="str">
            <v>4QA</v>
          </cell>
          <cell r="AN5" t="str">
            <v>2007A</v>
          </cell>
          <cell r="AO5" t="str">
            <v>1QA</v>
          </cell>
          <cell r="AP5" t="str">
            <v>2QA</v>
          </cell>
          <cell r="AQ5" t="str">
            <v>3QA</v>
          </cell>
          <cell r="AR5" t="str">
            <v>4QA</v>
          </cell>
          <cell r="AS5" t="str">
            <v>2008A</v>
          </cell>
          <cell r="AT5" t="str">
            <v>1QA</v>
          </cell>
          <cell r="AU5" t="str">
            <v>2QA</v>
          </cell>
          <cell r="AV5" t="str">
            <v>3QA</v>
          </cell>
          <cell r="AW5" t="str">
            <v>4QA</v>
          </cell>
          <cell r="AX5" t="str">
            <v>2009A</v>
          </cell>
          <cell r="AY5" t="str">
            <v>1QA</v>
          </cell>
          <cell r="AZ5" t="str">
            <v>2QA</v>
          </cell>
          <cell r="BA5" t="str">
            <v>3QA</v>
          </cell>
          <cell r="BB5" t="str">
            <v>4QA</v>
          </cell>
          <cell r="BC5" t="str">
            <v>2010A</v>
          </cell>
          <cell r="BD5" t="str">
            <v>1QA</v>
          </cell>
          <cell r="BE5" t="str">
            <v>2QA</v>
          </cell>
          <cell r="BF5" t="str">
            <v>3QA</v>
          </cell>
          <cell r="BG5" t="str">
            <v>4QA</v>
          </cell>
          <cell r="BH5" t="str">
            <v>2011A</v>
          </cell>
          <cell r="BI5" t="str">
            <v>1QA</v>
          </cell>
          <cell r="BJ5" t="str">
            <v>2QA</v>
          </cell>
          <cell r="BK5" t="str">
            <v>3QA</v>
          </cell>
          <cell r="BL5" t="str">
            <v>4QA</v>
          </cell>
          <cell r="BM5" t="str">
            <v>2012A</v>
          </cell>
          <cell r="BN5" t="str">
            <v>1QA</v>
          </cell>
          <cell r="BO5" t="str">
            <v>2QA</v>
          </cell>
          <cell r="BP5" t="str">
            <v>3QA</v>
          </cell>
          <cell r="BQ5" t="str">
            <v>4QE</v>
          </cell>
          <cell r="BR5" t="str">
            <v>2013E</v>
          </cell>
          <cell r="BS5" t="str">
            <v>1QE</v>
          </cell>
          <cell r="BT5" t="str">
            <v>2QE</v>
          </cell>
          <cell r="BU5" t="str">
            <v>3QE</v>
          </cell>
          <cell r="BV5" t="str">
            <v>4QE</v>
          </cell>
          <cell r="BW5" t="str">
            <v>2014E</v>
          </cell>
          <cell r="BX5" t="str">
            <v>1QE</v>
          </cell>
          <cell r="BY5" t="str">
            <v>2QE</v>
          </cell>
          <cell r="BZ5" t="str">
            <v>3QE</v>
          </cell>
          <cell r="CA5" t="str">
            <v>4QE</v>
          </cell>
          <cell r="CB5" t="str">
            <v>2015E</v>
          </cell>
          <cell r="CC5" t="str">
            <v>1QE</v>
          </cell>
          <cell r="CD5" t="str">
            <v>2QE</v>
          </cell>
          <cell r="CE5" t="str">
            <v>3QE</v>
          </cell>
          <cell r="CF5" t="str">
            <v>4QE</v>
          </cell>
          <cell r="CG5" t="str">
            <v>2016E</v>
          </cell>
        </row>
        <row r="6">
          <cell r="B6" t="str">
            <v>Revenue - PBM</v>
          </cell>
          <cell r="AD6">
            <v>0</v>
          </cell>
          <cell r="AI6">
            <v>0</v>
          </cell>
          <cell r="AP6">
            <v>204.86</v>
          </cell>
          <cell r="AQ6">
            <v>297.178</v>
          </cell>
          <cell r="AR6">
            <v>269.80200000000002</v>
          </cell>
          <cell r="AS6">
            <v>771.84</v>
          </cell>
          <cell r="AT6">
            <v>267.77999999999997</v>
          </cell>
          <cell r="AU6">
            <v>293.90600000000001</v>
          </cell>
          <cell r="AV6">
            <v>357.47300000000001</v>
          </cell>
          <cell r="AW6">
            <v>416.803</v>
          </cell>
          <cell r="AX6">
            <v>1335.962</v>
          </cell>
          <cell r="AY6">
            <v>427.50200000000001</v>
          </cell>
          <cell r="AZ6">
            <v>451.29500000000002</v>
          </cell>
          <cell r="BA6">
            <v>463.04199999999997</v>
          </cell>
          <cell r="BB6">
            <v>499.76100000000002</v>
          </cell>
          <cell r="BC6">
            <v>1841.6</v>
          </cell>
          <cell r="BD6">
            <v>1071.923</v>
          </cell>
          <cell r="BE6">
            <v>1182.856</v>
          </cell>
          <cell r="BF6">
            <v>1256.3689999999999</v>
          </cell>
          <cell r="BG6">
            <v>1348.0940000000001</v>
          </cell>
          <cell r="BH6">
            <v>4859.2420000000002</v>
          </cell>
          <cell r="BI6">
            <v>1681.145</v>
          </cell>
          <cell r="BJ6">
            <v>1661.1289999999999</v>
          </cell>
          <cell r="BK6">
            <v>3150.7550000000001</v>
          </cell>
          <cell r="BL6">
            <v>3292.056</v>
          </cell>
          <cell r="BM6">
            <v>9785.0850000000009</v>
          </cell>
          <cell r="BN6">
            <v>3181.5529999999999</v>
          </cell>
          <cell r="BO6">
            <v>3382.1950000000002</v>
          </cell>
          <cell r="BP6">
            <v>3578.7669999999998</v>
          </cell>
          <cell r="BQ6">
            <v>3829.7784252232427</v>
          </cell>
          <cell r="BR6">
            <v>13972.293425223243</v>
          </cell>
          <cell r="BS6">
            <v>4289.2293285598025</v>
          </cell>
          <cell r="BT6">
            <v>4922.7482047265466</v>
          </cell>
          <cell r="BU6">
            <v>4949.6185829635497</v>
          </cell>
          <cell r="BV6">
            <v>5403.1606963917484</v>
          </cell>
          <cell r="BW6">
            <v>19564.756812641648</v>
          </cell>
          <cell r="BX6">
            <v>4731.9826218754552</v>
          </cell>
          <cell r="BY6">
            <v>5548.9875535569918</v>
          </cell>
          <cell r="BZ6">
            <v>5717.9021454191006</v>
          </cell>
          <cell r="CA6">
            <v>6241.3939681387237</v>
          </cell>
          <cell r="CB6">
            <v>22240.266288990271</v>
          </cell>
          <cell r="CC6">
            <v>6021.9226969822003</v>
          </cell>
          <cell r="CD6">
            <v>6752.6927105996792</v>
          </cell>
          <cell r="CE6">
            <v>6889.8819616692963</v>
          </cell>
          <cell r="CF6">
            <v>6894.9794064257967</v>
          </cell>
          <cell r="CG6">
            <v>26559.476775676972</v>
          </cell>
        </row>
        <row r="7">
          <cell r="B7" t="str">
            <v>COGS - PBM</v>
          </cell>
          <cell r="AP7">
            <v>188.04599999999999</v>
          </cell>
          <cell r="AQ7">
            <v>272.654</v>
          </cell>
          <cell r="AR7">
            <v>241.63300000000001</v>
          </cell>
          <cell r="AS7">
            <v>702.33299999999997</v>
          </cell>
          <cell r="AT7">
            <v>238.97200000000001</v>
          </cell>
          <cell r="AU7">
            <v>259.37599999999998</v>
          </cell>
          <cell r="AV7">
            <v>321.23399999999998</v>
          </cell>
          <cell r="AW7">
            <v>378.149</v>
          </cell>
          <cell r="AX7">
            <v>1197.7309999999998</v>
          </cell>
          <cell r="AY7">
            <v>389.166</v>
          </cell>
          <cell r="AZ7">
            <v>412.68099999999998</v>
          </cell>
          <cell r="BA7">
            <v>423.77300000000002</v>
          </cell>
          <cell r="BB7">
            <v>456.32400000000001</v>
          </cell>
          <cell r="BC7">
            <v>1681.944</v>
          </cell>
          <cell r="BD7">
            <v>1020.188</v>
          </cell>
          <cell r="BE7">
            <v>1122.501</v>
          </cell>
          <cell r="BF7">
            <v>1188.1969999999999</v>
          </cell>
          <cell r="BG7">
            <v>1271.7760000000001</v>
          </cell>
          <cell r="BH7">
            <v>4602.6619999999994</v>
          </cell>
          <cell r="BI7">
            <v>1590.1890000000001</v>
          </cell>
          <cell r="BJ7">
            <v>1564.414</v>
          </cell>
          <cell r="BK7">
            <v>2940.06</v>
          </cell>
          <cell r="BL7">
            <v>3046.3649999999998</v>
          </cell>
          <cell r="BM7">
            <v>9141.0280000000002</v>
          </cell>
          <cell r="BN7">
            <v>2954.1010000000001</v>
          </cell>
          <cell r="BO7">
            <v>3135.2109999999998</v>
          </cell>
          <cell r="BP7">
            <v>3310.636</v>
          </cell>
          <cell r="BQ7">
            <v>3555.4080603416451</v>
          </cell>
          <cell r="BR7">
            <v>12955.356060341644</v>
          </cell>
          <cell r="BS7">
            <v>4036.4831638125838</v>
          </cell>
          <cell r="BT7">
            <v>4621.1670645232953</v>
          </cell>
          <cell r="BU7">
            <v>4664.3836040122133</v>
          </cell>
          <cell r="BV7">
            <v>5061.2048513792215</v>
          </cell>
          <cell r="BW7">
            <v>18383.238683727315</v>
          </cell>
          <cell r="BX7">
            <v>4436.041512348942</v>
          </cell>
          <cell r="BY7">
            <v>5195.3587607273885</v>
          </cell>
          <cell r="BZ7">
            <v>5382.4867639658132</v>
          </cell>
          <cell r="CA7">
            <v>5837.6544958865688</v>
          </cell>
          <cell r="CB7">
            <v>20851.541532928713</v>
          </cell>
          <cell r="CC7">
            <v>5643.4692445987657</v>
          </cell>
          <cell r="CD7">
            <v>6333.437417983705</v>
          </cell>
          <cell r="CE7">
            <v>6499.5921118787992</v>
          </cell>
          <cell r="CF7">
            <v>6486.0334067252807</v>
          </cell>
          <cell r="CG7">
            <v>24962.532181186551</v>
          </cell>
        </row>
        <row r="8">
          <cell r="B8" t="str">
            <v>Gross profit - PBM</v>
          </cell>
          <cell r="AP8">
            <v>16.814000000000021</v>
          </cell>
          <cell r="AQ8">
            <v>24.524000000000001</v>
          </cell>
          <cell r="AR8">
            <v>28.169000000000011</v>
          </cell>
          <cell r="AS8">
            <v>69.507000000000033</v>
          </cell>
          <cell r="AT8">
            <v>28.807999999999964</v>
          </cell>
          <cell r="AU8">
            <v>34.53000000000003</v>
          </cell>
          <cell r="AV8">
            <v>36.239000000000033</v>
          </cell>
          <cell r="AW8">
            <v>38.653999999999996</v>
          </cell>
          <cell r="AX8">
            <v>138.23100000000002</v>
          </cell>
          <cell r="AY8">
            <v>38.336000000000013</v>
          </cell>
          <cell r="AZ8">
            <v>38.614000000000033</v>
          </cell>
          <cell r="BA8">
            <v>39.268999999999949</v>
          </cell>
          <cell r="BB8">
            <v>43.437000000000012</v>
          </cell>
          <cell r="BC8">
            <v>159.65600000000001</v>
          </cell>
          <cell r="BD8">
            <v>51.735000000000014</v>
          </cell>
          <cell r="BE8">
            <v>60.355000000000018</v>
          </cell>
          <cell r="BF8">
            <v>68.172000000000025</v>
          </cell>
          <cell r="BG8">
            <v>76.317999999999984</v>
          </cell>
          <cell r="BH8">
            <v>256.58000000000004</v>
          </cell>
          <cell r="BI8">
            <v>90.955999999999904</v>
          </cell>
          <cell r="BJ8">
            <v>96.714999999999918</v>
          </cell>
          <cell r="BK8">
            <v>210.69500000000016</v>
          </cell>
          <cell r="BL8">
            <v>245.69100000000026</v>
          </cell>
          <cell r="BM8">
            <v>644.05700000000024</v>
          </cell>
          <cell r="BN8">
            <v>227.45199999999977</v>
          </cell>
          <cell r="BO8">
            <v>246.98400000000038</v>
          </cell>
          <cell r="BP8">
            <v>268.13099999999986</v>
          </cell>
          <cell r="BQ8">
            <v>274.37036488159788</v>
          </cell>
          <cell r="BR8">
            <v>1016.9373648815979</v>
          </cell>
          <cell r="BS8">
            <v>252.74616474721876</v>
          </cell>
          <cell r="BT8">
            <v>301.58114020325161</v>
          </cell>
          <cell r="BU8">
            <v>285.23497895133636</v>
          </cell>
          <cell r="BV8">
            <v>341.95584501252677</v>
          </cell>
          <cell r="BW8">
            <v>1181.5181289143334</v>
          </cell>
          <cell r="BX8">
            <v>295.941109526513</v>
          </cell>
          <cell r="BY8">
            <v>353.6287928296037</v>
          </cell>
          <cell r="BZ8">
            <v>335.41538145328752</v>
          </cell>
          <cell r="CA8">
            <v>403.73947225215477</v>
          </cell>
          <cell r="CB8">
            <v>1388.724756061559</v>
          </cell>
          <cell r="CC8">
            <v>378.45345238343407</v>
          </cell>
          <cell r="CD8">
            <v>419.25529261597393</v>
          </cell>
          <cell r="CE8">
            <v>390.28984979049676</v>
          </cell>
          <cell r="CF8">
            <v>408.94599970051598</v>
          </cell>
          <cell r="CG8">
            <v>1596.944594490421</v>
          </cell>
        </row>
        <row r="10">
          <cell r="B10" t="str">
            <v>Generic Dispensing Rate</v>
          </cell>
        </row>
        <row r="11">
          <cell r="B11" t="str">
            <v>Generic dispensing rate - as stated</v>
          </cell>
          <cell r="AP11">
            <v>0.69</v>
          </cell>
          <cell r="AQ11">
            <v>0.69</v>
          </cell>
          <cell r="AR11">
            <v>0.69</v>
          </cell>
          <cell r="AS11">
            <v>0.69000000000000006</v>
          </cell>
          <cell r="AT11">
            <v>0.71</v>
          </cell>
          <cell r="AU11">
            <v>0.71</v>
          </cell>
          <cell r="AV11">
            <v>0.71</v>
          </cell>
          <cell r="AW11">
            <v>0.72</v>
          </cell>
          <cell r="AX11">
            <v>0.71289817232375963</v>
          </cell>
          <cell r="AY11">
            <v>0.73</v>
          </cell>
          <cell r="AZ11">
            <v>0.75</v>
          </cell>
          <cell r="BA11">
            <v>0.76</v>
          </cell>
          <cell r="BB11">
            <v>0.77</v>
          </cell>
          <cell r="BC11">
            <v>0.75285416666666671</v>
          </cell>
          <cell r="BD11">
            <v>0.77700000000000002</v>
          </cell>
          <cell r="BE11">
            <v>0.78110493357991984</v>
          </cell>
          <cell r="BF11">
            <v>0.78480509257459075</v>
          </cell>
          <cell r="BG11">
            <v>0.79122010423863132</v>
          </cell>
          <cell r="BH11">
            <v>0.78377207934142734</v>
          </cell>
          <cell r="BI11">
            <v>0.8</v>
          </cell>
          <cell r="BJ11">
            <v>0.81</v>
          </cell>
          <cell r="BK11">
            <v>0.83</v>
          </cell>
          <cell r="BL11">
            <v>0.83</v>
          </cell>
          <cell r="BM11">
            <v>0.82147310206133739</v>
          </cell>
          <cell r="BN11">
            <v>0.83</v>
          </cell>
          <cell r="BO11">
            <v>0.84</v>
          </cell>
          <cell r="BP11">
            <v>0.84</v>
          </cell>
          <cell r="BQ11">
            <v>0.84455836318038224</v>
          </cell>
          <cell r="BR11">
            <v>0.83884169517149465</v>
          </cell>
          <cell r="BS11">
            <v>0.86255053660109693</v>
          </cell>
          <cell r="BT11">
            <v>0.8698106308261202</v>
          </cell>
          <cell r="BU11">
            <v>0.8780202446341191</v>
          </cell>
          <cell r="BV11">
            <v>0.88014861319569249</v>
          </cell>
          <cell r="BW11">
            <v>0.87307082032768801</v>
          </cell>
          <cell r="BX11">
            <v>0.88273605080731199</v>
          </cell>
          <cell r="BY11">
            <v>0.8850727888853438</v>
          </cell>
          <cell r="BZ11">
            <v>0.88693802359989127</v>
          </cell>
          <cell r="CA11">
            <v>0.88966748572657228</v>
          </cell>
          <cell r="CB11">
            <v>0.88627097083376749</v>
          </cell>
          <cell r="CC11">
            <v>0.87423467870407268</v>
          </cell>
          <cell r="CD11">
            <v>0.87657141678210448</v>
          </cell>
          <cell r="CE11">
            <v>0.87843665149665195</v>
          </cell>
          <cell r="CF11">
            <v>0.88116611362333297</v>
          </cell>
          <cell r="CG11">
            <v>0.87765288209042402</v>
          </cell>
        </row>
        <row r="12">
          <cell r="B12" t="str">
            <v>Sequential Change</v>
          </cell>
          <cell r="AP12">
            <v>0.69</v>
          </cell>
          <cell r="AQ12">
            <v>0</v>
          </cell>
          <cell r="AR12">
            <v>0</v>
          </cell>
          <cell r="AT12">
            <v>2.0000000000000018E-2</v>
          </cell>
          <cell r="AU12">
            <v>0</v>
          </cell>
          <cell r="AV12">
            <v>0</v>
          </cell>
          <cell r="AW12">
            <v>1.0000000000000009E-2</v>
          </cell>
          <cell r="AY12">
            <v>1.0000000000000009E-2</v>
          </cell>
          <cell r="AZ12">
            <v>2.0000000000000018E-2</v>
          </cell>
          <cell r="BA12">
            <v>1.0000000000000009E-2</v>
          </cell>
          <cell r="BB12">
            <v>1.0000000000000009E-2</v>
          </cell>
          <cell r="BD12">
            <v>7.0000000000000062E-3</v>
          </cell>
          <cell r="BE12">
            <v>4.1049335799198117E-3</v>
          </cell>
          <cell r="BF12">
            <v>3.7001589946709101E-3</v>
          </cell>
          <cell r="BG12">
            <v>6.4150116640405708E-3</v>
          </cell>
          <cell r="BI12">
            <v>8.7798957613687278E-3</v>
          </cell>
          <cell r="BJ12">
            <v>1.0000000000000009E-2</v>
          </cell>
          <cell r="BK12">
            <v>1.9999999999999907E-2</v>
          </cell>
          <cell r="BL12">
            <v>0</v>
          </cell>
          <cell r="BN12">
            <v>0</v>
          </cell>
          <cell r="BO12">
            <v>1.8526897938662579E-2</v>
          </cell>
          <cell r="BP12">
            <v>1.0000000000000009E-2</v>
          </cell>
          <cell r="BQ12">
            <v>4.5583631803822701E-3</v>
          </cell>
          <cell r="BS12">
            <v>1.7992173420714672E-2</v>
          </cell>
          <cell r="BT12">
            <v>7.2600942250232725E-3</v>
          </cell>
          <cell r="BU12">
            <v>8.2096138079988945E-3</v>
          </cell>
          <cell r="BV12">
            <v>2.1283685615733905E-3</v>
          </cell>
          <cell r="BX12">
            <v>2.587437611619503E-3</v>
          </cell>
          <cell r="BY12">
            <v>2.3367380780318081E-3</v>
          </cell>
          <cell r="BZ12">
            <v>1.8652347145474701E-3</v>
          </cell>
          <cell r="CA12">
            <v>2.7294621266810148E-3</v>
          </cell>
          <cell r="CC12">
            <v>2.587437611619503E-3</v>
          </cell>
          <cell r="CD12">
            <v>2.3367380780318081E-3</v>
          </cell>
          <cell r="CE12">
            <v>1.8652347145474701E-3</v>
          </cell>
          <cell r="CF12">
            <v>2.7294621266810148E-3</v>
          </cell>
        </row>
        <row r="13">
          <cell r="B13" t="str">
            <v>Y/Y Change</v>
          </cell>
          <cell r="AP13">
            <v>0.69</v>
          </cell>
          <cell r="AQ13">
            <v>0.69</v>
          </cell>
          <cell r="AR13">
            <v>0.69</v>
          </cell>
          <cell r="AS13">
            <v>0.69000000000000006</v>
          </cell>
          <cell r="AT13">
            <v>0.71</v>
          </cell>
          <cell r="AU13">
            <v>2.0000000000000018E-2</v>
          </cell>
          <cell r="AV13">
            <v>2.0000000000000018E-2</v>
          </cell>
          <cell r="AW13">
            <v>3.0000000000000027E-2</v>
          </cell>
          <cell r="AX13">
            <v>2.2898172323759569E-2</v>
          </cell>
          <cell r="AY13">
            <v>2.0000000000000018E-2</v>
          </cell>
          <cell r="AZ13">
            <v>4.0000000000000036E-2</v>
          </cell>
          <cell r="BA13">
            <v>5.0000000000000044E-2</v>
          </cell>
          <cell r="BB13">
            <v>5.0000000000000044E-2</v>
          </cell>
          <cell r="BC13">
            <v>3.9955994342907086E-2</v>
          </cell>
          <cell r="BD13">
            <v>4.7000000000000042E-2</v>
          </cell>
          <cell r="BE13">
            <v>3.1104933579919836E-2</v>
          </cell>
          <cell r="BF13">
            <v>2.4805092574590737E-2</v>
          </cell>
          <cell r="BG13">
            <v>2.1220104238631299E-2</v>
          </cell>
          <cell r="BH13">
            <v>3.0917912674760628E-2</v>
          </cell>
          <cell r="BI13">
            <v>2.300000000000002E-2</v>
          </cell>
          <cell r="BJ13">
            <v>2.8895066420080218E-2</v>
          </cell>
          <cell r="BK13">
            <v>4.5194907425409214E-2</v>
          </cell>
          <cell r="BL13">
            <v>3.8779895761368643E-2</v>
          </cell>
          <cell r="BM13">
            <v>3.7701022719910049E-2</v>
          </cell>
          <cell r="BN13">
            <v>2.9999999999999916E-2</v>
          </cell>
          <cell r="BO13">
            <v>2.9999999999999916E-2</v>
          </cell>
          <cell r="BP13">
            <v>1.0000000000000009E-2</v>
          </cell>
          <cell r="BQ13">
            <v>1.4558363180382283E-2</v>
          </cell>
          <cell r="BR13">
            <v>1.736859311015726E-2</v>
          </cell>
          <cell r="BS13">
            <v>3.2550536601096969E-2</v>
          </cell>
          <cell r="BT13">
            <v>2.9810630826120232E-2</v>
          </cell>
          <cell r="BU13">
            <v>3.8020244634119127E-2</v>
          </cell>
          <cell r="BV13">
            <v>3.5590250015310243E-2</v>
          </cell>
          <cell r="BW13">
            <v>3.4229125156193363E-2</v>
          </cell>
          <cell r="BX13">
            <v>2.0185514206215061E-2</v>
          </cell>
          <cell r="BY13">
            <v>1.5262158059223596E-2</v>
          </cell>
          <cell r="BZ13">
            <v>8.9177789657721718E-3</v>
          </cell>
          <cell r="CA13">
            <v>9.5188725308797961E-3</v>
          </cell>
          <cell r="CB13">
            <v>1.3200150506079478E-2</v>
          </cell>
          <cell r="CC13">
            <v>9.5188725308797961E-3</v>
          </cell>
          <cell r="CD13">
            <v>9.5188725308797961E-3</v>
          </cell>
          <cell r="CE13">
            <v>9.5188725308797961E-3</v>
          </cell>
          <cell r="CF13">
            <v>9.5188725308797961E-3</v>
          </cell>
          <cell r="CG13">
            <v>9.5188725308797961E-3</v>
          </cell>
        </row>
        <row r="14">
          <cell r="B14" t="str">
            <v>Branded utilization rate</v>
          </cell>
          <cell r="AP14">
            <v>0.31000000000000005</v>
          </cell>
          <cell r="AQ14">
            <v>0.31000000000000005</v>
          </cell>
          <cell r="AR14">
            <v>0.31000000000000005</v>
          </cell>
          <cell r="AS14">
            <v>0.30999999999999994</v>
          </cell>
          <cell r="AT14">
            <v>0.29000000000000004</v>
          </cell>
          <cell r="AU14">
            <v>0.29000000000000004</v>
          </cell>
          <cell r="AV14">
            <v>0.29000000000000004</v>
          </cell>
          <cell r="AW14">
            <v>0.28000000000000003</v>
          </cell>
          <cell r="AX14">
            <v>0.28710182767624037</v>
          </cell>
          <cell r="AY14">
            <v>0.27</v>
          </cell>
          <cell r="AZ14">
            <v>0.25</v>
          </cell>
          <cell r="BA14">
            <v>0.24</v>
          </cell>
          <cell r="BB14">
            <v>0.22999999999999998</v>
          </cell>
          <cell r="BC14">
            <v>0.24714583333333329</v>
          </cell>
          <cell r="BD14">
            <v>0.22299999999999998</v>
          </cell>
          <cell r="BE14">
            <v>0.21889506642008016</v>
          </cell>
          <cell r="BF14">
            <v>0.21519490742540925</v>
          </cell>
          <cell r="BG14">
            <v>0.20877989576136868</v>
          </cell>
          <cell r="BH14">
            <v>0.21622792065857266</v>
          </cell>
          <cell r="BI14">
            <v>0.19999999999999996</v>
          </cell>
          <cell r="BJ14">
            <v>0.18999999999999995</v>
          </cell>
          <cell r="BK14">
            <v>0.17000000000000004</v>
          </cell>
          <cell r="BL14">
            <v>0.17000000000000004</v>
          </cell>
          <cell r="BM14">
            <v>0.17852689793866261</v>
          </cell>
          <cell r="BN14">
            <v>0.17000000000000004</v>
          </cell>
          <cell r="BO14">
            <v>0.16000000000000003</v>
          </cell>
          <cell r="BP14">
            <v>0.16000000000000003</v>
          </cell>
          <cell r="BQ14">
            <v>0.15544163681961776</v>
          </cell>
          <cell r="BR14">
            <v>0.16115830482850535</v>
          </cell>
          <cell r="BS14">
            <v>0.13744946339890307</v>
          </cell>
          <cell r="BT14">
            <v>0.1301893691738798</v>
          </cell>
          <cell r="BU14">
            <v>0.1219797553658809</v>
          </cell>
          <cell r="BV14">
            <v>0.11985138680430751</v>
          </cell>
          <cell r="BW14">
            <v>0.12692917967231199</v>
          </cell>
          <cell r="BX14">
            <v>0.11726394919268801</v>
          </cell>
          <cell r="BY14">
            <v>0.1149272111146562</v>
          </cell>
          <cell r="BZ14">
            <v>0.11306197640010873</v>
          </cell>
          <cell r="CA14">
            <v>0.11033251427342772</v>
          </cell>
          <cell r="CB14">
            <v>0.11372902916623251</v>
          </cell>
          <cell r="CC14">
            <v>0.12576532129592732</v>
          </cell>
          <cell r="CD14">
            <v>0.12342858321789552</v>
          </cell>
          <cell r="CE14">
            <v>0.12156334850334805</v>
          </cell>
          <cell r="CF14">
            <v>0.11883388637666703</v>
          </cell>
          <cell r="CG14">
            <v>0.12234711790957598</v>
          </cell>
        </row>
        <row r="16">
          <cell r="B16" t="str">
            <v>Claim Mix by channel &amp; Product</v>
          </cell>
        </row>
        <row r="17">
          <cell r="B17" t="str">
            <v>Total Adjusted</v>
          </cell>
        </row>
        <row r="18">
          <cell r="B18" t="str">
            <v>Generic</v>
          </cell>
          <cell r="AP18">
            <v>4.968</v>
          </cell>
          <cell r="AQ18">
            <v>6.141</v>
          </cell>
          <cell r="AR18">
            <v>5.7959999999999994</v>
          </cell>
          <cell r="AS18">
            <v>16.905000000000001</v>
          </cell>
          <cell r="AT18">
            <v>5.9639999999999995</v>
          </cell>
          <cell r="AU18">
            <v>6.319</v>
          </cell>
          <cell r="AV18">
            <v>7.0289999999999999</v>
          </cell>
          <cell r="AW18">
            <v>7.9919999999999991</v>
          </cell>
          <cell r="AX18">
            <v>27.303999999999995</v>
          </cell>
          <cell r="AY18">
            <v>8.5409999999999986</v>
          </cell>
          <cell r="AZ18">
            <v>8.8500000000000014</v>
          </cell>
          <cell r="BA18">
            <v>9.0440000000000005</v>
          </cell>
          <cell r="BB18">
            <v>9.702</v>
          </cell>
          <cell r="BC18">
            <v>36.137</v>
          </cell>
          <cell r="BD18">
            <v>16.5501</v>
          </cell>
          <cell r="BE18">
            <v>17.809192485622173</v>
          </cell>
          <cell r="BF18">
            <v>18.285958656987965</v>
          </cell>
          <cell r="BG18">
            <v>19.226648532998738</v>
          </cell>
          <cell r="BH18">
            <v>71.871899675608887</v>
          </cell>
          <cell r="BI18">
            <v>27.52</v>
          </cell>
          <cell r="BJ18">
            <v>26.892000000000003</v>
          </cell>
          <cell r="BK18">
            <v>53.12</v>
          </cell>
          <cell r="BL18">
            <v>55.859000000000009</v>
          </cell>
          <cell r="BM18">
            <v>163.39100000000002</v>
          </cell>
          <cell r="BN18">
            <v>55.112000000000002</v>
          </cell>
          <cell r="BO18">
            <v>57.12</v>
          </cell>
          <cell r="BP18">
            <v>58.379999999999995</v>
          </cell>
          <cell r="BQ18">
            <v>63.204710867875754</v>
          </cell>
          <cell r="BR18">
            <v>233.81671086787574</v>
          </cell>
          <cell r="BS18">
            <v>80.182697882437978</v>
          </cell>
          <cell r="BT18">
            <v>88.720684344264257</v>
          </cell>
          <cell r="BU18">
            <v>91.533610503106914</v>
          </cell>
          <cell r="BV18">
            <v>98.802299005677071</v>
          </cell>
          <cell r="BW18">
            <v>359.23929173548623</v>
          </cell>
          <cell r="BX18">
            <v>90.265057611352503</v>
          </cell>
          <cell r="BY18">
            <v>99.305166912935576</v>
          </cell>
          <cell r="BZ18">
            <v>101.70961785631754</v>
          </cell>
          <cell r="CA18">
            <v>109.85793851716942</v>
          </cell>
          <cell r="CB18">
            <v>401.13778089777503</v>
          </cell>
          <cell r="CC18">
            <v>100.9741053903204</v>
          </cell>
          <cell r="CD18">
            <v>102.45892662199307</v>
          </cell>
          <cell r="CE18">
            <v>102.47402758034195</v>
          </cell>
          <cell r="CF18">
            <v>107.79465880769969</v>
          </cell>
          <cell r="CG18">
            <v>413.70171840035511</v>
          </cell>
        </row>
        <row r="19">
          <cell r="B19" t="str">
            <v>Brand</v>
          </cell>
          <cell r="AP19">
            <v>2.2320000000000007</v>
          </cell>
          <cell r="AQ19">
            <v>2.7590000000000008</v>
          </cell>
          <cell r="AR19">
            <v>2.6040000000000005</v>
          </cell>
          <cell r="AS19">
            <v>7.5950000000000024</v>
          </cell>
          <cell r="AT19">
            <v>2.4360000000000004</v>
          </cell>
          <cell r="AU19">
            <v>2.5810000000000004</v>
          </cell>
          <cell r="AV19">
            <v>2.8710000000000004</v>
          </cell>
          <cell r="AW19">
            <v>3.1080000000000001</v>
          </cell>
          <cell r="AX19">
            <v>10.996000000000002</v>
          </cell>
          <cell r="AY19">
            <v>3.1589999999999998</v>
          </cell>
          <cell r="AZ19">
            <v>2.95</v>
          </cell>
          <cell r="BA19">
            <v>2.8559999999999999</v>
          </cell>
          <cell r="BB19">
            <v>2.8979999999999997</v>
          </cell>
          <cell r="BC19">
            <v>11.863</v>
          </cell>
          <cell r="BD19">
            <v>4.7498999999999993</v>
          </cell>
          <cell r="BE19">
            <v>4.9908075143778277</v>
          </cell>
          <cell r="BF19">
            <v>5.0140413430120354</v>
          </cell>
          <cell r="BG19">
            <v>5.0733514670012587</v>
          </cell>
          <cell r="BH19">
            <v>19.828100324391123</v>
          </cell>
          <cell r="BI19">
            <v>6.8799999999999981</v>
          </cell>
          <cell r="BJ19">
            <v>6.3079999999999989</v>
          </cell>
          <cell r="BK19">
            <v>10.880000000000003</v>
          </cell>
          <cell r="BL19">
            <v>11.441000000000004</v>
          </cell>
          <cell r="BM19">
            <v>35.509</v>
          </cell>
          <cell r="BN19">
            <v>11.288000000000004</v>
          </cell>
          <cell r="BO19">
            <v>10.880000000000003</v>
          </cell>
          <cell r="BP19">
            <v>11.120000000000003</v>
          </cell>
          <cell r="BQ19">
            <v>11.63287718212427</v>
          </cell>
          <cell r="BR19">
            <v>44.920877182124279</v>
          </cell>
          <cell r="BS19">
            <v>12.77730211756203</v>
          </cell>
          <cell r="BT19">
            <v>13.27931565573574</v>
          </cell>
          <cell r="BU19">
            <v>12.716389496893084</v>
          </cell>
          <cell r="BV19">
            <v>13.454083069322962</v>
          </cell>
          <cell r="BW19">
            <v>52.227090339513815</v>
          </cell>
          <cell r="BX19">
            <v>11.990942388647507</v>
          </cell>
          <cell r="BY19">
            <v>12.894833087064427</v>
          </cell>
          <cell r="BZ19">
            <v>12.96538214368247</v>
          </cell>
          <cell r="CA19">
            <v>13.624081765330628</v>
          </cell>
          <cell r="CB19">
            <v>51.475239384725036</v>
          </cell>
          <cell r="CC19">
            <v>14.525894609679607</v>
          </cell>
          <cell r="CD19">
            <v>14.427073378006936</v>
          </cell>
          <cell r="CE19">
            <v>14.180972419658069</v>
          </cell>
          <cell r="CF19">
            <v>14.537166192300317</v>
          </cell>
          <cell r="CG19">
            <v>57.671106599644929</v>
          </cell>
        </row>
        <row r="20">
          <cell r="B20" t="str">
            <v>CHSI Scripts</v>
          </cell>
          <cell r="N20">
            <v>0.5</v>
          </cell>
          <cell r="O20">
            <v>0.5</v>
          </cell>
          <cell r="P20">
            <v>2</v>
          </cell>
          <cell r="Q20">
            <v>2</v>
          </cell>
          <cell r="R20">
            <v>2.2000000000000002</v>
          </cell>
          <cell r="S20">
            <v>2.2999999999999998</v>
          </cell>
          <cell r="T20">
            <v>8.5</v>
          </cell>
          <cell r="U20">
            <v>2.4</v>
          </cell>
          <cell r="V20">
            <v>2.6</v>
          </cell>
          <cell r="W20">
            <v>3.7</v>
          </cell>
          <cell r="X20">
            <v>3.9</v>
          </cell>
          <cell r="Y20">
            <v>12.6</v>
          </cell>
          <cell r="Z20">
            <v>4.3</v>
          </cell>
          <cell r="AA20">
            <v>4.4000000000000004</v>
          </cell>
          <cell r="AB20">
            <v>4.0999999999999996</v>
          </cell>
          <cell r="AC20">
            <v>4.2</v>
          </cell>
          <cell r="AD20">
            <v>17</v>
          </cell>
          <cell r="AE20">
            <v>5.5</v>
          </cell>
          <cell r="AF20">
            <v>5.9</v>
          </cell>
          <cell r="AG20">
            <v>8.6</v>
          </cell>
          <cell r="AH20">
            <v>9</v>
          </cell>
          <cell r="AI20">
            <v>29</v>
          </cell>
          <cell r="AJ20">
            <v>9.6999999999999993</v>
          </cell>
          <cell r="AK20">
            <v>9.6</v>
          </cell>
          <cell r="AL20">
            <v>11.505000000000001</v>
          </cell>
          <cell r="AM20">
            <v>12.275</v>
          </cell>
          <cell r="AN20">
            <v>44.301000000000002</v>
          </cell>
          <cell r="AO20">
            <v>13.644</v>
          </cell>
          <cell r="AP20">
            <v>13.266</v>
          </cell>
          <cell r="AQ20">
            <v>14.137</v>
          </cell>
          <cell r="AR20">
            <v>14.712999999999999</v>
          </cell>
          <cell r="AS20">
            <v>55.76</v>
          </cell>
          <cell r="AT20">
            <v>14.786</v>
          </cell>
          <cell r="AU20">
            <v>14.904</v>
          </cell>
          <cell r="AV20">
            <v>13.897</v>
          </cell>
          <cell r="AW20">
            <v>15.582000000000001</v>
          </cell>
          <cell r="AX20">
            <v>59.168999999999997</v>
          </cell>
          <cell r="AY20">
            <v>17.545000000000002</v>
          </cell>
          <cell r="AZ20">
            <v>17.838999999999999</v>
          </cell>
          <cell r="BA20">
            <v>18.704000000000001</v>
          </cell>
          <cell r="BB20">
            <v>24.638000000000002</v>
          </cell>
          <cell r="BC20">
            <v>78.725999999999999</v>
          </cell>
          <cell r="BD20">
            <v>22.698</v>
          </cell>
          <cell r="BE20">
            <v>26.042999999999999</v>
          </cell>
          <cell r="BF20">
            <v>30.395</v>
          </cell>
          <cell r="BG20">
            <v>32.057000000000002</v>
          </cell>
          <cell r="BH20">
            <v>111.193</v>
          </cell>
          <cell r="BI20">
            <v>30.658999999999999</v>
          </cell>
          <cell r="BJ20">
            <v>34.163670000000003</v>
          </cell>
          <cell r="BK20">
            <v>33.535899999999998</v>
          </cell>
          <cell r="BL20">
            <v>34.61177</v>
          </cell>
          <cell r="BM20">
            <v>132.97033999999999</v>
          </cell>
          <cell r="BN20">
            <v>33.102356940137874</v>
          </cell>
          <cell r="BO20">
            <v>36.886330236637868</v>
          </cell>
          <cell r="BP20">
            <v>36.218772000000001</v>
          </cell>
          <cell r="BQ20">
            <v>37.899888150000002</v>
          </cell>
          <cell r="BR20">
            <v>144.10734732677574</v>
          </cell>
          <cell r="BS20">
            <v>46.343299716193023</v>
          </cell>
          <cell r="BT20">
            <v>55.329495354956805</v>
          </cell>
          <cell r="BU20">
            <v>54.328158000000002</v>
          </cell>
          <cell r="BV20">
            <v>56.849832225</v>
          </cell>
          <cell r="BW20">
            <v>212.85078529614984</v>
          </cell>
          <cell r="BX20">
            <v>50.977629687812332</v>
          </cell>
          <cell r="BY20">
            <v>60.862444890452487</v>
          </cell>
          <cell r="BZ20">
            <v>59.760973800000009</v>
          </cell>
          <cell r="CA20">
            <v>62.534815447500009</v>
          </cell>
          <cell r="CB20">
            <v>234.13586382576483</v>
          </cell>
          <cell r="CC20">
            <v>57.580154014848269</v>
          </cell>
          <cell r="CD20">
            <v>63.404347000583151</v>
          </cell>
          <cell r="CE20">
            <v>60.79281795194246</v>
          </cell>
          <cell r="CF20">
            <v>50.3405264352375</v>
          </cell>
          <cell r="CG20">
            <v>232.11784540261138</v>
          </cell>
        </row>
        <row r="21">
          <cell r="B21" t="str">
            <v>SXCI Scripts</v>
          </cell>
          <cell r="AP21">
            <v>7.2</v>
          </cell>
          <cell r="AQ21">
            <v>8.9</v>
          </cell>
          <cell r="AR21">
            <v>8.4</v>
          </cell>
          <cell r="AS21">
            <v>24.5</v>
          </cell>
          <cell r="AT21">
            <v>8.4</v>
          </cell>
          <cell r="AU21">
            <v>8.9</v>
          </cell>
          <cell r="AV21">
            <v>9.9</v>
          </cell>
          <cell r="AW21">
            <v>11.1</v>
          </cell>
          <cell r="AX21">
            <v>38.300000000000004</v>
          </cell>
          <cell r="AY21">
            <v>11.7</v>
          </cell>
          <cell r="AZ21">
            <v>11.8</v>
          </cell>
          <cell r="BA21">
            <v>11.9</v>
          </cell>
          <cell r="BB21">
            <v>12.6</v>
          </cell>
          <cell r="BC21">
            <v>48</v>
          </cell>
          <cell r="BD21">
            <v>21.3</v>
          </cell>
          <cell r="BE21">
            <v>22.8</v>
          </cell>
          <cell r="BF21">
            <v>23.3</v>
          </cell>
          <cell r="BG21">
            <v>24.299999999999997</v>
          </cell>
          <cell r="BH21">
            <v>91.7</v>
          </cell>
          <cell r="BI21">
            <v>34.4</v>
          </cell>
          <cell r="BJ21">
            <v>33.200000000000003</v>
          </cell>
          <cell r="BK21">
            <v>30.464100000000002</v>
          </cell>
          <cell r="BL21">
            <v>32.688230000000011</v>
          </cell>
          <cell r="BM21">
            <v>130.75233</v>
          </cell>
          <cell r="BN21">
            <v>33.297643059862132</v>
          </cell>
          <cell r="BO21">
            <v>31.113669763362132</v>
          </cell>
          <cell r="BP21">
            <v>33.281227999999999</v>
          </cell>
          <cell r="BQ21">
            <v>36.937699900000013</v>
          </cell>
          <cell r="BR21">
            <v>134.63024072322429</v>
          </cell>
          <cell r="BS21">
            <v>46.616700283806985</v>
          </cell>
          <cell r="BT21">
            <v>46.670504645043195</v>
          </cell>
          <cell r="BU21">
            <v>49.921841999999998</v>
          </cell>
          <cell r="BV21">
            <v>55.406549850000019</v>
          </cell>
          <cell r="BW21">
            <v>198.6155967788502</v>
          </cell>
          <cell r="BX21">
            <v>51.27837031218769</v>
          </cell>
          <cell r="BY21">
            <v>51.337555109547516</v>
          </cell>
          <cell r="BZ21">
            <v>54.914026200000002</v>
          </cell>
          <cell r="CA21">
            <v>60.947204835000022</v>
          </cell>
          <cell r="CB21">
            <v>218.4771564567352</v>
          </cell>
          <cell r="CC21">
            <v>57.919845985151753</v>
          </cell>
          <cell r="CD21">
            <v>53.481652999416866</v>
          </cell>
          <cell r="CE21">
            <v>55.862182048057569</v>
          </cell>
          <cell r="CF21">
            <v>71.991298564762488</v>
          </cell>
          <cell r="CG21">
            <v>239.25497959738868</v>
          </cell>
        </row>
        <row r="22">
          <cell r="B22" t="str">
            <v>Total Claims</v>
          </cell>
          <cell r="AP22">
            <v>7.2</v>
          </cell>
          <cell r="AQ22">
            <v>8.9</v>
          </cell>
          <cell r="AR22">
            <v>8.4</v>
          </cell>
          <cell r="AS22">
            <v>24.5</v>
          </cell>
          <cell r="AT22">
            <v>8.4</v>
          </cell>
          <cell r="AU22">
            <v>8.9</v>
          </cell>
          <cell r="AV22">
            <v>9.9</v>
          </cell>
          <cell r="AW22">
            <v>11.1</v>
          </cell>
          <cell r="AX22">
            <v>38.300000000000004</v>
          </cell>
          <cell r="AY22">
            <v>11.7</v>
          </cell>
          <cell r="AZ22">
            <v>11.8</v>
          </cell>
          <cell r="BA22">
            <v>11.9</v>
          </cell>
          <cell r="BB22">
            <v>12.6</v>
          </cell>
          <cell r="BC22">
            <v>48</v>
          </cell>
          <cell r="BD22">
            <v>21.3</v>
          </cell>
          <cell r="BE22">
            <v>22.8</v>
          </cell>
          <cell r="BF22">
            <v>23.3</v>
          </cell>
          <cell r="BG22">
            <v>24.299999999999997</v>
          </cell>
          <cell r="BH22">
            <v>91.7</v>
          </cell>
          <cell r="BI22">
            <v>34.4</v>
          </cell>
          <cell r="BJ22">
            <v>33.200000000000003</v>
          </cell>
          <cell r="BK22">
            <v>64</v>
          </cell>
          <cell r="BL22">
            <v>67.300000000000011</v>
          </cell>
          <cell r="BM22">
            <v>198.9</v>
          </cell>
          <cell r="BN22">
            <v>66.400000000000006</v>
          </cell>
          <cell r="BO22">
            <v>68</v>
          </cell>
          <cell r="BP22">
            <v>69.5</v>
          </cell>
          <cell r="BQ22">
            <v>74.837588050000022</v>
          </cell>
          <cell r="BR22">
            <v>278.73758805</v>
          </cell>
          <cell r="BS22">
            <v>92.960000000000008</v>
          </cell>
          <cell r="BT22">
            <v>102</v>
          </cell>
          <cell r="BU22">
            <v>104.25</v>
          </cell>
          <cell r="BV22">
            <v>112.25638207500003</v>
          </cell>
          <cell r="BW22">
            <v>411.46638207500007</v>
          </cell>
          <cell r="BX22">
            <v>102.25600000000001</v>
          </cell>
          <cell r="BY22">
            <v>112.2</v>
          </cell>
          <cell r="BZ22">
            <v>114.67500000000001</v>
          </cell>
          <cell r="CA22">
            <v>123.48202028250005</v>
          </cell>
          <cell r="CB22">
            <v>452.61302028250009</v>
          </cell>
          <cell r="CC22">
            <v>115.50000000000001</v>
          </cell>
          <cell r="CD22">
            <v>116.88600000000001</v>
          </cell>
          <cell r="CE22">
            <v>116.65500000000002</v>
          </cell>
          <cell r="CF22">
            <v>122.33182500000001</v>
          </cell>
          <cell r="CG22">
            <v>471.37282500000003</v>
          </cell>
        </row>
        <row r="24">
          <cell r="B24" t="str">
            <v xml:space="preserve">Y/Y Organic Growth - Claims </v>
          </cell>
        </row>
        <row r="25">
          <cell r="B25" t="str">
            <v>Generic</v>
          </cell>
          <cell r="AU25">
            <v>0.2719404186795491</v>
          </cell>
          <cell r="AV25">
            <v>0.14460185637518319</v>
          </cell>
          <cell r="AW25">
            <v>0.37888198757763969</v>
          </cell>
          <cell r="AX25">
            <v>0.61514344868382098</v>
          </cell>
          <cell r="AY25">
            <v>0.43209255533199187</v>
          </cell>
          <cell r="AZ25">
            <v>0.40053805981959201</v>
          </cell>
          <cell r="BA25">
            <v>0.28666951202162472</v>
          </cell>
          <cell r="BB25">
            <v>0.21396396396396411</v>
          </cell>
          <cell r="BC25">
            <v>0.32350571344857926</v>
          </cell>
          <cell r="BD25">
            <v>0.93772391991570103</v>
          </cell>
          <cell r="BE25">
            <v>1.0123381339686066</v>
          </cell>
          <cell r="BF25">
            <v>1.0218883963940693</v>
          </cell>
          <cell r="BG25">
            <v>0.98172011265705406</v>
          </cell>
          <cell r="BH25">
            <v>0.98887289137473733</v>
          </cell>
          <cell r="BI25">
            <v>0.66282983184391631</v>
          </cell>
          <cell r="BJ25">
            <v>0.51000670141055626</v>
          </cell>
          <cell r="BK25">
            <v>1.9049611779418645</v>
          </cell>
          <cell r="BL25">
            <v>1.9052905348599412</v>
          </cell>
          <cell r="BM25">
            <v>1.2733641484009626</v>
          </cell>
          <cell r="BN25">
            <v>1.0026162790697675</v>
          </cell>
          <cell r="BO25">
            <v>1.1240517626059789</v>
          </cell>
          <cell r="BP25">
            <v>9.9021084337349352E-2</v>
          </cell>
          <cell r="BQ25">
            <v>0.13150451794474916</v>
          </cell>
          <cell r="BR25">
            <v>0.4310256431986812</v>
          </cell>
          <cell r="BS25">
            <v>0.4549045195681154</v>
          </cell>
          <cell r="BT25">
            <v>0.55323326933235739</v>
          </cell>
          <cell r="BU25">
            <v>0.5678932939894985</v>
          </cell>
          <cell r="BV25">
            <v>0.56321099565213029</v>
          </cell>
          <cell r="BW25">
            <v>0.53641410146464596</v>
          </cell>
          <cell r="BX25">
            <v>0.125742335880205</v>
          </cell>
          <cell r="BY25">
            <v>0.11930118265995548</v>
          </cell>
          <cell r="BZ25">
            <v>0.11117235840779194</v>
          </cell>
          <cell r="CA25">
            <v>0.11189658158518245</v>
          </cell>
          <cell r="CB25">
            <v>0.11663114287938003</v>
          </cell>
          <cell r="CC25">
            <v>6.1558498278938334E-2</v>
          </cell>
          <cell r="CD25">
            <v>6.152734770653967E-2</v>
          </cell>
          <cell r="CE25">
            <v>6.1502602892209435E-2</v>
          </cell>
          <cell r="CF25">
            <v>6.1466583826843779E-2</v>
          </cell>
          <cell r="CG25">
            <v>6.1512987680893527E-2</v>
          </cell>
        </row>
        <row r="26">
          <cell r="B26" t="str">
            <v>Brand</v>
          </cell>
          <cell r="AU26">
            <v>0.15636200716845861</v>
          </cell>
          <cell r="AV26">
            <v>4.0594418267487997E-2</v>
          </cell>
          <cell r="AW26">
            <v>0.19354838709677402</v>
          </cell>
          <cell r="AX26">
            <v>0.44779460171165231</v>
          </cell>
          <cell r="AY26">
            <v>0.29679802955664991</v>
          </cell>
          <cell r="AZ26">
            <v>0.14296784192173573</v>
          </cell>
          <cell r="BA26">
            <v>-5.2246603970743655E-3</v>
          </cell>
          <cell r="BB26">
            <v>-6.7567567567567655E-2</v>
          </cell>
          <cell r="BC26">
            <v>7.8846853401236539E-2</v>
          </cell>
          <cell r="BD26">
            <v>0.50360873694207009</v>
          </cell>
          <cell r="BE26">
            <v>0.69179915741621256</v>
          </cell>
          <cell r="BF26">
            <v>0.75561671674090891</v>
          </cell>
          <cell r="BG26">
            <v>0.75063887750215996</v>
          </cell>
          <cell r="BH26">
            <v>0.67142378187567431</v>
          </cell>
          <cell r="BI26">
            <v>0.44845154634834405</v>
          </cell>
          <cell r="BJ26">
            <v>0.26392372012495402</v>
          </cell>
          <cell r="BK26">
            <v>1.1699063202107878</v>
          </cell>
          <cell r="BL26">
            <v>1.255116775255178</v>
          </cell>
          <cell r="BM26">
            <v>0.79084226017957682</v>
          </cell>
          <cell r="BN26">
            <v>0.6406976744186057</v>
          </cell>
          <cell r="BO26">
            <v>0.72479391249207414</v>
          </cell>
          <cell r="BP26">
            <v>2.2058823529411686E-2</v>
          </cell>
          <cell r="BQ26">
            <v>1.6771014957107422E-2</v>
          </cell>
          <cell r="BR26">
            <v>0.26505610358287424</v>
          </cell>
          <cell r="BS26">
            <v>0.13193675740273081</v>
          </cell>
          <cell r="BT26">
            <v>0.22052533600512292</v>
          </cell>
          <cell r="BU26">
            <v>0.14356020655513313</v>
          </cell>
          <cell r="BV26">
            <v>0.1565567880315335</v>
          </cell>
          <cell r="BW26">
            <v>0.16264627085904171</v>
          </cell>
          <cell r="BX26">
            <v>-6.1543487168053579E-2</v>
          </cell>
          <cell r="BY26">
            <v>-2.8953492682828319E-2</v>
          </cell>
          <cell r="BZ26">
            <v>1.9580451420603273E-2</v>
          </cell>
          <cell r="CA26">
            <v>1.2635472453361274E-2</v>
          </cell>
          <cell r="CB26">
            <v>-1.4395803976465227E-2</v>
          </cell>
          <cell r="CC26">
            <v>-2.3880147227098081E-2</v>
          </cell>
          <cell r="CD26">
            <v>-2.5178694478445118E-2</v>
          </cell>
          <cell r="CE26">
            <v>-2.624844985510244E-2</v>
          </cell>
          <cell r="CF26">
            <v>-2.7869897324319215E-2</v>
          </cell>
          <cell r="CG26">
            <v>-2.5795253378367855E-2</v>
          </cell>
        </row>
        <row r="27">
          <cell r="B27" t="str">
            <v>Total adjusted claims - CHSI</v>
          </cell>
          <cell r="AT27">
            <v>8.3699794781588954E-2</v>
          </cell>
          <cell r="AU27">
            <v>0.12347354138398914</v>
          </cell>
          <cell r="AV27">
            <v>-1.6976727735729003E-2</v>
          </cell>
          <cell r="AW27">
            <v>5.9063413307959056E-2</v>
          </cell>
          <cell r="AX27">
            <v>6.1137015781922432E-2</v>
          </cell>
          <cell r="AY27">
            <v>0.1865954281076696</v>
          </cell>
          <cell r="AZ27">
            <v>0.19692699946323122</v>
          </cell>
          <cell r="BA27">
            <v>0.34590199323595017</v>
          </cell>
          <cell r="BB27">
            <v>0.58118341676293173</v>
          </cell>
          <cell r="BC27">
            <v>0.33052781017086663</v>
          </cell>
          <cell r="BD27">
            <v>0.29370190937589036</v>
          </cell>
          <cell r="BE27">
            <v>0.45989124950950178</v>
          </cell>
          <cell r="BF27">
            <v>0.62505346449957222</v>
          </cell>
          <cell r="BG27">
            <v>0.30112022079714262</v>
          </cell>
          <cell r="BH27">
            <v>0.41240505042806697</v>
          </cell>
          <cell r="BI27">
            <v>0.350735747642964</v>
          </cell>
          <cell r="BJ27">
            <v>0.31181776293053809</v>
          </cell>
          <cell r="BK27">
            <v>0.10333607501233755</v>
          </cell>
          <cell r="BL27">
            <v>7.9694606482203501E-2</v>
          </cell>
          <cell r="BM27">
            <v>0.19585171728436146</v>
          </cell>
          <cell r="BN27">
            <v>7.9694606482203501E-2</v>
          </cell>
          <cell r="BO27">
            <v>7.9694606482203501E-2</v>
          </cell>
          <cell r="BP27">
            <v>0.08</v>
          </cell>
          <cell r="BQ27">
            <v>9.5000000000000001E-2</v>
          </cell>
          <cell r="BR27">
            <v>8.3755575316839526E-2</v>
          </cell>
          <cell r="BS27">
            <v>0.4</v>
          </cell>
          <cell r="BT27">
            <v>0.5</v>
          </cell>
          <cell r="BU27">
            <v>0.5</v>
          </cell>
          <cell r="BV27">
            <v>0.5</v>
          </cell>
          <cell r="BW27">
            <v>0.47702937597964712</v>
          </cell>
          <cell r="BX27">
            <v>0.1</v>
          </cell>
          <cell r="BY27">
            <v>0.1</v>
          </cell>
          <cell r="BZ27">
            <v>0.1</v>
          </cell>
          <cell r="CA27">
            <v>0.1</v>
          </cell>
          <cell r="CB27">
            <v>0.10000000000000009</v>
          </cell>
          <cell r="CC27">
            <v>0.05</v>
          </cell>
          <cell r="CD27">
            <v>0.05</v>
          </cell>
          <cell r="CE27">
            <v>0.05</v>
          </cell>
          <cell r="CF27">
            <v>0.05</v>
          </cell>
          <cell r="CG27">
            <v>5.0000000000000044E-2</v>
          </cell>
        </row>
        <row r="28">
          <cell r="B28" t="str">
            <v>Total adjusted claims - SXCI</v>
          </cell>
          <cell r="AT28" t="e">
            <v>#DIV/0!</v>
          </cell>
          <cell r="AU28">
            <v>0.23611111111111116</v>
          </cell>
          <cell r="AV28">
            <v>0.11235955056179781</v>
          </cell>
          <cell r="AW28">
            <v>0.3214285714285714</v>
          </cell>
          <cell r="AX28">
            <v>0.56326530612244907</v>
          </cell>
          <cell r="AY28">
            <v>0.39285714285714279</v>
          </cell>
          <cell r="AZ28">
            <v>0.32584269662921361</v>
          </cell>
          <cell r="BA28">
            <v>0.20202020202020199</v>
          </cell>
          <cell r="BB28">
            <v>0.13513513513513509</v>
          </cell>
          <cell r="BC28">
            <v>0.25326370757180139</v>
          </cell>
          <cell r="BD28">
            <v>0.82051282051282071</v>
          </cell>
          <cell r="BE28">
            <v>0.93220338983050843</v>
          </cell>
          <cell r="BF28">
            <v>0.95798319327731085</v>
          </cell>
          <cell r="BG28">
            <v>0.92857142857142838</v>
          </cell>
          <cell r="BH28">
            <v>0.91041666666666665</v>
          </cell>
          <cell r="BI28">
            <v>0.61502347417840353</v>
          </cell>
          <cell r="BJ28">
            <v>0.31181776293053809</v>
          </cell>
          <cell r="BK28">
            <v>0.10333607501233755</v>
          </cell>
          <cell r="BL28">
            <v>0.315</v>
          </cell>
          <cell r="BM28">
            <v>0.4258705561613958</v>
          </cell>
          <cell r="BN28">
            <v>0.315</v>
          </cell>
          <cell r="BO28">
            <v>0.315</v>
          </cell>
          <cell r="BP28">
            <v>9.2473698550096461E-2</v>
          </cell>
          <cell r="BQ28">
            <v>0.13</v>
          </cell>
          <cell r="BR28">
            <v>2.965844450515176E-2</v>
          </cell>
          <cell r="BS28">
            <v>0.4</v>
          </cell>
          <cell r="BT28">
            <v>0.5</v>
          </cell>
          <cell r="BU28">
            <v>0.5</v>
          </cell>
          <cell r="BV28">
            <v>0.5</v>
          </cell>
          <cell r="BW28">
            <v>0.47526733750085448</v>
          </cell>
          <cell r="BX28">
            <v>0.1</v>
          </cell>
          <cell r="BY28">
            <v>0.1</v>
          </cell>
          <cell r="BZ28">
            <v>0.1</v>
          </cell>
          <cell r="CA28">
            <v>0.1</v>
          </cell>
          <cell r="CB28">
            <v>9.9999999999999867E-2</v>
          </cell>
          <cell r="CC28">
            <v>0.05</v>
          </cell>
          <cell r="CD28">
            <v>0.05</v>
          </cell>
          <cell r="CE28">
            <v>0.05</v>
          </cell>
          <cell r="CF28">
            <v>0.05</v>
          </cell>
          <cell r="CG28">
            <v>5.0000000000000044E-2</v>
          </cell>
        </row>
        <row r="29">
          <cell r="B29" t="str">
            <v>Total adjusted claims - as reported</v>
          </cell>
          <cell r="AU29">
            <v>0.23611111111111116</v>
          </cell>
          <cell r="AV29">
            <v>0.11235955056179781</v>
          </cell>
          <cell r="AW29">
            <v>0.3214285714285714</v>
          </cell>
          <cell r="AX29">
            <v>0.56326530612244907</v>
          </cell>
          <cell r="AY29">
            <v>0.39285714285714279</v>
          </cell>
          <cell r="AZ29">
            <v>0.32584269662921361</v>
          </cell>
          <cell r="BA29">
            <v>0.20202020202020199</v>
          </cell>
          <cell r="BB29">
            <v>0.13513513513513509</v>
          </cell>
          <cell r="BC29">
            <v>0.25326370757180139</v>
          </cell>
          <cell r="BD29">
            <v>0.82051282051282071</v>
          </cell>
          <cell r="BE29">
            <v>0.93220338983050843</v>
          </cell>
          <cell r="BF29">
            <v>0.95798319327731085</v>
          </cell>
          <cell r="BG29">
            <v>0.92857142857142838</v>
          </cell>
          <cell r="BH29">
            <v>0.91041666666666665</v>
          </cell>
          <cell r="BI29">
            <v>0.61502347417840353</v>
          </cell>
          <cell r="BJ29">
            <v>0.45614035087719307</v>
          </cell>
          <cell r="BK29">
            <v>1.7467811158798283</v>
          </cell>
          <cell r="BL29">
            <v>1.7695473251028813</v>
          </cell>
          <cell r="BM29">
            <v>1.1690294438386042</v>
          </cell>
          <cell r="BN29">
            <v>0.9302325581395352</v>
          </cell>
          <cell r="BO29">
            <v>1.0481927710843371</v>
          </cell>
          <cell r="BP29">
            <v>8.59375E-2</v>
          </cell>
          <cell r="BQ29">
            <v>0.11199982243685014</v>
          </cell>
          <cell r="BR29">
            <v>0.40139561613876307</v>
          </cell>
          <cell r="BS29">
            <v>0.4</v>
          </cell>
          <cell r="BT29">
            <v>0.5</v>
          </cell>
          <cell r="BU29">
            <v>0.5</v>
          </cell>
          <cell r="BV29">
            <v>0.5</v>
          </cell>
          <cell r="BW29">
            <v>0.47617831148481904</v>
          </cell>
          <cell r="BX29">
            <v>0.1</v>
          </cell>
          <cell r="BY29">
            <v>0.1</v>
          </cell>
          <cell r="BZ29">
            <v>0.1</v>
          </cell>
          <cell r="CA29">
            <v>0.1</v>
          </cell>
          <cell r="CB29">
            <v>0.10000000000000009</v>
          </cell>
          <cell r="CC29">
            <v>0.05</v>
          </cell>
          <cell r="CD29">
            <v>0.05</v>
          </cell>
          <cell r="CE29">
            <v>0.05</v>
          </cell>
          <cell r="CF29">
            <v>0.05</v>
          </cell>
          <cell r="CG29">
            <v>5.0000000000000044E-2</v>
          </cell>
        </row>
        <row r="30">
          <cell r="B30" t="str">
            <v>Revenues Mix by channel &amp; Product (IMS Market data)</v>
          </cell>
        </row>
        <row r="31">
          <cell r="B31" t="str">
            <v>Total - % generic sales</v>
          </cell>
          <cell r="AP31">
            <v>0.21279071955469919</v>
          </cell>
          <cell r="AQ31">
            <v>0.22736880823718941</v>
          </cell>
          <cell r="AR31">
            <v>0.2276780159485835</v>
          </cell>
          <cell r="AS31">
            <v>0.22360761111272659</v>
          </cell>
          <cell r="AT31">
            <v>0.22837365083882144</v>
          </cell>
          <cell r="AU31">
            <v>0.22708327134089834</v>
          </cell>
          <cell r="AV31">
            <v>0.2297570075944606</v>
          </cell>
          <cell r="AW31">
            <v>0.23898113459252512</v>
          </cell>
          <cell r="AX31">
            <v>0.23176932636236697</v>
          </cell>
          <cell r="AY31">
            <v>0.24324100159152362</v>
          </cell>
          <cell r="AZ31">
            <v>0.25153712583905452</v>
          </cell>
          <cell r="BA31">
            <v>0.26025898847342133</v>
          </cell>
          <cell r="BB31">
            <v>0.26206853992918733</v>
          </cell>
          <cell r="BC31">
            <v>0.25466221763258917</v>
          </cell>
          <cell r="BD31">
            <v>0.26492349473724808</v>
          </cell>
          <cell r="BE31">
            <v>0.26492349473724808</v>
          </cell>
          <cell r="BF31">
            <v>0.26677601122536526</v>
          </cell>
          <cell r="BG31">
            <v>0.2636190816386646</v>
          </cell>
          <cell r="BH31">
            <v>0.26504058559543897</v>
          </cell>
          <cell r="BI31">
            <v>0.26902186711972309</v>
          </cell>
          <cell r="BJ31">
            <v>0.27910068003384092</v>
          </cell>
          <cell r="BK31">
            <v>0.28164297908131858</v>
          </cell>
          <cell r="BL31">
            <v>0.29499999999999998</v>
          </cell>
          <cell r="BM31">
            <v>0.28353681386552698</v>
          </cell>
          <cell r="BN31">
            <v>0.28999999999999998</v>
          </cell>
          <cell r="BO31">
            <v>0.308523446832357</v>
          </cell>
          <cell r="BP31">
            <v>0.26808999999999999</v>
          </cell>
          <cell r="BQ31">
            <v>0.30988148593563652</v>
          </cell>
          <cell r="BR31">
            <v>0.29432164354349599</v>
          </cell>
          <cell r="BS31">
            <v>0.34425881656446988</v>
          </cell>
          <cell r="BT31">
            <v>0.36216674079922967</v>
          </cell>
          <cell r="BU31">
            <v>0.33431163609408587</v>
          </cell>
          <cell r="BV31">
            <v>0.37768669008365308</v>
          </cell>
          <cell r="BW31">
            <v>0.35547989265746227</v>
          </cell>
          <cell r="BX31">
            <v>0.38641402553734583</v>
          </cell>
          <cell r="BY31">
            <v>0.39558706674764865</v>
          </cell>
          <cell r="BZ31">
            <v>0.35372081932363753</v>
          </cell>
          <cell r="CA31">
            <v>0.39990335506254865</v>
          </cell>
          <cell r="CB31">
            <v>0.38408297239979489</v>
          </cell>
          <cell r="CC31">
            <v>0.36804576880287826</v>
          </cell>
          <cell r="CD31">
            <v>0.36220867230760151</v>
          </cell>
          <cell r="CE31">
            <v>0.32036009410031541</v>
          </cell>
          <cell r="CF31">
            <v>0.34085147667724897</v>
          </cell>
          <cell r="CG31">
            <v>0.34713161910828877</v>
          </cell>
        </row>
        <row r="32">
          <cell r="B32" t="str">
            <v>Total - % brand sales</v>
          </cell>
          <cell r="AP32">
            <v>0.78720928044530081</v>
          </cell>
          <cell r="AQ32">
            <v>0.77263119176281059</v>
          </cell>
          <cell r="AR32">
            <v>0.7723219840514165</v>
          </cell>
          <cell r="AS32">
            <v>0.77639238888727347</v>
          </cell>
          <cell r="AT32">
            <v>0.77162634916117856</v>
          </cell>
          <cell r="AU32">
            <v>0.77291672865910166</v>
          </cell>
          <cell r="AV32">
            <v>0.7702429924055394</v>
          </cell>
          <cell r="AW32">
            <v>0.76101886540747488</v>
          </cell>
          <cell r="AX32">
            <v>0.76823067363763298</v>
          </cell>
          <cell r="AY32">
            <v>0.75675899840847638</v>
          </cell>
          <cell r="AZ32">
            <v>0.74846287416094548</v>
          </cell>
          <cell r="BA32">
            <v>0.73974101152657867</v>
          </cell>
          <cell r="BB32">
            <v>0.73793146007081267</v>
          </cell>
          <cell r="BC32">
            <v>0.74533778236741077</v>
          </cell>
          <cell r="BD32">
            <v>0.73507650526275192</v>
          </cell>
          <cell r="BE32">
            <v>0.73507650526275192</v>
          </cell>
          <cell r="BF32">
            <v>0.73322398877463479</v>
          </cell>
          <cell r="BG32">
            <v>0.73638091836133546</v>
          </cell>
          <cell r="BH32">
            <v>0.73495941440456103</v>
          </cell>
          <cell r="BI32">
            <v>0.73097813288027691</v>
          </cell>
          <cell r="BJ32">
            <v>0.72089931996615908</v>
          </cell>
          <cell r="BK32">
            <v>0.71835702091868137</v>
          </cell>
          <cell r="BL32">
            <v>0.70500000000000007</v>
          </cell>
          <cell r="BM32">
            <v>0.71646318613447302</v>
          </cell>
          <cell r="BN32">
            <v>0.71</v>
          </cell>
          <cell r="BO32">
            <v>0.691476553167643</v>
          </cell>
          <cell r="BP32">
            <v>0.73191000000000006</v>
          </cell>
          <cell r="BQ32">
            <v>0.69011851406436353</v>
          </cell>
          <cell r="BR32">
            <v>0.70567835645650401</v>
          </cell>
          <cell r="BS32">
            <v>0.65574118343553012</v>
          </cell>
          <cell r="BT32">
            <v>0.63783325920077028</v>
          </cell>
          <cell r="BU32">
            <v>0.66568836390591413</v>
          </cell>
          <cell r="BV32">
            <v>0.62231330991634692</v>
          </cell>
          <cell r="BW32">
            <v>0.64452010734253773</v>
          </cell>
          <cell r="BX32">
            <v>0.61358597446265417</v>
          </cell>
          <cell r="BY32">
            <v>0.60441293325235135</v>
          </cell>
          <cell r="BZ32">
            <v>0.64627918067636247</v>
          </cell>
          <cell r="CA32">
            <v>0.60009664493745141</v>
          </cell>
          <cell r="CB32">
            <v>0.61591702760020506</v>
          </cell>
          <cell r="CC32">
            <v>0.6319542311971218</v>
          </cell>
          <cell r="CD32">
            <v>0.63779132769239855</v>
          </cell>
          <cell r="CE32">
            <v>0.67963990589968459</v>
          </cell>
          <cell r="CF32">
            <v>0.65914852332275098</v>
          </cell>
          <cell r="CG32">
            <v>0.65286838089171129</v>
          </cell>
        </row>
        <row r="34">
          <cell r="B34" t="str">
            <v>Revenue per claim - MS Estimates</v>
          </cell>
        </row>
        <row r="35">
          <cell r="B35" t="str">
            <v>Total</v>
          </cell>
        </row>
        <row r="36">
          <cell r="B36" t="str">
            <v>Generic</v>
          </cell>
          <cell r="AP36">
            <v>8.7746189227004194</v>
          </cell>
          <cell r="AQ36">
            <v>11.002932371651438</v>
          </cell>
          <cell r="AR36">
            <v>10.598340934948194</v>
          </cell>
          <cell r="AS36">
            <v>10.209364008355331</v>
          </cell>
          <cell r="AT36">
            <v>10.253839071364789</v>
          </cell>
          <cell r="AU36">
            <v>10.561977519657869</v>
          </cell>
          <cell r="AV36">
            <v>11.684724253210218</v>
          </cell>
          <cell r="AW36">
            <v>12.463470200396429</v>
          </cell>
          <cell r="AX36">
            <v>11.340280280754488</v>
          </cell>
          <cell r="AY36">
            <v>12.174922686146768</v>
          </cell>
          <cell r="AZ36">
            <v>12.826830192715944</v>
          </cell>
          <cell r="BA36">
            <v>13.324949418477436</v>
          </cell>
          <cell r="BB36">
            <v>13.49944708138019</v>
          </cell>
          <cell r="BC36">
            <v>12.977998726849938</v>
          </cell>
          <cell r="BD36">
            <v>17.158662923440655</v>
          </cell>
          <cell r="BE36">
            <v>17.595763847457494</v>
          </cell>
          <cell r="BF36">
            <v>18.329315773614979</v>
          </cell>
          <cell r="BG36">
            <v>18.483892376388365</v>
          </cell>
          <cell r="BH36">
            <v>17.91933079608058</v>
          </cell>
          <cell r="BI36">
            <v>16.434039491242256</v>
          </cell>
          <cell r="BJ36">
            <v>17.240154452027891</v>
          </cell>
          <cell r="BK36">
            <v>16.705346847804218</v>
          </cell>
          <cell r="BL36">
            <v>17.385855815535542</v>
          </cell>
          <cell r="BM36">
            <v>16.980322198305661</v>
          </cell>
          <cell r="BN36">
            <v>16.741369756132965</v>
          </cell>
          <cell r="BO36">
            <v>18.268320365181438</v>
          </cell>
          <cell r="BP36">
            <v>16.434252227303872</v>
          </cell>
          <cell r="BQ36">
            <v>18.776724280778389</v>
          </cell>
          <cell r="BR36">
            <v>17.587914694888845</v>
          </cell>
          <cell r="BS36">
            <v>18.415506731746262</v>
          </cell>
          <cell r="BT36">
            <v>20.095152401699583</v>
          </cell>
          <cell r="BU36">
            <v>18.077677450034262</v>
          </cell>
          <cell r="BV36">
            <v>20.654396708856229</v>
          </cell>
          <cell r="BW36">
            <v>19.360013817052607</v>
          </cell>
          <cell r="BX36">
            <v>20.257057404920889</v>
          </cell>
          <cell r="BY36">
            <v>22.104667641869543</v>
          </cell>
          <cell r="BZ36">
            <v>19.88544519503769</v>
          </cell>
          <cell r="CA36">
            <v>22.719836379741853</v>
          </cell>
          <cell r="CB36">
            <v>21.294697208825585</v>
          </cell>
          <cell r="CC36">
            <v>21.949619262432996</v>
          </cell>
          <cell r="CD36">
            <v>23.871847401166445</v>
          </cell>
          <cell r="CE36">
            <v>21.539538219573863</v>
          </cell>
          <cell r="CF36">
            <v>21.802229705388555</v>
          </cell>
          <cell r="CG36">
            <v>22.28570432692171</v>
          </cell>
        </row>
        <row r="37">
          <cell r="B37" t="str">
            <v>Brand</v>
          </cell>
          <cell r="AP37">
            <v>72.252550713272527</v>
          </cell>
          <cell r="AQ37">
            <v>83.221816711014299</v>
          </cell>
          <cell r="AR37">
            <v>80.020743448940181</v>
          </cell>
          <cell r="AS37">
            <v>78.900684850395379</v>
          </cell>
          <cell r="AT37">
            <v>84.821881682422145</v>
          </cell>
          <cell r="AU37">
            <v>88.014282856753937</v>
          </cell>
          <cell r="AV37">
            <v>95.904240064153726</v>
          </cell>
          <cell r="AW37">
            <v>102.05757598405141</v>
          </cell>
          <cell r="AX37">
            <v>93.336393889985374</v>
          </cell>
          <cell r="AY37">
            <v>102.4108848805383</v>
          </cell>
          <cell r="AZ37">
            <v>114.50086535405556</v>
          </cell>
          <cell r="BA37">
            <v>119.93387866221639</v>
          </cell>
          <cell r="BB37">
            <v>127.25650946047256</v>
          </cell>
          <cell r="BC37">
            <v>115.70547584993876</v>
          </cell>
          <cell r="BD37">
            <v>165.88673714199561</v>
          </cell>
          <cell r="BE37">
            <v>174.21823065790417</v>
          </cell>
          <cell r="BF37">
            <v>183.72403148144284</v>
          </cell>
          <cell r="BG37">
            <v>195.67158006188259</v>
          </cell>
          <cell r="BH37">
            <v>180.11537143459134</v>
          </cell>
          <cell r="BI37">
            <v>178.6163129652636</v>
          </cell>
          <cell r="BJ37">
            <v>189.83937325238841</v>
          </cell>
          <cell r="BK37">
            <v>208.03005289013231</v>
          </cell>
          <cell r="BL37">
            <v>202.85801018281535</v>
          </cell>
          <cell r="BM37">
            <v>197.43313457705486</v>
          </cell>
          <cell r="BN37">
            <v>200.11510824270164</v>
          </cell>
          <cell r="BO37">
            <v>214.95443214413066</v>
          </cell>
          <cell r="BP37">
            <v>235.55167256300064</v>
          </cell>
          <cell r="BQ37">
            <v>227.2009714047532</v>
          </cell>
          <cell r="BR37">
            <v>219.4958264119384</v>
          </cell>
          <cell r="BS37">
            <v>220.12661906697181</v>
          </cell>
          <cell r="BT37">
            <v>236.44987535854375</v>
          </cell>
          <cell r="BU37">
            <v>259.10683981930072</v>
          </cell>
          <cell r="BV37">
            <v>249.92106854522854</v>
          </cell>
          <cell r="BW37">
            <v>241.44326400420007</v>
          </cell>
          <cell r="BX37">
            <v>242.139280973669</v>
          </cell>
          <cell r="BY37">
            <v>260.09486289439815</v>
          </cell>
          <cell r="BZ37">
            <v>285.01752380123082</v>
          </cell>
          <cell r="CA37">
            <v>274.91317539975142</v>
          </cell>
          <cell r="CB37">
            <v>266.11160762890552</v>
          </cell>
          <cell r="CC37">
            <v>261.98589694874721</v>
          </cell>
          <cell r="CD37">
            <v>298.52269663766867</v>
          </cell>
          <cell r="CE37">
            <v>330.20575666571688</v>
          </cell>
          <cell r="CF37">
            <v>312.63421178286637</v>
          </cell>
          <cell r="CG37">
            <v>300.66776280609793</v>
          </cell>
        </row>
        <row r="38">
          <cell r="B38" t="str">
            <v>Total</v>
          </cell>
          <cell r="AP38">
            <v>28.452777777777779</v>
          </cell>
          <cell r="AQ38">
            <v>33.390786516853929</v>
          </cell>
          <cell r="AR38">
            <v>32.119285714285716</v>
          </cell>
          <cell r="AS38">
            <v>31.503673469387756</v>
          </cell>
          <cell r="AT38">
            <v>31.878571428571423</v>
          </cell>
          <cell r="AU38">
            <v>33.02314606741573</v>
          </cell>
          <cell r="AV38">
            <v>36.108383838383837</v>
          </cell>
          <cell r="AW38">
            <v>37.549819819819824</v>
          </cell>
          <cell r="AX38">
            <v>34.881514360313311</v>
          </cell>
          <cell r="AY38">
            <v>36.538632478632479</v>
          </cell>
          <cell r="AZ38">
            <v>38.24533898305085</v>
          </cell>
          <cell r="BA38">
            <v>38.911092436974783</v>
          </cell>
          <cell r="BB38">
            <v>39.66357142857143</v>
          </cell>
          <cell r="BC38">
            <v>38.366666666666667</v>
          </cell>
          <cell r="BD38">
            <v>50.325023474178401</v>
          </cell>
          <cell r="BE38">
            <v>51.879649122807017</v>
          </cell>
          <cell r="BF38">
            <v>53.921416309012869</v>
          </cell>
          <cell r="BG38">
            <v>55.477119341563792</v>
          </cell>
          <cell r="BH38">
            <v>52.99064340239913</v>
          </cell>
          <cell r="BI38">
            <v>48.870494186046514</v>
          </cell>
          <cell r="BJ38">
            <v>50.034006024096378</v>
          </cell>
          <cell r="BK38">
            <v>49.230546875000002</v>
          </cell>
          <cell r="BL38">
            <v>48.916136701337287</v>
          </cell>
          <cell r="BM38">
            <v>49.196003016591256</v>
          </cell>
          <cell r="BN38">
            <v>47.914954819277099</v>
          </cell>
          <cell r="BO38">
            <v>49.738161764705886</v>
          </cell>
          <cell r="BP38">
            <v>51.493050359712228</v>
          </cell>
          <cell r="BQ38">
            <v>51.174530406625543</v>
          </cell>
          <cell r="BR38">
            <v>50.127051478672087</v>
          </cell>
          <cell r="BS38">
            <v>46.140590883818867</v>
          </cell>
          <cell r="BT38">
            <v>48.262237301240653</v>
          </cell>
          <cell r="BU38">
            <v>47.478355711880575</v>
          </cell>
          <cell r="BV38">
            <v>48.132325276453521</v>
          </cell>
          <cell r="BW38">
            <v>47.548858582268039</v>
          </cell>
          <cell r="BX38">
            <v>46.275843196247209</v>
          </cell>
          <cell r="BY38">
            <v>49.456217054875147</v>
          </cell>
          <cell r="BZ38">
            <v>49.861802009322872</v>
          </cell>
          <cell r="CA38">
            <v>50.544961556830458</v>
          </cell>
          <cell r="CB38">
            <v>49.137486754377782</v>
          </cell>
          <cell r="CC38">
            <v>52.13785884833073</v>
          </cell>
          <cell r="CD38">
            <v>57.771612602019736</v>
          </cell>
          <cell r="CE38">
            <v>59.062037303752909</v>
          </cell>
          <cell r="CF38">
            <v>56.362924418284415</v>
          </cell>
          <cell r="CG38">
            <v>56.344946859583963</v>
          </cell>
        </row>
        <row r="40">
          <cell r="B40" t="str">
            <v>Revenue per claim - % Growth</v>
          </cell>
        </row>
        <row r="41">
          <cell r="B41" t="str">
            <v>Retail</v>
          </cell>
        </row>
        <row r="42">
          <cell r="B42" t="str">
            <v>Generic</v>
          </cell>
          <cell r="AP42" t="str">
            <v>NM</v>
          </cell>
          <cell r="AQ42" t="str">
            <v>NM</v>
          </cell>
          <cell r="AR42" t="str">
            <v>NM</v>
          </cell>
          <cell r="AS42" t="str">
            <v>NM</v>
          </cell>
          <cell r="AT42" t="str">
            <v>NM</v>
          </cell>
          <cell r="AU42">
            <v>0.20369643544672411</v>
          </cell>
          <cell r="AV42">
            <v>6.1964561675884378E-2</v>
          </cell>
          <cell r="AW42">
            <v>0.17598313518089825</v>
          </cell>
          <cell r="AX42">
            <v>0.11077245080825948</v>
          </cell>
          <cell r="AY42">
            <v>0.18735261997107622</v>
          </cell>
          <cell r="AZ42">
            <v>0.21443452884109515</v>
          </cell>
          <cell r="BA42">
            <v>0.14037345937509715</v>
          </cell>
          <cell r="BB42">
            <v>8.3121062138120205E-2</v>
          </cell>
          <cell r="BC42">
            <v>0.1444160466540505</v>
          </cell>
          <cell r="BD42">
            <v>0.40934471337256495</v>
          </cell>
          <cell r="BE42">
            <v>0.37179362189184628</v>
          </cell>
          <cell r="BF42">
            <v>0.37556362864673165</v>
          </cell>
          <cell r="BG42">
            <v>0.36923329266449945</v>
          </cell>
          <cell r="BH42">
            <v>0.38074684496675237</v>
          </cell>
          <cell r="BI42">
            <v>-4.2230763284502926E-2</v>
          </cell>
          <cell r="BJ42">
            <v>-2.0209943626913751E-2</v>
          </cell>
          <cell r="BK42">
            <v>-8.8599538895415941E-2</v>
          </cell>
          <cell r="BL42">
            <v>-0.16</v>
          </cell>
          <cell r="BM42">
            <v>-5.2401990256260245E-2</v>
          </cell>
          <cell r="BN42">
            <v>1.8700835242271729E-2</v>
          </cell>
          <cell r="BO42">
            <v>5.9637859742759369E-2</v>
          </cell>
          <cell r="BP42">
            <v>-1.6228015076261593E-2</v>
          </cell>
          <cell r="BQ42">
            <v>0.08</v>
          </cell>
          <cell r="BR42">
            <v>3.552766997719238E-2</v>
          </cell>
          <cell r="BS42">
            <v>0.1</v>
          </cell>
          <cell r="BT42">
            <v>0.1</v>
          </cell>
          <cell r="BU42">
            <v>0.1</v>
          </cell>
          <cell r="BV42">
            <v>0.1</v>
          </cell>
          <cell r="BW42">
            <v>0.10075663618488817</v>
          </cell>
          <cell r="BX42">
            <v>0.1</v>
          </cell>
          <cell r="BY42">
            <v>0.1</v>
          </cell>
          <cell r="BZ42">
            <v>0.1</v>
          </cell>
          <cell r="CA42">
            <v>0.1</v>
          </cell>
          <cell r="CB42">
            <v>9.9931922056216704E-2</v>
          </cell>
          <cell r="CC42">
            <v>0.1</v>
          </cell>
          <cell r="CD42">
            <v>0.1</v>
          </cell>
          <cell r="CE42">
            <v>0.1</v>
          </cell>
          <cell r="CF42">
            <v>0.1</v>
          </cell>
          <cell r="CG42">
            <v>0.10000044979493494</v>
          </cell>
        </row>
        <row r="43">
          <cell r="B43" t="str">
            <v>Brand</v>
          </cell>
          <cell r="AP43" t="str">
            <v>NM</v>
          </cell>
          <cell r="AQ43" t="str">
            <v>NM</v>
          </cell>
          <cell r="AR43" t="str">
            <v>NM</v>
          </cell>
          <cell r="AS43" t="str">
            <v>NM</v>
          </cell>
          <cell r="AT43" t="str">
            <v>NM</v>
          </cell>
          <cell r="AU43">
            <v>0.2181477607071669</v>
          </cell>
          <cell r="AV43">
            <v>0.15239301248588255</v>
          </cell>
          <cell r="AW43">
            <v>0.27538900021808144</v>
          </cell>
          <cell r="AX43">
            <v>0.18296050366307637</v>
          </cell>
          <cell r="AY43">
            <v>0.20736398260970401</v>
          </cell>
          <cell r="AZ43">
            <v>0.30093504869441912</v>
          </cell>
          <cell r="BA43">
            <v>0.25055866749987676</v>
          </cell>
          <cell r="BB43">
            <v>0.24690899458908366</v>
          </cell>
          <cell r="BC43">
            <v>0.23966087640282741</v>
          </cell>
          <cell r="BD43">
            <v>0.61981548480419346</v>
          </cell>
          <cell r="BE43">
            <v>0.52154510028542278</v>
          </cell>
          <cell r="BF43">
            <v>0.53187767735658764</v>
          </cell>
          <cell r="BG43">
            <v>0.53761548930949266</v>
          </cell>
          <cell r="BH43">
            <v>0.55667110922379615</v>
          </cell>
          <cell r="BI43">
            <v>7.6736549543269028E-2</v>
          </cell>
          <cell r="BJ43">
            <v>8.9664224780000135E-2</v>
          </cell>
          <cell r="BK43">
            <v>0.13229636434983472</v>
          </cell>
          <cell r="BL43">
            <v>3.6727000000000003E-2</v>
          </cell>
          <cell r="BM43">
            <v>9.6148168834953918E-2</v>
          </cell>
          <cell r="BN43">
            <v>0.120363</v>
          </cell>
          <cell r="BO43">
            <v>0.13229636434983472</v>
          </cell>
          <cell r="BP43">
            <v>0.13229636434983472</v>
          </cell>
          <cell r="BQ43">
            <v>0.12</v>
          </cell>
          <cell r="BR43">
            <v>0.12623893217491736</v>
          </cell>
          <cell r="BS43">
            <v>0.1</v>
          </cell>
          <cell r="BT43">
            <v>0.1</v>
          </cell>
          <cell r="BU43">
            <v>0.1</v>
          </cell>
          <cell r="BV43">
            <v>0.1</v>
          </cell>
          <cell r="BW43">
            <v>0.1</v>
          </cell>
          <cell r="BX43">
            <v>0.1</v>
          </cell>
          <cell r="BY43">
            <v>0.1</v>
          </cell>
          <cell r="BZ43">
            <v>0.1</v>
          </cell>
          <cell r="CA43">
            <v>0.1</v>
          </cell>
          <cell r="CB43">
            <v>0.1</v>
          </cell>
          <cell r="CC43">
            <v>0.1</v>
          </cell>
          <cell r="CD43">
            <v>0.1</v>
          </cell>
          <cell r="CE43">
            <v>0.1</v>
          </cell>
          <cell r="CF43">
            <v>0.1</v>
          </cell>
          <cell r="CG43">
            <v>0.1</v>
          </cell>
        </row>
        <row r="44">
          <cell r="B44" t="str">
            <v>Total</v>
          </cell>
          <cell r="AP44" t="str">
            <v>NM</v>
          </cell>
          <cell r="AQ44" t="str">
            <v>NM</v>
          </cell>
          <cell r="AR44" t="str">
            <v>NM</v>
          </cell>
          <cell r="AS44" t="str">
            <v>NM</v>
          </cell>
          <cell r="AT44" t="str">
            <v>NM</v>
          </cell>
          <cell r="AU44">
            <v>0.16062995062673657</v>
          </cell>
          <cell r="AV44">
            <v>8.1387640274906525E-2</v>
          </cell>
          <cell r="AW44">
            <v>0.1690739375041197</v>
          </cell>
          <cell r="AX44">
            <v>0.10722054030327022</v>
          </cell>
          <cell r="AY44">
            <v>0.14618161483498726</v>
          </cell>
          <cell r="AZ44">
            <v>0.15813735326652933</v>
          </cell>
          <cell r="BA44">
            <v>7.7619331043324635E-2</v>
          </cell>
          <cell r="BB44">
            <v>5.6291924139564298E-2</v>
          </cell>
          <cell r="BC44">
            <v>9.9914019510535246E-2</v>
          </cell>
          <cell r="BD44">
            <v>0.37730998836938134</v>
          </cell>
          <cell r="BE44">
            <v>0.3564959940817487</v>
          </cell>
          <cell r="BF44">
            <v>0.38575950794367087</v>
          </cell>
          <cell r="BG44">
            <v>0.39869198217488711</v>
          </cell>
          <cell r="BH44">
            <v>0.38116359867243599</v>
          </cell>
          <cell r="BI44">
            <v>-2.8902704613306351E-2</v>
          </cell>
          <cell r="BJ44">
            <v>-3.5575473811353731E-2</v>
          </cell>
          <cell r="BK44">
            <v>-8.6994551610633408E-2</v>
          </cell>
          <cell r="BL44">
            <v>-0.11826465970288724</v>
          </cell>
          <cell r="BM44">
            <v>-7.1609630345346509E-2</v>
          </cell>
          <cell r="BN44">
            <v>-1.9552480135186401E-2</v>
          </cell>
          <cell r="BO44">
            <v>-5.9128637280815299E-3</v>
          </cell>
          <cell r="BP44">
            <v>4.5957309604073515E-2</v>
          </cell>
          <cell r="BQ44">
            <v>4.6168684969484008E-2</v>
          </cell>
          <cell r="BR44">
            <v>1.8925286710118172E-2</v>
          </cell>
          <cell r="BS44">
            <v>-3.7031526840642481E-2</v>
          </cell>
          <cell r="BT44">
            <v>-2.9673884419921359E-2</v>
          </cell>
          <cell r="BU44">
            <v>-7.7965756928098373E-2</v>
          </cell>
          <cell r="BV44">
            <v>-5.9447641355945824E-2</v>
          </cell>
          <cell r="BW44">
            <v>-5.1433164735432468E-2</v>
          </cell>
          <cell r="BX44">
            <v>2.9313086338427219E-3</v>
          </cell>
          <cell r="BY44">
            <v>2.4739419894315606E-2</v>
          </cell>
          <cell r="BZ44">
            <v>5.0200691698467637E-2</v>
          </cell>
          <cell r="CA44">
            <v>5.0125072215391198E-2</v>
          </cell>
          <cell r="CB44">
            <v>3.3410437589393105E-2</v>
          </cell>
          <cell r="CC44">
            <v>5.3817788305876579E-2</v>
          </cell>
          <cell r="CD44">
            <v>5.2376311302978262E-2</v>
          </cell>
          <cell r="CE44">
            <v>4.7871615577498972E-2</v>
          </cell>
          <cell r="CF44">
            <v>4.8500524304676773E-2</v>
          </cell>
          <cell r="CG44">
            <v>5.0522471175655115E-2</v>
          </cell>
        </row>
        <row r="46">
          <cell r="B46" t="str">
            <v>Revenue build up</v>
          </cell>
        </row>
        <row r="47">
          <cell r="B47" t="str">
            <v>PBM</v>
          </cell>
        </row>
        <row r="48">
          <cell r="B48" t="str">
            <v>Generic</v>
          </cell>
          <cell r="AO48">
            <v>0</v>
          </cell>
          <cell r="AP48">
            <v>43.592306807975682</v>
          </cell>
          <cell r="AQ48">
            <v>67.56900769431148</v>
          </cell>
          <cell r="AR48">
            <v>61.427984058959723</v>
          </cell>
          <cell r="AS48">
            <v>172.58929856124689</v>
          </cell>
          <cell r="AT48">
            <v>61.153896221619597</v>
          </cell>
          <cell r="AU48">
            <v>66.741135946718074</v>
          </cell>
          <cell r="AV48">
            <v>82.13192677581462</v>
          </cell>
          <cell r="AW48">
            <v>99.60805384156825</v>
          </cell>
          <cell r="AX48">
            <v>309.63501278572051</v>
          </cell>
          <cell r="AY48">
            <v>103.98601466237953</v>
          </cell>
          <cell r="AZ48">
            <v>113.51744720553612</v>
          </cell>
          <cell r="BA48">
            <v>120.51084254070993</v>
          </cell>
          <cell r="BB48">
            <v>130.97163558355061</v>
          </cell>
          <cell r="BC48">
            <v>468.98593999217616</v>
          </cell>
          <cell r="BD48">
            <v>283.97758724923517</v>
          </cell>
          <cell r="BE48">
            <v>313.36634529092231</v>
          </cell>
          <cell r="BF48">
            <v>335.16911044720092</v>
          </cell>
          <cell r="BG48">
            <v>355.38330224259391</v>
          </cell>
          <cell r="BH48">
            <v>1287.8963452299522</v>
          </cell>
          <cell r="BI48">
            <v>452.2647667989869</v>
          </cell>
          <cell r="BJ48">
            <v>463.62223352393409</v>
          </cell>
          <cell r="BK48">
            <v>887.38802455536006</v>
          </cell>
          <cell r="BL48">
            <v>971.15652</v>
          </cell>
          <cell r="BM48">
            <v>2774.4315448782809</v>
          </cell>
          <cell r="BN48">
            <v>922.65036999999995</v>
          </cell>
          <cell r="BO48">
            <v>1043.4864592591637</v>
          </cell>
          <cell r="BP48">
            <v>959.43164503000003</v>
          </cell>
          <cell r="BQ48">
            <v>1186.7774292124204</v>
          </cell>
          <cell r="BR48">
            <v>4112.345903501584</v>
          </cell>
          <cell r="BS48">
            <v>1476.6050126236134</v>
          </cell>
          <cell r="BT48">
            <v>1782.8556730810724</v>
          </cell>
          <cell r="BU48">
            <v>1654.7150865122351</v>
          </cell>
          <cell r="BV48">
            <v>2040.7018794102855</v>
          </cell>
          <cell r="BW48">
            <v>6954.8776516272064</v>
          </cell>
          <cell r="BX48">
            <v>1828.5044536916589</v>
          </cell>
          <cell r="BY48">
            <v>2195.1077097308212</v>
          </cell>
          <cell r="BZ48">
            <v>2022.5410316900291</v>
          </cell>
          <cell r="CA48">
            <v>2495.9543881258296</v>
          </cell>
          <cell r="CB48">
            <v>8542.1075832383394</v>
          </cell>
          <cell r="CC48">
            <v>2216.343168682316</v>
          </cell>
          <cell r="CD48">
            <v>2445.8838612075288</v>
          </cell>
          <cell r="CE48">
            <v>2207.2432335804415</v>
          </cell>
          <cell r="CF48">
            <v>2350.1639123394543</v>
          </cell>
          <cell r="CG48">
            <v>9219.6341758097406</v>
          </cell>
        </row>
        <row r="49">
          <cell r="B49" t="str">
            <v>Brand</v>
          </cell>
          <cell r="AO49">
            <v>0</v>
          </cell>
          <cell r="AP49">
            <v>161.26769319202432</v>
          </cell>
          <cell r="AQ49">
            <v>229.6089923056885</v>
          </cell>
          <cell r="AR49">
            <v>208.37401594104028</v>
          </cell>
          <cell r="AS49">
            <v>599.25070143875314</v>
          </cell>
          <cell r="AT49">
            <v>206.62610377838038</v>
          </cell>
          <cell r="AU49">
            <v>227.16486405328195</v>
          </cell>
          <cell r="AV49">
            <v>275.34107322418538</v>
          </cell>
          <cell r="AW49">
            <v>317.19494615843178</v>
          </cell>
          <cell r="AX49">
            <v>1026.3269872142796</v>
          </cell>
          <cell r="AY49">
            <v>323.51598533762046</v>
          </cell>
          <cell r="AZ49">
            <v>337.77755279446393</v>
          </cell>
          <cell r="BA49">
            <v>342.53115745929</v>
          </cell>
          <cell r="BB49">
            <v>368.78936441644942</v>
          </cell>
          <cell r="BC49">
            <v>1372.6140600078238</v>
          </cell>
          <cell r="BD49">
            <v>787.94541275076483</v>
          </cell>
          <cell r="BE49">
            <v>869.48965470907774</v>
          </cell>
          <cell r="BF49">
            <v>921.19988955279916</v>
          </cell>
          <cell r="BG49">
            <v>992.71069775740625</v>
          </cell>
          <cell r="BH49">
            <v>3571.345654770048</v>
          </cell>
          <cell r="BI49">
            <v>1228.8802332010132</v>
          </cell>
          <cell r="BJ49">
            <v>1197.5067664760659</v>
          </cell>
          <cell r="BK49">
            <v>2263.36697544464</v>
          </cell>
          <cell r="BL49">
            <v>2320.8984945015914</v>
          </cell>
          <cell r="BM49">
            <v>7010.65246962331</v>
          </cell>
          <cell r="BN49">
            <v>2258.8993418436166</v>
          </cell>
          <cell r="BO49">
            <v>2338.7042217281423</v>
          </cell>
          <cell r="BP49">
            <v>2619.3345989005679</v>
          </cell>
          <cell r="BQ49">
            <v>2643.0009960108223</v>
          </cell>
          <cell r="BR49">
            <v>9859.9391584831483</v>
          </cell>
          <cell r="BS49">
            <v>2812.6243159361893</v>
          </cell>
          <cell r="BT49">
            <v>3139.8925316454743</v>
          </cell>
          <cell r="BU49">
            <v>3294.9034964513144</v>
          </cell>
          <cell r="BV49">
            <v>3362.4588169814629</v>
          </cell>
          <cell r="BW49">
            <v>12609.879161014442</v>
          </cell>
          <cell r="BX49">
            <v>2903.4781681837967</v>
          </cell>
          <cell r="BY49">
            <v>3353.8798438261711</v>
          </cell>
          <cell r="BZ49">
            <v>3695.3611137290718</v>
          </cell>
          <cell r="CA49">
            <v>3745.4395800128937</v>
          </cell>
          <cell r="CB49">
            <v>13698.158705751934</v>
          </cell>
          <cell r="CC49">
            <v>3805.5795282998843</v>
          </cell>
          <cell r="CD49">
            <v>4306.8088493921505</v>
          </cell>
          <cell r="CE49">
            <v>4682.6387280888548</v>
          </cell>
          <cell r="CF49">
            <v>4544.8154940863424</v>
          </cell>
          <cell r="CG49">
            <v>17339.842599867232</v>
          </cell>
        </row>
        <row r="50">
          <cell r="B50" t="str">
            <v>Total</v>
          </cell>
          <cell r="AO50">
            <v>0</v>
          </cell>
          <cell r="AP50">
            <v>204.86</v>
          </cell>
          <cell r="AQ50">
            <v>297.178</v>
          </cell>
          <cell r="AR50">
            <v>269.80200000000002</v>
          </cell>
          <cell r="AS50">
            <v>771.84</v>
          </cell>
          <cell r="AT50">
            <v>267.77999999999997</v>
          </cell>
          <cell r="AU50">
            <v>293.90600000000001</v>
          </cell>
          <cell r="AV50">
            <v>357.47300000000001</v>
          </cell>
          <cell r="AW50">
            <v>416.803</v>
          </cell>
          <cell r="AX50">
            <v>1335.962</v>
          </cell>
          <cell r="AY50">
            <v>427.50200000000001</v>
          </cell>
          <cell r="AZ50">
            <v>451.29500000000007</v>
          </cell>
          <cell r="BA50">
            <v>463.04199999999992</v>
          </cell>
          <cell r="BB50">
            <v>499.76100000000002</v>
          </cell>
          <cell r="BC50">
            <v>1841.6</v>
          </cell>
          <cell r="BD50">
            <v>1071.923</v>
          </cell>
          <cell r="BE50">
            <v>1182.856</v>
          </cell>
          <cell r="BF50">
            <v>1256.3690000000001</v>
          </cell>
          <cell r="BG50">
            <v>1348.0940000000001</v>
          </cell>
          <cell r="BH50">
            <v>4859.2420000000002</v>
          </cell>
          <cell r="BI50">
            <v>1681.145</v>
          </cell>
          <cell r="BJ50">
            <v>1661.1289999999999</v>
          </cell>
          <cell r="BK50">
            <v>3150.7550000000001</v>
          </cell>
          <cell r="BL50">
            <v>3292.0550145015914</v>
          </cell>
          <cell r="BM50">
            <v>9785.08401450159</v>
          </cell>
          <cell r="BN50">
            <v>3181.5497118436165</v>
          </cell>
          <cell r="BO50">
            <v>3382.1906809873062</v>
          </cell>
          <cell r="BP50">
            <v>3578.7662439305677</v>
          </cell>
          <cell r="BQ50">
            <v>3829.7784252232427</v>
          </cell>
          <cell r="BR50">
            <v>13972.285061984732</v>
          </cell>
          <cell r="BS50">
            <v>4289.2293285598025</v>
          </cell>
          <cell r="BT50">
            <v>4922.7482047265466</v>
          </cell>
          <cell r="BU50">
            <v>4949.6185829635497</v>
          </cell>
          <cell r="BV50">
            <v>5403.1606963917484</v>
          </cell>
          <cell r="BW50">
            <v>19564.756812641648</v>
          </cell>
          <cell r="BX50">
            <v>4731.9826218754552</v>
          </cell>
          <cell r="BY50">
            <v>5548.9875535569918</v>
          </cell>
          <cell r="BZ50">
            <v>5717.9021454191006</v>
          </cell>
          <cell r="CA50">
            <v>6241.3939681387237</v>
          </cell>
          <cell r="CB50">
            <v>22240.266288990271</v>
          </cell>
          <cell r="CC50">
            <v>6021.9226969822003</v>
          </cell>
          <cell r="CD50">
            <v>6752.6927105996792</v>
          </cell>
          <cell r="CE50">
            <v>6889.8819616692963</v>
          </cell>
          <cell r="CF50">
            <v>6894.9794064257967</v>
          </cell>
          <cell r="CG50">
            <v>26559.476775676972</v>
          </cell>
        </row>
        <row r="52">
          <cell r="B52" t="str">
            <v>check</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9.8549840868145111E-4</v>
          </cell>
          <cell r="BM52">
            <v>9.8549841095518786E-4</v>
          </cell>
          <cell r="BN52">
            <v>3.288156383405294E-3</v>
          </cell>
          <cell r="BO52">
            <v>4.3190126939407492E-3</v>
          </cell>
          <cell r="BP52">
            <v>7.5606943210004829E-4</v>
          </cell>
          <cell r="BQ52">
            <v>0</v>
          </cell>
          <cell r="BR52">
            <v>8.3632385103555862E-3</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row>
        <row r="54">
          <cell r="B54" t="str">
            <v>Gross margin - MS Estimates</v>
          </cell>
        </row>
        <row r="55">
          <cell r="B55" t="str">
            <v>Generic</v>
          </cell>
          <cell r="AP55">
            <v>0.28000000000000003</v>
          </cell>
          <cell r="AQ55">
            <v>0.28000000000000003</v>
          </cell>
          <cell r="AR55">
            <v>0.35499999999999998</v>
          </cell>
          <cell r="AS55">
            <v>0.30669400039763789</v>
          </cell>
          <cell r="AT55">
            <v>0.35</v>
          </cell>
          <cell r="AU55">
            <v>0.42</v>
          </cell>
          <cell r="AV55">
            <v>0.32500000000000001</v>
          </cell>
          <cell r="AW55">
            <v>0.31</v>
          </cell>
          <cell r="AX55">
            <v>0.34558919130462495</v>
          </cell>
          <cell r="AY55">
            <v>0.27</v>
          </cell>
          <cell r="AZ55">
            <v>0.27</v>
          </cell>
          <cell r="BA55">
            <v>0.27</v>
          </cell>
          <cell r="BB55">
            <v>0.27</v>
          </cell>
          <cell r="BC55">
            <v>0.27000000000000007</v>
          </cell>
          <cell r="BD55">
            <v>0.16250000000000001</v>
          </cell>
          <cell r="BE55">
            <v>0.16500000000000001</v>
          </cell>
          <cell r="BF55">
            <v>0.17316274204827733</v>
          </cell>
          <cell r="BG55">
            <v>0.18</v>
          </cell>
          <cell r="BH55">
            <v>0.17071218684166184</v>
          </cell>
          <cell r="BI55">
            <v>0.17122341628085946</v>
          </cell>
          <cell r="BJ55">
            <v>0.18019503925376432</v>
          </cell>
          <cell r="BK55">
            <v>0.19152207347755795</v>
          </cell>
          <cell r="BL55">
            <v>0.20710000000000001</v>
          </cell>
          <cell r="BM55">
            <v>0.19177321412732531</v>
          </cell>
          <cell r="BN55">
            <v>0.20122999999999999</v>
          </cell>
          <cell r="BO55">
            <v>0.1981</v>
          </cell>
          <cell r="BP55">
            <v>0.22978000000000001</v>
          </cell>
          <cell r="BQ55">
            <v>0.19500000000000001</v>
          </cell>
          <cell r="BR55">
            <v>0.20529873299492754</v>
          </cell>
          <cell r="BS55">
            <v>0.14449999999999999</v>
          </cell>
          <cell r="BT55">
            <v>0.14449999999999999</v>
          </cell>
          <cell r="BU55">
            <v>0.14449999999999999</v>
          </cell>
          <cell r="BV55">
            <v>0.14449999999999999</v>
          </cell>
          <cell r="BW55">
            <v>0.14449999999999999</v>
          </cell>
          <cell r="BX55">
            <v>0.14199999999999999</v>
          </cell>
          <cell r="BY55">
            <v>0.14199999999999999</v>
          </cell>
          <cell r="BZ55">
            <v>0.14299999999999999</v>
          </cell>
          <cell r="CA55">
            <v>0.14299999999999999</v>
          </cell>
          <cell r="CB55">
            <v>0.14252896728070738</v>
          </cell>
          <cell r="CC55">
            <v>0.14499999999999999</v>
          </cell>
          <cell r="CD55">
            <v>0.14499999999999999</v>
          </cell>
          <cell r="CE55">
            <v>0.14499999999999999</v>
          </cell>
          <cell r="CF55">
            <v>0.14499999999999999</v>
          </cell>
          <cell r="CG55">
            <v>0.14499999999999999</v>
          </cell>
        </row>
        <row r="56">
          <cell r="B56" t="str">
            <v>Brand</v>
          </cell>
          <cell r="AP56">
            <v>2.8574558255011567E-2</v>
          </cell>
          <cell r="AQ56">
            <v>2.440966614291408E-2</v>
          </cell>
          <cell r="AR56">
            <v>3.053195710465418E-2</v>
          </cell>
          <cell r="AS56">
            <v>2.7659372639866706E-2</v>
          </cell>
          <cell r="AT56">
            <v>3.5833499190279124E-2</v>
          </cell>
          <cell r="AU56">
            <v>2.8607958054878369E-2</v>
          </cell>
          <cell r="AV56">
            <v>3.4670177195422265E-2</v>
          </cell>
          <cell r="AW56">
            <v>2.451332659389267E-2</v>
          </cell>
          <cell r="AX56">
            <v>3.0423526537616517E-2</v>
          </cell>
          <cell r="AY56">
            <v>3.1713351136112927E-2</v>
          </cell>
          <cell r="AZ56">
            <v>2.3578500668904764E-2</v>
          </cell>
          <cell r="BA56">
            <v>1.9650981720716183E-2</v>
          </cell>
          <cell r="BB56">
            <v>2.1895038663108428E-2</v>
          </cell>
          <cell r="BC56">
            <v>2.4063424792489845E-2</v>
          </cell>
          <cell r="BD56">
            <v>7.0926754335544793E-3</v>
          </cell>
          <cell r="BE56">
            <v>9.9478492701467348E-3</v>
          </cell>
          <cell r="BF56">
            <v>1.0999999999999999E-2</v>
          </cell>
          <cell r="BG56">
            <v>1.2439683207031245E-2</v>
          </cell>
          <cell r="BH56">
            <v>1.0281950287104134E-2</v>
          </cell>
          <cell r="BI56">
            <v>1.0999999999999999E-2</v>
          </cell>
          <cell r="BJ56">
            <v>1.0999999999999999E-2</v>
          </cell>
          <cell r="BK56">
            <v>1.7999999999999999E-2</v>
          </cell>
          <cell r="BL56">
            <v>1.9199999999999998E-2</v>
          </cell>
          <cell r="BM56">
            <v>1.5974563585078039E-2</v>
          </cell>
          <cell r="BN56">
            <v>1.8499999999999999E-2</v>
          </cell>
          <cell r="BO56">
            <v>1.7219999999999999E-2</v>
          </cell>
          <cell r="BP56">
            <v>1.8200000000000001E-2</v>
          </cell>
          <cell r="BQ56">
            <v>1.6250000000000001E-2</v>
          </cell>
          <cell r="BR56">
            <v>1.7513574640961295E-2</v>
          </cell>
          <cell r="BS56">
            <v>1.4E-2</v>
          </cell>
          <cell r="BT56">
            <v>1.4E-2</v>
          </cell>
          <cell r="BU56">
            <v>1.4E-2</v>
          </cell>
          <cell r="BV56">
            <v>1.4E-2</v>
          </cell>
          <cell r="BW56">
            <v>1.4E-2</v>
          </cell>
          <cell r="BX56">
            <v>1.2500000000000001E-2</v>
          </cell>
          <cell r="BY56">
            <v>1.2500000000000001E-2</v>
          </cell>
          <cell r="BZ56">
            <v>1.2500000000000001E-2</v>
          </cell>
          <cell r="CA56">
            <v>1.2500000000000001E-2</v>
          </cell>
          <cell r="CB56">
            <v>1.2500000000000001E-2</v>
          </cell>
          <cell r="CC56">
            <v>1.4999999999999999E-2</v>
          </cell>
          <cell r="CD56">
            <v>1.4999999999999999E-2</v>
          </cell>
          <cell r="CE56">
            <v>1.4999999999999999E-2</v>
          </cell>
          <cell r="CF56">
            <v>1.4999999999999999E-2</v>
          </cell>
          <cell r="CG56">
            <v>1.4999999999999998E-2</v>
          </cell>
        </row>
        <row r="57">
          <cell r="B57" t="str">
            <v>Total</v>
          </cell>
          <cell r="AP57">
            <v>8.2075563799668169E-2</v>
          </cell>
          <cell r="AQ57">
            <v>8.2522932383958442E-2</v>
          </cell>
          <cell r="AR57">
            <v>0.10440619417202247</v>
          </cell>
          <cell r="AS57">
            <v>9.0053638059701527E-2</v>
          </cell>
          <cell r="AT57">
            <v>0.10758084995145256</v>
          </cell>
          <cell r="AU57">
            <v>0.1174865433165707</v>
          </cell>
          <cell r="AV57">
            <v>0.10137548849843214</v>
          </cell>
          <cell r="AW57">
            <v>9.2739255715529864E-2</v>
          </cell>
          <cell r="AX57">
            <v>0.10346926035321366</v>
          </cell>
          <cell r="AY57">
            <v>8.9674434271652559E-2</v>
          </cell>
          <cell r="AZ57">
            <v>8.5562658571444461E-2</v>
          </cell>
          <cell r="BA57">
            <v>8.480656182376535E-2</v>
          </cell>
          <cell r="BB57">
            <v>8.6915545630811553E-2</v>
          </cell>
          <cell r="BC57">
            <v>8.6694178974804526E-2</v>
          </cell>
          <cell r="BD57">
            <v>4.8263727898365846E-2</v>
          </cell>
          <cell r="BE57">
            <v>5.1024807753437457E-2</v>
          </cell>
          <cell r="BF57">
            <v>5.426112869706274E-2</v>
          </cell>
          <cell r="BG57">
            <v>5.6611779297289347E-2</v>
          </cell>
          <cell r="BH57">
            <v>5.2802474130738915E-2</v>
          </cell>
          <cell r="BI57">
            <v>5.4103602009344762E-2</v>
          </cell>
          <cell r="BJ57">
            <v>5.8222449912077825E-2</v>
          </cell>
          <cell r="BK57">
            <v>6.6871273710586876E-2</v>
          </cell>
          <cell r="BL57">
            <v>7.4631498841217642E-2</v>
          </cell>
          <cell r="BM57">
            <v>6.5820283100840163E-2</v>
          </cell>
          <cell r="BN57">
            <v>7.1490946425664323E-2</v>
          </cell>
          <cell r="BO57">
            <v>7.3024859712493354E-2</v>
          </cell>
          <cell r="BP57">
            <v>7.4922747596252864E-2</v>
          </cell>
          <cell r="BQ57">
            <v>7.1641315610995029E-2</v>
          </cell>
          <cell r="BR57">
            <v>7.2782466172869806E-2</v>
          </cell>
          <cell r="BS57">
            <v>5.8925775561663313E-2</v>
          </cell>
          <cell r="BT57">
            <v>6.126275967429947E-2</v>
          </cell>
          <cell r="BU57">
            <v>5.7627668510278202E-2</v>
          </cell>
          <cell r="BV57">
            <v>6.3288113055916737E-2</v>
          </cell>
          <cell r="BW57">
            <v>6.039012599179882E-2</v>
          </cell>
          <cell r="BX57">
            <v>6.254061630708628E-2</v>
          </cell>
          <cell r="BY57">
            <v>6.3728525143820491E-2</v>
          </cell>
          <cell r="BZ57">
            <v>5.8660566921734693E-2</v>
          </cell>
          <cell r="CA57">
            <v>6.4687387835662594E-2</v>
          </cell>
          <cell r="CB57">
            <v>6.2441912251249773E-2</v>
          </cell>
          <cell r="CC57">
            <v>6.2845949944374174E-2</v>
          </cell>
          <cell r="CD57">
            <v>6.2087127399988201E-2</v>
          </cell>
          <cell r="CE57">
            <v>5.6646812233040994E-2</v>
          </cell>
          <cell r="CF57">
            <v>5.931069196804236E-2</v>
          </cell>
          <cell r="CG57">
            <v>6.0127110484077546E-2</v>
          </cell>
        </row>
        <row r="58">
          <cell r="B58" t="str">
            <v>Eligible mail penetration</v>
          </cell>
          <cell r="AQ58">
            <v>0.08</v>
          </cell>
          <cell r="AT58">
            <v>0.08</v>
          </cell>
          <cell r="AU58">
            <v>0.08</v>
          </cell>
          <cell r="AV58">
            <v>9.5000000000000001E-2</v>
          </cell>
          <cell r="AW58">
            <v>0.11</v>
          </cell>
          <cell r="AY58">
            <v>0.11</v>
          </cell>
          <cell r="AZ58">
            <v>0.115</v>
          </cell>
          <cell r="BA58">
            <v>0.12</v>
          </cell>
          <cell r="BB58">
            <v>0.12</v>
          </cell>
          <cell r="BD58">
            <v>0.115</v>
          </cell>
          <cell r="BE58">
            <v>0.115</v>
          </cell>
          <cell r="BF58">
            <v>0.115</v>
          </cell>
          <cell r="BG58">
            <v>0.115</v>
          </cell>
        </row>
        <row r="60">
          <cell r="B60" t="str">
            <v>Gross profit $ by channel &amp;  product - MS Estimates</v>
          </cell>
        </row>
        <row r="61">
          <cell r="B61" t="str">
            <v>Generic</v>
          </cell>
          <cell r="AP61">
            <v>12.205845906233192</v>
          </cell>
          <cell r="AQ61">
            <v>18.919322154407215</v>
          </cell>
          <cell r="AR61">
            <v>21.806934340930699</v>
          </cell>
          <cell r="AS61">
            <v>52.9321024015711</v>
          </cell>
          <cell r="AT61">
            <v>21.403863677566857</v>
          </cell>
          <cell r="AU61">
            <v>28.03127709762159</v>
          </cell>
          <cell r="AV61">
            <v>26.692876202139754</v>
          </cell>
          <cell r="AW61">
            <v>30.878496690886156</v>
          </cell>
          <cell r="AX61">
            <v>107.00651366821435</v>
          </cell>
          <cell r="AY61">
            <v>28.076223958842476</v>
          </cell>
          <cell r="AZ61">
            <v>30.649710745494755</v>
          </cell>
          <cell r="BA61">
            <v>32.53792748599168</v>
          </cell>
          <cell r="BB61">
            <v>35.362341607558669</v>
          </cell>
          <cell r="BC61">
            <v>126.6262037978876</v>
          </cell>
          <cell r="BD61">
            <v>46.146357928000718</v>
          </cell>
          <cell r="BE61">
            <v>51.705446973002182</v>
          </cell>
          <cell r="BF61">
            <v>58.03880221491923</v>
          </cell>
          <cell r="BG61">
            <v>63.968994403666905</v>
          </cell>
          <cell r="BH61">
            <v>219.85960151958903</v>
          </cell>
          <cell r="BI61">
            <v>77.438318434788755</v>
          </cell>
          <cell r="BJ61">
            <v>83.54242656876319</v>
          </cell>
          <cell r="BK61">
            <v>169.95439444199667</v>
          </cell>
          <cell r="BL61">
            <v>201.12651529199999</v>
          </cell>
          <cell r="BM61">
            <v>532.06165473754857</v>
          </cell>
          <cell r="BN61">
            <v>185.6649339551</v>
          </cell>
          <cell r="BO61">
            <v>206.71466757924031</v>
          </cell>
          <cell r="BP61">
            <v>220.4582033949934</v>
          </cell>
          <cell r="BQ61">
            <v>231.421598696422</v>
          </cell>
          <cell r="BR61">
            <v>844.25940362575579</v>
          </cell>
          <cell r="BS61">
            <v>213.36942432411212</v>
          </cell>
          <cell r="BT61">
            <v>257.62264476021494</v>
          </cell>
          <cell r="BU61">
            <v>239.10633000101794</v>
          </cell>
          <cell r="BV61">
            <v>294.88142157478626</v>
          </cell>
          <cell r="BW61">
            <v>1004.9798206601313</v>
          </cell>
          <cell r="BX61">
            <v>259.64763242421554</v>
          </cell>
          <cell r="BY61">
            <v>311.70529478177656</v>
          </cell>
          <cell r="BZ61">
            <v>289.22336753167411</v>
          </cell>
          <cell r="CA61">
            <v>356.92147750199359</v>
          </cell>
          <cell r="CB61">
            <v>1217.4977722396598</v>
          </cell>
          <cell r="CC61">
            <v>321.36975945893579</v>
          </cell>
          <cell r="CD61">
            <v>354.65315987509166</v>
          </cell>
          <cell r="CE61">
            <v>320.05026886916397</v>
          </cell>
          <cell r="CF61">
            <v>340.77376728922087</v>
          </cell>
          <cell r="CG61">
            <v>1336.8469554924122</v>
          </cell>
        </row>
        <row r="62">
          <cell r="B62" t="str">
            <v>Brand</v>
          </cell>
          <cell r="AP62">
            <v>4.6081530937668314</v>
          </cell>
          <cell r="AQ62">
            <v>5.6046788455927841</v>
          </cell>
          <cell r="AR62">
            <v>6.3620665164363679</v>
          </cell>
          <cell r="AS62">
            <v>16.574898455795982</v>
          </cell>
          <cell r="AT62">
            <v>7.404136322433124</v>
          </cell>
          <cell r="AU62">
            <v>6.4987229023784367</v>
          </cell>
          <cell r="AV62">
            <v>9.5461237978602433</v>
          </cell>
          <cell r="AW62">
            <v>7.775503309113839</v>
          </cell>
          <cell r="AX62">
            <v>31.224486331785641</v>
          </cell>
          <cell r="AY62">
            <v>10.259776041157519</v>
          </cell>
          <cell r="AZ62">
            <v>7.9642882545052816</v>
          </cell>
          <cell r="BA62">
            <v>6.7310735140082647</v>
          </cell>
          <cell r="BB62">
            <v>8.0746573924413436</v>
          </cell>
          <cell r="BC62">
            <v>33.02979520211241</v>
          </cell>
          <cell r="BD62">
            <v>5.5886410719992945</v>
          </cell>
          <cell r="BE62">
            <v>8.649552026997835</v>
          </cell>
          <cell r="BF62">
            <v>10.13319878508079</v>
          </cell>
          <cell r="BG62">
            <v>12.349006596333076</v>
          </cell>
          <cell r="BH62">
            <v>36.720398480410992</v>
          </cell>
          <cell r="BI62">
            <v>13.517682565211144</v>
          </cell>
          <cell r="BJ62">
            <v>13.172574431236724</v>
          </cell>
          <cell r="BK62">
            <v>40.740605558003516</v>
          </cell>
          <cell r="BL62">
            <v>44.561251094430553</v>
          </cell>
          <cell r="BM62">
            <v>111.99211364888194</v>
          </cell>
          <cell r="BN62">
            <v>41.789637824106904</v>
          </cell>
          <cell r="BO62">
            <v>40.272486698158609</v>
          </cell>
          <cell r="BP62">
            <v>47.671889699990338</v>
          </cell>
          <cell r="BQ62">
            <v>42.948766185175863</v>
          </cell>
          <cell r="BR62">
            <v>172.68278040743172</v>
          </cell>
          <cell r="BS62">
            <v>39.376740423106654</v>
          </cell>
          <cell r="BT62">
            <v>43.958495443036639</v>
          </cell>
          <cell r="BU62">
            <v>46.1286489503184</v>
          </cell>
          <cell r="BV62">
            <v>47.074423437740478</v>
          </cell>
          <cell r="BW62">
            <v>176.53830825420218</v>
          </cell>
          <cell r="BX62">
            <v>36.293477102297459</v>
          </cell>
          <cell r="BY62">
            <v>41.923498047827138</v>
          </cell>
          <cell r="BZ62">
            <v>46.192013921613402</v>
          </cell>
          <cell r="CA62">
            <v>46.817994750161176</v>
          </cell>
          <cell r="CB62">
            <v>171.22698382189918</v>
          </cell>
          <cell r="CC62">
            <v>57.083692924498258</v>
          </cell>
          <cell r="CD62">
            <v>64.602132740882254</v>
          </cell>
          <cell r="CE62">
            <v>70.239580921332816</v>
          </cell>
          <cell r="CF62">
            <v>68.172232411295127</v>
          </cell>
          <cell r="CG62">
            <v>260.09763899800845</v>
          </cell>
        </row>
        <row r="63">
          <cell r="B63" t="str">
            <v>Gross profit - total (est)</v>
          </cell>
          <cell r="AP63">
            <v>16.813999000000024</v>
          </cell>
          <cell r="AQ63">
            <v>24.524000999999998</v>
          </cell>
          <cell r="AR63">
            <v>28.169000857367067</v>
          </cell>
          <cell r="AS63">
            <v>69.507000857367075</v>
          </cell>
          <cell r="AT63">
            <v>28.807999999999982</v>
          </cell>
          <cell r="AU63">
            <v>34.53000000000003</v>
          </cell>
          <cell r="AV63">
            <v>36.238999999999997</v>
          </cell>
          <cell r="AW63">
            <v>38.653999999999996</v>
          </cell>
          <cell r="AX63">
            <v>138.23099999999999</v>
          </cell>
          <cell r="AY63">
            <v>38.335999999999999</v>
          </cell>
          <cell r="AZ63">
            <v>38.613999000000035</v>
          </cell>
          <cell r="BA63">
            <v>39.269000999999946</v>
          </cell>
          <cell r="BB63">
            <v>43.436999000000014</v>
          </cell>
          <cell r="BC63">
            <v>159.65599900000001</v>
          </cell>
          <cell r="BD63">
            <v>51.734999000000016</v>
          </cell>
          <cell r="BE63">
            <v>60.354999000000021</v>
          </cell>
          <cell r="BF63">
            <v>68.172001000000023</v>
          </cell>
          <cell r="BG63">
            <v>76.318000999999981</v>
          </cell>
          <cell r="BH63">
            <v>256.58000000000004</v>
          </cell>
          <cell r="BI63">
            <v>90.956000999999901</v>
          </cell>
          <cell r="BJ63">
            <v>96.715000999999916</v>
          </cell>
          <cell r="BK63">
            <v>210.69500000000019</v>
          </cell>
          <cell r="BL63">
            <v>245.68776638643055</v>
          </cell>
          <cell r="BM63">
            <v>644.05376838643053</v>
          </cell>
          <cell r="BN63">
            <v>227.4545717792069</v>
          </cell>
          <cell r="BO63">
            <v>246.98715427739893</v>
          </cell>
          <cell r="BP63">
            <v>268.13009309498375</v>
          </cell>
          <cell r="BQ63">
            <v>274.37036488159788</v>
          </cell>
          <cell r="BR63">
            <v>1016.9421840331875</v>
          </cell>
          <cell r="BS63">
            <v>252.74616474721876</v>
          </cell>
          <cell r="BT63">
            <v>301.58114020325161</v>
          </cell>
          <cell r="BU63">
            <v>285.23497895133636</v>
          </cell>
          <cell r="BV63">
            <v>341.95584501252677</v>
          </cell>
          <cell r="BW63">
            <v>1181.5181289143334</v>
          </cell>
          <cell r="BX63">
            <v>295.941109526513</v>
          </cell>
          <cell r="BY63">
            <v>353.6287928296037</v>
          </cell>
          <cell r="BZ63">
            <v>335.41538145328752</v>
          </cell>
          <cell r="CA63">
            <v>403.73947225215477</v>
          </cell>
          <cell r="CB63">
            <v>1388.724756061559</v>
          </cell>
          <cell r="CC63">
            <v>378.45345238343407</v>
          </cell>
          <cell r="CD63">
            <v>419.25529261597393</v>
          </cell>
          <cell r="CE63">
            <v>390.28984979049676</v>
          </cell>
          <cell r="CF63">
            <v>408.94599970051598</v>
          </cell>
          <cell r="CG63">
            <v>1596.9445944904207</v>
          </cell>
        </row>
        <row r="64">
          <cell r="B64" t="str">
            <v>Gross profit margin</v>
          </cell>
          <cell r="AP64">
            <v>8.2075558918285774E-2</v>
          </cell>
          <cell r="AQ64">
            <v>8.2522935748945078E-2</v>
          </cell>
          <cell r="AR64">
            <v>0.10440619734978637</v>
          </cell>
          <cell r="AS64">
            <v>9.0053639170510819E-2</v>
          </cell>
          <cell r="AT64">
            <v>0.10758084995145263</v>
          </cell>
          <cell r="AU64">
            <v>0.1174865433165707</v>
          </cell>
          <cell r="AV64">
            <v>0.10137548849843203</v>
          </cell>
          <cell r="AW64">
            <v>9.2739255715529864E-2</v>
          </cell>
          <cell r="AX64">
            <v>0.10346926035321363</v>
          </cell>
          <cell r="AY64">
            <v>8.9674434271652531E-2</v>
          </cell>
          <cell r="AZ64">
            <v>8.5562656355598954E-2</v>
          </cell>
          <cell r="BA64">
            <v>8.4806563983396657E-2</v>
          </cell>
          <cell r="BB64">
            <v>8.6915543629855097E-2</v>
          </cell>
          <cell r="BC64">
            <v>8.6694178431798441E-2</v>
          </cell>
          <cell r="BD64">
            <v>4.8263726965463022E-2</v>
          </cell>
          <cell r="BE64">
            <v>5.1024806908026014E-2</v>
          </cell>
          <cell r="BF64">
            <v>5.4261129493007244E-2</v>
          </cell>
          <cell r="BG64">
            <v>5.6611780039077381E-2</v>
          </cell>
          <cell r="BH64">
            <v>5.2802474130738915E-2</v>
          </cell>
          <cell r="BI64">
            <v>5.4103602604177452E-2</v>
          </cell>
          <cell r="BJ64">
            <v>5.8222450514078025E-2</v>
          </cell>
          <cell r="BK64">
            <v>6.687127371058689E-2</v>
          </cell>
          <cell r="BL64">
            <v>7.4630516593486226E-2</v>
          </cell>
          <cell r="BM64">
            <v>6.5819952841686041E-2</v>
          </cell>
          <cell r="BN64">
            <v>7.1491754767334284E-2</v>
          </cell>
          <cell r="BO64">
            <v>7.3025792326203237E-2</v>
          </cell>
          <cell r="BP64">
            <v>7.4922494183497113E-2</v>
          </cell>
          <cell r="BQ64">
            <v>7.1641315610995029E-2</v>
          </cell>
          <cell r="BR64">
            <v>7.2782811080776291E-2</v>
          </cell>
          <cell r="BS64">
            <v>5.8925775561663313E-2</v>
          </cell>
          <cell r="BT64">
            <v>6.126275967429947E-2</v>
          </cell>
          <cell r="BU64">
            <v>5.7627668510278202E-2</v>
          </cell>
          <cell r="BV64">
            <v>6.3288113055916737E-2</v>
          </cell>
          <cell r="BW64">
            <v>6.039012599179882E-2</v>
          </cell>
          <cell r="BX64">
            <v>6.254061630708628E-2</v>
          </cell>
          <cell r="BY64">
            <v>6.3728525143820491E-2</v>
          </cell>
          <cell r="BZ64">
            <v>5.8660566921734693E-2</v>
          </cell>
          <cell r="CA64">
            <v>6.4687387835662594E-2</v>
          </cell>
          <cell r="CB64">
            <v>6.2441912251249773E-2</v>
          </cell>
          <cell r="CC64">
            <v>6.2845949944374174E-2</v>
          </cell>
          <cell r="CD64">
            <v>6.2087127399988201E-2</v>
          </cell>
          <cell r="CE64">
            <v>5.6646812233040994E-2</v>
          </cell>
          <cell r="CF64">
            <v>5.931069196804236E-2</v>
          </cell>
          <cell r="CG64">
            <v>6.0127110484077539E-2</v>
          </cell>
        </row>
        <row r="66">
          <cell r="B66" t="str">
            <v>Difference - PBM gross profit</v>
          </cell>
          <cell r="AP66">
            <v>9.9999999747524271E-7</v>
          </cell>
          <cell r="AQ66">
            <v>-9.9999999747524271E-7</v>
          </cell>
          <cell r="AR66">
            <v>-8.57367055573377E-7</v>
          </cell>
          <cell r="AS66">
            <v>-8.5736704136252229E-7</v>
          </cell>
          <cell r="AT66">
            <v>0</v>
          </cell>
          <cell r="AU66">
            <v>0</v>
          </cell>
          <cell r="AV66">
            <v>0</v>
          </cell>
          <cell r="AW66">
            <v>0</v>
          </cell>
          <cell r="AX66">
            <v>0</v>
          </cell>
          <cell r="AY66">
            <v>0</v>
          </cell>
          <cell r="AZ66">
            <v>9.9999999747524271E-7</v>
          </cell>
          <cell r="BA66">
            <v>-9.9999999747524271E-7</v>
          </cell>
          <cell r="BB66">
            <v>9.9999999747524271E-7</v>
          </cell>
          <cell r="BC66">
            <v>9.9999999747524271E-7</v>
          </cell>
          <cell r="BD66">
            <v>9.9999999747524271E-7</v>
          </cell>
          <cell r="BE66">
            <v>9.9999999747524271E-7</v>
          </cell>
          <cell r="BF66">
            <v>-9.9999999747524271E-7</v>
          </cell>
          <cell r="BG66">
            <v>-9.9999999747524271E-7</v>
          </cell>
          <cell r="BH66">
            <v>0</v>
          </cell>
          <cell r="BI66">
            <v>-9.9999999747524271E-7</v>
          </cell>
          <cell r="BJ66">
            <v>-9.9999999747524271E-7</v>
          </cell>
          <cell r="BK66">
            <v>0</v>
          </cell>
          <cell r="BL66">
            <v>3.233613569705085E-3</v>
          </cell>
          <cell r="BM66">
            <v>3.2316135697101345E-3</v>
          </cell>
          <cell r="BN66">
            <v>-2.5717792071304757E-3</v>
          </cell>
          <cell r="BO66">
            <v>-3.1542773985506756E-3</v>
          </cell>
          <cell r="BP66">
            <v>9.0690501610879437E-4</v>
          </cell>
          <cell r="BQ66">
            <v>0</v>
          </cell>
          <cell r="BR66">
            <v>-4.8191515895723569E-3</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row>
        <row r="68">
          <cell r="B68" t="str">
            <v>Margin % (PBM)</v>
          </cell>
        </row>
        <row r="69">
          <cell r="B69" t="str">
            <v>COGS</v>
          </cell>
          <cell r="AP69">
            <v>0.91792443620033182</v>
          </cell>
          <cell r="AQ69">
            <v>0.91747706761604153</v>
          </cell>
          <cell r="AR69">
            <v>0.89559380582797754</v>
          </cell>
          <cell r="AS69">
            <v>0.90994636194029843</v>
          </cell>
          <cell r="AT69">
            <v>0.89241915004854744</v>
          </cell>
          <cell r="AU69">
            <v>0.88251345668342929</v>
          </cell>
          <cell r="AV69">
            <v>0.89862451150156786</v>
          </cell>
          <cell r="AW69">
            <v>0.90726074428447012</v>
          </cell>
          <cell r="AX69">
            <v>0.8965307396467862</v>
          </cell>
          <cell r="AY69">
            <v>0.91032556572834744</v>
          </cell>
          <cell r="AZ69">
            <v>0.91443734142855548</v>
          </cell>
          <cell r="BA69">
            <v>0.91519343817623466</v>
          </cell>
          <cell r="BB69">
            <v>0.9130844543691885</v>
          </cell>
          <cell r="BC69">
            <v>0.91330582102519553</v>
          </cell>
          <cell r="BD69">
            <v>0.95173627210163414</v>
          </cell>
          <cell r="BE69">
            <v>0.94897519224656257</v>
          </cell>
          <cell r="BF69">
            <v>0.94573887130293721</v>
          </cell>
          <cell r="BG69">
            <v>0.94338822070271067</v>
          </cell>
          <cell r="BH69">
            <v>0.94719752586926087</v>
          </cell>
          <cell r="BI69">
            <v>0.94589639799065528</v>
          </cell>
          <cell r="BJ69">
            <v>0.94177755008792219</v>
          </cell>
          <cell r="BK69">
            <v>0.93312872628941312</v>
          </cell>
          <cell r="BL69">
            <v>0.92536852350020771</v>
          </cell>
          <cell r="BM69">
            <v>0.93417972352820633</v>
          </cell>
          <cell r="BN69">
            <v>0.92850912746070868</v>
          </cell>
          <cell r="BO69">
            <v>0.926975233539166</v>
          </cell>
          <cell r="BP69">
            <v>0.92507726823232694</v>
          </cell>
          <cell r="BQ69">
            <v>0.92835868438900504</v>
          </cell>
          <cell r="BR69">
            <v>0.92721757739171229</v>
          </cell>
          <cell r="BS69">
            <v>0.94107422443833666</v>
          </cell>
          <cell r="BT69">
            <v>0.93873724032570061</v>
          </cell>
          <cell r="BU69">
            <v>0.94237233148972177</v>
          </cell>
          <cell r="BV69">
            <v>0.93671188694408325</v>
          </cell>
          <cell r="BW69">
            <v>0.93960987400820117</v>
          </cell>
          <cell r="BX69">
            <v>0.93745938369291371</v>
          </cell>
          <cell r="BY69">
            <v>0.93627147485617956</v>
          </cell>
          <cell r="BZ69">
            <v>0.94133943307826529</v>
          </cell>
          <cell r="CA69">
            <v>0.93531261216433736</v>
          </cell>
          <cell r="CB69">
            <v>0.93755808774875027</v>
          </cell>
          <cell r="CC69">
            <v>0.9371540500556258</v>
          </cell>
          <cell r="CD69">
            <v>0.93791287260001177</v>
          </cell>
          <cell r="CE69">
            <v>0.94335318776695898</v>
          </cell>
          <cell r="CF69">
            <v>0.94068930803195761</v>
          </cell>
          <cell r="CG69">
            <v>0.93987288951592241</v>
          </cell>
        </row>
        <row r="70">
          <cell r="B70" t="str">
            <v>Gross margin - total</v>
          </cell>
          <cell r="AP70">
            <v>8.2075563799668169E-2</v>
          </cell>
          <cell r="AQ70">
            <v>8.2522932383958442E-2</v>
          </cell>
          <cell r="AR70">
            <v>0.10440619417202247</v>
          </cell>
          <cell r="AS70">
            <v>9.0053638059701527E-2</v>
          </cell>
          <cell r="AT70">
            <v>0.10758084995145256</v>
          </cell>
          <cell r="AU70">
            <v>0.1174865433165707</v>
          </cell>
          <cell r="AV70">
            <v>0.10137548849843214</v>
          </cell>
          <cell r="AW70">
            <v>9.2739255715529864E-2</v>
          </cell>
          <cell r="AX70">
            <v>0.10346926035321366</v>
          </cell>
          <cell r="AY70">
            <v>8.9674434271652559E-2</v>
          </cell>
          <cell r="AZ70">
            <v>8.5562658571444475E-2</v>
          </cell>
          <cell r="BA70">
            <v>8.4806561823765336E-2</v>
          </cell>
          <cell r="BB70">
            <v>8.6915545630811553E-2</v>
          </cell>
          <cell r="BC70">
            <v>8.6694178974804526E-2</v>
          </cell>
          <cell r="BD70">
            <v>4.8263727898365846E-2</v>
          </cell>
          <cell r="BE70">
            <v>5.1024807753437457E-2</v>
          </cell>
          <cell r="BF70">
            <v>5.4261128697062747E-2</v>
          </cell>
          <cell r="BG70">
            <v>5.6611779297289347E-2</v>
          </cell>
          <cell r="BH70">
            <v>5.2802474130738915E-2</v>
          </cell>
          <cell r="BI70">
            <v>5.4103602009344762E-2</v>
          </cell>
          <cell r="BJ70">
            <v>5.8222449912077825E-2</v>
          </cell>
          <cell r="BK70">
            <v>6.6871273710586876E-2</v>
          </cell>
          <cell r="BL70">
            <v>7.4631476499792307E-2</v>
          </cell>
          <cell r="BM70">
            <v>6.5820276471793573E-2</v>
          </cell>
          <cell r="BN70">
            <v>7.1490872539291275E-2</v>
          </cell>
          <cell r="BO70">
            <v>7.3024766460833973E-2</v>
          </cell>
          <cell r="BP70">
            <v>7.4922731767673015E-2</v>
          </cell>
          <cell r="BQ70">
            <v>7.1641315610995029E-2</v>
          </cell>
          <cell r="BR70">
            <v>7.2782422608287711E-2</v>
          </cell>
          <cell r="BS70">
            <v>5.8925775561663313E-2</v>
          </cell>
          <cell r="BT70">
            <v>6.126275967429947E-2</v>
          </cell>
          <cell r="BU70">
            <v>5.7627668510278202E-2</v>
          </cell>
          <cell r="BV70">
            <v>6.3288113055916737E-2</v>
          </cell>
          <cell r="BW70">
            <v>6.039012599179882E-2</v>
          </cell>
          <cell r="BX70">
            <v>6.254061630708628E-2</v>
          </cell>
          <cell r="BY70">
            <v>6.3728525143820491E-2</v>
          </cell>
          <cell r="BZ70">
            <v>5.8660566921734693E-2</v>
          </cell>
          <cell r="CA70">
            <v>6.4687387835662594E-2</v>
          </cell>
          <cell r="CB70">
            <v>6.2441912251249773E-2</v>
          </cell>
          <cell r="CC70">
            <v>6.2845949944374174E-2</v>
          </cell>
          <cell r="CD70">
            <v>6.2087127399988201E-2</v>
          </cell>
          <cell r="CE70">
            <v>5.6646812233040994E-2</v>
          </cell>
          <cell r="CF70">
            <v>5.931069196804236E-2</v>
          </cell>
          <cell r="CG70">
            <v>6.0127110484077546E-2</v>
          </cell>
        </row>
        <row r="71">
          <cell r="B71" t="str">
            <v>Revenue per script</v>
          </cell>
          <cell r="AP71">
            <v>28.452777777777779</v>
          </cell>
          <cell r="AQ71">
            <v>33.390786516853929</v>
          </cell>
          <cell r="AR71">
            <v>32.119285714285716</v>
          </cell>
          <cell r="AS71">
            <v>31.503673469387756</v>
          </cell>
          <cell r="AT71">
            <v>31.878571428571423</v>
          </cell>
          <cell r="AU71">
            <v>33.02314606741573</v>
          </cell>
          <cell r="AV71">
            <v>36.108383838383837</v>
          </cell>
          <cell r="AW71">
            <v>37.549819819819824</v>
          </cell>
          <cell r="AX71">
            <v>34.881514360313311</v>
          </cell>
          <cell r="AY71">
            <v>36.538632478632479</v>
          </cell>
          <cell r="AZ71">
            <v>38.24533898305085</v>
          </cell>
          <cell r="BA71">
            <v>38.911092436974783</v>
          </cell>
          <cell r="BB71">
            <v>39.66357142857143</v>
          </cell>
          <cell r="BC71">
            <v>38.366666666666667</v>
          </cell>
          <cell r="BD71">
            <v>50.325023474178401</v>
          </cell>
          <cell r="BE71">
            <v>51.879649122807017</v>
          </cell>
          <cell r="BF71">
            <v>53.921416309012869</v>
          </cell>
          <cell r="BG71">
            <v>55.477119341563792</v>
          </cell>
          <cell r="BH71">
            <v>52.99064340239913</v>
          </cell>
          <cell r="BI71">
            <v>48.870494186046514</v>
          </cell>
          <cell r="BJ71">
            <v>50.034006024096378</v>
          </cell>
          <cell r="BK71">
            <v>49.230546875000002</v>
          </cell>
          <cell r="BL71">
            <v>48.916136701337287</v>
          </cell>
          <cell r="BM71">
            <v>49.196003016591256</v>
          </cell>
          <cell r="BN71">
            <v>47.914954819277099</v>
          </cell>
          <cell r="BO71">
            <v>49.738161764705886</v>
          </cell>
          <cell r="BP71">
            <v>51.493050359712228</v>
          </cell>
          <cell r="BQ71">
            <v>51.174530406625543</v>
          </cell>
          <cell r="BR71">
            <v>50.127051478672087</v>
          </cell>
          <cell r="BS71">
            <v>46.140590883818867</v>
          </cell>
          <cell r="BT71">
            <v>48.262237301240653</v>
          </cell>
          <cell r="BU71">
            <v>47.478355711880575</v>
          </cell>
          <cell r="BV71">
            <v>48.132325276453521</v>
          </cell>
          <cell r="BW71">
            <v>47.548858582268039</v>
          </cell>
          <cell r="BX71">
            <v>46.275843196247209</v>
          </cell>
          <cell r="BY71">
            <v>49.456217054875147</v>
          </cell>
          <cell r="BZ71">
            <v>49.861802009322872</v>
          </cell>
          <cell r="CA71">
            <v>50.544961556830458</v>
          </cell>
          <cell r="CB71">
            <v>49.137486754377782</v>
          </cell>
          <cell r="CC71">
            <v>52.13785884833073</v>
          </cell>
          <cell r="CD71">
            <v>57.771612602019736</v>
          </cell>
          <cell r="CE71">
            <v>59.062037303752909</v>
          </cell>
          <cell r="CF71">
            <v>56.362924418284415</v>
          </cell>
          <cell r="CG71">
            <v>56.344946859583963</v>
          </cell>
        </row>
        <row r="72">
          <cell r="B72" t="str">
            <v>GM per script</v>
          </cell>
          <cell r="AP72">
            <v>2.3352777777777809</v>
          </cell>
          <cell r="AQ72">
            <v>2.7555056179775281</v>
          </cell>
          <cell r="AR72">
            <v>3.353452380952382</v>
          </cell>
          <cell r="AS72">
            <v>2.8370204081632666</v>
          </cell>
          <cell r="AT72">
            <v>3.429523809523805</v>
          </cell>
          <cell r="AU72">
            <v>3.8797752808988797</v>
          </cell>
          <cell r="AV72">
            <v>3.6605050505050536</v>
          </cell>
          <cell r="AW72">
            <v>3.4823423423423421</v>
          </cell>
          <cell r="AX72">
            <v>3.6091644908616192</v>
          </cell>
          <cell r="AY72">
            <v>3.2765811965811977</v>
          </cell>
          <cell r="AZ72">
            <v>3.2723728813559347</v>
          </cell>
          <cell r="BA72">
            <v>3.2999159663865503</v>
          </cell>
          <cell r="BB72">
            <v>3.4473809523809535</v>
          </cell>
          <cell r="BC72">
            <v>3.3261666666666669</v>
          </cell>
          <cell r="BD72">
            <v>2.4288732394366201</v>
          </cell>
          <cell r="BE72">
            <v>2.6471491228070181</v>
          </cell>
          <cell r="BF72">
            <v>2.9258369098712458</v>
          </cell>
          <cell r="BG72">
            <v>3.1406584362139913</v>
          </cell>
          <cell r="BH72">
            <v>2.798037077426391</v>
          </cell>
          <cell r="BI72">
            <v>2.6440697674418576</v>
          </cell>
          <cell r="BJ72">
            <v>2.9131024096385514</v>
          </cell>
          <cell r="BK72">
            <v>3.2921093750000026</v>
          </cell>
          <cell r="BL72">
            <v>3.6506835066864816</v>
          </cell>
          <cell r="BM72">
            <v>3.238094519859227</v>
          </cell>
          <cell r="BN72">
            <v>3.4254819277108397</v>
          </cell>
          <cell r="BO72">
            <v>3.6321176470588292</v>
          </cell>
          <cell r="BP72">
            <v>3.8579999999999979</v>
          </cell>
          <cell r="BQ72">
            <v>3.6662106841055229</v>
          </cell>
          <cell r="BR72">
            <v>3.648368244828105</v>
          </cell>
          <cell r="BS72">
            <v>2.7188701027024389</v>
          </cell>
          <cell r="BT72">
            <v>2.9566778451299176</v>
          </cell>
          <cell r="BU72">
            <v>2.7360669443773271</v>
          </cell>
          <cell r="BV72">
            <v>3.0462040437403495</v>
          </cell>
          <cell r="BW72">
            <v>2.8714815605493915</v>
          </cell>
          <cell r="BX72">
            <v>2.8941197536233858</v>
          </cell>
          <cell r="BY72">
            <v>3.1517717720998548</v>
          </cell>
          <cell r="BZ72">
            <v>2.9249215736061696</v>
          </cell>
          <cell r="CA72">
            <v>3.2696215313653481</v>
          </cell>
          <cell r="CB72">
            <v>3.0682386361638057</v>
          </cell>
          <cell r="CC72">
            <v>3.2766532673890389</v>
          </cell>
          <cell r="CD72">
            <v>3.5868734717243629</v>
          </cell>
          <cell r="CE72">
            <v>3.3456761372465538</v>
          </cell>
          <cell r="CF72">
            <v>3.3429240485909202</v>
          </cell>
          <cell r="CG72">
            <v>3.3878588450456828</v>
          </cell>
        </row>
        <row r="75">
          <cell r="B75" t="str">
            <v>Year-over-Year Growth (PBM)</v>
          </cell>
        </row>
        <row r="76">
          <cell r="B76" t="str">
            <v>Total Revenues</v>
          </cell>
          <cell r="AU76">
            <v>0.43466757785804933</v>
          </cell>
          <cell r="AV76">
            <v>0.20289186951927807</v>
          </cell>
          <cell r="AW76">
            <v>0.54484770313044373</v>
          </cell>
          <cell r="AX76">
            <v>0.7308794568822552</v>
          </cell>
          <cell r="AY76">
            <v>0.59646724923444649</v>
          </cell>
          <cell r="AZ76">
            <v>0.53550795152191522</v>
          </cell>
          <cell r="BA76">
            <v>0.29532020600157205</v>
          </cell>
          <cell r="BB76">
            <v>0.19903407605031642</v>
          </cell>
          <cell r="BC76">
            <v>0.37848232210197597</v>
          </cell>
          <cell r="BD76">
            <v>1.5074104916468225</v>
          </cell>
          <cell r="BE76">
            <v>1.6210261580562602</v>
          </cell>
          <cell r="BF76">
            <v>1.7132938264779436</v>
          </cell>
          <cell r="BG76">
            <v>1.6974773941944248</v>
          </cell>
          <cell r="BH76">
            <v>1.6385979582971331</v>
          </cell>
          <cell r="BI76">
            <v>0.56834492776066936</v>
          </cell>
          <cell r="BJ76">
            <v>0.40433746795890624</v>
          </cell>
          <cell r="BK76">
            <v>1.5078261243313076</v>
          </cell>
          <cell r="BL76">
            <v>1.4420077531685473</v>
          </cell>
          <cell r="BM76">
            <v>1.0137060471571493</v>
          </cell>
          <cell r="BN76">
            <v>0.89249172439022217</v>
          </cell>
          <cell r="BO76">
            <v>1.0360820863400737</v>
          </cell>
          <cell r="BP76">
            <v>0.13584426589817356</v>
          </cell>
          <cell r="BQ76">
            <v>0.1633393919250592</v>
          </cell>
          <cell r="BR76">
            <v>0.42791742996849202</v>
          </cell>
          <cell r="BS76">
            <v>0.34815586242310048</v>
          </cell>
          <cell r="BT76">
            <v>0.45548917337011807</v>
          </cell>
          <cell r="BU76">
            <v>0.38305136460785238</v>
          </cell>
          <cell r="BV76">
            <v>0.41082853796608121</v>
          </cell>
          <cell r="BW76">
            <v>0.4002537892113478</v>
          </cell>
          <cell r="BX76">
            <v>0.10322443949722704</v>
          </cell>
          <cell r="BY76">
            <v>0.12721336188374721</v>
          </cell>
          <cell r="BZ76">
            <v>0.15522076086831449</v>
          </cell>
          <cell r="CA76">
            <v>0.15513757943693052</v>
          </cell>
          <cell r="CB76">
            <v>0.13675148134833237</v>
          </cell>
          <cell r="CC76">
            <v>0.10650867772117034</v>
          </cell>
          <cell r="CD76">
            <v>0.10499512686812706</v>
          </cell>
          <cell r="CE76">
            <v>0.1002651963563741</v>
          </cell>
          <cell r="CF76">
            <v>0.1009255505199107</v>
          </cell>
          <cell r="CG76">
            <v>0.10304859473443773</v>
          </cell>
        </row>
        <row r="77">
          <cell r="B77" t="str">
            <v>Cost of revenues</v>
          </cell>
          <cell r="AU77">
            <v>0.37932208076747176</v>
          </cell>
          <cell r="AV77">
            <v>0.17817453622539925</v>
          </cell>
          <cell r="AW77">
            <v>0.5649724996171881</v>
          </cell>
          <cell r="AX77">
            <v>0.70536056258213664</v>
          </cell>
          <cell r="AY77">
            <v>0.628500410089885</v>
          </cell>
          <cell r="AZ77">
            <v>0.59105314292764177</v>
          </cell>
          <cell r="BA77">
            <v>0.31920344670862999</v>
          </cell>
          <cell r="BB77">
            <v>0.2067306802345108</v>
          </cell>
          <cell r="BC77">
            <v>0.40427525045273138</v>
          </cell>
          <cell r="BD77">
            <v>1.621472584963743</v>
          </cell>
          <cell r="BE77">
            <v>1.7200210331951316</v>
          </cell>
          <cell r="BF77">
            <v>1.803852534257727</v>
          </cell>
          <cell r="BG77">
            <v>1.7870022177224953</v>
          </cell>
          <cell r="BH77">
            <v>1.736513225172776</v>
          </cell>
          <cell r="BI77">
            <v>0.55872152975726053</v>
          </cell>
          <cell r="BJ77">
            <v>0.39368606353134661</v>
          </cell>
          <cell r="BK77">
            <v>1.4743876646717675</v>
          </cell>
          <cell r="BL77">
            <v>1.3953628626424774</v>
          </cell>
          <cell r="BM77">
            <v>0.98603069267306642</v>
          </cell>
          <cell r="BN77">
            <v>0.8577043357739238</v>
          </cell>
          <cell r="BO77">
            <v>1.0040801220137379</v>
          </cell>
          <cell r="BP77">
            <v>0.12604368618327522</v>
          </cell>
          <cell r="BQ77">
            <v>0.16709851260162378</v>
          </cell>
          <cell r="BR77">
            <v>0.41727561280215353</v>
          </cell>
          <cell r="BS77">
            <v>0.36639985017864451</v>
          </cell>
          <cell r="BT77">
            <v>0.47395727576973146</v>
          </cell>
          <cell r="BU77">
            <v>0.40890862179116438</v>
          </cell>
          <cell r="BV77">
            <v>0.42352291649270835</v>
          </cell>
          <cell r="BW77">
            <v>0.41896823198871869</v>
          </cell>
          <cell r="BX77">
            <v>9.8986749683098507E-2</v>
          </cell>
          <cell r="BY77">
            <v>0.12425252932579811</v>
          </cell>
          <cell r="BZ77">
            <v>0.15395456740219671</v>
          </cell>
          <cell r="CA77">
            <v>0.15341201696188178</v>
          </cell>
          <cell r="CB77">
            <v>0.13426920531616227</v>
          </cell>
          <cell r="CC77">
            <v>0.10699334582069286</v>
          </cell>
          <cell r="CD77">
            <v>0.10541636588023762</v>
          </cell>
          <cell r="CE77">
            <v>0.1005647565273502</v>
          </cell>
          <cell r="CF77">
            <v>0.10120278791657489</v>
          </cell>
          <cell r="CG77">
            <v>0.10340822507970504</v>
          </cell>
        </row>
        <row r="78">
          <cell r="B78" t="str">
            <v>Gross profit</v>
          </cell>
          <cell r="AU78">
            <v>1.053645771380991</v>
          </cell>
          <cell r="AV78">
            <v>0.47769531887131111</v>
          </cell>
          <cell r="AW78">
            <v>0.37221768610884243</v>
          </cell>
          <cell r="AX78">
            <v>0.98873494755923796</v>
          </cell>
          <cell r="AY78">
            <v>0.33074146070536181</v>
          </cell>
          <cell r="AZ78">
            <v>0.11827396466840434</v>
          </cell>
          <cell r="BA78">
            <v>8.361157868594371E-2</v>
          </cell>
          <cell r="BB78">
            <v>0.12373881098980744</v>
          </cell>
          <cell r="BC78">
            <v>0.1549941764148417</v>
          </cell>
          <cell r="BD78">
            <v>0.349514816360601</v>
          </cell>
          <cell r="BE78">
            <v>0.56303413269798441</v>
          </cell>
          <cell r="BF78">
            <v>0.73602587282589615</v>
          </cell>
          <cell r="BG78">
            <v>0.75698137532518284</v>
          </cell>
          <cell r="BH78">
            <v>0.60708022247832871</v>
          </cell>
          <cell r="BI78">
            <v>0.75811346283946812</v>
          </cell>
          <cell r="BJ78">
            <v>0.60243558942920861</v>
          </cell>
          <cell r="BK78">
            <v>2.0906383852608119</v>
          </cell>
          <cell r="BL78">
            <v>2.2193060614796027</v>
          </cell>
          <cell r="BM78">
            <v>1.5101605737002108</v>
          </cell>
          <cell r="BN78">
            <v>1.5006816482694929</v>
          </cell>
          <cell r="BO78">
            <v>1.5537300315359621</v>
          </cell>
          <cell r="BP78">
            <v>0.27260257718502889</v>
          </cell>
          <cell r="BQ78">
            <v>0.11672940759570993</v>
          </cell>
          <cell r="BR78">
            <v>0.57895553480762962</v>
          </cell>
          <cell r="BS78">
            <v>0.1112066051176468</v>
          </cell>
          <cell r="BT78">
            <v>0.22105537283083576</v>
          </cell>
          <cell r="BU78">
            <v>6.3789636227577162E-2</v>
          </cell>
          <cell r="BV78">
            <v>0.24632937365555052</v>
          </cell>
          <cell r="BW78">
            <v>0.161839627214305</v>
          </cell>
          <cell r="BX78">
            <v>0.17090247372297496</v>
          </cell>
          <cell r="BY78">
            <v>0.17258258454515563</v>
          </cell>
          <cell r="BZ78">
            <v>0.17592653848570361</v>
          </cell>
          <cell r="CA78">
            <v>0.18067720771775297</v>
          </cell>
          <cell r="CB78">
            <v>0.17537321017462726</v>
          </cell>
          <cell r="CC78">
            <v>9.9331367193104869E-2</v>
          </cell>
          <cell r="CD78">
            <v>9.8670555309468222E-2</v>
          </cell>
          <cell r="CE78">
            <v>9.5300409998324342E-2</v>
          </cell>
          <cell r="CF78">
            <v>9.65470540971336E-2</v>
          </cell>
          <cell r="CG78">
            <v>9.7457374960529863E-2</v>
          </cell>
        </row>
        <row r="79">
          <cell r="B79" t="str">
            <v>Revenue per script</v>
          </cell>
          <cell r="AU79">
            <v>0.16062995062673657</v>
          </cell>
          <cell r="AV79">
            <v>8.1387640274906525E-2</v>
          </cell>
          <cell r="AW79">
            <v>0.1690739375041197</v>
          </cell>
          <cell r="AX79">
            <v>0.10722054030327022</v>
          </cell>
          <cell r="AY79">
            <v>0.14618161483498726</v>
          </cell>
          <cell r="AZ79">
            <v>0.15813735326652933</v>
          </cell>
          <cell r="BA79">
            <v>7.7619331043324635E-2</v>
          </cell>
          <cell r="BB79">
            <v>5.6291924139564298E-2</v>
          </cell>
          <cell r="BC79">
            <v>9.9914019510535246E-2</v>
          </cell>
          <cell r="BD79">
            <v>0.37730998836938134</v>
          </cell>
          <cell r="BE79">
            <v>0.3564959940817487</v>
          </cell>
          <cell r="BF79">
            <v>0.38575950794367087</v>
          </cell>
          <cell r="BG79">
            <v>0.39869198217488711</v>
          </cell>
          <cell r="BH79">
            <v>0.38116359867243599</v>
          </cell>
          <cell r="BI79">
            <v>-2.8902704613306351E-2</v>
          </cell>
          <cell r="BJ79">
            <v>-3.5575473811353731E-2</v>
          </cell>
          <cell r="BK79">
            <v>-8.6994551610633408E-2</v>
          </cell>
          <cell r="BL79">
            <v>-0.11826465970288724</v>
          </cell>
          <cell r="BM79">
            <v>-7.1609630345346509E-2</v>
          </cell>
          <cell r="BN79">
            <v>-1.9552480135186401E-2</v>
          </cell>
          <cell r="BO79">
            <v>-5.9128637280815299E-3</v>
          </cell>
          <cell r="BP79">
            <v>4.5957309604073515E-2</v>
          </cell>
          <cell r="BQ79">
            <v>4.6168684969484008E-2</v>
          </cell>
          <cell r="BR79">
            <v>1.8925286710118172E-2</v>
          </cell>
          <cell r="BS79">
            <v>-3.7031526840642481E-2</v>
          </cell>
          <cell r="BT79">
            <v>-2.9673884419921359E-2</v>
          </cell>
          <cell r="BU79">
            <v>-7.7965756928098373E-2</v>
          </cell>
          <cell r="BV79">
            <v>-5.9447641355945824E-2</v>
          </cell>
          <cell r="BW79">
            <v>-5.1433164735432468E-2</v>
          </cell>
          <cell r="BX79">
            <v>2.9313086338427219E-3</v>
          </cell>
          <cell r="BY79">
            <v>2.4739419894315606E-2</v>
          </cell>
          <cell r="BZ79">
            <v>5.0200691698467637E-2</v>
          </cell>
          <cell r="CA79">
            <v>5.0125072215391198E-2</v>
          </cell>
          <cell r="CB79">
            <v>3.3410437589393105E-2</v>
          </cell>
          <cell r="CC79">
            <v>5.3817788305876579E-2</v>
          </cell>
          <cell r="CD79">
            <v>5.2376311302978262E-2</v>
          </cell>
          <cell r="CE79">
            <v>4.7871615577498972E-2</v>
          </cell>
          <cell r="CF79">
            <v>4.8500524304676773E-2</v>
          </cell>
          <cell r="CG79">
            <v>5.0522471175655115E-2</v>
          </cell>
        </row>
        <row r="81">
          <cell r="B81" t="str">
            <v>Total Adj. SG&amp;A Reported</v>
          </cell>
        </row>
        <row r="82">
          <cell r="B82" t="str">
            <v>Total Adj. SG&amp;A</v>
          </cell>
        </row>
        <row r="83">
          <cell r="B83" t="str">
            <v>Check</v>
          </cell>
        </row>
        <row r="85">
          <cell r="B85" t="str">
            <v>Gross profit $ per script</v>
          </cell>
        </row>
        <row r="86">
          <cell r="B86" t="str">
            <v>Generic</v>
          </cell>
          <cell r="AP86">
            <v>2.4568932983561176</v>
          </cell>
          <cell r="AQ86">
            <v>3.0808210640624027</v>
          </cell>
          <cell r="AR86">
            <v>3.7624110319066082</v>
          </cell>
          <cell r="AS86">
            <v>3.1311506892381602</v>
          </cell>
          <cell r="AT86">
            <v>3.5888436749776758</v>
          </cell>
          <cell r="AU86">
            <v>4.4360305582563049</v>
          </cell>
          <cell r="AV86">
            <v>3.7975353822933213</v>
          </cell>
          <cell r="AW86">
            <v>3.863675762122893</v>
          </cell>
          <cell r="AX86">
            <v>3.919078291393729</v>
          </cell>
          <cell r="AY86">
            <v>3.287229125259628</v>
          </cell>
          <cell r="AZ86">
            <v>3.463244152033305</v>
          </cell>
          <cell r="BA86">
            <v>3.5977363429889073</v>
          </cell>
          <cell r="BB86">
            <v>3.6448507119726519</v>
          </cell>
          <cell r="BC86">
            <v>3.5040596562494839</v>
          </cell>
          <cell r="BD86">
            <v>2.7882827250591062</v>
          </cell>
          <cell r="BE86">
            <v>2.9033010348304868</v>
          </cell>
          <cell r="BF86">
            <v>3.173954579227912</v>
          </cell>
          <cell r="BG86">
            <v>3.3271006277499056</v>
          </cell>
          <cell r="BH86">
            <v>3.059048146938053</v>
          </cell>
          <cell r="BI86">
            <v>2.8138923849850563</v>
          </cell>
          <cell r="BJ86">
            <v>3.1065903082241255</v>
          </cell>
          <cell r="BK86">
            <v>3.1994426664532507</v>
          </cell>
          <cell r="BL86">
            <v>3.6006107393974105</v>
          </cell>
          <cell r="BM86">
            <v>3.2563706369233834</v>
          </cell>
          <cell r="BN86">
            <v>3.3688658360266364</v>
          </cell>
          <cell r="BO86">
            <v>3.6189542643424426</v>
          </cell>
          <cell r="BP86">
            <v>3.776262476789884</v>
          </cell>
          <cell r="BQ86">
            <v>3.6614612347517861</v>
          </cell>
          <cell r="BR86">
            <v>3.6107744416216114</v>
          </cell>
          <cell r="BS86">
            <v>2.6610407227373347</v>
          </cell>
          <cell r="BT86">
            <v>2.9037495220455893</v>
          </cell>
          <cell r="BU86">
            <v>2.6122243915299506</v>
          </cell>
          <cell r="BV86">
            <v>2.984560324429725</v>
          </cell>
          <cell r="BW86">
            <v>2.7975219965641016</v>
          </cell>
          <cell r="BX86">
            <v>2.8765021514987659</v>
          </cell>
          <cell r="BY86">
            <v>3.1388628051454748</v>
          </cell>
          <cell r="BZ86">
            <v>2.843618662890389</v>
          </cell>
          <cell r="CA86">
            <v>3.2489366023030848</v>
          </cell>
          <cell r="CB86">
            <v>3.035111201729273</v>
          </cell>
          <cell r="CC86">
            <v>3.182694793052784</v>
          </cell>
          <cell r="CD86">
            <v>3.4614178731691343</v>
          </cell>
          <cell r="CE86">
            <v>3.1232330418382093</v>
          </cell>
          <cell r="CF86">
            <v>3.1613233072813407</v>
          </cell>
          <cell r="CG86">
            <v>3.2314271274036477</v>
          </cell>
        </row>
        <row r="87">
          <cell r="B87" t="str">
            <v>Brand</v>
          </cell>
          <cell r="AP87">
            <v>2.0645847194295834</v>
          </cell>
          <cell r="AQ87">
            <v>2.0314167617226468</v>
          </cell>
          <cell r="AR87">
            <v>2.4431899064655784</v>
          </cell>
          <cell r="AS87">
            <v>2.1823434438177718</v>
          </cell>
          <cell r="AT87">
            <v>3.0394648285850256</v>
          </cell>
          <cell r="AU87">
            <v>2.517908912196217</v>
          </cell>
          <cell r="AV87">
            <v>3.3250169968165246</v>
          </cell>
          <cell r="AW87">
            <v>2.5017706914780691</v>
          </cell>
          <cell r="AX87">
            <v>2.8396222564373987</v>
          </cell>
          <cell r="AY87">
            <v>3.2477923523765493</v>
          </cell>
          <cell r="AZ87">
            <v>2.6997587303407733</v>
          </cell>
          <cell r="BA87">
            <v>2.3568184572858071</v>
          </cell>
          <cell r="BB87">
            <v>2.7862861947692701</v>
          </cell>
          <cell r="BC87">
            <v>2.784270016194252</v>
          </cell>
          <cell r="BD87">
            <v>1.1765807852795418</v>
          </cell>
          <cell r="BE87">
            <v>1.7330966986964873</v>
          </cell>
          <cell r="BF87">
            <v>2.0209643462958713</v>
          </cell>
          <cell r="BG87">
            <v>2.4340924685890704</v>
          </cell>
          <cell r="BH87">
            <v>1.8519372950337638</v>
          </cell>
          <cell r="BI87">
            <v>1.9647794426178995</v>
          </cell>
          <cell r="BJ87">
            <v>2.0882331057762724</v>
          </cell>
          <cell r="BK87">
            <v>3.7445409520223811</v>
          </cell>
          <cell r="BL87">
            <v>3.8948737955100547</v>
          </cell>
          <cell r="BM87">
            <v>3.1539078444586424</v>
          </cell>
          <cell r="BN87">
            <v>3.7021295024899796</v>
          </cell>
          <cell r="BO87">
            <v>3.7015153215219301</v>
          </cell>
          <cell r="BP87">
            <v>4.2870404406466118</v>
          </cell>
          <cell r="BQ87">
            <v>3.6920157853272397</v>
          </cell>
          <cell r="BR87">
            <v>3.8441542382914275</v>
          </cell>
          <cell r="BS87">
            <v>3.0817726669376055</v>
          </cell>
          <cell r="BT87">
            <v>3.3102982550196125</v>
          </cell>
          <cell r="BU87">
            <v>3.6274957574702098</v>
          </cell>
          <cell r="BV87">
            <v>3.4988949596331995</v>
          </cell>
          <cell r="BW87">
            <v>3.3802056960588009</v>
          </cell>
          <cell r="BX87">
            <v>3.0267410121708629</v>
          </cell>
          <cell r="BY87">
            <v>3.2511857861799771</v>
          </cell>
          <cell r="BZ87">
            <v>3.5627190475153858</v>
          </cell>
          <cell r="CA87">
            <v>3.4364146924968932</v>
          </cell>
          <cell r="CB87">
            <v>3.3263950953613195</v>
          </cell>
          <cell r="CC87">
            <v>3.929788454231208</v>
          </cell>
          <cell r="CD87">
            <v>4.4778404495650301</v>
          </cell>
          <cell r="CE87">
            <v>4.9530863499857531</v>
          </cell>
          <cell r="CF87">
            <v>4.6895131767429952</v>
          </cell>
          <cell r="CG87">
            <v>4.5100164420914686</v>
          </cell>
        </row>
        <row r="88">
          <cell r="B88" t="str">
            <v>Gross profit - total (est)</v>
          </cell>
          <cell r="AP88">
            <v>2.3352776388888921</v>
          </cell>
          <cell r="AQ88">
            <v>2.7555057303370782</v>
          </cell>
          <cell r="AR88">
            <v>3.3534524830198889</v>
          </cell>
          <cell r="AS88">
            <v>2.8370204431578396</v>
          </cell>
          <cell r="AT88">
            <v>3.4295238095238072</v>
          </cell>
          <cell r="AU88">
            <v>3.8797752808988797</v>
          </cell>
          <cell r="AV88">
            <v>3.66050505050505</v>
          </cell>
          <cell r="AW88">
            <v>3.4823423423423421</v>
          </cell>
          <cell r="AX88">
            <v>3.6091644908616183</v>
          </cell>
          <cell r="AY88">
            <v>3.2765811965811968</v>
          </cell>
          <cell r="AZ88">
            <v>3.2723727966101723</v>
          </cell>
          <cell r="BA88">
            <v>3.2999160504201632</v>
          </cell>
          <cell r="BB88">
            <v>3.4473808730158741</v>
          </cell>
          <cell r="BC88">
            <v>3.3261666458333337</v>
          </cell>
          <cell r="BD88">
            <v>2.4288731924882634</v>
          </cell>
          <cell r="BE88">
            <v>2.6471490789473693</v>
          </cell>
          <cell r="BF88">
            <v>2.9258369527897004</v>
          </cell>
          <cell r="BG88">
            <v>3.1406584773662547</v>
          </cell>
          <cell r="BH88">
            <v>2.798037077426391</v>
          </cell>
          <cell r="BI88">
            <v>2.6440697965116251</v>
          </cell>
          <cell r="BJ88">
            <v>2.9131024397590335</v>
          </cell>
          <cell r="BK88">
            <v>3.292109375000003</v>
          </cell>
          <cell r="BL88">
            <v>3.6506354589365602</v>
          </cell>
          <cell r="BM88">
            <v>3.2380782724305206</v>
          </cell>
          <cell r="BN88">
            <v>3.4255206593254051</v>
          </cell>
          <cell r="BO88">
            <v>3.6321640334911609</v>
          </cell>
          <cell r="BP88">
            <v>3.8579869510069602</v>
          </cell>
          <cell r="BQ88">
            <v>3.6662106841055229</v>
          </cell>
          <cell r="BR88">
            <v>3.6483855340341402</v>
          </cell>
          <cell r="BS88">
            <v>2.7188701027024389</v>
          </cell>
          <cell r="BT88">
            <v>2.9566778451299176</v>
          </cell>
          <cell r="BU88">
            <v>2.7360669443773271</v>
          </cell>
          <cell r="BV88">
            <v>3.0462040437403495</v>
          </cell>
          <cell r="BW88">
            <v>2.8714815605493915</v>
          </cell>
          <cell r="BX88">
            <v>2.8941197536233858</v>
          </cell>
          <cell r="BY88">
            <v>3.1517717720998548</v>
          </cell>
          <cell r="BZ88">
            <v>2.9249215736061696</v>
          </cell>
          <cell r="CA88">
            <v>3.2696215313653481</v>
          </cell>
          <cell r="CB88">
            <v>3.0682386361638057</v>
          </cell>
          <cell r="CC88">
            <v>3.2766532673890389</v>
          </cell>
          <cell r="CD88">
            <v>3.5868734717243629</v>
          </cell>
          <cell r="CE88">
            <v>3.3456761372465538</v>
          </cell>
          <cell r="CF88">
            <v>3.3429240485909202</v>
          </cell>
          <cell r="CG88">
            <v>3.3878588450456824</v>
          </cell>
        </row>
        <row r="90">
          <cell r="B90" t="str">
            <v>EBITDA per Script</v>
          </cell>
        </row>
        <row r="91">
          <cell r="B91" t="str">
            <v>EBITDA per Script</v>
          </cell>
          <cell r="AP91">
            <v>1.3300000000000005</v>
          </cell>
          <cell r="AQ91">
            <v>1.3355056179775309</v>
          </cell>
          <cell r="AR91">
            <v>1.9872619047619078</v>
          </cell>
          <cell r="AS91">
            <v>1.8157959183673509</v>
          </cell>
          <cell r="AT91">
            <v>1.9441666666666628</v>
          </cell>
          <cell r="AU91">
            <v>2.6580898876404508</v>
          </cell>
          <cell r="AV91">
            <v>2.4555555555555566</v>
          </cell>
          <cell r="AW91">
            <v>2.73990990990991</v>
          </cell>
          <cell r="AX91">
            <v>2.4728720626631895</v>
          </cell>
          <cell r="AY91">
            <v>2.4317094017094054</v>
          </cell>
          <cell r="AZ91">
            <v>2.6659322033898332</v>
          </cell>
          <cell r="BA91">
            <v>2.5830252100840365</v>
          </cell>
          <cell r="BB91">
            <v>2.4677777777777767</v>
          </cell>
          <cell r="BC91">
            <v>2.5362708333333353</v>
          </cell>
          <cell r="BD91">
            <v>1.5735211267605622</v>
          </cell>
          <cell r="BE91">
            <v>1.7095175438596479</v>
          </cell>
          <cell r="BF91">
            <v>1.9578540772532131</v>
          </cell>
          <cell r="BG91">
            <v>1.9893004115226336</v>
          </cell>
          <cell r="BH91">
            <v>1.8151690294438338</v>
          </cell>
          <cell r="BI91">
            <v>1.5806395348837179</v>
          </cell>
          <cell r="BJ91">
            <v>1.7652710843373465</v>
          </cell>
          <cell r="BK91">
            <v>1.6118750000000008</v>
          </cell>
          <cell r="BL91">
            <v>2.1820356612184262</v>
          </cell>
          <cell r="BM91">
            <v>1.8469331322272495</v>
          </cell>
          <cell r="BN91">
            <v>2.161144578313253</v>
          </cell>
          <cell r="BO91">
            <v>2.4383088235294106</v>
          </cell>
          <cell r="BP91">
            <v>2.5671079136690649</v>
          </cell>
          <cell r="BQ91">
            <v>2.6155704121192245</v>
          </cell>
          <cell r="BR91">
            <v>2.4519907264726264</v>
          </cell>
          <cell r="BS91">
            <v>2.0397717856558737</v>
          </cell>
          <cell r="BT91">
            <v>2.1715851754511326</v>
          </cell>
          <cell r="BU91">
            <v>1.9486957856764486</v>
          </cell>
          <cell r="BV91">
            <v>2.2126753038857578</v>
          </cell>
          <cell r="BW91">
            <v>2.0965438992073744</v>
          </cell>
          <cell r="BX91">
            <v>2.1190823725224779</v>
          </cell>
          <cell r="BY91">
            <v>2.2407606357129146</v>
          </cell>
          <cell r="BZ91">
            <v>1.9777610882889112</v>
          </cell>
          <cell r="CA91">
            <v>2.2775246152801727</v>
          </cell>
          <cell r="CB91">
            <v>2.1566664682775571</v>
          </cell>
          <cell r="CC91">
            <v>2.1966544901830392</v>
          </cell>
          <cell r="CD91">
            <v>2.4239882471099286</v>
          </cell>
          <cell r="CE91">
            <v>2.1432372979456358</v>
          </cell>
          <cell r="CF91">
            <v>2.2211050159530457</v>
          </cell>
          <cell r="CG91">
            <v>2.246152100469236</v>
          </cell>
        </row>
        <row r="92">
          <cell r="B92" t="str">
            <v>Adj. EBITDA per Script</v>
          </cell>
          <cell r="AP92">
            <v>1.3300000000000005</v>
          </cell>
          <cell r="AQ92">
            <v>1.3355056179775309</v>
          </cell>
          <cell r="AR92">
            <v>1.7475000000000032</v>
          </cell>
          <cell r="AS92">
            <v>1.7335918367346961</v>
          </cell>
          <cell r="AT92">
            <v>1.944166666666663</v>
          </cell>
          <cell r="AU92">
            <v>2.6580898876404508</v>
          </cell>
          <cell r="AV92">
            <v>2.4555555555555562</v>
          </cell>
          <cell r="AW92">
            <v>2.73990990990991</v>
          </cell>
          <cell r="AX92">
            <v>2.472872062663185</v>
          </cell>
          <cell r="AY92">
            <v>2.3692307692307728</v>
          </cell>
          <cell r="AZ92">
            <v>2.6659322033898332</v>
          </cell>
          <cell r="BA92">
            <v>2.558151260504204</v>
          </cell>
          <cell r="BB92">
            <v>2.4749206349206334</v>
          </cell>
          <cell r="BC92">
            <v>2.5167500000000014</v>
          </cell>
          <cell r="BD92">
            <v>1.6525352112676044</v>
          </cell>
          <cell r="BE92">
            <v>1.8156140350877181</v>
          </cell>
          <cell r="BF92">
            <v>2.0610300429184498</v>
          </cell>
          <cell r="BG92">
            <v>2.1102057613168723</v>
          </cell>
          <cell r="BH92">
            <v>1.9181570338058864</v>
          </cell>
          <cell r="BI92">
            <v>1.6735174418604621</v>
          </cell>
          <cell r="BJ92">
            <v>1.8559036144578285</v>
          </cell>
          <cell r="BK92">
            <v>1.6499218750000009</v>
          </cell>
          <cell r="BL92">
            <v>2.1781723625557219</v>
          </cell>
          <cell r="BM92">
            <v>1.8616339869281044</v>
          </cell>
          <cell r="BN92">
            <v>2.1617771084337325</v>
          </cell>
          <cell r="BO92">
            <v>2.3245441176470578</v>
          </cell>
          <cell r="BP92">
            <v>2.4204892086330938</v>
          </cell>
          <cell r="BQ92">
            <v>2.4794088886720509</v>
          </cell>
          <cell r="BR92">
            <v>2.3512723404221449</v>
          </cell>
          <cell r="BS92">
            <v>1.9301547460689548</v>
          </cell>
          <cell r="BT92">
            <v>2.0716832146668187</v>
          </cell>
          <cell r="BU92">
            <v>1.8509499823191344</v>
          </cell>
          <cell r="BV92">
            <v>2.1219009549209757</v>
          </cell>
          <cell r="BW92">
            <v>1.9974835584950907</v>
          </cell>
          <cell r="BX92">
            <v>2.0194305183525518</v>
          </cell>
          <cell r="BY92">
            <v>2.1499406713635385</v>
          </cell>
          <cell r="BZ92">
            <v>1.8889012670549894</v>
          </cell>
          <cell r="CA92">
            <v>2.1950024798576431</v>
          </cell>
          <cell r="CB92">
            <v>2.0666116130845724</v>
          </cell>
          <cell r="CC92">
            <v>2.0638060053345542</v>
          </cell>
          <cell r="CD92">
            <v>2.292715040737908</v>
          </cell>
          <cell r="CE92">
            <v>2.0117041446303041</v>
          </cell>
          <cell r="CF92">
            <v>2.095675676531354</v>
          </cell>
          <cell r="CG92">
            <v>2.115945188350369</v>
          </cell>
        </row>
      </sheetData>
      <sheetData sheetId="5">
        <row r="1">
          <cell r="B1" t="str">
            <v>EPS (continuing) Non GAAP excluding deal Amortization</v>
          </cell>
          <cell r="Y1">
            <v>8.2644836601307212E-2</v>
          </cell>
          <cell r="Z1">
            <v>1.3086856054377908E-2</v>
          </cell>
          <cell r="AA1">
            <v>4.1722592693997668E-2</v>
          </cell>
          <cell r="AB1">
            <v>4.9976440281311298E-2</v>
          </cell>
          <cell r="AC1">
            <v>7.0619761253668908E-2</v>
          </cell>
          <cell r="AD1">
            <v>0.17860018806594849</v>
          </cell>
          <cell r="AE1">
            <v>7.7292696259811763E-2</v>
          </cell>
          <cell r="AF1">
            <v>2.9144636023563753E-2</v>
          </cell>
          <cell r="AG1">
            <v>2.9776840019880426E-2</v>
          </cell>
          <cell r="AH1">
            <v>4.9933247211184986E-2</v>
          </cell>
          <cell r="AI1">
            <v>0.18549153098937013</v>
          </cell>
          <cell r="AJ1">
            <v>4.5536636023743575E-2</v>
          </cell>
          <cell r="AK1">
            <v>3.6586638327870395E-2</v>
          </cell>
          <cell r="AL1">
            <v>3.3374156595484906E-2</v>
          </cell>
          <cell r="AM1">
            <v>4.6778768098826355E-2</v>
          </cell>
          <cell r="AN1">
            <v>0.16298946041550239</v>
          </cell>
          <cell r="AO1">
            <v>4.1934077147185986E-2</v>
          </cell>
          <cell r="AP1">
            <v>5.3271765039171144E-2</v>
          </cell>
          <cell r="AQ1">
            <v>5.9381666703632867E-2</v>
          </cell>
          <cell r="AR1">
            <v>7.0448112998570275E-2</v>
          </cell>
          <cell r="AS1">
            <v>0.22787021821037617</v>
          </cell>
          <cell r="AT1">
            <v>9.4109072957220929E-2</v>
          </cell>
          <cell r="AU1">
            <v>0.13154594151734764</v>
          </cell>
          <cell r="AV1">
            <v>0.23464907123549783</v>
          </cell>
          <cell r="AW1">
            <v>0.26826289372123968</v>
          </cell>
          <cell r="AX1">
            <v>0.65523623858651947</v>
          </cell>
          <cell r="AY1">
            <v>0.12981065180294785</v>
          </cell>
          <cell r="AZ1">
            <v>0.14457286126545499</v>
          </cell>
          <cell r="BA1">
            <v>0.13634373087234938</v>
          </cell>
          <cell r="BB1">
            <v>0.14129443873209147</v>
          </cell>
          <cell r="BC1">
            <v>0.55212573404273557</v>
          </cell>
          <cell r="BD1">
            <v>0.16251591062245058</v>
          </cell>
          <cell r="BE1">
            <v>0.18818081171385395</v>
          </cell>
          <cell r="BF1">
            <v>0.22064191353808166</v>
          </cell>
          <cell r="BG1">
            <v>0.23907536781660574</v>
          </cell>
          <cell r="BH1">
            <v>0.80999292877529894</v>
          </cell>
          <cell r="BI1">
            <v>0.26217328896710912</v>
          </cell>
          <cell r="BJ1">
            <v>0.24558665779987029</v>
          </cell>
          <cell r="BK1">
            <v>0.2514588113323637</v>
          </cell>
          <cell r="BL1">
            <v>0.39304420657084094</v>
          </cell>
          <cell r="BM1">
            <v>1.2092622311136174</v>
          </cell>
          <cell r="BN1">
            <v>0.42145385263190027</v>
          </cell>
          <cell r="BO1">
            <v>0.48706243993449866</v>
          </cell>
          <cell r="BP1">
            <v>0.52343382062961197</v>
          </cell>
          <cell r="BQ1">
            <v>0.5490294328959815</v>
          </cell>
          <cell r="BR1">
            <v>1.9811509109628951</v>
          </cell>
          <cell r="BS1">
            <v>0.51646128037320349</v>
          </cell>
          <cell r="BT1">
            <v>0.62436334388514503</v>
          </cell>
          <cell r="BU1">
            <v>0.56273086293819763</v>
          </cell>
          <cell r="BV1">
            <v>0.71580170016540556</v>
          </cell>
          <cell r="BW1">
            <v>2.4194870441657401</v>
          </cell>
          <cell r="BX1">
            <v>0.61063610690736403</v>
          </cell>
          <cell r="BY1">
            <v>0.72865998034371016</v>
          </cell>
          <cell r="BZ1">
            <v>0.64622514146804022</v>
          </cell>
          <cell r="CA1">
            <v>0.8301829562341172</v>
          </cell>
          <cell r="CB1">
            <v>2.8158434115711684</v>
          </cell>
          <cell r="CC1">
            <v>0.69483634373069836</v>
          </cell>
          <cell r="CD1">
            <v>0.79873319723718306</v>
          </cell>
          <cell r="CE1">
            <v>0.68153568913099527</v>
          </cell>
          <cell r="CF1">
            <v>0.75749756359040987</v>
          </cell>
          <cell r="CG1">
            <v>2.9326198589556345</v>
          </cell>
        </row>
        <row r="2">
          <cell r="B2" t="str">
            <v>CTRX</v>
          </cell>
        </row>
        <row r="3">
          <cell r="B3" t="str">
            <v>HCIT Segment</v>
          </cell>
        </row>
        <row r="4">
          <cell r="E4">
            <v>36891</v>
          </cell>
          <cell r="F4">
            <v>36981</v>
          </cell>
          <cell r="G4">
            <v>37072</v>
          </cell>
          <cell r="H4">
            <v>37164</v>
          </cell>
          <cell r="I4">
            <v>37256</v>
          </cell>
          <cell r="J4">
            <v>37256</v>
          </cell>
          <cell r="K4">
            <v>37346</v>
          </cell>
          <cell r="L4">
            <v>37437</v>
          </cell>
          <cell r="M4">
            <v>37529</v>
          </cell>
          <cell r="N4">
            <v>37621</v>
          </cell>
          <cell r="O4">
            <v>37621</v>
          </cell>
          <cell r="P4">
            <v>37711</v>
          </cell>
          <cell r="Q4">
            <v>37802</v>
          </cell>
          <cell r="R4">
            <v>37894</v>
          </cell>
          <cell r="S4">
            <v>37986</v>
          </cell>
          <cell r="T4">
            <v>37986</v>
          </cell>
          <cell r="U4">
            <v>38077</v>
          </cell>
          <cell r="V4">
            <v>38168</v>
          </cell>
          <cell r="W4">
            <v>38260</v>
          </cell>
          <cell r="X4">
            <v>38352</v>
          </cell>
          <cell r="Y4">
            <v>38352</v>
          </cell>
          <cell r="Z4">
            <v>38442</v>
          </cell>
          <cell r="AA4">
            <v>38533</v>
          </cell>
          <cell r="AB4">
            <v>38625</v>
          </cell>
          <cell r="AC4">
            <v>38717</v>
          </cell>
          <cell r="AD4">
            <v>38717</v>
          </cell>
          <cell r="AE4">
            <v>38807</v>
          </cell>
          <cell r="AF4">
            <v>38898</v>
          </cell>
          <cell r="AG4">
            <v>38990</v>
          </cell>
          <cell r="AH4">
            <v>39082</v>
          </cell>
          <cell r="AI4">
            <v>39082</v>
          </cell>
          <cell r="AJ4">
            <v>39172</v>
          </cell>
          <cell r="AK4">
            <v>39263</v>
          </cell>
          <cell r="AL4">
            <v>39355</v>
          </cell>
          <cell r="AM4">
            <v>39447</v>
          </cell>
          <cell r="AN4">
            <v>39447</v>
          </cell>
          <cell r="AO4">
            <v>39538</v>
          </cell>
          <cell r="AP4">
            <v>39629</v>
          </cell>
          <cell r="AQ4">
            <v>39721</v>
          </cell>
          <cell r="AR4">
            <v>39813</v>
          </cell>
          <cell r="AS4">
            <v>39813</v>
          </cell>
          <cell r="AT4">
            <v>39903</v>
          </cell>
          <cell r="AU4">
            <v>39994</v>
          </cell>
          <cell r="AV4">
            <v>40086</v>
          </cell>
          <cell r="AW4">
            <v>40178</v>
          </cell>
          <cell r="AX4">
            <v>40178</v>
          </cell>
          <cell r="AY4">
            <v>40268</v>
          </cell>
          <cell r="AZ4">
            <v>40359</v>
          </cell>
          <cell r="BA4">
            <v>40451</v>
          </cell>
          <cell r="BB4">
            <v>40543</v>
          </cell>
          <cell r="BC4">
            <v>40543</v>
          </cell>
          <cell r="BD4">
            <v>40633</v>
          </cell>
          <cell r="BE4">
            <v>40724</v>
          </cell>
          <cell r="BF4">
            <v>40816</v>
          </cell>
          <cell r="BG4">
            <v>40908</v>
          </cell>
          <cell r="BH4">
            <v>40908</v>
          </cell>
          <cell r="BI4">
            <v>40999</v>
          </cell>
          <cell r="BJ4">
            <v>41090</v>
          </cell>
          <cell r="BK4">
            <v>41182</v>
          </cell>
          <cell r="BL4">
            <v>41274</v>
          </cell>
          <cell r="BM4">
            <v>41274</v>
          </cell>
          <cell r="BN4">
            <v>41364</v>
          </cell>
          <cell r="BO4">
            <v>41455</v>
          </cell>
          <cell r="BP4">
            <v>41547</v>
          </cell>
          <cell r="BQ4">
            <v>41639</v>
          </cell>
          <cell r="BR4">
            <v>41639</v>
          </cell>
          <cell r="BS4">
            <v>41729</v>
          </cell>
          <cell r="BT4">
            <v>41820</v>
          </cell>
          <cell r="BU4">
            <v>41912</v>
          </cell>
          <cell r="BV4">
            <v>42004</v>
          </cell>
          <cell r="BW4">
            <v>42004</v>
          </cell>
          <cell r="BX4">
            <v>42094</v>
          </cell>
          <cell r="BY4">
            <v>42185</v>
          </cell>
          <cell r="BZ4">
            <v>42277</v>
          </cell>
          <cell r="CA4">
            <v>42369</v>
          </cell>
          <cell r="CB4">
            <v>42369</v>
          </cell>
          <cell r="CC4">
            <v>42094</v>
          </cell>
          <cell r="CD4">
            <v>42185</v>
          </cell>
          <cell r="CE4">
            <v>42277</v>
          </cell>
          <cell r="CF4">
            <v>42369</v>
          </cell>
          <cell r="CG4">
            <v>42369</v>
          </cell>
        </row>
        <row r="5">
          <cell r="F5" t="str">
            <v>Fiscal Year End, Dec 31 2001</v>
          </cell>
          <cell r="K5" t="str">
            <v>Fiscal Year End, Dec 31 2002</v>
          </cell>
          <cell r="P5" t="str">
            <v>Fiscal Year End, Dec 31 2003</v>
          </cell>
          <cell r="U5" t="str">
            <v>Fiscal Year End, Dec 31 2004</v>
          </cell>
          <cell r="Z5" t="str">
            <v xml:space="preserve">Fiscal Year End, Dec 31 2005 </v>
          </cell>
          <cell r="AE5" t="str">
            <v xml:space="preserve">Fiscal Year End, Dec 31 2006 </v>
          </cell>
          <cell r="AJ5" t="str">
            <v xml:space="preserve">Fiscal Year End, Dec 31 2007 </v>
          </cell>
          <cell r="AO5" t="str">
            <v>Fiscal Year End, Dec 31 2008</v>
          </cell>
          <cell r="AT5" t="str">
            <v>Fiscal Year End, Dec 31 2009</v>
          </cell>
          <cell r="AY5" t="str">
            <v>Fiscal Year End, Dec 31 2010</v>
          </cell>
          <cell r="BD5" t="str">
            <v>Fiscal Year End, Dec 31 2011</v>
          </cell>
          <cell r="BI5" t="str">
            <v>Fiscal Year End, Dec 31 2012</v>
          </cell>
          <cell r="BN5" t="str">
            <v>Fiscal Year End, Dec 31 2013</v>
          </cell>
          <cell r="BS5" t="str">
            <v>Fiscal Year End, Dec 31 2014</v>
          </cell>
          <cell r="BX5" t="str">
            <v>Fiscal Year End, Dec 31 2015</v>
          </cell>
          <cell r="CC5" t="str">
            <v>Fiscal Year End, Dec 31 2016</v>
          </cell>
        </row>
        <row r="6">
          <cell r="B6" t="str">
            <v>(In millions, except per share)</v>
          </cell>
          <cell r="D6" t="str">
            <v>1999A</v>
          </cell>
          <cell r="E6" t="str">
            <v>2000A</v>
          </cell>
          <cell r="F6" t="str">
            <v>1Q01A</v>
          </cell>
          <cell r="G6" t="str">
            <v>2Q01A</v>
          </cell>
          <cell r="H6" t="str">
            <v>3Q01A</v>
          </cell>
          <cell r="I6" t="str">
            <v>4Q01A</v>
          </cell>
          <cell r="J6" t="str">
            <v>2001A</v>
          </cell>
          <cell r="K6" t="str">
            <v>1Q02A</v>
          </cell>
          <cell r="L6" t="str">
            <v>2Q02A</v>
          </cell>
          <cell r="M6" t="str">
            <v>3Q02A</v>
          </cell>
          <cell r="N6" t="str">
            <v>4Q02A</v>
          </cell>
          <cell r="O6" t="str">
            <v>2002A</v>
          </cell>
          <cell r="P6" t="str">
            <v>1Q03A</v>
          </cell>
          <cell r="Q6" t="str">
            <v>2Q03A</v>
          </cell>
          <cell r="R6" t="str">
            <v>3Q03A</v>
          </cell>
          <cell r="S6" t="str">
            <v>4Q03A</v>
          </cell>
          <cell r="T6" t="str">
            <v>2003A</v>
          </cell>
          <cell r="U6" t="str">
            <v>1QA</v>
          </cell>
          <cell r="V6" t="str">
            <v>2QA</v>
          </cell>
          <cell r="W6" t="str">
            <v>3QA</v>
          </cell>
          <cell r="X6" t="str">
            <v>4QA</v>
          </cell>
          <cell r="Y6" t="str">
            <v>2004A</v>
          </cell>
          <cell r="Z6" t="str">
            <v>1QA</v>
          </cell>
          <cell r="AA6" t="str">
            <v>2QA</v>
          </cell>
          <cell r="AB6" t="str">
            <v>3QA</v>
          </cell>
          <cell r="AC6" t="str">
            <v>4QA</v>
          </cell>
          <cell r="AD6" t="str">
            <v>2005A</v>
          </cell>
          <cell r="AE6" t="str">
            <v>1QA</v>
          </cell>
          <cell r="AF6" t="str">
            <v>2QA</v>
          </cell>
          <cell r="AG6" t="str">
            <v>3QA</v>
          </cell>
          <cell r="AH6" t="str">
            <v>4QA</v>
          </cell>
          <cell r="AI6" t="str">
            <v>2006A</v>
          </cell>
          <cell r="AJ6" t="str">
            <v>1QA</v>
          </cell>
          <cell r="AK6" t="str">
            <v>2QA</v>
          </cell>
          <cell r="AL6" t="str">
            <v>3QA</v>
          </cell>
          <cell r="AM6" t="str">
            <v>4QA</v>
          </cell>
          <cell r="AN6" t="str">
            <v>2007A</v>
          </cell>
          <cell r="AO6" t="str">
            <v>1QA</v>
          </cell>
          <cell r="AP6" t="str">
            <v>2QA</v>
          </cell>
          <cell r="AQ6" t="str">
            <v>3QA</v>
          </cell>
          <cell r="AR6" t="str">
            <v>4QA</v>
          </cell>
          <cell r="AS6" t="str">
            <v>2008A</v>
          </cell>
          <cell r="AT6" t="str">
            <v>1QA</v>
          </cell>
          <cell r="AU6" t="str">
            <v>2QA</v>
          </cell>
          <cell r="AV6" t="str">
            <v>3QA</v>
          </cell>
          <cell r="AW6" t="str">
            <v>4QA</v>
          </cell>
          <cell r="AX6" t="str">
            <v>2009A</v>
          </cell>
          <cell r="AY6" t="str">
            <v>1QA</v>
          </cell>
          <cell r="AZ6" t="str">
            <v>2QA</v>
          </cell>
          <cell r="BA6" t="str">
            <v>3QA</v>
          </cell>
          <cell r="BB6" t="str">
            <v>4QA</v>
          </cell>
          <cell r="BC6" t="str">
            <v>2010A</v>
          </cell>
          <cell r="BD6" t="str">
            <v>1QA</v>
          </cell>
          <cell r="BE6" t="str">
            <v>2QA</v>
          </cell>
          <cell r="BF6" t="str">
            <v>3QA</v>
          </cell>
          <cell r="BG6" t="str">
            <v>4QA</v>
          </cell>
          <cell r="BH6" t="str">
            <v>2011A</v>
          </cell>
          <cell r="BI6" t="str">
            <v>1QA</v>
          </cell>
          <cell r="BJ6" t="str">
            <v>2QA</v>
          </cell>
          <cell r="BK6" t="str">
            <v>3QA</v>
          </cell>
          <cell r="BL6" t="str">
            <v>4QA</v>
          </cell>
          <cell r="BM6" t="str">
            <v>2012A</v>
          </cell>
          <cell r="BN6" t="str">
            <v>1QA</v>
          </cell>
          <cell r="BO6" t="str">
            <v>2QA</v>
          </cell>
          <cell r="BP6" t="str">
            <v>3QA</v>
          </cell>
          <cell r="BQ6" t="str">
            <v>4QE</v>
          </cell>
          <cell r="BR6" t="str">
            <v>2013E</v>
          </cell>
          <cell r="BS6" t="str">
            <v>1QE</v>
          </cell>
          <cell r="BT6" t="str">
            <v>2QE</v>
          </cell>
          <cell r="BU6" t="str">
            <v>3QE</v>
          </cell>
          <cell r="BV6" t="str">
            <v>4QE</v>
          </cell>
          <cell r="BW6" t="str">
            <v>2014E</v>
          </cell>
          <cell r="BX6" t="str">
            <v>1QE</v>
          </cell>
          <cell r="BY6" t="str">
            <v>2QE</v>
          </cell>
          <cell r="BZ6" t="str">
            <v>3QE</v>
          </cell>
          <cell r="CA6" t="str">
            <v>4QE</v>
          </cell>
          <cell r="CB6" t="str">
            <v>2015E</v>
          </cell>
          <cell r="CC6" t="str">
            <v>1QE</v>
          </cell>
          <cell r="CD6" t="str">
            <v>2QE</v>
          </cell>
          <cell r="CE6" t="str">
            <v>3QE</v>
          </cell>
          <cell r="CF6" t="str">
            <v>4QE</v>
          </cell>
          <cell r="CG6" t="str">
            <v>2016E</v>
          </cell>
        </row>
        <row r="7">
          <cell r="B7" t="str">
            <v>Transaction processing</v>
          </cell>
          <cell r="Y7">
            <v>13.542999999999999</v>
          </cell>
          <cell r="Z7">
            <v>4.9512409999999996</v>
          </cell>
          <cell r="AA7">
            <v>5.1453899999999999</v>
          </cell>
          <cell r="AB7">
            <v>5.3848729999999998</v>
          </cell>
          <cell r="AC7">
            <v>5.9645750000000035</v>
          </cell>
          <cell r="AD7">
            <v>21.446079000000001</v>
          </cell>
          <cell r="AE7">
            <v>8.7541700000000002</v>
          </cell>
          <cell r="AF7">
            <v>8.9942229999999999</v>
          </cell>
          <cell r="AG7">
            <v>10.411186000000001</v>
          </cell>
          <cell r="AH7">
            <v>10.606999999999999</v>
          </cell>
          <cell r="AI7">
            <v>38.766579</v>
          </cell>
          <cell r="AJ7">
            <v>13.832000000000001</v>
          </cell>
          <cell r="AK7">
            <v>13.093999999999999</v>
          </cell>
          <cell r="AL7">
            <v>13.18</v>
          </cell>
          <cell r="AM7">
            <v>14.167</v>
          </cell>
          <cell r="AN7">
            <v>54.273000000000003</v>
          </cell>
          <cell r="AO7">
            <v>14.648</v>
          </cell>
          <cell r="AP7">
            <v>11.888</v>
          </cell>
          <cell r="AQ7">
            <v>11.631</v>
          </cell>
          <cell r="AR7">
            <v>14.606</v>
          </cell>
          <cell r="AS7">
            <v>52.773000000000003</v>
          </cell>
          <cell r="AT7">
            <v>13.727</v>
          </cell>
          <cell r="AU7">
            <v>15.663</v>
          </cell>
          <cell r="AV7">
            <v>16.460999999999999</v>
          </cell>
          <cell r="AW7">
            <v>15.372999999999999</v>
          </cell>
          <cell r="AX7">
            <v>61.223999999999997</v>
          </cell>
        </row>
        <row r="8">
          <cell r="B8" t="str">
            <v>Maintenance</v>
          </cell>
          <cell r="Y8">
            <v>6.8840000000000003</v>
          </cell>
          <cell r="Z8">
            <v>3.24133</v>
          </cell>
          <cell r="AA8">
            <v>3.2886299999999999</v>
          </cell>
          <cell r="AB8">
            <v>3.3848090000000002</v>
          </cell>
          <cell r="AC8">
            <v>3.4287140000000011</v>
          </cell>
          <cell r="AD8">
            <v>13.343483000000001</v>
          </cell>
          <cell r="AE8">
            <v>3.6566619999999999</v>
          </cell>
          <cell r="AF8">
            <v>3.641594</v>
          </cell>
          <cell r="AG8">
            <v>3.8409059999999999</v>
          </cell>
          <cell r="AH8">
            <v>3.9</v>
          </cell>
          <cell r="AI8">
            <v>15.039162000000001</v>
          </cell>
          <cell r="AJ8">
            <v>4.0750000000000002</v>
          </cell>
          <cell r="AK8">
            <v>4.1130000000000004</v>
          </cell>
          <cell r="AL8">
            <v>4.1420000000000003</v>
          </cell>
          <cell r="AM8">
            <v>4.1449999999999996</v>
          </cell>
          <cell r="AN8">
            <v>16.475000000000001</v>
          </cell>
          <cell r="AO8">
            <v>4.21</v>
          </cell>
          <cell r="AP8">
            <v>4.13</v>
          </cell>
          <cell r="AQ8">
            <v>3.9980000000000002</v>
          </cell>
          <cell r="AR8">
            <v>4.0590000000000002</v>
          </cell>
          <cell r="AS8">
            <v>16.397000000000002</v>
          </cell>
          <cell r="AT8">
            <v>4.4740000000000002</v>
          </cell>
          <cell r="AU8">
            <v>4.4770000000000003</v>
          </cell>
          <cell r="AV8">
            <v>4.7329999999999997</v>
          </cell>
          <cell r="AW8">
            <v>4.7430000000000003</v>
          </cell>
          <cell r="AX8">
            <v>18.427</v>
          </cell>
        </row>
        <row r="9">
          <cell r="B9" t="str">
            <v>Professional services</v>
          </cell>
          <cell r="Y9">
            <v>5.5640000000000001</v>
          </cell>
          <cell r="Z9">
            <v>1.277941</v>
          </cell>
          <cell r="AA9">
            <v>2.6140599999999998</v>
          </cell>
          <cell r="AB9">
            <v>3.7077930000000001</v>
          </cell>
          <cell r="AC9">
            <v>3.5089780000000008</v>
          </cell>
          <cell r="AD9">
            <v>11.108772</v>
          </cell>
          <cell r="AE9">
            <v>4.3724179999999997</v>
          </cell>
          <cell r="AF9">
            <v>3.6621299999999999</v>
          </cell>
          <cell r="AG9">
            <v>4.0883969999999996</v>
          </cell>
          <cell r="AH9">
            <v>4.6840000000000002</v>
          </cell>
          <cell r="AI9">
            <v>16.806944999999999</v>
          </cell>
          <cell r="AJ9">
            <v>3.3050000000000002</v>
          </cell>
          <cell r="AK9">
            <v>3.302</v>
          </cell>
          <cell r="AL9">
            <v>3.395</v>
          </cell>
          <cell r="AM9">
            <v>4.03</v>
          </cell>
          <cell r="AN9">
            <v>14.032</v>
          </cell>
          <cell r="AO9">
            <v>3.7909999999999999</v>
          </cell>
          <cell r="AP9">
            <v>3.0659999999999998</v>
          </cell>
          <cell r="AQ9">
            <v>3.8359999999999999</v>
          </cell>
          <cell r="AR9">
            <v>2.7869999999999999</v>
          </cell>
          <cell r="AS9">
            <v>13.48</v>
          </cell>
          <cell r="AT9">
            <v>3.6419999999999999</v>
          </cell>
          <cell r="AU9">
            <v>3.8010000000000002</v>
          </cell>
          <cell r="AV9">
            <v>3.1869999999999998</v>
          </cell>
          <cell r="AW9">
            <v>4.7060000000000004</v>
          </cell>
          <cell r="AX9">
            <v>15.335999999999999</v>
          </cell>
        </row>
        <row r="10">
          <cell r="B10" t="str">
            <v>System sales</v>
          </cell>
          <cell r="Y10">
            <v>7.0510000000000002</v>
          </cell>
          <cell r="Z10">
            <v>1.102155</v>
          </cell>
          <cell r="AA10">
            <v>1.1611229999999999</v>
          </cell>
          <cell r="AB10">
            <v>2.2527379999999999</v>
          </cell>
          <cell r="AC10">
            <v>3.708686000000001</v>
          </cell>
          <cell r="AD10">
            <v>8.2247020000000006</v>
          </cell>
          <cell r="AE10">
            <v>2.553903</v>
          </cell>
          <cell r="AF10">
            <v>2.2298230000000001</v>
          </cell>
          <cell r="AG10">
            <v>2.705711</v>
          </cell>
          <cell r="AH10">
            <v>2.8210000000000002</v>
          </cell>
          <cell r="AI10">
            <v>10.310437</v>
          </cell>
          <cell r="AJ10">
            <v>3.11</v>
          </cell>
          <cell r="AK10">
            <v>2.5790000000000002</v>
          </cell>
          <cell r="AL10">
            <v>1.492</v>
          </cell>
          <cell r="AM10">
            <v>1.21</v>
          </cell>
          <cell r="AN10">
            <v>8.391</v>
          </cell>
          <cell r="AO10">
            <v>1.6679999999999999</v>
          </cell>
          <cell r="AP10">
            <v>3.8109999999999999</v>
          </cell>
          <cell r="AQ10">
            <v>1.458</v>
          </cell>
          <cell r="AR10">
            <v>1.512</v>
          </cell>
          <cell r="AS10">
            <v>8.4489999999999998</v>
          </cell>
          <cell r="AT10">
            <v>1.337</v>
          </cell>
          <cell r="AU10">
            <v>2.9820000000000002</v>
          </cell>
          <cell r="AV10">
            <v>1.675</v>
          </cell>
          <cell r="AW10">
            <v>1.6910000000000001</v>
          </cell>
          <cell r="AX10">
            <v>7.6849999999999996</v>
          </cell>
        </row>
        <row r="11">
          <cell r="B11" t="str">
            <v>Revenue</v>
          </cell>
          <cell r="Y11">
            <v>33.042000000000002</v>
          </cell>
          <cell r="Z11">
            <v>10.572666999999999</v>
          </cell>
          <cell r="AA11">
            <v>12.209203</v>
          </cell>
          <cell r="AB11">
            <v>14.730212999999999</v>
          </cell>
          <cell r="AC11">
            <v>16.610953000000006</v>
          </cell>
          <cell r="AD11">
            <v>54.123036000000006</v>
          </cell>
          <cell r="AE11">
            <v>19.337153000000001</v>
          </cell>
          <cell r="AF11">
            <v>18.52777</v>
          </cell>
          <cell r="AG11">
            <v>21.046200000000002</v>
          </cell>
          <cell r="AH11">
            <v>22.012</v>
          </cell>
          <cell r="AI11">
            <v>80.923123000000004</v>
          </cell>
          <cell r="AJ11">
            <v>24.321999999999999</v>
          </cell>
          <cell r="AK11">
            <v>23.088000000000001</v>
          </cell>
          <cell r="AL11">
            <v>22.209</v>
          </cell>
          <cell r="AM11">
            <v>23.552</v>
          </cell>
          <cell r="AN11">
            <v>93.170999999999992</v>
          </cell>
          <cell r="AO11">
            <v>24.317</v>
          </cell>
          <cell r="AP11">
            <v>22.895</v>
          </cell>
          <cell r="AQ11">
            <v>20.922999999999998</v>
          </cell>
          <cell r="AR11">
            <v>22.963999999999999</v>
          </cell>
          <cell r="AS11">
            <v>91.099000000000004</v>
          </cell>
          <cell r="AT11">
            <v>23.18</v>
          </cell>
          <cell r="AU11">
            <v>26.923000000000002</v>
          </cell>
          <cell r="AV11">
            <v>26.056000000000001</v>
          </cell>
          <cell r="AW11">
            <v>26.512999999999998</v>
          </cell>
          <cell r="AX11">
            <v>102.672</v>
          </cell>
          <cell r="AY11">
            <v>24.646000000000001</v>
          </cell>
          <cell r="AZ11">
            <v>28.151</v>
          </cell>
          <cell r="BA11">
            <v>26.88</v>
          </cell>
          <cell r="BB11">
            <v>27.111000000000001</v>
          </cell>
          <cell r="BC11">
            <v>106.788</v>
          </cell>
          <cell r="BD11">
            <v>25.728999999999999</v>
          </cell>
          <cell r="BE11">
            <v>29.183</v>
          </cell>
          <cell r="BF11">
            <v>30.920999999999999</v>
          </cell>
          <cell r="BG11">
            <v>30.420999999999999</v>
          </cell>
          <cell r="BH11">
            <v>116.25399999999999</v>
          </cell>
          <cell r="BI11">
            <v>35.951999999999998</v>
          </cell>
          <cell r="BJ11">
            <v>41.573999999999998</v>
          </cell>
          <cell r="BK11">
            <v>40.024999999999999</v>
          </cell>
          <cell r="BL11">
            <v>37.484000000000002</v>
          </cell>
          <cell r="BM11">
            <v>155.035</v>
          </cell>
          <cell r="BN11">
            <v>38.162999999999997</v>
          </cell>
          <cell r="BO11">
            <v>35.234999999999999</v>
          </cell>
          <cell r="BP11">
            <v>35.381</v>
          </cell>
          <cell r="BQ11">
            <v>40.031270430587952</v>
          </cell>
          <cell r="BR11">
            <v>148.81027043058793</v>
          </cell>
          <cell r="BS11">
            <v>39.547199999999997</v>
          </cell>
          <cell r="BT11">
            <v>42.969223440000007</v>
          </cell>
          <cell r="BU11">
            <v>40.0209975</v>
          </cell>
          <cell r="BV11">
            <v>44.034397473646756</v>
          </cell>
          <cell r="BW11">
            <v>166.57181841364675</v>
          </cell>
          <cell r="BX11">
            <v>43.138085760000003</v>
          </cell>
          <cell r="BY11">
            <v>46.870828928352012</v>
          </cell>
          <cell r="BZ11">
            <v>43.654904073000004</v>
          </cell>
          <cell r="CA11">
            <v>48.032720764253881</v>
          </cell>
          <cell r="CB11">
            <v>181.69653952560589</v>
          </cell>
          <cell r="CC11">
            <v>31.758354508145995</v>
          </cell>
          <cell r="CD11">
            <v>32.080630151499996</v>
          </cell>
          <cell r="CE11">
            <v>29.879497843017241</v>
          </cell>
          <cell r="CF11">
            <v>35.711912453706042</v>
          </cell>
          <cell r="CG11">
            <v>129.43039495636927</v>
          </cell>
        </row>
        <row r="12">
          <cell r="B12" t="str">
            <v>COGS</v>
          </cell>
          <cell r="Y12">
            <v>31.0837</v>
          </cell>
          <cell r="Z12">
            <v>4.5199160000000003</v>
          </cell>
          <cell r="AA12">
            <v>4.7950790000000003</v>
          </cell>
          <cell r="AB12">
            <v>5.2325710000000001</v>
          </cell>
          <cell r="AC12">
            <v>6.2272309999999997</v>
          </cell>
          <cell r="AD12">
            <v>20.774797</v>
          </cell>
          <cell r="AE12">
            <v>7.6054789999999999</v>
          </cell>
          <cell r="AF12">
            <v>7.5043509999999998</v>
          </cell>
          <cell r="AG12">
            <v>8.2089400000000001</v>
          </cell>
          <cell r="AH12">
            <v>9.6679999999999993</v>
          </cell>
          <cell r="AI12">
            <v>32.98677</v>
          </cell>
          <cell r="AJ12">
            <v>9.6750000000000007</v>
          </cell>
          <cell r="AK12">
            <v>9.6479999999999997</v>
          </cell>
          <cell r="AL12">
            <v>10.3</v>
          </cell>
          <cell r="AM12">
            <v>9.9719999999999995</v>
          </cell>
          <cell r="AN12">
            <v>39.594999999999999</v>
          </cell>
          <cell r="AO12">
            <v>10.837</v>
          </cell>
          <cell r="AP12">
            <v>9.8689999999999998</v>
          </cell>
          <cell r="AQ12">
            <v>10.362</v>
          </cell>
          <cell r="AR12">
            <v>13.853</v>
          </cell>
          <cell r="AS12">
            <v>44.920999999999999</v>
          </cell>
          <cell r="AT12">
            <v>12.804</v>
          </cell>
          <cell r="AU12">
            <v>14.242000000000001</v>
          </cell>
          <cell r="AV12">
            <v>14.615</v>
          </cell>
          <cell r="AW12">
            <v>12.643000000000001</v>
          </cell>
          <cell r="AX12">
            <v>54.304000000000002</v>
          </cell>
          <cell r="AY12">
            <v>12.753</v>
          </cell>
          <cell r="AZ12">
            <v>13.026</v>
          </cell>
          <cell r="BA12">
            <v>13.285</v>
          </cell>
          <cell r="BB12">
            <v>13.326000000000001</v>
          </cell>
          <cell r="BC12">
            <v>52.39</v>
          </cell>
          <cell r="BD12">
            <v>13.885999999999999</v>
          </cell>
          <cell r="BE12">
            <v>15.335000000000001</v>
          </cell>
          <cell r="BF12">
            <v>16.751000000000001</v>
          </cell>
          <cell r="BG12">
            <v>17.373999999999999</v>
          </cell>
          <cell r="BH12">
            <v>63.346000000000004</v>
          </cell>
          <cell r="BI12">
            <v>16.518999999999998</v>
          </cell>
          <cell r="BJ12">
            <v>15.785</v>
          </cell>
          <cell r="BK12">
            <v>15.829000000000001</v>
          </cell>
          <cell r="BL12">
            <v>17.582999999999998</v>
          </cell>
          <cell r="BM12">
            <v>65.716000000000008</v>
          </cell>
          <cell r="BN12">
            <v>17.242999999999999</v>
          </cell>
          <cell r="BO12">
            <v>17.63</v>
          </cell>
          <cell r="BP12">
            <v>19.657</v>
          </cell>
          <cell r="BQ12">
            <v>22.240600402873504</v>
          </cell>
          <cell r="BR12">
            <v>76.770600402873498</v>
          </cell>
          <cell r="BS12">
            <v>21.971660224414233</v>
          </cell>
          <cell r="BT12">
            <v>23.87287033040559</v>
          </cell>
          <cell r="BU12">
            <v>22.234892961123201</v>
          </cell>
          <cell r="BV12">
            <v>24.464660443160856</v>
          </cell>
          <cell r="BW12">
            <v>92.544083959103887</v>
          </cell>
          <cell r="BX12">
            <v>23.966686972791049</v>
          </cell>
          <cell r="BY12">
            <v>26.040526956406421</v>
          </cell>
          <cell r="BZ12">
            <v>24.25382124199319</v>
          </cell>
          <cell r="CA12">
            <v>26.686051611399861</v>
          </cell>
          <cell r="CB12">
            <v>100.94708678259052</v>
          </cell>
          <cell r="CC12">
            <v>13.856236144819883</v>
          </cell>
          <cell r="CD12">
            <v>13.996845678506251</v>
          </cell>
          <cell r="CE12">
            <v>13.036487072883075</v>
          </cell>
          <cell r="CF12">
            <v>15.581181701802615</v>
          </cell>
          <cell r="CG12">
            <v>56.470750598011826</v>
          </cell>
        </row>
        <row r="13">
          <cell r="B13" t="str">
            <v>Gross profit</v>
          </cell>
          <cell r="Y13">
            <v>1.9583000000000013</v>
          </cell>
          <cell r="Z13">
            <v>6.0527509999999989</v>
          </cell>
          <cell r="AA13">
            <v>7.4141240000000002</v>
          </cell>
          <cell r="AB13">
            <v>9.497641999999999</v>
          </cell>
          <cell r="AC13">
            <v>10.383722000000006</v>
          </cell>
          <cell r="AD13">
            <v>33.348239000000007</v>
          </cell>
          <cell r="AE13">
            <v>11.731674000000002</v>
          </cell>
          <cell r="AF13">
            <v>11.023419000000001</v>
          </cell>
          <cell r="AG13">
            <v>12.837260000000002</v>
          </cell>
          <cell r="AH13">
            <v>12.344000000000001</v>
          </cell>
          <cell r="AI13">
            <v>47.936353000000004</v>
          </cell>
          <cell r="AJ13">
            <v>14.646999999999998</v>
          </cell>
          <cell r="AK13">
            <v>13.440000000000001</v>
          </cell>
          <cell r="AL13">
            <v>11.908999999999999</v>
          </cell>
          <cell r="AM13">
            <v>13.58</v>
          </cell>
          <cell r="AN13">
            <v>53.575999999999993</v>
          </cell>
          <cell r="AO13">
            <v>13.48</v>
          </cell>
          <cell r="AP13">
            <v>13.026</v>
          </cell>
          <cell r="AQ13">
            <v>10.560999999999998</v>
          </cell>
          <cell r="AR13">
            <v>9.1109999999999989</v>
          </cell>
          <cell r="AS13">
            <v>46.177999999999997</v>
          </cell>
          <cell r="AT13">
            <v>10.375999999999999</v>
          </cell>
          <cell r="AU13">
            <v>12.681000000000001</v>
          </cell>
          <cell r="AV13">
            <v>11.441000000000001</v>
          </cell>
          <cell r="AW13">
            <v>13.869999999999997</v>
          </cell>
          <cell r="AX13">
            <v>48.368000000000002</v>
          </cell>
          <cell r="AY13">
            <v>11.893000000000001</v>
          </cell>
          <cell r="AZ13">
            <v>15.125</v>
          </cell>
          <cell r="BA13">
            <v>13.594999999999999</v>
          </cell>
          <cell r="BB13">
            <v>13.785</v>
          </cell>
          <cell r="BC13">
            <v>54.397999999999996</v>
          </cell>
          <cell r="BD13">
            <v>11.843</v>
          </cell>
          <cell r="BE13">
            <v>13.847999999999999</v>
          </cell>
          <cell r="BF13">
            <v>14.169999999999998</v>
          </cell>
          <cell r="BG13">
            <v>13.047000000000001</v>
          </cell>
          <cell r="BH13">
            <v>52.908000000000001</v>
          </cell>
          <cell r="BI13">
            <v>19.433</v>
          </cell>
          <cell r="BJ13">
            <v>25.788999999999998</v>
          </cell>
          <cell r="BK13">
            <v>24.195999999999998</v>
          </cell>
          <cell r="BL13">
            <v>19.901000000000003</v>
          </cell>
          <cell r="BM13">
            <v>89.318999999999988</v>
          </cell>
          <cell r="BN13">
            <v>20.919999999999998</v>
          </cell>
          <cell r="BO13">
            <v>17.605</v>
          </cell>
          <cell r="BP13">
            <v>15.724</v>
          </cell>
          <cell r="BQ13">
            <v>17.790670027714448</v>
          </cell>
          <cell r="BR13">
            <v>72.039670027714436</v>
          </cell>
          <cell r="BS13">
            <v>17.575539775585764</v>
          </cell>
          <cell r="BT13">
            <v>19.096353109594418</v>
          </cell>
          <cell r="BU13">
            <v>17.786104538876799</v>
          </cell>
          <cell r="BV13">
            <v>19.5697370304859</v>
          </cell>
          <cell r="BW13">
            <v>74.02773445454288</v>
          </cell>
          <cell r="BX13">
            <v>19.171398787208954</v>
          </cell>
          <cell r="BY13">
            <v>20.830301971945591</v>
          </cell>
          <cell r="BZ13">
            <v>19.401082831006814</v>
          </cell>
          <cell r="CA13">
            <v>21.34666915285402</v>
          </cell>
          <cell r="CB13">
            <v>80.749452743015382</v>
          </cell>
          <cell r="CC13">
            <v>17.90211836332611</v>
          </cell>
          <cell r="CD13">
            <v>18.083784472993745</v>
          </cell>
          <cell r="CE13">
            <v>16.843010770134164</v>
          </cell>
          <cell r="CF13">
            <v>20.130730751903428</v>
          </cell>
          <cell r="CG13">
            <v>72.959644358357451</v>
          </cell>
        </row>
        <row r="17">
          <cell r="B17" t="str">
            <v>Transaction processing volume</v>
          </cell>
          <cell r="AH17">
            <v>92.4</v>
          </cell>
          <cell r="AI17">
            <v>92.4</v>
          </cell>
          <cell r="AJ17">
            <v>97.3</v>
          </cell>
          <cell r="AM17">
            <v>106.1</v>
          </cell>
          <cell r="AN17">
            <v>203.39999999999998</v>
          </cell>
          <cell r="AO17">
            <v>112</v>
          </cell>
          <cell r="AP17">
            <v>100.5</v>
          </cell>
          <cell r="AQ17">
            <v>103.3</v>
          </cell>
          <cell r="AR17">
            <v>115.3</v>
          </cell>
          <cell r="AS17">
            <v>431.1</v>
          </cell>
          <cell r="AT17">
            <v>96.8</v>
          </cell>
          <cell r="AU17">
            <v>98.8</v>
          </cell>
          <cell r="AV17">
            <v>92</v>
          </cell>
          <cell r="AW17">
            <v>94.6</v>
          </cell>
          <cell r="AX17">
            <v>382.20000000000005</v>
          </cell>
          <cell r="AY17">
            <v>99.5</v>
          </cell>
          <cell r="AZ17">
            <v>99.6</v>
          </cell>
          <cell r="BA17">
            <v>100.7</v>
          </cell>
          <cell r="BB17">
            <v>98.9</v>
          </cell>
          <cell r="BC17">
            <v>398.70000000000005</v>
          </cell>
          <cell r="BD17">
            <v>99.2</v>
          </cell>
          <cell r="BE17">
            <v>98.1</v>
          </cell>
          <cell r="BF17">
            <v>100.1</v>
          </cell>
          <cell r="BG17">
            <v>102.8</v>
          </cell>
          <cell r="BH17">
            <v>400.2</v>
          </cell>
          <cell r="BI17">
            <v>119.4</v>
          </cell>
          <cell r="BJ17">
            <v>116.7</v>
          </cell>
          <cell r="BK17">
            <v>113.2</v>
          </cell>
          <cell r="BL17">
            <v>114.89999999999998</v>
          </cell>
          <cell r="BM17">
            <v>464.2</v>
          </cell>
          <cell r="BN17">
            <v>119.4</v>
          </cell>
          <cell r="BO17">
            <v>121.8348</v>
          </cell>
          <cell r="BP17">
            <v>114.33200000000001</v>
          </cell>
          <cell r="BQ17">
            <v>116.04899999999998</v>
          </cell>
          <cell r="BR17">
            <v>471.61579999999998</v>
          </cell>
          <cell r="BS17">
            <v>131.34</v>
          </cell>
          <cell r="BT17">
            <v>134.01828</v>
          </cell>
          <cell r="BU17">
            <v>125.76520000000002</v>
          </cell>
          <cell r="BV17">
            <v>127.65389999999999</v>
          </cell>
          <cell r="BW17">
            <v>518.77738000000011</v>
          </cell>
          <cell r="BX17">
            <v>141.84720000000002</v>
          </cell>
          <cell r="BY17">
            <v>144.73974240000001</v>
          </cell>
          <cell r="BZ17">
            <v>135.82641600000002</v>
          </cell>
          <cell r="CA17">
            <v>137.86621199999999</v>
          </cell>
          <cell r="CB17">
            <v>560.27957040000001</v>
          </cell>
          <cell r="CC17">
            <v>123.0179394</v>
          </cell>
          <cell r="CD17">
            <v>125.5265162748</v>
          </cell>
          <cell r="CE17">
            <v>117.79637393200001</v>
          </cell>
          <cell r="CF17">
            <v>120.74921659799999</v>
          </cell>
          <cell r="CG17">
            <v>487.09004620479999</v>
          </cell>
        </row>
        <row r="19">
          <cell r="B19" t="str">
            <v>Margin %</v>
          </cell>
        </row>
        <row r="20">
          <cell r="B20" t="str">
            <v>COGS</v>
          </cell>
          <cell r="AJ20">
            <v>0.39778801085437054</v>
          </cell>
          <cell r="AK20">
            <v>0.41787941787941785</v>
          </cell>
          <cell r="AL20">
            <v>0.46377594668827954</v>
          </cell>
          <cell r="AM20">
            <v>0.42340353260869562</v>
          </cell>
          <cell r="AN20">
            <v>0.42497128934969036</v>
          </cell>
          <cell r="AO20">
            <v>0.4456553028745322</v>
          </cell>
          <cell r="AP20">
            <v>0.43105481546189123</v>
          </cell>
          <cell r="AQ20">
            <v>0.49524446781054349</v>
          </cell>
          <cell r="AR20">
            <v>0.60324856296812401</v>
          </cell>
          <cell r="AS20">
            <v>0.49310091219442581</v>
          </cell>
          <cell r="AT20">
            <v>0.55237273511647977</v>
          </cell>
          <cell r="AU20">
            <v>0.52899008282880811</v>
          </cell>
          <cell r="AV20">
            <v>0.56090727663494011</v>
          </cell>
          <cell r="AW20">
            <v>0.47686040810168601</v>
          </cell>
          <cell r="AX20">
            <v>0.52890758921614467</v>
          </cell>
          <cell r="AY20">
            <v>0.5174470502312748</v>
          </cell>
          <cell r="AZ20">
            <v>0.46271890874214061</v>
          </cell>
          <cell r="BA20">
            <v>0.49423363095238099</v>
          </cell>
          <cell r="BB20">
            <v>0.49153480137213679</v>
          </cell>
          <cell r="BC20">
            <v>0.49059819455369519</v>
          </cell>
          <cell r="BD20">
            <v>0.53970228147226862</v>
          </cell>
          <cell r="BE20">
            <v>0.52547716136106637</v>
          </cell>
          <cell r="BF20">
            <v>0.54173539018789829</v>
          </cell>
          <cell r="BG20">
            <v>0.57111863515334804</v>
          </cell>
          <cell r="BH20">
            <v>0.54489307894782124</v>
          </cell>
          <cell r="BI20">
            <v>0.4594737427681353</v>
          </cell>
          <cell r="BJ20">
            <v>0.3796844181459566</v>
          </cell>
          <cell r="BK20">
            <v>0.39547782635852596</v>
          </cell>
          <cell r="BL20">
            <v>0.46908014086010025</v>
          </cell>
          <cell r="BM20">
            <v>0.4238784790531171</v>
          </cell>
          <cell r="BN20">
            <v>0.45182506616356155</v>
          </cell>
          <cell r="BO20">
            <v>0.50035476089115938</v>
          </cell>
          <cell r="BP20">
            <v>0.55558067889545237</v>
          </cell>
          <cell r="BQ20">
            <v>0.55558067889545237</v>
          </cell>
          <cell r="BR20">
            <v>0.51589584630640728</v>
          </cell>
          <cell r="BS20">
            <v>0.55558067889545237</v>
          </cell>
          <cell r="BT20">
            <v>0.55558067889545237</v>
          </cell>
          <cell r="BU20">
            <v>0.55558067889545237</v>
          </cell>
          <cell r="BV20">
            <v>0.55558067889545237</v>
          </cell>
          <cell r="BW20">
            <v>0.55558067889545237</v>
          </cell>
          <cell r="BX20">
            <v>0.55558067889545237</v>
          </cell>
          <cell r="BY20">
            <v>0.55558067889545237</v>
          </cell>
          <cell r="BZ20">
            <v>0.55558067889545237</v>
          </cell>
          <cell r="CA20">
            <v>0.55558067889545237</v>
          </cell>
          <cell r="CB20">
            <v>0.55558067889545237</v>
          </cell>
          <cell r="CC20">
            <v>0.43630208048926994</v>
          </cell>
          <cell r="CD20">
            <v>0.43630208048926994</v>
          </cell>
          <cell r="CE20">
            <v>0.43630208048926994</v>
          </cell>
          <cell r="CF20">
            <v>0.43630208048926994</v>
          </cell>
          <cell r="CG20">
            <v>0.43630208048926994</v>
          </cell>
        </row>
        <row r="21">
          <cell r="B21" t="str">
            <v>Gross margin - total</v>
          </cell>
          <cell r="AJ21">
            <v>0.60221198914562946</v>
          </cell>
          <cell r="AK21">
            <v>0.58212058212058215</v>
          </cell>
          <cell r="AL21">
            <v>0.53622405331172041</v>
          </cell>
          <cell r="AM21">
            <v>0.57659646739130432</v>
          </cell>
          <cell r="AN21">
            <v>0.57502871065030958</v>
          </cell>
          <cell r="AO21">
            <v>0.55434469712546774</v>
          </cell>
          <cell r="AP21">
            <v>0.56894518453810872</v>
          </cell>
          <cell r="AQ21">
            <v>0.50475553218945657</v>
          </cell>
          <cell r="AR21">
            <v>0.39675143703187593</v>
          </cell>
          <cell r="AS21">
            <v>0.50689908780557413</v>
          </cell>
          <cell r="AT21">
            <v>0.44762726488352028</v>
          </cell>
          <cell r="AU21">
            <v>0.47100991717119189</v>
          </cell>
          <cell r="AV21">
            <v>0.43909272336505989</v>
          </cell>
          <cell r="AW21">
            <v>0.52313959189831394</v>
          </cell>
          <cell r="AX21">
            <v>0.47109241078385544</v>
          </cell>
          <cell r="AY21">
            <v>0.48255294976872515</v>
          </cell>
          <cell r="AZ21">
            <v>0.53728109125785939</v>
          </cell>
          <cell r="BA21">
            <v>0.50576636904761907</v>
          </cell>
          <cell r="BB21">
            <v>0.50846519862786321</v>
          </cell>
          <cell r="BC21">
            <v>0.50940180544630476</v>
          </cell>
          <cell r="BD21">
            <v>0.46029771852773138</v>
          </cell>
          <cell r="BE21">
            <v>0.47452283863893358</v>
          </cell>
          <cell r="BF21">
            <v>0.45826460981210176</v>
          </cell>
          <cell r="BG21">
            <v>0.42888136484665201</v>
          </cell>
          <cell r="BH21">
            <v>0.45510692105217887</v>
          </cell>
          <cell r="BI21">
            <v>0.54052625723186476</v>
          </cell>
          <cell r="BJ21">
            <v>0.62031558185404334</v>
          </cell>
          <cell r="BK21">
            <v>0.60452217364147409</v>
          </cell>
          <cell r="BL21">
            <v>0.53091985913989981</v>
          </cell>
          <cell r="BM21">
            <v>0.57612152094688285</v>
          </cell>
          <cell r="BN21">
            <v>0.54817493383643845</v>
          </cell>
          <cell r="BO21">
            <v>0.49964523910884068</v>
          </cell>
          <cell r="BP21">
            <v>0.44441932110454763</v>
          </cell>
          <cell r="BQ21">
            <v>0.44441932110454757</v>
          </cell>
          <cell r="BR21">
            <v>0.48410415369359272</v>
          </cell>
          <cell r="BS21">
            <v>0.44441932110454763</v>
          </cell>
          <cell r="BT21">
            <v>0.44441932110454763</v>
          </cell>
          <cell r="BU21">
            <v>0.44441932110454768</v>
          </cell>
          <cell r="BV21">
            <v>0.44441932110454768</v>
          </cell>
          <cell r="BW21">
            <v>0.44441932110454768</v>
          </cell>
          <cell r="BX21">
            <v>0.44441932110454763</v>
          </cell>
          <cell r="BY21">
            <v>0.44441932110454757</v>
          </cell>
          <cell r="BZ21">
            <v>0.44441932110454763</v>
          </cell>
          <cell r="CA21">
            <v>0.44441932110454768</v>
          </cell>
          <cell r="CB21">
            <v>0.44441932110454768</v>
          </cell>
          <cell r="CC21">
            <v>0.56369791951073001</v>
          </cell>
          <cell r="CD21">
            <v>0.56369791951073012</v>
          </cell>
          <cell r="CE21">
            <v>0.56369791951073001</v>
          </cell>
          <cell r="CF21">
            <v>0.56369791951073012</v>
          </cell>
          <cell r="CG21">
            <v>0.56369791951073012</v>
          </cell>
        </row>
        <row r="22">
          <cell r="B22" t="str">
            <v>Revenue per transaction</v>
          </cell>
          <cell r="Y22" t="str">
            <v>NM</v>
          </cell>
          <cell r="Z22" t="str">
            <v>NM</v>
          </cell>
          <cell r="AA22" t="str">
            <v>NM</v>
          </cell>
          <cell r="AB22" t="str">
            <v>NM</v>
          </cell>
          <cell r="AC22" t="str">
            <v>NM</v>
          </cell>
          <cell r="AD22" t="str">
            <v>NM</v>
          </cell>
          <cell r="AE22" t="str">
            <v>NM</v>
          </cell>
          <cell r="AF22" t="str">
            <v>NM</v>
          </cell>
          <cell r="AG22" t="str">
            <v>NM</v>
          </cell>
          <cell r="AH22">
            <v>0.23822510822510823</v>
          </cell>
          <cell r="AI22">
            <v>0.87579137445887445</v>
          </cell>
          <cell r="AJ22">
            <v>0.24996916752312437</v>
          </cell>
          <cell r="AK22" t="str">
            <v>NM</v>
          </cell>
          <cell r="AL22" t="str">
            <v>NM</v>
          </cell>
          <cell r="AM22">
            <v>0.22197926484448635</v>
          </cell>
          <cell r="AN22">
            <v>0.45806784660766964</v>
          </cell>
          <cell r="AO22">
            <v>0.21711607142857142</v>
          </cell>
          <cell r="AP22">
            <v>0.22781094527363183</v>
          </cell>
          <cell r="AQ22">
            <v>0.20254598257502418</v>
          </cell>
          <cell r="AR22">
            <v>0.19916738941890719</v>
          </cell>
          <cell r="AS22">
            <v>0.2113175597309209</v>
          </cell>
          <cell r="AT22">
            <v>0.23946280991735538</v>
          </cell>
          <cell r="AU22">
            <v>0.27250000000000002</v>
          </cell>
          <cell r="AV22">
            <v>0.28321739130434781</v>
          </cell>
          <cell r="AW22">
            <v>0.28026427061310782</v>
          </cell>
          <cell r="AX22">
            <v>0.26863422291993716</v>
          </cell>
          <cell r="AY22">
            <v>0.24769849246231157</v>
          </cell>
          <cell r="AZ22">
            <v>0.28264056224899597</v>
          </cell>
          <cell r="BA22">
            <v>0.26693147964250247</v>
          </cell>
          <cell r="BB22">
            <v>0.27412537917087965</v>
          </cell>
          <cell r="BC22">
            <v>0.2678404815650865</v>
          </cell>
          <cell r="BD22">
            <v>0.25936491935483869</v>
          </cell>
          <cell r="BE22">
            <v>0.29748216106014275</v>
          </cell>
          <cell r="BF22">
            <v>0.3089010989010989</v>
          </cell>
          <cell r="BG22">
            <v>0.31722609478646985</v>
          </cell>
          <cell r="BH22">
            <v>0.29048975512243874</v>
          </cell>
          <cell r="BI22">
            <v>0.30110552763819093</v>
          </cell>
          <cell r="BJ22">
            <v>0.35624678663239073</v>
          </cell>
          <cell r="BK22">
            <v>0.35357773851590102</v>
          </cell>
          <cell r="BL22">
            <v>0.3631067859319676</v>
          </cell>
          <cell r="BM22">
            <v>0.33398319689788886</v>
          </cell>
          <cell r="BN22">
            <v>0.30110552763819093</v>
          </cell>
          <cell r="BO22">
            <v>0.32062210796915169</v>
          </cell>
          <cell r="BP22">
            <v>0.31821996466431091</v>
          </cell>
          <cell r="BQ22">
            <v>0.3449514466353692</v>
          </cell>
          <cell r="BR22">
            <v>0.31553283505469482</v>
          </cell>
          <cell r="BS22">
            <v>0.30110552763819093</v>
          </cell>
          <cell r="BT22">
            <v>0.32062210796915169</v>
          </cell>
          <cell r="BU22">
            <v>0.31821996466431091</v>
          </cell>
          <cell r="BV22">
            <v>0.3449514466353692</v>
          </cell>
          <cell r="BW22">
            <v>0.32108535343936301</v>
          </cell>
          <cell r="BX22">
            <v>0.30411658291457283</v>
          </cell>
          <cell r="BY22">
            <v>0.32382832904884323</v>
          </cell>
          <cell r="BZ22">
            <v>0.32140216431095403</v>
          </cell>
          <cell r="CA22">
            <v>0.34840096110172292</v>
          </cell>
          <cell r="CB22">
            <v>0.32429620697375666</v>
          </cell>
          <cell r="CC22">
            <v>0.25816035175879393</v>
          </cell>
          <cell r="CD22">
            <v>0.25556855319134131</v>
          </cell>
          <cell r="CE22">
            <v>0.25365379973636282</v>
          </cell>
          <cell r="CF22">
            <v>0.29575274655899964</v>
          </cell>
          <cell r="CG22">
            <v>0.26572169964226589</v>
          </cell>
        </row>
        <row r="23">
          <cell r="B23" t="str">
            <v>GM per transaction</v>
          </cell>
          <cell r="Y23" t="str">
            <v>NM</v>
          </cell>
          <cell r="Z23" t="str">
            <v>NM</v>
          </cell>
          <cell r="AA23" t="str">
            <v>NM</v>
          </cell>
          <cell r="AB23" t="str">
            <v>NM</v>
          </cell>
          <cell r="AC23" t="str">
            <v>NM</v>
          </cell>
          <cell r="AD23" t="str">
            <v>NM</v>
          </cell>
          <cell r="AE23" t="str">
            <v>NM</v>
          </cell>
          <cell r="AF23" t="str">
            <v>NM</v>
          </cell>
          <cell r="AG23" t="str">
            <v>NM</v>
          </cell>
          <cell r="AH23">
            <v>0.1335930735930736</v>
          </cell>
          <cell r="AI23">
            <v>0.51879169913419909</v>
          </cell>
          <cell r="AJ23">
            <v>0.15053442959917779</v>
          </cell>
          <cell r="AK23" t="str">
            <v>NM</v>
          </cell>
          <cell r="AL23" t="str">
            <v>NM</v>
          </cell>
          <cell r="AM23">
            <v>0.12799245994344957</v>
          </cell>
          <cell r="AN23">
            <v>0.26340216322517207</v>
          </cell>
          <cell r="AO23">
            <v>0.12035714285714286</v>
          </cell>
          <cell r="AP23">
            <v>0.12961194029850745</v>
          </cell>
          <cell r="AQ23">
            <v>0.10223620522749273</v>
          </cell>
          <cell r="AR23">
            <v>7.9019947961838671E-2</v>
          </cell>
          <cell r="AS23">
            <v>0.10711667826490372</v>
          </cell>
          <cell r="AT23">
            <v>0.10719008264462809</v>
          </cell>
          <cell r="AU23">
            <v>0.12835020242914982</v>
          </cell>
          <cell r="AV23">
            <v>0.12435869565217392</v>
          </cell>
          <cell r="AW23">
            <v>0.14661733615221986</v>
          </cell>
          <cell r="AX23">
            <v>0.12655154369440083</v>
          </cell>
          <cell r="AY23">
            <v>0.11952763819095479</v>
          </cell>
          <cell r="AZ23">
            <v>0.1518574297188755</v>
          </cell>
          <cell r="BA23">
            <v>0.13500496524329691</v>
          </cell>
          <cell r="BB23">
            <v>0.13938321536905965</v>
          </cell>
          <cell r="BC23">
            <v>0.13643842488086277</v>
          </cell>
          <cell r="BD23">
            <v>0.11938508064516129</v>
          </cell>
          <cell r="BE23">
            <v>0.14116207951070336</v>
          </cell>
          <cell r="BF23">
            <v>0.14155844155844155</v>
          </cell>
          <cell r="BG23">
            <v>0.12691634241245137</v>
          </cell>
          <cell r="BH23">
            <v>0.13220389805097452</v>
          </cell>
          <cell r="BI23">
            <v>0.16275544388609714</v>
          </cell>
          <cell r="BJ23">
            <v>0.22098543273350468</v>
          </cell>
          <cell r="BK23">
            <v>0.21374558303886923</v>
          </cell>
          <cell r="BL23">
            <v>0.17320278503046133</v>
          </cell>
          <cell r="BM23">
            <v>0.19241490736751399</v>
          </cell>
          <cell r="BN23">
            <v>0.17520938023450583</v>
          </cell>
          <cell r="BO23">
            <v>0.14449894447235109</v>
          </cell>
          <cell r="BP23">
            <v>0.13752930063324353</v>
          </cell>
          <cell r="BQ23">
            <v>0.15330308772772236</v>
          </cell>
          <cell r="BR23">
            <v>0.15275075607669303</v>
          </cell>
          <cell r="BS23">
            <v>0.13381711417379141</v>
          </cell>
          <cell r="BT23">
            <v>0.14249065955475937</v>
          </cell>
          <cell r="BU23">
            <v>0.14142310065802619</v>
          </cell>
          <cell r="BV23">
            <v>0.15330308772772239</v>
          </cell>
          <cell r="BW23">
            <v>0.14269653479213543</v>
          </cell>
          <cell r="BX23">
            <v>0.13515528531552934</v>
          </cell>
          <cell r="BY23">
            <v>0.14391556615030696</v>
          </cell>
          <cell r="BZ23">
            <v>0.14283733166460647</v>
          </cell>
          <cell r="CA23">
            <v>0.1548361186049996</v>
          </cell>
          <cell r="CB23">
            <v>0.14412350014005684</v>
          </cell>
          <cell r="CC23">
            <v>0.14552445318659035</v>
          </cell>
          <cell r="CD23">
            <v>0.14406346172632645</v>
          </cell>
          <cell r="CE23">
            <v>0.14298411918737908</v>
          </cell>
          <cell r="CF23">
            <v>0.16671520792489233</v>
          </cell>
          <cell r="CG23">
            <v>0.14978676925720039</v>
          </cell>
        </row>
        <row r="25">
          <cell r="B25" t="str">
            <v>Year-over-Year Growth (PBM)</v>
          </cell>
        </row>
        <row r="26">
          <cell r="B26" t="str">
            <v>Total Revenues</v>
          </cell>
          <cell r="AJ26">
            <v>0.25778598328306135</v>
          </cell>
          <cell r="AK26">
            <v>0.2461294586450502</v>
          </cell>
          <cell r="AL26">
            <v>5.5249878837984934E-2</v>
          </cell>
          <cell r="AM26">
            <v>6.9961838996910775E-2</v>
          </cell>
          <cell r="AN26">
            <v>0.1513520060267568</v>
          </cell>
          <cell r="AO26">
            <v>-2.0557519940789248E-4</v>
          </cell>
          <cell r="AP26">
            <v>-8.3593208593208956E-3</v>
          </cell>
          <cell r="AQ26">
            <v>-5.7904453149624113E-2</v>
          </cell>
          <cell r="AR26">
            <v>-2.4966032608695676E-2</v>
          </cell>
          <cell r="AS26">
            <v>-2.2238679417415197E-2</v>
          </cell>
          <cell r="AT26">
            <v>-4.6757412509766838E-2</v>
          </cell>
          <cell r="AU26">
            <v>0.17593360995850627</v>
          </cell>
          <cell r="AV26">
            <v>0.245328107823926</v>
          </cell>
          <cell r="AW26">
            <v>0.15454624629855429</v>
          </cell>
          <cell r="AX26">
            <v>0.12703761841513073</v>
          </cell>
          <cell r="AY26">
            <v>6.3244176013804942E-2</v>
          </cell>
          <cell r="AZ26">
            <v>4.5611558890168213E-2</v>
          </cell>
          <cell r="BA26">
            <v>3.1624194043598397E-2</v>
          </cell>
          <cell r="BB26">
            <v>2.2554973032097525E-2</v>
          </cell>
          <cell r="BC26">
            <v>4.0088826554464774E-2</v>
          </cell>
          <cell r="BD26">
            <v>4.3942221861559716E-2</v>
          </cell>
          <cell r="BE26">
            <v>3.6659443714255335E-2</v>
          </cell>
          <cell r="BF26">
            <v>0.15033482142857135</v>
          </cell>
          <cell r="BG26">
            <v>0.12209066430600113</v>
          </cell>
          <cell r="BH26">
            <v>8.8642918680001515E-2</v>
          </cell>
          <cell r="BI26">
            <v>0.39733374791091758</v>
          </cell>
          <cell r="BJ26">
            <v>0.4245965116677517</v>
          </cell>
          <cell r="BK26">
            <v>0.29442773519614507</v>
          </cell>
          <cell r="BL26">
            <v>0.23217514217152635</v>
          </cell>
          <cell r="BM26">
            <v>0.33358852168527542</v>
          </cell>
          <cell r="BN26">
            <v>6.1498664886515231E-2</v>
          </cell>
          <cell r="BO26">
            <v>-0.15247510463270308</v>
          </cell>
          <cell r="BP26">
            <v>-0.11602748282323549</v>
          </cell>
          <cell r="BQ26">
            <v>6.7956206130294294E-2</v>
          </cell>
          <cell r="BR26">
            <v>-4.0150479371832581E-2</v>
          </cell>
          <cell r="BS26">
            <v>3.627073343290621E-2</v>
          </cell>
          <cell r="BT26">
            <v>0.21950400000000014</v>
          </cell>
          <cell r="BU26">
            <v>0.13114376360193325</v>
          </cell>
          <cell r="BV26">
            <v>0.10000000000000031</v>
          </cell>
          <cell r="BW26">
            <v>0.11935700359703083</v>
          </cell>
          <cell r="BX26">
            <v>9.0800000000000214E-2</v>
          </cell>
          <cell r="BY26">
            <v>9.0799999999999992E-2</v>
          </cell>
          <cell r="BZ26">
            <v>9.0800000000000214E-2</v>
          </cell>
          <cell r="CA26">
            <v>9.0799999999999992E-2</v>
          </cell>
          <cell r="CB26">
            <v>9.0799999999999992E-2</v>
          </cell>
          <cell r="CC26">
            <v>-4.0500000000000203E-2</v>
          </cell>
          <cell r="CD26">
            <v>-4.0500000000000091E-2</v>
          </cell>
          <cell r="CE26">
            <v>-4.049999999999998E-2</v>
          </cell>
          <cell r="CF26">
            <v>-4.0500000000000091E-2</v>
          </cell>
          <cell r="CG26">
            <v>-4.0500000000000091E-2</v>
          </cell>
        </row>
        <row r="27">
          <cell r="B27" t="str">
            <v>Cost of revenues</v>
          </cell>
          <cell r="AJ27">
            <v>0.27210922546758742</v>
          </cell>
          <cell r="AK27">
            <v>0.28565414917292653</v>
          </cell>
          <cell r="AL27">
            <v>0.25472959968034847</v>
          </cell>
          <cell r="AM27">
            <v>3.1443938767066637E-2</v>
          </cell>
          <cell r="AN27">
            <v>0.20032970794048643</v>
          </cell>
          <cell r="AO27">
            <v>0.12010335917312642</v>
          </cell>
          <cell r="AP27">
            <v>2.2906301824212383E-2</v>
          </cell>
          <cell r="AQ27">
            <v>6.019417475728206E-3</v>
          </cell>
          <cell r="AR27">
            <v>0.38918973124749301</v>
          </cell>
          <cell r="AS27">
            <v>0.13451193332491473</v>
          </cell>
          <cell r="AT27">
            <v>0.1815077973608934</v>
          </cell>
          <cell r="AU27">
            <v>0.44310467119262342</v>
          </cell>
          <cell r="AV27">
            <v>0.4104419996139741</v>
          </cell>
          <cell r="AW27">
            <v>-8.7345701292138811E-2</v>
          </cell>
          <cell r="AX27">
            <v>0.20887780770686315</v>
          </cell>
          <cell r="AY27">
            <v>-3.9831302717900918E-3</v>
          </cell>
          <cell r="AZ27">
            <v>-8.5381266676028744E-2</v>
          </cell>
          <cell r="BA27">
            <v>-9.1002394799863162E-2</v>
          </cell>
          <cell r="BB27">
            <v>5.4021988452107816E-2</v>
          </cell>
          <cell r="BC27">
            <v>-3.5246022392457332E-2</v>
          </cell>
          <cell r="BD27">
            <v>8.8841841135419042E-2</v>
          </cell>
          <cell r="BE27">
            <v>0.17726086288960552</v>
          </cell>
          <cell r="BF27">
            <v>0.26089574708317653</v>
          </cell>
          <cell r="BG27">
            <v>0.30376707188953911</v>
          </cell>
          <cell r="BH27">
            <v>0.20912387860278692</v>
          </cell>
          <cell r="BI27">
            <v>0.18961544001152242</v>
          </cell>
          <cell r="BJ27">
            <v>2.9344636452559358E-2</v>
          </cell>
          <cell r="BK27">
            <v>-5.5041490060294906E-2</v>
          </cell>
          <cell r="BL27">
            <v>1.202946932197535E-2</v>
          </cell>
          <cell r="BM27">
            <v>3.7413569917595479E-2</v>
          </cell>
          <cell r="BN27">
            <v>4.3828318905502872E-2</v>
          </cell>
          <cell r="BO27">
            <v>0.11688311688311681</v>
          </cell>
          <cell r="BP27">
            <v>0.24183460736622653</v>
          </cell>
          <cell r="BQ27">
            <v>0.26489224835770386</v>
          </cell>
          <cell r="BR27">
            <v>0.16821779175350726</v>
          </cell>
          <cell r="BS27">
            <v>0.27423651478363587</v>
          </cell>
          <cell r="BT27">
            <v>0.35410495351137783</v>
          </cell>
          <cell r="BU27">
            <v>0.13114376360193325</v>
          </cell>
          <cell r="BV27">
            <v>0.10000000000000009</v>
          </cell>
          <cell r="BW27">
            <v>0.20546255302752581</v>
          </cell>
          <cell r="BX27">
            <v>9.0800000000000214E-2</v>
          </cell>
          <cell r="BY27">
            <v>9.0800000000000214E-2</v>
          </cell>
          <cell r="BZ27">
            <v>9.0800000000000214E-2</v>
          </cell>
          <cell r="CA27">
            <v>9.0799999999999992E-2</v>
          </cell>
          <cell r="CB27">
            <v>9.0799999999999992E-2</v>
          </cell>
          <cell r="CC27">
            <v>-4.0500000000000203E-2</v>
          </cell>
          <cell r="CD27">
            <v>-4.0500000000000091E-2</v>
          </cell>
          <cell r="CE27">
            <v>-4.0500000000000091E-2</v>
          </cell>
          <cell r="CF27">
            <v>-4.0500000000000091E-2</v>
          </cell>
          <cell r="CG27">
            <v>-4.0500000000000091E-2</v>
          </cell>
        </row>
        <row r="28">
          <cell r="B28" t="str">
            <v>Gross profit</v>
          </cell>
          <cell r="AJ28">
            <v>0.24850042713426879</v>
          </cell>
          <cell r="AK28">
            <v>0.21922245720678868</v>
          </cell>
          <cell r="AL28">
            <v>-7.2309823124249495E-2</v>
          </cell>
          <cell r="AM28">
            <v>0.10012961762799732</v>
          </cell>
          <cell r="AN28">
            <v>0.11764864548623444</v>
          </cell>
          <cell r="AO28">
            <v>-7.9675018775175688E-2</v>
          </cell>
          <cell r="AP28">
            <v>-3.0803571428571486E-2</v>
          </cell>
          <cell r="AQ28">
            <v>-0.11319170375346388</v>
          </cell>
          <cell r="AR28">
            <v>-0.3290868924889544</v>
          </cell>
          <cell r="AS28">
            <v>-0.13808421681349847</v>
          </cell>
          <cell r="AT28">
            <v>-0.23026706231454008</v>
          </cell>
          <cell r="AU28">
            <v>-2.6485490557346725E-2</v>
          </cell>
          <cell r="AV28">
            <v>8.3325442666414506E-2</v>
          </cell>
          <cell r="AW28">
            <v>0.52233563823949059</v>
          </cell>
          <cell r="AX28">
            <v>4.7425180822036506E-2</v>
          </cell>
          <cell r="AY28">
            <v>0.1462027756360833</v>
          </cell>
          <cell r="AZ28">
            <v>0.19272928002523448</v>
          </cell>
          <cell r="BA28">
            <v>0.18827025609649484</v>
          </cell>
          <cell r="BB28">
            <v>-6.1283345349674168E-3</v>
          </cell>
          <cell r="BC28">
            <v>0.12466920277869642</v>
          </cell>
          <cell r="BD28">
            <v>-4.2041537038595145E-3</v>
          </cell>
          <cell r="BE28">
            <v>-8.4429752066115804E-2</v>
          </cell>
          <cell r="BF28">
            <v>4.2294961382861374E-2</v>
          </cell>
          <cell r="BG28">
            <v>-5.3536452665941203E-2</v>
          </cell>
          <cell r="BH28">
            <v>-2.7390712893856306E-2</v>
          </cell>
          <cell r="BI28">
            <v>0.64088491091784183</v>
          </cell>
          <cell r="BJ28">
            <v>0.86229058347775855</v>
          </cell>
          <cell r="BK28">
            <v>0.70755116443189836</v>
          </cell>
          <cell r="BL28">
            <v>0.52533149382999933</v>
          </cell>
          <cell r="BM28">
            <v>0.68819460195055537</v>
          </cell>
          <cell r="BN28">
            <v>7.6519322801420264E-2</v>
          </cell>
          <cell r="BO28">
            <v>-0.31734460428865008</v>
          </cell>
          <cell r="BP28">
            <v>-0.35014051909406507</v>
          </cell>
          <cell r="BQ28">
            <v>-0.10604140356190916</v>
          </cell>
          <cell r="BR28">
            <v>-0.19345637515294123</v>
          </cell>
          <cell r="BS28">
            <v>-0.15986903558385446</v>
          </cell>
          <cell r="BT28">
            <v>8.4711906253587932E-2</v>
          </cell>
          <cell r="BU28">
            <v>0.13114376360193325</v>
          </cell>
          <cell r="BV28">
            <v>0.10000000000000031</v>
          </cell>
          <cell r="BW28">
            <v>2.7596800846861447E-2</v>
          </cell>
          <cell r="BX28">
            <v>9.0800000000000214E-2</v>
          </cell>
          <cell r="BY28">
            <v>9.0799999999999992E-2</v>
          </cell>
          <cell r="BZ28">
            <v>9.0799999999999992E-2</v>
          </cell>
          <cell r="CA28">
            <v>9.0799999999999992E-2</v>
          </cell>
          <cell r="CB28">
            <v>9.0800000000000214E-2</v>
          </cell>
          <cell r="CC28">
            <v>-4.0500000000000314E-2</v>
          </cell>
          <cell r="CD28">
            <v>-4.0500000000000203E-2</v>
          </cell>
          <cell r="CE28">
            <v>-4.0500000000000091E-2</v>
          </cell>
          <cell r="CF28">
            <v>-4.049999999999998E-2</v>
          </cell>
          <cell r="CG28">
            <v>-4.0500000000000203E-2</v>
          </cell>
        </row>
        <row r="29">
          <cell r="B29" t="str">
            <v>Transaction processing volume</v>
          </cell>
          <cell r="Y29" t="str">
            <v>NM</v>
          </cell>
          <cell r="Z29" t="str">
            <v>NM</v>
          </cell>
          <cell r="AA29" t="str">
            <v>NM</v>
          </cell>
          <cell r="AB29" t="str">
            <v>NM</v>
          </cell>
          <cell r="AC29" t="str">
            <v>NM</v>
          </cell>
          <cell r="AD29" t="str">
            <v>NM</v>
          </cell>
          <cell r="AE29" t="str">
            <v>NM</v>
          </cell>
          <cell r="AF29" t="str">
            <v>NM</v>
          </cell>
          <cell r="AG29" t="str">
            <v>NM</v>
          </cell>
          <cell r="AH29" t="str">
            <v>NM</v>
          </cell>
          <cell r="AI29" t="str">
            <v>NM</v>
          </cell>
          <cell r="AJ29" t="str">
            <v>NM</v>
          </cell>
          <cell r="AK29" t="str">
            <v>NM</v>
          </cell>
          <cell r="AL29" t="str">
            <v>NM</v>
          </cell>
          <cell r="AM29">
            <v>0.1482683982683981</v>
          </cell>
          <cell r="AN29">
            <v>1.2012987012987009</v>
          </cell>
          <cell r="AO29">
            <v>0.15107913669064743</v>
          </cell>
          <cell r="AP29" t="str">
            <v>NM</v>
          </cell>
          <cell r="AQ29" t="str">
            <v>NM</v>
          </cell>
          <cell r="AR29">
            <v>8.671065032987757E-2</v>
          </cell>
          <cell r="AS29">
            <v>1.1194690265486731</v>
          </cell>
          <cell r="AT29">
            <v>-0.13571428571428579</v>
          </cell>
          <cell r="AU29">
            <v>-1.6915422885572129E-2</v>
          </cell>
          <cell r="AV29">
            <v>-0.10939012584704744</v>
          </cell>
          <cell r="AW29">
            <v>-0.1795316565481353</v>
          </cell>
          <cell r="AX29">
            <v>-0.11343075852470419</v>
          </cell>
          <cell r="AY29">
            <v>2.789256198347112E-2</v>
          </cell>
          <cell r="AZ29">
            <v>8.0971659919029104E-3</v>
          </cell>
          <cell r="BA29">
            <v>9.4565217391304301E-2</v>
          </cell>
          <cell r="BB29">
            <v>4.5454545454545636E-2</v>
          </cell>
          <cell r="BC29">
            <v>4.3171114599686033E-2</v>
          </cell>
          <cell r="BD29">
            <v>-3.0150753768843908E-3</v>
          </cell>
          <cell r="BE29">
            <v>-1.5060240963855387E-2</v>
          </cell>
          <cell r="BF29">
            <v>-5.9582919563059278E-3</v>
          </cell>
          <cell r="BG29">
            <v>3.9433771486349745E-2</v>
          </cell>
          <cell r="BH29">
            <v>3.762227238525151E-3</v>
          </cell>
          <cell r="BI29">
            <v>0.2036290322580645</v>
          </cell>
          <cell r="BJ29">
            <v>0.18960244648318048</v>
          </cell>
          <cell r="BK29">
            <v>0.13086913086913099</v>
          </cell>
          <cell r="BL29">
            <v>0.11770428015564183</v>
          </cell>
          <cell r="BM29">
            <v>0.15992003998001003</v>
          </cell>
          <cell r="BN29">
            <v>0</v>
          </cell>
          <cell r="BO29">
            <v>4.3999999999999997E-2</v>
          </cell>
          <cell r="BP29">
            <v>0.01</v>
          </cell>
          <cell r="BQ29">
            <v>0.01</v>
          </cell>
          <cell r="BR29">
            <v>1.5975441619991315E-2</v>
          </cell>
          <cell r="BS29">
            <v>0.1</v>
          </cell>
          <cell r="BT29">
            <v>0.1</v>
          </cell>
          <cell r="BU29">
            <v>0.1</v>
          </cell>
          <cell r="BV29">
            <v>0.1</v>
          </cell>
          <cell r="BW29">
            <v>0.10000000000000031</v>
          </cell>
          <cell r="BX29">
            <v>0.08</v>
          </cell>
          <cell r="BY29">
            <v>0.08</v>
          </cell>
          <cell r="BZ29">
            <v>0.08</v>
          </cell>
          <cell r="CA29">
            <v>0.08</v>
          </cell>
          <cell r="CB29">
            <v>7.9999999999999849E-2</v>
          </cell>
          <cell r="CC29">
            <v>0.01</v>
          </cell>
          <cell r="CD29">
            <v>0.01</v>
          </cell>
          <cell r="CE29">
            <v>0.01</v>
          </cell>
          <cell r="CF29">
            <v>0.01</v>
          </cell>
          <cell r="CG29">
            <v>1.0000000000000009E-2</v>
          </cell>
        </row>
        <row r="30">
          <cell r="B30" t="str">
            <v>Revenue per transaction</v>
          </cell>
          <cell r="Y30" t="str">
            <v>NM</v>
          </cell>
          <cell r="Z30" t="str">
            <v>NM</v>
          </cell>
          <cell r="AA30" t="str">
            <v>NM</v>
          </cell>
          <cell r="AB30" t="str">
            <v>NM</v>
          </cell>
          <cell r="AC30" t="str">
            <v>NM</v>
          </cell>
          <cell r="AD30" t="str">
            <v>NM</v>
          </cell>
          <cell r="AE30" t="str">
            <v>NM</v>
          </cell>
          <cell r="AF30" t="str">
            <v>NM</v>
          </cell>
          <cell r="AG30" t="str">
            <v>NM</v>
          </cell>
          <cell r="AH30" t="str">
            <v>NM</v>
          </cell>
          <cell r="AI30" t="str">
            <v>NM</v>
          </cell>
          <cell r="AJ30" t="str">
            <v>NM</v>
          </cell>
          <cell r="AK30" t="str">
            <v>NM</v>
          </cell>
          <cell r="AL30" t="str">
            <v>NM</v>
          </cell>
          <cell r="AM30">
            <v>-6.8195344737845831E-2</v>
          </cell>
          <cell r="AN30">
            <v>-0.47696693531527845</v>
          </cell>
          <cell r="AO30">
            <v>-0.13142859345448576</v>
          </cell>
          <cell r="AP30" t="str">
            <v>NM</v>
          </cell>
          <cell r="AQ30" t="str">
            <v>NM</v>
          </cell>
          <cell r="AR30">
            <v>-0.10276579410045639</v>
          </cell>
          <cell r="AS30">
            <v>-0.53867628715727744</v>
          </cell>
          <cell r="AT30">
            <v>0.10292530783993925</v>
          </cell>
          <cell r="AU30">
            <v>0.19616728543350104</v>
          </cell>
          <cell r="AV30">
            <v>0.39828688628490805</v>
          </cell>
          <cell r="AW30">
            <v>0.40717951583745582</v>
          </cell>
          <cell r="AX30">
            <v>0.27123473913857366</v>
          </cell>
          <cell r="AY30">
            <v>3.4392324001370156E-2</v>
          </cell>
          <cell r="AZ30">
            <v>3.7213072473379682E-2</v>
          </cell>
          <cell r="BA30">
            <v>-5.7503218947258627E-2</v>
          </cell>
          <cell r="BB30">
            <v>-2.1903938838863435E-2</v>
          </cell>
          <cell r="BC30">
            <v>-2.9547290967734119E-3</v>
          </cell>
          <cell r="BD30">
            <v>4.7099305193802232E-2</v>
          </cell>
          <cell r="BE30">
            <v>5.2510505544748565E-2</v>
          </cell>
          <cell r="BF30">
            <v>0.15722993524332818</v>
          </cell>
          <cell r="BG30">
            <v>0.15722993524332818</v>
          </cell>
          <cell r="BH30">
            <v>8.4562547920331355E-2</v>
          </cell>
          <cell r="BI30">
            <v>0.16093390111191819</v>
          </cell>
          <cell r="BJ30">
            <v>0.19753999823998658</v>
          </cell>
          <cell r="BK30">
            <v>0.14463088598175</v>
          </cell>
          <cell r="BL30">
            <v>0.14463088598175</v>
          </cell>
          <cell r="BM30">
            <v>0.14972452903586242</v>
          </cell>
          <cell r="BN30">
            <v>0</v>
          </cell>
          <cell r="BO30">
            <v>-0.1</v>
          </cell>
          <cell r="BP30">
            <v>-0.1</v>
          </cell>
          <cell r="BQ30">
            <v>-0.05</v>
          </cell>
          <cell r="BR30">
            <v>-5.5243383543139735E-2</v>
          </cell>
          <cell r="BS30">
            <v>0</v>
          </cell>
          <cell r="BT30">
            <v>0</v>
          </cell>
          <cell r="BU30">
            <v>0</v>
          </cell>
          <cell r="BV30">
            <v>0</v>
          </cell>
          <cell r="BW30">
            <v>1.7597275997300654E-2</v>
          </cell>
          <cell r="BX30">
            <v>0.01</v>
          </cell>
          <cell r="BY30">
            <v>0.01</v>
          </cell>
          <cell r="BZ30">
            <v>0.01</v>
          </cell>
          <cell r="CA30">
            <v>0.01</v>
          </cell>
          <cell r="CB30">
            <v>1.0000000000000009E-2</v>
          </cell>
          <cell r="CC30">
            <v>-0.05</v>
          </cell>
          <cell r="CD30">
            <v>-0.05</v>
          </cell>
          <cell r="CE30">
            <v>-0.05</v>
          </cell>
          <cell r="CF30">
            <v>-0.05</v>
          </cell>
          <cell r="CG30">
            <v>-5.0000000000000044E-2</v>
          </cell>
        </row>
        <row r="31">
          <cell r="B31" t="str">
            <v>GM per transaction</v>
          </cell>
          <cell r="Y31" t="str">
            <v>NM</v>
          </cell>
          <cell r="Z31" t="str">
            <v>NM</v>
          </cell>
          <cell r="AA31" t="str">
            <v>NM</v>
          </cell>
          <cell r="AB31" t="str">
            <v>NM</v>
          </cell>
          <cell r="AC31" t="str">
            <v>NM</v>
          </cell>
          <cell r="AD31" t="str">
            <v>NM</v>
          </cell>
          <cell r="AE31" t="str">
            <v>NM</v>
          </cell>
          <cell r="AF31" t="str">
            <v>NM</v>
          </cell>
          <cell r="AG31" t="str">
            <v>NM</v>
          </cell>
          <cell r="AH31" t="str">
            <v>NM</v>
          </cell>
          <cell r="AI31" t="str">
            <v>NM</v>
          </cell>
          <cell r="AJ31" t="str">
            <v>NM</v>
          </cell>
          <cell r="AK31" t="str">
            <v>NM</v>
          </cell>
          <cell r="AL31" t="str">
            <v>NM</v>
          </cell>
          <cell r="AM31">
            <v>-4.1922934318313398E-2</v>
          </cell>
          <cell r="AN31">
            <v>-0.49227760647527985</v>
          </cell>
          <cell r="AO31">
            <v>-0.2004676725609339</v>
          </cell>
          <cell r="AP31" t="str">
            <v>NM</v>
          </cell>
          <cell r="AQ31" t="str">
            <v>NM</v>
          </cell>
          <cell r="AR31">
            <v>-0.38262028875176113</v>
          </cell>
          <cell r="AS31">
            <v>-0.59333409812077398</v>
          </cell>
          <cell r="AT31">
            <v>-0.10939990681021172</v>
          </cell>
          <cell r="AU31">
            <v>-9.7347348280700796E-3</v>
          </cell>
          <cell r="AV31">
            <v>0.21638606768957169</v>
          </cell>
          <cell r="AW31">
            <v>0.8554471362474978</v>
          </cell>
          <cell r="AX31">
            <v>0.18143640882360024</v>
          </cell>
          <cell r="AY31">
            <v>0.11509978574445112</v>
          </cell>
          <cell r="AZ31">
            <v>0.1831491251655939</v>
          </cell>
          <cell r="BA31">
            <v>8.5609370018644881E-2</v>
          </cell>
          <cell r="BB31">
            <v>-4.9340146076925495E-2</v>
          </cell>
          <cell r="BC31">
            <v>7.812533057942761E-2</v>
          </cell>
          <cell r="BD31">
            <v>-1.192674329980048E-3</v>
          </cell>
          <cell r="BE31">
            <v>-7.0430206990674038E-2</v>
          </cell>
          <cell r="BF31">
            <v>4.8542483628912558E-2</v>
          </cell>
          <cell r="BG31">
            <v>-8.9443143664023173E-2</v>
          </cell>
          <cell r="BH31">
            <v>-3.1036174989456433E-2</v>
          </cell>
          <cell r="BI31">
            <v>0.36328126602219335</v>
          </cell>
          <cell r="BJ31">
            <v>0.56547306117539065</v>
          </cell>
          <cell r="BK31">
            <v>0.50994586183421386</v>
          </cell>
          <cell r="BL31">
            <v>0.36470041397496922</v>
          </cell>
          <cell r="BM31">
            <v>0.45544049913962148</v>
          </cell>
          <cell r="BN31">
            <v>7.6519322801420042E-2</v>
          </cell>
          <cell r="BO31">
            <v>-0.3461155213492817</v>
          </cell>
          <cell r="BP31">
            <v>-0.35657477138026239</v>
          </cell>
          <cell r="BQ31">
            <v>-0.11489247877416742</v>
          </cell>
          <cell r="BR31">
            <v>-0.20613866063434538</v>
          </cell>
          <cell r="BS31">
            <v>-0.23624457780350394</v>
          </cell>
          <cell r="BT31">
            <v>-1.3898267042192769E-2</v>
          </cell>
          <cell r="BU31">
            <v>2.8312512365393561E-2</v>
          </cell>
          <cell r="BV31">
            <v>0</v>
          </cell>
          <cell r="BW31">
            <v>-6.582109013921722E-2</v>
          </cell>
          <cell r="BX31">
            <v>1.0000000000000009E-2</v>
          </cell>
          <cell r="BY31">
            <v>1.0000000000000009E-2</v>
          </cell>
          <cell r="BZ31">
            <v>1.0000000000000231E-2</v>
          </cell>
          <cell r="CA31">
            <v>1.0000000000000009E-2</v>
          </cell>
          <cell r="CB31">
            <v>1.0000000000000453E-2</v>
          </cell>
          <cell r="CC31">
            <v>-5.0000000000000377E-2</v>
          </cell>
          <cell r="CD31">
            <v>-5.0000000000000266E-2</v>
          </cell>
          <cell r="CE31">
            <v>-5.0000000000000044E-2</v>
          </cell>
          <cell r="CF31">
            <v>-4.9999999999999933E-2</v>
          </cell>
          <cell r="CG31">
            <v>-5.0000000000000155E-2</v>
          </cell>
        </row>
      </sheetData>
      <sheetData sheetId="6"/>
      <sheetData sheetId="7"/>
      <sheetData sheetId="8">
        <row r="2">
          <cell r="C2" t="str">
            <v>CY2008</v>
          </cell>
          <cell r="H2" t="str">
            <v>CY2009</v>
          </cell>
          <cell r="M2" t="str">
            <v>CY2010 Guidance</v>
          </cell>
          <cell r="W2" t="str">
            <v>2012 Guidance</v>
          </cell>
          <cell r="AB2" t="str">
            <v>2013 Guidance</v>
          </cell>
          <cell r="AF2" t="str">
            <v>2014 Guidance</v>
          </cell>
          <cell r="AM2" t="str">
            <v>Implied 4Q14</v>
          </cell>
        </row>
        <row r="3">
          <cell r="C3" t="str">
            <v>4Q07</v>
          </cell>
          <cell r="D3" t="str">
            <v>1Q08</v>
          </cell>
          <cell r="E3" t="str">
            <v>2Q08</v>
          </cell>
          <cell r="F3" t="str">
            <v>3Q08</v>
          </cell>
          <cell r="H3" t="str">
            <v>4Q08</v>
          </cell>
          <cell r="I3" t="str">
            <v>1Q09</v>
          </cell>
          <cell r="J3" t="str">
            <v>2Q09</v>
          </cell>
          <cell r="K3" t="str">
            <v>3Q09</v>
          </cell>
          <cell r="M3" t="str">
            <v>From 4Q09 Release</v>
          </cell>
          <cell r="N3" t="str">
            <v>From 1Q10 Release</v>
          </cell>
          <cell r="O3" t="str">
            <v>From 2Q10 Release</v>
          </cell>
          <cell r="P3" t="str">
            <v>From 3Q10 Release</v>
          </cell>
          <cell r="Q3" t="str">
            <v>MS Estimate</v>
          </cell>
          <cell r="S3" t="str">
            <v>1Q11</v>
          </cell>
          <cell r="T3" t="str">
            <v>2Q11</v>
          </cell>
          <cell r="U3" t="str">
            <v>3Q11</v>
          </cell>
          <cell r="W3" t="str">
            <v>4Q11</v>
          </cell>
          <cell r="X3" t="str">
            <v>2Q12</v>
          </cell>
          <cell r="Y3" t="str">
            <v>3Q12</v>
          </cell>
          <cell r="Z3" t="str">
            <v>Consensus</v>
          </cell>
          <cell r="AB3" t="str">
            <v>4Q12</v>
          </cell>
          <cell r="AC3" t="str">
            <v>1Q13</v>
          </cell>
          <cell r="AD3" t="str">
            <v>2Q13</v>
          </cell>
          <cell r="AE3" t="str">
            <v>3Q13</v>
          </cell>
          <cell r="AF3" t="str">
            <v>4Q13</v>
          </cell>
          <cell r="AG3" t="str">
            <v>1Q14</v>
          </cell>
          <cell r="AH3" t="str">
            <v>As of 2Q14</v>
          </cell>
          <cell r="AI3" t="str">
            <v>As of 3Q14</v>
          </cell>
          <cell r="AJ3" t="str">
            <v>MS</v>
          </cell>
          <cell r="AK3" t="str">
            <v>Cons</v>
          </cell>
          <cell r="AM3" t="str">
            <v>Guidance</v>
          </cell>
          <cell r="AN3" t="str">
            <v>MS</v>
          </cell>
          <cell r="AO3" t="str">
            <v>Cons</v>
          </cell>
        </row>
        <row r="4">
          <cell r="B4" t="str">
            <v>Revenue</v>
          </cell>
          <cell r="S4" t="str">
            <v>$4.3 - $4.5 B</v>
          </cell>
          <cell r="T4" t="str">
            <v>$4.6 - $4.7 B</v>
          </cell>
          <cell r="U4" t="str">
            <v>$4.7 to $4.8 B</v>
          </cell>
          <cell r="W4" t="str">
            <v>$6.8 to $6.9 B</v>
          </cell>
          <cell r="X4" t="str">
            <v>$9.9 to $10.0 B</v>
          </cell>
          <cell r="Y4" t="str">
            <v>$9.9 to $10.0 B</v>
          </cell>
          <cell r="AB4" t="str">
            <v>$14.2-$14.6bn</v>
          </cell>
          <cell r="AC4" t="str">
            <v>$14.2-$14.6bn</v>
          </cell>
          <cell r="AD4" t="str">
            <v>$14.2-$14.6bn</v>
          </cell>
          <cell r="AE4" t="str">
            <v>$14.2-$14.6bn</v>
          </cell>
          <cell r="AF4" t="str">
            <v>$20-$21bn</v>
          </cell>
          <cell r="AG4" t="str">
            <v>$20-$21bn</v>
          </cell>
          <cell r="AH4" t="str">
            <v>$20.5-$21 B</v>
          </cell>
          <cell r="AI4" t="str">
            <v>$21.1-$21.5 B</v>
          </cell>
          <cell r="AJ4">
            <v>21.399399507166599</v>
          </cell>
          <cell r="AK4">
            <v>21.1</v>
          </cell>
          <cell r="AM4" t="str">
            <v>$5.26-$5.66 B</v>
          </cell>
          <cell r="AN4">
            <v>5.56</v>
          </cell>
          <cell r="AO4">
            <v>5.48</v>
          </cell>
        </row>
        <row r="5">
          <cell r="B5" t="str">
            <v>Adj EBITDA</v>
          </cell>
          <cell r="S5" t="str">
            <v>$165 - $171 M</v>
          </cell>
          <cell r="T5" t="str">
            <v>$168 - $172 M</v>
          </cell>
          <cell r="U5" t="str">
            <v>172 to $173 M</v>
          </cell>
          <cell r="W5" t="str">
            <v>$248 to $255 M</v>
          </cell>
          <cell r="X5" t="str">
            <v>$353 to $358 M</v>
          </cell>
          <cell r="Y5" t="str">
            <v>$353 to $358 M</v>
          </cell>
          <cell r="AB5" t="str">
            <v>$660-$670m</v>
          </cell>
          <cell r="AC5" t="str">
            <v>$660-$670m</v>
          </cell>
          <cell r="AD5" t="str">
            <v>$650-$660m</v>
          </cell>
          <cell r="AE5" t="str">
            <v>$650-$660m</v>
          </cell>
          <cell r="AF5" t="str">
            <v>$760-$810m</v>
          </cell>
          <cell r="AG5" t="str">
            <v>$770-$810m</v>
          </cell>
          <cell r="AH5" t="str">
            <v>$770-$800 M</v>
          </cell>
          <cell r="AI5" t="str">
            <v>$780-$795 M</v>
          </cell>
          <cell r="AJ5">
            <v>781.40803399655954</v>
          </cell>
          <cell r="AK5" t="str">
            <v>$779 M</v>
          </cell>
          <cell r="AM5" t="str">
            <v>$215-$230 M</v>
          </cell>
          <cell r="AN5">
            <v>216.35</v>
          </cell>
          <cell r="AO5">
            <v>217</v>
          </cell>
        </row>
        <row r="6">
          <cell r="B6" t="str">
            <v>GAAP EPS</v>
          </cell>
          <cell r="S6" t="str">
            <v>$1.40 - $1.47</v>
          </cell>
          <cell r="T6" t="str">
            <v>$1.43 - $1.47</v>
          </cell>
          <cell r="U6" t="str">
            <v>$1.46 to $1.47</v>
          </cell>
          <cell r="W6" t="str">
            <v>$1.96 to $2.04</v>
          </cell>
          <cell r="X6" t="str">
            <v>$1.24 to $1.27</v>
          </cell>
          <cell r="Y6" t="str">
            <v>$0.64 to $0.68</v>
          </cell>
          <cell r="AB6" t="str">
            <v>$1.18-$1.25</v>
          </cell>
          <cell r="AC6" t="str">
            <v>$1.18-$1.25</v>
          </cell>
          <cell r="AF6" t="str">
            <v>$1.35-$1.50</v>
          </cell>
          <cell r="AG6" t="str">
            <v>$1.35-$1.50</v>
          </cell>
          <cell r="AH6" t="str">
            <v>$1.40-$1.50</v>
          </cell>
        </row>
        <row r="7">
          <cell r="B7" t="str">
            <v>Non-GAAP EPS</v>
          </cell>
          <cell r="S7" t="str">
            <v>$1.55 - $1.62</v>
          </cell>
          <cell r="T7" t="str">
            <v>$1.58 - $1.62</v>
          </cell>
          <cell r="U7" t="str">
            <v>$1.62 to $1.63</v>
          </cell>
          <cell r="W7" t="str">
            <v>$2.37-$2.45</v>
          </cell>
          <cell r="X7" t="str">
            <v>$2.14-$2.17</v>
          </cell>
          <cell r="Y7" t="str">
            <v>$1.09-$1.13</v>
          </cell>
          <cell r="AB7" t="str">
            <v>$1.81-$1.88</v>
          </cell>
          <cell r="AC7" t="str">
            <v>$1.81-$1.88</v>
          </cell>
          <cell r="AD7" t="str">
            <v>$1.87-$1.92</v>
          </cell>
          <cell r="AE7" t="str">
            <v>$1.96-$1.99</v>
          </cell>
          <cell r="AF7" t="str">
            <v>$2.04-$2.19</v>
          </cell>
          <cell r="AG7" t="str">
            <v>$2.10-$2.22</v>
          </cell>
          <cell r="AH7" t="str">
            <v>$2.12-$2.22
(mid $2.17)</v>
          </cell>
          <cell r="AI7" t="str">
            <v>$2.20-$2.25
(mid $2.23)</v>
          </cell>
          <cell r="AJ7">
            <v>2.2254916110347449</v>
          </cell>
          <cell r="AK7">
            <v>2.21</v>
          </cell>
          <cell r="AM7" t="str">
            <v>$0.58-$0.63
(mid $0.61)</v>
          </cell>
          <cell r="AN7">
            <v>0.61</v>
          </cell>
          <cell r="AO7">
            <v>0.61</v>
          </cell>
        </row>
      </sheetData>
      <sheetData sheetId="9"/>
      <sheetData sheetId="10">
        <row r="1">
          <cell r="C1" t="str">
            <v>CTRX</v>
          </cell>
        </row>
        <row r="2">
          <cell r="C2" t="str">
            <v>Valuation</v>
          </cell>
        </row>
        <row r="3">
          <cell r="C3" t="str">
            <v>Current Price</v>
          </cell>
          <cell r="D3">
            <v>48.01999</v>
          </cell>
        </row>
        <row r="4">
          <cell r="C4" t="str">
            <v>EV</v>
          </cell>
          <cell r="D4">
            <v>10796.68</v>
          </cell>
        </row>
        <row r="5">
          <cell r="C5" t="str">
            <v>1-yr Price Target</v>
          </cell>
          <cell r="D5">
            <v>0</v>
          </cell>
        </row>
        <row r="6">
          <cell r="C6" t="str">
            <v>% upside</v>
          </cell>
          <cell r="D6">
            <v>-1</v>
          </cell>
        </row>
        <row r="8">
          <cell r="C8" t="str">
            <v>Multiples</v>
          </cell>
          <cell r="D8">
            <v>2009</v>
          </cell>
          <cell r="E8">
            <v>2010</v>
          </cell>
          <cell r="F8">
            <v>2011</v>
          </cell>
          <cell r="G8">
            <v>2012</v>
          </cell>
          <cell r="H8">
            <v>2013</v>
          </cell>
          <cell r="I8">
            <v>2014</v>
          </cell>
          <cell r="J8">
            <v>2015</v>
          </cell>
        </row>
        <row r="9">
          <cell r="C9" t="str">
            <v>EPS (MS estimate)</v>
          </cell>
          <cell r="D9">
            <v>0.65523623858651947</v>
          </cell>
          <cell r="E9">
            <v>0.55212573404273557</v>
          </cell>
          <cell r="F9">
            <v>0.80999292877529894</v>
          </cell>
          <cell r="G9">
            <v>1.2092622311136174</v>
          </cell>
          <cell r="H9">
            <v>1.9811509109628951</v>
          </cell>
          <cell r="I9">
            <v>2.4194870441657401</v>
          </cell>
          <cell r="J9">
            <v>2.8158434115711684</v>
          </cell>
        </row>
        <row r="10">
          <cell r="C10" t="str">
            <v>Y/Y growth rate</v>
          </cell>
          <cell r="D10">
            <v>1.8754799277086178</v>
          </cell>
          <cell r="E10">
            <v>-0.15736386126355684</v>
          </cell>
          <cell r="F10">
            <v>0.46704433217489538</v>
          </cell>
          <cell r="G10">
            <v>0.49292936784276575</v>
          </cell>
          <cell r="H10">
            <v>0.63831372550058085</v>
          </cell>
          <cell r="I10">
            <v>0.22125327796952199</v>
          </cell>
          <cell r="J10">
            <v>0.16381834668682638</v>
          </cell>
        </row>
        <row r="11">
          <cell r="C11" t="str">
            <v>P/E</v>
          </cell>
          <cell r="D11">
            <v>73.286529608907287</v>
          </cell>
          <cell r="E11">
            <v>86.972924895913593</v>
          </cell>
          <cell r="F11">
            <v>59.28445581939306</v>
          </cell>
          <cell r="G11">
            <v>39.710154476401762</v>
          </cell>
          <cell r="H11">
            <v>24.238431173655989</v>
          </cell>
          <cell r="I11">
            <v>19.847177985843569</v>
          </cell>
          <cell r="J11">
            <v>17.053501555758061</v>
          </cell>
        </row>
        <row r="12">
          <cell r="C12" t="str">
            <v>Target P/E</v>
          </cell>
          <cell r="D12">
            <v>0</v>
          </cell>
          <cell r="E12">
            <v>0</v>
          </cell>
          <cell r="F12">
            <v>0</v>
          </cell>
          <cell r="G12">
            <v>0</v>
          </cell>
          <cell r="H12">
            <v>0</v>
          </cell>
          <cell r="I12">
            <v>0</v>
          </cell>
          <cell r="J12">
            <v>0</v>
          </cell>
        </row>
        <row r="13">
          <cell r="C13" t="str">
            <v>PEG</v>
          </cell>
          <cell r="D13">
            <v>0</v>
          </cell>
          <cell r="E13">
            <v>0</v>
          </cell>
          <cell r="F13">
            <v>0</v>
          </cell>
          <cell r="G13">
            <v>0</v>
          </cell>
          <cell r="H13">
            <v>0</v>
          </cell>
          <cell r="I13">
            <v>0</v>
          </cell>
          <cell r="J13">
            <v>0</v>
          </cell>
        </row>
        <row r="14">
          <cell r="C14" t="str">
            <v>FCF yield</v>
          </cell>
          <cell r="D14">
            <v>2.0443701341019919E-2</v>
          </cell>
          <cell r="E14">
            <v>1.4458765528358973E-2</v>
          </cell>
          <cell r="F14">
            <v>1.3996005636536383E-2</v>
          </cell>
          <cell r="G14">
            <v>2.6012203327122251E-2</v>
          </cell>
          <cell r="H14">
            <v>3.0764496920024528E-2</v>
          </cell>
          <cell r="I14">
            <v>3.8930902751651966E-2</v>
          </cell>
          <cell r="J14">
            <v>6.3422355039875117E-2</v>
          </cell>
        </row>
        <row r="15">
          <cell r="C15" t="str">
            <v>EV/EBITDA</v>
          </cell>
          <cell r="D15">
            <v>113.99605114506215</v>
          </cell>
          <cell r="E15">
            <v>88.685652327482046</v>
          </cell>
          <cell r="F15">
            <v>64.864014034160377</v>
          </cell>
          <cell r="G15">
            <v>29.390317268037734</v>
          </cell>
          <cell r="H15">
            <v>15.797045482938849</v>
          </cell>
          <cell r="I15">
            <v>12.515606818757009</v>
          </cell>
          <cell r="J15">
            <v>11.060638556056405</v>
          </cell>
        </row>
        <row r="17">
          <cell r="C17" t="str">
            <v>DCF Valuation</v>
          </cell>
          <cell r="D17">
            <v>2009</v>
          </cell>
          <cell r="E17">
            <v>2010</v>
          </cell>
          <cell r="F17">
            <v>2011</v>
          </cell>
          <cell r="G17">
            <v>2012</v>
          </cell>
          <cell r="H17">
            <v>2013</v>
          </cell>
          <cell r="I17">
            <v>2014</v>
          </cell>
          <cell r="J17">
            <v>2015</v>
          </cell>
          <cell r="K17">
            <v>2016</v>
          </cell>
        </row>
        <row r="18">
          <cell r="C18" t="str">
            <v>EBITDA</v>
          </cell>
          <cell r="D18">
            <v>94.711000000000169</v>
          </cell>
          <cell r="E18">
            <v>121.7410000000001</v>
          </cell>
          <cell r="F18">
            <v>166.45099999999957</v>
          </cell>
          <cell r="G18">
            <v>367.35499999999996</v>
          </cell>
          <cell r="H18">
            <v>683.46198101794721</v>
          </cell>
          <cell r="I18">
            <v>862.6573330682719</v>
          </cell>
          <cell r="J18">
            <v>976.13532394909782</v>
          </cell>
          <cell r="K18">
            <v>1024.9420901465528</v>
          </cell>
        </row>
        <row r="19">
          <cell r="C19" t="str">
            <v>Less: Maintenance Capex</v>
          </cell>
          <cell r="D19">
            <v>-8.9939999999999998</v>
          </cell>
          <cell r="E19">
            <v>-9.07</v>
          </cell>
          <cell r="F19">
            <v>-9.6890000000000001</v>
          </cell>
          <cell r="G19">
            <v>-40.234999999999999</v>
          </cell>
          <cell r="H19">
            <v>-95.771999999999991</v>
          </cell>
          <cell r="I19">
            <v>-10</v>
          </cell>
          <cell r="J19">
            <v>-10</v>
          </cell>
          <cell r="K19">
            <v>-10</v>
          </cell>
        </row>
        <row r="20">
          <cell r="C20" t="str">
            <v>Less: NWC</v>
          </cell>
          <cell r="D20">
            <v>28.652000000000001</v>
          </cell>
          <cell r="E20">
            <v>16.16800000000001</v>
          </cell>
          <cell r="F20">
            <v>-22.789999999999992</v>
          </cell>
          <cell r="G20">
            <v>-21.622</v>
          </cell>
          <cell r="H20">
            <v>-128.76730235377917</v>
          </cell>
          <cell r="I20">
            <v>-204.23954675955622</v>
          </cell>
          <cell r="J20">
            <v>-41.905280508662031</v>
          </cell>
          <cell r="K20">
            <v>-41.905280508662031</v>
          </cell>
        </row>
        <row r="21">
          <cell r="C21" t="str">
            <v>Free Cash Flow</v>
          </cell>
          <cell r="D21">
            <v>114.36900000000017</v>
          </cell>
          <cell r="E21">
            <v>128.83900000000011</v>
          </cell>
          <cell r="F21">
            <v>133.97199999999958</v>
          </cell>
          <cell r="G21">
            <v>305.49799999999993</v>
          </cell>
          <cell r="H21">
            <v>458.92267866416807</v>
          </cell>
          <cell r="I21">
            <v>648.41778630871568</v>
          </cell>
          <cell r="J21">
            <v>924.23004344043579</v>
          </cell>
          <cell r="K21">
            <v>973.03680963789077</v>
          </cell>
        </row>
        <row r="22">
          <cell r="C22" t="str">
            <v>Taxes on EBIT</v>
          </cell>
          <cell r="D22">
            <v>-31.514660185797226</v>
          </cell>
          <cell r="E22">
            <v>-39.374645003895239</v>
          </cell>
          <cell r="F22">
            <v>-57.931143716058813</v>
          </cell>
          <cell r="G22">
            <v>-127.41981611885528</v>
          </cell>
          <cell r="H22">
            <v>-175.69705695272918</v>
          </cell>
          <cell r="I22">
            <v>-245.52639992048151</v>
          </cell>
          <cell r="J22">
            <v>-279.56979718472928</v>
          </cell>
          <cell r="K22">
            <v>-291.91104289136717</v>
          </cell>
        </row>
        <row r="23">
          <cell r="C23" t="str">
            <v>Operating FCF - After Tax</v>
          </cell>
          <cell r="D23">
            <v>82.854339814202945</v>
          </cell>
          <cell r="E23">
            <v>89.464354996104873</v>
          </cell>
          <cell r="F23">
            <v>76.040856283940769</v>
          </cell>
          <cell r="G23">
            <v>178.07818388114464</v>
          </cell>
          <cell r="H23">
            <v>283.22562171143886</v>
          </cell>
          <cell r="I23">
            <v>402.8913863882342</v>
          </cell>
          <cell r="J23">
            <v>644.66024625570651</v>
          </cell>
          <cell r="K23">
            <v>681.1257667465236</v>
          </cell>
        </row>
        <row r="24">
          <cell r="C24" t="str">
            <v>PV of FCF</v>
          </cell>
          <cell r="D24">
            <v>110.27400752351386</v>
          </cell>
          <cell r="E24">
            <v>110.33140770990508</v>
          </cell>
          <cell r="F24">
            <v>86.893511979764057</v>
          </cell>
          <cell r="G24">
            <v>188.55684256783391</v>
          </cell>
          <cell r="H24">
            <v>277.87875582025885</v>
          </cell>
          <cell r="I24">
            <v>366.27056380139163</v>
          </cell>
          <cell r="J24">
            <v>543.04541569195305</v>
          </cell>
          <cell r="K24">
            <v>531.64752866929621</v>
          </cell>
        </row>
        <row r="26">
          <cell r="C26" t="str">
            <v>Discounted Cash Flow (DCF)</v>
          </cell>
        </row>
        <row r="27">
          <cell r="C27" t="str">
            <v>WACC Applied (%)</v>
          </cell>
          <cell r="F27">
            <v>7.9216986651007362E-2</v>
          </cell>
        </row>
        <row r="28">
          <cell r="C28" t="str">
            <v>Intermediate Growth rate (%)</v>
          </cell>
          <cell r="F28">
            <v>0.05</v>
          </cell>
        </row>
        <row r="29">
          <cell r="C29" t="str">
            <v>Terminal Growth Rate (%)</v>
          </cell>
          <cell r="F29">
            <v>0.03</v>
          </cell>
        </row>
        <row r="30">
          <cell r="C30" t="str">
            <v>Discounted Net Cash Flow</v>
          </cell>
          <cell r="F30">
            <v>1907.3991065507337</v>
          </cell>
        </row>
        <row r="31">
          <cell r="C31" t="str">
            <v>Terminal Value</v>
          </cell>
          <cell r="F31">
            <v>14254.418799013571</v>
          </cell>
        </row>
        <row r="32">
          <cell r="C32" t="str">
            <v>Discounted Value of Terminal Value</v>
          </cell>
          <cell r="F32">
            <v>12007.560303458053</v>
          </cell>
        </row>
        <row r="33">
          <cell r="C33" t="str">
            <v>Terminal Value as % of total</v>
          </cell>
          <cell r="F33">
            <v>0.86292456554499353</v>
          </cell>
        </row>
        <row r="34">
          <cell r="C34" t="str">
            <v>Firm Value</v>
          </cell>
          <cell r="F34">
            <v>13914.959410008787</v>
          </cell>
        </row>
        <row r="35">
          <cell r="C35" t="str">
            <v>Gross Debt</v>
          </cell>
          <cell r="F35">
            <v>1132.153</v>
          </cell>
        </row>
        <row r="36">
          <cell r="C36" t="str">
            <v>Cash/Marketable Securities</v>
          </cell>
          <cell r="F36">
            <v>370.77600000000001</v>
          </cell>
        </row>
        <row r="37">
          <cell r="C37" t="str">
            <v>Equity Value</v>
          </cell>
          <cell r="F37">
            <v>13153.582410008787</v>
          </cell>
        </row>
        <row r="38">
          <cell r="C38" t="str">
            <v>Shares Outstanding  (millions)</v>
          </cell>
          <cell r="F38">
            <v>205.1</v>
          </cell>
        </row>
        <row r="39">
          <cell r="C39" t="str">
            <v>Equity Value per Share ($)</v>
          </cell>
          <cell r="F39">
            <v>64.132532472007739</v>
          </cell>
        </row>
        <row r="41">
          <cell r="C41" t="str">
            <v>Time of Valuation</v>
          </cell>
          <cell r="F41">
            <v>2013.75</v>
          </cell>
        </row>
        <row r="42">
          <cell r="C42" t="str">
            <v>Year of Terminal Value</v>
          </cell>
          <cell r="F42">
            <v>2016</v>
          </cell>
        </row>
        <row r="44">
          <cell r="C44" t="str">
            <v>WACC Calculation</v>
          </cell>
        </row>
        <row r="45">
          <cell r="C45" t="str">
            <v>Beta</v>
          </cell>
          <cell r="D45">
            <v>1.0680000000000001</v>
          </cell>
        </row>
        <row r="46">
          <cell r="C46" t="str">
            <v>10-year Bond yield (risk-free rate)</v>
          </cell>
          <cell r="D46">
            <v>1.821E-2</v>
          </cell>
        </row>
        <row r="47">
          <cell r="C47" t="str">
            <v>Equity Risk Premium</v>
          </cell>
          <cell r="D47">
            <v>6.25E-2</v>
          </cell>
        </row>
        <row r="48">
          <cell r="C48" t="str">
            <v>Cost of Equity</v>
          </cell>
          <cell r="D48">
            <v>8.4960000000000008E-2</v>
          </cell>
        </row>
        <row r="50">
          <cell r="C50" t="str">
            <v>Cost of Debt (before tax)</v>
          </cell>
          <cell r="D50">
            <v>0.05</v>
          </cell>
        </row>
        <row r="51">
          <cell r="C51" t="str">
            <v>Cost of debt (after tax 30.0%)</v>
          </cell>
          <cell r="D51">
            <v>3.5000000000000003E-2</v>
          </cell>
        </row>
        <row r="53">
          <cell r="C53" t="str">
            <v>Total Equity Market Value</v>
          </cell>
          <cell r="D53">
            <v>0.88504777123713674</v>
          </cell>
        </row>
        <row r="54">
          <cell r="C54" t="str">
            <v>Total Debt</v>
          </cell>
          <cell r="D54">
            <v>0.11495222876286322</v>
          </cell>
        </row>
        <row r="56">
          <cell r="C56" t="str">
            <v>WACC</v>
          </cell>
          <cell r="D56">
            <v>7.9216986651007362E-2</v>
          </cell>
        </row>
      </sheetData>
      <sheetData sheetId="11">
        <row r="36">
          <cell r="B36" t="str">
            <v>NorthAmerica</v>
          </cell>
        </row>
        <row r="38">
          <cell r="B38" t="str">
            <v>en-US</v>
          </cell>
        </row>
        <row r="40">
          <cell r="B40">
            <v>1500005520</v>
          </cell>
        </row>
      </sheetData>
      <sheetData sheetId="12"/>
      <sheetData sheetId="13"/>
      <sheetData sheetId="14" refreshError="1"/>
      <sheetData sheetId="1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ncome Statement"/>
      <sheetName val="Balance Sheet &amp; Cash Flow"/>
      <sheetName val="Drivers"/>
      <sheetName val="Scenarios"/>
      <sheetName val="Revenue Assumptions"/>
      <sheetName val="Expense Assumptions"/>
      <sheetName val="Guidance"/>
      <sheetName val="Debt"/>
      <sheetName val="Valuation"/>
      <sheetName val="mwareSettings"/>
      <sheetName val="MWA RR"/>
      <sheetName val="MW-Cache"/>
      <sheetName val="mwareDates"/>
      <sheetName val="Summary Financials"/>
      <sheetName val="Charts"/>
      <sheetName val="Q Comps"/>
      <sheetName val="Notes"/>
      <sheetName val="Facilities"/>
      <sheetName val="What Changed"/>
      <sheetName val="Preview Page"/>
      <sheetName val="Acquisitions"/>
      <sheetName val="One Pager"/>
      <sheetName val="Quarterly Comps"/>
    </sheetNames>
    <sheetDataSet>
      <sheetData sheetId="0" refreshError="1"/>
      <sheetData sheetId="1" refreshError="1"/>
      <sheetData sheetId="2" refreshError="1">
        <row r="1">
          <cell r="A1" t="str">
            <v>Community Health Systems</v>
          </cell>
        </row>
        <row r="73">
          <cell r="B73" t="str">
            <v>Net margin</v>
          </cell>
          <cell r="D73">
            <v>-0.55340937006492363</v>
          </cell>
          <cell r="E73">
            <v>-1.5546046911300813E-2</v>
          </cell>
          <cell r="F73">
            <v>7.1543871742898724E-3</v>
          </cell>
          <cell r="G73">
            <v>2.7212181264031889E-2</v>
          </cell>
          <cell r="H73">
            <v>2.4072794574329936E-2</v>
          </cell>
          <cell r="I73">
            <v>2.4104049989317516E-2</v>
          </cell>
          <cell r="J73">
            <v>3.7719213741513179E-2</v>
          </cell>
          <cell r="K73">
            <v>2.8666912687283198E-2</v>
          </cell>
          <cell r="L73">
            <v>5.0937267463764237E-2</v>
          </cell>
          <cell r="M73">
            <v>4.5687565729708106E-2</v>
          </cell>
          <cell r="N73">
            <v>4.5998759136894746E-2</v>
          </cell>
          <cell r="O73">
            <v>4.8692746047388526E-2</v>
          </cell>
          <cell r="P73">
            <v>4.7835478457037874E-2</v>
          </cell>
          <cell r="Q73">
            <v>5.0872395063076788E-2</v>
          </cell>
          <cell r="R73">
            <v>4.6578922946083491E-2</v>
          </cell>
          <cell r="S73">
            <v>4.38202433674219E-2</v>
          </cell>
          <cell r="T73">
            <v>4.4820837400255588E-2</v>
          </cell>
          <cell r="U73">
            <v>4.6380754555101718E-2</v>
          </cell>
          <cell r="V73">
            <v>4.9522359601933963E-2</v>
          </cell>
          <cell r="W73">
            <v>4.7978969335196534E-2</v>
          </cell>
          <cell r="X73">
            <v>4.8264643367447353E-2</v>
          </cell>
          <cell r="Y73">
            <v>4.7313614164944867E-2</v>
          </cell>
          <cell r="Z73">
            <v>4.8256553587497204E-2</v>
          </cell>
          <cell r="AA73">
            <v>5.2173266178613308E-2</v>
          </cell>
          <cell r="AB73">
            <v>5.0233042130447041E-2</v>
          </cell>
          <cell r="AC73">
            <v>4.742006889286101E-2</v>
          </cell>
          <cell r="AD73">
            <v>5.1771258667915605E-2</v>
          </cell>
          <cell r="AE73">
            <v>5.041204113600771E-2</v>
          </cell>
          <cell r="AF73">
            <v>5.5772569021646873E-2</v>
          </cell>
          <cell r="AG73">
            <v>4.9355640711971439E-2</v>
          </cell>
          <cell r="AH73">
            <v>4.2938789460988745E-2</v>
          </cell>
          <cell r="AI73">
            <v>4.6440942522025172E-2</v>
          </cell>
          <cell r="AJ73">
            <v>4.8442404851043792E-2</v>
          </cell>
          <cell r="AK73">
            <v>4.5119713753439539E-2</v>
          </cell>
          <cell r="AL73">
            <v>4.3040425000480241E-2</v>
          </cell>
          <cell r="AM73">
            <v>1.4357462117685446E-2</v>
          </cell>
          <cell r="AN73">
            <v>1.3768405144557202E-2</v>
          </cell>
          <cell r="AO73">
            <v>2.4090398325286828E-2</v>
          </cell>
          <cell r="AP73">
            <v>1.9208785600578458E-2</v>
          </cell>
          <cell r="AQ73">
            <v>2.058314130677167E-2</v>
          </cell>
          <cell r="AR73">
            <v>1.9410283966734568E-2</v>
          </cell>
          <cell r="AS73">
            <v>2.0236187226103739E-2</v>
          </cell>
          <cell r="AT73">
            <v>1.9856468154636465E-2</v>
          </cell>
          <cell r="AU73">
            <v>1.9238415289777492E-2</v>
          </cell>
          <cell r="AV73">
            <v>1.986994197140762E-2</v>
          </cell>
          <cell r="AW73">
            <v>1.9348928341298158E-2</v>
          </cell>
          <cell r="AX73">
            <v>2.2596473929086688E-2</v>
          </cell>
          <cell r="AY73">
            <v>2.0283041954773255E-2</v>
          </cell>
          <cell r="AZ73">
            <v>2.2149053285926534E-2</v>
          </cell>
          <cell r="BA73">
            <v>2.209538622224249E-2</v>
          </cell>
          <cell r="BB73">
            <v>2.1648157857108833E-2</v>
          </cell>
          <cell r="BC73">
            <v>2.0427901498192964E-2</v>
          </cell>
          <cell r="BD73">
            <v>2.1559542601932772E-2</v>
          </cell>
          <cell r="BE73">
            <v>2.1771675209127248E-2</v>
          </cell>
          <cell r="BF73">
            <v>2.1758800452789037E-2</v>
          </cell>
          <cell r="BG73">
            <v>2.2547438882421618E-2</v>
          </cell>
          <cell r="BH73">
            <v>2.1910150546954957E-2</v>
          </cell>
          <cell r="BI73">
            <v>2.1997516344776955E-2</v>
          </cell>
          <cell r="BJ73">
            <v>2.1480469291455945E-2</v>
          </cell>
          <cell r="BK73">
            <v>2.225026078173652E-2</v>
          </cell>
          <cell r="BL73">
            <v>2.09746931081859E-2</v>
          </cell>
          <cell r="BM73">
            <v>2.0216623789229445E-2</v>
          </cell>
          <cell r="BN73">
            <v>2.1236390134341795E-2</v>
          </cell>
          <cell r="BO73">
            <v>2.5032202029553238E-2</v>
          </cell>
          <cell r="BP73">
            <v>3.3974161599809996E-2</v>
          </cell>
          <cell r="BQ73">
            <v>1.6370221912247972E-2</v>
          </cell>
          <cell r="BR73">
            <v>9.4065252429367217E-3</v>
          </cell>
          <cell r="BS73">
            <v>2.124350808101574E-2</v>
          </cell>
          <cell r="BT73">
            <v>3.5292848032726191E-2</v>
          </cell>
          <cell r="BU73">
            <v>4.7002146698244922E-2</v>
          </cell>
          <cell r="BV73">
            <v>2.8432430309013219E-2</v>
          </cell>
          <cell r="BW73">
            <v>2.2061666953172653E-2</v>
          </cell>
          <cell r="BX73">
            <v>3.3284335801957672E-2</v>
          </cell>
          <cell r="BY73">
            <v>4.0291449522014078E-2</v>
          </cell>
          <cell r="BZ73">
            <v>5.2962843639277411E-2</v>
          </cell>
          <cell r="CA73">
            <v>3.3900445881010696E-2</v>
          </cell>
          <cell r="CB73">
            <v>2.8950940544438648E-2</v>
          </cell>
          <cell r="CC73">
            <v>3.910011242710397E-2</v>
          </cell>
          <cell r="CD73">
            <v>4.7032769378828256E-2</v>
          </cell>
          <cell r="CE73">
            <v>5.9787889710319016E-2</v>
          </cell>
          <cell r="CF73">
            <v>4.0554521499080183E-2</v>
          </cell>
          <cell r="CG73">
            <v>3.4785067243757808E-2</v>
          </cell>
          <cell r="CH73">
            <v>4.5619832076644211E-2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2">
          <cell r="C2" t="str">
            <v>CYH Q1 Comps Table</v>
          </cell>
          <cell r="J2" t="str">
            <v>Trends (actual)</v>
          </cell>
        </row>
        <row r="3">
          <cell r="C3" t="str">
            <v>($ millions)</v>
          </cell>
          <cell r="D3" t="str">
            <v>4Q11A</v>
          </cell>
          <cell r="E3" t="str">
            <v>1Q11A</v>
          </cell>
          <cell r="F3" t="str">
            <v>1Q12E</v>
          </cell>
          <cell r="G3" t="str">
            <v>1Q12A</v>
          </cell>
          <cell r="I3" t="str">
            <v>A vs. E</v>
          </cell>
          <cell r="J3" t="str">
            <v>YOY Δ</v>
          </cell>
          <cell r="K3" t="str">
            <v>Q-Q Δ</v>
          </cell>
        </row>
        <row r="5">
          <cell r="C5" t="str">
            <v>Net Revenue</v>
          </cell>
          <cell r="D5">
            <v>3442.5140000000001</v>
          </cell>
          <cell r="E5">
            <v>3433.8290000000002</v>
          </cell>
          <cell r="F5">
            <v>3436</v>
          </cell>
          <cell r="G5">
            <v>3436</v>
          </cell>
          <cell r="I5">
            <v>0</v>
          </cell>
          <cell r="J5">
            <v>6.3223882144392007E-4</v>
          </cell>
          <cell r="K5">
            <v>-1.8922217890762205E-3</v>
          </cell>
        </row>
        <row r="6">
          <cell r="C6" t="str">
            <v>Salaries &amp; benefits</v>
          </cell>
          <cell r="D6">
            <v>1421.31</v>
          </cell>
          <cell r="E6">
            <v>1384.096</v>
          </cell>
          <cell r="F6">
            <v>1393.1510000000001</v>
          </cell>
          <cell r="G6">
            <v>1393.1510000000001</v>
          </cell>
          <cell r="I6">
            <v>0</v>
          </cell>
          <cell r="J6">
            <v>6.5421762652302373E-3</v>
          </cell>
          <cell r="K6">
            <v>-1.9812004418458984E-2</v>
          </cell>
        </row>
        <row r="7">
          <cell r="C7" t="str">
            <v>Provision for bad debt</v>
          </cell>
          <cell r="D7">
            <v>436.68900000000002</v>
          </cell>
          <cell r="E7">
            <v>433.00200000000001</v>
          </cell>
          <cell r="F7">
            <v>450.29599999999999</v>
          </cell>
          <cell r="G7">
            <v>450.29599999999999</v>
          </cell>
          <cell r="I7">
            <v>0</v>
          </cell>
          <cell r="J7">
            <v>3.9939769331319486E-2</v>
          </cell>
          <cell r="K7">
            <v>3.1159475049749252E-2</v>
          </cell>
        </row>
        <row r="8">
          <cell r="C8" t="str">
            <v>Supplies</v>
          </cell>
          <cell r="D8">
            <v>467.86399999999998</v>
          </cell>
          <cell r="E8">
            <v>449.279</v>
          </cell>
          <cell r="F8">
            <v>459.14600000000002</v>
          </cell>
          <cell r="G8">
            <v>459.14600000000002</v>
          </cell>
          <cell r="I8">
            <v>0</v>
          </cell>
          <cell r="J8">
            <v>2.196185443788834E-2</v>
          </cell>
          <cell r="K8">
            <v>-1.8633620026332398E-2</v>
          </cell>
        </row>
        <row r="9">
          <cell r="C9" t="str">
            <v>Other operating expenses</v>
          </cell>
          <cell r="D9">
            <v>622.50099999999998</v>
          </cell>
          <cell r="E9">
            <v>654.73699999999997</v>
          </cell>
          <cell r="F9">
            <v>623.60799999999995</v>
          </cell>
          <cell r="G9">
            <v>623.60799999999995</v>
          </cell>
          <cell r="I9">
            <v>0</v>
          </cell>
          <cell r="J9">
            <v>-4.7544281138839017E-2</v>
          </cell>
          <cell r="K9">
            <v>1.7783103962885072E-3</v>
          </cell>
        </row>
        <row r="10">
          <cell r="C10" t="str">
            <v>EBITDAR</v>
          </cell>
          <cell r="D10" t="e">
            <v>#REF!</v>
          </cell>
          <cell r="E10" t="e">
            <v>#REF!</v>
          </cell>
          <cell r="F10" t="e">
            <v>#REF!</v>
          </cell>
          <cell r="G10">
            <v>509.79899999999998</v>
          </cell>
          <cell r="I10" t="e">
            <v>#REF!</v>
          </cell>
          <cell r="J10" t="e">
            <v>#REF!</v>
          </cell>
          <cell r="K10" t="e">
            <v>#REF!</v>
          </cell>
        </row>
        <row r="11">
          <cell r="C11" t="str">
            <v>Rent expense</v>
          </cell>
          <cell r="D11">
            <v>64.698999999999998</v>
          </cell>
          <cell r="E11">
            <v>62.430999999999997</v>
          </cell>
          <cell r="F11">
            <v>64.480999999999995</v>
          </cell>
          <cell r="G11">
            <v>64.480999999999995</v>
          </cell>
          <cell r="I11">
            <v>0</v>
          </cell>
          <cell r="J11">
            <v>3.2836251221348256E-2</v>
          </cell>
          <cell r="K11">
            <v>-3.3694492959706057E-3</v>
          </cell>
        </row>
        <row r="12">
          <cell r="C12" t="str">
            <v>EBITDA</v>
          </cell>
          <cell r="D12" t="e">
            <v>#REF!</v>
          </cell>
          <cell r="E12" t="e">
            <v>#REF!</v>
          </cell>
          <cell r="F12" t="e">
            <v>#REF!</v>
          </cell>
          <cell r="G12">
            <v>445.31799999999998</v>
          </cell>
          <cell r="I12" t="e">
            <v>#REF!</v>
          </cell>
          <cell r="J12" t="e">
            <v>#REF!</v>
          </cell>
          <cell r="K12" t="e">
            <v>#REF!</v>
          </cell>
        </row>
        <row r="13">
          <cell r="C13" t="str">
            <v>Depreciation &amp; amortization</v>
          </cell>
          <cell r="D13">
            <v>171.62799999999999</v>
          </cell>
          <cell r="E13">
            <v>161.376</v>
          </cell>
          <cell r="F13">
            <v>161.51499999999999</v>
          </cell>
          <cell r="G13">
            <v>161.51499999999999</v>
          </cell>
          <cell r="I13">
            <v>0</v>
          </cell>
          <cell r="J13">
            <v>8.6134245488778127E-4</v>
          </cell>
          <cell r="K13">
            <v>-5.892395180273613E-2</v>
          </cell>
        </row>
        <row r="14">
          <cell r="C14" t="str">
            <v>Minority interest in earnings</v>
          </cell>
          <cell r="D14">
            <v>22.189</v>
          </cell>
          <cell r="E14">
            <v>18.158000000000001</v>
          </cell>
          <cell r="F14">
            <v>18.327000000000002</v>
          </cell>
          <cell r="G14">
            <v>18.327000000000002</v>
          </cell>
          <cell r="I14">
            <v>0</v>
          </cell>
          <cell r="J14">
            <v>9.3071924220728963E-3</v>
          </cell>
          <cell r="K14">
            <v>-0.17405020505655944</v>
          </cell>
        </row>
        <row r="15">
          <cell r="C15" t="str">
            <v>Operating income</v>
          </cell>
          <cell r="D15">
            <v>280.99300000000011</v>
          </cell>
          <cell r="E15">
            <v>288.90800000000013</v>
          </cell>
          <cell r="F15">
            <v>283.80300000000068</v>
          </cell>
          <cell r="G15">
            <v>265.476</v>
          </cell>
          <cell r="I15">
            <v>-6.4576484392344868E-2</v>
          </cell>
          <cell r="J15">
            <v>-8.1105403796364661E-2</v>
          </cell>
          <cell r="K15">
            <v>-5.5222016206809776E-2</v>
          </cell>
        </row>
        <row r="16">
          <cell r="C16" t="str">
            <v>Interest expense, net</v>
          </cell>
          <cell r="D16">
            <v>158.482</v>
          </cell>
          <cell r="E16">
            <v>163.22999999999999</v>
          </cell>
          <cell r="F16">
            <v>159.47999999999999</v>
          </cell>
          <cell r="G16">
            <v>159.47999999999999</v>
          </cell>
          <cell r="I16">
            <v>0</v>
          </cell>
          <cell r="J16">
            <v>-2.2973718066531923E-2</v>
          </cell>
          <cell r="K16">
            <v>6.2972451130096641E-3</v>
          </cell>
        </row>
        <row r="17">
          <cell r="C17" t="str">
            <v>Equity gains (losses) of affiliates</v>
          </cell>
          <cell r="D17">
            <v>11.146000000000001</v>
          </cell>
          <cell r="E17">
            <v>12.016999999999999</v>
          </cell>
          <cell r="F17">
            <v>8.1940000000000008</v>
          </cell>
          <cell r="G17">
            <v>8.1940000000000008</v>
          </cell>
          <cell r="I17">
            <v>0</v>
          </cell>
          <cell r="J17">
            <v>-0.31813264541898967</v>
          </cell>
          <cell r="K17">
            <v>-0.26484837609904899</v>
          </cell>
        </row>
        <row r="18">
          <cell r="C18" t="str">
            <v>(Loss)/gain from early retirement of debt</v>
          </cell>
          <cell r="D18">
            <v>-66.019000000000005</v>
          </cell>
          <cell r="E18">
            <v>0</v>
          </cell>
          <cell r="F18">
            <v>0</v>
          </cell>
        </row>
        <row r="19">
          <cell r="C19" t="str">
            <v>Gain (loss) from hospital sales</v>
          </cell>
          <cell r="D19">
            <v>0</v>
          </cell>
          <cell r="E19">
            <v>0</v>
          </cell>
          <cell r="F19">
            <v>0</v>
          </cell>
        </row>
        <row r="20">
          <cell r="C20" t="str">
            <v>Pretax income</v>
          </cell>
          <cell r="D20">
            <v>67.638000000000105</v>
          </cell>
          <cell r="E20">
            <v>137.69500000000014</v>
          </cell>
          <cell r="F20">
            <v>132.51700000000068</v>
          </cell>
          <cell r="G20">
            <v>114.19000000000001</v>
          </cell>
          <cell r="I20">
            <v>-0.13829923707902059</v>
          </cell>
          <cell r="J20">
            <v>-0.17070336613529979</v>
          </cell>
          <cell r="K20">
            <v>0.68825216594221938</v>
          </cell>
        </row>
        <row r="21">
          <cell r="C21" t="str">
            <v>Tax expense (benefit)</v>
          </cell>
          <cell r="D21">
            <v>12.023</v>
          </cell>
          <cell r="E21">
            <v>44.820999999999998</v>
          </cell>
          <cell r="F21">
            <v>36.716999999999999</v>
          </cell>
          <cell r="G21">
            <v>36.716999999999999</v>
          </cell>
          <cell r="I21">
            <v>0</v>
          </cell>
          <cell r="J21">
            <v>-0.18080810334441444</v>
          </cell>
          <cell r="K21">
            <v>2.0538966979955084</v>
          </cell>
        </row>
        <row r="22">
          <cell r="C22" t="str">
            <v>Early retirement of debt, net</v>
          </cell>
          <cell r="D22" t="e">
            <v>#REF!</v>
          </cell>
          <cell r="E22" t="e">
            <v>#REF!</v>
          </cell>
          <cell r="F22" t="e">
            <v>#REF!</v>
          </cell>
        </row>
        <row r="23">
          <cell r="C23" t="str">
            <v>Net income from continuing operations</v>
          </cell>
          <cell r="D23">
            <v>55.615000000000109</v>
          </cell>
          <cell r="E23">
            <v>92.874000000000137</v>
          </cell>
          <cell r="F23">
            <v>95.800000000000679</v>
          </cell>
          <cell r="G23">
            <v>77.473000000000013</v>
          </cell>
          <cell r="I23">
            <v>-0.19130480167015174</v>
          </cell>
          <cell r="J23">
            <v>-0.16582681913129727</v>
          </cell>
          <cell r="K23">
            <v>0.39302346489256257</v>
          </cell>
        </row>
        <row r="24">
          <cell r="C24" t="str">
            <v>Total non-operating adjustments</v>
          </cell>
          <cell r="D24">
            <v>-2.4950000000000001</v>
          </cell>
          <cell r="E24">
            <v>0</v>
          </cell>
          <cell r="G24">
            <v>3.85</v>
          </cell>
        </row>
        <row r="25">
          <cell r="C25" t="str">
            <v>Discontinued Operations:</v>
          </cell>
        </row>
        <row r="26">
          <cell r="C26" t="str">
            <v>(Loss)/income of discontinued operations</v>
          </cell>
        </row>
        <row r="27">
          <cell r="C27" t="str">
            <v>Impairment on discontinued operations</v>
          </cell>
        </row>
        <row r="28">
          <cell r="C28" t="str">
            <v>(Loss)/gain on sale</v>
          </cell>
        </row>
        <row r="29">
          <cell r="C29" t="str">
            <v>Discontinued operations, net</v>
          </cell>
        </row>
        <row r="30">
          <cell r="C30" t="str">
            <v xml:space="preserve">Add: Convertible notes interest, net </v>
          </cell>
        </row>
        <row r="31">
          <cell r="C31" t="str">
            <v>Reported Net income/(loss) -- (GAAP)</v>
          </cell>
          <cell r="D31">
            <v>53.120000000000111</v>
          </cell>
          <cell r="E31">
            <v>53.547000000000139</v>
          </cell>
          <cell r="F31">
            <v>92.631000000000682</v>
          </cell>
          <cell r="I31">
            <v>-1</v>
          </cell>
          <cell r="J31">
            <v>-1</v>
          </cell>
          <cell r="K31">
            <v>-1</v>
          </cell>
        </row>
        <row r="32">
          <cell r="C32" t="str">
            <v>Non-operating Adjustments</v>
          </cell>
        </row>
        <row r="33">
          <cell r="C33" t="str">
            <v>Discontinued operations, net</v>
          </cell>
        </row>
        <row r="34">
          <cell r="C34" t="str">
            <v>Compliance settlement &amp; Y2K redemption, net</v>
          </cell>
        </row>
        <row r="35">
          <cell r="C35" t="str">
            <v>Loss (gain) from hospital sales, net</v>
          </cell>
        </row>
        <row r="36">
          <cell r="C36" t="str">
            <v>Impairment of long-lived assets and relocation costs, net</v>
          </cell>
        </row>
        <row r="37">
          <cell r="C37" t="str">
            <v>Cumulative effect of a change in accounting principle</v>
          </cell>
        </row>
        <row r="38">
          <cell r="C38" t="str">
            <v>Other "one time" items</v>
          </cell>
        </row>
        <row r="39">
          <cell r="C39" t="str">
            <v>Early retirement of debt, net</v>
          </cell>
        </row>
        <row r="40">
          <cell r="C40" t="str">
            <v>Total non-operating adjustments</v>
          </cell>
          <cell r="D40">
            <v>44.494999999999997</v>
          </cell>
          <cell r="E40">
            <v>0</v>
          </cell>
          <cell r="F40">
            <v>-6.6000000000000003E-2</v>
          </cell>
        </row>
        <row r="41">
          <cell r="C41" t="str">
            <v>Operating net income</v>
          </cell>
          <cell r="D41">
            <v>75.426000000000101</v>
          </cell>
          <cell r="E41">
            <v>92.874000000000137</v>
          </cell>
          <cell r="F41">
            <v>77.473000000000681</v>
          </cell>
          <cell r="G41">
            <v>81.323000000000008</v>
          </cell>
          <cell r="I41">
            <v>4.9694732358360971E-2</v>
          </cell>
          <cell r="J41">
            <v>-0.12437280616749691</v>
          </cell>
          <cell r="K41">
            <v>7.8182589557975968E-2</v>
          </cell>
        </row>
        <row r="44">
          <cell r="C44" t="str">
            <v>Operating EPS - Fully Diluted</v>
          </cell>
          <cell r="D44">
            <v>0.84830285444362086</v>
          </cell>
          <cell r="E44" t="e">
            <v>#REF!</v>
          </cell>
          <cell r="F44">
            <v>0.8621754270866675</v>
          </cell>
          <cell r="G44">
            <v>0.90459399332591772</v>
          </cell>
          <cell r="I44">
            <v>4.9199460929412631E-2</v>
          </cell>
          <cell r="J44" t="e">
            <v>#REF!</v>
          </cell>
          <cell r="K44">
            <v>6.6357361156372363E-2</v>
          </cell>
        </row>
        <row r="45">
          <cell r="C45" t="str">
            <v>Reported GAAP EPS, (Cont Ops)</v>
          </cell>
          <cell r="D45">
            <v>0.34787547517826339</v>
          </cell>
          <cell r="E45">
            <v>0.38556944599927861</v>
          </cell>
          <cell r="F45">
            <v>0.8269085092128583</v>
          </cell>
          <cell r="I45">
            <v>-1</v>
          </cell>
          <cell r="J45">
            <v>-1</v>
          </cell>
          <cell r="K45">
            <v>-1</v>
          </cell>
        </row>
        <row r="46">
          <cell r="C46" t="str">
            <v>Weighted avg. shares, fully diluted</v>
          </cell>
          <cell r="D46" t="e">
            <v>#REF!</v>
          </cell>
          <cell r="E46" t="e">
            <v>#REF!</v>
          </cell>
          <cell r="F46" t="e">
            <v>#REF!</v>
          </cell>
          <cell r="G46">
            <v>89.9</v>
          </cell>
          <cell r="I46" t="e">
            <v>#REF!</v>
          </cell>
          <cell r="J46" t="e">
            <v>#REF!</v>
          </cell>
          <cell r="K46" t="e">
            <v>#REF!</v>
          </cell>
        </row>
        <row r="48">
          <cell r="C48" t="str">
            <v>Ratios / Margins</v>
          </cell>
        </row>
        <row r="49">
          <cell r="C49" t="str">
            <v xml:space="preserve">SWB </v>
          </cell>
          <cell r="D49">
            <v>0.41286978063124796</v>
          </cell>
          <cell r="E49">
            <v>0.40307656554825527</v>
          </cell>
          <cell r="F49">
            <v>0.40545721769499421</v>
          </cell>
          <cell r="G49">
            <v>0.40545721769499421</v>
          </cell>
          <cell r="I49">
            <v>0</v>
          </cell>
          <cell r="J49">
            <v>20</v>
          </cell>
          <cell r="K49">
            <v>-70</v>
          </cell>
        </row>
        <row r="50">
          <cell r="C50" t="str">
            <v xml:space="preserve">Bad debt </v>
          </cell>
          <cell r="D50">
            <v>0.1268517716994034</v>
          </cell>
          <cell r="E50">
            <v>0.12609888261762597</v>
          </cell>
          <cell r="F50">
            <v>0.13105238649592549</v>
          </cell>
          <cell r="G50">
            <v>0.13105238649592549</v>
          </cell>
          <cell r="I50">
            <v>0</v>
          </cell>
          <cell r="J50">
            <v>50</v>
          </cell>
          <cell r="K50">
            <v>40</v>
          </cell>
        </row>
        <row r="51">
          <cell r="C51" t="str">
            <v>Supplies expense</v>
          </cell>
          <cell r="D51">
            <v>0.13590765353459708</v>
          </cell>
          <cell r="E51">
            <v>0.13083907206794512</v>
          </cell>
          <cell r="F51">
            <v>0.13362805587892898</v>
          </cell>
          <cell r="G51">
            <v>0.13362805587892898</v>
          </cell>
          <cell r="I51">
            <v>0</v>
          </cell>
          <cell r="J51">
            <v>30</v>
          </cell>
          <cell r="K51">
            <v>-20</v>
          </cell>
        </row>
        <row r="52">
          <cell r="C52" t="str">
            <v xml:space="preserve">Other op exp </v>
          </cell>
          <cell r="D52">
            <v>0.18082744180561067</v>
          </cell>
          <cell r="E52">
            <v>0.19067256989209419</v>
          </cell>
          <cell r="F52">
            <v>0.18149243306169963</v>
          </cell>
          <cell r="G52">
            <v>0.18149243306169963</v>
          </cell>
          <cell r="I52">
            <v>0</v>
          </cell>
          <cell r="J52">
            <v>-90</v>
          </cell>
          <cell r="K52">
            <v>10</v>
          </cell>
        </row>
        <row r="53">
          <cell r="C53" t="str">
            <v xml:space="preserve">Rent exp </v>
          </cell>
          <cell r="D53">
            <v>1.8794113836574085E-2</v>
          </cell>
          <cell r="E53">
            <v>1.8181161612881712E-2</v>
          </cell>
          <cell r="F53">
            <v>1.8766298020954596E-2</v>
          </cell>
          <cell r="G53">
            <v>1.8766298020954596E-2</v>
          </cell>
          <cell r="I53">
            <v>0</v>
          </cell>
          <cell r="J53">
            <v>10</v>
          </cell>
          <cell r="K53">
            <v>0</v>
          </cell>
        </row>
        <row r="54">
          <cell r="C54" t="str">
            <v xml:space="preserve">D&amp;A </v>
          </cell>
          <cell r="D54">
            <v>4.9855425424558904E-2</v>
          </cell>
          <cell r="E54">
            <v>4.6995933693844395E-2</v>
          </cell>
          <cell r="F54">
            <v>4.7006693830034918E-2</v>
          </cell>
          <cell r="G54">
            <v>4.7006693830034918E-2</v>
          </cell>
          <cell r="I54">
            <v>0</v>
          </cell>
          <cell r="J54">
            <v>0</v>
          </cell>
          <cell r="K54">
            <v>-30</v>
          </cell>
        </row>
        <row r="56">
          <cell r="C56" t="str">
            <v>EBITDAR</v>
          </cell>
          <cell r="D56" t="e">
            <v>#REF!</v>
          </cell>
          <cell r="E56" t="e">
            <v>#REF!</v>
          </cell>
          <cell r="F56" t="e">
            <v>#REF!</v>
          </cell>
          <cell r="G56">
            <v>0.1483699068684517</v>
          </cell>
          <cell r="I56" t="e">
            <v>#REF!</v>
          </cell>
          <cell r="J56" t="e">
            <v>#REF!</v>
          </cell>
          <cell r="K56" t="e">
            <v>#REF!</v>
          </cell>
        </row>
        <row r="57">
          <cell r="C57" t="str">
            <v>EBITDA</v>
          </cell>
          <cell r="D57" t="e">
            <v>#REF!</v>
          </cell>
          <cell r="E57" t="e">
            <v>#REF!</v>
          </cell>
          <cell r="F57" t="e">
            <v>#REF!</v>
          </cell>
          <cell r="G57">
            <v>0.12960360884749708</v>
          </cell>
          <cell r="I57" t="e">
            <v>#REF!</v>
          </cell>
          <cell r="J57" t="e">
            <v>#REF!</v>
          </cell>
          <cell r="K57" t="e">
            <v>#REF!</v>
          </cell>
        </row>
        <row r="58">
          <cell r="C58" t="str">
            <v>EBIT</v>
          </cell>
          <cell r="D58">
            <v>8.1624359407107744E-2</v>
          </cell>
          <cell r="E58">
            <v>8.4135814567353265E-2</v>
          </cell>
          <cell r="F58">
            <v>8.2596915017462358E-2</v>
          </cell>
          <cell r="G58">
            <v>7.726309662398137E-2</v>
          </cell>
          <cell r="I58">
            <v>-50</v>
          </cell>
          <cell r="J58">
            <v>-70</v>
          </cell>
          <cell r="K58">
            <v>-40</v>
          </cell>
        </row>
        <row r="59">
          <cell r="C59" t="str">
            <v>Pretax income</v>
          </cell>
          <cell r="D59">
            <v>1.9647850379112503E-2</v>
          </cell>
          <cell r="E59">
            <v>4.0099550676518873E-2</v>
          </cell>
          <cell r="F59">
            <v>3.8567229336437914E-2</v>
          </cell>
          <cell r="G59">
            <v>3.3233410942956933E-2</v>
          </cell>
          <cell r="I59">
            <v>-50</v>
          </cell>
          <cell r="J59">
            <v>-70</v>
          </cell>
          <cell r="K59">
            <v>140</v>
          </cell>
        </row>
        <row r="60">
          <cell r="C60" t="str">
            <v>Operating net income</v>
          </cell>
          <cell r="D60">
            <v>2.1910150546954957E-2</v>
          </cell>
          <cell r="E60">
            <v>2.7046774897643455E-2</v>
          </cell>
          <cell r="F60">
            <v>2.2547438882421618E-2</v>
          </cell>
          <cell r="G60">
            <v>2.366792782305006E-2</v>
          </cell>
          <cell r="I60">
            <v>10</v>
          </cell>
          <cell r="J60">
            <v>-30</v>
          </cell>
          <cell r="K60">
            <v>20</v>
          </cell>
        </row>
        <row r="61">
          <cell r="C61" t="str">
            <v>Tax Rate</v>
          </cell>
          <cell r="D61">
            <v>0.3283838439802757</v>
          </cell>
          <cell r="E61">
            <v>0.32449619412553871</v>
          </cell>
          <cell r="F61">
            <v>0.27707388486005424</v>
          </cell>
          <cell r="G61">
            <v>0.32154304229792446</v>
          </cell>
          <cell r="I61">
            <v>440</v>
          </cell>
          <cell r="J61">
            <v>-30</v>
          </cell>
          <cell r="K61">
            <v>-70</v>
          </cell>
        </row>
        <row r="64">
          <cell r="I64">
            <v>528.12600000000066</v>
          </cell>
          <cell r="J64">
            <v>509.79899999999998</v>
          </cell>
          <cell r="M64">
            <v>10.386188828911022</v>
          </cell>
        </row>
        <row r="65">
          <cell r="J65">
            <v>-3.4701946126493799E-2</v>
          </cell>
          <cell r="M65">
            <v>9.8948865861797763</v>
          </cell>
        </row>
        <row r="66">
          <cell r="M66">
            <v>4.9652134812484761E-2</v>
          </cell>
        </row>
        <row r="68">
          <cell r="M68">
            <v>10386.188828911023</v>
          </cell>
        </row>
        <row r="69">
          <cell r="M69">
            <v>1.1547082206664783E-2</v>
          </cell>
        </row>
      </sheetData>
      <sheetData sheetId="18" refreshError="1">
        <row r="1">
          <cell r="A1" t="str">
            <v>Company Guidance</v>
          </cell>
        </row>
        <row r="2">
          <cell r="A2" t="str">
            <v>Revenues</v>
          </cell>
          <cell r="C2" t="str">
            <v>11.8 - 12 billion</v>
          </cell>
        </row>
        <row r="3">
          <cell r="A3" t="str">
            <v>EBITDA</v>
          </cell>
          <cell r="C3" t="str">
            <v>1.635 to 1.665</v>
          </cell>
        </row>
        <row r="4">
          <cell r="A4" t="str">
            <v>EPS</v>
          </cell>
          <cell r="C4" t="str">
            <v>$2.50 to 2.65</v>
          </cell>
        </row>
        <row r="6">
          <cell r="A6" t="str">
            <v>Same store admissions / adjusted admissions growth</v>
          </cell>
          <cell r="G6" t="str">
            <v>-1% to 1%</v>
          </cell>
        </row>
        <row r="7">
          <cell r="A7" t="str">
            <v>Weigted average shares</v>
          </cell>
          <cell r="G7" t="str">
            <v>91 to 93 mm</v>
          </cell>
        </row>
        <row r="8">
          <cell r="A8" t="str">
            <v>Bad Debt 11.8% to 12.5%</v>
          </cell>
        </row>
        <row r="9">
          <cell r="A9" t="str">
            <v>D&amp;A is 4.6% to 4.8%</v>
          </cell>
        </row>
        <row r="10">
          <cell r="A10" t="str">
            <v>NI attrib. to MI expected to be 0.4% to 0.6%</v>
          </cell>
        </row>
        <row r="11">
          <cell r="A11" t="str">
            <v>Taxes 31.5% to 33.5%</v>
          </cell>
        </row>
        <row r="12">
          <cell r="A12" t="str">
            <v>Cap ex</v>
          </cell>
          <cell r="B12" t="str">
            <v>$600 to 650</v>
          </cell>
        </row>
        <row r="13">
          <cell r="A13" t="str">
            <v>OCF</v>
          </cell>
          <cell r="B13" t="str">
            <v>950 to 1000</v>
          </cell>
        </row>
        <row r="15">
          <cell r="A15" t="str">
            <v>Included in the above guidance are estimated 2.5% to 3.0% increases in Medicare inpatient reimbursement effective October 1, 2008, and Medicare outpatient reimbursement effective January 1, 2009. Moreover, the guidance reflects 0% to 1% increase in Medica</v>
          </cell>
        </row>
        <row r="17">
          <cell r="A17" t="str">
            <v>Consenses Estimates</v>
          </cell>
          <cell r="E17" t="str">
            <v>Q409</v>
          </cell>
          <cell r="F17">
            <v>2009</v>
          </cell>
          <cell r="G17">
            <v>2010</v>
          </cell>
          <cell r="H17">
            <v>2011</v>
          </cell>
        </row>
        <row r="18">
          <cell r="A18" t="str">
            <v>Revenues</v>
          </cell>
          <cell r="E18">
            <v>3083</v>
          </cell>
          <cell r="F18">
            <v>12070</v>
          </cell>
          <cell r="G18">
            <v>12896</v>
          </cell>
          <cell r="H18">
            <v>13471</v>
          </cell>
        </row>
        <row r="19">
          <cell r="A19" t="str">
            <v>EBITDA</v>
          </cell>
          <cell r="E19">
            <v>421</v>
          </cell>
          <cell r="F19">
            <v>1647</v>
          </cell>
          <cell r="G19">
            <v>1737</v>
          </cell>
          <cell r="H19">
            <v>1794</v>
          </cell>
        </row>
        <row r="20">
          <cell r="A20" t="str">
            <v>EPS</v>
          </cell>
          <cell r="E20">
            <v>0.69</v>
          </cell>
          <cell r="F20">
            <v>2.62</v>
          </cell>
          <cell r="G20">
            <v>2.94</v>
          </cell>
          <cell r="H20">
            <v>3.27</v>
          </cell>
        </row>
        <row r="21">
          <cell r="A21" t="str">
            <v>CapEx</v>
          </cell>
          <cell r="F21">
            <v>595</v>
          </cell>
          <cell r="G21">
            <v>654</v>
          </cell>
          <cell r="H21">
            <v>729</v>
          </cell>
        </row>
        <row r="22">
          <cell r="A22" t="str">
            <v>Net Debt</v>
          </cell>
          <cell r="F22">
            <v>8499</v>
          </cell>
          <cell r="G22">
            <v>8274</v>
          </cell>
          <cell r="H22">
            <v>8331</v>
          </cell>
        </row>
        <row r="24">
          <cell r="A24" t="str">
            <v>Key operating strengths including physician recruitment and retention,
ER management and acquisitions. Has also consolidated well historically</v>
          </cell>
        </row>
        <row r="26">
          <cell r="A26" t="str">
            <v>Q3 Call</v>
          </cell>
        </row>
        <row r="28">
          <cell r="A28" t="str">
            <v>Q409</v>
          </cell>
        </row>
        <row r="29">
          <cell r="C29" t="str">
            <v>Guidance</v>
          </cell>
          <cell r="E29" t="str">
            <v>MS</v>
          </cell>
          <cell r="F29" t="str">
            <v>Consensus</v>
          </cell>
          <cell r="H29" t="str">
            <v>Actual</v>
          </cell>
        </row>
        <row r="30">
          <cell r="A30" t="str">
            <v>Revenue</v>
          </cell>
          <cell r="C30" t="str">
            <v>$3 - $3.2 billion</v>
          </cell>
          <cell r="E30">
            <v>3091.1460000000002</v>
          </cell>
          <cell r="F30">
            <v>3086.75</v>
          </cell>
        </row>
        <row r="31">
          <cell r="A31" t="str">
            <v>EPS</v>
          </cell>
          <cell r="C31" t="str">
            <v>$0.63 - $0.71</v>
          </cell>
          <cell r="E31">
            <v>0.75350327403748263</v>
          </cell>
          <cell r="F31">
            <v>0.69</v>
          </cell>
        </row>
        <row r="32">
          <cell r="A32" t="str">
            <v>Bad Debt</v>
          </cell>
          <cell r="C32" t="str">
            <v>12-12.4%</v>
          </cell>
          <cell r="E32">
            <v>0.12348818205286971</v>
          </cell>
        </row>
        <row r="36">
          <cell r="A36" t="str">
            <v>2009 Guidance</v>
          </cell>
        </row>
        <row r="37">
          <cell r="A37" t="str">
            <v>Revenue</v>
          </cell>
          <cell r="C37" t="str">
            <v>$12-12.2 billion</v>
          </cell>
        </row>
        <row r="38">
          <cell r="A38" t="str">
            <v>Adjusted EBITDA</v>
          </cell>
          <cell r="C38" t="str">
            <v>1.645 to 1.665 billion</v>
          </cell>
        </row>
        <row r="39">
          <cell r="A39" t="str">
            <v>EPS</v>
          </cell>
          <cell r="C39" t="str">
            <v>2.57 to 2.65</v>
          </cell>
        </row>
        <row r="40">
          <cell r="A40" t="str">
            <v>OCF</v>
          </cell>
          <cell r="C40" t="str">
            <v>1 billion to 1.1</v>
          </cell>
        </row>
        <row r="41">
          <cell r="A41" t="str">
            <v>Capex</v>
          </cell>
          <cell r="C41" t="str">
            <v>600 to 625mm, below 2008 levels</v>
          </cell>
        </row>
        <row r="43">
          <cell r="A43" t="str">
            <v>2010 Guidance</v>
          </cell>
        </row>
        <row r="44">
          <cell r="A44" t="str">
            <v>Revenue</v>
          </cell>
          <cell r="C44" t="str">
            <v>12.8 to 13.2 billion (assumes two acquistions)</v>
          </cell>
        </row>
        <row r="45">
          <cell r="A45" t="str">
            <v>Adjusted EBITDA</v>
          </cell>
        </row>
        <row r="46">
          <cell r="A46" t="str">
            <v>EPS</v>
          </cell>
          <cell r="C46" t="str">
            <v>2.80 to 3</v>
          </cell>
        </row>
        <row r="48">
          <cell r="A48" t="str">
            <v>Q4 Earnings Call</v>
          </cell>
        </row>
        <row r="49">
          <cell r="A49" t="str">
            <v>Recruiting target is 1700 physisicians for 2010</v>
          </cell>
        </row>
        <row r="50">
          <cell r="A50" t="str">
            <v>Admissions growth of 0-2%</v>
          </cell>
        </row>
        <row r="51">
          <cell r="A51" t="str">
            <v>No updates to New Mexico false claims case</v>
          </cell>
        </row>
        <row r="52">
          <cell r="A52" t="str">
            <v>Normalized admissions should have been down 0.3% as opposed to 0.6%</v>
          </cell>
        </row>
        <row r="53">
          <cell r="A53" t="str">
            <v>Flu admissions were down</v>
          </cell>
        </row>
        <row r="54">
          <cell r="A54" t="str">
            <v>Adjusted admissions increased reflecting strong outpatient growth</v>
          </cell>
        </row>
        <row r="55">
          <cell r="A55" t="str">
            <v>Medicare case mix increased because of surgery increases</v>
          </cell>
        </row>
        <row r="56">
          <cell r="A56" t="str">
            <v>Full year admissions would have been flat if adjusting for strong flu season, service closures, and leap year (adjusted up 2%)</v>
          </cell>
        </row>
        <row r="57">
          <cell r="A57" t="str">
            <v>Same store Medicare case rate increased 1.9% YoY</v>
          </cell>
        </row>
        <row r="58">
          <cell r="A58" t="str">
            <v>All in bad debt increased 150 bps yoy</v>
          </cell>
        </row>
        <row r="59">
          <cell r="A59" t="str">
            <v>Assuming 1 percent decline in Medicaid spend. 2009 rates were around flat</v>
          </cell>
        </row>
        <row r="60">
          <cell r="A60" t="str">
            <v>Acquisition market heating up given b/c NFP having problems with economic downturn (investments going south)</v>
          </cell>
        </row>
        <row r="61">
          <cell r="A61" t="str">
            <v>Thinks pricing could stay within 4-5% range</v>
          </cell>
        </row>
        <row r="62">
          <cell r="A62" t="str">
            <v>Continue to give salary increases, 401K matches, etc</v>
          </cell>
        </row>
        <row r="63">
          <cell r="A63" t="str">
            <v>2010 same store margin improvement should be around 30 bps as opposed to the 50bps seen this yeaer</v>
          </cell>
        </row>
        <row r="64">
          <cell r="A64" t="str">
            <v>Cash taxes in 2010 will be up by about 2010</v>
          </cell>
        </row>
        <row r="65">
          <cell r="A65" t="str">
            <v>Going to test out some Elec.HR in a few hospitals</v>
          </cell>
        </row>
        <row r="66">
          <cell r="A66" t="str">
            <v>Have integreatd about half of triad hospitals</v>
          </cell>
        </row>
        <row r="67">
          <cell r="A67" t="str">
            <v>90% of pricing is done for 2010</v>
          </cell>
        </row>
        <row r="73">
          <cell r="I73" t="str">
            <v>Low</v>
          </cell>
          <cell r="J73" t="str">
            <v>High</v>
          </cell>
        </row>
        <row r="74">
          <cell r="G74" t="str">
            <v>Net Revenues</v>
          </cell>
          <cell r="I74">
            <v>12700</v>
          </cell>
          <cell r="J74">
            <v>13100</v>
          </cell>
        </row>
      </sheetData>
      <sheetData sheetId="19" refreshError="1">
        <row r="3">
          <cell r="A3" t="str">
            <v>Hospital</v>
          </cell>
          <cell r="B3" t="str">
            <v>City</v>
          </cell>
          <cell r="C3" t="str">
            <v>State</v>
          </cell>
          <cell r="D3" t="str">
            <v>Licensed Beds</v>
          </cell>
          <cell r="E3" t="str">
            <v>Date of Acquisition/Lease Inception</v>
          </cell>
          <cell r="F3" t="str">
            <v>Ownership Type</v>
          </cell>
          <cell r="G3" t="str">
            <v>% of Total Beds</v>
          </cell>
          <cell r="H3" t="str">
            <v>State % of Total Beds</v>
          </cell>
          <cell r="I3" t="str">
            <v>Top 5</v>
          </cell>
          <cell r="J3" t="str">
            <v>Texas</v>
          </cell>
          <cell r="K3">
            <v>0.1416095455699416</v>
          </cell>
        </row>
        <row r="4">
          <cell r="A4" t="str">
            <v>LV Stabler Memorial Hospital</v>
          </cell>
          <cell r="B4" t="str">
            <v>Greenville</v>
          </cell>
          <cell r="C4" t="str">
            <v>Alabama</v>
          </cell>
          <cell r="D4">
            <v>72</v>
          </cell>
          <cell r="E4" t="str">
            <v>October, 1994</v>
          </cell>
          <cell r="F4" t="str">
            <v>Owned</v>
          </cell>
          <cell r="G4">
            <v>3.6557501904036557E-3</v>
          </cell>
          <cell r="H4">
            <v>9.007362274689007E-2</v>
          </cell>
          <cell r="J4" t="str">
            <v>Pennsylvania</v>
          </cell>
          <cell r="K4">
            <v>0.11175425234831177</v>
          </cell>
        </row>
        <row r="5">
          <cell r="A5" t="str">
            <v>South Baldwin Regional Medical Center</v>
          </cell>
          <cell r="B5" t="str">
            <v>Foley</v>
          </cell>
          <cell r="C5" t="str">
            <v>Alabama</v>
          </cell>
          <cell r="D5">
            <v>112</v>
          </cell>
          <cell r="E5" t="str">
            <v>June, 2000</v>
          </cell>
          <cell r="F5" t="str">
            <v>Leased</v>
          </cell>
          <cell r="G5">
            <v>5.6867225184056864E-3</v>
          </cell>
          <cell r="H5">
            <v>9.007362274689007E-2</v>
          </cell>
          <cell r="J5" t="str">
            <v>Alabama</v>
          </cell>
          <cell r="K5">
            <v>9.007362274689007E-2</v>
          </cell>
        </row>
        <row r="6">
          <cell r="A6" t="str">
            <v>Cherokee Medical Center</v>
          </cell>
          <cell r="B6" t="str">
            <v>Centre</v>
          </cell>
          <cell r="C6" t="str">
            <v>Alabama</v>
          </cell>
          <cell r="D6">
            <v>60</v>
          </cell>
          <cell r="E6" t="str">
            <v>April, 2006</v>
          </cell>
          <cell r="F6" t="str">
            <v>Owned</v>
          </cell>
          <cell r="G6">
            <v>3.0464584920030465E-3</v>
          </cell>
          <cell r="H6">
            <v>9.007362274689007E-2</v>
          </cell>
          <cell r="J6" t="str">
            <v>Tennessee</v>
          </cell>
          <cell r="K6">
            <v>7.5653719218075649E-2</v>
          </cell>
        </row>
        <row r="7">
          <cell r="A7" t="str">
            <v>Dekalb Regional Medical Center</v>
          </cell>
          <cell r="B7" t="str">
            <v>Fort Payne</v>
          </cell>
          <cell r="C7" t="str">
            <v>Alabama</v>
          </cell>
          <cell r="D7">
            <v>134</v>
          </cell>
          <cell r="E7" t="str">
            <v>April, 2006</v>
          </cell>
          <cell r="F7" t="str">
            <v>Owned</v>
          </cell>
          <cell r="G7">
            <v>6.8037572988068036E-3</v>
          </cell>
          <cell r="H7">
            <v>9.007362274689007E-2</v>
          </cell>
          <cell r="J7" t="str">
            <v>Indiana</v>
          </cell>
          <cell r="K7">
            <v>6.4483371414064489E-2</v>
          </cell>
        </row>
        <row r="8">
          <cell r="A8" t="str">
            <v>Trinity Medical Center</v>
          </cell>
          <cell r="B8" t="str">
            <v>Birmingham</v>
          </cell>
          <cell r="C8" t="str">
            <v>Alabama</v>
          </cell>
          <cell r="D8">
            <v>534</v>
          </cell>
          <cell r="E8" t="str">
            <v>July, 2007</v>
          </cell>
          <cell r="F8" t="str">
            <v>Owned</v>
          </cell>
          <cell r="G8">
            <v>2.7113480578827114E-2</v>
          </cell>
          <cell r="H8">
            <v>9.007362274689007E-2</v>
          </cell>
          <cell r="J8" t="str">
            <v>OTHER</v>
          </cell>
          <cell r="K8">
            <v>0.51642548870271632</v>
          </cell>
        </row>
        <row r="9">
          <cell r="A9" t="str">
            <v>Flowers Hospital</v>
          </cell>
          <cell r="B9" t="str">
            <v>Dothan</v>
          </cell>
          <cell r="C9" t="str">
            <v>Alabama</v>
          </cell>
          <cell r="D9">
            <v>235</v>
          </cell>
          <cell r="E9" t="str">
            <v>July, 2007</v>
          </cell>
          <cell r="F9" t="str">
            <v>Owned</v>
          </cell>
          <cell r="G9">
            <v>1.1931962427011932E-2</v>
          </cell>
          <cell r="H9">
            <v>9.007362274689007E-2</v>
          </cell>
        </row>
        <row r="10">
          <cell r="A10" t="str">
            <v>Medical Center Enterprise</v>
          </cell>
          <cell r="B10" t="str">
            <v>Enterprise</v>
          </cell>
          <cell r="C10" t="str">
            <v>Alabama</v>
          </cell>
          <cell r="D10">
            <v>131</v>
          </cell>
          <cell r="E10" t="str">
            <v>July, 2007</v>
          </cell>
          <cell r="F10" t="str">
            <v>Owned</v>
          </cell>
          <cell r="G10">
            <v>6.6514343742066512E-3</v>
          </cell>
          <cell r="H10">
            <v>9.007362274689007E-2</v>
          </cell>
          <cell r="I10" t="str">
            <v>Other</v>
          </cell>
          <cell r="J10" t="str">
            <v>Illinois</v>
          </cell>
          <cell r="K10">
            <v>5.8492003046458498E-2</v>
          </cell>
        </row>
        <row r="11">
          <cell r="A11" t="str">
            <v>Gadsden Regional Medical Center</v>
          </cell>
          <cell r="B11" t="str">
            <v>Gadsden</v>
          </cell>
          <cell r="C11" t="str">
            <v>Alabama</v>
          </cell>
          <cell r="D11">
            <v>346</v>
          </cell>
          <cell r="E11" t="str">
            <v>July, 2007</v>
          </cell>
          <cell r="F11" t="str">
            <v>Owned</v>
          </cell>
          <cell r="G11">
            <v>1.7567910637217569E-2</v>
          </cell>
          <cell r="H11">
            <v>9.007362274689007E-2</v>
          </cell>
          <cell r="J11" t="str">
            <v>South Carolina</v>
          </cell>
          <cell r="K11">
            <v>5.8136582889058139E-2</v>
          </cell>
        </row>
        <row r="12">
          <cell r="A12" t="str">
            <v>Crestwood Medical Center</v>
          </cell>
          <cell r="B12" t="str">
            <v>Huntsville</v>
          </cell>
          <cell r="C12" t="str">
            <v>Alabama</v>
          </cell>
          <cell r="D12">
            <v>150</v>
          </cell>
          <cell r="E12" t="str">
            <v>July, 2007</v>
          </cell>
          <cell r="F12" t="str">
            <v>Owned</v>
          </cell>
          <cell r="G12">
            <v>7.6161462300076161E-3</v>
          </cell>
          <cell r="H12">
            <v>9.007362274689007E-2</v>
          </cell>
          <cell r="J12" t="str">
            <v>Arkansas</v>
          </cell>
          <cell r="K12">
            <v>5.3769992383853771E-2</v>
          </cell>
        </row>
        <row r="13">
          <cell r="A13" t="str">
            <v>Mat-Su Regional Medical Center</v>
          </cell>
          <cell r="B13" t="str">
            <v>Palmer</v>
          </cell>
          <cell r="C13" t="str">
            <v>Alaska</v>
          </cell>
          <cell r="D13">
            <v>74</v>
          </cell>
          <cell r="E13" t="str">
            <v>July, 2007</v>
          </cell>
          <cell r="F13" t="str">
            <v>Owned</v>
          </cell>
          <cell r="G13">
            <v>3.7572988068037571E-3</v>
          </cell>
          <cell r="H13">
            <v>3.7572988068037571E-3</v>
          </cell>
          <cell r="J13" t="str">
            <v>Ohio</v>
          </cell>
          <cell r="K13">
            <v>5.0825082508250824E-2</v>
          </cell>
        </row>
        <row r="14">
          <cell r="A14" t="str">
            <v>Payson Regional Medical Center</v>
          </cell>
          <cell r="B14" t="str">
            <v>Payson</v>
          </cell>
          <cell r="C14" t="str">
            <v>Arizona</v>
          </cell>
          <cell r="D14">
            <v>44</v>
          </cell>
          <cell r="E14" t="str">
            <v>August, 1997</v>
          </cell>
          <cell r="F14" t="str">
            <v>Leased</v>
          </cell>
          <cell r="G14">
            <v>2.2340695608022341E-3</v>
          </cell>
          <cell r="H14">
            <v>3.1835491241431833E-2</v>
          </cell>
          <cell r="J14" t="str">
            <v>New Mexico</v>
          </cell>
          <cell r="K14">
            <v>3.8029956841838033E-2</v>
          </cell>
        </row>
        <row r="15">
          <cell r="A15" t="str">
            <v>Western Arizona Regional Medical Center</v>
          </cell>
          <cell r="B15" t="str">
            <v>Bullhead City</v>
          </cell>
          <cell r="C15" t="str">
            <v>Arizona</v>
          </cell>
          <cell r="D15">
            <v>139</v>
          </cell>
          <cell r="E15" t="str">
            <v>July, 2000</v>
          </cell>
          <cell r="F15" t="str">
            <v>Owned</v>
          </cell>
          <cell r="G15">
            <v>7.0576288398070579E-3</v>
          </cell>
          <cell r="H15">
            <v>3.1835491241431833E-2</v>
          </cell>
          <cell r="J15" t="str">
            <v>Arizona</v>
          </cell>
          <cell r="K15">
            <v>3.183549124143184E-2</v>
          </cell>
        </row>
        <row r="16">
          <cell r="A16" t="str">
            <v>Northwest Medical Center</v>
          </cell>
          <cell r="B16" t="str">
            <v>Tucson</v>
          </cell>
          <cell r="C16" t="str">
            <v>Arizona</v>
          </cell>
          <cell r="D16">
            <v>300</v>
          </cell>
          <cell r="E16" t="str">
            <v>July, 2007</v>
          </cell>
          <cell r="F16" t="str">
            <v>Owned</v>
          </cell>
          <cell r="G16">
            <v>1.5232292460015232E-2</v>
          </cell>
          <cell r="H16">
            <v>3.1835491241431833E-2</v>
          </cell>
          <cell r="J16" t="str">
            <v>Mississippi</v>
          </cell>
          <cell r="K16">
            <v>2.8027418126428026E-2</v>
          </cell>
        </row>
        <row r="17">
          <cell r="A17" t="str">
            <v>Northwest Medical Center Oro Valley</v>
          </cell>
          <cell r="B17" t="str">
            <v>Oro Valley</v>
          </cell>
          <cell r="C17" t="str">
            <v>Arizona</v>
          </cell>
          <cell r="D17">
            <v>144</v>
          </cell>
          <cell r="E17" t="str">
            <v>July, 2007</v>
          </cell>
          <cell r="F17" t="str">
            <v>Owned</v>
          </cell>
          <cell r="G17">
            <v>7.3115003808073113E-3</v>
          </cell>
          <cell r="H17">
            <v>3.1835491241431833E-2</v>
          </cell>
          <cell r="J17" t="str">
            <v>Oklahoma</v>
          </cell>
          <cell r="K17">
            <v>2.6301091647626302E-2</v>
          </cell>
        </row>
        <row r="18">
          <cell r="A18" t="str">
            <v>Harris Hospital</v>
          </cell>
          <cell r="B18" t="str">
            <v>Newport</v>
          </cell>
          <cell r="C18" t="str">
            <v>Arkansas</v>
          </cell>
          <cell r="D18">
            <v>133</v>
          </cell>
          <cell r="E18" t="str">
            <v>October, 1994</v>
          </cell>
          <cell r="F18" t="str">
            <v>Owned</v>
          </cell>
          <cell r="G18">
            <v>6.7529829906067531E-3</v>
          </cell>
          <cell r="H18">
            <v>5.3769992383853771E-2</v>
          </cell>
          <cell r="J18" t="str">
            <v>Washington</v>
          </cell>
          <cell r="K18">
            <v>2.5945671490225947E-2</v>
          </cell>
        </row>
        <row r="19">
          <cell r="A19" t="str">
            <v>Helena Regional Medical Center</v>
          </cell>
          <cell r="B19" t="str">
            <v>Helena</v>
          </cell>
          <cell r="C19" t="str">
            <v>Arkansas</v>
          </cell>
          <cell r="D19">
            <v>155</v>
          </cell>
          <cell r="E19" t="str">
            <v>March, 2002</v>
          </cell>
          <cell r="F19" t="str">
            <v>Leased</v>
          </cell>
          <cell r="G19">
            <v>7.8700177710078704E-3</v>
          </cell>
          <cell r="H19">
            <v>5.3769992383853771E-2</v>
          </cell>
          <cell r="J19" t="str">
            <v>Virginia</v>
          </cell>
          <cell r="K19">
            <v>2.4625539477024627E-2</v>
          </cell>
        </row>
        <row r="20">
          <cell r="A20" t="str">
            <v>Forrest City Medical Center</v>
          </cell>
          <cell r="B20" t="str">
            <v>Forrest City</v>
          </cell>
          <cell r="C20" t="str">
            <v>Arkansas</v>
          </cell>
          <cell r="D20">
            <v>118</v>
          </cell>
          <cell r="E20" t="str">
            <v>March, 2006</v>
          </cell>
          <cell r="F20" t="str">
            <v>Leased</v>
          </cell>
          <cell r="G20">
            <v>5.9913683676059912E-3</v>
          </cell>
          <cell r="H20">
            <v>5.3769992383853771E-2</v>
          </cell>
          <cell r="J20" t="str">
            <v>West Virginia</v>
          </cell>
          <cell r="K20">
            <v>1.9649657273419649E-2</v>
          </cell>
        </row>
        <row r="21">
          <cell r="A21" t="str">
            <v>Northwest Medical Center — Bentonville</v>
          </cell>
          <cell r="B21" t="str">
            <v>Bentonville</v>
          </cell>
          <cell r="C21" t="str">
            <v>Arkansas</v>
          </cell>
          <cell r="D21">
            <v>128</v>
          </cell>
          <cell r="E21" t="str">
            <v>July, 2007</v>
          </cell>
          <cell r="F21" t="str">
            <v>Owned</v>
          </cell>
          <cell r="G21">
            <v>6.4991114496064989E-3</v>
          </cell>
          <cell r="H21">
            <v>5.3769992383853771E-2</v>
          </cell>
          <cell r="J21" t="str">
            <v>Louisiana</v>
          </cell>
          <cell r="K21">
            <v>1.5587712617415588E-2</v>
          </cell>
        </row>
        <row r="22">
          <cell r="A22" t="str">
            <v>Northwest Medical Center — Springdale</v>
          </cell>
          <cell r="B22" t="str">
            <v>Springdale</v>
          </cell>
          <cell r="C22" t="str">
            <v>Arkansas</v>
          </cell>
          <cell r="D22">
            <v>222</v>
          </cell>
          <cell r="E22" t="str">
            <v>July, 2007</v>
          </cell>
          <cell r="F22" t="str">
            <v>Owned</v>
          </cell>
          <cell r="G22">
            <v>1.1271896420411272E-2</v>
          </cell>
          <cell r="H22">
            <v>5.3769992383853771E-2</v>
          </cell>
          <cell r="J22" t="str">
            <v>Georgia</v>
          </cell>
          <cell r="K22">
            <v>1.4267580604214267E-2</v>
          </cell>
        </row>
        <row r="23">
          <cell r="A23" t="str">
            <v>Willow Creek Women's Hospital</v>
          </cell>
          <cell r="B23" t="str">
            <v>Johnson</v>
          </cell>
          <cell r="C23" t="str">
            <v>Arkansas</v>
          </cell>
          <cell r="D23">
            <v>64</v>
          </cell>
          <cell r="E23" t="str">
            <v>July, 2007</v>
          </cell>
          <cell r="F23" t="str">
            <v>Owned</v>
          </cell>
          <cell r="G23">
            <v>3.2495557248032494E-3</v>
          </cell>
          <cell r="H23">
            <v>5.3769992383853771E-2</v>
          </cell>
          <cell r="J23" t="str">
            <v>Florida</v>
          </cell>
          <cell r="K23">
            <v>1.370906321401371E-2</v>
          </cell>
        </row>
        <row r="24">
          <cell r="A24" t="str">
            <v>Siloam Springs Memorial Hospital</v>
          </cell>
          <cell r="B24" t="str">
            <v>Siloam Springs</v>
          </cell>
          <cell r="C24" t="str">
            <v>Arkansas</v>
          </cell>
          <cell r="D24">
            <v>73</v>
          </cell>
          <cell r="E24" t="str">
            <v>February, 2009</v>
          </cell>
          <cell r="F24" t="str">
            <v>Leased</v>
          </cell>
          <cell r="G24">
            <v>3.7065244986037066E-3</v>
          </cell>
          <cell r="H24">
            <v>5.3769992383853771E-2</v>
          </cell>
          <cell r="J24" t="str">
            <v>Missouri</v>
          </cell>
          <cell r="K24">
            <v>1.0967250571210967E-2</v>
          </cell>
        </row>
        <row r="25">
          <cell r="A25" t="str">
            <v>Medical Center of South Arkansas</v>
          </cell>
          <cell r="B25" t="str">
            <v>El Dorado</v>
          </cell>
          <cell r="C25" t="str">
            <v>Arkansas</v>
          </cell>
          <cell r="D25">
            <v>166</v>
          </cell>
          <cell r="E25" t="str">
            <v>April, 2009</v>
          </cell>
          <cell r="F25" t="str">
            <v>Leased</v>
          </cell>
          <cell r="G25">
            <v>8.4285351612084277E-3</v>
          </cell>
          <cell r="H25">
            <v>5.3769992383853771E-2</v>
          </cell>
          <cell r="J25" t="str">
            <v>Kentucky</v>
          </cell>
          <cell r="K25">
            <v>1.0916476263010916E-2</v>
          </cell>
        </row>
        <row r="26">
          <cell r="A26" t="str">
            <v>Barstow Community Hospital</v>
          </cell>
          <cell r="B26" t="str">
            <v>Barstow</v>
          </cell>
          <cell r="C26" t="str">
            <v>California</v>
          </cell>
          <cell r="D26">
            <v>56</v>
          </cell>
          <cell r="E26" t="str">
            <v>January, 1993</v>
          </cell>
          <cell r="F26" t="str">
            <v>Leased</v>
          </cell>
          <cell r="G26">
            <v>2.8433612592028432E-3</v>
          </cell>
          <cell r="H26">
            <v>1.0611830413810612E-2</v>
          </cell>
          <cell r="J26" t="str">
            <v>California</v>
          </cell>
          <cell r="K26">
            <v>1.0611830413810613E-2</v>
          </cell>
        </row>
        <row r="27">
          <cell r="A27" t="str">
            <v>Fallbrook Hospital</v>
          </cell>
          <cell r="B27" t="str">
            <v>Fallbrook</v>
          </cell>
          <cell r="C27" t="str">
            <v>California</v>
          </cell>
          <cell r="D27">
            <v>47</v>
          </cell>
          <cell r="E27" t="str">
            <v>November, 1998</v>
          </cell>
          <cell r="F27" t="str">
            <v>Operated (2)</v>
          </cell>
          <cell r="G27">
            <v>2.3863924854023865E-3</v>
          </cell>
          <cell r="H27">
            <v>1.0611830413810612E-2</v>
          </cell>
          <cell r="J27" t="str">
            <v>New Jersey</v>
          </cell>
          <cell r="K27">
            <v>7.1084031480071084E-3</v>
          </cell>
        </row>
        <row r="28">
          <cell r="A28" t="str">
            <v>Watsonville Community Hospital</v>
          </cell>
          <cell r="B28" t="str">
            <v>Watsonville</v>
          </cell>
          <cell r="C28" t="str">
            <v>California</v>
          </cell>
          <cell r="D28">
            <v>106</v>
          </cell>
          <cell r="E28" t="str">
            <v>September, 1998</v>
          </cell>
          <cell r="F28" t="str">
            <v>Owned</v>
          </cell>
          <cell r="G28">
            <v>5.3820766692053825E-3</v>
          </cell>
          <cell r="H28">
            <v>1.0611830413810612E-2</v>
          </cell>
          <cell r="J28" t="str">
            <v>Oregon</v>
          </cell>
          <cell r="K28">
            <v>5.7374968266057378E-3</v>
          </cell>
        </row>
        <row r="29">
          <cell r="A29" t="str">
            <v>Lake Wales Medical Center</v>
          </cell>
          <cell r="B29" t="str">
            <v>Lake Wales</v>
          </cell>
          <cell r="C29" t="str">
            <v>Florida</v>
          </cell>
          <cell r="D29">
            <v>160</v>
          </cell>
          <cell r="E29" t="str">
            <v>December, 2002</v>
          </cell>
          <cell r="F29" t="str">
            <v>Owned</v>
          </cell>
          <cell r="G29">
            <v>8.1238893120081247E-3</v>
          </cell>
          <cell r="H29">
            <v>1.3709063214013708E-2</v>
          </cell>
          <cell r="J29" t="str">
            <v>Alaska</v>
          </cell>
          <cell r="K29">
            <v>3.7572988068037571E-3</v>
          </cell>
        </row>
        <row r="30">
          <cell r="A30" t="str">
            <v>North Okaloosa Medical Center</v>
          </cell>
          <cell r="B30" t="str">
            <v>Crestview</v>
          </cell>
          <cell r="C30" t="str">
            <v>Florida</v>
          </cell>
          <cell r="D30">
            <v>110</v>
          </cell>
          <cell r="E30" t="str">
            <v>March, 1996</v>
          </cell>
          <cell r="F30" t="str">
            <v>Owned</v>
          </cell>
          <cell r="G30">
            <v>5.5851739020055854E-3</v>
          </cell>
          <cell r="H30">
            <v>1.3709063214013708E-2</v>
          </cell>
          <cell r="J30" t="str">
            <v>North Carolina</v>
          </cell>
          <cell r="K30">
            <v>2.4879411018024879E-3</v>
          </cell>
        </row>
        <row r="31">
          <cell r="A31" t="str">
            <v>Fannin Regional Hospital</v>
          </cell>
          <cell r="B31" t="str">
            <v>Blue Ridge</v>
          </cell>
          <cell r="C31" t="str">
            <v>Georgia</v>
          </cell>
          <cell r="D31">
            <v>50</v>
          </cell>
          <cell r="E31" t="str">
            <v>January, 1986</v>
          </cell>
          <cell r="F31" t="str">
            <v>Owned</v>
          </cell>
          <cell r="G31">
            <v>2.5387154100025388E-3</v>
          </cell>
          <cell r="H31">
            <v>1.4267580604214267E-2</v>
          </cell>
          <cell r="J31" t="str">
            <v>Utah</v>
          </cell>
          <cell r="K31">
            <v>2.2340695608022341E-3</v>
          </cell>
        </row>
        <row r="32">
          <cell r="A32" t="str">
            <v>Trinity Hospital of Augusta</v>
          </cell>
          <cell r="B32" t="str">
            <v>Augusta</v>
          </cell>
          <cell r="C32" t="str">
            <v>Georgia</v>
          </cell>
          <cell r="D32">
            <v>231</v>
          </cell>
          <cell r="E32" t="str">
            <v>July, 2007</v>
          </cell>
          <cell r="F32" t="str">
            <v>Leased</v>
          </cell>
          <cell r="G32">
            <v>1.1728865194211728E-2</v>
          </cell>
          <cell r="H32">
            <v>1.4267580604214267E-2</v>
          </cell>
          <cell r="J32" t="str">
            <v>Wyoming</v>
          </cell>
          <cell r="K32">
            <v>2.1325209444021326E-3</v>
          </cell>
        </row>
        <row r="33">
          <cell r="A33" t="str">
            <v>Crossroads Community Hospital</v>
          </cell>
          <cell r="B33" t="str">
            <v>Mt. Vernon</v>
          </cell>
          <cell r="C33" t="str">
            <v>Illinois</v>
          </cell>
          <cell r="D33">
            <v>57</v>
          </cell>
          <cell r="E33" t="str">
            <v>October, 1994</v>
          </cell>
          <cell r="F33" t="str">
            <v>Owned</v>
          </cell>
          <cell r="G33">
            <v>2.8941355674028941E-3</v>
          </cell>
          <cell r="H33">
            <v>5.8492003046458491E-2</v>
          </cell>
          <cell r="J33" t="str">
            <v>Nevada</v>
          </cell>
          <cell r="K33">
            <v>1.2693577050012694E-3</v>
          </cell>
        </row>
        <row r="34">
          <cell r="A34" t="str">
            <v>Gateway Regional Medical Center</v>
          </cell>
          <cell r="B34" t="str">
            <v>Granite City</v>
          </cell>
          <cell r="C34" t="str">
            <v>Illinois</v>
          </cell>
          <cell r="D34">
            <v>367</v>
          </cell>
          <cell r="E34" t="str">
            <v>January, 2002</v>
          </cell>
          <cell r="F34" t="str">
            <v>Owned</v>
          </cell>
          <cell r="G34">
            <v>1.8634171109418635E-2</v>
          </cell>
          <cell r="H34">
            <v>5.8492003046458491E-2</v>
          </cell>
          <cell r="J34" t="str">
            <v>Other</v>
          </cell>
          <cell r="K34">
            <v>0.51642548870271632</v>
          </cell>
        </row>
        <row r="35">
          <cell r="A35" t="str">
            <v>Heartland Regional Medical Center</v>
          </cell>
          <cell r="B35" t="str">
            <v>Marion</v>
          </cell>
          <cell r="C35" t="str">
            <v>Illinois</v>
          </cell>
          <cell r="D35">
            <v>92</v>
          </cell>
          <cell r="E35" t="str">
            <v>October, 1996</v>
          </cell>
          <cell r="F35" t="str">
            <v>Owned</v>
          </cell>
          <cell r="G35">
            <v>4.671236354404671E-3</v>
          </cell>
          <cell r="H35">
            <v>5.8492003046458491E-2</v>
          </cell>
        </row>
        <row r="36">
          <cell r="A36" t="str">
            <v>Red Bud Regional Hospital</v>
          </cell>
          <cell r="B36" t="str">
            <v>Red Bud</v>
          </cell>
          <cell r="C36" t="str">
            <v>Illinois</v>
          </cell>
          <cell r="D36">
            <v>31</v>
          </cell>
          <cell r="E36" t="str">
            <v>September, 2001</v>
          </cell>
          <cell r="F36" t="str">
            <v>Owned</v>
          </cell>
          <cell r="G36">
            <v>1.574003554201574E-3</v>
          </cell>
          <cell r="H36">
            <v>5.8492003046458491E-2</v>
          </cell>
          <cell r="J36" t="str">
            <v>Texas</v>
          </cell>
          <cell r="K36">
            <v>0.1416095455699416</v>
          </cell>
        </row>
        <row r="37">
          <cell r="A37" t="str">
            <v>Galesburg Cottage Hospital</v>
          </cell>
          <cell r="B37" t="str">
            <v>Galesburg</v>
          </cell>
          <cell r="C37" t="str">
            <v>Illinois</v>
          </cell>
          <cell r="D37">
            <v>173</v>
          </cell>
          <cell r="E37" t="str">
            <v>July, 2004</v>
          </cell>
          <cell r="F37" t="str">
            <v>Owned</v>
          </cell>
          <cell r="G37">
            <v>8.7839553186087847E-3</v>
          </cell>
          <cell r="H37">
            <v>5.8492003046458491E-2</v>
          </cell>
          <cell r="J37" t="str">
            <v>Pennsylvania</v>
          </cell>
          <cell r="K37">
            <v>0.11175425234831177</v>
          </cell>
        </row>
        <row r="38">
          <cell r="A38" t="str">
            <v>Vista Medical Center East</v>
          </cell>
          <cell r="B38" t="str">
            <v>Waukegan</v>
          </cell>
          <cell r="C38" t="str">
            <v>Illinois</v>
          </cell>
          <cell r="D38">
            <v>336</v>
          </cell>
          <cell r="E38" t="str">
            <v>July, 2006</v>
          </cell>
          <cell r="F38" t="str">
            <v>Owned</v>
          </cell>
          <cell r="G38">
            <v>1.7060167555217061E-2</v>
          </cell>
          <cell r="H38">
            <v>5.8492003046458491E-2</v>
          </cell>
          <cell r="J38" t="str">
            <v>Alabama</v>
          </cell>
          <cell r="K38">
            <v>9.007362274689007E-2</v>
          </cell>
        </row>
        <row r="39">
          <cell r="A39" t="str">
            <v>Vista Medical Center West (psychiatric and rehabilitation beds)</v>
          </cell>
          <cell r="B39" t="str">
            <v>Waukegan</v>
          </cell>
          <cell r="C39" t="str">
            <v>Illinois</v>
          </cell>
          <cell r="D39">
            <v>71</v>
          </cell>
          <cell r="E39" t="str">
            <v>July, 2006</v>
          </cell>
          <cell r="F39" t="str">
            <v>Owned</v>
          </cell>
          <cell r="G39">
            <v>3.6049758822036052E-3</v>
          </cell>
          <cell r="H39">
            <v>5.8492003046458491E-2</v>
          </cell>
          <cell r="J39" t="str">
            <v>Tennessee</v>
          </cell>
          <cell r="K39">
            <v>7.5653719218075649E-2</v>
          </cell>
        </row>
        <row r="40">
          <cell r="A40" t="str">
            <v>Union County Hospital</v>
          </cell>
          <cell r="B40" t="str">
            <v>Anna</v>
          </cell>
          <cell r="C40" t="str">
            <v>Illinois</v>
          </cell>
          <cell r="D40">
            <v>25</v>
          </cell>
          <cell r="E40" t="str">
            <v>November, 2006</v>
          </cell>
          <cell r="F40" t="str">
            <v>Leased</v>
          </cell>
          <cell r="G40">
            <v>1.2693577050012694E-3</v>
          </cell>
          <cell r="H40">
            <v>5.8492003046458491E-2</v>
          </cell>
          <cell r="J40" t="str">
            <v>Indiana</v>
          </cell>
          <cell r="K40">
            <v>6.4483371414064489E-2</v>
          </cell>
        </row>
        <row r="41">
          <cell r="A41" t="str">
            <v>Porter Hospital</v>
          </cell>
          <cell r="B41" t="str">
            <v>Valparaiso</v>
          </cell>
          <cell r="C41" t="str">
            <v>Indiana</v>
          </cell>
          <cell r="D41">
            <v>301</v>
          </cell>
          <cell r="E41" t="str">
            <v>May, 2007</v>
          </cell>
          <cell r="F41" t="str">
            <v>Owned</v>
          </cell>
          <cell r="G41">
            <v>1.5283066768215283E-2</v>
          </cell>
          <cell r="H41">
            <v>6.4483371414064489E-2</v>
          </cell>
          <cell r="J41" t="str">
            <v>Illinois</v>
          </cell>
          <cell r="K41">
            <v>5.8492003046458498E-2</v>
          </cell>
        </row>
        <row r="42">
          <cell r="A42" t="str">
            <v>Bluffton Regional Medical Center</v>
          </cell>
          <cell r="B42" t="str">
            <v>Bluffton</v>
          </cell>
          <cell r="C42" t="str">
            <v>Indiana</v>
          </cell>
          <cell r="D42">
            <v>79</v>
          </cell>
          <cell r="E42" t="str">
            <v>July, 2007</v>
          </cell>
          <cell r="F42" t="str">
            <v>Owned</v>
          </cell>
          <cell r="G42">
            <v>4.011170347804011E-3</v>
          </cell>
          <cell r="H42">
            <v>6.4483371414064489E-2</v>
          </cell>
          <cell r="J42" t="str">
            <v>South Carolina</v>
          </cell>
          <cell r="K42">
            <v>5.8136582889058139E-2</v>
          </cell>
        </row>
        <row r="43">
          <cell r="A43" t="str">
            <v>Dupont Hospital</v>
          </cell>
          <cell r="B43" t="str">
            <v>Fort Wayne</v>
          </cell>
          <cell r="C43" t="str">
            <v>Indiana</v>
          </cell>
          <cell r="D43">
            <v>131</v>
          </cell>
          <cell r="E43" t="str">
            <v>July, 2007</v>
          </cell>
          <cell r="F43" t="str">
            <v>Owned</v>
          </cell>
          <cell r="G43">
            <v>6.6514343742066512E-3</v>
          </cell>
          <cell r="H43">
            <v>6.4483371414064489E-2</v>
          </cell>
          <cell r="J43" t="str">
            <v>Arkansas</v>
          </cell>
          <cell r="K43">
            <v>5.3769992383853771E-2</v>
          </cell>
        </row>
        <row r="44">
          <cell r="A44" t="str">
            <v>Lutheran Hospital</v>
          </cell>
          <cell r="B44" t="str">
            <v>Fort Wayne</v>
          </cell>
          <cell r="C44" t="str">
            <v>Indiana</v>
          </cell>
          <cell r="D44">
            <v>396</v>
          </cell>
          <cell r="E44" t="str">
            <v>July, 2007</v>
          </cell>
          <cell r="F44" t="str">
            <v>Owned</v>
          </cell>
          <cell r="G44">
            <v>2.0106626047220105E-2</v>
          </cell>
          <cell r="H44">
            <v>6.4483371414064489E-2</v>
          </cell>
          <cell r="J44" t="str">
            <v>Ohio</v>
          </cell>
          <cell r="K44">
            <v>5.0825082508250824E-2</v>
          </cell>
        </row>
        <row r="45">
          <cell r="A45" t="str">
            <v>Lutheran Musculoskeletal Center</v>
          </cell>
          <cell r="B45" t="str">
            <v>Fort Wayne</v>
          </cell>
          <cell r="C45" t="str">
            <v>Indiana</v>
          </cell>
          <cell r="D45">
            <v>39</v>
          </cell>
          <cell r="E45" t="str">
            <v>July, 2007</v>
          </cell>
          <cell r="F45" t="str">
            <v>Owned</v>
          </cell>
          <cell r="G45">
            <v>1.9801980198019802E-3</v>
          </cell>
          <cell r="H45">
            <v>6.4483371414064489E-2</v>
          </cell>
          <cell r="J45" t="str">
            <v>New Mexico</v>
          </cell>
          <cell r="K45">
            <v>3.8029956841838033E-2</v>
          </cell>
        </row>
        <row r="46">
          <cell r="A46" t="str">
            <v>Lutheran Rehabilitation Hospital (rehabilitation)</v>
          </cell>
          <cell r="B46" t="str">
            <v>Fort Wayne</v>
          </cell>
          <cell r="C46" t="str">
            <v>Indiana</v>
          </cell>
          <cell r="D46">
            <v>36</v>
          </cell>
          <cell r="E46" t="str">
            <v>July, 2007</v>
          </cell>
          <cell r="F46" t="str">
            <v>Owned</v>
          </cell>
          <cell r="G46">
            <v>1.8278750952018278E-3</v>
          </cell>
          <cell r="H46">
            <v>6.4483371414064489E-2</v>
          </cell>
          <cell r="J46" t="str">
            <v>Arizona</v>
          </cell>
          <cell r="K46">
            <v>3.183549124143184E-2</v>
          </cell>
        </row>
        <row r="47">
          <cell r="A47" t="str">
            <v>St. Joseph's Hospital</v>
          </cell>
          <cell r="B47" t="str">
            <v>Fort Wayne</v>
          </cell>
          <cell r="C47" t="str">
            <v>Indiana</v>
          </cell>
          <cell r="D47">
            <v>191</v>
          </cell>
          <cell r="E47" t="str">
            <v>July, 2007</v>
          </cell>
          <cell r="F47" t="str">
            <v>Owned</v>
          </cell>
          <cell r="G47">
            <v>9.6978928662096973E-3</v>
          </cell>
          <cell r="H47">
            <v>6.4483371414064489E-2</v>
          </cell>
          <cell r="J47" t="str">
            <v>Mississippi</v>
          </cell>
          <cell r="K47">
            <v>2.8027418126428026E-2</v>
          </cell>
        </row>
        <row r="48">
          <cell r="A48" t="str">
            <v>Dukes Memorial Hospital</v>
          </cell>
          <cell r="B48" t="str">
            <v>Peru</v>
          </cell>
          <cell r="C48" t="str">
            <v>Indiana</v>
          </cell>
          <cell r="D48">
            <v>25</v>
          </cell>
          <cell r="E48" t="str">
            <v>July, 2007</v>
          </cell>
          <cell r="F48" t="str">
            <v>Owned</v>
          </cell>
          <cell r="G48">
            <v>1.2693577050012694E-3</v>
          </cell>
          <cell r="H48">
            <v>6.4483371414064489E-2</v>
          </cell>
          <cell r="J48" t="str">
            <v>Oklahoma</v>
          </cell>
          <cell r="K48">
            <v>2.6301091647626302E-2</v>
          </cell>
        </row>
        <row r="49">
          <cell r="A49" t="str">
            <v>Kosciusko Community Hospital</v>
          </cell>
          <cell r="B49" t="str">
            <v>Warsaw</v>
          </cell>
          <cell r="C49" t="str">
            <v>Indiana</v>
          </cell>
          <cell r="D49">
            <v>72</v>
          </cell>
          <cell r="E49" t="str">
            <v>July, 2007</v>
          </cell>
          <cell r="F49" t="str">
            <v>Owned</v>
          </cell>
          <cell r="G49">
            <v>3.6557501904036557E-3</v>
          </cell>
          <cell r="H49">
            <v>6.4483371414064489E-2</v>
          </cell>
          <cell r="J49" t="str">
            <v>Washington</v>
          </cell>
          <cell r="K49">
            <v>2.5945671490225947E-2</v>
          </cell>
        </row>
        <row r="50">
          <cell r="A50" t="str">
            <v>Parkway Regional Hospital</v>
          </cell>
          <cell r="B50" t="str">
            <v>Fulton</v>
          </cell>
          <cell r="C50" t="str">
            <v>Kentucky</v>
          </cell>
          <cell r="D50">
            <v>70</v>
          </cell>
          <cell r="E50" t="str">
            <v>May, 1992</v>
          </cell>
          <cell r="F50" t="str">
            <v>Owned</v>
          </cell>
          <cell r="G50">
            <v>3.5542015740035542E-3</v>
          </cell>
          <cell r="H50">
            <v>1.0916476263010916E-2</v>
          </cell>
          <cell r="J50" t="str">
            <v>Virginia</v>
          </cell>
          <cell r="K50">
            <v>2.4625539477024627E-2</v>
          </cell>
        </row>
        <row r="51">
          <cell r="A51" t="str">
            <v>Three Rivers Medical Center</v>
          </cell>
          <cell r="B51" t="str">
            <v>Louisa</v>
          </cell>
          <cell r="C51" t="str">
            <v>Kentucky</v>
          </cell>
          <cell r="D51">
            <v>90</v>
          </cell>
          <cell r="E51" t="str">
            <v>May, 1993</v>
          </cell>
          <cell r="F51" t="str">
            <v>Owned</v>
          </cell>
          <cell r="G51">
            <v>4.56968773800457E-3</v>
          </cell>
          <cell r="H51">
            <v>1.0916476263010916E-2</v>
          </cell>
          <cell r="J51" t="str">
            <v>West Virginia</v>
          </cell>
          <cell r="K51">
            <v>1.9649657273419649E-2</v>
          </cell>
        </row>
        <row r="52">
          <cell r="A52" t="str">
            <v>Kentucky River Medical Center</v>
          </cell>
          <cell r="B52" t="str">
            <v>Jackson</v>
          </cell>
          <cell r="C52" t="str">
            <v>Kentucky</v>
          </cell>
          <cell r="D52">
            <v>55</v>
          </cell>
          <cell r="E52" t="str">
            <v>August, 1995</v>
          </cell>
          <cell r="F52" t="str">
            <v>Leased</v>
          </cell>
          <cell r="G52">
            <v>2.7925869510027927E-3</v>
          </cell>
          <cell r="H52">
            <v>1.0916476263010916E-2</v>
          </cell>
          <cell r="J52" t="str">
            <v>Louisiana</v>
          </cell>
          <cell r="K52">
            <v>1.5587712617415588E-2</v>
          </cell>
        </row>
        <row r="53">
          <cell r="A53" t="str">
            <v>Byrd Regional Hospital</v>
          </cell>
          <cell r="B53" t="str">
            <v>Leesville</v>
          </cell>
          <cell r="C53" t="str">
            <v>Louisiana</v>
          </cell>
          <cell r="D53">
            <v>60</v>
          </cell>
          <cell r="E53" t="str">
            <v>October, 1994</v>
          </cell>
          <cell r="F53" t="str">
            <v>Owned</v>
          </cell>
          <cell r="G53">
            <v>3.0464584920030465E-3</v>
          </cell>
          <cell r="H53">
            <v>1.5587712617415588E-2</v>
          </cell>
          <cell r="J53" t="str">
            <v>Georgia</v>
          </cell>
          <cell r="K53">
            <v>1.4267580604214267E-2</v>
          </cell>
        </row>
        <row r="54">
          <cell r="A54" t="str">
            <v>Northern Louisiana Medical Center</v>
          </cell>
          <cell r="B54" t="str">
            <v>Ruston</v>
          </cell>
          <cell r="C54" t="str">
            <v>Louisiana</v>
          </cell>
          <cell r="D54">
            <v>159</v>
          </cell>
          <cell r="E54" t="str">
            <v>April, 2007</v>
          </cell>
          <cell r="F54" t="str">
            <v>Owned</v>
          </cell>
          <cell r="G54">
            <v>8.0731150038080724E-3</v>
          </cell>
          <cell r="H54">
            <v>1.5587712617415588E-2</v>
          </cell>
          <cell r="J54" t="str">
            <v>Florida</v>
          </cell>
          <cell r="K54">
            <v>1.370906321401371E-2</v>
          </cell>
        </row>
        <row r="55">
          <cell r="A55" t="str">
            <v>Women &amp; Children's Hospital</v>
          </cell>
          <cell r="B55" t="str">
            <v>Lake Charles</v>
          </cell>
          <cell r="C55" t="str">
            <v>Louisiana</v>
          </cell>
          <cell r="D55">
            <v>88</v>
          </cell>
          <cell r="E55" t="str">
            <v>July, 2007</v>
          </cell>
          <cell r="F55" t="str">
            <v>Owned</v>
          </cell>
          <cell r="G55">
            <v>4.4681391216044681E-3</v>
          </cell>
          <cell r="H55">
            <v>1.5587712617415588E-2</v>
          </cell>
          <cell r="J55" t="str">
            <v>Missouri</v>
          </cell>
          <cell r="K55">
            <v>1.0967250571210967E-2</v>
          </cell>
        </row>
        <row r="56">
          <cell r="A56" t="str">
            <v>Wesley Medical Center</v>
          </cell>
          <cell r="B56" t="str">
            <v>Hattiesburg</v>
          </cell>
          <cell r="C56" t="str">
            <v>Mississippi</v>
          </cell>
          <cell r="D56">
            <v>211</v>
          </cell>
          <cell r="E56" t="str">
            <v>July, 2007</v>
          </cell>
          <cell r="F56" t="str">
            <v>Owned</v>
          </cell>
          <cell r="G56">
            <v>1.0713379030210713E-2</v>
          </cell>
          <cell r="H56">
            <v>2.8027418126428026E-2</v>
          </cell>
          <cell r="J56" t="str">
            <v>Kentucky</v>
          </cell>
          <cell r="K56">
            <v>1.0916476263010916E-2</v>
          </cell>
        </row>
        <row r="57">
          <cell r="A57" t="str">
            <v>River Region Health System</v>
          </cell>
          <cell r="B57" t="str">
            <v>Vicksburg</v>
          </cell>
          <cell r="C57" t="str">
            <v>Mississippi</v>
          </cell>
          <cell r="D57">
            <v>341</v>
          </cell>
          <cell r="E57" t="str">
            <v>July, 2007</v>
          </cell>
          <cell r="F57" t="str">
            <v>Owned</v>
          </cell>
          <cell r="G57">
            <v>1.7314039096217315E-2</v>
          </cell>
          <cell r="H57">
            <v>2.8027418126428026E-2</v>
          </cell>
          <cell r="J57" t="str">
            <v>California</v>
          </cell>
          <cell r="K57">
            <v>1.0611830413810613E-2</v>
          </cell>
        </row>
        <row r="58">
          <cell r="A58" t="str">
            <v>Moberly Regional Medical Center</v>
          </cell>
          <cell r="B58" t="str">
            <v>Moberly</v>
          </cell>
          <cell r="C58" t="str">
            <v>Missouri</v>
          </cell>
          <cell r="D58">
            <v>101</v>
          </cell>
          <cell r="E58" t="str">
            <v>November, 1993</v>
          </cell>
          <cell r="F58" t="str">
            <v>Owned</v>
          </cell>
          <cell r="G58">
            <v>5.1282051282051282E-3</v>
          </cell>
          <cell r="H58">
            <v>1.0967250571210967E-2</v>
          </cell>
          <cell r="J58" t="str">
            <v>New Jersey</v>
          </cell>
          <cell r="K58">
            <v>7.1084031480071084E-3</v>
          </cell>
        </row>
        <row r="59">
          <cell r="A59" t="str">
            <v>Northeast Regional Medical Center</v>
          </cell>
          <cell r="B59" t="str">
            <v>Kirksville</v>
          </cell>
          <cell r="C59" t="str">
            <v>Missouri</v>
          </cell>
          <cell r="D59">
            <v>115</v>
          </cell>
          <cell r="E59" t="str">
            <v>December, 2000</v>
          </cell>
          <cell r="F59" t="str">
            <v>Leased</v>
          </cell>
          <cell r="G59">
            <v>5.8390454430058388E-3</v>
          </cell>
          <cell r="H59">
            <v>1.0967250571210967E-2</v>
          </cell>
          <cell r="J59" t="str">
            <v>Oregon</v>
          </cell>
          <cell r="K59">
            <v>5.7374968266057378E-3</v>
          </cell>
        </row>
        <row r="60">
          <cell r="A60" t="str">
            <v>Mesa View Regional Hospital</v>
          </cell>
          <cell r="B60" t="str">
            <v>Mesquite</v>
          </cell>
          <cell r="C60" t="str">
            <v>Nevada</v>
          </cell>
          <cell r="D60">
            <v>25</v>
          </cell>
          <cell r="E60" t="str">
            <v>July, 2007</v>
          </cell>
          <cell r="F60" t="str">
            <v>Owned</v>
          </cell>
          <cell r="G60">
            <v>1.2693577050012694E-3</v>
          </cell>
          <cell r="H60">
            <v>1.2693577050012694E-3</v>
          </cell>
          <cell r="J60" t="str">
            <v>Alaska</v>
          </cell>
          <cell r="K60">
            <v>3.7572988068037571E-3</v>
          </cell>
        </row>
        <row r="61">
          <cell r="A61" t="str">
            <v>Memorial Hospital of Salem County</v>
          </cell>
          <cell r="B61" t="str">
            <v>Salem</v>
          </cell>
          <cell r="C61" t="str">
            <v>New Jersey</v>
          </cell>
          <cell r="D61">
            <v>140</v>
          </cell>
          <cell r="E61" t="str">
            <v>September, 2002</v>
          </cell>
          <cell r="F61" t="str">
            <v>Owned</v>
          </cell>
          <cell r="G61">
            <v>7.1084031480071084E-3</v>
          </cell>
          <cell r="H61">
            <v>7.1084031480071084E-3</v>
          </cell>
          <cell r="J61" t="str">
            <v>North Carolina</v>
          </cell>
          <cell r="K61">
            <v>2.4879411018024879E-3</v>
          </cell>
        </row>
        <row r="62">
          <cell r="A62" t="str">
            <v>Mimbres Memorial Hospital</v>
          </cell>
          <cell r="B62" t="str">
            <v>Deming</v>
          </cell>
          <cell r="C62" t="str">
            <v>New Mexico</v>
          </cell>
          <cell r="D62">
            <v>49</v>
          </cell>
          <cell r="E62" t="str">
            <v>March, 1996</v>
          </cell>
          <cell r="F62" t="str">
            <v>Owned</v>
          </cell>
          <cell r="G62">
            <v>2.4879411018024879E-3</v>
          </cell>
          <cell r="H62">
            <v>3.8029956841838027E-2</v>
          </cell>
          <cell r="J62" t="str">
            <v>Utah</v>
          </cell>
          <cell r="K62">
            <v>2.2340695608022341E-3</v>
          </cell>
        </row>
        <row r="63">
          <cell r="A63" t="str">
            <v>Eastern New Mexico Medical Center</v>
          </cell>
          <cell r="B63" t="str">
            <v>Roswell</v>
          </cell>
          <cell r="C63" t="str">
            <v>New Mexico</v>
          </cell>
          <cell r="D63">
            <v>162</v>
          </cell>
          <cell r="E63" t="str">
            <v>April, 1998</v>
          </cell>
          <cell r="F63" t="str">
            <v>Owned</v>
          </cell>
          <cell r="G63">
            <v>8.2254379284082257E-3</v>
          </cell>
          <cell r="H63">
            <v>3.8029956841838027E-2</v>
          </cell>
          <cell r="J63" t="str">
            <v>Wyoming</v>
          </cell>
          <cell r="K63">
            <v>2.1325209444021326E-3</v>
          </cell>
        </row>
        <row r="64">
          <cell r="A64" t="str">
            <v>Alta Vista Regional Hospital</v>
          </cell>
          <cell r="B64" t="str">
            <v>Las Vegas</v>
          </cell>
          <cell r="C64" t="str">
            <v>New Mexico</v>
          </cell>
          <cell r="D64">
            <v>54</v>
          </cell>
          <cell r="E64" t="str">
            <v>April, 2000</v>
          </cell>
          <cell r="F64" t="str">
            <v>Owned</v>
          </cell>
          <cell r="G64">
            <v>2.7418126428027417E-3</v>
          </cell>
          <cell r="H64">
            <v>3.8029956841838027E-2</v>
          </cell>
          <cell r="J64" t="str">
            <v>Nevada</v>
          </cell>
          <cell r="K64">
            <v>1.2693577050012694E-3</v>
          </cell>
        </row>
        <row r="65">
          <cell r="A65" t="str">
            <v>Carlsbad Medical Center</v>
          </cell>
          <cell r="B65" t="str">
            <v>Carlsbad</v>
          </cell>
          <cell r="C65" t="str">
            <v>New Mexico</v>
          </cell>
          <cell r="D65">
            <v>115</v>
          </cell>
          <cell r="E65" t="str">
            <v>July, 2007</v>
          </cell>
          <cell r="F65" t="str">
            <v>Owned</v>
          </cell>
          <cell r="G65">
            <v>5.8390454430058388E-3</v>
          </cell>
          <cell r="H65">
            <v>3.8029956841838027E-2</v>
          </cell>
          <cell r="K65">
            <v>0.99999999999999989</v>
          </cell>
        </row>
        <row r="66">
          <cell r="A66" t="str">
            <v>Lea Regional Medical Center</v>
          </cell>
          <cell r="B66" t="str">
            <v>Hobbs</v>
          </cell>
          <cell r="C66" t="str">
            <v>New Mexico</v>
          </cell>
          <cell r="D66">
            <v>201</v>
          </cell>
          <cell r="E66" t="str">
            <v>July, 2007</v>
          </cell>
          <cell r="F66" t="str">
            <v>Owned</v>
          </cell>
          <cell r="G66">
            <v>1.0205635948210206E-2</v>
          </cell>
          <cell r="H66">
            <v>3.8029956841838027E-2</v>
          </cell>
        </row>
        <row r="67">
          <cell r="A67" t="str">
            <v>Mountain View Regional Medical Center</v>
          </cell>
          <cell r="B67" t="str">
            <v>Las Cruces</v>
          </cell>
          <cell r="C67" t="str">
            <v>New Mexico</v>
          </cell>
          <cell r="D67">
            <v>168</v>
          </cell>
          <cell r="E67" t="str">
            <v>July, 2007</v>
          </cell>
          <cell r="F67" t="str">
            <v>Owned</v>
          </cell>
          <cell r="G67">
            <v>8.5300837776085305E-3</v>
          </cell>
          <cell r="H67">
            <v>3.8029956841838027E-2</v>
          </cell>
        </row>
        <row r="68">
          <cell r="A68" t="str">
            <v>Martin General Hospital</v>
          </cell>
          <cell r="B68" t="str">
            <v>Williamston</v>
          </cell>
          <cell r="C68" t="str">
            <v>North Carolina</v>
          </cell>
          <cell r="D68">
            <v>49</v>
          </cell>
          <cell r="E68" t="str">
            <v>November, 1998</v>
          </cell>
          <cell r="F68" t="str">
            <v>Leased</v>
          </cell>
          <cell r="G68">
            <v>2.4879411018024879E-3</v>
          </cell>
          <cell r="H68">
            <v>2.4879411018024879E-3</v>
          </cell>
        </row>
        <row r="69">
          <cell r="A69" t="str">
            <v>Affinity Medical Center</v>
          </cell>
          <cell r="B69" t="str">
            <v>Massillon</v>
          </cell>
          <cell r="C69" t="str">
            <v>Ohio</v>
          </cell>
          <cell r="D69">
            <v>266</v>
          </cell>
          <cell r="E69" t="str">
            <v>July, 2007</v>
          </cell>
          <cell r="F69" t="str">
            <v>Owned</v>
          </cell>
          <cell r="G69">
            <v>1.3505965981213506E-2</v>
          </cell>
          <cell r="H69">
            <v>5.0825082508250824E-2</v>
          </cell>
        </row>
        <row r="70">
          <cell r="A70" t="str">
            <v>Northside Medical Center</v>
          </cell>
          <cell r="B70" t="str">
            <v>Youngstown</v>
          </cell>
          <cell r="C70" t="str">
            <v>Ohio</v>
          </cell>
          <cell r="D70">
            <v>355</v>
          </cell>
          <cell r="E70" t="str">
            <v>October, 2010</v>
          </cell>
          <cell r="F70" t="str">
            <v>Owned</v>
          </cell>
          <cell r="G70">
            <v>1.8024879411018026E-2</v>
          </cell>
          <cell r="H70">
            <v>5.0825082508250824E-2</v>
          </cell>
        </row>
        <row r="71">
          <cell r="A71" t="str">
            <v>Trumbull Memorial Hospital</v>
          </cell>
          <cell r="B71" t="str">
            <v>Warren</v>
          </cell>
          <cell r="C71" t="str">
            <v>Ohio</v>
          </cell>
          <cell r="D71">
            <v>311</v>
          </cell>
          <cell r="E71" t="str">
            <v>October, 2010</v>
          </cell>
          <cell r="F71" t="str">
            <v>Owned</v>
          </cell>
          <cell r="G71">
            <v>1.579080985021579E-2</v>
          </cell>
          <cell r="H71">
            <v>5.0825082508250824E-2</v>
          </cell>
        </row>
        <row r="72">
          <cell r="A72" t="str">
            <v>Hillside Rehabilitation Hospital (rehabilitation)</v>
          </cell>
          <cell r="B72" t="str">
            <v>Warren</v>
          </cell>
          <cell r="C72" t="str">
            <v>Ohio</v>
          </cell>
          <cell r="D72">
            <v>69</v>
          </cell>
          <cell r="E72" t="str">
            <v>October, 2010</v>
          </cell>
          <cell r="F72" t="str">
            <v>Owned</v>
          </cell>
          <cell r="G72">
            <v>3.5034272658035033E-3</v>
          </cell>
          <cell r="H72">
            <v>5.0825082508250824E-2</v>
          </cell>
        </row>
        <row r="73">
          <cell r="A73" t="str">
            <v>Ponca City Medical Center</v>
          </cell>
          <cell r="B73" t="str">
            <v>Ponca City</v>
          </cell>
          <cell r="C73" t="str">
            <v>Oklahoma</v>
          </cell>
          <cell r="D73">
            <v>140</v>
          </cell>
          <cell r="E73" t="str">
            <v>May, 2006</v>
          </cell>
          <cell r="F73" t="str">
            <v>Owned</v>
          </cell>
          <cell r="G73">
            <v>7.1084031480071084E-3</v>
          </cell>
          <cell r="H73">
            <v>2.6301091647626302E-2</v>
          </cell>
        </row>
        <row r="74">
          <cell r="A74" t="str">
            <v>Deaconess Hospital</v>
          </cell>
          <cell r="B74" t="str">
            <v>Oklahoma City</v>
          </cell>
          <cell r="C74" t="str">
            <v>Oklahoma</v>
          </cell>
          <cell r="D74">
            <v>291</v>
          </cell>
          <cell r="E74" t="str">
            <v>July, 2007</v>
          </cell>
          <cell r="F74" t="str">
            <v>Owned</v>
          </cell>
          <cell r="G74">
            <v>1.4775323686214776E-2</v>
          </cell>
          <cell r="H74">
            <v>2.6301091647626302E-2</v>
          </cell>
        </row>
        <row r="75">
          <cell r="A75" t="str">
            <v>Woodward Regional Hospital</v>
          </cell>
          <cell r="B75" t="str">
            <v>Woodward</v>
          </cell>
          <cell r="C75" t="str">
            <v>Oklahoma</v>
          </cell>
          <cell r="D75">
            <v>87</v>
          </cell>
          <cell r="E75" t="str">
            <v>July, 2007</v>
          </cell>
          <cell r="F75" t="str">
            <v>Leased</v>
          </cell>
          <cell r="G75">
            <v>4.4173648134044176E-3</v>
          </cell>
          <cell r="H75">
            <v>2.6301091647626302E-2</v>
          </cell>
        </row>
        <row r="76">
          <cell r="A76" t="str">
            <v>McKenzie-Willamette Medical Center</v>
          </cell>
          <cell r="B76" t="str">
            <v>Springfield</v>
          </cell>
          <cell r="C76" t="str">
            <v>Oregon</v>
          </cell>
          <cell r="D76">
            <v>113</v>
          </cell>
          <cell r="E76" t="str">
            <v>July, 2007</v>
          </cell>
          <cell r="F76" t="str">
            <v>Owned</v>
          </cell>
          <cell r="G76">
            <v>5.7374968266057378E-3</v>
          </cell>
          <cell r="H76">
            <v>5.7374968266057378E-3</v>
          </cell>
        </row>
        <row r="77">
          <cell r="A77" t="str">
            <v>Berwick Hospital</v>
          </cell>
          <cell r="B77" t="str">
            <v>Berwick</v>
          </cell>
          <cell r="C77" t="str">
            <v>Pennsylvania</v>
          </cell>
          <cell r="D77">
            <v>101</v>
          </cell>
          <cell r="E77" t="str">
            <v>March, 1999</v>
          </cell>
          <cell r="F77" t="str">
            <v>Owned</v>
          </cell>
          <cell r="G77">
            <v>5.1282051282051282E-3</v>
          </cell>
          <cell r="H77">
            <v>0.11175425234831175</v>
          </cell>
        </row>
        <row r="78">
          <cell r="A78" t="str">
            <v>Brandywine Hospital</v>
          </cell>
          <cell r="B78" t="str">
            <v>Coatesville</v>
          </cell>
          <cell r="C78" t="str">
            <v>Pennsylvania</v>
          </cell>
          <cell r="D78">
            <v>236</v>
          </cell>
          <cell r="E78" t="str">
            <v>June, 2001</v>
          </cell>
          <cell r="F78" t="str">
            <v>Owned</v>
          </cell>
          <cell r="G78">
            <v>1.1982736735211982E-2</v>
          </cell>
          <cell r="H78">
            <v>0.11175425234831175</v>
          </cell>
        </row>
        <row r="79">
          <cell r="A79" t="str">
            <v>Jennersville Regional Hospital</v>
          </cell>
          <cell r="B79" t="str">
            <v>West Grove</v>
          </cell>
          <cell r="C79" t="str">
            <v>Pennsylvania</v>
          </cell>
          <cell r="D79">
            <v>59</v>
          </cell>
          <cell r="E79" t="str">
            <v>October, 2001</v>
          </cell>
          <cell r="F79" t="str">
            <v>Owned</v>
          </cell>
          <cell r="G79">
            <v>2.9956841838029956E-3</v>
          </cell>
          <cell r="H79">
            <v>0.11175425234831175</v>
          </cell>
        </row>
        <row r="80">
          <cell r="A80" t="str">
            <v>Easton Hospital</v>
          </cell>
          <cell r="B80" t="str">
            <v>Easton</v>
          </cell>
          <cell r="C80" t="str">
            <v>Pennsylvania</v>
          </cell>
          <cell r="D80">
            <v>254</v>
          </cell>
          <cell r="E80" t="str">
            <v>October, 2001</v>
          </cell>
          <cell r="F80" t="str">
            <v>Owned</v>
          </cell>
          <cell r="G80">
            <v>1.2896674282812897E-2</v>
          </cell>
          <cell r="H80">
            <v>0.11175425234831175</v>
          </cell>
        </row>
        <row r="81">
          <cell r="A81" t="str">
            <v>Lock Haven Hospital</v>
          </cell>
          <cell r="B81" t="str">
            <v>Lock Haven</v>
          </cell>
          <cell r="C81" t="str">
            <v>Pennsylvania</v>
          </cell>
          <cell r="D81">
            <v>47</v>
          </cell>
          <cell r="E81" t="str">
            <v>August, 2002</v>
          </cell>
          <cell r="F81" t="str">
            <v>Owned</v>
          </cell>
          <cell r="G81">
            <v>2.3863924854023865E-3</v>
          </cell>
          <cell r="H81">
            <v>0.11175425234831175</v>
          </cell>
        </row>
        <row r="82">
          <cell r="A82" t="str">
            <v>Pottstown Memorial Medical Center</v>
          </cell>
          <cell r="B82" t="str">
            <v>Pottstown</v>
          </cell>
          <cell r="C82" t="str">
            <v>Pennsylvania</v>
          </cell>
          <cell r="D82">
            <v>226</v>
          </cell>
          <cell r="E82" t="str">
            <v>July, 2003</v>
          </cell>
          <cell r="F82" t="str">
            <v>Owned</v>
          </cell>
          <cell r="G82">
            <v>1.1474993653211476E-2</v>
          </cell>
          <cell r="H82">
            <v>0.11175425234831175</v>
          </cell>
        </row>
        <row r="83">
          <cell r="A83" t="str">
            <v>Phoenixville Hospital</v>
          </cell>
          <cell r="B83" t="str">
            <v>Phoenixville</v>
          </cell>
          <cell r="C83" t="str">
            <v>Pennsylvania</v>
          </cell>
          <cell r="D83">
            <v>137</v>
          </cell>
          <cell r="E83" t="str">
            <v>August, 2004</v>
          </cell>
          <cell r="F83" t="str">
            <v>Owned</v>
          </cell>
          <cell r="G83">
            <v>6.956080223406956E-3</v>
          </cell>
          <cell r="H83">
            <v>0.11175425234831175</v>
          </cell>
        </row>
        <row r="84">
          <cell r="A84" t="str">
            <v>Chestnut Hill Hospital</v>
          </cell>
          <cell r="B84" t="str">
            <v>Philadelphia</v>
          </cell>
          <cell r="C84" t="str">
            <v>Pennsylvania</v>
          </cell>
          <cell r="D84">
            <v>160</v>
          </cell>
          <cell r="E84" t="str">
            <v>February, 2005</v>
          </cell>
          <cell r="F84" t="str">
            <v>Owned</v>
          </cell>
          <cell r="G84">
            <v>8.1238893120081247E-3</v>
          </cell>
          <cell r="H84">
            <v>0.11175425234831175</v>
          </cell>
        </row>
        <row r="85">
          <cell r="A85" t="str">
            <v>Sunbury Community Hospital</v>
          </cell>
          <cell r="B85" t="str">
            <v>Sunbury</v>
          </cell>
          <cell r="C85" t="str">
            <v>Pennsylvania</v>
          </cell>
          <cell r="D85">
            <v>89</v>
          </cell>
          <cell r="E85" t="str">
            <v>October, 2005</v>
          </cell>
          <cell r="F85" t="str">
            <v>Owned</v>
          </cell>
          <cell r="G85">
            <v>4.5189134298045186E-3</v>
          </cell>
          <cell r="H85">
            <v>0.11175425234831175</v>
          </cell>
        </row>
        <row r="86">
          <cell r="A86" t="str">
            <v>Wilkes-Barre General Hospital</v>
          </cell>
          <cell r="B86" t="str">
            <v>Wilkes-Barre</v>
          </cell>
          <cell r="C86" t="str">
            <v>Pennsylvania</v>
          </cell>
          <cell r="D86">
            <v>412</v>
          </cell>
          <cell r="E86" t="str">
            <v>April, 2009</v>
          </cell>
          <cell r="F86" t="str">
            <v>Owned</v>
          </cell>
          <cell r="G86">
            <v>2.091901497842092E-2</v>
          </cell>
          <cell r="H86">
            <v>0.11175425234831175</v>
          </cell>
        </row>
        <row r="87">
          <cell r="A87" t="str">
            <v>First Hospital Wyoming Valley (psychiatric)</v>
          </cell>
          <cell r="B87" t="str">
            <v>Wilkes-Barre</v>
          </cell>
          <cell r="C87" t="str">
            <v>Pennsylvania</v>
          </cell>
          <cell r="D87">
            <v>135</v>
          </cell>
          <cell r="E87" t="str">
            <v>April, 2009</v>
          </cell>
          <cell r="F87" t="str">
            <v>Owned</v>
          </cell>
          <cell r="G87">
            <v>6.8545316070068541E-3</v>
          </cell>
          <cell r="H87">
            <v>0.11175425234831175</v>
          </cell>
        </row>
        <row r="88">
          <cell r="A88" t="str">
            <v>Regional Hospital of Scranton</v>
          </cell>
          <cell r="B88" t="str">
            <v>Scranton</v>
          </cell>
          <cell r="C88" t="str">
            <v>Pennsylvania</v>
          </cell>
          <cell r="D88">
            <v>230</v>
          </cell>
          <cell r="E88" t="str">
            <v>May, 2011</v>
          </cell>
          <cell r="F88" t="str">
            <v>Owned</v>
          </cell>
          <cell r="G88">
            <v>1.1678090886011678E-2</v>
          </cell>
          <cell r="H88">
            <v>0.11175425234831175</v>
          </cell>
        </row>
        <row r="89">
          <cell r="A89" t="str">
            <v>Special Care Hospital</v>
          </cell>
          <cell r="B89" t="str">
            <v>Nanticoke</v>
          </cell>
          <cell r="C89" t="str">
            <v>Pennsylvania</v>
          </cell>
          <cell r="D89">
            <v>67</v>
          </cell>
          <cell r="E89" t="str">
            <v>May, 2011</v>
          </cell>
          <cell r="F89" t="str">
            <v>Leased</v>
          </cell>
          <cell r="G89">
            <v>3.4018786494034018E-3</v>
          </cell>
          <cell r="H89">
            <v>0.11175425234831175</v>
          </cell>
        </row>
        <row r="90">
          <cell r="A90" t="str">
            <v>Tyler Memorial Hospital</v>
          </cell>
          <cell r="B90" t="str">
            <v>Tunkhannock</v>
          </cell>
          <cell r="C90" t="str">
            <v>Pennsylvania</v>
          </cell>
          <cell r="D90">
            <v>48</v>
          </cell>
          <cell r="E90" t="str">
            <v>May, 2011</v>
          </cell>
          <cell r="F90" t="str">
            <v>Owned</v>
          </cell>
          <cell r="G90">
            <v>2.437166793602437E-3</v>
          </cell>
          <cell r="H90">
            <v>0.11175425234831175</v>
          </cell>
        </row>
        <row r="91">
          <cell r="A91" t="str">
            <v>Marlboro Park Hospital</v>
          </cell>
          <cell r="B91" t="str">
            <v>Bennettsville</v>
          </cell>
          <cell r="C91" t="str">
            <v>South Carolina</v>
          </cell>
          <cell r="D91">
            <v>102</v>
          </cell>
          <cell r="E91" t="str">
            <v>August, 1996</v>
          </cell>
          <cell r="F91" t="str">
            <v>Leased</v>
          </cell>
          <cell r="G91">
            <v>5.1789794364051787E-3</v>
          </cell>
          <cell r="H91">
            <v>5.8136582889058139E-2</v>
          </cell>
        </row>
        <row r="92">
          <cell r="A92" t="str">
            <v>Chesterfield General Hospital</v>
          </cell>
          <cell r="B92" t="str">
            <v>Cheraw</v>
          </cell>
          <cell r="C92" t="str">
            <v>South Carolina</v>
          </cell>
          <cell r="D92">
            <v>59</v>
          </cell>
          <cell r="E92" t="str">
            <v>August, 1996</v>
          </cell>
          <cell r="F92" t="str">
            <v>Leased</v>
          </cell>
          <cell r="G92">
            <v>2.9956841838029956E-3</v>
          </cell>
          <cell r="H92">
            <v>5.8136582889058139E-2</v>
          </cell>
        </row>
        <row r="93">
          <cell r="A93" t="str">
            <v>Springs Memorial Hospital</v>
          </cell>
          <cell r="B93" t="str">
            <v>Lancaster</v>
          </cell>
          <cell r="C93" t="str">
            <v>South Carolina</v>
          </cell>
          <cell r="D93">
            <v>231</v>
          </cell>
          <cell r="E93" t="str">
            <v>November, 1994</v>
          </cell>
          <cell r="F93" t="str">
            <v>Owned</v>
          </cell>
          <cell r="G93">
            <v>1.1728865194211728E-2</v>
          </cell>
          <cell r="H93">
            <v>5.8136582889058139E-2</v>
          </cell>
        </row>
        <row r="94">
          <cell r="A94" t="str">
            <v>Carolinas Hospital System — Florence</v>
          </cell>
          <cell r="B94" t="str">
            <v>Florence</v>
          </cell>
          <cell r="C94" t="str">
            <v>South Carolina</v>
          </cell>
          <cell r="D94">
            <v>420</v>
          </cell>
          <cell r="E94" t="str">
            <v>July, 2007</v>
          </cell>
          <cell r="F94" t="str">
            <v>Owned</v>
          </cell>
          <cell r="G94">
            <v>2.1325209444021324E-2</v>
          </cell>
          <cell r="H94">
            <v>5.8136582889058139E-2</v>
          </cell>
        </row>
        <row r="95">
          <cell r="A95" t="str">
            <v>Mary Black Memorial Hospital</v>
          </cell>
          <cell r="B95" t="str">
            <v>Spartanburg</v>
          </cell>
          <cell r="C95" t="str">
            <v>South Carolina</v>
          </cell>
          <cell r="D95">
            <v>209</v>
          </cell>
          <cell r="E95" t="str">
            <v>July, 2007</v>
          </cell>
          <cell r="F95" t="str">
            <v>Owned</v>
          </cell>
          <cell r="G95">
            <v>1.0611830413810612E-2</v>
          </cell>
          <cell r="H95">
            <v>5.8136582889058139E-2</v>
          </cell>
        </row>
        <row r="96">
          <cell r="A96" t="str">
            <v>Marion Regional Hospital</v>
          </cell>
          <cell r="B96" t="str">
            <v>Mullins</v>
          </cell>
          <cell r="C96" t="str">
            <v>South Carolina</v>
          </cell>
          <cell r="D96">
            <v>124</v>
          </cell>
          <cell r="E96" t="str">
            <v>July, 2010</v>
          </cell>
          <cell r="F96" t="str">
            <v>Owned</v>
          </cell>
          <cell r="G96">
            <v>6.296014216806296E-3</v>
          </cell>
          <cell r="H96">
            <v>5.8136582889058139E-2</v>
          </cell>
        </row>
        <row r="97">
          <cell r="A97" t="str">
            <v>Lakeway Regional Hospital</v>
          </cell>
          <cell r="B97" t="str">
            <v>Morristown</v>
          </cell>
          <cell r="C97" t="str">
            <v>Tennessee</v>
          </cell>
          <cell r="D97">
            <v>135</v>
          </cell>
          <cell r="E97" t="str">
            <v>May, 1993</v>
          </cell>
          <cell r="F97" t="str">
            <v>Owned</v>
          </cell>
          <cell r="G97">
            <v>6.8545316070068541E-3</v>
          </cell>
          <cell r="H97">
            <v>7.5653719218075649E-2</v>
          </cell>
        </row>
        <row r="98">
          <cell r="A98" t="str">
            <v>Regional Hospital of Jackson</v>
          </cell>
          <cell r="B98" t="str">
            <v>Jackson</v>
          </cell>
          <cell r="C98" t="str">
            <v>Tennessee</v>
          </cell>
          <cell r="D98">
            <v>152</v>
          </cell>
          <cell r="E98" t="str">
            <v>January, 2003</v>
          </cell>
          <cell r="F98" t="str">
            <v>Owned</v>
          </cell>
          <cell r="G98">
            <v>7.717694846407718E-3</v>
          </cell>
          <cell r="H98">
            <v>7.5653719218075649E-2</v>
          </cell>
        </row>
        <row r="99">
          <cell r="A99" t="str">
            <v>Dyersburg Regional Medical Center</v>
          </cell>
          <cell r="B99" t="str">
            <v>Dyersburg</v>
          </cell>
          <cell r="C99" t="str">
            <v>Tennessee</v>
          </cell>
          <cell r="D99">
            <v>225</v>
          </cell>
          <cell r="E99" t="str">
            <v>January, 2003</v>
          </cell>
          <cell r="F99" t="str">
            <v>Owned</v>
          </cell>
          <cell r="G99">
            <v>1.1424219345011425E-2</v>
          </cell>
          <cell r="H99">
            <v>7.5653719218075649E-2</v>
          </cell>
        </row>
        <row r="100">
          <cell r="A100" t="str">
            <v>Haywood Park Community Hospital</v>
          </cell>
          <cell r="B100" t="str">
            <v>Brownsville</v>
          </cell>
          <cell r="C100" t="str">
            <v>Tennessee</v>
          </cell>
          <cell r="D100">
            <v>62</v>
          </cell>
          <cell r="E100" t="str">
            <v>January, 2003</v>
          </cell>
          <cell r="F100" t="str">
            <v>Owned</v>
          </cell>
          <cell r="G100">
            <v>3.148007108403148E-3</v>
          </cell>
          <cell r="H100">
            <v>7.5653719218075649E-2</v>
          </cell>
        </row>
        <row r="101">
          <cell r="A101" t="str">
            <v>Henderson County Community Hospital</v>
          </cell>
          <cell r="B101" t="str">
            <v>Lexington</v>
          </cell>
          <cell r="C101" t="str">
            <v>Tennessee</v>
          </cell>
          <cell r="D101">
            <v>45</v>
          </cell>
          <cell r="E101" t="str">
            <v>January, 2003</v>
          </cell>
          <cell r="F101" t="str">
            <v>Owned</v>
          </cell>
          <cell r="G101">
            <v>2.284843869002285E-3</v>
          </cell>
          <cell r="H101">
            <v>7.5653719218075649E-2</v>
          </cell>
        </row>
        <row r="102">
          <cell r="A102" t="str">
            <v>McKenzie Regional Hospital</v>
          </cell>
          <cell r="B102" t="str">
            <v>McKenzie</v>
          </cell>
          <cell r="C102" t="str">
            <v>Tennessee</v>
          </cell>
          <cell r="D102">
            <v>45</v>
          </cell>
          <cell r="E102" t="str">
            <v>January, 2003</v>
          </cell>
          <cell r="F102" t="str">
            <v>Owned</v>
          </cell>
          <cell r="G102">
            <v>2.284843869002285E-3</v>
          </cell>
          <cell r="H102">
            <v>7.5653719218075649E-2</v>
          </cell>
        </row>
        <row r="103">
          <cell r="A103" t="str">
            <v>McNairy Regional Hospital</v>
          </cell>
          <cell r="B103" t="str">
            <v>Selmer</v>
          </cell>
          <cell r="C103" t="str">
            <v>Tennessee</v>
          </cell>
          <cell r="D103">
            <v>45</v>
          </cell>
          <cell r="E103" t="str">
            <v>January, 2003</v>
          </cell>
          <cell r="F103" t="str">
            <v>Owned</v>
          </cell>
          <cell r="G103">
            <v>2.284843869002285E-3</v>
          </cell>
          <cell r="H103">
            <v>7.5653719218075649E-2</v>
          </cell>
        </row>
        <row r="104">
          <cell r="A104" t="str">
            <v>Volunteer Community Hospital</v>
          </cell>
          <cell r="B104" t="str">
            <v>Martin</v>
          </cell>
          <cell r="C104" t="str">
            <v>Tennessee</v>
          </cell>
          <cell r="D104">
            <v>100</v>
          </cell>
          <cell r="E104" t="str">
            <v>January, 2003</v>
          </cell>
          <cell r="F104" t="str">
            <v>Owned</v>
          </cell>
          <cell r="G104">
            <v>5.0774308200050777E-3</v>
          </cell>
          <cell r="H104">
            <v>7.5653719218075649E-2</v>
          </cell>
        </row>
        <row r="105">
          <cell r="A105" t="str">
            <v>Heritage Medical Center</v>
          </cell>
          <cell r="B105" t="str">
            <v>Shelbyville</v>
          </cell>
          <cell r="C105" t="str">
            <v>Tennessee</v>
          </cell>
          <cell r="D105">
            <v>60</v>
          </cell>
          <cell r="E105" t="str">
            <v>July, 2005</v>
          </cell>
          <cell r="F105" t="str">
            <v>Owned</v>
          </cell>
          <cell r="G105">
            <v>3.0464584920030465E-3</v>
          </cell>
          <cell r="H105">
            <v>7.5653719218075649E-2</v>
          </cell>
        </row>
        <row r="106">
          <cell r="A106" t="str">
            <v>Sky Ridge Medical Center</v>
          </cell>
          <cell r="B106" t="str">
            <v>Cleveland</v>
          </cell>
          <cell r="C106" t="str">
            <v>Tennessee</v>
          </cell>
          <cell r="D106">
            <v>351</v>
          </cell>
          <cell r="E106" t="str">
            <v>October, 2005</v>
          </cell>
          <cell r="F106" t="str">
            <v>Owned</v>
          </cell>
          <cell r="G106">
            <v>1.782178217821782E-2</v>
          </cell>
          <cell r="H106">
            <v>7.5653719218075649E-2</v>
          </cell>
        </row>
        <row r="107">
          <cell r="A107" t="str">
            <v>Gateway Medical Center</v>
          </cell>
          <cell r="B107" t="str">
            <v>Clarksville</v>
          </cell>
          <cell r="C107" t="str">
            <v>Tennessee</v>
          </cell>
          <cell r="D107">
            <v>270</v>
          </cell>
          <cell r="E107" t="str">
            <v>July, 2007</v>
          </cell>
          <cell r="F107" t="str">
            <v>Owned</v>
          </cell>
          <cell r="G107">
            <v>1.3709063214013708E-2</v>
          </cell>
          <cell r="H107">
            <v>7.5653719218075649E-2</v>
          </cell>
        </row>
        <row r="108">
          <cell r="A108" t="str">
            <v>Big Bend Regional Medical Center</v>
          </cell>
          <cell r="B108" t="str">
            <v>Alpine</v>
          </cell>
          <cell r="C108" t="str">
            <v>Texas</v>
          </cell>
          <cell r="D108">
            <v>25</v>
          </cell>
          <cell r="E108" t="str">
            <v>October, 1999</v>
          </cell>
          <cell r="F108" t="str">
            <v>Owned</v>
          </cell>
          <cell r="G108">
            <v>1.2693577050012694E-3</v>
          </cell>
          <cell r="H108">
            <v>0.1416095455699416</v>
          </cell>
        </row>
        <row r="109">
          <cell r="A109" t="str">
            <v>Scenic Mountain Medical Center</v>
          </cell>
          <cell r="B109" t="str">
            <v>Big Spring</v>
          </cell>
          <cell r="C109" t="str">
            <v>Texas</v>
          </cell>
          <cell r="D109">
            <v>150</v>
          </cell>
          <cell r="E109" t="str">
            <v>October, 1994</v>
          </cell>
          <cell r="F109" t="str">
            <v>Owned</v>
          </cell>
          <cell r="G109">
            <v>7.6161462300076161E-3</v>
          </cell>
          <cell r="H109">
            <v>0.1416095455699416</v>
          </cell>
        </row>
        <row r="110">
          <cell r="A110" t="str">
            <v>Hill Regional Hospital</v>
          </cell>
          <cell r="B110" t="str">
            <v>Hillsboro</v>
          </cell>
          <cell r="C110" t="str">
            <v>Texas</v>
          </cell>
          <cell r="D110">
            <v>92</v>
          </cell>
          <cell r="E110" t="str">
            <v>October, 1994</v>
          </cell>
          <cell r="F110" t="str">
            <v>Leased</v>
          </cell>
          <cell r="G110">
            <v>4.671236354404671E-3</v>
          </cell>
          <cell r="H110">
            <v>0.1416095455699416</v>
          </cell>
        </row>
        <row r="111">
          <cell r="A111" t="str">
            <v>Lake Granbury Medical Center</v>
          </cell>
          <cell r="B111" t="str">
            <v>Granbury</v>
          </cell>
          <cell r="C111" t="str">
            <v>Texas</v>
          </cell>
          <cell r="D111">
            <v>83</v>
          </cell>
          <cell r="E111" t="str">
            <v>January, 1997</v>
          </cell>
          <cell r="F111" t="str">
            <v>Leased</v>
          </cell>
          <cell r="G111">
            <v>4.2142675806042139E-3</v>
          </cell>
          <cell r="H111">
            <v>0.1416095455699416</v>
          </cell>
        </row>
        <row r="112">
          <cell r="A112" t="str">
            <v>South Texas Regional Medical Center</v>
          </cell>
          <cell r="B112" t="str">
            <v>Jourdanton</v>
          </cell>
          <cell r="C112" t="str">
            <v>Texas</v>
          </cell>
          <cell r="D112">
            <v>67</v>
          </cell>
          <cell r="E112" t="str">
            <v>November, 2001</v>
          </cell>
          <cell r="F112" t="str">
            <v>Owned</v>
          </cell>
          <cell r="G112">
            <v>3.4018786494034018E-3</v>
          </cell>
          <cell r="H112">
            <v>0.1416095455699416</v>
          </cell>
        </row>
        <row r="113">
          <cell r="A113" t="str">
            <v>Laredo Medical Center</v>
          </cell>
          <cell r="B113" t="str">
            <v>Laredo</v>
          </cell>
          <cell r="C113" t="str">
            <v>Texas</v>
          </cell>
          <cell r="D113">
            <v>326</v>
          </cell>
          <cell r="E113" t="str">
            <v>October, 2003</v>
          </cell>
          <cell r="F113" t="str">
            <v>Owned</v>
          </cell>
          <cell r="G113">
            <v>1.6552424473216552E-2</v>
          </cell>
          <cell r="H113">
            <v>0.1416095455699416</v>
          </cell>
        </row>
        <row r="114">
          <cell r="A114" t="str">
            <v>Weatherford Regional Medical Center</v>
          </cell>
          <cell r="B114" t="str">
            <v>Weatherford</v>
          </cell>
          <cell r="C114" t="str">
            <v>Texas</v>
          </cell>
          <cell r="D114">
            <v>99</v>
          </cell>
          <cell r="E114" t="str">
            <v>November, 2006</v>
          </cell>
          <cell r="F114" t="str">
            <v>Leased</v>
          </cell>
          <cell r="G114">
            <v>5.0266565118050263E-3</v>
          </cell>
          <cell r="H114">
            <v>0.1416095455699416</v>
          </cell>
        </row>
        <row r="115">
          <cell r="A115" t="str">
            <v>Abilene Regional Medical Center</v>
          </cell>
          <cell r="B115" t="str">
            <v>Abilene</v>
          </cell>
          <cell r="C115" t="str">
            <v>Texas</v>
          </cell>
          <cell r="D115">
            <v>231</v>
          </cell>
          <cell r="E115" t="str">
            <v>July, 2007</v>
          </cell>
          <cell r="F115" t="str">
            <v>Owned</v>
          </cell>
          <cell r="G115">
            <v>1.1728865194211728E-2</v>
          </cell>
          <cell r="H115">
            <v>0.1416095455699416</v>
          </cell>
        </row>
        <row r="116">
          <cell r="A116" t="str">
            <v>Brownwood Regional Medical Center</v>
          </cell>
          <cell r="B116" t="str">
            <v>Brownwood</v>
          </cell>
          <cell r="C116" t="str">
            <v>Texas</v>
          </cell>
          <cell r="D116">
            <v>194</v>
          </cell>
          <cell r="E116" t="str">
            <v>July, 2007</v>
          </cell>
          <cell r="F116" t="str">
            <v>Owned</v>
          </cell>
          <cell r="G116">
            <v>9.8502157908098506E-3</v>
          </cell>
          <cell r="H116">
            <v>0.1416095455699416</v>
          </cell>
        </row>
        <row r="117">
          <cell r="A117" t="str">
            <v>College Station Medical Center</v>
          </cell>
          <cell r="B117" t="str">
            <v>College Station</v>
          </cell>
          <cell r="C117" t="str">
            <v>Texas</v>
          </cell>
          <cell r="D117">
            <v>166</v>
          </cell>
          <cell r="E117" t="str">
            <v>July, 2007</v>
          </cell>
          <cell r="F117" t="str">
            <v>Owned</v>
          </cell>
          <cell r="G117">
            <v>8.4285351612084277E-3</v>
          </cell>
          <cell r="H117">
            <v>0.1416095455699416</v>
          </cell>
        </row>
        <row r="118">
          <cell r="A118" t="str">
            <v>Navarro Regional Hospital</v>
          </cell>
          <cell r="B118" t="str">
            <v>Corsicana</v>
          </cell>
          <cell r="C118" t="str">
            <v>Texas</v>
          </cell>
          <cell r="D118">
            <v>162</v>
          </cell>
          <cell r="E118" t="str">
            <v>July, 2007</v>
          </cell>
          <cell r="F118" t="str">
            <v>Owned</v>
          </cell>
          <cell r="G118">
            <v>8.2254379284082257E-3</v>
          </cell>
          <cell r="H118">
            <v>0.1416095455699416</v>
          </cell>
        </row>
        <row r="119">
          <cell r="A119" t="str">
            <v>Longview Regional Medical Center</v>
          </cell>
          <cell r="B119" t="str">
            <v>Longview</v>
          </cell>
          <cell r="C119" t="str">
            <v>Texas</v>
          </cell>
          <cell r="D119">
            <v>131</v>
          </cell>
          <cell r="E119" t="str">
            <v>July, 2007</v>
          </cell>
          <cell r="F119" t="str">
            <v>Owned</v>
          </cell>
          <cell r="G119">
            <v>6.6514343742066512E-3</v>
          </cell>
          <cell r="H119">
            <v>0.1416095455699416</v>
          </cell>
        </row>
        <row r="120">
          <cell r="A120" t="str">
            <v>Woodland Heights Medical Center</v>
          </cell>
          <cell r="B120" t="str">
            <v>Lufkin</v>
          </cell>
          <cell r="C120" t="str">
            <v>Texas</v>
          </cell>
          <cell r="D120">
            <v>149</v>
          </cell>
          <cell r="E120" t="str">
            <v>July, 2007</v>
          </cell>
          <cell r="F120" t="str">
            <v>Owned</v>
          </cell>
          <cell r="G120">
            <v>7.5653719218075656E-3</v>
          </cell>
          <cell r="H120">
            <v>0.1416095455699416</v>
          </cell>
        </row>
        <row r="121">
          <cell r="A121" t="str">
            <v>San Angelo Community Medical Center</v>
          </cell>
          <cell r="B121" t="str">
            <v>San Angelo</v>
          </cell>
          <cell r="C121" t="str">
            <v>Texas</v>
          </cell>
          <cell r="D121">
            <v>171</v>
          </cell>
          <cell r="E121" t="str">
            <v>July, 2007</v>
          </cell>
          <cell r="F121" t="str">
            <v>Owned</v>
          </cell>
          <cell r="G121">
            <v>8.682406702208682E-3</v>
          </cell>
          <cell r="H121">
            <v>0.1416095455699416</v>
          </cell>
        </row>
        <row r="122">
          <cell r="A122" t="str">
            <v>DeTar Healthcare System</v>
          </cell>
          <cell r="B122" t="str">
            <v>Victoria</v>
          </cell>
          <cell r="C122" t="str">
            <v>Texas</v>
          </cell>
          <cell r="D122">
            <v>308</v>
          </cell>
          <cell r="E122" t="str">
            <v>July, 2007</v>
          </cell>
          <cell r="F122" t="str">
            <v>Owned</v>
          </cell>
          <cell r="G122">
            <v>1.563848692561564E-2</v>
          </cell>
          <cell r="H122">
            <v>0.1416095455699416</v>
          </cell>
        </row>
        <row r="123">
          <cell r="A123" t="str">
            <v>Cedar Park Regional Medical Center</v>
          </cell>
          <cell r="B123" t="str">
            <v>Cedar Park</v>
          </cell>
          <cell r="C123" t="str">
            <v>Texas</v>
          </cell>
          <cell r="D123">
            <v>77</v>
          </cell>
          <cell r="E123" t="str">
            <v>December, 2007</v>
          </cell>
          <cell r="F123" t="str">
            <v>Owned</v>
          </cell>
          <cell r="G123">
            <v>3.9096217314039099E-3</v>
          </cell>
          <cell r="H123">
            <v>0.1416095455699416</v>
          </cell>
        </row>
        <row r="124">
          <cell r="A124" t="str">
            <v>Tomball Regional Hospital</v>
          </cell>
          <cell r="B124" t="str">
            <v>Tomball</v>
          </cell>
          <cell r="C124" t="str">
            <v>Texas</v>
          </cell>
          <cell r="D124">
            <v>358</v>
          </cell>
          <cell r="E124" t="str">
            <v>October, 2011</v>
          </cell>
          <cell r="F124" t="str">
            <v>Owned</v>
          </cell>
          <cell r="G124">
            <v>1.8177202335618176E-2</v>
          </cell>
          <cell r="H124">
            <v>0.1416095455699416</v>
          </cell>
        </row>
        <row r="125">
          <cell r="A125" t="str">
            <v>Mountain West Medical Center</v>
          </cell>
          <cell r="B125" t="str">
            <v>Tooele</v>
          </cell>
          <cell r="C125" t="str">
            <v>Utah</v>
          </cell>
          <cell r="D125">
            <v>44</v>
          </cell>
          <cell r="E125" t="str">
            <v>October, 2000</v>
          </cell>
          <cell r="F125" t="str">
            <v>Owned</v>
          </cell>
          <cell r="G125">
            <v>2.2340695608022341E-3</v>
          </cell>
          <cell r="H125">
            <v>2.2340695608022341E-3</v>
          </cell>
        </row>
        <row r="126">
          <cell r="A126" t="str">
            <v>Southern Virginia Regional Medical Center</v>
          </cell>
          <cell r="B126" t="str">
            <v>Emporia</v>
          </cell>
          <cell r="C126" t="str">
            <v>Virginia</v>
          </cell>
          <cell r="D126">
            <v>80</v>
          </cell>
          <cell r="E126" t="str">
            <v>March, 1999</v>
          </cell>
          <cell r="F126" t="str">
            <v>Owned</v>
          </cell>
          <cell r="G126">
            <v>4.0619446560040623E-3</v>
          </cell>
          <cell r="H126">
            <v>2.4625539477024627E-2</v>
          </cell>
        </row>
        <row r="127">
          <cell r="A127" t="str">
            <v>Southampton Memorial Hospital</v>
          </cell>
          <cell r="B127" t="str">
            <v>Franklin</v>
          </cell>
          <cell r="C127" t="str">
            <v>Virginia</v>
          </cell>
          <cell r="D127">
            <v>105</v>
          </cell>
          <cell r="E127" t="str">
            <v>March, 2000</v>
          </cell>
          <cell r="F127" t="str">
            <v>Owned</v>
          </cell>
          <cell r="G127">
            <v>5.3313023610053311E-3</v>
          </cell>
          <cell r="H127">
            <v>2.4625539477024627E-2</v>
          </cell>
        </row>
        <row r="128">
          <cell r="A128" t="str">
            <v>Southside Regional Medical Center</v>
          </cell>
          <cell r="B128" t="str">
            <v>Petersburg</v>
          </cell>
          <cell r="C128" t="str">
            <v>Virginia</v>
          </cell>
          <cell r="D128">
            <v>300</v>
          </cell>
          <cell r="E128" t="str">
            <v>August, 2003</v>
          </cell>
          <cell r="F128" t="str">
            <v>Owned</v>
          </cell>
          <cell r="G128">
            <v>1.5232292460015232E-2</v>
          </cell>
          <cell r="H128">
            <v>2.4625539477024627E-2</v>
          </cell>
        </row>
        <row r="129">
          <cell r="A129" t="str">
            <v>Deaconess Medical Center</v>
          </cell>
          <cell r="B129" t="str">
            <v>Spokane</v>
          </cell>
          <cell r="C129" t="str">
            <v>Washington</v>
          </cell>
          <cell r="D129">
            <v>388</v>
          </cell>
          <cell r="E129" t="str">
            <v>October, 2008</v>
          </cell>
          <cell r="F129" t="str">
            <v>Owned</v>
          </cell>
          <cell r="G129">
            <v>1.9700431581619701E-2</v>
          </cell>
          <cell r="H129">
            <v>2.5945671490225947E-2</v>
          </cell>
        </row>
        <row r="130">
          <cell r="A130" t="str">
            <v>Valley Hospital and Medical Center</v>
          </cell>
          <cell r="B130" t="str">
            <v>Spokane Valley</v>
          </cell>
          <cell r="C130" t="str">
            <v>Washington</v>
          </cell>
          <cell r="D130">
            <v>123</v>
          </cell>
          <cell r="E130" t="str">
            <v>October, 2008</v>
          </cell>
          <cell r="F130" t="str">
            <v>Owned</v>
          </cell>
          <cell r="G130">
            <v>6.2452399086062454E-3</v>
          </cell>
          <cell r="H130">
            <v>2.5945671490225947E-2</v>
          </cell>
        </row>
        <row r="131">
          <cell r="A131" t="str">
            <v>Plateau Medical Center</v>
          </cell>
          <cell r="B131" t="str">
            <v>Oak Hill</v>
          </cell>
          <cell r="C131" t="str">
            <v>West Virginia</v>
          </cell>
          <cell r="D131">
            <v>25</v>
          </cell>
          <cell r="E131" t="str">
            <v>July, 2002</v>
          </cell>
          <cell r="F131" t="str">
            <v>Owned</v>
          </cell>
          <cell r="G131">
            <v>1.2693577050012694E-3</v>
          </cell>
          <cell r="H131">
            <v>1.9649657273419649E-2</v>
          </cell>
        </row>
        <row r="132">
          <cell r="A132" t="str">
            <v>Greenbrier Valley Medical Center</v>
          </cell>
          <cell r="B132" t="str">
            <v>Ronceverte</v>
          </cell>
          <cell r="C132" t="str">
            <v>West Virginia</v>
          </cell>
          <cell r="D132">
            <v>122</v>
          </cell>
          <cell r="E132" t="str">
            <v>July, 2007</v>
          </cell>
          <cell r="F132" t="str">
            <v>Owned</v>
          </cell>
          <cell r="G132">
            <v>6.1944656004061941E-3</v>
          </cell>
          <cell r="H132">
            <v>1.9649657273419649E-2</v>
          </cell>
        </row>
        <row r="133">
          <cell r="A133" t="str">
            <v>Bluefield Regional Medical Center</v>
          </cell>
          <cell r="B133" t="str">
            <v>Bluefield</v>
          </cell>
          <cell r="C133" t="str">
            <v>West Virginia</v>
          </cell>
          <cell r="D133">
            <v>240</v>
          </cell>
          <cell r="E133" t="str">
            <v>October, 2010</v>
          </cell>
          <cell r="F133" t="str">
            <v>Owned</v>
          </cell>
          <cell r="G133">
            <v>1.2185833968012186E-2</v>
          </cell>
          <cell r="H133">
            <v>1.9649657273419649E-2</v>
          </cell>
        </row>
        <row r="134">
          <cell r="A134" t="str">
            <v>Evanston Regional Hospital</v>
          </cell>
          <cell r="B134" t="str">
            <v>Evanston</v>
          </cell>
          <cell r="C134" t="str">
            <v>Wyoming</v>
          </cell>
          <cell r="D134">
            <v>42</v>
          </cell>
          <cell r="E134" t="str">
            <v>November, 1999</v>
          </cell>
          <cell r="F134" t="str">
            <v>Owned</v>
          </cell>
          <cell r="G134">
            <v>2.1325209444021326E-3</v>
          </cell>
          <cell r="H134">
            <v>2.1325209444021326E-3</v>
          </cell>
        </row>
        <row r="135">
          <cell r="A135" t="str">
            <v>Total</v>
          </cell>
          <cell r="D135">
            <v>19695</v>
          </cell>
          <cell r="G135">
            <v>1.0000000000000002</v>
          </cell>
        </row>
      </sheetData>
      <sheetData sheetId="20" refreshError="1">
        <row r="2">
          <cell r="A2" t="str">
            <v>What's Changed in Our Model</v>
          </cell>
        </row>
        <row r="4">
          <cell r="A4" t="str">
            <v>Period</v>
          </cell>
          <cell r="B4" t="str">
            <v>Prior Forecast</v>
          </cell>
          <cell r="D4" t="str">
            <v>Current Forecast</v>
          </cell>
          <cell r="F4" t="str">
            <v>Details/ Commentary</v>
          </cell>
        </row>
        <row r="5">
          <cell r="A5" t="str">
            <v>($ mm except per share data)</v>
          </cell>
        </row>
        <row r="6">
          <cell r="A6" t="str">
            <v>Q1/11E</v>
          </cell>
        </row>
        <row r="7">
          <cell r="A7" t="str">
            <v>Revenues</v>
          </cell>
          <cell r="B7">
            <v>3398.8418413191421</v>
          </cell>
          <cell r="D7">
            <v>3405.3420000000001</v>
          </cell>
        </row>
        <row r="8">
          <cell r="A8" t="str">
            <v>I/P admit growth</v>
          </cell>
          <cell r="B8">
            <v>2.9927883332993899E-2</v>
          </cell>
          <cell r="D8">
            <v>9.3905181694688977E-3</v>
          </cell>
        </row>
        <row r="9">
          <cell r="A9" t="str">
            <v>Adj. admit growth</v>
          </cell>
          <cell r="B9">
            <v>3.7472539053748033E-2</v>
          </cell>
          <cell r="D9">
            <v>4.0383748989403445E-2</v>
          </cell>
        </row>
        <row r="10">
          <cell r="A10" t="str">
            <v>SW&amp;B % revs</v>
          </cell>
          <cell r="B10">
            <v>0.40400000000000003</v>
          </cell>
          <cell r="D10">
            <v>0.41174161068110049</v>
          </cell>
        </row>
        <row r="11">
          <cell r="A11" t="str">
            <v>Bad Debt % revs</v>
          </cell>
          <cell r="B11">
            <v>0.125</v>
          </cell>
          <cell r="D11">
            <v>0.1197738729325865</v>
          </cell>
        </row>
        <row r="12">
          <cell r="A12" t="str">
            <v>Supplies % revs</v>
          </cell>
          <cell r="B12">
            <v>0.13700000000000001</v>
          </cell>
          <cell r="D12">
            <v>0.13630231559708247</v>
          </cell>
        </row>
        <row r="13">
          <cell r="A13" t="str">
            <v>Other OpEx % revs</v>
          </cell>
          <cell r="B13">
            <v>0.186</v>
          </cell>
          <cell r="D13">
            <v>0.18347496374813452</v>
          </cell>
        </row>
        <row r="14">
          <cell r="B14">
            <v>1.9822850474546096E-2</v>
          </cell>
          <cell r="D14">
            <v>1.9016298509811937E-2</v>
          </cell>
        </row>
        <row r="15">
          <cell r="A15" t="str">
            <v>EBITDA</v>
          </cell>
          <cell r="B15">
            <v>435.65385890813315</v>
          </cell>
          <cell r="D15" t="e">
            <v>#REF!</v>
          </cell>
        </row>
        <row r="16">
          <cell r="A16" t="str">
            <v xml:space="preserve">     Margin %</v>
          </cell>
          <cell r="B16">
            <v>0.12817714952545403</v>
          </cell>
          <cell r="D16" t="e">
            <v>#REF!</v>
          </cell>
        </row>
        <row r="18">
          <cell r="A18" t="str">
            <v>Operating EPS</v>
          </cell>
          <cell r="B18">
            <v>0.71518076241193318</v>
          </cell>
          <cell r="D18">
            <v>0.80467288544007365</v>
          </cell>
        </row>
        <row r="20">
          <cell r="A20" t="str">
            <v>Free Cash Flow</v>
          </cell>
          <cell r="B20">
            <v>83.926058500152237</v>
          </cell>
          <cell r="D20">
            <v>33.636000000000024</v>
          </cell>
        </row>
        <row r="22">
          <cell r="A22" t="str">
            <v>2011E</v>
          </cell>
        </row>
        <row r="23">
          <cell r="A23" t="str">
            <v>Revenues</v>
          </cell>
          <cell r="B23">
            <v>14011.512364435843</v>
          </cell>
          <cell r="D23">
            <v>13717.685000000001</v>
          </cell>
        </row>
        <row r="24">
          <cell r="A24" t="str">
            <v>I/P admit growth</v>
          </cell>
          <cell r="B24">
            <v>4.7546944880526576E-2</v>
          </cell>
          <cell r="D24">
            <v>-2.2473903274097151E-2</v>
          </cell>
        </row>
        <row r="25">
          <cell r="A25" t="str">
            <v>Adj. admit growth</v>
          </cell>
          <cell r="B25">
            <v>5.4317963229685517E-2</v>
          </cell>
          <cell r="D25">
            <v>2.1294539804732615E-2</v>
          </cell>
        </row>
        <row r="26">
          <cell r="A26" t="str">
            <v>SW&amp;B % revs</v>
          </cell>
          <cell r="B26">
            <v>0.40388108615739765</v>
          </cell>
          <cell r="D26">
            <v>0.40828157229153456</v>
          </cell>
        </row>
        <row r="27">
          <cell r="A27" t="str">
            <v>Bad Debt % revs</v>
          </cell>
          <cell r="B27">
            <v>0.12511867834104087</v>
          </cell>
          <cell r="D27">
            <v>0.12595842520075362</v>
          </cell>
        </row>
        <row r="28">
          <cell r="A28" t="str">
            <v>Supplies % revs</v>
          </cell>
          <cell r="B28">
            <v>0.13625098654238746</v>
          </cell>
          <cell r="D28">
            <v>0.13416585961844144</v>
          </cell>
        </row>
        <row r="29">
          <cell r="A29" t="str">
            <v>Other OpEx % revs</v>
          </cell>
          <cell r="B29">
            <v>0.18497857046142988</v>
          </cell>
          <cell r="D29">
            <v>0.18411568715858392</v>
          </cell>
        </row>
        <row r="31">
          <cell r="A31" t="str">
            <v>EBITDA</v>
          </cell>
          <cell r="B31">
            <v>1820.7655990786234</v>
          </cell>
          <cell r="D31" t="e">
            <v>#REF!</v>
          </cell>
        </row>
        <row r="32">
          <cell r="A32" t="str">
            <v xml:space="preserve">     Margin %</v>
          </cell>
          <cell r="B32">
            <v>0.12994782802319815</v>
          </cell>
          <cell r="D32" t="e">
            <v>#REF!</v>
          </cell>
        </row>
        <row r="34">
          <cell r="A34" t="str">
            <v>Operating EPS</v>
          </cell>
          <cell r="B34">
            <v>3.2375386444150052</v>
          </cell>
          <cell r="D34">
            <v>3.3281918446742962</v>
          </cell>
        </row>
        <row r="36">
          <cell r="A36" t="str">
            <v>Free Cash Flow</v>
          </cell>
          <cell r="B36">
            <v>373.70935933763099</v>
          </cell>
          <cell r="D36">
            <v>485.19500000000016</v>
          </cell>
        </row>
        <row r="38">
          <cell r="A38" t="str">
            <v>2012E</v>
          </cell>
        </row>
        <row r="39">
          <cell r="A39" t="str">
            <v>Revenues</v>
          </cell>
          <cell r="B39">
            <v>14610.28124430832</v>
          </cell>
          <cell r="D39">
            <v>14908.266009343242</v>
          </cell>
        </row>
        <row r="40">
          <cell r="A40" t="str">
            <v>I/P admit growth</v>
          </cell>
          <cell r="B40">
            <v>1.8838209814840523E-2</v>
          </cell>
          <cell r="D40">
            <v>3.1750886167205783E-2</v>
          </cell>
        </row>
        <row r="41">
          <cell r="A41" t="str">
            <v>Adj. admit growth</v>
          </cell>
          <cell r="B41">
            <v>1.2395453213253527E-2</v>
          </cell>
          <cell r="D41">
            <v>5.9095836767348642E-2</v>
          </cell>
        </row>
        <row r="42">
          <cell r="A42" t="str">
            <v>SW&amp;B % revs</v>
          </cell>
          <cell r="B42">
            <v>0.40500651249822822</v>
          </cell>
          <cell r="D42">
            <v>0.40813991329629512</v>
          </cell>
        </row>
        <row r="43">
          <cell r="A43" t="str">
            <v>Bad Debt % revs</v>
          </cell>
          <cell r="B43">
            <v>0.12512061434342719</v>
          </cell>
          <cell r="D43">
            <v>0.1310118950111667</v>
          </cell>
        </row>
        <row r="44">
          <cell r="A44" t="str">
            <v>Supplies % revs</v>
          </cell>
          <cell r="B44">
            <v>0.13425425368331076</v>
          </cell>
          <cell r="D44">
            <v>0.13156442858204015</v>
          </cell>
        </row>
        <row r="45">
          <cell r="A45" t="str">
            <v>Other OpEx % revs</v>
          </cell>
          <cell r="B45">
            <v>0.18431942687606853</v>
          </cell>
          <cell r="D45">
            <v>0.18935856162148984</v>
          </cell>
        </row>
        <row r="47">
          <cell r="A47" t="str">
            <v>EBITDA</v>
          </cell>
          <cell r="B47">
            <v>1920.906335410665</v>
          </cell>
          <cell r="D47" t="e">
            <v>#REF!</v>
          </cell>
        </row>
        <row r="48">
          <cell r="A48" t="str">
            <v xml:space="preserve">     Margin %</v>
          </cell>
          <cell r="B48">
            <v>0.13147634212441914</v>
          </cell>
          <cell r="D48" t="e">
            <v>#REF!</v>
          </cell>
        </row>
        <row r="50">
          <cell r="A50" t="str">
            <v>Operating EPS</v>
          </cell>
          <cell r="B50">
            <v>3.5374035488951598</v>
          </cell>
          <cell r="D50">
            <v>3.5163648762241371</v>
          </cell>
        </row>
        <row r="52">
          <cell r="A52" t="str">
            <v>Free Cash Flow</v>
          </cell>
          <cell r="B52">
            <v>448.542836081828</v>
          </cell>
          <cell r="D52">
            <v>425.20409460720975</v>
          </cell>
        </row>
      </sheetData>
      <sheetData sheetId="21" refreshError="1"/>
      <sheetData sheetId="22"/>
      <sheetData sheetId="23"/>
      <sheetData sheetId="2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mwareValPrintout"/>
      <sheetName val="Company questions"/>
      <sheetName val="CYH"/>
      <sheetName val="__FDSCACHE__"/>
      <sheetName val="Revenue Model"/>
      <sheetName val="Cost Model"/>
      <sheetName val="Mgmt Guidance"/>
      <sheetName val="Annuals"/>
      <sheetName val="Preview, A vs. E"/>
      <sheetName val="Preview"/>
      <sheetName val="Options"/>
      <sheetName val="Facilities"/>
      <sheetName val="Trend Analysis"/>
      <sheetName val="AR Agings Details"/>
      <sheetName val="Residual  Income"/>
      <sheetName val="ROIC-NOPAT"/>
      <sheetName val="ROIC-NOA"/>
      <sheetName val="ROIC-Summary"/>
      <sheetName val="mwareDates"/>
      <sheetName val="Model_Template"/>
      <sheetName val="mwareSettings"/>
      <sheetName val="NY UPLOAD shadow"/>
      <sheetName val="MWare_Cached"/>
      <sheetName val="Sheet1"/>
      <sheetName val="Black White"/>
      <sheetName val="mwarePreview"/>
      <sheetName val="Guidance"/>
      <sheetName val="NY UPLOAD"/>
      <sheetName val="Comps"/>
      <sheetName val="AR Details"/>
      <sheetName val="FMV-03"/>
      <sheetName val="Same Store"/>
      <sheetName val="CYH Valuation Sheet"/>
      <sheetName val="Source"/>
      <sheetName val="Financial Position"/>
      <sheetName val="Hospitals"/>
      <sheetName val="Ques"/>
      <sheetName val="Ratio_Analysis"/>
      <sheetName val="FMV-02"/>
      <sheetName val="ROI"/>
      <sheetName val="Costs"/>
      <sheetName val="WACC"/>
      <sheetName val="Graphs"/>
      <sheetName val="ROIC"/>
      <sheetName val="ROIC-adj to NOA"/>
      <sheetName val="Data Boxes"/>
      <sheetName val="Charts"/>
      <sheetName val="ROI Table"/>
      <sheetName val="DCF"/>
      <sheetName val="3Q updates"/>
      <sheetName val="#REF"/>
      <sheetName val="Restated Revenue Model"/>
      <sheetName val="䐀_x0000_　_x0000_耀_x0000__x0000__x0000_"/>
      <sheetName val=""/>
      <sheetName val="Cover"/>
      <sheetName val="Variance"/>
      <sheetName val="Income Statement"/>
      <sheetName val="Balance Sheet &amp; Cash Flow"/>
      <sheetName val="Drivers"/>
      <sheetName val="Scenarios"/>
      <sheetName val="Revenue Assumptions"/>
      <sheetName val="Expense Assumptions"/>
      <sheetName val="Debt"/>
      <sheetName val="Valuation"/>
      <sheetName val="MWA RR"/>
      <sheetName val="MW-Cache"/>
    </sheetNames>
    <sheetDataSet>
      <sheetData sheetId="0"/>
      <sheetData sheetId="1"/>
      <sheetData sheetId="2"/>
      <sheetData sheetId="3" refreshError="1"/>
      <sheetData sheetId="4"/>
      <sheetData sheetId="5" refreshError="1">
        <row r="1">
          <cell r="A1" t="str">
            <v>Community Health Systems</v>
          </cell>
          <cell r="BS1" t="str">
            <v>ElementName</v>
          </cell>
          <cell r="BT1" t="str">
            <v>ScaleOverride</v>
          </cell>
          <cell r="BU1" t="str">
            <v>UnitOverride</v>
          </cell>
          <cell r="BV1" t="str">
            <v>ReverseSign</v>
          </cell>
          <cell r="BW1" t="str">
            <v>IsDrivingAssumption</v>
          </cell>
          <cell r="BX1" t="str">
            <v>SegmentID</v>
          </cell>
        </row>
        <row r="3">
          <cell r="A3" t="str">
            <v>REVENUE MODEL</v>
          </cell>
          <cell r="AH3" t="str">
            <v>Not restated</v>
          </cell>
          <cell r="AJ3" t="str">
            <v>First restatements</v>
          </cell>
          <cell r="AN3" t="str">
            <v>Restated</v>
          </cell>
          <cell r="AU3" t="str">
            <v>Restated</v>
          </cell>
        </row>
        <row r="4">
          <cell r="A4" t="str">
            <v>($ mil)  FY ending Dec. 31</v>
          </cell>
          <cell r="C4">
            <v>1995</v>
          </cell>
          <cell r="D4">
            <v>1996</v>
          </cell>
          <cell r="E4">
            <v>1997</v>
          </cell>
          <cell r="F4">
            <v>1998</v>
          </cell>
          <cell r="G4" t="str">
            <v>1Q99</v>
          </cell>
          <cell r="H4" t="str">
            <v>2Q99</v>
          </cell>
          <cell r="I4" t="str">
            <v>3Q99</v>
          </cell>
          <cell r="J4" t="str">
            <v>4Q99</v>
          </cell>
          <cell r="K4">
            <v>1999</v>
          </cell>
          <cell r="L4" t="str">
            <v>1Q00</v>
          </cell>
          <cell r="M4" t="str">
            <v>2Q00</v>
          </cell>
          <cell r="N4" t="str">
            <v>3Q00</v>
          </cell>
          <cell r="O4" t="str">
            <v>4Q00</v>
          </cell>
          <cell r="P4">
            <v>2000</v>
          </cell>
          <cell r="Q4" t="str">
            <v>1Q01</v>
          </cell>
          <cell r="R4" t="str">
            <v>2Q01</v>
          </cell>
          <cell r="S4" t="str">
            <v>3Q01</v>
          </cell>
          <cell r="T4" t="str">
            <v>4Q01</v>
          </cell>
          <cell r="U4">
            <v>2001</v>
          </cell>
          <cell r="V4" t="str">
            <v>CHECK</v>
          </cell>
          <cell r="W4" t="str">
            <v>1Q02</v>
          </cell>
          <cell r="X4" t="str">
            <v>2Q02</v>
          </cell>
          <cell r="Y4" t="str">
            <v>3Q02</v>
          </cell>
          <cell r="Z4" t="str">
            <v>4Q02</v>
          </cell>
          <cell r="AA4">
            <v>2002</v>
          </cell>
          <cell r="AB4" t="str">
            <v>CHECK</v>
          </cell>
          <cell r="AC4" t="str">
            <v>1Q03</v>
          </cell>
          <cell r="AD4" t="str">
            <v>2Q03</v>
          </cell>
          <cell r="AE4" t="str">
            <v>3Q03</v>
          </cell>
          <cell r="AF4" t="str">
            <v>4Q03</v>
          </cell>
          <cell r="AG4">
            <v>2003</v>
          </cell>
          <cell r="AH4" t="str">
            <v>1Q04</v>
          </cell>
          <cell r="AI4" t="str">
            <v>2Q04</v>
          </cell>
          <cell r="AJ4" t="str">
            <v>3Q04</v>
          </cell>
          <cell r="AK4" t="str">
            <v>4Q04</v>
          </cell>
          <cell r="AL4">
            <v>2004</v>
          </cell>
          <cell r="AM4" t="str">
            <v>CHECK</v>
          </cell>
          <cell r="AN4" t="str">
            <v>2002</v>
          </cell>
          <cell r="AO4">
            <v>2003</v>
          </cell>
          <cell r="AP4" t="str">
            <v>1Q03</v>
          </cell>
          <cell r="AQ4" t="str">
            <v>2Q03</v>
          </cell>
          <cell r="AR4" t="str">
            <v>3Q03</v>
          </cell>
          <cell r="AS4" t="str">
            <v>4Q03</v>
          </cell>
          <cell r="AT4" t="str">
            <v>2003</v>
          </cell>
          <cell r="AU4" t="str">
            <v>1Q04</v>
          </cell>
          <cell r="AV4" t="str">
            <v>2Q04</v>
          </cell>
          <cell r="AW4" t="str">
            <v>3Q04</v>
          </cell>
          <cell r="AX4" t="str">
            <v>4Q04</v>
          </cell>
          <cell r="AY4">
            <v>2004</v>
          </cell>
          <cell r="BA4" t="str">
            <v>1Q05</v>
          </cell>
          <cell r="BB4" t="str">
            <v>2Q05</v>
          </cell>
          <cell r="BC4" t="str">
            <v>3Q05</v>
          </cell>
          <cell r="BD4" t="str">
            <v>4Q05</v>
          </cell>
          <cell r="BE4">
            <v>2005</v>
          </cell>
          <cell r="BG4" t="str">
            <v>1Q06</v>
          </cell>
          <cell r="BH4" t="str">
            <v>2Q06</v>
          </cell>
          <cell r="BI4" t="str">
            <v>3Q06E</v>
          </cell>
          <cell r="BJ4" t="str">
            <v>4Q06E</v>
          </cell>
          <cell r="BK4" t="str">
            <v>2006E</v>
          </cell>
          <cell r="BM4" t="str">
            <v>2007E</v>
          </cell>
          <cell r="BN4" t="str">
            <v>2008E</v>
          </cell>
          <cell r="BO4" t="str">
            <v>2009E</v>
          </cell>
          <cell r="BP4" t="str">
            <v>2010E</v>
          </cell>
        </row>
        <row r="5">
          <cell r="A5" t="str">
            <v>December Year End ($ in mm except as noted)</v>
          </cell>
          <cell r="C5">
            <v>365</v>
          </cell>
          <cell r="D5">
            <v>365</v>
          </cell>
          <cell r="E5">
            <v>365</v>
          </cell>
          <cell r="F5">
            <v>365</v>
          </cell>
          <cell r="G5">
            <v>90</v>
          </cell>
          <cell r="H5">
            <v>91</v>
          </cell>
          <cell r="I5">
            <v>92</v>
          </cell>
          <cell r="J5">
            <v>92</v>
          </cell>
          <cell r="K5">
            <v>365</v>
          </cell>
          <cell r="L5">
            <v>91</v>
          </cell>
          <cell r="M5">
            <v>91</v>
          </cell>
          <cell r="N5">
            <v>92</v>
          </cell>
          <cell r="O5">
            <v>92</v>
          </cell>
          <cell r="P5">
            <v>366</v>
          </cell>
          <cell r="Q5">
            <v>90</v>
          </cell>
          <cell r="R5">
            <v>91</v>
          </cell>
          <cell r="S5">
            <v>92</v>
          </cell>
          <cell r="T5">
            <v>92</v>
          </cell>
          <cell r="U5">
            <v>365</v>
          </cell>
          <cell r="V5" t="str">
            <v>CHECK</v>
          </cell>
          <cell r="W5">
            <v>90</v>
          </cell>
          <cell r="X5">
            <v>91</v>
          </cell>
          <cell r="Y5">
            <v>91</v>
          </cell>
          <cell r="Z5">
            <v>92</v>
          </cell>
          <cell r="AA5">
            <v>365</v>
          </cell>
          <cell r="AB5" t="str">
            <v>CHECK</v>
          </cell>
          <cell r="AC5">
            <v>90</v>
          </cell>
          <cell r="AD5">
            <v>91</v>
          </cell>
          <cell r="AE5">
            <v>92</v>
          </cell>
          <cell r="AF5">
            <v>92</v>
          </cell>
          <cell r="AG5">
            <v>365</v>
          </cell>
          <cell r="AH5">
            <v>91</v>
          </cell>
          <cell r="AI5">
            <v>92</v>
          </cell>
          <cell r="AJ5">
            <v>92</v>
          </cell>
          <cell r="AK5">
            <v>92</v>
          </cell>
          <cell r="AL5">
            <v>366</v>
          </cell>
          <cell r="AM5" t="str">
            <v>CHECK</v>
          </cell>
          <cell r="AN5">
            <v>365</v>
          </cell>
          <cell r="AO5">
            <v>365</v>
          </cell>
          <cell r="AP5" t="str">
            <v>1Q03</v>
          </cell>
          <cell r="AQ5" t="str">
            <v>2Q03</v>
          </cell>
          <cell r="AR5">
            <v>92</v>
          </cell>
          <cell r="AS5">
            <v>92</v>
          </cell>
          <cell r="AT5">
            <v>365</v>
          </cell>
          <cell r="AU5">
            <v>91</v>
          </cell>
          <cell r="AV5">
            <v>92</v>
          </cell>
          <cell r="AW5">
            <v>92</v>
          </cell>
          <cell r="AX5">
            <v>92</v>
          </cell>
          <cell r="AY5">
            <v>366</v>
          </cell>
          <cell r="BA5">
            <v>90</v>
          </cell>
          <cell r="BB5">
            <v>92</v>
          </cell>
          <cell r="BC5">
            <v>92</v>
          </cell>
          <cell r="BD5">
            <v>92</v>
          </cell>
          <cell r="BE5">
            <v>365</v>
          </cell>
          <cell r="BG5">
            <v>90</v>
          </cell>
          <cell r="BH5">
            <v>92</v>
          </cell>
          <cell r="BI5">
            <v>92</v>
          </cell>
          <cell r="BJ5">
            <v>92</v>
          </cell>
          <cell r="BK5">
            <v>365</v>
          </cell>
          <cell r="BM5">
            <v>365</v>
          </cell>
          <cell r="BN5">
            <v>366</v>
          </cell>
          <cell r="BO5">
            <v>365</v>
          </cell>
          <cell r="BP5">
            <v>365</v>
          </cell>
        </row>
        <row r="6">
          <cell r="A6" t="str">
            <v>Number of Hospitals</v>
          </cell>
          <cell r="C6">
            <v>36</v>
          </cell>
          <cell r="D6">
            <v>35</v>
          </cell>
          <cell r="E6">
            <v>37</v>
          </cell>
          <cell r="F6">
            <v>41</v>
          </cell>
          <cell r="G6">
            <v>43</v>
          </cell>
          <cell r="H6">
            <v>43</v>
          </cell>
          <cell r="I6">
            <v>44</v>
          </cell>
          <cell r="J6">
            <v>46</v>
          </cell>
          <cell r="K6">
            <v>46</v>
          </cell>
          <cell r="L6">
            <v>46</v>
          </cell>
          <cell r="M6">
            <v>49</v>
          </cell>
          <cell r="N6">
            <v>50</v>
          </cell>
          <cell r="O6">
            <v>52</v>
          </cell>
          <cell r="P6">
            <v>52</v>
          </cell>
          <cell r="Q6">
            <v>52</v>
          </cell>
          <cell r="R6">
            <v>53</v>
          </cell>
          <cell r="S6">
            <v>54</v>
          </cell>
          <cell r="T6">
            <v>57</v>
          </cell>
          <cell r="U6">
            <v>57</v>
          </cell>
          <cell r="W6">
            <v>59</v>
          </cell>
          <cell r="X6">
            <v>59</v>
          </cell>
          <cell r="Y6">
            <v>61</v>
          </cell>
          <cell r="Z6">
            <v>63</v>
          </cell>
          <cell r="AA6">
            <v>63</v>
          </cell>
          <cell r="AC6">
            <v>70</v>
          </cell>
          <cell r="AD6">
            <v>70</v>
          </cell>
          <cell r="AE6">
            <v>72</v>
          </cell>
          <cell r="AF6">
            <v>72</v>
          </cell>
          <cell r="AG6">
            <v>72</v>
          </cell>
          <cell r="AH6">
            <v>72</v>
          </cell>
          <cell r="AI6">
            <v>72</v>
          </cell>
          <cell r="AJ6">
            <v>71</v>
          </cell>
          <cell r="AK6">
            <v>71</v>
          </cell>
          <cell r="AL6">
            <v>71</v>
          </cell>
          <cell r="AN6">
            <v>60</v>
          </cell>
          <cell r="AO6">
            <v>64</v>
          </cell>
          <cell r="AR6">
            <v>69</v>
          </cell>
          <cell r="AS6">
            <v>69</v>
          </cell>
          <cell r="AT6">
            <v>69</v>
          </cell>
          <cell r="AU6">
            <v>64</v>
          </cell>
          <cell r="AV6">
            <v>64</v>
          </cell>
          <cell r="AW6">
            <v>66</v>
          </cell>
          <cell r="AX6">
            <v>66</v>
          </cell>
          <cell r="AY6">
            <v>66</v>
          </cell>
          <cell r="BA6">
            <v>67</v>
          </cell>
          <cell r="BB6">
            <v>67</v>
          </cell>
          <cell r="BC6">
            <v>68</v>
          </cell>
          <cell r="BD6">
            <v>70</v>
          </cell>
          <cell r="BE6">
            <v>70</v>
          </cell>
          <cell r="BG6">
            <v>71</v>
          </cell>
          <cell r="BH6">
            <v>75</v>
          </cell>
          <cell r="BI6">
            <v>76</v>
          </cell>
          <cell r="BJ6">
            <v>78</v>
          </cell>
          <cell r="BK6">
            <v>78</v>
          </cell>
          <cell r="BM6">
            <v>82</v>
          </cell>
          <cell r="BN6">
            <v>86</v>
          </cell>
          <cell r="BO6">
            <v>89</v>
          </cell>
          <cell r="BP6">
            <v>92</v>
          </cell>
          <cell r="BS6" t="str">
            <v>mstag:numberOfHospitals</v>
          </cell>
          <cell r="BT6">
            <v>0</v>
          </cell>
          <cell r="BU6" t="str">
            <v>ms_eqr_gcim_Decimal:ms_eqr_gcim_decimal</v>
          </cell>
          <cell r="BV6" t="b">
            <v>0</v>
          </cell>
          <cell r="BW6" t="b">
            <v>0</v>
          </cell>
        </row>
        <row r="7">
          <cell r="A7" t="str">
            <v>Average Number of Hospitals</v>
          </cell>
          <cell r="C7">
            <v>36</v>
          </cell>
          <cell r="D7">
            <v>35.5</v>
          </cell>
          <cell r="E7">
            <v>36</v>
          </cell>
          <cell r="F7">
            <v>39</v>
          </cell>
          <cell r="G7">
            <v>41</v>
          </cell>
          <cell r="H7">
            <v>42</v>
          </cell>
          <cell r="I7">
            <v>43.5</v>
          </cell>
          <cell r="J7">
            <v>45</v>
          </cell>
          <cell r="K7">
            <v>43.833333333333336</v>
          </cell>
          <cell r="L7">
            <v>46</v>
          </cell>
          <cell r="M7">
            <v>47.5</v>
          </cell>
          <cell r="N7">
            <v>48.75</v>
          </cell>
          <cell r="O7">
            <v>51</v>
          </cell>
          <cell r="P7">
            <v>49.166666666666664</v>
          </cell>
          <cell r="Q7">
            <v>52</v>
          </cell>
          <cell r="R7">
            <v>52.5</v>
          </cell>
          <cell r="S7">
            <v>53.5</v>
          </cell>
          <cell r="T7">
            <v>55.5</v>
          </cell>
          <cell r="U7">
            <v>54.166666666666664</v>
          </cell>
          <cell r="W7">
            <v>58</v>
          </cell>
          <cell r="X7">
            <v>59</v>
          </cell>
          <cell r="Y7">
            <v>60</v>
          </cell>
          <cell r="Z7">
            <v>62</v>
          </cell>
          <cell r="AA7">
            <v>60.5</v>
          </cell>
          <cell r="AC7">
            <v>66.5</v>
          </cell>
          <cell r="AD7">
            <v>70</v>
          </cell>
          <cell r="AE7">
            <v>71</v>
          </cell>
          <cell r="AF7">
            <v>72</v>
          </cell>
          <cell r="AG7">
            <v>69.833333333333329</v>
          </cell>
          <cell r="AH7">
            <v>72</v>
          </cell>
          <cell r="AI7">
            <v>72</v>
          </cell>
          <cell r="AJ7">
            <v>71.5</v>
          </cell>
          <cell r="AK7">
            <v>71</v>
          </cell>
          <cell r="AL7">
            <v>71.400000000000006</v>
          </cell>
          <cell r="AN7">
            <v>60</v>
          </cell>
          <cell r="AO7">
            <v>64</v>
          </cell>
          <cell r="AR7">
            <v>69</v>
          </cell>
          <cell r="AS7">
            <v>69</v>
          </cell>
          <cell r="AT7">
            <v>69</v>
          </cell>
          <cell r="AU7">
            <v>64</v>
          </cell>
          <cell r="AV7">
            <v>64</v>
          </cell>
          <cell r="AW7">
            <v>65</v>
          </cell>
          <cell r="AX7">
            <v>66</v>
          </cell>
          <cell r="AY7">
            <v>65.2</v>
          </cell>
          <cell r="BA7">
            <v>67</v>
          </cell>
          <cell r="BB7">
            <v>67</v>
          </cell>
          <cell r="BC7">
            <v>67.5</v>
          </cell>
          <cell r="BD7">
            <v>70</v>
          </cell>
          <cell r="BE7">
            <v>68.400000000000006</v>
          </cell>
          <cell r="BG7">
            <v>71</v>
          </cell>
          <cell r="BH7">
            <v>73</v>
          </cell>
          <cell r="BI7">
            <v>75.5</v>
          </cell>
          <cell r="BJ7">
            <v>77</v>
          </cell>
          <cell r="BK7">
            <v>75.599999999999994</v>
          </cell>
          <cell r="BM7">
            <v>80</v>
          </cell>
          <cell r="BN7">
            <v>84</v>
          </cell>
          <cell r="BO7">
            <v>87.5</v>
          </cell>
          <cell r="BP7">
            <v>90.5</v>
          </cell>
        </row>
        <row r="8">
          <cell r="A8" t="str">
            <v>Licensed Beds</v>
          </cell>
          <cell r="C8">
            <v>3298</v>
          </cell>
          <cell r="D8">
            <v>3222</v>
          </cell>
          <cell r="E8">
            <v>3288</v>
          </cell>
          <cell r="F8">
            <v>3644</v>
          </cell>
          <cell r="G8">
            <v>3903</v>
          </cell>
          <cell r="H8">
            <v>3892</v>
          </cell>
          <cell r="I8">
            <v>4026</v>
          </cell>
          <cell r="J8">
            <v>4115</v>
          </cell>
          <cell r="K8">
            <v>4115</v>
          </cell>
          <cell r="L8">
            <v>4220</v>
          </cell>
          <cell r="M8">
            <v>4401</v>
          </cell>
          <cell r="N8">
            <v>4491</v>
          </cell>
          <cell r="O8">
            <v>4688</v>
          </cell>
          <cell r="P8">
            <v>4688</v>
          </cell>
          <cell r="Q8">
            <v>4688</v>
          </cell>
          <cell r="R8">
            <v>4848</v>
          </cell>
          <cell r="S8">
            <v>4935</v>
          </cell>
          <cell r="T8">
            <v>5391</v>
          </cell>
          <cell r="U8">
            <v>5391</v>
          </cell>
          <cell r="W8">
            <v>5917</v>
          </cell>
          <cell r="X8">
            <v>5914</v>
          </cell>
          <cell r="Y8">
            <v>6023</v>
          </cell>
          <cell r="Z8">
            <v>6310</v>
          </cell>
          <cell r="AA8">
            <v>6310</v>
          </cell>
          <cell r="AC8">
            <v>6972</v>
          </cell>
          <cell r="AD8">
            <v>6962</v>
          </cell>
          <cell r="AE8">
            <v>7581</v>
          </cell>
          <cell r="AF8">
            <v>7810</v>
          </cell>
          <cell r="AG8">
            <v>7810</v>
          </cell>
          <cell r="AH8">
            <v>4935</v>
          </cell>
          <cell r="AI8">
            <v>4935</v>
          </cell>
          <cell r="AJ8">
            <v>7971</v>
          </cell>
          <cell r="AK8">
            <v>7888</v>
          </cell>
          <cell r="AL8">
            <v>7888</v>
          </cell>
          <cell r="AN8">
            <v>6137</v>
          </cell>
          <cell r="AO8">
            <v>7107</v>
          </cell>
          <cell r="AR8">
            <v>7408</v>
          </cell>
          <cell r="AS8">
            <v>7637</v>
          </cell>
          <cell r="AT8">
            <v>7637</v>
          </cell>
          <cell r="AU8">
            <v>7107</v>
          </cell>
          <cell r="AV8">
            <v>7107</v>
          </cell>
          <cell r="AW8">
            <v>7441</v>
          </cell>
          <cell r="AX8">
            <v>7358</v>
          </cell>
          <cell r="AY8">
            <v>7358</v>
          </cell>
          <cell r="BA8">
            <v>7580</v>
          </cell>
          <cell r="BB8">
            <v>7575</v>
          </cell>
          <cell r="BC8">
            <v>7684</v>
          </cell>
          <cell r="BD8">
            <v>7974</v>
          </cell>
          <cell r="BE8">
            <v>7974</v>
          </cell>
          <cell r="BG8">
            <v>8074</v>
          </cell>
          <cell r="BH8">
            <v>8546</v>
          </cell>
          <cell r="BI8">
            <v>8882</v>
          </cell>
          <cell r="BJ8">
            <v>9006</v>
          </cell>
          <cell r="BK8">
            <v>9006</v>
          </cell>
          <cell r="BM8">
            <v>9462</v>
          </cell>
          <cell r="BN8">
            <v>9918</v>
          </cell>
          <cell r="BO8">
            <v>10260</v>
          </cell>
          <cell r="BP8">
            <v>10614</v>
          </cell>
          <cell r="BS8" t="str">
            <v>mstag:hospitalBeds</v>
          </cell>
          <cell r="BT8">
            <v>0</v>
          </cell>
          <cell r="BU8" t="str">
            <v>ms_eqr_gcim_Decimal:ms_eqr_gcim_decimal</v>
          </cell>
          <cell r="BV8" t="b">
            <v>0</v>
          </cell>
          <cell r="BW8" t="b">
            <v>0</v>
          </cell>
        </row>
        <row r="9">
          <cell r="A9" t="str">
            <v>Beds In Service</v>
          </cell>
          <cell r="C9">
            <v>2519</v>
          </cell>
          <cell r="D9">
            <v>2311</v>
          </cell>
          <cell r="E9">
            <v>2543</v>
          </cell>
          <cell r="F9">
            <v>2776</v>
          </cell>
          <cell r="G9">
            <v>2952</v>
          </cell>
          <cell r="H9">
            <v>2973</v>
          </cell>
          <cell r="I9">
            <v>3077</v>
          </cell>
          <cell r="J9">
            <v>3123</v>
          </cell>
          <cell r="K9">
            <v>3123</v>
          </cell>
          <cell r="L9">
            <v>3247</v>
          </cell>
          <cell r="M9">
            <v>3355</v>
          </cell>
          <cell r="N9">
            <v>3407</v>
          </cell>
          <cell r="O9">
            <v>3587</v>
          </cell>
          <cell r="P9">
            <v>3587</v>
          </cell>
          <cell r="Q9">
            <v>3281</v>
          </cell>
          <cell r="R9">
            <v>3722</v>
          </cell>
          <cell r="S9">
            <v>3788</v>
          </cell>
          <cell r="T9">
            <v>4139</v>
          </cell>
          <cell r="U9">
            <v>4139</v>
          </cell>
          <cell r="W9">
            <v>4510</v>
          </cell>
          <cell r="X9">
            <v>4502</v>
          </cell>
          <cell r="Y9">
            <v>4583.8130335559126</v>
          </cell>
          <cell r="Z9">
            <v>4939</v>
          </cell>
          <cell r="AA9">
            <v>4939</v>
          </cell>
          <cell r="AC9">
            <v>5403</v>
          </cell>
          <cell r="AD9">
            <v>5390</v>
          </cell>
          <cell r="AE9">
            <v>5997</v>
          </cell>
          <cell r="AF9">
            <v>6180</v>
          </cell>
          <cell r="AG9">
            <v>6180</v>
          </cell>
          <cell r="AH9">
            <v>6187</v>
          </cell>
          <cell r="AI9">
            <v>6187</v>
          </cell>
          <cell r="AJ9">
            <v>6440</v>
          </cell>
          <cell r="AK9">
            <v>6346</v>
          </cell>
          <cell r="AL9">
            <v>6346</v>
          </cell>
          <cell r="AN9">
            <v>4800</v>
          </cell>
          <cell r="AO9">
            <v>5665</v>
          </cell>
          <cell r="AR9">
            <v>5748</v>
          </cell>
          <cell r="AS9">
            <v>6041</v>
          </cell>
          <cell r="AT9">
            <v>6041</v>
          </cell>
          <cell r="AU9">
            <v>5716</v>
          </cell>
          <cell r="AV9">
            <v>5716</v>
          </cell>
          <cell r="AW9">
            <v>6054</v>
          </cell>
          <cell r="AX9">
            <v>5960</v>
          </cell>
          <cell r="AY9">
            <v>5960</v>
          </cell>
          <cell r="BA9">
            <v>6175</v>
          </cell>
          <cell r="BB9">
            <v>6187</v>
          </cell>
          <cell r="BC9">
            <v>6239</v>
          </cell>
          <cell r="BD9">
            <v>6476</v>
          </cell>
          <cell r="BE9">
            <v>6476</v>
          </cell>
          <cell r="BG9">
            <v>6528</v>
          </cell>
          <cell r="BH9">
            <v>6874</v>
          </cell>
          <cell r="BI9">
            <v>7109.2</v>
          </cell>
          <cell r="BJ9">
            <v>7208.4</v>
          </cell>
          <cell r="BK9">
            <v>7208.4</v>
          </cell>
          <cell r="BM9">
            <v>7573.2</v>
          </cell>
          <cell r="BN9">
            <v>7938</v>
          </cell>
          <cell r="BO9">
            <v>8211.6</v>
          </cell>
          <cell r="BP9">
            <v>8494.8000000000011</v>
          </cell>
          <cell r="BS9" t="str">
            <v>mstag:numberOfHospitalBedsInService</v>
          </cell>
          <cell r="BT9">
            <v>0</v>
          </cell>
          <cell r="BU9" t="str">
            <v>ms_eqr_gcim_Decimal:ms_eqr_gcim_decimal</v>
          </cell>
          <cell r="BV9" t="b">
            <v>0</v>
          </cell>
          <cell r="BW9" t="b">
            <v>0</v>
          </cell>
        </row>
        <row r="10">
          <cell r="A10" t="str">
            <v>Average Licensed Beds</v>
          </cell>
          <cell r="C10">
            <v>3298</v>
          </cell>
          <cell r="D10">
            <v>3260</v>
          </cell>
          <cell r="E10">
            <v>3255</v>
          </cell>
          <cell r="F10">
            <v>3466</v>
          </cell>
          <cell r="G10">
            <v>3684.5</v>
          </cell>
          <cell r="H10">
            <v>3788.25</v>
          </cell>
          <cell r="I10">
            <v>3959</v>
          </cell>
          <cell r="J10">
            <v>4070.5</v>
          </cell>
          <cell r="K10">
            <v>3949.1666666666665</v>
          </cell>
          <cell r="L10">
            <v>4167.5</v>
          </cell>
          <cell r="M10">
            <v>4284.25</v>
          </cell>
          <cell r="N10">
            <v>4387.625</v>
          </cell>
          <cell r="O10">
            <v>4589.5</v>
          </cell>
          <cell r="P10">
            <v>4688</v>
          </cell>
          <cell r="Q10">
            <v>4688</v>
          </cell>
          <cell r="R10">
            <v>4768</v>
          </cell>
          <cell r="S10">
            <v>4891.5</v>
          </cell>
          <cell r="T10">
            <v>5163</v>
          </cell>
          <cell r="U10">
            <v>4990.166666666667</v>
          </cell>
          <cell r="W10">
            <v>5654</v>
          </cell>
          <cell r="X10">
            <v>5915.5</v>
          </cell>
          <cell r="Y10">
            <v>6136.833333333333</v>
          </cell>
          <cell r="Z10">
            <v>6166.5</v>
          </cell>
          <cell r="AA10">
            <v>6041</v>
          </cell>
          <cell r="AC10">
            <v>6972</v>
          </cell>
          <cell r="AD10">
            <v>6967</v>
          </cell>
          <cell r="AE10">
            <v>7454</v>
          </cell>
          <cell r="AF10">
            <v>7738.228260869565</v>
          </cell>
          <cell r="AG10">
            <v>7240.833333333333</v>
          </cell>
          <cell r="AH10">
            <v>4935</v>
          </cell>
          <cell r="AI10">
            <v>4935</v>
          </cell>
          <cell r="AJ10">
            <v>6380.1666666666661</v>
          </cell>
          <cell r="AK10">
            <v>7929.5</v>
          </cell>
          <cell r="AL10">
            <v>6723.4</v>
          </cell>
          <cell r="AN10">
            <v>4800</v>
          </cell>
          <cell r="AO10">
            <v>5665</v>
          </cell>
          <cell r="AR10">
            <v>7408</v>
          </cell>
          <cell r="AS10">
            <v>7637</v>
          </cell>
          <cell r="AT10">
            <v>7522.5</v>
          </cell>
          <cell r="AU10">
            <v>7107</v>
          </cell>
          <cell r="AV10">
            <v>7107</v>
          </cell>
          <cell r="AW10">
            <v>7201.1666666666661</v>
          </cell>
          <cell r="AX10">
            <v>7399.5</v>
          </cell>
          <cell r="AY10">
            <v>7274.2</v>
          </cell>
          <cell r="BA10">
            <v>7460.0333333333338</v>
          </cell>
          <cell r="BB10">
            <v>7575</v>
          </cell>
          <cell r="BC10">
            <v>7684</v>
          </cell>
          <cell r="BD10">
            <v>7974</v>
          </cell>
          <cell r="BE10">
            <v>7757.4</v>
          </cell>
          <cell r="BG10">
            <v>8074</v>
          </cell>
          <cell r="BH10">
            <v>8310</v>
          </cell>
          <cell r="BI10">
            <v>8882</v>
          </cell>
          <cell r="BJ10">
            <v>8923.782608695652</v>
          </cell>
          <cell r="BK10">
            <v>8702.7999999999993</v>
          </cell>
          <cell r="BM10">
            <v>9234</v>
          </cell>
          <cell r="BN10">
            <v>9690</v>
          </cell>
          <cell r="BO10">
            <v>10089</v>
          </cell>
          <cell r="BP10">
            <v>10437</v>
          </cell>
        </row>
        <row r="11">
          <cell r="A11" t="str">
            <v>Average Beds In Service</v>
          </cell>
          <cell r="C11">
            <v>2519</v>
          </cell>
          <cell r="D11">
            <v>2415</v>
          </cell>
          <cell r="E11">
            <v>2427</v>
          </cell>
          <cell r="F11">
            <v>2659.5</v>
          </cell>
          <cell r="G11">
            <v>2864</v>
          </cell>
          <cell r="H11">
            <v>2962.5</v>
          </cell>
          <cell r="I11">
            <v>3025</v>
          </cell>
          <cell r="J11">
            <v>3100</v>
          </cell>
          <cell r="K11">
            <v>3031.25</v>
          </cell>
          <cell r="L11">
            <v>3185</v>
          </cell>
          <cell r="M11">
            <v>3301</v>
          </cell>
          <cell r="N11">
            <v>3381</v>
          </cell>
          <cell r="O11">
            <v>3497</v>
          </cell>
          <cell r="P11">
            <v>3399</v>
          </cell>
          <cell r="Q11">
            <v>3434</v>
          </cell>
          <cell r="R11">
            <v>3501.5</v>
          </cell>
          <cell r="S11">
            <v>3755</v>
          </cell>
          <cell r="T11">
            <v>4139</v>
          </cell>
          <cell r="U11">
            <v>3732.5</v>
          </cell>
          <cell r="W11">
            <v>4510</v>
          </cell>
          <cell r="X11">
            <v>4506</v>
          </cell>
          <cell r="Y11">
            <v>4542.9065167779563</v>
          </cell>
          <cell r="Z11">
            <v>4761.4065167779563</v>
          </cell>
          <cell r="AA11">
            <v>4580.0782583889777</v>
          </cell>
          <cell r="AC11">
            <v>5171</v>
          </cell>
          <cell r="AD11">
            <v>5396.5</v>
          </cell>
          <cell r="AE11">
            <v>5997</v>
          </cell>
          <cell r="AF11">
            <v>6180</v>
          </cell>
          <cell r="AG11">
            <v>5686.125</v>
          </cell>
          <cell r="AH11">
            <v>4987.5</v>
          </cell>
          <cell r="AI11">
            <v>6187</v>
          </cell>
          <cell r="AJ11">
            <v>6239.8333333333339</v>
          </cell>
          <cell r="AK11">
            <v>6393</v>
          </cell>
          <cell r="AL11">
            <v>6290</v>
          </cell>
          <cell r="AN11">
            <v>4800</v>
          </cell>
          <cell r="AO11">
            <v>5665</v>
          </cell>
          <cell r="AR11">
            <v>5748</v>
          </cell>
          <cell r="AS11">
            <v>6041</v>
          </cell>
          <cell r="AT11">
            <v>5894.5</v>
          </cell>
          <cell r="AU11">
            <v>5716</v>
          </cell>
          <cell r="AV11">
            <v>5716</v>
          </cell>
          <cell r="AW11">
            <v>5811.3333333333339</v>
          </cell>
          <cell r="AX11">
            <v>6007</v>
          </cell>
          <cell r="AY11">
            <v>5861.5</v>
          </cell>
          <cell r="BA11">
            <v>6079.0266666666666</v>
          </cell>
          <cell r="BB11">
            <v>6181</v>
          </cell>
          <cell r="BC11">
            <v>6213</v>
          </cell>
          <cell r="BD11">
            <v>6476</v>
          </cell>
          <cell r="BE11">
            <v>6310.6</v>
          </cell>
          <cell r="BG11">
            <v>6528</v>
          </cell>
          <cell r="BH11">
            <v>6874</v>
          </cell>
          <cell r="BI11">
            <v>7109.2</v>
          </cell>
          <cell r="BJ11">
            <v>7142.6260869565222</v>
          </cell>
          <cell r="BK11">
            <v>6985.6</v>
          </cell>
          <cell r="BM11">
            <v>7390.7999999999993</v>
          </cell>
          <cell r="BN11">
            <v>7755.6</v>
          </cell>
          <cell r="BO11">
            <v>8074.8</v>
          </cell>
          <cell r="BP11">
            <v>8353.2000000000007</v>
          </cell>
        </row>
        <row r="12">
          <cell r="A12" t="str">
            <v>Average Licensed Beds Per Hospital</v>
          </cell>
          <cell r="C12">
            <v>91.611111111111114</v>
          </cell>
          <cell r="D12">
            <v>91.83098591549296</v>
          </cell>
          <cell r="E12">
            <v>90.416666666666671</v>
          </cell>
          <cell r="F12">
            <v>88.871794871794876</v>
          </cell>
          <cell r="G12">
            <v>89.865853658536579</v>
          </cell>
          <cell r="H12">
            <v>90.196428571428569</v>
          </cell>
          <cell r="I12">
            <v>91.011494252873561</v>
          </cell>
          <cell r="J12">
            <v>90.455555555555549</v>
          </cell>
          <cell r="K12">
            <v>90.095057034220531</v>
          </cell>
          <cell r="L12">
            <v>90.597826086956516</v>
          </cell>
          <cell r="M12">
            <v>90.194736842105257</v>
          </cell>
          <cell r="N12">
            <v>90.002564102564108</v>
          </cell>
          <cell r="O12">
            <v>89.990196078431367</v>
          </cell>
          <cell r="P12">
            <v>95.349152542372892</v>
          </cell>
          <cell r="Q12">
            <v>90.15384615384616</v>
          </cell>
          <cell r="R12">
            <v>90.819047619047623</v>
          </cell>
          <cell r="S12">
            <v>91.429906542056074</v>
          </cell>
          <cell r="T12">
            <v>94.578947368421055</v>
          </cell>
          <cell r="U12">
            <v>92.126153846153855</v>
          </cell>
          <cell r="W12">
            <v>97.482758620689651</v>
          </cell>
          <cell r="X12">
            <v>100.26271186440678</v>
          </cell>
          <cell r="Y12">
            <v>102.28055555555555</v>
          </cell>
          <cell r="Z12">
            <v>99.459677419354833</v>
          </cell>
          <cell r="AA12">
            <v>99.851239669421489</v>
          </cell>
          <cell r="AC12">
            <v>104.84210526315789</v>
          </cell>
          <cell r="AD12">
            <v>99.528571428571425</v>
          </cell>
          <cell r="AE12">
            <v>104.98591549295774</v>
          </cell>
          <cell r="AF12">
            <v>107.47539251207729</v>
          </cell>
          <cell r="AG12">
            <v>103.68735083532219</v>
          </cell>
          <cell r="AH12">
            <v>68.541666666666671</v>
          </cell>
          <cell r="AI12">
            <v>68.541666666666671</v>
          </cell>
          <cell r="AJ12">
            <v>89.233100233100231</v>
          </cell>
          <cell r="AK12">
            <v>111.6830985915493</v>
          </cell>
          <cell r="AL12">
            <v>94.165266106442559</v>
          </cell>
          <cell r="AN12">
            <v>80</v>
          </cell>
          <cell r="AO12">
            <v>88.515625</v>
          </cell>
          <cell r="AR12">
            <v>107.3623188405797</v>
          </cell>
          <cell r="AS12">
            <v>110.68115942028986</v>
          </cell>
          <cell r="AT12">
            <v>109.02173913043478</v>
          </cell>
          <cell r="AU12">
            <v>111.046875</v>
          </cell>
          <cell r="AV12">
            <v>111.046875</v>
          </cell>
          <cell r="AW12">
            <v>110.78717948717947</v>
          </cell>
          <cell r="AX12">
            <v>112.11363636363636</v>
          </cell>
          <cell r="AY12">
            <v>111.56748466257667</v>
          </cell>
          <cell r="BA12">
            <v>111.34378109452737</v>
          </cell>
          <cell r="BB12">
            <v>113.05970149253731</v>
          </cell>
          <cell r="BC12">
            <v>113.83703703703704</v>
          </cell>
          <cell r="BD12">
            <v>113.91428571428571</v>
          </cell>
          <cell r="BE12">
            <v>113.41228070175437</v>
          </cell>
          <cell r="BG12">
            <v>113.71830985915493</v>
          </cell>
          <cell r="BH12">
            <v>113.83561643835617</v>
          </cell>
          <cell r="BI12">
            <v>117.64238410596026</v>
          </cell>
          <cell r="BJ12">
            <v>115.89328063241106</v>
          </cell>
          <cell r="BK12">
            <v>115.11640211640211</v>
          </cell>
          <cell r="BM12">
            <v>114</v>
          </cell>
          <cell r="BN12">
            <v>114</v>
          </cell>
          <cell r="BO12">
            <v>114</v>
          </cell>
          <cell r="BP12">
            <v>118</v>
          </cell>
        </row>
        <row r="13">
          <cell r="A13" t="str">
            <v>Average Beds In Service Per Hospital</v>
          </cell>
          <cell r="C13">
            <v>69.972222222222229</v>
          </cell>
          <cell r="D13">
            <v>68.028169014084511</v>
          </cell>
          <cell r="E13">
            <v>67.416666666666671</v>
          </cell>
          <cell r="F13">
            <v>68.192307692307693</v>
          </cell>
          <cell r="G13">
            <v>69.853658536585371</v>
          </cell>
          <cell r="H13">
            <v>70.535714285714292</v>
          </cell>
          <cell r="I13">
            <v>69.540229885057471</v>
          </cell>
          <cell r="J13">
            <v>68.888888888888886</v>
          </cell>
          <cell r="K13">
            <v>69.153992395437257</v>
          </cell>
          <cell r="L13">
            <v>69.239130434782609</v>
          </cell>
          <cell r="M13">
            <v>69.494736842105269</v>
          </cell>
          <cell r="N13">
            <v>69.353846153846149</v>
          </cell>
          <cell r="O13">
            <v>68.568627450980387</v>
          </cell>
          <cell r="P13">
            <v>69.132203389830508</v>
          </cell>
          <cell r="Q13">
            <v>66.038461538461533</v>
          </cell>
          <cell r="R13">
            <v>66.695238095238096</v>
          </cell>
          <cell r="S13">
            <v>70.186915887850461</v>
          </cell>
          <cell r="T13">
            <v>74.576576576576571</v>
          </cell>
          <cell r="U13">
            <v>68.907692307692315</v>
          </cell>
          <cell r="W13">
            <v>77.758620689655174</v>
          </cell>
          <cell r="X13">
            <v>76.372881355932208</v>
          </cell>
          <cell r="Y13">
            <v>75.715108612965935</v>
          </cell>
          <cell r="Z13">
            <v>76.796879302870266</v>
          </cell>
          <cell r="AA13">
            <v>75.703772865933516</v>
          </cell>
          <cell r="AC13">
            <v>77.759398496240607</v>
          </cell>
          <cell r="AD13">
            <v>77.092857142857142</v>
          </cell>
          <cell r="AE13">
            <v>84.464788732394368</v>
          </cell>
          <cell r="AF13">
            <v>85.833333333333329</v>
          </cell>
          <cell r="AG13">
            <v>81.424224343675419</v>
          </cell>
          <cell r="AH13">
            <v>69.270833333333329</v>
          </cell>
          <cell r="AI13">
            <v>85.930555555555557</v>
          </cell>
          <cell r="AJ13">
            <v>86</v>
          </cell>
          <cell r="AK13">
            <v>90.042253521126767</v>
          </cell>
          <cell r="AL13">
            <v>88.095238095238088</v>
          </cell>
          <cell r="AN13">
            <v>80</v>
          </cell>
          <cell r="AO13">
            <v>88.515625</v>
          </cell>
          <cell r="AR13">
            <v>83.304347826086953</v>
          </cell>
          <cell r="AS13">
            <v>87.550724637681157</v>
          </cell>
          <cell r="AT13">
            <v>85.427536231884062</v>
          </cell>
          <cell r="AU13">
            <v>89.3125</v>
          </cell>
          <cell r="AV13">
            <v>89.3125</v>
          </cell>
          <cell r="AW13">
            <v>86</v>
          </cell>
          <cell r="AX13">
            <v>91.015151515151516</v>
          </cell>
          <cell r="AY13">
            <v>89.900306748466249</v>
          </cell>
          <cell r="BA13">
            <v>90.731741293532338</v>
          </cell>
          <cell r="BB13">
            <v>92.253731343283576</v>
          </cell>
          <cell r="BC13">
            <v>92.044444444444451</v>
          </cell>
          <cell r="BD13">
            <v>93</v>
          </cell>
          <cell r="BE13">
            <v>92.260233918128648</v>
          </cell>
          <cell r="BG13">
            <v>91.943661971830991</v>
          </cell>
          <cell r="BH13">
            <v>94.164383561643831</v>
          </cell>
          <cell r="BI13">
            <v>94.161589403973508</v>
          </cell>
          <cell r="BJ13">
            <v>92.761377752682108</v>
          </cell>
          <cell r="BK13">
            <v>92.40211640211642</v>
          </cell>
          <cell r="BM13">
            <v>92.384999999999991</v>
          </cell>
          <cell r="BN13">
            <v>92.328571428571436</v>
          </cell>
          <cell r="BO13">
            <v>92.283428571428573</v>
          </cell>
          <cell r="BP13">
            <v>92.300552486187854</v>
          </cell>
        </row>
        <row r="14">
          <cell r="A14" t="str">
            <v>Average Beds In Service Per Hospital</v>
          </cell>
          <cell r="C14">
            <v>69.972222222222229</v>
          </cell>
          <cell r="D14">
            <v>68.028169014084511</v>
          </cell>
          <cell r="E14">
            <v>67.416666666666671</v>
          </cell>
          <cell r="F14">
            <v>68.192307692307693</v>
          </cell>
          <cell r="G14">
            <v>69.853658536585371</v>
          </cell>
          <cell r="H14">
            <v>70.535714285714292</v>
          </cell>
          <cell r="I14">
            <v>69.540229885057471</v>
          </cell>
          <cell r="J14">
            <v>68.888888888888886</v>
          </cell>
          <cell r="K14">
            <v>69.153992395437257</v>
          </cell>
          <cell r="L14">
            <v>69.239130434782609</v>
          </cell>
          <cell r="M14">
            <v>69.494736842105269</v>
          </cell>
          <cell r="N14">
            <v>69.353846153846149</v>
          </cell>
          <cell r="O14">
            <v>68.568627450980387</v>
          </cell>
          <cell r="P14">
            <v>69.132203389830508</v>
          </cell>
          <cell r="Q14">
            <v>66.038461538461533</v>
          </cell>
          <cell r="R14">
            <v>66.695238095238096</v>
          </cell>
          <cell r="S14">
            <v>70.186915887850461</v>
          </cell>
          <cell r="T14">
            <v>74.576576576576571</v>
          </cell>
          <cell r="U14">
            <v>68.907692307692315</v>
          </cell>
          <cell r="W14">
            <v>77.758620689655174</v>
          </cell>
          <cell r="X14">
            <v>76.372881355932208</v>
          </cell>
          <cell r="Y14">
            <v>75.715108612965935</v>
          </cell>
          <cell r="Z14">
            <v>76.796879302870266</v>
          </cell>
          <cell r="AA14">
            <v>75.703772865933516</v>
          </cell>
          <cell r="AC14">
            <v>77.759398496240607</v>
          </cell>
          <cell r="AD14">
            <v>77.092857142857142</v>
          </cell>
          <cell r="AE14">
            <v>84.464788732394368</v>
          </cell>
          <cell r="AF14">
            <v>85.833333333333329</v>
          </cell>
          <cell r="AG14">
            <v>81.424224343675419</v>
          </cell>
          <cell r="AH14">
            <v>69.270833333333329</v>
          </cell>
          <cell r="AI14">
            <v>85.930555555555557</v>
          </cell>
          <cell r="AJ14">
            <v>86</v>
          </cell>
          <cell r="AK14">
            <v>90.042253521126767</v>
          </cell>
          <cell r="AL14">
            <v>88.095238095238088</v>
          </cell>
          <cell r="AN14">
            <v>80</v>
          </cell>
          <cell r="AO14">
            <v>88.515625</v>
          </cell>
          <cell r="AR14">
            <v>83.304347826086953</v>
          </cell>
          <cell r="AS14">
            <v>87.550724637681157</v>
          </cell>
          <cell r="AT14">
            <v>85.427536231884062</v>
          </cell>
          <cell r="AU14">
            <v>89.3125</v>
          </cell>
          <cell r="AV14">
            <v>89.3125</v>
          </cell>
          <cell r="AW14">
            <v>86</v>
          </cell>
          <cell r="AX14">
            <v>91.015151515151516</v>
          </cell>
          <cell r="AY14">
            <v>89.900306748466249</v>
          </cell>
          <cell r="BA14">
            <v>90.910845771144281</v>
          </cell>
          <cell r="BB14">
            <v>92.343283582089555</v>
          </cell>
          <cell r="BC14">
            <v>92.044444444444451</v>
          </cell>
          <cell r="BD14">
            <v>93</v>
          </cell>
        </row>
        <row r="15">
          <cell r="A15" t="str">
            <v>Admissions</v>
          </cell>
          <cell r="C15">
            <v>76347</v>
          </cell>
          <cell r="D15">
            <v>75122</v>
          </cell>
          <cell r="E15">
            <v>88103</v>
          </cell>
          <cell r="F15">
            <v>100114</v>
          </cell>
          <cell r="G15">
            <v>31516</v>
          </cell>
          <cell r="H15">
            <v>28301</v>
          </cell>
          <cell r="I15">
            <v>28636</v>
          </cell>
          <cell r="J15">
            <v>31961</v>
          </cell>
          <cell r="K15">
            <v>120414</v>
          </cell>
          <cell r="L15">
            <v>34704</v>
          </cell>
          <cell r="M15">
            <v>33610</v>
          </cell>
          <cell r="N15">
            <v>36576</v>
          </cell>
          <cell r="O15">
            <v>38420</v>
          </cell>
          <cell r="P15">
            <v>143310</v>
          </cell>
          <cell r="Q15">
            <v>42882</v>
          </cell>
          <cell r="R15">
            <v>39677</v>
          </cell>
          <cell r="S15">
            <v>40772</v>
          </cell>
          <cell r="T15">
            <v>46243</v>
          </cell>
          <cell r="U15">
            <v>169574</v>
          </cell>
          <cell r="V15">
            <v>0</v>
          </cell>
          <cell r="W15">
            <v>53515</v>
          </cell>
          <cell r="X15">
            <v>50771</v>
          </cell>
          <cell r="Y15">
            <v>52032</v>
          </cell>
          <cell r="Z15">
            <v>53649</v>
          </cell>
          <cell r="AA15">
            <v>209967</v>
          </cell>
          <cell r="AB15">
            <v>0</v>
          </cell>
          <cell r="AC15">
            <v>61648</v>
          </cell>
          <cell r="AD15">
            <v>57979</v>
          </cell>
          <cell r="AE15">
            <v>64264</v>
          </cell>
          <cell r="AF15">
            <v>70976</v>
          </cell>
          <cell r="AG15">
            <v>254867</v>
          </cell>
          <cell r="AH15">
            <v>72633</v>
          </cell>
          <cell r="AI15">
            <v>69145</v>
          </cell>
          <cell r="AJ15">
            <v>69208</v>
          </cell>
          <cell r="AK15">
            <v>70706</v>
          </cell>
          <cell r="AL15">
            <v>279678</v>
          </cell>
          <cell r="AM15">
            <v>0</v>
          </cell>
          <cell r="AN15">
            <v>205607</v>
          </cell>
          <cell r="AO15">
            <v>238774</v>
          </cell>
          <cell r="AR15">
            <v>63297</v>
          </cell>
          <cell r="AS15">
            <v>70035</v>
          </cell>
          <cell r="AT15">
            <v>250901</v>
          </cell>
          <cell r="AU15">
            <v>68257</v>
          </cell>
          <cell r="AV15">
            <v>65097</v>
          </cell>
          <cell r="AW15">
            <v>66269</v>
          </cell>
          <cell r="AX15">
            <v>67767</v>
          </cell>
          <cell r="AY15">
            <v>267390</v>
          </cell>
          <cell r="AZ15">
            <v>0</v>
          </cell>
          <cell r="BA15">
            <v>75490</v>
          </cell>
          <cell r="BB15">
            <v>70844</v>
          </cell>
          <cell r="BC15">
            <v>71337</v>
          </cell>
          <cell r="BD15">
            <v>73962</v>
          </cell>
          <cell r="BE15">
            <v>291633</v>
          </cell>
          <cell r="BF15">
            <v>0</v>
          </cell>
          <cell r="BG15">
            <v>78966</v>
          </cell>
          <cell r="BH15">
            <v>78248</v>
          </cell>
          <cell r="BI15">
            <v>79382.327843070976</v>
          </cell>
          <cell r="BJ15">
            <v>80759.740817949889</v>
          </cell>
          <cell r="BK15">
            <v>317356.06866102084</v>
          </cell>
          <cell r="BL15">
            <v>0</v>
          </cell>
          <cell r="BM15">
            <v>340746.82833585993</v>
          </cell>
          <cell r="BN15">
            <v>357565.63590431289</v>
          </cell>
          <cell r="BO15">
            <v>372282.09252670914</v>
          </cell>
          <cell r="BP15">
            <v>385117.49830263376</v>
          </cell>
          <cell r="BS15" t="str">
            <v>mstag:hospitalAdmissions</v>
          </cell>
          <cell r="BT15">
            <v>0</v>
          </cell>
          <cell r="BU15" t="str">
            <v>ms_eqr_gcim_Decimal:ms_eqr_gcim_decimal</v>
          </cell>
          <cell r="BV15" t="b">
            <v>0</v>
          </cell>
          <cell r="BW15" t="b">
            <v>0</v>
          </cell>
        </row>
        <row r="16">
          <cell r="A16" t="str">
            <v>% Change (historicals same-store)</v>
          </cell>
          <cell r="C16" t="str">
            <v>N/A</v>
          </cell>
          <cell r="D16" t="str">
            <v>N/A</v>
          </cell>
          <cell r="E16" t="str">
            <v>N/A</v>
          </cell>
          <cell r="F16">
            <v>7.5999999999999998E-2</v>
          </cell>
          <cell r="G16">
            <v>0.08</v>
          </cell>
          <cell r="H16">
            <v>2.9000000000000001E-2</v>
          </cell>
          <cell r="I16">
            <v>1.7999999999999999E-2</v>
          </cell>
          <cell r="J16">
            <v>6.8000000000000005E-2</v>
          </cell>
          <cell r="K16">
            <v>4.8750000000000002E-2</v>
          </cell>
          <cell r="L16">
            <v>1.7000000000000001E-2</v>
          </cell>
          <cell r="M16">
            <v>7.8E-2</v>
          </cell>
          <cell r="N16">
            <v>0.112</v>
          </cell>
          <cell r="O16">
            <v>5.1999999999999998E-2</v>
          </cell>
          <cell r="P16">
            <v>6.3E-2</v>
          </cell>
          <cell r="Q16">
            <v>6.7000000000000004E-2</v>
          </cell>
          <cell r="R16">
            <v>5.1999999999999998E-2</v>
          </cell>
          <cell r="S16">
            <v>1.9E-2</v>
          </cell>
          <cell r="T16">
            <v>2.1999999999999999E-2</v>
          </cell>
          <cell r="U16">
            <v>3.9E-2</v>
          </cell>
          <cell r="V16">
            <v>0</v>
          </cell>
          <cell r="W16">
            <v>3.1E-2</v>
          </cell>
          <cell r="X16">
            <v>4.5999999999999999E-2</v>
          </cell>
          <cell r="Y16">
            <v>6.0999999999999999E-2</v>
          </cell>
          <cell r="Z16">
            <v>3.6935319940315292E-2</v>
          </cell>
          <cell r="AA16">
            <v>4.3999999999999997E-2</v>
          </cell>
          <cell r="AB16">
            <v>0</v>
          </cell>
          <cell r="AC16">
            <v>-4.0000000000000001E-3</v>
          </cell>
          <cell r="AD16">
            <v>-8.8830237734139894E-3</v>
          </cell>
          <cell r="AE16">
            <v>0.01</v>
          </cell>
          <cell r="AF16">
            <v>4.2468517618923007E-2</v>
          </cell>
          <cell r="AG16">
            <v>1.0070000000000001E-2</v>
          </cell>
          <cell r="AH16">
            <v>1.9E-2</v>
          </cell>
          <cell r="AI16">
            <v>3.3000000000000002E-2</v>
          </cell>
          <cell r="AJ16">
            <v>-1.7000000000000001E-2</v>
          </cell>
          <cell r="AK16">
            <v>-3.4448256146369371E-2</v>
          </cell>
          <cell r="AL16">
            <v>-1.5692114312249039E-3</v>
          </cell>
          <cell r="AM16">
            <v>0</v>
          </cell>
          <cell r="AN16">
            <v>4.3999999999999997E-2</v>
          </cell>
          <cell r="AO16" t="str">
            <v>N/A</v>
          </cell>
          <cell r="AR16">
            <v>0.01</v>
          </cell>
          <cell r="AS16">
            <v>4.2468517618923007E-2</v>
          </cell>
          <cell r="AT16">
            <v>1.2E-2</v>
          </cell>
          <cell r="AU16">
            <v>1.9E-2</v>
          </cell>
          <cell r="AV16">
            <v>3.3000000000000002E-2</v>
          </cell>
          <cell r="AW16">
            <v>-1.7000000000000001E-2</v>
          </cell>
          <cell r="AX16">
            <v>-3.4448256146369371E-2</v>
          </cell>
          <cell r="AY16">
            <v>-1.5692114312249039E-3</v>
          </cell>
          <cell r="AZ16">
            <v>0</v>
          </cell>
          <cell r="BA16">
            <v>0.04</v>
          </cell>
          <cell r="BB16">
            <v>3.0000000000000001E-3</v>
          </cell>
          <cell r="BC16">
            <v>2.3495148561167412E-2</v>
          </cell>
          <cell r="BD16">
            <v>1.4999999999999999E-2</v>
          </cell>
          <cell r="BE16">
            <v>2.1000000000000001E-2</v>
          </cell>
          <cell r="BG16">
            <v>-2.4E-2</v>
          </cell>
          <cell r="BH16">
            <v>1.0999999999999999E-2</v>
          </cell>
          <cell r="BI16">
            <v>0.11277917270239812</v>
          </cell>
          <cell r="BJ16">
            <v>9.1908558691623954E-2</v>
          </cell>
          <cell r="BK16">
            <v>8.8203559477222582E-2</v>
          </cell>
          <cell r="BM16">
            <v>7.370509652936108E-2</v>
          </cell>
          <cell r="BN16">
            <v>4.9358662120474239E-2</v>
          </cell>
          <cell r="BO16">
            <v>4.1157357264428152E-2</v>
          </cell>
          <cell r="BP16">
            <v>3.4477634120968936E-2</v>
          </cell>
          <cell r="BS16" t="str">
            <v>mstag:hospitalAdmissionsSameStoreGrowth</v>
          </cell>
          <cell r="BT16">
            <v>0</v>
          </cell>
          <cell r="BU16" t="str">
            <v>ms_eqr_gcim_Decimal:ms_eqr_gcim_decimal</v>
          </cell>
          <cell r="BV16" t="b">
            <v>0</v>
          </cell>
          <cell r="BW16" t="b">
            <v>0</v>
          </cell>
        </row>
        <row r="17">
          <cell r="A17" t="str">
            <v>Adjusted Admissions</v>
          </cell>
          <cell r="C17">
            <v>118042</v>
          </cell>
          <cell r="D17">
            <v>124195</v>
          </cell>
          <cell r="E17">
            <v>153618</v>
          </cell>
          <cell r="F17">
            <v>177075</v>
          </cell>
          <cell r="G17">
            <v>53613</v>
          </cell>
          <cell r="H17">
            <v>51784</v>
          </cell>
          <cell r="I17">
            <v>53479</v>
          </cell>
          <cell r="J17">
            <v>58130</v>
          </cell>
          <cell r="K17">
            <v>217006</v>
          </cell>
          <cell r="L17">
            <v>62309</v>
          </cell>
          <cell r="M17">
            <v>63785</v>
          </cell>
          <cell r="N17">
            <v>67555</v>
          </cell>
          <cell r="O17">
            <v>68846</v>
          </cell>
          <cell r="P17">
            <v>262419</v>
          </cell>
          <cell r="Q17">
            <v>76137</v>
          </cell>
          <cell r="R17">
            <v>73546</v>
          </cell>
          <cell r="S17">
            <v>76905</v>
          </cell>
          <cell r="T17">
            <v>84551</v>
          </cell>
          <cell r="U17">
            <v>311238</v>
          </cell>
          <cell r="V17">
            <v>99</v>
          </cell>
          <cell r="W17">
            <v>96281</v>
          </cell>
          <cell r="X17">
            <v>94871</v>
          </cell>
          <cell r="Y17">
            <v>97848</v>
          </cell>
          <cell r="Z17">
            <v>98292</v>
          </cell>
          <cell r="AA17">
            <v>387311</v>
          </cell>
          <cell r="AB17">
            <v>19</v>
          </cell>
          <cell r="AC17">
            <v>110730</v>
          </cell>
          <cell r="AD17">
            <v>107096</v>
          </cell>
          <cell r="AE17">
            <v>119640</v>
          </cell>
          <cell r="AF17">
            <v>128313</v>
          </cell>
          <cell r="AG17">
            <v>465867</v>
          </cell>
          <cell r="AH17">
            <v>130972</v>
          </cell>
          <cell r="AI17">
            <v>128265</v>
          </cell>
          <cell r="AJ17">
            <v>131301</v>
          </cell>
          <cell r="AK17">
            <v>131531</v>
          </cell>
          <cell r="AL17">
            <v>518603</v>
          </cell>
          <cell r="AM17">
            <v>88</v>
          </cell>
          <cell r="AN17">
            <v>379604</v>
          </cell>
          <cell r="AO17">
            <v>434570</v>
          </cell>
          <cell r="AR17">
            <v>117895</v>
          </cell>
          <cell r="AS17">
            <v>126625</v>
          </cell>
          <cell r="AT17">
            <v>458709</v>
          </cell>
          <cell r="AU17">
            <v>122842</v>
          </cell>
          <cell r="AV17">
            <v>120287</v>
          </cell>
          <cell r="AW17">
            <v>125047</v>
          </cell>
          <cell r="AX17">
            <v>125513</v>
          </cell>
          <cell r="AY17">
            <v>493776</v>
          </cell>
          <cell r="AZ17">
            <v>87</v>
          </cell>
          <cell r="BA17">
            <v>134513</v>
          </cell>
          <cell r="BB17">
            <v>132764</v>
          </cell>
          <cell r="BC17">
            <v>134952</v>
          </cell>
          <cell r="BD17">
            <v>136195</v>
          </cell>
          <cell r="BE17">
            <v>538445</v>
          </cell>
          <cell r="BF17">
            <v>21</v>
          </cell>
          <cell r="BG17">
            <v>143168</v>
          </cell>
          <cell r="BH17">
            <v>147223</v>
          </cell>
          <cell r="BI17">
            <v>150171.77491453403</v>
          </cell>
          <cell r="BJ17">
            <v>148712.48615100572</v>
          </cell>
          <cell r="BK17">
            <v>589275.26106553979</v>
          </cell>
          <cell r="BL17">
            <v>0</v>
          </cell>
          <cell r="BM17">
            <v>630381.63242134091</v>
          </cell>
          <cell r="BN17">
            <v>661496.42642297887</v>
          </cell>
          <cell r="BO17">
            <v>688721.87117441196</v>
          </cell>
          <cell r="BP17">
            <v>712467.37185987248</v>
          </cell>
          <cell r="BS17" t="str">
            <v>mstag:adjustedHospitalAdmissions</v>
          </cell>
          <cell r="BT17">
            <v>0</v>
          </cell>
          <cell r="BU17" t="str">
            <v>ms_eqr_gcim_Decimal:ms_eqr_gcim_decimal</v>
          </cell>
          <cell r="BV17" t="b">
            <v>0</v>
          </cell>
          <cell r="BW17" t="b">
            <v>0</v>
          </cell>
        </row>
        <row r="18">
          <cell r="A18" t="str">
            <v>% Change (historicals same-store)</v>
          </cell>
          <cell r="C18" t="str">
            <v>N/A</v>
          </cell>
          <cell r="D18" t="str">
            <v>N/A</v>
          </cell>
          <cell r="E18" t="str">
            <v>N/A</v>
          </cell>
          <cell r="F18" t="str">
            <v>N/A</v>
          </cell>
          <cell r="G18" t="str">
            <v>N/A</v>
          </cell>
          <cell r="H18" t="str">
            <v>N/A</v>
          </cell>
          <cell r="I18" t="str">
            <v>N/A</v>
          </cell>
          <cell r="J18" t="str">
            <v>N/A</v>
          </cell>
          <cell r="K18">
            <v>7.6999999999999999E-2</v>
          </cell>
          <cell r="L18">
            <v>6.5000000000000002E-2</v>
          </cell>
          <cell r="M18">
            <v>0.106</v>
          </cell>
          <cell r="N18">
            <v>9.2999999999999999E-2</v>
          </cell>
          <cell r="O18">
            <v>3.4000000000000002E-2</v>
          </cell>
          <cell r="P18">
            <v>7.2999999999999995E-2</v>
          </cell>
          <cell r="Q18">
            <v>5.5E-2</v>
          </cell>
          <cell r="R18">
            <v>3.1E-2</v>
          </cell>
          <cell r="S18">
            <v>4.3999999999999997E-2</v>
          </cell>
          <cell r="T18">
            <v>4.7E-2</v>
          </cell>
          <cell r="U18">
            <v>4.4999999999999998E-2</v>
          </cell>
          <cell r="V18">
            <v>99</v>
          </cell>
          <cell r="W18">
            <v>4.3999999999999997E-2</v>
          </cell>
          <cell r="X18">
            <v>6.4000000000000001E-2</v>
          </cell>
          <cell r="Y18">
            <v>0.06</v>
          </cell>
          <cell r="Z18">
            <v>3.9727501744509341E-2</v>
          </cell>
          <cell r="AA18">
            <v>5.0999999999999997E-2</v>
          </cell>
          <cell r="AB18">
            <v>19</v>
          </cell>
          <cell r="AC18">
            <v>-0.01</v>
          </cell>
          <cell r="AD18">
            <v>-2.1323692171474895E-2</v>
          </cell>
          <cell r="AE18">
            <v>-0.01</v>
          </cell>
          <cell r="AF18">
            <v>2.3808552309450004E-2</v>
          </cell>
          <cell r="AG18">
            <v>-4.2501078674792581E-3</v>
          </cell>
          <cell r="AH18">
            <v>2.1000000000000001E-2</v>
          </cell>
          <cell r="AI18">
            <v>3.5999999999999997E-2</v>
          </cell>
          <cell r="AJ18">
            <v>0.01</v>
          </cell>
          <cell r="AK18">
            <v>-1.3139378607004537E-2</v>
          </cell>
          <cell r="AL18">
            <v>1.2617184592278674E-2</v>
          </cell>
          <cell r="AM18">
            <v>88</v>
          </cell>
          <cell r="AN18">
            <v>5.0999999999999997E-2</v>
          </cell>
          <cell r="AO18" t="str">
            <v>N/A</v>
          </cell>
          <cell r="AR18">
            <v>-0.01</v>
          </cell>
          <cell r="AS18">
            <v>2.3808552309450004E-2</v>
          </cell>
          <cell r="AT18">
            <v>-3.0000000000000001E-3</v>
          </cell>
          <cell r="AU18">
            <v>2.1000000000000001E-2</v>
          </cell>
          <cell r="AV18">
            <v>3.5999999999999997E-2</v>
          </cell>
          <cell r="AW18">
            <v>0.01</v>
          </cell>
          <cell r="AX18">
            <v>-1.3139378607004537E-2</v>
          </cell>
          <cell r="AY18">
            <v>1.2E-2</v>
          </cell>
          <cell r="AZ18">
            <v>87</v>
          </cell>
          <cell r="BA18">
            <v>2.8000000000000001E-2</v>
          </cell>
          <cell r="BB18">
            <v>1.2999999999999999E-2</v>
          </cell>
          <cell r="BC18">
            <v>2.601421865378617E-2</v>
          </cell>
          <cell r="BD18">
            <v>5.0000000000000001E-3</v>
          </cell>
          <cell r="BE18">
            <v>1.7999999999999999E-2</v>
          </cell>
          <cell r="BG18">
            <v>-8.9999999999999993E-3</v>
          </cell>
          <cell r="BH18">
            <v>5.0000000000000001E-3</v>
          </cell>
          <cell r="BI18">
            <v>0.11277917270239812</v>
          </cell>
          <cell r="BJ18">
            <v>9.1908558691623954E-2</v>
          </cell>
          <cell r="BK18">
            <v>9.4401955753214972E-2</v>
          </cell>
          <cell r="BM18">
            <v>6.9757503957440514E-2</v>
          </cell>
          <cell r="BN18">
            <v>4.9358662120474239E-2</v>
          </cell>
          <cell r="BO18">
            <v>4.1157357264428152E-2</v>
          </cell>
          <cell r="BP18">
            <v>3.4477634120968936E-2</v>
          </cell>
          <cell r="BS18" t="str">
            <v>mstag:adjustedHospitalAdmissionsSameStoreGrowth</v>
          </cell>
          <cell r="BT18">
            <v>0</v>
          </cell>
          <cell r="BU18" t="str">
            <v>ms_eqr_gcim_Decimal:ms_eqr_gcim_decimal</v>
          </cell>
          <cell r="BV18" t="b">
            <v>0</v>
          </cell>
          <cell r="BW18" t="b">
            <v>0</v>
          </cell>
        </row>
        <row r="19">
          <cell r="A19" t="str">
            <v>Revenue Per Admission</v>
          </cell>
          <cell r="C19">
            <v>4635.9830772656424</v>
          </cell>
          <cell r="D19">
            <v>5051.5295119938237</v>
          </cell>
          <cell r="E19">
            <v>4929.5029681168635</v>
          </cell>
          <cell r="F19">
            <v>4754.5903669816416</v>
          </cell>
          <cell r="G19">
            <v>4631.5274781063599</v>
          </cell>
          <cell r="H19">
            <v>4824.2090032154301</v>
          </cell>
          <cell r="I19">
            <v>4725.3901382874701</v>
          </cell>
          <cell r="J19">
            <v>4734.5765151278129</v>
          </cell>
          <cell r="K19">
            <v>4726.4872107894435</v>
          </cell>
          <cell r="L19">
            <v>4660.3597279852465</v>
          </cell>
          <cell r="M19">
            <v>4614.0881880392744</v>
          </cell>
          <cell r="N19">
            <v>4746.845718503937</v>
          </cell>
          <cell r="O19">
            <v>5084.3894586153046</v>
          </cell>
          <cell r="P19">
            <v>4759.7900355871889</v>
          </cell>
          <cell r="Q19">
            <v>4880.5705190989229</v>
          </cell>
          <cell r="R19">
            <v>5011.7414119011009</v>
          </cell>
          <cell r="S19">
            <v>5200.4714264691456</v>
          </cell>
          <cell r="T19">
            <v>5483.0690482883901</v>
          </cell>
          <cell r="U19">
            <v>5152.4801679502762</v>
          </cell>
          <cell r="W19">
            <v>5263.9079136690643</v>
          </cell>
          <cell r="X19">
            <v>5402.9050836107226</v>
          </cell>
          <cell r="Y19">
            <v>5546.2600322878225</v>
          </cell>
          <cell r="Z19">
            <v>5796.7935096646734</v>
          </cell>
          <cell r="AA19">
            <v>5503.6463015616755</v>
          </cell>
          <cell r="AC19">
            <v>5678.6284550999226</v>
          </cell>
          <cell r="AD19">
            <v>5691.0447920798906</v>
          </cell>
          <cell r="AE19">
            <v>5647.9061994273634</v>
          </cell>
          <cell r="AF19">
            <v>5768.7314021641114</v>
          </cell>
          <cell r="AG19">
            <v>5698.7985772971788</v>
          </cell>
          <cell r="AH19">
            <v>5808.3638015777951</v>
          </cell>
          <cell r="AI19">
            <v>5930.8579940704321</v>
          </cell>
          <cell r="AJ19">
            <v>6049.0241590567557</v>
          </cell>
          <cell r="AK19">
            <v>6262.6917659038836</v>
          </cell>
          <cell r="AL19">
            <v>6017.5763020330523</v>
          </cell>
          <cell r="AN19">
            <v>5524.0171784034601</v>
          </cell>
          <cell r="AO19">
            <v>5739.2272190439498</v>
          </cell>
          <cell r="AR19">
            <v>5652.3041218383178</v>
          </cell>
          <cell r="AS19">
            <v>5789.8979653030638</v>
          </cell>
          <cell r="AT19">
            <v>5718.3548810088441</v>
          </cell>
          <cell r="AU19">
            <v>5850.0022561788546</v>
          </cell>
          <cell r="AV19">
            <v>5970.1435089174611</v>
          </cell>
          <cell r="AW19">
            <v>6076.1478217567801</v>
          </cell>
          <cell r="AX19">
            <v>6301.5553292900677</v>
          </cell>
          <cell r="AY19">
            <v>6049.739242305247</v>
          </cell>
          <cell r="BA19">
            <v>6244.383322294344</v>
          </cell>
          <cell r="BB19">
            <v>6535.9645418101745</v>
          </cell>
          <cell r="BC19">
            <v>6539.2858965193382</v>
          </cell>
          <cell r="BD19">
            <v>6798.3537492225742</v>
          </cell>
          <cell r="BE19">
            <v>6527.8457753409248</v>
          </cell>
          <cell r="BG19">
            <v>6617.0257832484858</v>
          </cell>
          <cell r="BH19">
            <v>6752.9507719047133</v>
          </cell>
          <cell r="BI19">
            <v>7144.69090058455</v>
          </cell>
          <cell r="BJ19">
            <v>7077.5244280846937</v>
          </cell>
          <cell r="BK19">
            <v>6899.7142329466433</v>
          </cell>
          <cell r="BM19">
            <v>7147.8239936087248</v>
          </cell>
          <cell r="BN19">
            <v>7682.5362115921453</v>
          </cell>
          <cell r="BO19">
            <v>7951.4249789978712</v>
          </cell>
          <cell r="BP19">
            <v>8229.7248532627946</v>
          </cell>
          <cell r="BS19" t="str">
            <v>mstag:revenuePerAdmission</v>
          </cell>
          <cell r="BT19">
            <v>6</v>
          </cell>
          <cell r="BU19" t="str">
            <v>ISO4217:USD</v>
          </cell>
          <cell r="BV19" t="b">
            <v>0</v>
          </cell>
          <cell r="BW19" t="b">
            <v>0</v>
          </cell>
        </row>
        <row r="20">
          <cell r="A20" t="str">
            <v>% Change (historicals same-store)</v>
          </cell>
          <cell r="C20" t="str">
            <v>N/A</v>
          </cell>
          <cell r="D20" t="str">
            <v>N/A</v>
          </cell>
          <cell r="E20" t="str">
            <v>N/A</v>
          </cell>
          <cell r="F20" t="str">
            <v>N/A</v>
          </cell>
          <cell r="G20" t="str">
            <v>N/A</v>
          </cell>
          <cell r="H20" t="str">
            <v>N/A</v>
          </cell>
          <cell r="I20" t="str">
            <v>N/A</v>
          </cell>
          <cell r="J20" t="str">
            <v>N/A</v>
          </cell>
          <cell r="K20" t="str">
            <v>N/A</v>
          </cell>
          <cell r="L20" t="str">
            <v>N/A</v>
          </cell>
          <cell r="M20" t="str">
            <v>N/A</v>
          </cell>
          <cell r="N20" t="str">
            <v>N/A</v>
          </cell>
          <cell r="O20">
            <v>6.2E-2</v>
          </cell>
          <cell r="P20">
            <v>8.0000000000000002E-3</v>
          </cell>
          <cell r="Q20">
            <v>2.1000000000000001E-2</v>
          </cell>
          <cell r="R20">
            <v>5.8000000000000003E-2</v>
          </cell>
          <cell r="S20">
            <v>9.6000000000000002E-2</v>
          </cell>
          <cell r="T20">
            <v>5.7000000000000002E-2</v>
          </cell>
          <cell r="U20">
            <v>5.6000000000000001E-2</v>
          </cell>
          <cell r="W20">
            <v>4.7E-2</v>
          </cell>
          <cell r="X20">
            <v>5.5275743647826614E-2</v>
          </cell>
          <cell r="Y20">
            <v>6.9588126250631044E-2</v>
          </cell>
          <cell r="Z20">
            <v>6.5800278773059828E-2</v>
          </cell>
          <cell r="AA20">
            <v>5.0999999999999997E-2</v>
          </cell>
          <cell r="AC20">
            <v>9.2999999999999999E-2</v>
          </cell>
          <cell r="AD20">
            <v>6.9514549394751324E-2</v>
          </cell>
          <cell r="AE20">
            <v>3.5000000000000003E-2</v>
          </cell>
          <cell r="AF20">
            <v>2.1393621620942493E-2</v>
          </cell>
          <cell r="AG20">
            <v>5.3741799436927806E-2</v>
          </cell>
          <cell r="AH20">
            <v>3.7544496899551527E-2</v>
          </cell>
          <cell r="AI20">
            <v>2.7997038064001778E-2</v>
          </cell>
          <cell r="AJ20">
            <v>5.5743221011179012E-2</v>
          </cell>
          <cell r="AK20">
            <v>8.4523990228917212E-2</v>
          </cell>
          <cell r="AL20">
            <v>5.0971338431160085E-2</v>
          </cell>
          <cell r="AN20">
            <v>5.0766283524904088E-2</v>
          </cell>
          <cell r="AO20">
            <v>5.3359683794466539E-2</v>
          </cell>
          <cell r="AR20">
            <v>3.5000000000000003E-2</v>
          </cell>
          <cell r="AS20">
            <v>2.1393621620942493E-2</v>
          </cell>
          <cell r="AT20">
            <v>5.3359683794466539E-2</v>
          </cell>
          <cell r="AU20">
            <v>3.7544496899551527E-2</v>
          </cell>
          <cell r="AV20">
            <v>2.7997038064001778E-2</v>
          </cell>
          <cell r="AW20">
            <v>5.5743221011179012E-2</v>
          </cell>
          <cell r="AX20">
            <v>8.4523990228917212E-2</v>
          </cell>
          <cell r="AY20">
            <v>5.0971338431160085E-2</v>
          </cell>
          <cell r="BA20">
            <v>5.6669852165371459E-2</v>
          </cell>
          <cell r="BB20">
            <v>0.10072780589565355</v>
          </cell>
          <cell r="BC20">
            <v>6.7534475399819049E-2</v>
          </cell>
          <cell r="BD20">
            <v>9.0844314600542209E-2</v>
          </cell>
          <cell r="BE20">
            <v>8.0512283369566839E-2</v>
          </cell>
          <cell r="BG20">
            <v>7.2959956987475927E-2</v>
          </cell>
          <cell r="BH20">
            <v>5.6640616746766126E-2</v>
          </cell>
          <cell r="BI20">
            <v>9.2579681274900461E-2</v>
          </cell>
          <cell r="BJ20">
            <v>4.1064453125000178E-2</v>
          </cell>
          <cell r="BK20">
            <v>5.6966489467392023E-2</v>
          </cell>
          <cell r="BM20">
            <v>3.5959425605967654E-2</v>
          </cell>
          <cell r="BN20">
            <v>7.4807692307692131E-2</v>
          </cell>
          <cell r="BO20">
            <v>3.5000000000000142E-2</v>
          </cell>
          <cell r="BP20">
            <v>3.4999999999999698E-2</v>
          </cell>
          <cell r="BS20" t="str">
            <v>mstag:revenuePerAdmissionSameStoreGrowth</v>
          </cell>
          <cell r="BT20">
            <v>0</v>
          </cell>
          <cell r="BU20" t="str">
            <v>ISO4217:USD</v>
          </cell>
          <cell r="BV20" t="b">
            <v>0</v>
          </cell>
          <cell r="BW20" t="b">
            <v>0</v>
          </cell>
        </row>
        <row r="21">
          <cell r="A21" t="str">
            <v>Revenue Per Adjusted Admission</v>
          </cell>
          <cell r="C21">
            <v>4641.5682553667339</v>
          </cell>
          <cell r="D21">
            <v>5009.0583356817906</v>
          </cell>
          <cell r="E21">
            <v>4832.7669934512878</v>
          </cell>
          <cell r="F21">
            <v>4826.0906395595084</v>
          </cell>
          <cell r="G21">
            <v>4905.6012534273414</v>
          </cell>
          <cell r="H21">
            <v>5056.0211648385612</v>
          </cell>
          <cell r="I21">
            <v>4990.6692346528553</v>
          </cell>
          <cell r="J21">
            <v>4958.4035781868224</v>
          </cell>
          <cell r="K21">
            <v>4976.6043335207323</v>
          </cell>
          <cell r="L21">
            <v>4953.5540612110608</v>
          </cell>
          <cell r="M21">
            <v>4971.952653445167</v>
          </cell>
          <cell r="N21">
            <v>5069.1584634742067</v>
          </cell>
          <cell r="O21">
            <v>5363.6667344508032</v>
          </cell>
          <cell r="P21">
            <v>5096.8146361353411</v>
          </cell>
          <cell r="Q21">
            <v>5235.8905656907946</v>
          </cell>
          <cell r="R21">
            <v>5451.1326244799175</v>
          </cell>
          <cell r="S21">
            <v>5416.6699174305959</v>
          </cell>
          <cell r="T21">
            <v>5647.5026906837293</v>
          </cell>
          <cell r="U21">
            <v>5441.5752575199685</v>
          </cell>
          <cell r="W21">
            <v>5541.2698247837061</v>
          </cell>
          <cell r="X21">
            <v>5592.667938569215</v>
          </cell>
          <cell r="Y21">
            <v>5649.9979560134088</v>
          </cell>
          <cell r="Z21">
            <v>5936.1392585357917</v>
          </cell>
          <cell r="AA21">
            <v>5681.266475777863</v>
          </cell>
          <cell r="AC21">
            <v>5953.9149282037388</v>
          </cell>
          <cell r="AD21">
            <v>6137.4187644729964</v>
          </cell>
          <cell r="AE21">
            <v>6043.3132731527921</v>
          </cell>
          <cell r="AF21">
            <v>6196.0362550949631</v>
          </cell>
          <cell r="AG21">
            <v>6084.6207179302255</v>
          </cell>
          <cell r="AH21">
            <v>6279.0214702379135</v>
          </cell>
          <cell r="AI21">
            <v>6343.6557127821306</v>
          </cell>
          <cell r="AJ21">
            <v>6428.2374087021426</v>
          </cell>
          <cell r="AK21">
            <v>6627.1297260721803</v>
          </cell>
          <cell r="AL21">
            <v>6426.1892044589022</v>
          </cell>
          <cell r="AN21">
            <v>5699.0548044804582</v>
          </cell>
          <cell r="AO21">
            <v>6159.0077547920937</v>
          </cell>
          <cell r="AR21">
            <v>6045.1842741422452</v>
          </cell>
          <cell r="AS21">
            <v>6206.0730503455088</v>
          </cell>
          <cell r="AT21">
            <v>6097.0375554000466</v>
          </cell>
          <cell r="AU21">
            <v>6349.2860747952664</v>
          </cell>
          <cell r="AV21">
            <v>6410.568058061137</v>
          </cell>
          <cell r="AW21">
            <v>6492.0789783041573</v>
          </cell>
          <cell r="AX21">
            <v>6697.513404985938</v>
          </cell>
          <cell r="AY21">
            <v>6487.7738083665472</v>
          </cell>
          <cell r="BA21">
            <v>6752.2321262628893</v>
          </cell>
          <cell r="BB21">
            <v>6919.9331143984818</v>
          </cell>
          <cell r="BC21">
            <v>6885.9224020392439</v>
          </cell>
          <cell r="BD21">
            <v>7210.7639781196076</v>
          </cell>
          <cell r="BE21">
            <v>6855.8070257872196</v>
          </cell>
          <cell r="BG21">
            <v>7170.331358962896</v>
          </cell>
          <cell r="BH21">
            <v>7207.1211699258956</v>
          </cell>
          <cell r="BI21">
            <v>7333.5073581717943</v>
          </cell>
          <cell r="BJ21">
            <v>7463.1407173537937</v>
          </cell>
          <cell r="BK21">
            <v>7248.9468014895028</v>
          </cell>
          <cell r="BM21">
            <v>7430.1704715267397</v>
          </cell>
          <cell r="BN21">
            <v>7690.2264380301749</v>
          </cell>
          <cell r="BO21">
            <v>7959.3843633612305</v>
          </cell>
          <cell r="BP21">
            <v>8237.9628160788725</v>
          </cell>
          <cell r="BS21" t="str">
            <v>mstag:revenuePerAdjustedAdmission</v>
          </cell>
          <cell r="BT21">
            <v>6</v>
          </cell>
          <cell r="BU21" t="str">
            <v>ISO4217:USD</v>
          </cell>
          <cell r="BV21" t="b">
            <v>0</v>
          </cell>
          <cell r="BW21" t="b">
            <v>0</v>
          </cell>
        </row>
        <row r="22">
          <cell r="A22" t="str">
            <v>% Change (historicals same-store)</v>
          </cell>
          <cell r="C22" t="str">
            <v>N/A</v>
          </cell>
          <cell r="D22" t="str">
            <v>N/A</v>
          </cell>
          <cell r="E22" t="str">
            <v>N/A</v>
          </cell>
          <cell r="F22" t="str">
            <v>N/A</v>
          </cell>
          <cell r="G22" t="str">
            <v>N/A</v>
          </cell>
          <cell r="H22" t="str">
            <v>N/A</v>
          </cell>
          <cell r="I22" t="str">
            <v>N/A</v>
          </cell>
          <cell r="J22" t="str">
            <v>N/A</v>
          </cell>
          <cell r="K22">
            <v>-1E-3</v>
          </cell>
          <cell r="L22" t="str">
            <v>N/A</v>
          </cell>
          <cell r="M22" t="str">
            <v>N/A</v>
          </cell>
          <cell r="N22" t="str">
            <v>N/A</v>
          </cell>
          <cell r="O22">
            <v>0.08</v>
          </cell>
          <cell r="P22">
            <v>2.8000000000000001E-2</v>
          </cell>
          <cell r="Q22">
            <v>4.9000000000000002E-2</v>
          </cell>
          <cell r="R22">
            <v>8.3000000000000004E-2</v>
          </cell>
          <cell r="S22">
            <v>6.0999999999999999E-2</v>
          </cell>
          <cell r="T22">
            <v>3.6999999999999998E-2</v>
          </cell>
          <cell r="U22">
            <v>5.6000000000000001E-2</v>
          </cell>
          <cell r="W22">
            <v>4.8000000000000001E-2</v>
          </cell>
          <cell r="X22">
            <v>1.5318655623898225E-2</v>
          </cell>
          <cell r="Y22">
            <v>4.3668569990560346E-2</v>
          </cell>
          <cell r="Z22">
            <v>6.0940074779383568E-2</v>
          </cell>
          <cell r="AA22">
            <v>4.2999999999999997E-2</v>
          </cell>
          <cell r="AC22">
            <v>9.2999999999999999E-2</v>
          </cell>
          <cell r="AD22">
            <v>0.10684341343769366</v>
          </cell>
          <cell r="AE22">
            <v>9.1999999999999998E-2</v>
          </cell>
          <cell r="AF22">
            <v>6.8063780448265776E-2</v>
          </cell>
          <cell r="AG22">
            <v>8.9655846959206364E-2</v>
          </cell>
          <cell r="AH22">
            <v>5.928840737319141E-2</v>
          </cell>
          <cell r="AI22">
            <v>3.3282233331021649E-2</v>
          </cell>
          <cell r="AJ22">
            <v>5.0120415628797543E-2</v>
          </cell>
          <cell r="AK22">
            <v>6.7299535009470279E-2</v>
          </cell>
          <cell r="AL22">
            <v>5.2663418552428842E-2</v>
          </cell>
          <cell r="AN22">
            <v>4.2999999999999997E-2</v>
          </cell>
          <cell r="AO22">
            <v>8.8999999999999996E-2</v>
          </cell>
          <cell r="AR22">
            <v>9.1999999999999998E-2</v>
          </cell>
          <cell r="AS22">
            <v>6.8063780448265776E-2</v>
          </cell>
          <cell r="AT22">
            <v>8.8999999999999996E-2</v>
          </cell>
          <cell r="AU22">
            <v>5.928840737319141E-2</v>
          </cell>
          <cell r="AV22">
            <v>3.3282233331021649E-2</v>
          </cell>
          <cell r="AW22">
            <v>5.0120415628797543E-2</v>
          </cell>
          <cell r="AX22">
            <v>6.7299535009470279E-2</v>
          </cell>
          <cell r="AY22">
            <v>5.2663418552428842E-2</v>
          </cell>
          <cell r="BA22">
            <v>5.4603307396140277E-2</v>
          </cell>
          <cell r="BB22">
            <v>7.8639102395637206E-2</v>
          </cell>
          <cell r="BC22">
            <v>5.8523983984885453E-2</v>
          </cell>
          <cell r="BD22">
            <v>8.6505590478168859E-2</v>
          </cell>
          <cell r="BE22">
            <v>7.0966442686847042E-2</v>
          </cell>
          <cell r="BG22">
            <v>7.8136443415345092E-2</v>
          </cell>
          <cell r="BH22">
            <v>7.1755955635447011E-2</v>
          </cell>
          <cell r="BI22">
            <v>6.5000000000000002E-2</v>
          </cell>
          <cell r="BJ22">
            <v>3.5000000000000003E-2</v>
          </cell>
          <cell r="BK22">
            <v>5.7344055079663114E-2</v>
          </cell>
          <cell r="BM22">
            <v>2.4999999999999911E-2</v>
          </cell>
          <cell r="BN22">
            <v>3.499999999999992E-2</v>
          </cell>
          <cell r="BO22">
            <v>3.499999999999992E-2</v>
          </cell>
          <cell r="BP22">
            <v>3.499999999999992E-2</v>
          </cell>
          <cell r="BS22" t="str">
            <v>mstag:revenuePerAdjustedAdmissionsSameStoreGrowth</v>
          </cell>
          <cell r="BT22">
            <v>0</v>
          </cell>
          <cell r="BU22" t="str">
            <v>ISO4217:USD</v>
          </cell>
          <cell r="BV22" t="b">
            <v>0</v>
          </cell>
          <cell r="BW22" t="b">
            <v>0</v>
          </cell>
        </row>
        <row r="23">
          <cell r="A23" t="str">
            <v>% Change (historicals same-store)</v>
          </cell>
          <cell r="C23" t="str">
            <v>NA</v>
          </cell>
          <cell r="D23" t="str">
            <v>NA</v>
          </cell>
          <cell r="E23" t="str">
            <v>NA</v>
          </cell>
          <cell r="F23" t="str">
            <v>NA</v>
          </cell>
          <cell r="G23" t="str">
            <v>NA</v>
          </cell>
          <cell r="H23" t="str">
            <v>NA</v>
          </cell>
          <cell r="I23" t="str">
            <v>NA</v>
          </cell>
          <cell r="J23" t="str">
            <v>NA</v>
          </cell>
          <cell r="K23">
            <v>-1E-3</v>
          </cell>
          <cell r="L23" t="str">
            <v>NA</v>
          </cell>
          <cell r="M23" t="str">
            <v>NA</v>
          </cell>
          <cell r="N23" t="str">
            <v>NA</v>
          </cell>
          <cell r="O23">
            <v>0.08</v>
          </cell>
          <cell r="P23">
            <v>2.8000000000000001E-2</v>
          </cell>
          <cell r="Q23">
            <v>4.9000000000000002E-2</v>
          </cell>
          <cell r="R23">
            <v>8.3000000000000004E-2</v>
          </cell>
          <cell r="S23">
            <v>6.0999999999999999E-2</v>
          </cell>
          <cell r="T23">
            <v>3.6999999999999998E-2</v>
          </cell>
          <cell r="U23">
            <v>5.6000000000000001E-2</v>
          </cell>
          <cell r="W23">
            <v>4.8000000000000001E-2</v>
          </cell>
          <cell r="X23">
            <v>1.5318655623898225E-2</v>
          </cell>
          <cell r="Y23">
            <v>4.3668569990560346E-2</v>
          </cell>
          <cell r="Z23">
            <v>6.0940074779383568E-2</v>
          </cell>
          <cell r="AA23">
            <v>4.2999999999999997E-2</v>
          </cell>
          <cell r="AC23">
            <v>9.2999999999999999E-2</v>
          </cell>
          <cell r="AD23">
            <v>0.10684341343769366</v>
          </cell>
          <cell r="AE23">
            <v>9.1999999999999998E-2</v>
          </cell>
          <cell r="AF23">
            <v>6.8063780448265776E-2</v>
          </cell>
          <cell r="AG23">
            <v>8.9655846959206364E-2</v>
          </cell>
          <cell r="AH23">
            <v>5.928840737319141E-2</v>
          </cell>
          <cell r="AI23">
            <v>3.3282233331021649E-2</v>
          </cell>
          <cell r="AJ23">
            <v>5.0120415628797543E-2</v>
          </cell>
          <cell r="AK23">
            <v>6.7299535009470279E-2</v>
          </cell>
          <cell r="AL23">
            <v>5.2663418552428842E-2</v>
          </cell>
          <cell r="AN23">
            <v>4.2999999999999997E-2</v>
          </cell>
          <cell r="AO23">
            <v>8.8999999999999996E-2</v>
          </cell>
          <cell r="AR23">
            <v>9.1999999999999998E-2</v>
          </cell>
          <cell r="AS23">
            <v>6.8063780448265776E-2</v>
          </cell>
          <cell r="AT23">
            <v>8.8999999999999996E-2</v>
          </cell>
          <cell r="AU23">
            <v>5.928840737319141E-2</v>
          </cell>
          <cell r="AV23">
            <v>3.3282233331021649E-2</v>
          </cell>
          <cell r="AW23">
            <v>5.0120415628797543E-2</v>
          </cell>
          <cell r="AX23">
            <v>6.7299535009470279E-2</v>
          </cell>
          <cell r="AY23">
            <v>5.2663418552428842E-2</v>
          </cell>
          <cell r="BA23">
            <v>5.4603307396140277E-2</v>
          </cell>
          <cell r="BB23">
            <v>7.8639102395637206E-2</v>
          </cell>
          <cell r="BC23">
            <v>5.8523983984885453E-2</v>
          </cell>
          <cell r="BD23">
            <v>8.6505590478168859E-2</v>
          </cell>
        </row>
        <row r="24">
          <cell r="A24" t="str">
            <v>Patient Days</v>
          </cell>
          <cell r="C24">
            <v>404453</v>
          </cell>
          <cell r="D24">
            <v>352804</v>
          </cell>
          <cell r="E24">
            <v>399012</v>
          </cell>
          <cell r="F24">
            <v>416845</v>
          </cell>
          <cell r="G24">
            <v>131698</v>
          </cell>
          <cell r="H24">
            <v>112656</v>
          </cell>
          <cell r="I24">
            <v>111539</v>
          </cell>
          <cell r="J24">
            <v>122765</v>
          </cell>
          <cell r="K24">
            <v>478658</v>
          </cell>
          <cell r="L24">
            <v>138473</v>
          </cell>
          <cell r="M24">
            <v>128587</v>
          </cell>
          <cell r="N24">
            <v>136371</v>
          </cell>
          <cell r="O24">
            <v>145396</v>
          </cell>
          <cell r="P24">
            <v>548827</v>
          </cell>
          <cell r="Q24">
            <v>165743</v>
          </cell>
          <cell r="R24">
            <v>150251</v>
          </cell>
          <cell r="S24">
            <v>152720</v>
          </cell>
          <cell r="T24">
            <v>174515</v>
          </cell>
          <cell r="U24">
            <v>643229</v>
          </cell>
          <cell r="V24">
            <v>0</v>
          </cell>
          <cell r="W24">
            <v>210612</v>
          </cell>
          <cell r="X24">
            <v>195922</v>
          </cell>
          <cell r="Y24">
            <v>198137</v>
          </cell>
          <cell r="Z24">
            <v>204495</v>
          </cell>
          <cell r="AA24">
            <v>809166</v>
          </cell>
          <cell r="AB24">
            <v>0</v>
          </cell>
          <cell r="AC24">
            <v>245252</v>
          </cell>
          <cell r="AD24">
            <v>221735</v>
          </cell>
          <cell r="AE24">
            <v>249871</v>
          </cell>
          <cell r="AF24">
            <v>288854</v>
          </cell>
          <cell r="AG24">
            <v>1005712</v>
          </cell>
          <cell r="AH24">
            <v>300657</v>
          </cell>
          <cell r="AI24">
            <v>279830</v>
          </cell>
          <cell r="AJ24">
            <v>277216</v>
          </cell>
          <cell r="AK24">
            <v>286112</v>
          </cell>
          <cell r="AL24">
            <v>1135844</v>
          </cell>
          <cell r="AM24">
            <v>0</v>
          </cell>
          <cell r="AN24">
            <v>792252</v>
          </cell>
          <cell r="AO24">
            <v>948185</v>
          </cell>
          <cell r="AR24">
            <v>245937</v>
          </cell>
          <cell r="AS24">
            <v>284964</v>
          </cell>
          <cell r="AT24">
            <v>989891</v>
          </cell>
          <cell r="AU24">
            <v>284194</v>
          </cell>
          <cell r="AV24">
            <v>265253</v>
          </cell>
          <cell r="AW24">
            <v>266735</v>
          </cell>
          <cell r="AX24">
            <v>275707</v>
          </cell>
          <cell r="AY24">
            <v>1091889</v>
          </cell>
          <cell r="AZ24">
            <v>0</v>
          </cell>
          <cell r="BA24">
            <v>319499</v>
          </cell>
          <cell r="BB24">
            <v>293320</v>
          </cell>
          <cell r="BC24">
            <v>286340</v>
          </cell>
          <cell r="BD24">
            <v>304842</v>
          </cell>
          <cell r="BE24">
            <v>1204001</v>
          </cell>
          <cell r="BF24">
            <v>0</v>
          </cell>
          <cell r="BG24">
            <v>333249</v>
          </cell>
          <cell r="BH24">
            <v>321573</v>
          </cell>
          <cell r="BI24">
            <v>317529.3113722839</v>
          </cell>
          <cell r="BJ24">
            <v>323038.96327179956</v>
          </cell>
          <cell r="BK24">
            <v>1295390.2746440833</v>
          </cell>
          <cell r="BL24">
            <v>0</v>
          </cell>
          <cell r="BM24">
            <v>1362987.3133434397</v>
          </cell>
          <cell r="BN24">
            <v>1394505.9800268202</v>
          </cell>
          <cell r="BO24">
            <v>1451900.1608541657</v>
          </cell>
          <cell r="BP24">
            <v>1501958.2433802716</v>
          </cell>
          <cell r="BS24" t="str">
            <v>mstag:patientDays</v>
          </cell>
          <cell r="BT24">
            <v>0</v>
          </cell>
          <cell r="BU24" t="str">
            <v>ms_eqr_gcim_Decimal:ms_eqr_gcim_decimal</v>
          </cell>
          <cell r="BV24" t="b">
            <v>0</v>
          </cell>
          <cell r="BW24" t="b">
            <v>0</v>
          </cell>
        </row>
        <row r="25">
          <cell r="A25" t="str">
            <v>% Change (historicals same-store)</v>
          </cell>
          <cell r="C25" t="str">
            <v>N/A</v>
          </cell>
          <cell r="D25" t="str">
            <v>N/A</v>
          </cell>
          <cell r="E25" t="str">
            <v>N/A</v>
          </cell>
          <cell r="F25" t="str">
            <v>N/A</v>
          </cell>
          <cell r="G25" t="str">
            <v>N/A</v>
          </cell>
          <cell r="H25" t="str">
            <v>N/A</v>
          </cell>
          <cell r="I25" t="str">
            <v>N/A</v>
          </cell>
          <cell r="J25" t="str">
            <v>N/A</v>
          </cell>
          <cell r="K25" t="str">
            <v>N/A</v>
          </cell>
          <cell r="L25" t="str">
            <v>N/A</v>
          </cell>
          <cell r="M25">
            <v>3.6999999999999998E-2</v>
          </cell>
          <cell r="N25">
            <v>7.6999999999999999E-2</v>
          </cell>
          <cell r="O25">
            <v>4.5999999999999999E-2</v>
          </cell>
          <cell r="P25">
            <v>2.9000000000000001E-2</v>
          </cell>
          <cell r="Q25">
            <v>3.1E-2</v>
          </cell>
          <cell r="R25">
            <v>4.4999999999999998E-2</v>
          </cell>
          <cell r="S25">
            <v>1.4999999999999999E-2</v>
          </cell>
          <cell r="T25">
            <v>-5.0000000000000001E-3</v>
          </cell>
          <cell r="U25">
            <v>2.1000000000000001E-2</v>
          </cell>
          <cell r="V25">
            <v>0</v>
          </cell>
          <cell r="W25">
            <v>2.1000000000000001E-2</v>
          </cell>
          <cell r="X25">
            <v>0.02</v>
          </cell>
          <cell r="Y25">
            <v>3.7999999999999999E-2</v>
          </cell>
          <cell r="Z25">
            <v>3.1407042374580918E-2</v>
          </cell>
          <cell r="AA25" t="str">
            <v>N/A</v>
          </cell>
          <cell r="AB25">
            <v>0</v>
          </cell>
          <cell r="AC25">
            <v>8.0000000000000002E-3</v>
          </cell>
          <cell r="AD25">
            <v>-5.9105154091934065E-3</v>
          </cell>
          <cell r="AE25">
            <v>3.3000000000000002E-2</v>
          </cell>
          <cell r="AF25">
            <v>9.490711239645111E-2</v>
          </cell>
          <cell r="AG25">
            <v>3.270263552624586E-2</v>
          </cell>
          <cell r="AH25">
            <v>3.4000000000000002E-2</v>
          </cell>
          <cell r="AI25">
            <v>6.3E-2</v>
          </cell>
          <cell r="AJ25">
            <v>-8.9999999999999993E-3</v>
          </cell>
          <cell r="AK25">
            <v>-4.248013411449636E-2</v>
          </cell>
          <cell r="AL25">
            <v>8.2111829457238716E-3</v>
          </cell>
          <cell r="AM25">
            <v>0</v>
          </cell>
          <cell r="AN25" t="str">
            <v>N/A</v>
          </cell>
          <cell r="AO25">
            <v>3.5000000000000003E-2</v>
          </cell>
          <cell r="AR25" t="str">
            <v>NA</v>
          </cell>
          <cell r="AS25" t="str">
            <v>NA</v>
          </cell>
          <cell r="AT25">
            <v>3.5000000000000003E-2</v>
          </cell>
          <cell r="AU25">
            <v>3.4000000000000002E-2</v>
          </cell>
          <cell r="AV25">
            <v>6.3E-2</v>
          </cell>
          <cell r="AW25">
            <v>-8.9999999999999993E-3</v>
          </cell>
          <cell r="AX25">
            <v>-4.248013411449636E-2</v>
          </cell>
          <cell r="AY25">
            <v>8.2111829457238716E-3</v>
          </cell>
          <cell r="AZ25">
            <v>0</v>
          </cell>
          <cell r="BA25">
            <v>4.9000000000000002E-2</v>
          </cell>
          <cell r="BB25">
            <v>1.2999999999999999E-2</v>
          </cell>
          <cell r="BC25">
            <v>1.519110727875983E-2</v>
          </cell>
          <cell r="BD25">
            <v>1.7000000000000001E-2</v>
          </cell>
          <cell r="BE25">
            <v>2.4E-2</v>
          </cell>
          <cell r="BG25">
            <v>-2.9000000000000001E-2</v>
          </cell>
          <cell r="BH25">
            <v>1.2999999999999999E-2</v>
          </cell>
          <cell r="BI25">
            <v>0.10892404614194273</v>
          </cell>
          <cell r="BJ25">
            <v>5.9693097643367832E-2</v>
          </cell>
          <cell r="BK25">
            <v>7.590465011580827E-2</v>
          </cell>
          <cell r="BM25">
            <v>5.2182759144095758E-2</v>
          </cell>
          <cell r="BN25">
            <v>2.3124695567462439E-2</v>
          </cell>
          <cell r="BO25">
            <v>4.1157357264428152E-2</v>
          </cell>
          <cell r="BP25">
            <v>3.4477634120968936E-2</v>
          </cell>
        </row>
        <row r="26">
          <cell r="A26" t="str">
            <v>Adjusted Patient Days</v>
          </cell>
          <cell r="C26">
            <v>625334.86615060188</v>
          </cell>
          <cell r="D26">
            <v>583271.11605122336</v>
          </cell>
          <cell r="E26">
            <v>695724.61114831502</v>
          </cell>
          <cell r="F26">
            <v>737287.77568571828</v>
          </cell>
          <cell r="G26">
            <v>224036.19983500443</v>
          </cell>
          <cell r="H26">
            <v>206133.2922511572</v>
          </cell>
          <cell r="I26">
            <v>208304.02922894259</v>
          </cell>
          <cell r="J26">
            <v>223282.42076280469</v>
          </cell>
          <cell r="K26">
            <v>862621.10674838477</v>
          </cell>
          <cell r="L26">
            <v>248620.16358344859</v>
          </cell>
          <cell r="M26">
            <v>262959.10020449897</v>
          </cell>
          <cell r="N26">
            <v>268976.3313609467</v>
          </cell>
          <cell r="O26">
            <v>260539.64122852683</v>
          </cell>
          <cell r="P26">
            <v>1004972.6642453423</v>
          </cell>
          <cell r="Q26">
            <v>294276.73128585418</v>
          </cell>
          <cell r="R26">
            <v>278507.95286942058</v>
          </cell>
          <cell r="S26">
            <v>288063.66133621114</v>
          </cell>
          <cell r="T26">
            <v>319084.35363190103</v>
          </cell>
          <cell r="U26">
            <v>1179932.699123387</v>
          </cell>
          <cell r="V26">
            <v>0</v>
          </cell>
          <cell r="W26">
            <v>378920.56380454078</v>
          </cell>
          <cell r="X26">
            <v>366101.04315455677</v>
          </cell>
          <cell r="Y26">
            <v>372603.57426199265</v>
          </cell>
          <cell r="Z26">
            <v>374661.64401945984</v>
          </cell>
          <cell r="AA26">
            <v>1492286.8252405501</v>
          </cell>
          <cell r="AB26">
            <v>0</v>
          </cell>
          <cell r="AC26">
            <v>440513.13846353488</v>
          </cell>
          <cell r="AD26">
            <v>409578.15001983475</v>
          </cell>
          <cell r="AE26">
            <v>465183.71778911987</v>
          </cell>
          <cell r="AF26">
            <v>522200.79043620382</v>
          </cell>
          <cell r="AG26">
            <v>1837475.7967086933</v>
          </cell>
          <cell r="AH26">
            <v>542145.42431126349</v>
          </cell>
          <cell r="AI26">
            <v>519088.7981777424</v>
          </cell>
          <cell r="AJ26">
            <v>525932.52248294989</v>
          </cell>
          <cell r="AK26">
            <v>532240.50960314542</v>
          </cell>
          <cell r="AL26">
            <v>2119407.2545751012</v>
          </cell>
          <cell r="AM26">
            <v>0</v>
          </cell>
          <cell r="AN26">
            <v>1462703.2552782737</v>
          </cell>
          <cell r="AO26">
            <v>1725701.9417943326</v>
          </cell>
          <cell r="AR26">
            <v>458074.51561685384</v>
          </cell>
          <cell r="AS26">
            <v>515221.91047333478</v>
          </cell>
          <cell r="AT26">
            <v>1809765.2489188963</v>
          </cell>
          <cell r="AU26">
            <v>511463.43009508186</v>
          </cell>
          <cell r="AV26">
            <v>490137.60405241407</v>
          </cell>
          <cell r="AW26">
            <v>503318.4678356396</v>
          </cell>
          <cell r="AX26">
            <v>510644.01096403855</v>
          </cell>
          <cell r="AY26">
            <v>2015563.512947174</v>
          </cell>
          <cell r="AZ26">
            <v>0</v>
          </cell>
          <cell r="BA26">
            <v>569304.1328255398</v>
          </cell>
          <cell r="BB26">
            <v>549691.3850149624</v>
          </cell>
          <cell r="BC26">
            <v>541684.61920181673</v>
          </cell>
          <cell r="BD26">
            <v>561341.71858521947</v>
          </cell>
          <cell r="BE26">
            <v>2222021.8556275386</v>
          </cell>
          <cell r="BF26">
            <v>0</v>
          </cell>
          <cell r="BG26">
            <v>604191.58665754879</v>
          </cell>
          <cell r="BH26">
            <v>602638.44181582064</v>
          </cell>
          <cell r="BI26">
            <v>600687.09965813614</v>
          </cell>
          <cell r="BJ26">
            <v>594849.94460402289</v>
          </cell>
          <cell r="BK26">
            <v>2402367.0727355285</v>
          </cell>
          <cell r="BL26">
            <v>0</v>
          </cell>
          <cell r="BM26">
            <v>2521526.5296853636</v>
          </cell>
          <cell r="BN26">
            <v>2579836.0630496177</v>
          </cell>
          <cell r="BO26">
            <v>2686015.2975802068</v>
          </cell>
          <cell r="BP26">
            <v>2778622.7502535027</v>
          </cell>
          <cell r="BS26" t="str">
            <v>mstag:adjustedPatientDays</v>
          </cell>
          <cell r="BT26">
            <v>0</v>
          </cell>
          <cell r="BU26" t="str">
            <v>ms_eqr_gcim_Decimal:ms_eqr_gcim_decimal</v>
          </cell>
          <cell r="BV26" t="b">
            <v>0</v>
          </cell>
          <cell r="BW26" t="b">
            <v>0</v>
          </cell>
        </row>
        <row r="27">
          <cell r="A27" t="str">
            <v>% Change</v>
          </cell>
          <cell r="C27" t="str">
            <v>N/A</v>
          </cell>
          <cell r="D27" t="str">
            <v>N/A</v>
          </cell>
          <cell r="E27" t="str">
            <v>N/A</v>
          </cell>
          <cell r="F27" t="str">
            <v>N/A</v>
          </cell>
          <cell r="G27" t="str">
            <v>N/A</v>
          </cell>
          <cell r="H27" t="str">
            <v>N/A</v>
          </cell>
          <cell r="I27" t="str">
            <v>N/A</v>
          </cell>
          <cell r="J27" t="str">
            <v>N/A</v>
          </cell>
          <cell r="K27" t="str">
            <v>N/A</v>
          </cell>
          <cell r="L27">
            <v>0.10973210475159578</v>
          </cell>
          <cell r="M27">
            <v>0.27567506118373153</v>
          </cell>
          <cell r="N27">
            <v>0.29126801990623274</v>
          </cell>
          <cell r="O27">
            <v>0.16686141407119948</v>
          </cell>
          <cell r="P27">
            <v>0.16502211270200173</v>
          </cell>
          <cell r="Q27">
            <v>0.18363984257890298</v>
          </cell>
          <cell r="R27">
            <v>5.9130308298246836E-2</v>
          </cell>
          <cell r="S27">
            <v>7.0962860853547083E-2</v>
          </cell>
          <cell r="T27">
            <v>0.22470558463701473</v>
          </cell>
          <cell r="U27">
            <v>0.17409432226639354</v>
          </cell>
          <cell r="V27">
            <v>0</v>
          </cell>
          <cell r="W27">
            <v>0.28763345354840641</v>
          </cell>
          <cell r="X27">
            <v>0.31450839871062675</v>
          </cell>
          <cell r="Y27">
            <v>0.29347649243099583</v>
          </cell>
          <cell r="Z27">
            <v>0.17417742285061499</v>
          </cell>
          <cell r="AA27">
            <v>0.2647219848633926</v>
          </cell>
          <cell r="AB27">
            <v>0</v>
          </cell>
          <cell r="AC27">
            <v>0.16254745860339614</v>
          </cell>
          <cell r="AD27">
            <v>0.11875712369091307</v>
          </cell>
          <cell r="AE27">
            <v>0.24846821104842753</v>
          </cell>
          <cell r="AF27">
            <v>0.39379303638853624</v>
          </cell>
          <cell r="AG27">
            <v>0.2313154318791899</v>
          </cell>
          <cell r="AH27">
            <v>-0.46053714334770157</v>
          </cell>
          <cell r="AI27">
            <v>0.76394781846856441</v>
          </cell>
          <cell r="AJ27">
            <v>0.88839319331586619</v>
          </cell>
          <cell r="AK27">
            <v>0.84764890904425916</v>
          </cell>
          <cell r="AL27">
            <v>5.6421534946839511</v>
          </cell>
          <cell r="AM27">
            <v>0</v>
          </cell>
          <cell r="AN27" t="str">
            <v>N/A</v>
          </cell>
          <cell r="AO27">
            <v>0.17980317304074389</v>
          </cell>
          <cell r="AR27">
            <v>0.22938840971708752</v>
          </cell>
          <cell r="AS27">
            <v>0.3751658828640978</v>
          </cell>
          <cell r="AT27">
            <v>0.2372743701692217</v>
          </cell>
          <cell r="AU27" t="str">
            <v>N/A</v>
          </cell>
          <cell r="AV27" t="str">
            <v>N/A</v>
          </cell>
          <cell r="AW27">
            <v>9.8769852232140076E-2</v>
          </cell>
          <cell r="AX27">
            <v>-8.8852966386668841E-3</v>
          </cell>
          <cell r="AY27">
            <v>9.6919761641200086E-2</v>
          </cell>
          <cell r="AZ27">
            <v>0</v>
          </cell>
          <cell r="BA27">
            <v>0.11308863806686098</v>
          </cell>
          <cell r="BB27">
            <v>0.12150420712502563</v>
          </cell>
          <cell r="BC27">
            <v>7.6226393065127462E-2</v>
          </cell>
          <cell r="BD27">
            <v>9.9281899978557187E-2</v>
          </cell>
          <cell r="BE27">
            <v>0.10243206991700271</v>
          </cell>
          <cell r="BG27">
            <v>6.1280872244607654E-2</v>
          </cell>
          <cell r="BH27">
            <v>9.6321423701077435E-2</v>
          </cell>
          <cell r="BI27">
            <v>0.10892404614194273</v>
          </cell>
          <cell r="BJ27">
            <v>5.9693097643367832E-2</v>
          </cell>
          <cell r="BK27">
            <v>8.1162665727721794E-2</v>
          </cell>
          <cell r="BM27">
            <v>4.9600853384220933E-2</v>
          </cell>
          <cell r="BN27">
            <v>2.3124695567462439E-2</v>
          </cell>
          <cell r="BO27">
            <v>4.1157357264428152E-2</v>
          </cell>
          <cell r="BP27">
            <v>3.4477634120968936E-2</v>
          </cell>
        </row>
        <row r="28">
          <cell r="A28" t="str">
            <v>Admissions Per Beds In Service</v>
          </cell>
          <cell r="C28">
            <v>30.308455736403335</v>
          </cell>
          <cell r="D28">
            <v>31.106418219461698</v>
          </cell>
          <cell r="E28">
            <v>36.301194890811701</v>
          </cell>
          <cell r="F28">
            <v>37.643918029704835</v>
          </cell>
          <cell r="G28">
            <v>11.004189944134078</v>
          </cell>
          <cell r="H28">
            <v>9.553080168776372</v>
          </cell>
          <cell r="I28">
            <v>9.466446280991736</v>
          </cell>
          <cell r="J28">
            <v>10.31</v>
          </cell>
          <cell r="K28">
            <v>39.724206185567013</v>
          </cell>
          <cell r="L28">
            <v>10.89607535321821</v>
          </cell>
          <cell r="M28">
            <v>10.181763102090276</v>
          </cell>
          <cell r="N28">
            <v>10.81810115350488</v>
          </cell>
          <cell r="O28">
            <v>10.986559908492994</v>
          </cell>
          <cell r="P28">
            <v>42.162400706090025</v>
          </cell>
          <cell r="Q28">
            <v>12.487478159580665</v>
          </cell>
          <cell r="R28">
            <v>11.331429387405398</v>
          </cell>
          <cell r="S28">
            <v>10.858055925432756</v>
          </cell>
          <cell r="T28">
            <v>11.172505436095676</v>
          </cell>
          <cell r="U28">
            <v>45.431748158070995</v>
          </cell>
          <cell r="W28">
            <v>11.865853658536585</v>
          </cell>
          <cell r="X28">
            <v>11.267421216156237</v>
          </cell>
          <cell r="Y28">
            <v>11.453460424033455</v>
          </cell>
          <cell r="Z28">
            <v>11.267468931912219</v>
          </cell>
          <cell r="AA28">
            <v>45.854204230638501</v>
          </cell>
          <cell r="AB28">
            <v>0</v>
          </cell>
          <cell r="AC28">
            <v>11.921871978340747</v>
          </cell>
          <cell r="AD28">
            <v>10.743815435930696</v>
          </cell>
          <cell r="AE28">
            <v>10.71602467900617</v>
          </cell>
          <cell r="AF28">
            <v>11.484789644012945</v>
          </cell>
          <cell r="AG28">
            <v>44.866501737290562</v>
          </cell>
          <cell r="AH28">
            <v>14.563007518796992</v>
          </cell>
          <cell r="AI28">
            <v>11.175852594149022</v>
          </cell>
          <cell r="AJ28">
            <v>11.091321883597317</v>
          </cell>
          <cell r="AK28">
            <v>11.059909275770373</v>
          </cell>
          <cell r="AL28">
            <v>47.890091272313704</v>
          </cell>
          <cell r="AM28">
            <v>0</v>
          </cell>
          <cell r="AN28">
            <v>42.834791666666668</v>
          </cell>
          <cell r="AO28">
            <v>42.148984995586936</v>
          </cell>
          <cell r="AR28">
            <v>11.012004175365345</v>
          </cell>
          <cell r="AS28">
            <v>11.593279258400926</v>
          </cell>
          <cell r="AT28">
            <v>42.565272711850028</v>
          </cell>
          <cell r="AU28">
            <v>11.941392582225333</v>
          </cell>
          <cell r="AV28">
            <v>11.388558432470258</v>
          </cell>
          <cell r="AW28">
            <v>11.403407135482389</v>
          </cell>
          <cell r="AX28">
            <v>11.281338438488429</v>
          </cell>
          <cell r="AY28">
            <v>46.014696588666411</v>
          </cell>
          <cell r="AZ28">
            <v>0</v>
          </cell>
          <cell r="BA28">
            <v>12.418106407385393</v>
          </cell>
          <cell r="BB28">
            <v>11.461575796796636</v>
          </cell>
          <cell r="BC28">
            <v>11.481892805408016</v>
          </cell>
          <cell r="BD28">
            <v>11.420938851142681</v>
          </cell>
          <cell r="BE28">
            <v>46.78251386073272</v>
          </cell>
          <cell r="BF28">
            <v>0</v>
          </cell>
          <cell r="BG28">
            <v>12.096507352941176</v>
          </cell>
          <cell r="BH28">
            <v>11.383183008437591</v>
          </cell>
          <cell r="BI28">
            <v>11.166140753259295</v>
          </cell>
          <cell r="BJ28">
            <v>11.306729462631253</v>
          </cell>
          <cell r="BK28">
            <v>45.95256057726931</v>
          </cell>
          <cell r="BL28">
            <v>0</v>
          </cell>
          <cell r="BM28">
            <v>46.104187413522212</v>
          </cell>
          <cell r="BN28">
            <v>46.104187413522212</v>
          </cell>
          <cell r="BO28">
            <v>46.104187413522212</v>
          </cell>
          <cell r="BP28">
            <v>46.104187413522212</v>
          </cell>
        </row>
        <row r="29">
          <cell r="A29" t="str">
            <v>% Change</v>
          </cell>
          <cell r="C29" t="str">
            <v>N/A</v>
          </cell>
          <cell r="D29">
            <v>2.6328048185573882E-2</v>
          </cell>
          <cell r="E29">
            <v>0.1670001552316267</v>
          </cell>
          <cell r="F29">
            <v>3.6988400600361349E-2</v>
          </cell>
          <cell r="G29" t="str">
            <v>N/A</v>
          </cell>
          <cell r="H29" t="str">
            <v>N/A</v>
          </cell>
          <cell r="I29" t="str">
            <v>N/A</v>
          </cell>
          <cell r="J29" t="str">
            <v>N/A</v>
          </cell>
          <cell r="K29">
            <v>5.5262264523597615E-2</v>
          </cell>
          <cell r="L29" t="str">
            <v>NM</v>
          </cell>
          <cell r="M29" t="str">
            <v>NM</v>
          </cell>
          <cell r="N29" t="str">
            <v>NM</v>
          </cell>
          <cell r="O29" t="str">
            <v>NM</v>
          </cell>
          <cell r="P29">
            <v>6.1378055212312432E-2</v>
          </cell>
          <cell r="Q29">
            <v>0.1460528451551526</v>
          </cell>
          <cell r="R29">
            <v>0.11291426384484438</v>
          </cell>
          <cell r="S29">
            <v>3.6933257843434486E-3</v>
          </cell>
          <cell r="T29">
            <v>1.692481806420032E-2</v>
          </cell>
          <cell r="U29">
            <v>7.7541776493498915E-2</v>
          </cell>
          <cell r="W29">
            <v>-4.9779826887397238E-2</v>
          </cell>
          <cell r="X29">
            <v>-5.6487287755863091E-3</v>
          </cell>
          <cell r="Y29">
            <v>5.4835276470264427E-2</v>
          </cell>
          <cell r="Z29">
            <v>8.4997493498404353E-3</v>
          </cell>
          <cell r="AA29">
            <v>9.2986972699720116E-3</v>
          </cell>
          <cell r="AB29">
            <v>0</v>
          </cell>
          <cell r="AC29">
            <v>4.7209683699294125E-3</v>
          </cell>
          <cell r="AD29">
            <v>-4.6470773585241321E-2</v>
          </cell>
          <cell r="AE29">
            <v>-6.4385409974428542E-2</v>
          </cell>
          <cell r="AF29">
            <v>1.9287447199896057E-2</v>
          </cell>
          <cell r="AG29">
            <v>-2.1540063990206249E-2</v>
          </cell>
          <cell r="AH29">
            <v>-0.65459728870008393</v>
          </cell>
          <cell r="AI29">
            <v>-0.10503526401968799</v>
          </cell>
          <cell r="AJ29">
            <v>3.5022054897502652E-2</v>
          </cell>
          <cell r="AK29">
            <v>-3.6995050097766824E-2</v>
          </cell>
          <cell r="AL29">
            <v>6.73908020002838E-2</v>
          </cell>
          <cell r="AM29">
            <v>0</v>
          </cell>
          <cell r="AN29" t="str">
            <v>N/A</v>
          </cell>
          <cell r="AO29">
            <v>-1.6010505581924295E-2</v>
          </cell>
          <cell r="AR29">
            <v>-3.8543482259892126E-2</v>
          </cell>
          <cell r="AS29">
            <v>2.8916017293460827E-2</v>
          </cell>
          <cell r="AT29">
            <v>-6.2920570949426269E-3</v>
          </cell>
          <cell r="AU29" t="str">
            <v>N/A</v>
          </cell>
          <cell r="AV29" t="str">
            <v>N/A</v>
          </cell>
          <cell r="AW29">
            <v>3.5543299283580243E-2</v>
          </cell>
          <cell r="AX29">
            <v>-2.6907039238829089E-2</v>
          </cell>
          <cell r="AY29">
            <v>8.103845358087125E-2</v>
          </cell>
          <cell r="AZ29">
            <v>0</v>
          </cell>
          <cell r="BA29">
            <v>3.9921124933924634E-2</v>
          </cell>
          <cell r="BB29">
            <v>6.4114668032255739E-3</v>
          </cell>
          <cell r="BC29">
            <v>6.8826508597954472E-3</v>
          </cell>
          <cell r="BD29">
            <v>1.2374454805644142E-2</v>
          </cell>
          <cell r="BE29">
            <v>1.6686348688332409E-2</v>
          </cell>
          <cell r="BG29">
            <v>-2.5897592104135447E-2</v>
          </cell>
          <cell r="BH29">
            <v>-6.8396169731700374E-3</v>
          </cell>
          <cell r="BI29">
            <v>-2.7499999999999969E-2</v>
          </cell>
          <cell r="BJ29">
            <v>-1.000000000000012E-2</v>
          </cell>
          <cell r="BK29">
            <v>-1.7740673062890622E-2</v>
          </cell>
          <cell r="BM29">
            <v>3.299638460797949E-3</v>
          </cell>
          <cell r="BN29">
            <v>0</v>
          </cell>
          <cell r="BO29">
            <v>0</v>
          </cell>
          <cell r="BP29">
            <v>0</v>
          </cell>
        </row>
        <row r="30">
          <cell r="A30" t="str">
            <v>Adjusted Admissions Per Beds In Service</v>
          </cell>
          <cell r="C30">
            <v>46.860658991663357</v>
          </cell>
          <cell r="D30">
            <v>51.426501035196686</v>
          </cell>
          <cell r="E30">
            <v>63.295426452410382</v>
          </cell>
          <cell r="F30">
            <v>66.582064297800343</v>
          </cell>
          <cell r="G30">
            <v>18.719622905027933</v>
          </cell>
          <cell r="H30">
            <v>17.479831223628693</v>
          </cell>
          <cell r="I30">
            <v>17.679008264462809</v>
          </cell>
          <cell r="J30">
            <v>18.751612903225805</v>
          </cell>
          <cell r="K30">
            <v>71.589608247422674</v>
          </cell>
          <cell r="L30">
            <v>19.56326530612245</v>
          </cell>
          <cell r="M30">
            <v>19.322932444713722</v>
          </cell>
          <cell r="N30">
            <v>19.980774918663119</v>
          </cell>
          <cell r="O30">
            <v>19.687160423219904</v>
          </cell>
          <cell r="P30">
            <v>77.204766107678722</v>
          </cell>
          <cell r="Q30">
            <v>22.171520093185791</v>
          </cell>
          <cell r="R30">
            <v>21.004141082393261</v>
          </cell>
          <cell r="S30">
            <v>20.48069241011984</v>
          </cell>
          <cell r="T30">
            <v>20.427881130707899</v>
          </cell>
          <cell r="U30">
            <v>83.385934360348287</v>
          </cell>
          <cell r="W30">
            <v>21.348337028824833</v>
          </cell>
          <cell r="X30">
            <v>21.054371948513094</v>
          </cell>
          <cell r="Y30">
            <v>21.538633832465127</v>
          </cell>
          <cell r="Z30">
            <v>20.643479957790749</v>
          </cell>
          <cell r="AA30">
            <v>84.584822767593792</v>
          </cell>
          <cell r="AB30">
            <v>0</v>
          </cell>
          <cell r="AC30">
            <v>21.413653065171147</v>
          </cell>
          <cell r="AD30">
            <v>19.845455387751322</v>
          </cell>
          <cell r="AE30">
            <v>19.949974987493746</v>
          </cell>
          <cell r="AF30">
            <v>20.762621359223299</v>
          </cell>
          <cell r="AG30">
            <v>81.971704799639511</v>
          </cell>
          <cell r="AH30">
            <v>26.260050125313285</v>
          </cell>
          <cell r="AI30">
            <v>20.731372232099563</v>
          </cell>
          <cell r="AJ30">
            <v>21.042388952696385</v>
          </cell>
          <cell r="AK30">
            <v>20.574221805099327</v>
          </cell>
          <cell r="AL30">
            <v>88.608033115208556</v>
          </cell>
          <cell r="AM30">
            <v>0</v>
          </cell>
          <cell r="AN30">
            <v>79.084166666666661</v>
          </cell>
          <cell r="AO30">
            <v>76.71138570167696</v>
          </cell>
          <cell r="AR30">
            <v>20.510612386917188</v>
          </cell>
          <cell r="AS30">
            <v>20.960933620261546</v>
          </cell>
          <cell r="AT30">
            <v>77.819832046823308</v>
          </cell>
          <cell r="AU30">
            <v>21.490902729181247</v>
          </cell>
          <cell r="AV30">
            <v>21.043911826452064</v>
          </cell>
          <cell r="AW30">
            <v>21.517781346793619</v>
          </cell>
          <cell r="AX30">
            <v>20.894456467454635</v>
          </cell>
          <cell r="AY30">
            <v>84.947052369881561</v>
          </cell>
          <cell r="AZ30">
            <v>0</v>
          </cell>
          <cell r="BA30">
            <v>22.127391007770981</v>
          </cell>
          <cell r="BB30">
            <v>21.479372269859248</v>
          </cell>
          <cell r="BC30">
            <v>21.720907774022212</v>
          </cell>
          <cell r="BD30">
            <v>21.030728844966028</v>
          </cell>
          <cell r="BE30">
            <v>86.358399896618465</v>
          </cell>
          <cell r="BF30">
            <v>0</v>
          </cell>
          <cell r="BG30">
            <v>21.931372549019606</v>
          </cell>
          <cell r="BH30">
            <v>21.417369799243527</v>
          </cell>
          <cell r="BI30">
            <v>21.123582810236602</v>
          </cell>
          <cell r="BJ30">
            <v>20.820421556516369</v>
          </cell>
          <cell r="BK30">
            <v>85.292746715016094</v>
          </cell>
          <cell r="BL30">
            <v>0</v>
          </cell>
          <cell r="BM30">
            <v>85.292746715016094</v>
          </cell>
          <cell r="BN30">
            <v>85.292746715016094</v>
          </cell>
          <cell r="BO30">
            <v>85.292746715016094</v>
          </cell>
          <cell r="BP30">
            <v>85.292746715016094</v>
          </cell>
        </row>
        <row r="31">
          <cell r="A31" t="str">
            <v>% Change</v>
          </cell>
          <cell r="C31" t="str">
            <v>N/A</v>
          </cell>
          <cell r="D31">
            <v>9.7434439501706605E-2</v>
          </cell>
          <cell r="E31">
            <v>0.23079395211217091</v>
          </cell>
          <cell r="F31">
            <v>5.192536063977804E-2</v>
          </cell>
          <cell r="G31" t="str">
            <v>N/A</v>
          </cell>
          <cell r="H31" t="str">
            <v>N/A</v>
          </cell>
          <cell r="I31" t="str">
            <v>N/A</v>
          </cell>
          <cell r="J31" t="str">
            <v>N/A</v>
          </cell>
          <cell r="K31">
            <v>7.5208601632193117E-2</v>
          </cell>
          <cell r="L31">
            <v>4.5067275413327001E-2</v>
          </cell>
          <cell r="M31">
            <v>0.1054415913692337</v>
          </cell>
          <cell r="N31">
            <v>0.13019772488184045</v>
          </cell>
          <cell r="O31">
            <v>4.9891575984546854E-2</v>
          </cell>
          <cell r="P31">
            <v>7.8435376274854862E-2</v>
          </cell>
          <cell r="Q31">
            <v>0.1333241024056997</v>
          </cell>
          <cell r="R31">
            <v>8.7005874625384561E-2</v>
          </cell>
          <cell r="S31">
            <v>2.5019925077568894E-2</v>
          </cell>
          <cell r="T31">
            <v>3.7624557913103374E-2</v>
          </cell>
          <cell r="U31">
            <v>8.0062003478497568E-2</v>
          </cell>
          <cell r="W31">
            <v>-3.7127948868690974E-2</v>
          </cell>
          <cell r="X31">
            <v>2.3914744203437088E-3</v>
          </cell>
          <cell r="Y31">
            <v>5.1655549585937877E-2</v>
          </cell>
          <cell r="Z31">
            <v>1.0554145371384438E-2</v>
          </cell>
          <cell r="AA31">
            <v>1.4377585577737495E-2</v>
          </cell>
          <cell r="AB31">
            <v>0</v>
          </cell>
          <cell r="AC31">
            <v>3.0595374364814631E-3</v>
          </cell>
          <cell r="AD31">
            <v>-5.7418789965242745E-2</v>
          </cell>
          <cell r="AE31">
            <v>-7.3758570637697529E-2</v>
          </cell>
          <cell r="AF31">
            <v>5.771381650581997E-3</v>
          </cell>
          <cell r="AG31">
            <v>-3.0893461527183308E-2</v>
          </cell>
          <cell r="AH31">
            <v>-0.65986490926365904</v>
          </cell>
          <cell r="AI31">
            <v>-6.4954854472465517E-2</v>
          </cell>
          <cell r="AJ31">
            <v>5.4757660893682836E-2</v>
          </cell>
          <cell r="AK31">
            <v>-9.0739772625232362E-3</v>
          </cell>
          <cell r="AL31">
            <v>8.0958769026336475E-2</v>
          </cell>
          <cell r="AM31">
            <v>0</v>
          </cell>
          <cell r="AN31" t="str">
            <v>N/A</v>
          </cell>
          <cell r="AO31">
            <v>-3.0003236614868589E-2</v>
          </cell>
          <cell r="AR31">
            <v>-4.7729185311577438E-2</v>
          </cell>
          <cell r="AS31">
            <v>1.5377914146252891E-2</v>
          </cell>
          <cell r="AT31">
            <v>-1.5987202914742982E-2</v>
          </cell>
          <cell r="AU31" t="str">
            <v>N/A</v>
          </cell>
          <cell r="AV31" t="str">
            <v>N/A</v>
          </cell>
          <cell r="AW31">
            <v>4.9104772733107538E-2</v>
          </cell>
          <cell r="AX31">
            <v>-3.1714786188078437E-3</v>
          </cell>
          <cell r="AY31">
            <v>9.1586169432618325E-2</v>
          </cell>
          <cell r="AZ31">
            <v>0</v>
          </cell>
          <cell r="BA31">
            <v>2.9616637635490495E-2</v>
          </cell>
          <cell r="BB31">
            <v>2.0692941835073198E-2</v>
          </cell>
          <cell r="BC31">
            <v>9.439933604440176E-3</v>
          </cell>
          <cell r="BD31">
            <v>6.5219393346580556E-3</v>
          </cell>
          <cell r="BE31">
            <v>1.6614437904113766E-2</v>
          </cell>
          <cell r="BG31">
            <v>-8.8586340198234526E-3</v>
          </cell>
          <cell r="BH31">
            <v>-2.8866053363545419E-3</v>
          </cell>
          <cell r="BI31">
            <v>-2.75E-2</v>
          </cell>
          <cell r="BJ31">
            <v>-0.01</v>
          </cell>
          <cell r="BK31">
            <v>-1.2339890304568946E-2</v>
          </cell>
          <cell r="BM31">
            <v>0</v>
          </cell>
          <cell r="BN31">
            <v>0</v>
          </cell>
          <cell r="BO31">
            <v>0</v>
          </cell>
          <cell r="BP31">
            <v>0</v>
          </cell>
        </row>
        <row r="32">
          <cell r="A32" t="str">
            <v>% Change</v>
          </cell>
          <cell r="C32" t="str">
            <v>NA</v>
          </cell>
          <cell r="D32">
            <v>9.7434439501706605E-2</v>
          </cell>
          <cell r="E32">
            <v>0.23079395211217091</v>
          </cell>
          <cell r="F32">
            <v>5.192536063977804E-2</v>
          </cell>
          <cell r="G32" t="str">
            <v>NA</v>
          </cell>
          <cell r="H32" t="str">
            <v>NA</v>
          </cell>
          <cell r="I32" t="str">
            <v>NA</v>
          </cell>
          <cell r="J32" t="str">
            <v>NA</v>
          </cell>
          <cell r="K32">
            <v>7.5208601632193117E-2</v>
          </cell>
          <cell r="L32">
            <v>4.5067275413327001E-2</v>
          </cell>
          <cell r="M32">
            <v>0.1054415913692337</v>
          </cell>
          <cell r="N32">
            <v>0.13019772488184045</v>
          </cell>
          <cell r="O32">
            <v>4.9891575984546854E-2</v>
          </cell>
          <cell r="P32">
            <v>7.8435376274854862E-2</v>
          </cell>
          <cell r="Q32">
            <v>0.1333241024056997</v>
          </cell>
          <cell r="R32">
            <v>8.7005874625384561E-2</v>
          </cell>
          <cell r="S32">
            <v>2.5019925077568894E-2</v>
          </cell>
          <cell r="T32">
            <v>3.7624557913103374E-2</v>
          </cell>
          <cell r="U32">
            <v>8.0062003478497568E-2</v>
          </cell>
          <cell r="W32">
            <v>-3.7127948868690974E-2</v>
          </cell>
          <cell r="X32">
            <v>2.3914744203437088E-3</v>
          </cell>
          <cell r="Y32">
            <v>5.1655549585937877E-2</v>
          </cell>
          <cell r="Z32">
            <v>1.0554145371384438E-2</v>
          </cell>
          <cell r="AA32">
            <v>1.4377585577737495E-2</v>
          </cell>
          <cell r="AC32">
            <v>3.0595374364814631E-3</v>
          </cell>
          <cell r="AD32">
            <v>-5.7418789965242745E-2</v>
          </cell>
          <cell r="AE32">
            <v>-7.3758570637697529E-2</v>
          </cell>
          <cell r="AF32">
            <v>5.771381650581997E-3</v>
          </cell>
          <cell r="AG32">
            <v>-3.0893461527183308E-2</v>
          </cell>
          <cell r="AH32">
            <v>-0.65986490926365904</v>
          </cell>
          <cell r="AI32">
            <v>-6.4954854472465517E-2</v>
          </cell>
          <cell r="AJ32">
            <v>5.4757660893682836E-2</v>
          </cell>
          <cell r="AK32">
            <v>-9.0739772625232362E-3</v>
          </cell>
          <cell r="AL32">
            <v>8.0958769026336475E-2</v>
          </cell>
          <cell r="AN32" t="str">
            <v>NA</v>
          </cell>
          <cell r="AO32">
            <v>-3.0003236614868589E-2</v>
          </cell>
          <cell r="AR32">
            <v>-4.7729185311577438E-2</v>
          </cell>
          <cell r="AS32">
            <v>1.5377914146252891E-2</v>
          </cell>
          <cell r="AT32">
            <v>-1.5987202914742982E-2</v>
          </cell>
          <cell r="AU32" t="str">
            <v>NA</v>
          </cell>
          <cell r="AV32" t="str">
            <v>NA</v>
          </cell>
          <cell r="AW32">
            <v>4.9104772733107538E-2</v>
          </cell>
          <cell r="AX32">
            <v>-3.1714786188078437E-3</v>
          </cell>
          <cell r="AY32">
            <v>9.1586169432618325E-2</v>
          </cell>
          <cell r="BA32">
            <v>2.7916669206142775E-2</v>
          </cell>
          <cell r="BB32">
            <v>1.9703098995084378E-2</v>
          </cell>
          <cell r="BC32">
            <v>9.439933604440176E-3</v>
          </cell>
          <cell r="BD32">
            <v>6.5219393346580556E-3</v>
          </cell>
        </row>
        <row r="33">
          <cell r="A33" t="str">
            <v>Average Length of Stay</v>
          </cell>
          <cell r="C33">
            <v>5.2975624451517414</v>
          </cell>
          <cell r="D33">
            <v>4.6964138334975107</v>
          </cell>
          <cell r="E33">
            <v>4.5289263702711597</v>
          </cell>
          <cell r="F33">
            <v>4.1637033781489103</v>
          </cell>
          <cell r="G33">
            <v>4.1787663409062068</v>
          </cell>
          <cell r="H33">
            <v>3.9806367266174338</v>
          </cell>
          <cell r="I33">
            <v>3.8950621595194859</v>
          </cell>
          <cell r="J33">
            <v>3.8410875754826193</v>
          </cell>
          <cell r="K33">
            <v>3.9751025628249206</v>
          </cell>
          <cell r="L33">
            <v>3.9901164130935913</v>
          </cell>
          <cell r="M33">
            <v>3.8258554001785181</v>
          </cell>
          <cell r="N33">
            <v>3.7284284776902887</v>
          </cell>
          <cell r="O33">
            <v>3.7843831337844871</v>
          </cell>
          <cell r="P33">
            <v>3.8296490126299632</v>
          </cell>
          <cell r="Q33">
            <v>3.8650949116179283</v>
          </cell>
          <cell r="R33">
            <v>3.7868538447967337</v>
          </cell>
          <cell r="S33">
            <v>3.7457078387128422</v>
          </cell>
          <cell r="T33">
            <v>3.7738684773911726</v>
          </cell>
          <cell r="U33">
            <v>3.7932053262882279</v>
          </cell>
          <cell r="W33">
            <v>3.9355694665047185</v>
          </cell>
          <cell r="X33">
            <v>3.8589352189241892</v>
          </cell>
          <cell r="Y33">
            <v>3.807983548585486</v>
          </cell>
          <cell r="Z33">
            <v>3.8117206285298888</v>
          </cell>
          <cell r="AA33">
            <v>3.8537770221034733</v>
          </cell>
          <cell r="AC33">
            <v>3.9782636906306772</v>
          </cell>
          <cell r="AD33">
            <v>3.8</v>
          </cell>
          <cell r="AE33">
            <v>3.9</v>
          </cell>
          <cell r="AF33">
            <v>4.0999999999999996</v>
          </cell>
          <cell r="AG33">
            <v>3.9460267512074925</v>
          </cell>
          <cell r="AH33">
            <v>4.0999999999999996</v>
          </cell>
          <cell r="AI33">
            <v>4</v>
          </cell>
          <cell r="AJ33">
            <v>4</v>
          </cell>
          <cell r="AK33">
            <v>4</v>
          </cell>
          <cell r="AL33">
            <v>3.9</v>
          </cell>
          <cell r="AN33">
            <v>3.9</v>
          </cell>
          <cell r="AO33">
            <v>4</v>
          </cell>
          <cell r="AR33">
            <v>3.9</v>
          </cell>
          <cell r="AS33">
            <v>4.0999999999999996</v>
          </cell>
          <cell r="AT33">
            <v>3.9</v>
          </cell>
          <cell r="AU33">
            <v>4.0999999999999996</v>
          </cell>
          <cell r="AV33">
            <v>4.0999999999999996</v>
          </cell>
          <cell r="AW33">
            <v>4</v>
          </cell>
          <cell r="AX33">
            <v>4.0999999999999996</v>
          </cell>
          <cell r="AY33">
            <v>3.9</v>
          </cell>
          <cell r="BA33">
            <v>4.2</v>
          </cell>
          <cell r="BB33">
            <v>4.0999999999999996</v>
          </cell>
          <cell r="BC33">
            <v>4</v>
          </cell>
          <cell r="BD33">
            <v>4.0999999999999996</v>
          </cell>
          <cell r="BE33">
            <v>4.0999999999999996</v>
          </cell>
          <cell r="BG33">
            <v>4.2</v>
          </cell>
          <cell r="BH33">
            <v>4.0999999999999996</v>
          </cell>
          <cell r="BI33">
            <v>4</v>
          </cell>
          <cell r="BJ33">
            <v>4</v>
          </cell>
          <cell r="BK33">
            <v>4</v>
          </cell>
          <cell r="BM33">
            <v>4</v>
          </cell>
          <cell r="BN33">
            <v>3.9</v>
          </cell>
          <cell r="BO33">
            <v>3.9</v>
          </cell>
          <cell r="BP33">
            <v>3.9</v>
          </cell>
          <cell r="BS33" t="str">
            <v>mstag:averageLengthOfStay</v>
          </cell>
          <cell r="BT33">
            <v>0</v>
          </cell>
          <cell r="BU33" t="str">
            <v>ms_eqr_gcim_Decimal:ms_eqr_gcim_decimal</v>
          </cell>
          <cell r="BV33" t="b">
            <v>0</v>
          </cell>
          <cell r="BW33" t="b">
            <v>0</v>
          </cell>
        </row>
        <row r="34">
          <cell r="A34" t="str">
            <v xml:space="preserve">Average Daily Census </v>
          </cell>
          <cell r="C34">
            <v>1108.0904109589042</v>
          </cell>
          <cell r="D34">
            <v>966.58630136986301</v>
          </cell>
          <cell r="E34">
            <v>1093.1835616438357</v>
          </cell>
          <cell r="F34">
            <v>1142.041095890411</v>
          </cell>
          <cell r="G34">
            <v>1463.3111111111111</v>
          </cell>
          <cell r="H34">
            <v>1237.9780219780221</v>
          </cell>
          <cell r="I34">
            <v>1212.3804347826087</v>
          </cell>
          <cell r="J34">
            <v>1334.4021739130435</v>
          </cell>
          <cell r="K34">
            <v>1311.3917808219178</v>
          </cell>
          <cell r="L34">
            <v>1521.6813186813188</v>
          </cell>
          <cell r="M34">
            <v>1413.0439560439561</v>
          </cell>
          <cell r="N34">
            <v>1482.2934782608695</v>
          </cell>
          <cell r="O34">
            <v>1580.391304347826</v>
          </cell>
          <cell r="P34">
            <v>1499.5273224043715</v>
          </cell>
          <cell r="Q34">
            <v>1821.3516483516485</v>
          </cell>
          <cell r="R34">
            <v>1651.1098901098901</v>
          </cell>
          <cell r="S34">
            <v>1678.2417582417581</v>
          </cell>
          <cell r="T34">
            <v>1917.7472527472528</v>
          </cell>
          <cell r="U34">
            <v>1762.2712328767122</v>
          </cell>
          <cell r="W34">
            <v>2340.1333333333332</v>
          </cell>
          <cell r="X34">
            <v>2152.9890109890111</v>
          </cell>
          <cell r="Y34">
            <v>2177.3296703296705</v>
          </cell>
          <cell r="Z34">
            <v>2222.771739130435</v>
          </cell>
          <cell r="AA34">
            <v>2216.8931506849317</v>
          </cell>
          <cell r="AC34">
            <v>2725.0222222222224</v>
          </cell>
          <cell r="AD34">
            <v>2436.6483516483518</v>
          </cell>
          <cell r="AE34">
            <v>2715.9891304347825</v>
          </cell>
          <cell r="AF34">
            <v>3139.717391304348</v>
          </cell>
          <cell r="AG34">
            <v>2755.3753424657534</v>
          </cell>
          <cell r="AH34">
            <v>3303.9230769230771</v>
          </cell>
          <cell r="AI34">
            <v>3041.6304347826085</v>
          </cell>
          <cell r="AJ34">
            <v>3013.217391304348</v>
          </cell>
          <cell r="AK34">
            <v>3109.913043478261</v>
          </cell>
          <cell r="AL34">
            <v>3103.398907103825</v>
          </cell>
          <cell r="AN34">
            <v>2170.5534246575344</v>
          </cell>
          <cell r="AO34">
            <v>2597.7671232876714</v>
          </cell>
          <cell r="AR34">
            <v>2673.228260869565</v>
          </cell>
          <cell r="AS34">
            <v>3097.4347826086955</v>
          </cell>
          <cell r="AT34">
            <v>2712.0301369863014</v>
          </cell>
          <cell r="AU34">
            <v>3123.0109890109889</v>
          </cell>
          <cell r="AV34">
            <v>2883.1847826086955</v>
          </cell>
          <cell r="AW34">
            <v>2899.2934782608695</v>
          </cell>
          <cell r="AX34">
            <v>2996.8152173913045</v>
          </cell>
          <cell r="AY34">
            <v>2983.3032786885246</v>
          </cell>
          <cell r="BA34">
            <v>3549.9888888888891</v>
          </cell>
          <cell r="BB34">
            <v>3188.2608695652175</v>
          </cell>
          <cell r="BC34">
            <v>3112.391304347826</v>
          </cell>
          <cell r="BD34">
            <v>3313.5</v>
          </cell>
          <cell r="BE34">
            <v>3298.6328767123287</v>
          </cell>
          <cell r="BG34">
            <v>3702.7666666666669</v>
          </cell>
          <cell r="BH34">
            <v>3495.358695652174</v>
          </cell>
          <cell r="BI34">
            <v>3451.4055583943905</v>
          </cell>
          <cell r="BJ34">
            <v>3511.2930790412997</v>
          </cell>
          <cell r="BK34">
            <v>3549.0144510796804</v>
          </cell>
          <cell r="BM34">
            <v>3734.2118173792869</v>
          </cell>
          <cell r="BN34">
            <v>3810.1256284885799</v>
          </cell>
          <cell r="BO34">
            <v>3977.8086598744267</v>
          </cell>
          <cell r="BP34">
            <v>4114.9540914527988</v>
          </cell>
        </row>
        <row r="35">
          <cell r="A35" t="str">
            <v>Occupancy Rate (Beds in Service)</v>
          </cell>
          <cell r="C35">
            <v>0.43989297775264158</v>
          </cell>
          <cell r="D35">
            <v>0.41825456571608094</v>
          </cell>
          <cell r="E35">
            <v>0.42987949730390707</v>
          </cell>
          <cell r="F35">
            <v>0.4113980892976985</v>
          </cell>
          <cell r="G35">
            <v>0.49570159590484797</v>
          </cell>
          <cell r="H35">
            <v>0.41640700369257383</v>
          </cell>
          <cell r="I35">
            <v>0.39401379095957384</v>
          </cell>
          <cell r="J35">
            <v>0.42728215623216248</v>
          </cell>
          <cell r="K35">
            <v>0.41991411489654751</v>
          </cell>
          <cell r="L35">
            <v>0.46864222934441602</v>
          </cell>
          <cell r="M35">
            <v>0.4211755457657097</v>
          </cell>
          <cell r="N35">
            <v>0.43507293168795702</v>
          </cell>
          <cell r="O35">
            <v>0.4405885989260736</v>
          </cell>
          <cell r="P35">
            <v>0.41804497418577402</v>
          </cell>
          <cell r="Q35">
            <v>0.55512089251802754</v>
          </cell>
          <cell r="R35">
            <v>0.44360824559642398</v>
          </cell>
          <cell r="S35">
            <v>0.44304164684312519</v>
          </cell>
          <cell r="T35">
            <v>0.46333589097541744</v>
          </cell>
          <cell r="U35">
            <v>0.42577222345414645</v>
          </cell>
          <cell r="W35">
            <v>0.51887657058388759</v>
          </cell>
          <cell r="X35">
            <v>0.47822945601710598</v>
          </cell>
          <cell r="Y35">
            <v>0.47500403144510406</v>
          </cell>
          <cell r="Z35">
            <v>0.4500448955518192</v>
          </cell>
          <cell r="AA35">
            <v>0.44885465695179827</v>
          </cell>
          <cell r="AC35">
            <v>0.504353548440167</v>
          </cell>
          <cell r="AD35">
            <v>0.45206833982344191</v>
          </cell>
          <cell r="AE35">
            <v>0.45289130072282519</v>
          </cell>
          <cell r="AF35">
            <v>0.50804488532432812</v>
          </cell>
          <cell r="AG35">
            <v>0.44585361528572059</v>
          </cell>
          <cell r="AH35">
            <v>0.53401051833248381</v>
          </cell>
          <cell r="AI35">
            <v>0.49161636249920937</v>
          </cell>
          <cell r="AJ35">
            <v>0.46789089927086147</v>
          </cell>
          <cell r="AK35">
            <v>0.49005878403376313</v>
          </cell>
          <cell r="AL35">
            <v>0.48903228917488573</v>
          </cell>
          <cell r="AN35">
            <v>0.48299999999999998</v>
          </cell>
          <cell r="AO35">
            <v>0.503</v>
          </cell>
          <cell r="AR35">
            <v>0.46507102659526184</v>
          </cell>
          <cell r="AS35">
            <v>0.51273543827324874</v>
          </cell>
          <cell r="AT35">
            <v>0.44893728471880506</v>
          </cell>
          <cell r="AU35">
            <v>0.5463630141726713</v>
          </cell>
          <cell r="AV35">
            <v>0.50440601515197614</v>
          </cell>
          <cell r="AW35">
            <v>0.47890543083265108</v>
          </cell>
          <cell r="AX35">
            <v>0.50282134519988331</v>
          </cell>
          <cell r="AY35">
            <v>0.50055424139069205</v>
          </cell>
          <cell r="BA35">
            <v>0.57489698605488082</v>
          </cell>
          <cell r="BB35">
            <v>0.51531612567726159</v>
          </cell>
          <cell r="BC35">
            <v>0.49886060335756149</v>
          </cell>
          <cell r="BD35">
            <v>0.51165843113032738</v>
          </cell>
          <cell r="BE35">
            <v>0.50936270486601742</v>
          </cell>
          <cell r="BG35">
            <v>0.56721303104575171</v>
          </cell>
          <cell r="BH35">
            <v>0.50848977242539628</v>
          </cell>
          <cell r="BI35">
            <v>0.48548438057649113</v>
          </cell>
          <cell r="BJ35">
            <v>0.48711129779719492</v>
          </cell>
          <cell r="BK35">
            <v>0.49234427211027143</v>
          </cell>
          <cell r="BM35">
            <v>0.49308242452058404</v>
          </cell>
          <cell r="BN35">
            <v>0.47998559189828421</v>
          </cell>
          <cell r="BO35">
            <v>0.48441334939286212</v>
          </cell>
          <cell r="BP35">
            <v>0.48440859013193932</v>
          </cell>
        </row>
        <row r="36">
          <cell r="A36" t="str">
            <v>Occupancy Rate (Beds in Service)</v>
          </cell>
          <cell r="C36">
            <v>0.43989297775264158</v>
          </cell>
          <cell r="D36">
            <v>0.41825456571608094</v>
          </cell>
          <cell r="E36">
            <v>0.42987949730390707</v>
          </cell>
          <cell r="F36">
            <v>0.4113980892976985</v>
          </cell>
          <cell r="G36">
            <v>0.49570159590484797</v>
          </cell>
          <cell r="H36">
            <v>0.41640700369257383</v>
          </cell>
          <cell r="I36">
            <v>0.39401379095957384</v>
          </cell>
          <cell r="J36">
            <v>0.42728215623216248</v>
          </cell>
          <cell r="K36">
            <v>0.41991411489654751</v>
          </cell>
          <cell r="L36">
            <v>0.46864222934441602</v>
          </cell>
          <cell r="M36">
            <v>0.4211755457657097</v>
          </cell>
          <cell r="N36">
            <v>0.43507293168795702</v>
          </cell>
          <cell r="O36">
            <v>0.4405885989260736</v>
          </cell>
          <cell r="P36">
            <v>0.41804497418577402</v>
          </cell>
          <cell r="Q36">
            <v>0.55512089251802754</v>
          </cell>
          <cell r="R36">
            <v>0.44360824559642398</v>
          </cell>
          <cell r="S36">
            <v>0.44304164684312519</v>
          </cell>
          <cell r="T36">
            <v>0.46333589097541744</v>
          </cell>
          <cell r="U36">
            <v>0.42577222345414645</v>
          </cell>
          <cell r="W36">
            <v>0.51887657058388759</v>
          </cell>
          <cell r="X36">
            <v>0.47822945601710598</v>
          </cell>
          <cell r="Y36">
            <v>0.47500403144510406</v>
          </cell>
          <cell r="Z36">
            <v>0.4500448955518192</v>
          </cell>
          <cell r="AA36">
            <v>0.44885465695179827</v>
          </cell>
          <cell r="AC36">
            <v>0.504353548440167</v>
          </cell>
          <cell r="AD36">
            <v>0.45206833982344191</v>
          </cell>
          <cell r="AE36">
            <v>0.45289130072282519</v>
          </cell>
          <cell r="AF36">
            <v>0.50804488532432812</v>
          </cell>
          <cell r="AG36">
            <v>0.44585361528572059</v>
          </cell>
          <cell r="AH36">
            <v>0.53401051833248381</v>
          </cell>
          <cell r="AI36">
            <v>0.49161636249920937</v>
          </cell>
          <cell r="AJ36">
            <v>0.46789089927086147</v>
          </cell>
          <cell r="AK36">
            <v>0.49005878403376313</v>
          </cell>
          <cell r="AL36">
            <v>0.48903228917488573</v>
          </cell>
          <cell r="AN36">
            <v>0.48299999999999998</v>
          </cell>
          <cell r="AO36">
            <v>0.503</v>
          </cell>
          <cell r="AR36">
            <v>0.46507102659526184</v>
          </cell>
          <cell r="AS36">
            <v>0.51273543827324874</v>
          </cell>
          <cell r="AT36">
            <v>0.44893728471880506</v>
          </cell>
          <cell r="AU36">
            <v>0.5463630141726713</v>
          </cell>
          <cell r="AV36">
            <v>0.50440601515197614</v>
          </cell>
          <cell r="AW36">
            <v>0.47890543083265108</v>
          </cell>
          <cell r="AX36">
            <v>0.50282134519988331</v>
          </cell>
          <cell r="AY36">
            <v>0.50055424139069205</v>
          </cell>
          <cell r="BA36">
            <v>0.57378194421995943</v>
          </cell>
          <cell r="BB36">
            <v>0.51531612567726159</v>
          </cell>
          <cell r="BC36">
            <v>0.49886060335756149</v>
          </cell>
          <cell r="BD36">
            <v>0.51165843113032738</v>
          </cell>
        </row>
        <row r="37">
          <cell r="A37" t="str">
            <v>Inpatient Revenue Per Patient Day ($)</v>
          </cell>
          <cell r="C37">
            <v>875.11626814487715</v>
          </cell>
          <cell r="D37">
            <v>1075.6142220609743</v>
          </cell>
          <cell r="E37">
            <v>1088.4484677152566</v>
          </cell>
          <cell r="F37">
            <v>1141.9138048915065</v>
          </cell>
          <cell r="G37">
            <v>1108.3480386945894</v>
          </cell>
          <cell r="H37">
            <v>1211.9189301945735</v>
          </cell>
          <cell r="I37">
            <v>1213.1745129506271</v>
          </cell>
          <cell r="J37">
            <v>1232.6135299148782</v>
          </cell>
          <cell r="K37">
            <v>1189.0227072356463</v>
          </cell>
          <cell r="L37">
            <v>1167.9758797743964</v>
          </cell>
          <cell r="M37">
            <v>1206.027856626253</v>
          </cell>
          <cell r="N37">
            <v>1273.149195943419</v>
          </cell>
          <cell r="O37">
            <v>1343.5186868964759</v>
          </cell>
          <cell r="P37">
            <v>1242.8789217731635</v>
          </cell>
          <cell r="Q37">
            <v>1262.7297985435282</v>
          </cell>
          <cell r="R37">
            <v>1323.4578405468183</v>
          </cell>
          <cell r="S37">
            <v>1388.3814889994762</v>
          </cell>
          <cell r="T37">
            <v>1452.9041171246026</v>
          </cell>
          <cell r="U37">
            <v>1358.3446517492216</v>
          </cell>
          <cell r="W37">
            <v>1337.5212808386987</v>
          </cell>
          <cell r="X37">
            <v>1400.1025612233441</v>
          </cell>
          <cell r="Y37">
            <v>1456.4821411447635</v>
          </cell>
          <cell r="Z37">
            <v>1520.781314946576</v>
          </cell>
          <cell r="AA37">
            <v>1428.1174728053331</v>
          </cell>
          <cell r="AC37">
            <v>1427.4137907132256</v>
          </cell>
          <cell r="AD37">
            <v>1488.0875188851558</v>
          </cell>
          <cell r="AE37">
            <v>1452.577706096346</v>
          </cell>
          <cell r="AF37">
            <v>1417.4686173637892</v>
          </cell>
          <cell r="AG37">
            <v>1444.1865036909176</v>
          </cell>
          <cell r="AH37">
            <v>1403.189973957034</v>
          </cell>
          <cell r="AI37">
            <v>1465.4939641925455</v>
          </cell>
          <cell r="AJ37">
            <v>1510.1612605333023</v>
          </cell>
          <cell r="AK37">
            <v>1547.6802231294039</v>
          </cell>
          <cell r="AL37">
            <v>1481.7032136455359</v>
          </cell>
          <cell r="AN37">
            <v>1433.605216522016</v>
          </cell>
          <cell r="AO37">
            <v>1445.2646266287697</v>
          </cell>
          <cell r="AR37">
            <v>1454.7379776121527</v>
          </cell>
          <cell r="AS37">
            <v>1422.970985808734</v>
          </cell>
          <cell r="AT37">
            <v>1449.3928705281692</v>
          </cell>
          <cell r="AU37">
            <v>1405.0388255909697</v>
          </cell>
          <cell r="AV37">
            <v>1465.1613063754226</v>
          </cell>
          <cell r="AW37">
            <v>1509.5890678013761</v>
          </cell>
          <cell r="AX37">
            <v>1548.8816025708452</v>
          </cell>
          <cell r="AY37">
            <v>1481.505698839351</v>
          </cell>
          <cell r="BA37">
            <v>1475.398974644678</v>
          </cell>
          <cell r="BB37">
            <v>1578.5963180144552</v>
          </cell>
          <cell r="BC37">
            <v>1629.1577774673465</v>
          </cell>
          <cell r="BD37">
            <v>1649.444105471031</v>
          </cell>
          <cell r="BE37">
            <v>1581.1741410513778</v>
          </cell>
          <cell r="BG37">
            <v>1567.956867087373</v>
          </cell>
          <cell r="BH37">
            <v>1643.1879915291395</v>
          </cell>
          <cell r="BI37">
            <v>1786.1727251461375</v>
          </cell>
          <cell r="BJ37">
            <v>1769.3811070211734</v>
          </cell>
          <cell r="BK37">
            <v>1690.3524958561713</v>
          </cell>
          <cell r="BM37">
            <v>1786.9559984021812</v>
          </cell>
          <cell r="BN37">
            <v>1969.8810798954221</v>
          </cell>
          <cell r="BO37">
            <v>2038.8269176917618</v>
          </cell>
          <cell r="BP37">
            <v>2110.1858598109729</v>
          </cell>
        </row>
        <row r="38">
          <cell r="A38" t="str">
            <v>Total Revenue Per Bed</v>
          </cell>
          <cell r="C38">
            <v>107320.61855670103</v>
          </cell>
          <cell r="D38">
            <v>116405.21472392639</v>
          </cell>
          <cell r="E38">
            <v>133426.72811059907</v>
          </cell>
          <cell r="F38">
            <v>137334.40854010388</v>
          </cell>
          <cell r="G38">
            <v>39616.561270185921</v>
          </cell>
          <cell r="H38">
            <v>36040.371939549892</v>
          </cell>
          <cell r="I38">
            <v>34179.406920939633</v>
          </cell>
          <cell r="J38">
            <v>37175.23645743767</v>
          </cell>
          <cell r="K38">
            <v>144115.27267355984</v>
          </cell>
          <cell r="L38">
            <v>38808.188122375526</v>
          </cell>
          <cell r="M38">
            <v>36197.585108245315</v>
          </cell>
          <cell r="N38">
            <v>39570.525967921145</v>
          </cell>
          <cell r="O38">
            <v>42562.859352870684</v>
          </cell>
          <cell r="P38">
            <v>145504.58831058021</v>
          </cell>
          <cell r="Q38">
            <v>44643.478029010235</v>
          </cell>
          <cell r="R38">
            <v>41705.298657718122</v>
          </cell>
          <cell r="S38">
            <v>43347.361954410713</v>
          </cell>
          <cell r="T38">
            <v>49109.735037768747</v>
          </cell>
          <cell r="U38">
            <v>175089.6774322835</v>
          </cell>
          <cell r="W38">
            <v>49822.785992217898</v>
          </cell>
          <cell r="X38">
            <v>46371.548305299635</v>
          </cell>
          <cell r="Y38">
            <v>47024.741641997774</v>
          </cell>
          <cell r="Z38">
            <v>50432.526554771757</v>
          </cell>
          <cell r="AA38">
            <v>191290.20079457047</v>
          </cell>
          <cell r="AC38">
            <v>50211.716437177281</v>
          </cell>
          <cell r="AD38">
            <v>47360.569255059563</v>
          </cell>
          <cell r="AE38">
            <v>48692.922457740817</v>
          </cell>
          <cell r="AF38">
            <v>52911.527832598462</v>
          </cell>
          <cell r="AG38">
            <v>200589.57721256762</v>
          </cell>
          <cell r="AH38">
            <v>85487.110030395139</v>
          </cell>
          <cell r="AI38">
            <v>83098.110638297876</v>
          </cell>
          <cell r="AJ38">
            <v>65615.976176170938</v>
          </cell>
          <cell r="AK38">
            <v>55843.355066523742</v>
          </cell>
          <cell r="AL38">
            <v>250317.35505845258</v>
          </cell>
          <cell r="AN38">
            <v>236620.12500000006</v>
          </cell>
          <cell r="AO38">
            <v>241902.60194174756</v>
          </cell>
          <cell r="AR38">
            <v>48295.612041036715</v>
          </cell>
          <cell r="AS38">
            <v>53096.177032866319</v>
          </cell>
          <cell r="AT38">
            <v>190726.61455633101</v>
          </cell>
          <cell r="AU38">
            <v>56184.55100605038</v>
          </cell>
          <cell r="AV38">
            <v>54683.893626002522</v>
          </cell>
          <cell r="AW38">
            <v>55915.972874765677</v>
          </cell>
          <cell r="AX38">
            <v>57711.669707412664</v>
          </cell>
          <cell r="AY38">
            <v>222380.43716147481</v>
          </cell>
          <cell r="BA38">
            <v>63188.524224645997</v>
          </cell>
          <cell r="BB38">
            <v>61126.583762376235</v>
          </cell>
          <cell r="BC38">
            <v>60709.661374284224</v>
          </cell>
          <cell r="BD38">
            <v>63057.416603962884</v>
          </cell>
          <cell r="BE38">
            <v>245408.93172970327</v>
          </cell>
          <cell r="BG38">
            <v>64716.380728263553</v>
          </cell>
          <cell r="BH38">
            <v>63586.62960288809</v>
          </cell>
          <cell r="BI38">
            <v>63855.234790318478</v>
          </cell>
          <cell r="BJ38">
            <v>64051.206030933776</v>
          </cell>
          <cell r="BK38">
            <v>251604.79200400304</v>
          </cell>
          <cell r="BM38">
            <v>263764.17103369429</v>
          </cell>
          <cell r="BN38">
            <v>283489.26169823081</v>
          </cell>
          <cell r="BO38">
            <v>293405.99957879586</v>
          </cell>
          <cell r="BP38">
            <v>303670.69533463422</v>
          </cell>
        </row>
        <row r="39">
          <cell r="A39" t="str">
            <v>Total Inpatient Revenue</v>
          </cell>
          <cell r="C39">
            <v>353.9434</v>
          </cell>
          <cell r="D39">
            <v>379.48099999999999</v>
          </cell>
          <cell r="E39">
            <v>434.30399999999997</v>
          </cell>
          <cell r="F39">
            <v>476.00106000000005</v>
          </cell>
          <cell r="G39">
            <v>145.96722000000003</v>
          </cell>
          <cell r="H39">
            <v>136.52993899999987</v>
          </cell>
          <cell r="I39">
            <v>135.316272</v>
          </cell>
          <cell r="J39">
            <v>151.32180000000002</v>
          </cell>
          <cell r="K39">
            <v>569.13523099999998</v>
          </cell>
          <cell r="L39">
            <v>161.733124</v>
          </cell>
          <cell r="M39">
            <v>155.07950400000001</v>
          </cell>
          <cell r="N39">
            <v>173.62062900000001</v>
          </cell>
          <cell r="O39">
            <v>195.342243</v>
          </cell>
          <cell r="P39">
            <v>682.12550999999996</v>
          </cell>
          <cell r="Q39">
            <v>209.288625</v>
          </cell>
          <cell r="R39">
            <v>198.850864</v>
          </cell>
          <cell r="S39">
            <v>212.03362100000001</v>
          </cell>
          <cell r="T39">
            <v>253.55356200000003</v>
          </cell>
          <cell r="U39">
            <v>873.72667200000012</v>
          </cell>
          <cell r="W39">
            <v>281.69803200000001</v>
          </cell>
          <cell r="X39">
            <v>274.31089400000002</v>
          </cell>
          <cell r="Y39">
            <v>288.58300200000002</v>
          </cell>
          <cell r="Z39">
            <v>310.99217500000003</v>
          </cell>
          <cell r="AA39">
            <v>1155.5841030000001</v>
          </cell>
          <cell r="AC39">
            <v>350.07608700000003</v>
          </cell>
          <cell r="AD39">
            <v>329.96108600000002</v>
          </cell>
          <cell r="AE39">
            <v>362.95704400000005</v>
          </cell>
          <cell r="AF39">
            <v>409.44148000000001</v>
          </cell>
          <cell r="AG39">
            <v>1452.4356970000001</v>
          </cell>
          <cell r="AH39">
            <v>421.87888800000002</v>
          </cell>
          <cell r="AI39">
            <v>410.08917600000001</v>
          </cell>
          <cell r="AJ39">
            <v>418.64086399999997</v>
          </cell>
          <cell r="AK39">
            <v>442.80988400000001</v>
          </cell>
          <cell r="AL39">
            <v>1682.9837050000001</v>
          </cell>
          <cell r="AM39">
            <v>0</v>
          </cell>
          <cell r="AN39">
            <v>1135.7766000000001</v>
          </cell>
          <cell r="AO39">
            <v>1370.37824</v>
          </cell>
          <cell r="AR39">
            <v>357.77389399999998</v>
          </cell>
          <cell r="AS39">
            <v>405.49550400000004</v>
          </cell>
          <cell r="AT39">
            <v>1434.7409580000001</v>
          </cell>
          <cell r="AU39">
            <v>399.30360400000006</v>
          </cell>
          <cell r="AV39">
            <v>388.63843199999997</v>
          </cell>
          <cell r="AW39">
            <v>402.66024000000004</v>
          </cell>
          <cell r="AX39">
            <v>427.03750000000002</v>
          </cell>
          <cell r="AY39">
            <v>1617.639776</v>
          </cell>
          <cell r="AZ39">
            <v>0</v>
          </cell>
          <cell r="BA39">
            <v>471.38849700000003</v>
          </cell>
          <cell r="BB39">
            <v>463.03387199999997</v>
          </cell>
          <cell r="BC39">
            <v>466.49303800000001</v>
          </cell>
          <cell r="BD39">
            <v>502.81984000000006</v>
          </cell>
          <cell r="BE39">
            <v>1903.7352470000001</v>
          </cell>
          <cell r="BF39">
            <v>0</v>
          </cell>
          <cell r="BG39">
            <v>522.52005799999995</v>
          </cell>
          <cell r="BH39">
            <v>528.40489200000002</v>
          </cell>
          <cell r="BI39">
            <v>567.16219540760869</v>
          </cell>
          <cell r="BJ39">
            <v>571.57903844482883</v>
          </cell>
          <cell r="BK39">
            <v>2189.6661838524374</v>
          </cell>
          <cell r="BL39">
            <v>0</v>
          </cell>
          <cell r="BM39">
            <v>2435.5983553251326</v>
          </cell>
          <cell r="BN39">
            <v>2747.0109458558563</v>
          </cell>
          <cell r="BO39">
            <v>2960.1731297504716</v>
          </cell>
          <cell r="BP39">
            <v>3169.4110472075772</v>
          </cell>
          <cell r="BS39" t="str">
            <v>mstag:totalInpatientNetRevenueBeforeBadDebts</v>
          </cell>
          <cell r="BT39">
            <v>6</v>
          </cell>
          <cell r="BU39" t="str">
            <v>ISO4217:USD</v>
          </cell>
          <cell r="BV39" t="b">
            <v>0</v>
          </cell>
          <cell r="BW39" t="b">
            <v>0</v>
          </cell>
        </row>
        <row r="40">
          <cell r="A40" t="str">
            <v>% of Total Revenue</v>
          </cell>
          <cell r="C40">
            <v>0.64600000000000002</v>
          </cell>
          <cell r="D40">
            <v>0.61</v>
          </cell>
          <cell r="E40">
            <v>0.58499999999999996</v>
          </cell>
          <cell r="F40">
            <v>0.55700000000000005</v>
          </cell>
          <cell r="G40">
            <v>0.55500000000000005</v>
          </cell>
          <cell r="H40">
            <v>0.52146290404512952</v>
          </cell>
          <cell r="I40">
            <v>0.50700000000000001</v>
          </cell>
          <cell r="J40">
            <v>0.52500000000000002</v>
          </cell>
          <cell r="K40">
            <v>0.52700000000000002</v>
          </cell>
          <cell r="L40">
            <v>0.52400000000000002</v>
          </cell>
          <cell r="M40">
            <v>0.48899999999999999</v>
          </cell>
          <cell r="N40">
            <v>0.50700000000000001</v>
          </cell>
          <cell r="O40">
            <v>0.52900000000000003</v>
          </cell>
          <cell r="P40">
            <v>0.51</v>
          </cell>
          <cell r="Q40">
            <v>0.52500000000000002</v>
          </cell>
          <cell r="R40">
            <v>0.496</v>
          </cell>
          <cell r="S40">
            <v>0.50900000000000001</v>
          </cell>
          <cell r="T40">
            <v>0.53100000000000003</v>
          </cell>
          <cell r="U40">
            <v>0.51589145885305199</v>
          </cell>
          <cell r="W40">
            <v>0.52800000000000002</v>
          </cell>
          <cell r="X40">
            <v>0.51700000000000002</v>
          </cell>
          <cell r="Y40">
            <v>0.52200000000000002</v>
          </cell>
          <cell r="Z40">
            <v>0.53300000000000003</v>
          </cell>
          <cell r="AA40">
            <v>0.53764954915363761</v>
          </cell>
          <cell r="AC40">
            <v>0.53100000000000003</v>
          </cell>
          <cell r="AD40">
            <v>0.502</v>
          </cell>
          <cell r="AE40">
            <v>0.502</v>
          </cell>
          <cell r="AF40">
            <v>0.51500000000000001</v>
          </cell>
          <cell r="AG40">
            <v>0.51239095449696326</v>
          </cell>
          <cell r="AH40">
            <v>0.51300000000000001</v>
          </cell>
          <cell r="AI40">
            <v>0.504</v>
          </cell>
          <cell r="AJ40">
            <v>0.496</v>
          </cell>
          <cell r="AK40">
            <v>0.50800000000000001</v>
          </cell>
          <cell r="AL40">
            <v>0.505</v>
          </cell>
          <cell r="AM40">
            <v>0</v>
          </cell>
          <cell r="AN40">
            <v>0.52500000000000002</v>
          </cell>
          <cell r="AO40">
            <v>0.51200000000000001</v>
          </cell>
          <cell r="AR40">
            <v>0.502</v>
          </cell>
          <cell r="AS40">
            <v>0.51600000000000001</v>
          </cell>
          <cell r="AT40">
            <v>0.51300000000000001</v>
          </cell>
          <cell r="AU40">
            <v>0.51195460787041369</v>
          </cell>
          <cell r="AV40">
            <v>0.504</v>
          </cell>
          <cell r="AW40">
            <v>0.496</v>
          </cell>
          <cell r="AX40">
            <v>0.50800000000000001</v>
          </cell>
          <cell r="AY40">
            <v>0.50495902646693136</v>
          </cell>
          <cell r="AZ40">
            <v>0</v>
          </cell>
          <cell r="BA40">
            <v>0.51900000000000002</v>
          </cell>
          <cell r="BB40">
            <v>0.504</v>
          </cell>
          <cell r="BC40">
            <v>0.502</v>
          </cell>
          <cell r="BD40">
            <v>0.51200000000000001</v>
          </cell>
          <cell r="BE40">
            <v>0.50900000000000001</v>
          </cell>
          <cell r="BG40">
            <v>0.50900000000000001</v>
          </cell>
          <cell r="BH40">
            <v>0.498</v>
          </cell>
          <cell r="BI40">
            <v>0.51500000000000001</v>
          </cell>
          <cell r="BJ40">
            <v>0.51500000000000001</v>
          </cell>
          <cell r="BK40">
            <v>0.51878512750786498</v>
          </cell>
          <cell r="BM40">
            <v>0.52</v>
          </cell>
          <cell r="BN40">
            <v>0.54</v>
          </cell>
          <cell r="BO40">
            <v>0.54</v>
          </cell>
          <cell r="BP40">
            <v>0.54</v>
          </cell>
        </row>
        <row r="41">
          <cell r="A41" t="str">
            <v>% of Total Revenue</v>
          </cell>
          <cell r="C41">
            <v>0.64600000000000002</v>
          </cell>
          <cell r="D41">
            <v>0.61</v>
          </cell>
          <cell r="E41">
            <v>0.58499999999999996</v>
          </cell>
          <cell r="F41">
            <v>0.55700000000000005</v>
          </cell>
          <cell r="G41">
            <v>0.55500000000000005</v>
          </cell>
          <cell r="H41">
            <v>0.52146290404512952</v>
          </cell>
          <cell r="I41">
            <v>0.50700000000000001</v>
          </cell>
          <cell r="J41">
            <v>0.52500000000000002</v>
          </cell>
          <cell r="K41">
            <v>0.52700000000000002</v>
          </cell>
          <cell r="L41">
            <v>0.52400000000000002</v>
          </cell>
          <cell r="M41">
            <v>0.48899999999999999</v>
          </cell>
          <cell r="N41">
            <v>0.50700000000000001</v>
          </cell>
          <cell r="O41">
            <v>0.52900000000000003</v>
          </cell>
          <cell r="P41">
            <v>0.51</v>
          </cell>
          <cell r="Q41">
            <v>0.52500000000000002</v>
          </cell>
          <cell r="R41">
            <v>0.496</v>
          </cell>
          <cell r="S41">
            <v>0.50900000000000001</v>
          </cell>
          <cell r="T41">
            <v>0.53100000000000003</v>
          </cell>
          <cell r="U41">
            <v>0.51589145885305199</v>
          </cell>
          <cell r="W41">
            <v>0.52800000000000002</v>
          </cell>
          <cell r="X41">
            <v>0.51700000000000002</v>
          </cell>
          <cell r="Y41">
            <v>0.52200000000000002</v>
          </cell>
          <cell r="Z41">
            <v>0.53300000000000003</v>
          </cell>
          <cell r="AA41">
            <v>0.53764954915363761</v>
          </cell>
          <cell r="AC41">
            <v>0.53100000000000003</v>
          </cell>
          <cell r="AD41">
            <v>0.502</v>
          </cell>
          <cell r="AE41">
            <v>0.502</v>
          </cell>
          <cell r="AF41">
            <v>0.51500000000000001</v>
          </cell>
          <cell r="AG41">
            <v>0.51239095449696326</v>
          </cell>
          <cell r="AH41">
            <v>0.51300000000000001</v>
          </cell>
          <cell r="AI41">
            <v>0.504</v>
          </cell>
          <cell r="AJ41">
            <v>0.496</v>
          </cell>
          <cell r="AK41">
            <v>0.50800000000000001</v>
          </cell>
          <cell r="AL41">
            <v>0.505</v>
          </cell>
          <cell r="AN41">
            <v>0.52500000000000002</v>
          </cell>
          <cell r="AO41">
            <v>0.51200000000000001</v>
          </cell>
          <cell r="AR41">
            <v>0.502</v>
          </cell>
          <cell r="AS41">
            <v>0.51600000000000001</v>
          </cell>
          <cell r="AT41">
            <v>0.51300000000000001</v>
          </cell>
          <cell r="AU41">
            <v>0.51195460787041369</v>
          </cell>
          <cell r="AV41">
            <v>0.504</v>
          </cell>
          <cell r="AW41">
            <v>0.496</v>
          </cell>
          <cell r="AX41">
            <v>0.50800000000000001</v>
          </cell>
          <cell r="AY41">
            <v>0.50495902646693136</v>
          </cell>
          <cell r="BA41">
            <v>0.52009208786441807</v>
          </cell>
          <cell r="BB41">
            <v>0.504</v>
          </cell>
          <cell r="BC41">
            <v>0.502</v>
          </cell>
          <cell r="BD41">
            <v>0.51200000000000001</v>
          </cell>
        </row>
        <row r="42">
          <cell r="A42" t="str">
            <v>Total Outpatient Revenue</v>
          </cell>
          <cell r="C42">
            <v>193.95659999999998</v>
          </cell>
          <cell r="D42">
            <v>242.61900000000003</v>
          </cell>
          <cell r="E42">
            <v>308.096</v>
          </cell>
          <cell r="F42">
            <v>378.57893999999999</v>
          </cell>
          <cell r="G42">
            <v>113.09172000000001</v>
          </cell>
          <cell r="H42">
            <v>120.034831</v>
          </cell>
          <cell r="I42">
            <v>126.24180800000001</v>
          </cell>
          <cell r="J42">
            <v>132.01025600000003</v>
          </cell>
          <cell r="K42">
            <v>491.37861500000002</v>
          </cell>
          <cell r="L42">
            <v>141.36215800000002</v>
          </cell>
          <cell r="M42">
            <v>156.030912</v>
          </cell>
          <cell r="N42">
            <v>165.744348</v>
          </cell>
          <cell r="O42">
            <v>169.49355299999999</v>
          </cell>
          <cell r="P42">
            <v>632.63797299999999</v>
          </cell>
          <cell r="Q42">
            <v>184.97128000000001</v>
          </cell>
          <cell r="R42">
            <v>197.24722800000001</v>
          </cell>
          <cell r="S42">
            <v>202.035965</v>
          </cell>
          <cell r="T42">
            <v>217.74091200000001</v>
          </cell>
          <cell r="U42">
            <v>801.99538500000006</v>
          </cell>
          <cell r="V42">
            <v>0</v>
          </cell>
          <cell r="W42">
            <v>244.885221</v>
          </cell>
          <cell r="X42">
            <v>249.37353999999999</v>
          </cell>
          <cell r="Y42">
            <v>257.62390600000003</v>
          </cell>
          <cell r="Z42">
            <v>265.48112500000002</v>
          </cell>
          <cell r="AA42">
            <v>1017.3637920000001</v>
          </cell>
          <cell r="AB42">
            <v>0</v>
          </cell>
          <cell r="AC42">
            <v>301.94886600000001</v>
          </cell>
          <cell r="AD42">
            <v>318.787105</v>
          </cell>
          <cell r="AE42">
            <v>351.38869199999999</v>
          </cell>
          <cell r="AF42">
            <v>373.66503999999998</v>
          </cell>
          <cell r="AG42">
            <v>1345.7897029999999</v>
          </cell>
          <cell r="AH42">
            <v>388.16147199999995</v>
          </cell>
          <cell r="AI42">
            <v>393.81579599999998</v>
          </cell>
          <cell r="AJ42">
            <v>414.42069399999997</v>
          </cell>
          <cell r="AK42">
            <v>416.659694</v>
          </cell>
          <cell r="AL42">
            <v>1603.000321</v>
          </cell>
          <cell r="AM42">
            <v>0</v>
          </cell>
          <cell r="AN42">
            <v>999.48340800000005</v>
          </cell>
          <cell r="AO42">
            <v>1271.347</v>
          </cell>
          <cell r="AR42">
            <v>346.37074200000001</v>
          </cell>
          <cell r="AS42">
            <v>368.56083599999999</v>
          </cell>
          <cell r="AT42">
            <v>1328.4638499999999</v>
          </cell>
          <cell r="AU42">
            <v>368.96486200000004</v>
          </cell>
          <cell r="AV42">
            <v>372.44516399999998</v>
          </cell>
          <cell r="AW42">
            <v>398.60116500000004</v>
          </cell>
          <cell r="AX42">
            <v>400.97812499999998</v>
          </cell>
          <cell r="AY42">
            <v>1540.9893160000001</v>
          </cell>
          <cell r="AZ42">
            <v>0</v>
          </cell>
          <cell r="BA42">
            <v>426.88360999999998</v>
          </cell>
          <cell r="BB42">
            <v>444.65951199999995</v>
          </cell>
          <cell r="BC42">
            <v>450.69546500000001</v>
          </cell>
          <cell r="BD42">
            <v>465.50117999999998</v>
          </cell>
          <cell r="BE42">
            <v>1787.7397669999998</v>
          </cell>
          <cell r="BF42">
            <v>0</v>
          </cell>
          <cell r="BG42">
            <v>490.69663599999996</v>
          </cell>
          <cell r="BH42">
            <v>518.85540600000002</v>
          </cell>
          <cell r="BI42">
            <v>534.12362091784496</v>
          </cell>
          <cell r="BJ42">
            <v>538.28317212765421</v>
          </cell>
          <cell r="BK42">
            <v>2081.9588350454992</v>
          </cell>
          <cell r="BL42">
            <v>0</v>
          </cell>
          <cell r="BM42">
            <v>2248.2446356847377</v>
          </cell>
          <cell r="BN42">
            <v>2340.0463612846183</v>
          </cell>
          <cell r="BO42">
            <v>2521.6289623800312</v>
          </cell>
          <cell r="BP42">
            <v>2699.8686698434917</v>
          </cell>
          <cell r="BS42" t="str">
            <v>mstag:totalOutpatientNetRevenueBeforeBadDebts</v>
          </cell>
          <cell r="BT42">
            <v>6</v>
          </cell>
          <cell r="BU42" t="str">
            <v>ISO4217:USD</v>
          </cell>
          <cell r="BV42" t="b">
            <v>0</v>
          </cell>
          <cell r="BW42" t="b">
            <v>0</v>
          </cell>
        </row>
        <row r="43">
          <cell r="A43" t="str">
            <v>% of Total Revenue</v>
          </cell>
          <cell r="C43">
            <v>0.35399999999999998</v>
          </cell>
          <cell r="D43">
            <v>0.39</v>
          </cell>
          <cell r="E43">
            <v>0.41499999999999998</v>
          </cell>
          <cell r="F43">
            <v>0.44299999999999995</v>
          </cell>
          <cell r="G43">
            <v>0.43</v>
          </cell>
          <cell r="H43">
            <v>0.45846143357484687</v>
          </cell>
          <cell r="I43">
            <v>0.47299999999999998</v>
          </cell>
          <cell r="J43">
            <v>0.45800000000000002</v>
          </cell>
          <cell r="K43">
            <v>0.45500000000000002</v>
          </cell>
          <cell r="L43">
            <v>0.45800000000000002</v>
          </cell>
          <cell r="M43">
            <v>0.49199999999999999</v>
          </cell>
          <cell r="N43">
            <v>0.48399999999999999</v>
          </cell>
          <cell r="O43">
            <v>0.45900000000000002</v>
          </cell>
          <cell r="P43">
            <v>0.47299999999999998</v>
          </cell>
          <cell r="Q43">
            <v>0.46400000000000002</v>
          </cell>
          <cell r="R43">
            <v>0.49199999999999999</v>
          </cell>
          <cell r="S43">
            <v>0.48499999999999999</v>
          </cell>
          <cell r="T43">
            <v>0.45600000000000002</v>
          </cell>
          <cell r="U43">
            <v>0.47353775776810098</v>
          </cell>
          <cell r="V43">
            <v>0</v>
          </cell>
          <cell r="W43">
            <v>0.45900000000000002</v>
          </cell>
          <cell r="X43">
            <v>0.47</v>
          </cell>
          <cell r="Y43">
            <v>0.46600000000000003</v>
          </cell>
          <cell r="Z43">
            <v>0.45500000000000002</v>
          </cell>
          <cell r="AA43">
            <v>0.46235045084636239</v>
          </cell>
          <cell r="AB43">
            <v>0</v>
          </cell>
          <cell r="AC43">
            <v>0.45800000000000002</v>
          </cell>
          <cell r="AD43">
            <v>0.48499999999999999</v>
          </cell>
          <cell r="AE43">
            <v>0.48599999999999999</v>
          </cell>
          <cell r="AF43">
            <v>0.47</v>
          </cell>
          <cell r="AG43">
            <v>0.47476833012067909</v>
          </cell>
          <cell r="AH43">
            <v>0.47199999999999998</v>
          </cell>
          <cell r="AI43">
            <v>0.48399999999999999</v>
          </cell>
          <cell r="AJ43">
            <v>0.49099999999999999</v>
          </cell>
          <cell r="AK43">
            <v>0.47799999999999998</v>
          </cell>
          <cell r="AL43">
            <v>0.48099999999999998</v>
          </cell>
          <cell r="AM43">
            <v>0</v>
          </cell>
          <cell r="AN43">
            <v>0.46200000000000002</v>
          </cell>
          <cell r="AO43">
            <v>0.47499999999999998</v>
          </cell>
          <cell r="AR43">
            <v>0.48599999999999999</v>
          </cell>
          <cell r="AS43">
            <v>0.46899999999999997</v>
          </cell>
          <cell r="AT43">
            <v>0.47499999999999998</v>
          </cell>
          <cell r="AU43">
            <v>0.4730567401619829</v>
          </cell>
          <cell r="AV43">
            <v>0.48299999999999998</v>
          </cell>
          <cell r="AW43">
            <v>0.49099999999999999</v>
          </cell>
          <cell r="AX43">
            <v>0.47699999999999998</v>
          </cell>
          <cell r="AY43">
            <v>0.4810319802641293</v>
          </cell>
          <cell r="AZ43">
            <v>0</v>
          </cell>
          <cell r="BA43">
            <v>0.47</v>
          </cell>
          <cell r="BB43">
            <v>0.48399999999999999</v>
          </cell>
          <cell r="BC43">
            <v>0.48499999999999999</v>
          </cell>
          <cell r="BD43">
            <v>0.47399999999999998</v>
          </cell>
          <cell r="BE43">
            <v>0.47799999999999998</v>
          </cell>
          <cell r="BG43">
            <v>0.47799999999999998</v>
          </cell>
          <cell r="BH43">
            <v>0.48899999999999999</v>
          </cell>
          <cell r="BI43">
            <v>0.48499999999999999</v>
          </cell>
          <cell r="BJ43">
            <v>0.48499999999999999</v>
          </cell>
          <cell r="BK43">
            <v>0.48121487249213496</v>
          </cell>
          <cell r="BM43">
            <v>0.48</v>
          </cell>
          <cell r="BN43">
            <v>0.46</v>
          </cell>
          <cell r="BO43">
            <v>0.46</v>
          </cell>
          <cell r="BP43">
            <v>0.46</v>
          </cell>
        </row>
        <row r="44">
          <cell r="A44" t="str">
            <v>% of Total Revenue</v>
          </cell>
          <cell r="C44">
            <v>0.35399999999999998</v>
          </cell>
          <cell r="D44">
            <v>0.39</v>
          </cell>
          <cell r="E44">
            <v>0.41499999999999998</v>
          </cell>
          <cell r="F44">
            <v>0.44299999999999995</v>
          </cell>
          <cell r="G44">
            <v>0.43</v>
          </cell>
          <cell r="H44">
            <v>0.45846143357484687</v>
          </cell>
          <cell r="I44">
            <v>0.47299999999999998</v>
          </cell>
          <cell r="J44">
            <v>0.45800000000000002</v>
          </cell>
          <cell r="K44">
            <v>0.45500000000000002</v>
          </cell>
          <cell r="L44">
            <v>0.45800000000000002</v>
          </cell>
          <cell r="M44">
            <v>0.49199999999999999</v>
          </cell>
          <cell r="N44">
            <v>0.48399999999999999</v>
          </cell>
          <cell r="O44">
            <v>0.45900000000000002</v>
          </cell>
          <cell r="P44">
            <v>0.47299999999999998</v>
          </cell>
          <cell r="Q44">
            <v>0.46400000000000002</v>
          </cell>
          <cell r="R44">
            <v>0.49199999999999999</v>
          </cell>
          <cell r="S44">
            <v>0.48499999999999999</v>
          </cell>
          <cell r="T44">
            <v>0.45600000000000002</v>
          </cell>
          <cell r="U44">
            <v>0.47353775776810098</v>
          </cell>
          <cell r="W44">
            <v>0.45900000000000002</v>
          </cell>
          <cell r="X44">
            <v>0.47</v>
          </cell>
          <cell r="Y44">
            <v>0.46600000000000003</v>
          </cell>
          <cell r="Z44">
            <v>0.45500000000000002</v>
          </cell>
          <cell r="AA44">
            <v>0.46235045084636239</v>
          </cell>
          <cell r="AC44">
            <v>0.45800000000000002</v>
          </cell>
          <cell r="AD44">
            <v>0.48499999999999999</v>
          </cell>
          <cell r="AE44">
            <v>0.48599999999999999</v>
          </cell>
          <cell r="AF44">
            <v>0.47</v>
          </cell>
          <cell r="AG44">
            <v>0.47476833012067909</v>
          </cell>
          <cell r="AH44">
            <v>0.47199999999999998</v>
          </cell>
          <cell r="AI44">
            <v>0.48399999999999999</v>
          </cell>
          <cell r="AJ44">
            <v>0.49099999999999999</v>
          </cell>
          <cell r="AK44">
            <v>0.47799999999999998</v>
          </cell>
          <cell r="AL44">
            <v>0.48099999999999998</v>
          </cell>
          <cell r="AN44">
            <v>0.46200000000000002</v>
          </cell>
          <cell r="AO44">
            <v>0.47499999999999998</v>
          </cell>
          <cell r="AR44">
            <v>0.48599999999999999</v>
          </cell>
          <cell r="AS44">
            <v>0.46899999999999997</v>
          </cell>
          <cell r="AT44">
            <v>0.47499999999999998</v>
          </cell>
          <cell r="AU44">
            <v>0.4730567401619829</v>
          </cell>
          <cell r="AV44">
            <v>0.48299999999999998</v>
          </cell>
          <cell r="AW44">
            <v>0.49099999999999999</v>
          </cell>
          <cell r="AX44">
            <v>0.47699999999999998</v>
          </cell>
          <cell r="AY44">
            <v>0.4810319802641293</v>
          </cell>
          <cell r="BA44">
            <v>0.46991942311863411</v>
          </cell>
          <cell r="BB44">
            <v>0.48399999999999999</v>
          </cell>
          <cell r="BC44">
            <v>0.48499999999999999</v>
          </cell>
          <cell r="BD44">
            <v>0.47399999999999998</v>
          </cell>
        </row>
        <row r="45">
          <cell r="A45" t="str">
            <v>Total Hospital Revenue</v>
          </cell>
          <cell r="C45">
            <v>547.9</v>
          </cell>
          <cell r="D45">
            <v>622.1</v>
          </cell>
          <cell r="E45">
            <v>742.4</v>
          </cell>
          <cell r="F45">
            <v>854.58</v>
          </cell>
          <cell r="G45">
            <v>259.05894000000001</v>
          </cell>
          <cell r="H45">
            <v>256.56476999999995</v>
          </cell>
          <cell r="I45">
            <v>261.55808000000002</v>
          </cell>
          <cell r="J45">
            <v>283.33205600000008</v>
          </cell>
          <cell r="K45">
            <v>1060.5138460000001</v>
          </cell>
          <cell r="L45">
            <v>303.095282</v>
          </cell>
          <cell r="M45">
            <v>311.11041599999999</v>
          </cell>
          <cell r="N45">
            <v>339.36497700000001</v>
          </cell>
          <cell r="O45">
            <v>364.83579599999996</v>
          </cell>
          <cell r="P45">
            <v>1314.763483</v>
          </cell>
          <cell r="Q45">
            <v>394.259905</v>
          </cell>
          <cell r="R45">
            <v>396.09809200000001</v>
          </cell>
          <cell r="S45">
            <v>414.06958600000002</v>
          </cell>
          <cell r="T45">
            <v>471.29447400000004</v>
          </cell>
          <cell r="U45">
            <v>1675.7220570000002</v>
          </cell>
          <cell r="V45">
            <v>0</v>
          </cell>
          <cell r="W45">
            <v>526.58325300000001</v>
          </cell>
          <cell r="X45">
            <v>523.68443400000001</v>
          </cell>
          <cell r="Y45">
            <v>546.20690800000011</v>
          </cell>
          <cell r="Z45">
            <v>576.47330000000011</v>
          </cell>
          <cell r="AA45">
            <v>2172.9478950000002</v>
          </cell>
          <cell r="AB45">
            <v>0</v>
          </cell>
          <cell r="AC45">
            <v>652.0249530000001</v>
          </cell>
          <cell r="AD45">
            <v>648.74819100000002</v>
          </cell>
          <cell r="AE45">
            <v>714.34573599999999</v>
          </cell>
          <cell r="AF45">
            <v>783.10652000000005</v>
          </cell>
          <cell r="AG45">
            <v>2798.2254000000003</v>
          </cell>
          <cell r="AH45">
            <v>810.04035999999996</v>
          </cell>
          <cell r="AI45">
            <v>803.90497200000004</v>
          </cell>
          <cell r="AJ45">
            <v>833.06155799999988</v>
          </cell>
          <cell r="AK45">
            <v>859.46957799999996</v>
          </cell>
          <cell r="AL45">
            <v>3285.9840260000001</v>
          </cell>
          <cell r="AM45">
            <v>0</v>
          </cell>
          <cell r="AN45">
            <v>2135.2600080000002</v>
          </cell>
          <cell r="AR45">
            <v>704.14463599999999</v>
          </cell>
          <cell r="AS45">
            <v>774.05634000000009</v>
          </cell>
          <cell r="AT45">
            <v>2763.204808</v>
          </cell>
          <cell r="AU45">
            <v>768.2684660000001</v>
          </cell>
          <cell r="AV45">
            <v>761.08359599999994</v>
          </cell>
          <cell r="AW45">
            <v>801.26140500000008</v>
          </cell>
          <cell r="AX45">
            <v>828.015625</v>
          </cell>
          <cell r="AY45">
            <v>3158.6290920000001</v>
          </cell>
          <cell r="AZ45">
            <v>0</v>
          </cell>
          <cell r="BA45">
            <v>898.27210700000001</v>
          </cell>
          <cell r="BB45">
            <v>907.69338399999992</v>
          </cell>
          <cell r="BC45">
            <v>917.18850300000008</v>
          </cell>
          <cell r="BD45">
            <v>968.32102000000009</v>
          </cell>
          <cell r="BE45">
            <v>3691.4750139999996</v>
          </cell>
          <cell r="BF45">
            <v>0</v>
          </cell>
          <cell r="BG45">
            <v>1013.216694</v>
          </cell>
          <cell r="BH45">
            <v>1047.2602980000001</v>
          </cell>
          <cell r="BI45">
            <v>1101.2858163254537</v>
          </cell>
          <cell r="BJ45">
            <v>1109.862210572483</v>
          </cell>
          <cell r="BK45">
            <v>4271.6250188979366</v>
          </cell>
          <cell r="BL45">
            <v>0</v>
          </cell>
          <cell r="BM45">
            <v>4683.8429910098703</v>
          </cell>
          <cell r="BN45">
            <v>5087.0573071404742</v>
          </cell>
          <cell r="BO45">
            <v>5481.8020921305024</v>
          </cell>
          <cell r="BP45">
            <v>5869.2797170510685</v>
          </cell>
        </row>
        <row r="46">
          <cell r="A46" t="str">
            <v>Total Other Revenue</v>
          </cell>
          <cell r="C46">
            <v>0</v>
          </cell>
          <cell r="D46">
            <v>0</v>
          </cell>
          <cell r="E46">
            <v>0</v>
          </cell>
          <cell r="F46">
            <v>0</v>
          </cell>
          <cell r="G46">
            <v>3.9450600000000122</v>
          </cell>
          <cell r="H46">
            <v>5.2562300000000732</v>
          </cell>
          <cell r="I46">
            <v>5.3379200000000253</v>
          </cell>
          <cell r="J46">
            <v>4.8999439999999765</v>
          </cell>
          <cell r="K46">
            <v>19.439153999999917</v>
          </cell>
          <cell r="L46">
            <v>5.5557179999999846</v>
          </cell>
          <cell r="M46">
            <v>6.0255840000000092</v>
          </cell>
          <cell r="N46">
            <v>3.0820229999999924</v>
          </cell>
          <cell r="O46">
            <v>4.4312040000000081</v>
          </cell>
          <cell r="P46">
            <v>22.737517000000025</v>
          </cell>
          <cell r="Q46">
            <v>4.3850949999999784</v>
          </cell>
          <cell r="R46">
            <v>4.8109079999999835</v>
          </cell>
          <cell r="S46">
            <v>2.4994140000000016</v>
          </cell>
          <cell r="T46">
            <v>2.4994140000000016</v>
          </cell>
          <cell r="U46">
            <v>14.194830999999965</v>
          </cell>
          <cell r="V46">
            <v>0</v>
          </cell>
          <cell r="W46">
            <v>6.9357469999999921</v>
          </cell>
          <cell r="X46">
            <v>6.8975659999999834</v>
          </cell>
          <cell r="Y46">
            <v>6.634091999999896</v>
          </cell>
          <cell r="Z46">
            <v>7.0016999999999143</v>
          </cell>
          <cell r="AA46">
            <v>27.469104999999786</v>
          </cell>
          <cell r="AB46">
            <v>0</v>
          </cell>
          <cell r="AC46">
            <v>7.2520469999999477</v>
          </cell>
          <cell r="AD46">
            <v>8.5448089999999866</v>
          </cell>
          <cell r="AE46">
            <v>8.6762640000000602</v>
          </cell>
          <cell r="AF46">
            <v>11.925479999999993</v>
          </cell>
          <cell r="AG46">
            <v>36.398599999999988</v>
          </cell>
          <cell r="AH46">
            <v>12.335640000000012</v>
          </cell>
          <cell r="AI46">
            <v>9.7640279999999393</v>
          </cell>
          <cell r="AJ46">
            <v>10.972442000000115</v>
          </cell>
          <cell r="AK46">
            <v>12.203422000000046</v>
          </cell>
          <cell r="AL46">
            <v>46.656973999999991</v>
          </cell>
          <cell r="AM46">
            <v>0</v>
          </cell>
          <cell r="AN46">
            <v>28.123991999999816</v>
          </cell>
          <cell r="AR46">
            <v>8.5523640000000114</v>
          </cell>
          <cell r="AS46">
            <v>11.78765999999996</v>
          </cell>
          <cell r="AT46">
            <v>33.561192000000119</v>
          </cell>
          <cell r="AU46">
            <v>11.690533999999957</v>
          </cell>
          <cell r="AV46">
            <v>10.024404000000004</v>
          </cell>
          <cell r="AW46">
            <v>10.553594999999973</v>
          </cell>
          <cell r="AX46">
            <v>12.609375</v>
          </cell>
          <cell r="AY46">
            <v>44.877907999999934</v>
          </cell>
          <cell r="AZ46">
            <v>0</v>
          </cell>
          <cell r="BA46">
            <v>9.9908930000000282</v>
          </cell>
          <cell r="BB46">
            <v>11.024616000000037</v>
          </cell>
          <cell r="BC46">
            <v>12.080496999999923</v>
          </cell>
          <cell r="BD46">
            <v>13.74897999999996</v>
          </cell>
          <cell r="BE46">
            <v>46.844986000000517</v>
          </cell>
          <cell r="BF46">
            <v>5.6843418860808015E-13</v>
          </cell>
          <cell r="BG46">
            <v>13.345305999999937</v>
          </cell>
          <cell r="BH46">
            <v>13.793701999999939</v>
          </cell>
          <cell r="BI46">
            <v>13.5</v>
          </cell>
          <cell r="BJ46">
            <v>14.2</v>
          </cell>
          <cell r="BK46">
            <v>54.839007999999879</v>
          </cell>
          <cell r="BM46">
            <v>54.839007999999879</v>
          </cell>
          <cell r="BN46">
            <v>54.839007999999879</v>
          </cell>
          <cell r="BO46">
            <v>54.839007999999879</v>
          </cell>
          <cell r="BP46">
            <v>54.839007999999879</v>
          </cell>
        </row>
        <row r="47">
          <cell r="A47" t="str">
            <v>TOTAL REVENUE</v>
          </cell>
          <cell r="C47">
            <v>547.9</v>
          </cell>
          <cell r="D47">
            <v>622.1</v>
          </cell>
          <cell r="E47">
            <v>742.4</v>
          </cell>
          <cell r="F47">
            <v>854.58</v>
          </cell>
          <cell r="G47">
            <v>263.00400000000002</v>
          </cell>
          <cell r="H47">
            <v>261.82100000000003</v>
          </cell>
          <cell r="I47">
            <v>266.89600000000002</v>
          </cell>
          <cell r="J47">
            <v>288.23200000000003</v>
          </cell>
          <cell r="K47">
            <v>1079.953</v>
          </cell>
          <cell r="L47">
            <v>308.65100000000001</v>
          </cell>
          <cell r="M47">
            <v>317.13600000000002</v>
          </cell>
          <cell r="N47">
            <v>342.447</v>
          </cell>
          <cell r="O47">
            <v>369.267</v>
          </cell>
          <cell r="P47">
            <v>1337.501</v>
          </cell>
          <cell r="Q47">
            <v>398.64499999999998</v>
          </cell>
          <cell r="R47">
            <v>400.90899999999999</v>
          </cell>
          <cell r="S47">
            <v>416.56900000000002</v>
          </cell>
          <cell r="T47">
            <v>477.50200000000001</v>
          </cell>
          <cell r="U47">
            <v>1693.625</v>
          </cell>
          <cell r="V47">
            <v>0</v>
          </cell>
          <cell r="W47">
            <v>533.51900000000001</v>
          </cell>
          <cell r="X47">
            <v>530.58199999999999</v>
          </cell>
          <cell r="Y47">
            <v>552.84100000000001</v>
          </cell>
          <cell r="Z47">
            <v>583.47500000000002</v>
          </cell>
          <cell r="AA47">
            <v>2200.4169999999999</v>
          </cell>
          <cell r="AB47">
            <v>0</v>
          </cell>
          <cell r="AC47">
            <v>659.27700000000004</v>
          </cell>
          <cell r="AD47">
            <v>657.29300000000001</v>
          </cell>
          <cell r="AE47">
            <v>723.02200000000005</v>
          </cell>
          <cell r="AF47">
            <v>795.03200000000004</v>
          </cell>
          <cell r="AG47">
            <v>2834.6240000000003</v>
          </cell>
          <cell r="AH47">
            <v>822.37599999999998</v>
          </cell>
          <cell r="AI47">
            <v>813.66899999999998</v>
          </cell>
          <cell r="AJ47">
            <v>844.03399999999999</v>
          </cell>
          <cell r="AK47">
            <v>871.673</v>
          </cell>
          <cell r="AL47">
            <v>3332.6410000000001</v>
          </cell>
          <cell r="AM47">
            <v>0</v>
          </cell>
          <cell r="AN47">
            <v>2163.384</v>
          </cell>
          <cell r="AO47">
            <v>2676.52</v>
          </cell>
          <cell r="AP47">
            <v>649.33699999999999</v>
          </cell>
          <cell r="AQ47">
            <v>648.88800000000003</v>
          </cell>
          <cell r="AR47">
            <v>712.697</v>
          </cell>
          <cell r="AS47">
            <v>785.84400000000005</v>
          </cell>
          <cell r="AT47">
            <v>2796.7660000000001</v>
          </cell>
          <cell r="AU47">
            <v>779.95900000000006</v>
          </cell>
          <cell r="AV47">
            <v>771.10799999999995</v>
          </cell>
          <cell r="AW47">
            <v>811.81500000000005</v>
          </cell>
          <cell r="AX47">
            <v>840.625</v>
          </cell>
          <cell r="AY47">
            <v>3203.5070000000001</v>
          </cell>
          <cell r="AZ47">
            <v>0</v>
          </cell>
          <cell r="BA47">
            <v>908.26300000000003</v>
          </cell>
          <cell r="BB47">
            <v>918.71799999999996</v>
          </cell>
          <cell r="BC47">
            <v>929.26900000000001</v>
          </cell>
          <cell r="BD47">
            <v>982.07</v>
          </cell>
          <cell r="BE47">
            <v>3738.32</v>
          </cell>
          <cell r="BF47">
            <v>0</v>
          </cell>
          <cell r="BG47">
            <v>1026.5619999999999</v>
          </cell>
          <cell r="BH47">
            <v>1061.0540000000001</v>
          </cell>
          <cell r="BI47">
            <v>1114.7858163254537</v>
          </cell>
          <cell r="BJ47">
            <v>1124.0622105724831</v>
          </cell>
          <cell r="BK47">
            <v>4326.4640268979365</v>
          </cell>
          <cell r="BL47">
            <v>0</v>
          </cell>
          <cell r="BM47">
            <v>4738.6819990098702</v>
          </cell>
          <cell r="BN47">
            <v>5141.8963151404741</v>
          </cell>
          <cell r="BO47">
            <v>5536.6411001305023</v>
          </cell>
          <cell r="BP47">
            <v>5924.1187250510684</v>
          </cell>
        </row>
        <row r="48">
          <cell r="A48" t="str">
            <v>% Change</v>
          </cell>
          <cell r="C48" t="str">
            <v>NA</v>
          </cell>
          <cell r="D48">
            <v>0.1354261726592445</v>
          </cell>
          <cell r="E48">
            <v>0.19337727053528364</v>
          </cell>
          <cell r="F48">
            <v>0.15110452586206913</v>
          </cell>
          <cell r="G48" t="str">
            <v>NA</v>
          </cell>
          <cell r="H48" t="str">
            <v>NA</v>
          </cell>
          <cell r="I48" t="str">
            <v>NA</v>
          </cell>
          <cell r="J48" t="str">
            <v>NA</v>
          </cell>
          <cell r="K48">
            <v>0.26372370053125493</v>
          </cell>
          <cell r="L48">
            <v>0.17356009794527827</v>
          </cell>
          <cell r="M48">
            <v>0.21127029535445963</v>
          </cell>
          <cell r="N48">
            <v>0.28307280738564833</v>
          </cell>
          <cell r="O48">
            <v>0.28114504982097732</v>
          </cell>
          <cell r="P48">
            <v>0.23848074869924885</v>
          </cell>
          <cell r="Q48">
            <v>0.29157203443371316</v>
          </cell>
          <cell r="R48">
            <v>0.26415481055446222</v>
          </cell>
          <cell r="S48">
            <v>0.21644809269755605</v>
          </cell>
          <cell r="T48">
            <v>0.29310769714055152</v>
          </cell>
          <cell r="U48">
            <v>0.26626073550599227</v>
          </cell>
          <cell r="V48">
            <v>0</v>
          </cell>
          <cell r="W48">
            <v>0.33833109658969773</v>
          </cell>
          <cell r="X48">
            <v>0.32344746563434601</v>
          </cell>
          <cell r="Y48">
            <v>0.32712947914991264</v>
          </cell>
          <cell r="Z48">
            <v>0.22193205473484934</v>
          </cell>
          <cell r="AA48">
            <v>0.29923507269909222</v>
          </cell>
          <cell r="AB48">
            <v>0</v>
          </cell>
          <cell r="AC48">
            <v>0.23571419199691124</v>
          </cell>
          <cell r="AD48">
            <v>0.23881511246141041</v>
          </cell>
          <cell r="AE48">
            <v>0.30782991854800934</v>
          </cell>
          <cell r="AF48">
            <v>0.36258108745019069</v>
          </cell>
          <cell r="AG48">
            <v>0.28822127805775022</v>
          </cell>
          <cell r="AH48">
            <v>-0.38513989896082323</v>
          </cell>
          <cell r="AI48">
            <v>1.0410866811323358</v>
          </cell>
          <cell r="AJ48">
            <v>0.16736973425428259</v>
          </cell>
          <cell r="AK48">
            <v>9.6399893337626663E-2</v>
          </cell>
          <cell r="AL48">
            <v>0.17569067361314938</v>
          </cell>
          <cell r="AM48">
            <v>0</v>
          </cell>
          <cell r="AN48">
            <v>0.30560289680144836</v>
          </cell>
          <cell r="AO48">
            <v>0.2371913631606779</v>
          </cell>
          <cell r="AP48" t="str">
            <v>NA</v>
          </cell>
          <cell r="AQ48" t="str">
            <v>NA</v>
          </cell>
          <cell r="AR48" t="str">
            <v>NA</v>
          </cell>
          <cell r="AS48" t="str">
            <v>NA</v>
          </cell>
          <cell r="AT48">
            <v>0.29277372856598749</v>
          </cell>
          <cell r="AU48" t="str">
            <v>NA</v>
          </cell>
          <cell r="AV48" t="str">
            <v>NA</v>
          </cell>
          <cell r="AW48">
            <v>0.13907452956866662</v>
          </cell>
          <cell r="AX48">
            <v>6.9709764278915287E-2</v>
          </cell>
          <cell r="AY48">
            <v>0.14543261753039038</v>
          </cell>
          <cell r="AZ48">
            <v>0</v>
          </cell>
          <cell r="BA48">
            <v>0.16450095453735392</v>
          </cell>
          <cell r="BB48">
            <v>0.19142584436940102</v>
          </cell>
          <cell r="BC48">
            <v>0.14468074622912841</v>
          </cell>
          <cell r="BD48">
            <v>0.16826171003717483</v>
          </cell>
          <cell r="BE48">
            <v>0.16694610000852195</v>
          </cell>
          <cell r="BG48">
            <v>0.13024751641319732</v>
          </cell>
          <cell r="BH48">
            <v>0.15492893357918325</v>
          </cell>
          <cell r="BI48">
            <v>0.1996373669254583</v>
          </cell>
          <cell r="BJ48">
            <v>0.14458461267779588</v>
          </cell>
          <cell r="BK48">
            <v>0.15732843279813835</v>
          </cell>
          <cell r="BM48">
            <v>9.5278261774313977E-2</v>
          </cell>
          <cell r="BN48">
            <v>8.508997147621522E-2</v>
          </cell>
          <cell r="BO48">
            <v>7.6770273221513641E-2</v>
          </cell>
          <cell r="BP48">
            <v>6.9984240970835776E-2</v>
          </cell>
        </row>
        <row r="49">
          <cell r="A49" t="str">
            <v>% Change</v>
          </cell>
          <cell r="C49" t="str">
            <v>NA</v>
          </cell>
          <cell r="D49">
            <v>0.1354261726592445</v>
          </cell>
          <cell r="E49">
            <v>0.19337727053528364</v>
          </cell>
          <cell r="F49">
            <v>0.15110452586206913</v>
          </cell>
          <cell r="G49" t="str">
            <v>NA</v>
          </cell>
          <cell r="H49" t="str">
            <v>NA</v>
          </cell>
          <cell r="I49" t="str">
            <v>NA</v>
          </cell>
          <cell r="J49" t="str">
            <v>NA</v>
          </cell>
          <cell r="K49">
            <v>0.26372370053125493</v>
          </cell>
          <cell r="L49">
            <v>0.17356009794527827</v>
          </cell>
          <cell r="M49">
            <v>0.21127029535445963</v>
          </cell>
          <cell r="N49">
            <v>0.28307280738564833</v>
          </cell>
          <cell r="O49">
            <v>0.28114504982097732</v>
          </cell>
          <cell r="P49">
            <v>0.23848074869924885</v>
          </cell>
          <cell r="Q49">
            <v>0.29157203443371316</v>
          </cell>
          <cell r="R49">
            <v>0.26415481055446222</v>
          </cell>
          <cell r="S49">
            <v>0.21644809269755605</v>
          </cell>
          <cell r="T49">
            <v>0.29310769714055152</v>
          </cell>
          <cell r="U49">
            <v>0.26626073550599227</v>
          </cell>
          <cell r="W49">
            <v>0.33833109658969773</v>
          </cell>
          <cell r="X49">
            <v>0.32344746563434601</v>
          </cell>
          <cell r="Y49">
            <v>0.32712947914991264</v>
          </cell>
          <cell r="Z49">
            <v>0.22193205473484934</v>
          </cell>
          <cell r="AA49">
            <v>0.29923507269909222</v>
          </cell>
          <cell r="AC49">
            <v>0.23571419199691124</v>
          </cell>
          <cell r="AD49">
            <v>0.23881511246141041</v>
          </cell>
          <cell r="AE49">
            <v>0.30782991854800934</v>
          </cell>
          <cell r="AF49">
            <v>0.36258108745019069</v>
          </cell>
          <cell r="AG49">
            <v>0.28822127805775022</v>
          </cell>
          <cell r="AH49">
            <v>-0.38513989896082323</v>
          </cell>
          <cell r="AI49">
            <v>1.0410866811323358</v>
          </cell>
          <cell r="AJ49">
            <v>0.16736973425428259</v>
          </cell>
          <cell r="AK49">
            <v>9.6399893337626663E-2</v>
          </cell>
          <cell r="AL49">
            <v>0.17569067361314938</v>
          </cell>
          <cell r="AN49">
            <v>0.30560289680144836</v>
          </cell>
          <cell r="AO49">
            <v>0.2371913631606779</v>
          </cell>
          <cell r="AP49" t="str">
            <v>NA</v>
          </cell>
          <cell r="AQ49" t="str">
            <v>NA</v>
          </cell>
          <cell r="AR49" t="str">
            <v>NA</v>
          </cell>
          <cell r="AS49" t="str">
            <v>NA</v>
          </cell>
          <cell r="AT49">
            <v>0.29277372856598749</v>
          </cell>
          <cell r="AU49" t="str">
            <v>NA</v>
          </cell>
          <cell r="AV49" t="str">
            <v>NA</v>
          </cell>
          <cell r="AW49">
            <v>0.13907452956866662</v>
          </cell>
          <cell r="AX49">
            <v>6.9709764278915287E-2</v>
          </cell>
          <cell r="AY49">
            <v>0.14543261753039038</v>
          </cell>
          <cell r="BA49">
            <v>0.16450095453735392</v>
          </cell>
          <cell r="BB49">
            <v>0.19142584436940102</v>
          </cell>
          <cell r="BC49">
            <v>0.14468074622912841</v>
          </cell>
          <cell r="BD49">
            <v>0.16826171003717483</v>
          </cell>
        </row>
        <row r="50">
          <cell r="A50" t="str">
            <v>Equivalent Factor</v>
          </cell>
          <cell r="C50">
            <v>1.5461249295977577</v>
          </cell>
          <cell r="D50">
            <v>1.6532440563350284</v>
          </cell>
          <cell r="E50">
            <v>1.7436182649853014</v>
          </cell>
          <cell r="F50">
            <v>1.7687336436462433</v>
          </cell>
          <cell r="G50">
            <v>1.701135930955705</v>
          </cell>
          <cell r="H50">
            <v>1.8297586657715275</v>
          </cell>
          <cell r="I50">
            <v>1.8675443497695208</v>
          </cell>
          <cell r="J50">
            <v>1.8187791370733082</v>
          </cell>
          <cell r="K50">
            <v>1.8021658611124953</v>
          </cell>
          <cell r="L50">
            <v>1.7954414476717382</v>
          </cell>
          <cell r="M50">
            <v>2.0449897750511248</v>
          </cell>
          <cell r="N50">
            <v>1.972386587771203</v>
          </cell>
          <cell r="O50">
            <v>1.7919312857886518</v>
          </cell>
          <cell r="P50">
            <v>1.8311283232154072</v>
          </cell>
          <cell r="Q50">
            <v>1.7755002098782706</v>
          </cell>
          <cell r="R50">
            <v>1.8536179650679234</v>
          </cell>
          <cell r="S50">
            <v>1.886220935936427</v>
          </cell>
          <cell r="T50">
            <v>1.8284064615185001</v>
          </cell>
          <cell r="U50">
            <v>1.83541108896411</v>
          </cell>
          <cell r="W50">
            <v>1.7991404279174064</v>
          </cell>
          <cell r="X50">
            <v>1.8686060940300566</v>
          </cell>
          <cell r="Y50">
            <v>1.8805350553505535</v>
          </cell>
          <cell r="Z50">
            <v>1.8321310742045518</v>
          </cell>
          <cell r="AA50">
            <v>1.8446279653469355</v>
          </cell>
          <cell r="AC50">
            <v>1.7961653257202179</v>
          </cell>
          <cell r="AD50">
            <v>1.8471515548733162</v>
          </cell>
          <cell r="AE50">
            <v>1.8616955060375948</v>
          </cell>
          <cell r="AF50">
            <v>1.807836451758341</v>
          </cell>
          <cell r="AG50">
            <v>1.8278827780764084</v>
          </cell>
          <cell r="AH50">
            <v>1.8032024011124419</v>
          </cell>
          <cell r="AI50">
            <v>1.8550148239207462</v>
          </cell>
          <cell r="AJ50">
            <v>1.8971939660154895</v>
          </cell>
          <cell r="AK50">
            <v>1.860252312392159</v>
          </cell>
          <cell r="AL50">
            <v>1.8542860003289496</v>
          </cell>
          <cell r="AN50">
            <v>1.8462600981484094</v>
          </cell>
          <cell r="AO50">
            <v>1.8200055282400931</v>
          </cell>
          <cell r="AR50">
            <v>1.862568526154478</v>
          </cell>
          <cell r="AS50">
            <v>1.808024559148997</v>
          </cell>
          <cell r="AT50">
            <v>1.8282469978198572</v>
          </cell>
          <cell r="AU50">
            <v>1.7996981994520709</v>
          </cell>
          <cell r="AV50">
            <v>1.8478117271149208</v>
          </cell>
          <cell r="AW50">
            <v>1.8869607206989694</v>
          </cell>
          <cell r="AX50">
            <v>1.8521256658845751</v>
          </cell>
          <cell r="AY50">
            <v>1.8466509592729721</v>
          </cell>
          <cell r="BA50">
            <v>1.7818651477016823</v>
          </cell>
          <cell r="BB50">
            <v>1.8740330867822257</v>
          </cell>
          <cell r="BC50">
            <v>1.8917532276378317</v>
          </cell>
          <cell r="BD50">
            <v>1.841418566290798</v>
          </cell>
          <cell r="BE50">
            <v>1.8463102598128469</v>
          </cell>
          <cell r="BG50">
            <v>1.8130334574373781</v>
          </cell>
          <cell r="BH50">
            <v>1.8740330867822257</v>
          </cell>
          <cell r="BI50">
            <v>1.8917532276378317</v>
          </cell>
          <cell r="BJ50">
            <v>1.841418566290798</v>
          </cell>
          <cell r="BK50">
            <v>1.8568268240522143</v>
          </cell>
          <cell r="BM50">
            <v>1.85</v>
          </cell>
          <cell r="BN50">
            <v>1.85</v>
          </cell>
          <cell r="BO50">
            <v>1.85</v>
          </cell>
          <cell r="BP50">
            <v>1.85</v>
          </cell>
        </row>
        <row r="52">
          <cell r="B52" t="str">
            <v>check</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W52">
            <v>0</v>
          </cell>
          <cell r="X52">
            <v>0</v>
          </cell>
          <cell r="Y52">
            <v>0</v>
          </cell>
          <cell r="Z52">
            <v>0</v>
          </cell>
          <cell r="AA52">
            <v>0</v>
          </cell>
          <cell r="AC52">
            <v>0</v>
          </cell>
          <cell r="AD52">
            <v>0</v>
          </cell>
          <cell r="AE52">
            <v>0</v>
          </cell>
          <cell r="AF52">
            <v>0</v>
          </cell>
          <cell r="AG52">
            <v>0</v>
          </cell>
          <cell r="AH52">
            <v>0</v>
          </cell>
          <cell r="AL52">
            <v>0</v>
          </cell>
          <cell r="AU52">
            <v>0</v>
          </cell>
          <cell r="AV52">
            <v>0</v>
          </cell>
          <cell r="AW52">
            <v>0</v>
          </cell>
          <cell r="AX52">
            <v>0</v>
          </cell>
          <cell r="AY52">
            <v>0</v>
          </cell>
          <cell r="BA52">
            <v>0</v>
          </cell>
          <cell r="BB52">
            <v>0</v>
          </cell>
          <cell r="BC52">
            <v>0</v>
          </cell>
          <cell r="BD52">
            <v>0</v>
          </cell>
          <cell r="BE52">
            <v>0</v>
          </cell>
          <cell r="BG52">
            <v>0</v>
          </cell>
          <cell r="BH52">
            <v>0</v>
          </cell>
          <cell r="BI52">
            <v>0</v>
          </cell>
          <cell r="BJ52">
            <v>0</v>
          </cell>
          <cell r="BK52">
            <v>0</v>
          </cell>
          <cell r="BM52">
            <v>0</v>
          </cell>
          <cell r="BN52">
            <v>0</v>
          </cell>
          <cell r="BO52">
            <v>0</v>
          </cell>
          <cell r="BP52">
            <v>0</v>
          </cell>
        </row>
        <row r="54">
          <cell r="A54" t="str">
            <v>Consolidated surgeries (% change)</v>
          </cell>
          <cell r="Y54">
            <v>0.107</v>
          </cell>
          <cell r="Z54">
            <v>0.10299999999999999</v>
          </cell>
          <cell r="AA54">
            <v>0.29899999999999999</v>
          </cell>
          <cell r="AK54">
            <v>0.127</v>
          </cell>
          <cell r="AL54">
            <v>0.17899999999999999</v>
          </cell>
          <cell r="AU54" t="str">
            <v>na</v>
          </cell>
          <cell r="AV54" t="str">
            <v>na</v>
          </cell>
          <cell r="AW54" t="str">
            <v>na</v>
          </cell>
          <cell r="AX54">
            <v>0.127</v>
          </cell>
          <cell r="AY54">
            <v>0.17899999999999999</v>
          </cell>
          <cell r="BA54" t="str">
            <v>na</v>
          </cell>
          <cell r="BB54">
            <v>9.0999999999999998E-2</v>
          </cell>
        </row>
        <row r="55">
          <cell r="A55" t="str">
            <v>Same-store surgeries (% change)</v>
          </cell>
          <cell r="AH55">
            <v>6.6000000000000003E-2</v>
          </cell>
          <cell r="AI55">
            <v>7.1999999999999995E-2</v>
          </cell>
          <cell r="AK55">
            <v>4.4999999999999998E-2</v>
          </cell>
          <cell r="AL55">
            <v>5.2999999999999999E-2</v>
          </cell>
          <cell r="AU55">
            <v>6.6000000000000003E-2</v>
          </cell>
          <cell r="AV55">
            <v>7.1999999999999995E-2</v>
          </cell>
          <cell r="AW55" t="str">
            <v>na</v>
          </cell>
          <cell r="AX55">
            <v>4.4999999999999998E-2</v>
          </cell>
          <cell r="AY55">
            <v>5.2999999999999999E-2</v>
          </cell>
          <cell r="BA55" t="str">
            <v>na</v>
          </cell>
          <cell r="BB55">
            <v>2.4E-2</v>
          </cell>
          <cell r="BC55">
            <v>3.5999999999999997E-2</v>
          </cell>
          <cell r="BD55">
            <v>2.2200000000000001E-2</v>
          </cell>
          <cell r="BE55">
            <v>2.3E-2</v>
          </cell>
          <cell r="BG55">
            <v>5.3999999999999999E-2</v>
          </cell>
          <cell r="BH55">
            <v>0.02</v>
          </cell>
        </row>
        <row r="57">
          <cell r="A57" t="str">
            <v>Payor Mix (based on revenue)</v>
          </cell>
        </row>
        <row r="58">
          <cell r="A58" t="str">
            <v>Medicare</v>
          </cell>
          <cell r="P58">
            <v>0.34200000000000003</v>
          </cell>
          <cell r="U58">
            <v>0.33500000000000002</v>
          </cell>
          <cell r="AA58">
            <v>0.33</v>
          </cell>
          <cell r="AC58">
            <v>0.33300000000000002</v>
          </cell>
          <cell r="AD58">
            <v>0.32500000000000001</v>
          </cell>
          <cell r="AE58">
            <v>0.32300000000000001</v>
          </cell>
          <cell r="AG58">
            <v>0.33</v>
          </cell>
          <cell r="AH58">
            <v>0.33300000000000002</v>
          </cell>
          <cell r="AI58">
            <v>0.315</v>
          </cell>
          <cell r="AJ58">
            <v>0.311</v>
          </cell>
          <cell r="AK58">
            <v>0.32</v>
          </cell>
          <cell r="AL58">
            <v>0.31900000000000001</v>
          </cell>
          <cell r="AN58">
            <v>0.33</v>
          </cell>
          <cell r="AO58">
            <v>0.33</v>
          </cell>
          <cell r="AR58">
            <v>0.32100000000000001</v>
          </cell>
          <cell r="AT58">
            <v>0.33</v>
          </cell>
          <cell r="AU58">
            <v>0.33</v>
          </cell>
          <cell r="AV58">
            <v>0.313</v>
          </cell>
          <cell r="AW58">
            <v>0.311</v>
          </cell>
          <cell r="AX58">
            <v>0.32</v>
          </cell>
          <cell r="AY58">
            <v>0.31900000000000001</v>
          </cell>
          <cell r="BA58">
            <v>0.33700000000000002</v>
          </cell>
          <cell r="BB58">
            <v>0.316</v>
          </cell>
          <cell r="BC58">
            <v>0.31</v>
          </cell>
          <cell r="BD58">
            <v>0.318</v>
          </cell>
          <cell r="BE58">
            <v>0.32</v>
          </cell>
          <cell r="BG58">
            <v>0.32100000000000001</v>
          </cell>
          <cell r="BH58">
            <v>0.308</v>
          </cell>
        </row>
        <row r="59">
          <cell r="A59" t="str">
            <v>Medicaid</v>
          </cell>
          <cell r="P59">
            <v>0.11799999999999999</v>
          </cell>
          <cell r="U59">
            <v>0.113</v>
          </cell>
          <cell r="AA59">
            <v>0.11</v>
          </cell>
          <cell r="AC59">
            <v>0.106</v>
          </cell>
          <cell r="AD59">
            <v>0.106</v>
          </cell>
          <cell r="AE59">
            <v>9.6000000000000002E-2</v>
          </cell>
          <cell r="AG59">
            <v>0.108</v>
          </cell>
          <cell r="AH59">
            <v>9.9000000000000005E-2</v>
          </cell>
          <cell r="AI59">
            <v>0.104</v>
          </cell>
          <cell r="AJ59">
            <v>0.108</v>
          </cell>
          <cell r="AK59">
            <v>0.108</v>
          </cell>
          <cell r="AL59">
            <v>0.105</v>
          </cell>
          <cell r="AN59">
            <v>0.11</v>
          </cell>
          <cell r="AO59">
            <v>0.106</v>
          </cell>
          <cell r="AR59">
            <v>9.7000000000000003E-2</v>
          </cell>
          <cell r="AT59">
            <v>0.108</v>
          </cell>
          <cell r="AU59">
            <v>9.8000000000000004E-2</v>
          </cell>
          <cell r="AV59">
            <v>0.10199999999999999</v>
          </cell>
          <cell r="AW59">
            <v>0.105</v>
          </cell>
          <cell r="AX59">
            <v>0.108</v>
          </cell>
          <cell r="AY59">
            <v>0.10299999999999999</v>
          </cell>
          <cell r="BA59">
            <v>8.8999999999999996E-2</v>
          </cell>
          <cell r="BB59">
            <v>0.11799999999999999</v>
          </cell>
          <cell r="BC59">
            <v>0.11799999999999999</v>
          </cell>
          <cell r="BD59">
            <v>0.12</v>
          </cell>
          <cell r="BE59">
            <v>0.112</v>
          </cell>
          <cell r="BG59">
            <v>9.2999999999999999E-2</v>
          </cell>
          <cell r="BH59">
            <v>0.10199999999999999</v>
          </cell>
        </row>
        <row r="60">
          <cell r="A60" t="str">
            <v xml:space="preserve">Managed Care </v>
          </cell>
          <cell r="P60">
            <v>0.159</v>
          </cell>
          <cell r="U60">
            <v>0.17499999999999999</v>
          </cell>
          <cell r="AA60">
            <v>0.17699999999999999</v>
          </cell>
          <cell r="AC60">
            <v>0.17499999999999999</v>
          </cell>
          <cell r="AD60">
            <v>0.187</v>
          </cell>
          <cell r="AE60">
            <v>0.19900000000000001</v>
          </cell>
          <cell r="AG60">
            <v>0.192</v>
          </cell>
          <cell r="AH60">
            <v>0.20399999999999999</v>
          </cell>
          <cell r="AI60">
            <v>0.20300000000000001</v>
          </cell>
          <cell r="AJ60">
            <v>0.22800000000000001</v>
          </cell>
          <cell r="AK60">
            <v>0.23200000000000001</v>
          </cell>
          <cell r="AL60">
            <v>0.218</v>
          </cell>
          <cell r="AN60">
            <v>0.17699999999999999</v>
          </cell>
          <cell r="AO60">
            <v>0.19800000000000001</v>
          </cell>
          <cell r="AR60">
            <v>0.2</v>
          </cell>
          <cell r="AT60">
            <v>0.192</v>
          </cell>
          <cell r="AU60">
            <v>0.21</v>
          </cell>
          <cell r="AV60">
            <v>0.20799999999999999</v>
          </cell>
          <cell r="AW60">
            <v>0.23200000000000001</v>
          </cell>
          <cell r="AX60">
            <v>0.23200000000000001</v>
          </cell>
          <cell r="AY60">
            <v>0.222</v>
          </cell>
          <cell r="BA60">
            <v>0.23300000000000001</v>
          </cell>
          <cell r="BB60">
            <v>0.248</v>
          </cell>
          <cell r="BC60">
            <v>0.23400000000000001</v>
          </cell>
          <cell r="BD60">
            <v>0.23499999999999999</v>
          </cell>
          <cell r="BE60">
            <v>0.23699999999999999</v>
          </cell>
          <cell r="BG60">
            <v>0.23899999999999999</v>
          </cell>
          <cell r="BH60">
            <v>0.248</v>
          </cell>
        </row>
        <row r="61">
          <cell r="A61" t="str">
            <v>Self-pay</v>
          </cell>
          <cell r="P61" t="str">
            <v>NA</v>
          </cell>
          <cell r="U61">
            <v>0.11600000000000001</v>
          </cell>
          <cell r="AA61">
            <v>0.128</v>
          </cell>
          <cell r="AC61">
            <v>0.13600000000000001</v>
          </cell>
          <cell r="AD61">
            <v>0.124</v>
          </cell>
          <cell r="AE61" t="str">
            <v>*</v>
          </cell>
          <cell r="AG61">
            <v>0.128</v>
          </cell>
          <cell r="AH61">
            <v>0.128</v>
          </cell>
          <cell r="AI61">
            <v>0.14299999999999999</v>
          </cell>
          <cell r="AJ61">
            <v>0.128</v>
          </cell>
          <cell r="AK61">
            <v>0.12</v>
          </cell>
          <cell r="AL61">
            <v>0.13</v>
          </cell>
          <cell r="AN61">
            <v>0.128</v>
          </cell>
          <cell r="AO61">
            <v>0.126</v>
          </cell>
          <cell r="AR61">
            <v>0.13700000000000001</v>
          </cell>
          <cell r="AT61">
            <v>0.128</v>
          </cell>
          <cell r="AU61">
            <v>0.128</v>
          </cell>
          <cell r="AV61">
            <v>0.14199999999999999</v>
          </cell>
          <cell r="AW61">
            <v>0.128</v>
          </cell>
          <cell r="AX61">
            <v>0.12</v>
          </cell>
          <cell r="AY61">
            <v>0.129</v>
          </cell>
          <cell r="BA61">
            <v>0.128</v>
          </cell>
          <cell r="BB61">
            <v>0.106</v>
          </cell>
          <cell r="BC61">
            <v>0.11799999999999999</v>
          </cell>
          <cell r="BD61">
            <v>0.109</v>
          </cell>
          <cell r="BE61">
            <v>0.115</v>
          </cell>
          <cell r="BG61">
            <v>0.11700000000000001</v>
          </cell>
          <cell r="BH61">
            <v>0.127</v>
          </cell>
        </row>
        <row r="62">
          <cell r="A62" t="str">
            <v>Other third-party payors</v>
          </cell>
          <cell r="P62">
            <v>0.38100000000000001</v>
          </cell>
          <cell r="U62">
            <v>0.26100000000000001</v>
          </cell>
          <cell r="AA62">
            <v>0.255</v>
          </cell>
          <cell r="AC62">
            <v>0.25</v>
          </cell>
          <cell r="AD62">
            <v>0.25800000000000001</v>
          </cell>
          <cell r="AE62">
            <v>0.38200000000000001</v>
          </cell>
          <cell r="AG62">
            <v>0.24199999999999999</v>
          </cell>
          <cell r="AH62">
            <v>0.23599999999999999</v>
          </cell>
          <cell r="AI62">
            <v>0.23499999999999999</v>
          </cell>
          <cell r="AJ62">
            <v>0.22500000000000001</v>
          </cell>
          <cell r="AK62">
            <v>0.22</v>
          </cell>
          <cell r="AL62">
            <v>0.22800000000000001</v>
          </cell>
          <cell r="AN62">
            <v>0.255</v>
          </cell>
          <cell r="AO62">
            <v>0.24</v>
          </cell>
          <cell r="AR62">
            <v>0.245</v>
          </cell>
          <cell r="AT62">
            <v>0.24199999999999999</v>
          </cell>
          <cell r="AU62">
            <v>0.23400000000000001</v>
          </cell>
          <cell r="AV62">
            <v>0.23499999999999999</v>
          </cell>
          <cell r="AW62">
            <v>0.224</v>
          </cell>
          <cell r="AX62">
            <v>0.22</v>
          </cell>
          <cell r="AY62">
            <v>0.22700000000000001</v>
          </cell>
          <cell r="BA62">
            <v>0.21299999999999999</v>
          </cell>
          <cell r="BB62">
            <v>0.21199999999999999</v>
          </cell>
          <cell r="BC62">
            <v>0.22</v>
          </cell>
          <cell r="BD62">
            <v>0.218</v>
          </cell>
          <cell r="BE62">
            <v>0.216</v>
          </cell>
          <cell r="BG62">
            <v>0.23</v>
          </cell>
          <cell r="BH62">
            <v>0.215</v>
          </cell>
        </row>
        <row r="63">
          <cell r="P63">
            <v>1</v>
          </cell>
          <cell r="U63">
            <v>1</v>
          </cell>
          <cell r="AA63">
            <v>1</v>
          </cell>
          <cell r="AC63">
            <v>1</v>
          </cell>
          <cell r="AD63">
            <v>1</v>
          </cell>
          <cell r="AE63">
            <v>1</v>
          </cell>
          <cell r="AG63">
            <v>1</v>
          </cell>
          <cell r="AH63">
            <v>1</v>
          </cell>
          <cell r="AI63">
            <v>1</v>
          </cell>
          <cell r="AJ63">
            <v>1</v>
          </cell>
          <cell r="AK63">
            <v>1</v>
          </cell>
          <cell r="AL63">
            <v>1</v>
          </cell>
          <cell r="AN63">
            <v>1</v>
          </cell>
          <cell r="AO63">
            <v>1</v>
          </cell>
          <cell r="AR63">
            <v>1</v>
          </cell>
          <cell r="AT63">
            <v>1</v>
          </cell>
          <cell r="AU63">
            <v>1</v>
          </cell>
          <cell r="AV63">
            <v>1</v>
          </cell>
          <cell r="AW63">
            <v>1</v>
          </cell>
          <cell r="AX63">
            <v>1</v>
          </cell>
          <cell r="AY63">
            <v>1</v>
          </cell>
          <cell r="BA63">
            <v>1</v>
          </cell>
          <cell r="BB63">
            <v>0.99999999999999989</v>
          </cell>
          <cell r="BC63">
            <v>1</v>
          </cell>
          <cell r="BD63">
            <v>1</v>
          </cell>
          <cell r="BE63">
            <v>1</v>
          </cell>
          <cell r="BG63">
            <v>1</v>
          </cell>
          <cell r="BH63">
            <v>0.99999999999999989</v>
          </cell>
        </row>
        <row r="65">
          <cell r="A65" t="str">
            <v>Uncompensated Care</v>
          </cell>
        </row>
        <row r="66">
          <cell r="A66" t="str">
            <v>Contractual adjustments</v>
          </cell>
          <cell r="F66">
            <v>829</v>
          </cell>
          <cell r="K66">
            <v>1157</v>
          </cell>
          <cell r="P66">
            <v>1649</v>
          </cell>
          <cell r="U66">
            <v>2427</v>
          </cell>
          <cell r="AA66">
            <v>3507</v>
          </cell>
          <cell r="AG66">
            <v>5418</v>
          </cell>
          <cell r="AL66">
            <v>7214</v>
          </cell>
          <cell r="AN66">
            <v>3507</v>
          </cell>
          <cell r="AT66">
            <v>5418</v>
          </cell>
          <cell r="AY66">
            <v>7214</v>
          </cell>
          <cell r="BE66">
            <v>8893</v>
          </cell>
        </row>
        <row r="67">
          <cell r="A67" t="str">
            <v>Imputed gross revenue</v>
          </cell>
          <cell r="F67">
            <v>1683.58</v>
          </cell>
          <cell r="K67">
            <v>2236.953</v>
          </cell>
          <cell r="P67">
            <v>2986.5010000000002</v>
          </cell>
          <cell r="U67">
            <v>4120.625</v>
          </cell>
          <cell r="AA67">
            <v>5707.4169999999995</v>
          </cell>
          <cell r="AG67">
            <v>8252.6239999999998</v>
          </cell>
          <cell r="AL67">
            <v>10546.641</v>
          </cell>
          <cell r="AN67">
            <v>5670.384</v>
          </cell>
          <cell r="AT67">
            <v>8214.7659999999996</v>
          </cell>
          <cell r="AY67">
            <v>10417.507</v>
          </cell>
          <cell r="BE67">
            <v>12631.32</v>
          </cell>
        </row>
        <row r="68">
          <cell r="A68" t="str">
            <v>% of gross revenue</v>
          </cell>
          <cell r="F68">
            <v>0.49240309340809468</v>
          </cell>
          <cell r="K68">
            <v>0.51722141681117129</v>
          </cell>
          <cell r="P68">
            <v>0.55215116284909993</v>
          </cell>
          <cell r="U68">
            <v>0.58898832094645837</v>
          </cell>
          <cell r="AA68">
            <v>0.61446360060952276</v>
          </cell>
          <cell r="AG68">
            <v>0.65651846006797354</v>
          </cell>
          <cell r="AL68">
            <v>0.6840092499592999</v>
          </cell>
          <cell r="AN68">
            <v>0.61847663227040706</v>
          </cell>
          <cell r="AT68">
            <v>0.65954404544207346</v>
          </cell>
          <cell r="AY68">
            <v>0.69248813559712519</v>
          </cell>
          <cell r="BE68">
            <v>0.7040435995604577</v>
          </cell>
        </row>
        <row r="69">
          <cell r="A69" t="str">
            <v>% change</v>
          </cell>
          <cell r="U69">
            <v>0.37975008211951033</v>
          </cell>
          <cell r="AA69">
            <v>0.3850852722584559</v>
          </cell>
          <cell r="AG69">
            <v>0.44594726476092439</v>
          </cell>
          <cell r="AL69" t="str">
            <v>NA</v>
          </cell>
          <cell r="AN69" t="str">
            <v>NA</v>
          </cell>
          <cell r="AT69">
            <v>0.44871423169929936</v>
          </cell>
          <cell r="AY69">
            <v>0.26232662484077784</v>
          </cell>
          <cell r="BE69">
            <v>0.21250890448165771</v>
          </cell>
        </row>
        <row r="71">
          <cell r="A71" t="str">
            <v xml:space="preserve">Charity care </v>
          </cell>
          <cell r="U71">
            <v>43.3</v>
          </cell>
          <cell r="AA71">
            <v>54.7</v>
          </cell>
          <cell r="AC71">
            <v>16.481925</v>
          </cell>
          <cell r="AD71">
            <v>19.518075</v>
          </cell>
          <cell r="AE71">
            <v>19.000000000000004</v>
          </cell>
          <cell r="AF71">
            <v>31</v>
          </cell>
          <cell r="AG71">
            <v>90</v>
          </cell>
          <cell r="AH71">
            <v>37.006920000000001</v>
          </cell>
          <cell r="AI71">
            <v>37.428773999999997</v>
          </cell>
          <cell r="AJ71">
            <v>32.564305999999995</v>
          </cell>
          <cell r="AK71">
            <v>34</v>
          </cell>
          <cell r="AL71">
            <v>140.69999999999999</v>
          </cell>
          <cell r="AN71">
            <v>54.7</v>
          </cell>
          <cell r="AP71">
            <v>16.481925</v>
          </cell>
          <cell r="AQ71">
            <v>19.518075</v>
          </cell>
          <cell r="AR71">
            <v>19.000000000000004</v>
          </cell>
          <cell r="AS71">
            <v>31</v>
          </cell>
          <cell r="AT71">
            <v>90</v>
          </cell>
          <cell r="AU71">
            <v>34.529032000000001</v>
          </cell>
          <cell r="AV71">
            <v>35.470967999999999</v>
          </cell>
          <cell r="AW71">
            <v>32</v>
          </cell>
          <cell r="AX71">
            <v>32</v>
          </cell>
          <cell r="AY71">
            <v>133.4</v>
          </cell>
          <cell r="BA71">
            <v>38</v>
          </cell>
          <cell r="BB71">
            <v>44</v>
          </cell>
          <cell r="BC71">
            <v>48</v>
          </cell>
          <cell r="BD71">
            <v>52</v>
          </cell>
          <cell r="BE71">
            <v>182.3</v>
          </cell>
          <cell r="BG71">
            <v>51</v>
          </cell>
          <cell r="BH71">
            <v>48</v>
          </cell>
          <cell r="BS71" t="str">
            <v>mstag:charitycare</v>
          </cell>
          <cell r="BT71">
            <v>6</v>
          </cell>
          <cell r="BU71" t="str">
            <v>ISO4217:USD</v>
          </cell>
          <cell r="BV71" t="b">
            <v>0</v>
          </cell>
          <cell r="BW71" t="b">
            <v>0</v>
          </cell>
        </row>
        <row r="72">
          <cell r="A72" t="str">
            <v>% of net revenue</v>
          </cell>
          <cell r="U72">
            <v>2.5566462469554949E-2</v>
          </cell>
          <cell r="AA72">
            <v>2.4858924467498662E-2</v>
          </cell>
          <cell r="AC72">
            <v>2.5000000000000001E-2</v>
          </cell>
          <cell r="AD72">
            <v>2.7E-2</v>
          </cell>
          <cell r="AE72">
            <v>2.6278591799419663E-2</v>
          </cell>
          <cell r="AF72">
            <v>3.8992141196832329E-2</v>
          </cell>
          <cell r="AG72">
            <v>3.1750242712966517E-2</v>
          </cell>
          <cell r="AH72">
            <v>4.4999999999999998E-2</v>
          </cell>
          <cell r="AI72">
            <v>4.5999999999999999E-2</v>
          </cell>
          <cell r="AJ72">
            <v>3.8581746706886209E-2</v>
          </cell>
          <cell r="AK72">
            <v>3.9005452732848216E-2</v>
          </cell>
          <cell r="AL72">
            <v>4.2218768838287707E-2</v>
          </cell>
          <cell r="AN72">
            <v>2.5284461750664702E-2</v>
          </cell>
          <cell r="AR72">
            <v>2.665929560528528E-2</v>
          </cell>
          <cell r="AS72">
            <v>3.9448032942925058E-2</v>
          </cell>
          <cell r="AT72">
            <v>3.218002507181509E-2</v>
          </cell>
          <cell r="AU72">
            <v>4.4999999999999998E-2</v>
          </cell>
          <cell r="AV72">
            <v>4.5999999999999999E-2</v>
          </cell>
          <cell r="AW72">
            <v>3.9417847662336858E-2</v>
          </cell>
          <cell r="AX72">
            <v>3.8066914498141265E-2</v>
          </cell>
          <cell r="AY72">
            <v>4.1641863120636231E-2</v>
          </cell>
          <cell r="BA72">
            <v>4.1838101959454477E-2</v>
          </cell>
          <cell r="BB72">
            <v>4.7892824566406672E-2</v>
          </cell>
          <cell r="BC72">
            <v>5.1653503990771239E-2</v>
          </cell>
          <cell r="BD72">
            <v>5.2949382426914576E-2</v>
          </cell>
          <cell r="BE72">
            <v>4.876522074086756E-2</v>
          </cell>
          <cell r="BG72">
            <v>4.9680389494253636E-2</v>
          </cell>
          <cell r="BH72">
            <v>4.5238036895388918E-2</v>
          </cell>
        </row>
        <row r="73">
          <cell r="A73" t="str">
            <v>% of gross revenue</v>
          </cell>
          <cell r="U73">
            <v>1.0508114667071135E-2</v>
          </cell>
          <cell r="AA73">
            <v>9.5840202319192741E-3</v>
          </cell>
          <cell r="AG73">
            <v>1.0905622260265341E-2</v>
          </cell>
          <cell r="AN73">
            <v>9.6466129983436757E-3</v>
          </cell>
          <cell r="AT73">
            <v>1.0955881153522815E-2</v>
          </cell>
        </row>
        <row r="75">
          <cell r="A75" t="str">
            <v xml:space="preserve">Administrative discounts </v>
          </cell>
          <cell r="AC75">
            <v>13.185540000000001</v>
          </cell>
          <cell r="AD75">
            <v>13.145860000000001</v>
          </cell>
          <cell r="AE75">
            <v>5.6685999999999996</v>
          </cell>
          <cell r="AF75">
            <v>16</v>
          </cell>
          <cell r="AG75">
            <v>48</v>
          </cell>
          <cell r="AH75">
            <v>16.447520000000001</v>
          </cell>
          <cell r="AI75">
            <v>16.27338</v>
          </cell>
          <cell r="AJ75">
            <v>11.2791</v>
          </cell>
          <cell r="AK75">
            <v>19</v>
          </cell>
          <cell r="AL75">
            <v>62</v>
          </cell>
          <cell r="AN75">
            <v>43.8</v>
          </cell>
          <cell r="AP75">
            <v>13.185540000000001</v>
          </cell>
          <cell r="AQ75">
            <v>13.145860000000001</v>
          </cell>
          <cell r="AR75">
            <v>5.6685999999999996</v>
          </cell>
          <cell r="AS75">
            <v>16</v>
          </cell>
          <cell r="AT75">
            <v>43.8</v>
          </cell>
          <cell r="AU75">
            <v>13</v>
          </cell>
          <cell r="AV75">
            <v>15.42216</v>
          </cell>
          <cell r="AW75">
            <v>14</v>
          </cell>
          <cell r="AX75">
            <v>17</v>
          </cell>
          <cell r="AY75">
            <v>58.4</v>
          </cell>
          <cell r="BA75">
            <v>19</v>
          </cell>
          <cell r="BB75">
            <v>20</v>
          </cell>
          <cell r="BC75">
            <v>19</v>
          </cell>
          <cell r="BD75">
            <v>22</v>
          </cell>
          <cell r="BE75">
            <v>80.3</v>
          </cell>
          <cell r="BG75">
            <v>26</v>
          </cell>
          <cell r="BH75">
            <v>23</v>
          </cell>
          <cell r="BS75" t="str">
            <v>mstag:charitycare</v>
          </cell>
          <cell r="BT75">
            <v>6</v>
          </cell>
          <cell r="BU75" t="str">
            <v>ISO4217:USD</v>
          </cell>
          <cell r="BV75" t="b">
            <v>0</v>
          </cell>
          <cell r="BW75" t="b">
            <v>0</v>
          </cell>
        </row>
        <row r="76">
          <cell r="A76" t="str">
            <v>% of net revenue</v>
          </cell>
          <cell r="AC76">
            <v>0.02</v>
          </cell>
          <cell r="AD76">
            <v>0.02</v>
          </cell>
          <cell r="AE76">
            <v>7.8401487091679083E-3</v>
          </cell>
          <cell r="AF76">
            <v>2.0124976101590877E-2</v>
          </cell>
          <cell r="AG76">
            <v>1.6933462780248806E-2</v>
          </cell>
          <cell r="AH76">
            <v>0.02</v>
          </cell>
          <cell r="AI76">
            <v>0.02</v>
          </cell>
          <cell r="AJ76">
            <v>1.3363324226275244E-2</v>
          </cell>
          <cell r="AK76">
            <v>2.1797164762474001E-2</v>
          </cell>
          <cell r="AL76">
            <v>1.8603864022557485E-2</v>
          </cell>
          <cell r="AR76">
            <v>7.9537306877957951E-3</v>
          </cell>
          <cell r="AS76">
            <v>2.0360275067316157E-2</v>
          </cell>
          <cell r="AT76">
            <v>1.566094553495001E-2</v>
          </cell>
          <cell r="AU76">
            <v>0.02</v>
          </cell>
          <cell r="AV76">
            <v>0.02</v>
          </cell>
          <cell r="AW76">
            <v>1.7245308352272375E-2</v>
          </cell>
          <cell r="AX76">
            <v>2.0223048327137547E-2</v>
          </cell>
          <cell r="AY76">
            <v>1.8230021036320508E-2</v>
          </cell>
          <cell r="BA76">
            <v>2.0919050979727238E-2</v>
          </cell>
          <cell r="BB76">
            <v>2.1769465712003031E-2</v>
          </cell>
          <cell r="BC76">
            <v>2.0446178663013615E-2</v>
          </cell>
          <cell r="BD76">
            <v>2.2401661796002319E-2</v>
          </cell>
          <cell r="BE76">
            <v>2.1480237111857731E-2</v>
          </cell>
          <cell r="BG76">
            <v>2.5327257389227347E-2</v>
          </cell>
          <cell r="BH76">
            <v>2.167655934570719E-2</v>
          </cell>
        </row>
        <row r="78">
          <cell r="A78" t="str">
            <v>Total uncompensated care (incl. bad debt)</v>
          </cell>
          <cell r="AC78">
            <v>92.008465000000001</v>
          </cell>
          <cell r="AD78">
            <v>94.741935000000012</v>
          </cell>
          <cell r="AE78">
            <v>94.231600000000014</v>
          </cell>
          <cell r="AF78">
            <v>127.328</v>
          </cell>
          <cell r="AG78">
            <v>410.42399999999998</v>
          </cell>
          <cell r="AH78">
            <v>53.454440000000005</v>
          </cell>
          <cell r="AI78">
            <v>116.04315399999999</v>
          </cell>
          <cell r="AJ78">
            <v>105.92140599999999</v>
          </cell>
          <cell r="AK78">
            <v>123.69</v>
          </cell>
          <cell r="AL78">
            <v>284.10899999999998</v>
          </cell>
          <cell r="AN78">
            <v>294.738</v>
          </cell>
          <cell r="AR78">
            <v>94.231600000000014</v>
          </cell>
          <cell r="AS78">
            <v>127.328</v>
          </cell>
          <cell r="AT78">
            <v>406.22399999999999</v>
          </cell>
          <cell r="AU78">
            <v>127.45003200000001</v>
          </cell>
          <cell r="AV78">
            <v>127.18912800000001</v>
          </cell>
          <cell r="AW78">
            <v>129.51999999999998</v>
          </cell>
          <cell r="AX78">
            <v>133.90600000000001</v>
          </cell>
          <cell r="AY78">
            <v>516.44299999999998</v>
          </cell>
          <cell r="BA78">
            <v>150.05099999999999</v>
          </cell>
          <cell r="BB78">
            <v>155.58199999999999</v>
          </cell>
          <cell r="BC78">
            <v>159.98000000000002</v>
          </cell>
          <cell r="BD78">
            <v>173.983</v>
          </cell>
          <cell r="BE78">
            <v>640.19600000000003</v>
          </cell>
          <cell r="BG78">
            <v>184.59100000000001</v>
          </cell>
          <cell r="BH78">
            <v>186.70400000000001</v>
          </cell>
        </row>
        <row r="79">
          <cell r="A79" t="str">
            <v>% of adjusted net revenue</v>
          </cell>
          <cell r="AC79">
            <v>0.13354990086174798</v>
          </cell>
          <cell r="AD79">
            <v>0.1373157224660696</v>
          </cell>
          <cell r="AE79">
            <v>0.12603020554223901</v>
          </cell>
          <cell r="AF79">
            <v>0.15121515571854752</v>
          </cell>
          <cell r="AG79">
            <v>0.13806791575389285</v>
          </cell>
          <cell r="AH79">
            <v>6.1032863849765258E-2</v>
          </cell>
          <cell r="AI79">
            <v>0.13378719532561259</v>
          </cell>
          <cell r="AJ79">
            <v>0.11929733236167066</v>
          </cell>
          <cell r="AK79">
            <v>0.13376620708077341</v>
          </cell>
          <cell r="AL79">
            <v>8.036254494262364E-2</v>
          </cell>
          <cell r="AN79">
            <v>0.13030641712837618</v>
          </cell>
          <cell r="AR79">
            <v>0.12779495002207863</v>
          </cell>
          <cell r="AS79">
            <v>0.15288337311669412</v>
          </cell>
          <cell r="AT79">
            <v>0.13861622635354398</v>
          </cell>
          <cell r="AU79">
            <v>0.15402039313119636</v>
          </cell>
          <cell r="AV79">
            <v>0.15473108693836249</v>
          </cell>
          <cell r="AW79">
            <v>0.15098826670086204</v>
          </cell>
          <cell r="AX79">
            <v>0.15051960095545877</v>
          </cell>
          <cell r="AY79">
            <v>0.15210494956715254</v>
          </cell>
          <cell r="BA79">
            <v>0.15545089783820573</v>
          </cell>
          <cell r="BB79">
            <v>0.15831805258477</v>
          </cell>
          <cell r="BC79">
            <v>0.16057912069932923</v>
          </cell>
          <cell r="BD79">
            <v>0.16474570814434647</v>
          </cell>
          <cell r="BE79">
            <v>0.16001219719464521</v>
          </cell>
          <cell r="BG79">
            <v>0.16726835465519838</v>
          </cell>
          <cell r="BH79">
            <v>0.16492499474406697</v>
          </cell>
        </row>
        <row r="81">
          <cell r="A81" t="str">
            <v>same-store self-pay admissions</v>
          </cell>
          <cell r="BC81">
            <v>2.3E-2</v>
          </cell>
          <cell r="BD81">
            <v>1.4999999999999999E-2</v>
          </cell>
          <cell r="BH81">
            <v>3.3000000000000002E-2</v>
          </cell>
        </row>
        <row r="82">
          <cell r="A82" t="str">
            <v>self-pay admissions as % of total</v>
          </cell>
          <cell r="BC82" t="str">
            <v>+ 20 bps</v>
          </cell>
          <cell r="BD82" t="str">
            <v>- 20 bps</v>
          </cell>
          <cell r="BE82" t="str">
            <v>- 10 bps</v>
          </cell>
          <cell r="BG82" t="str">
            <v>+ 40 bps</v>
          </cell>
          <cell r="BH82" t="str">
            <v>+ 10 bps</v>
          </cell>
        </row>
        <row r="83">
          <cell r="A83" t="str">
            <v>Other Stats</v>
          </cell>
        </row>
        <row r="84">
          <cell r="A84" t="str">
            <v>MDs commencing practice</v>
          </cell>
          <cell r="E84">
            <v>162</v>
          </cell>
          <cell r="F84">
            <v>187</v>
          </cell>
          <cell r="K84">
            <v>257</v>
          </cell>
          <cell r="P84">
            <v>305</v>
          </cell>
          <cell r="U84">
            <v>378</v>
          </cell>
          <cell r="AA84">
            <v>447</v>
          </cell>
          <cell r="AC84">
            <v>109</v>
          </cell>
          <cell r="AD84">
            <v>86</v>
          </cell>
          <cell r="AE84">
            <v>201</v>
          </cell>
          <cell r="AG84">
            <v>508</v>
          </cell>
          <cell r="AH84">
            <v>136</v>
          </cell>
          <cell r="AI84">
            <v>91</v>
          </cell>
          <cell r="AJ84">
            <v>176</v>
          </cell>
          <cell r="AK84">
            <v>122</v>
          </cell>
          <cell r="AL84">
            <v>525</v>
          </cell>
          <cell r="AN84">
            <v>426</v>
          </cell>
          <cell r="AT84">
            <v>470</v>
          </cell>
          <cell r="AU84">
            <v>128</v>
          </cell>
          <cell r="AV84">
            <v>99</v>
          </cell>
          <cell r="AW84">
            <v>164</v>
          </cell>
          <cell r="AX84">
            <v>116</v>
          </cell>
          <cell r="AY84">
            <v>507</v>
          </cell>
          <cell r="BA84">
            <v>107</v>
          </cell>
          <cell r="BB84">
            <v>107</v>
          </cell>
          <cell r="BC84">
            <v>176</v>
          </cell>
          <cell r="BD84">
            <v>144</v>
          </cell>
          <cell r="BE84">
            <v>534</v>
          </cell>
          <cell r="BG84">
            <v>133</v>
          </cell>
          <cell r="BH84">
            <v>108</v>
          </cell>
          <cell r="BK84">
            <v>550</v>
          </cell>
        </row>
        <row r="85">
          <cell r="A85" t="str">
            <v>% change</v>
          </cell>
          <cell r="AH85">
            <v>-0.5540983606557377</v>
          </cell>
          <cell r="AI85" t="e">
            <v>#DIV/0!</v>
          </cell>
          <cell r="AJ85" t="e">
            <v>#DIV/0!</v>
          </cell>
          <cell r="BA85">
            <v>-0.1640625</v>
          </cell>
          <cell r="BB85">
            <v>8.0808080808080884E-2</v>
          </cell>
          <cell r="BC85">
            <v>7.3170731707317138E-2</v>
          </cell>
          <cell r="BG85">
            <v>0.2429906542056075</v>
          </cell>
          <cell r="BH85">
            <v>9.3457943925232545E-3</v>
          </cell>
          <cell r="BK85">
            <v>2.9962546816479474E-2</v>
          </cell>
        </row>
        <row r="87">
          <cell r="A87" t="str">
            <v>Same-Store Metrics</v>
          </cell>
        </row>
        <row r="88">
          <cell r="A88" t="str">
            <v>Same-store EBITDA margins</v>
          </cell>
          <cell r="AT88">
            <v>0.155</v>
          </cell>
          <cell r="AU88">
            <v>0.155</v>
          </cell>
          <cell r="AV88">
            <v>0.154</v>
          </cell>
          <cell r="AW88">
            <v>0.14830172631630847</v>
          </cell>
          <cell r="AY88">
            <v>0.156</v>
          </cell>
          <cell r="BA88">
            <v>0.158</v>
          </cell>
          <cell r="BB88">
            <v>0.157</v>
          </cell>
          <cell r="BC88">
            <v>0.15195163225258007</v>
          </cell>
          <cell r="BG88">
            <v>0.161</v>
          </cell>
        </row>
        <row r="89">
          <cell r="A89" t="str">
            <v>Non-same store</v>
          </cell>
          <cell r="BG89">
            <v>4.2000000000000003E-2</v>
          </cell>
          <cell r="BH89">
            <v>8.8999999999999996E-2</v>
          </cell>
        </row>
        <row r="90">
          <cell r="A90" t="str">
            <v>Hospitals</v>
          </cell>
          <cell r="AD90">
            <v>69</v>
          </cell>
          <cell r="AE90">
            <v>68</v>
          </cell>
          <cell r="AF90">
            <v>69</v>
          </cell>
          <cell r="AG90">
            <v>69</v>
          </cell>
          <cell r="AI90">
            <v>69</v>
          </cell>
          <cell r="AJ90">
            <v>68</v>
          </cell>
          <cell r="AK90">
            <v>69</v>
          </cell>
          <cell r="AL90">
            <v>69</v>
          </cell>
          <cell r="AR90">
            <v>68</v>
          </cell>
          <cell r="AS90">
            <v>69</v>
          </cell>
          <cell r="AT90">
            <v>69</v>
          </cell>
          <cell r="AU90">
            <v>65</v>
          </cell>
          <cell r="AV90">
            <v>64</v>
          </cell>
          <cell r="AW90">
            <v>66</v>
          </cell>
          <cell r="AX90">
            <v>66</v>
          </cell>
          <cell r="AY90">
            <v>69</v>
          </cell>
          <cell r="BA90">
            <v>67</v>
          </cell>
          <cell r="BB90">
            <v>67</v>
          </cell>
          <cell r="BC90">
            <v>66</v>
          </cell>
          <cell r="BD90">
            <v>66</v>
          </cell>
          <cell r="BG90">
            <v>67</v>
          </cell>
          <cell r="BH90">
            <v>67</v>
          </cell>
        </row>
        <row r="91">
          <cell r="A91" t="str">
            <v>Licensed Beds</v>
          </cell>
          <cell r="K91">
            <v>3954</v>
          </cell>
          <cell r="O91">
            <v>4688</v>
          </cell>
          <cell r="P91">
            <v>4688</v>
          </cell>
          <cell r="Q91">
            <v>4688</v>
          </cell>
          <cell r="R91">
            <v>4848</v>
          </cell>
          <cell r="S91">
            <v>4935</v>
          </cell>
          <cell r="T91">
            <v>5391</v>
          </cell>
          <cell r="U91">
            <v>5391</v>
          </cell>
          <cell r="W91">
            <v>5917</v>
          </cell>
          <cell r="X91">
            <v>5914</v>
          </cell>
          <cell r="Y91">
            <v>6023</v>
          </cell>
          <cell r="Z91">
            <v>6247</v>
          </cell>
          <cell r="AA91">
            <v>6310</v>
          </cell>
          <cell r="AC91">
            <v>6909</v>
          </cell>
          <cell r="AD91">
            <v>6899</v>
          </cell>
          <cell r="AE91">
            <v>7345</v>
          </cell>
          <cell r="AF91">
            <v>6178</v>
          </cell>
          <cell r="AG91">
            <v>6178</v>
          </cell>
          <cell r="AH91">
            <v>6854</v>
          </cell>
          <cell r="AI91">
            <v>6854</v>
          </cell>
          <cell r="AJ91">
            <v>7332</v>
          </cell>
          <cell r="AK91">
            <v>7575</v>
          </cell>
          <cell r="AL91">
            <v>7575</v>
          </cell>
          <cell r="AR91">
            <v>7345</v>
          </cell>
          <cell r="AS91">
            <v>7637</v>
          </cell>
          <cell r="AT91">
            <v>7637</v>
          </cell>
          <cell r="AU91">
            <v>7230</v>
          </cell>
          <cell r="AV91">
            <v>7107</v>
          </cell>
          <cell r="AW91">
            <v>7441</v>
          </cell>
          <cell r="AX91">
            <v>7358</v>
          </cell>
          <cell r="AY91">
            <v>7575</v>
          </cell>
          <cell r="BA91">
            <v>7580</v>
          </cell>
          <cell r="BB91">
            <v>7575</v>
          </cell>
          <cell r="BC91">
            <v>7358</v>
          </cell>
          <cell r="BD91">
            <v>7315</v>
          </cell>
          <cell r="BG91">
            <v>7509</v>
          </cell>
          <cell r="BH91">
            <v>7512</v>
          </cell>
        </row>
        <row r="92">
          <cell r="A92" t="str">
            <v>Beds in Service</v>
          </cell>
          <cell r="K92">
            <v>3013</v>
          </cell>
          <cell r="O92">
            <v>3587</v>
          </cell>
          <cell r="P92">
            <v>3587</v>
          </cell>
          <cell r="Q92">
            <v>3595</v>
          </cell>
          <cell r="R92">
            <v>3722</v>
          </cell>
          <cell r="S92">
            <v>3788</v>
          </cell>
          <cell r="T92">
            <v>4139</v>
          </cell>
          <cell r="U92">
            <v>4139</v>
          </cell>
          <cell r="W92">
            <v>4510</v>
          </cell>
          <cell r="X92">
            <v>4502</v>
          </cell>
          <cell r="Y92">
            <v>4753</v>
          </cell>
          <cell r="Z92">
            <v>4900</v>
          </cell>
          <cell r="AA92">
            <v>4939</v>
          </cell>
          <cell r="AC92">
            <v>5364</v>
          </cell>
          <cell r="AD92">
            <v>5355</v>
          </cell>
          <cell r="AE92">
            <v>5709</v>
          </cell>
          <cell r="AF92">
            <v>4932</v>
          </cell>
          <cell r="AG92">
            <v>4932</v>
          </cell>
          <cell r="AH92">
            <v>5384</v>
          </cell>
          <cell r="AI92">
            <v>5417</v>
          </cell>
          <cell r="AJ92">
            <v>5822</v>
          </cell>
          <cell r="AK92">
            <v>6040</v>
          </cell>
          <cell r="AL92">
            <v>6040</v>
          </cell>
          <cell r="AR92">
            <v>5709</v>
          </cell>
          <cell r="AS92">
            <v>6041</v>
          </cell>
          <cell r="AT92">
            <v>6041</v>
          </cell>
          <cell r="AU92">
            <v>5785</v>
          </cell>
          <cell r="AV92">
            <v>5716</v>
          </cell>
          <cell r="AW92">
            <v>6054</v>
          </cell>
          <cell r="AX92">
            <v>5960</v>
          </cell>
          <cell r="AY92">
            <v>6040</v>
          </cell>
          <cell r="BA92">
            <v>6175</v>
          </cell>
          <cell r="BB92">
            <v>6187</v>
          </cell>
          <cell r="BC92">
            <v>5991</v>
          </cell>
          <cell r="BD92">
            <v>5991</v>
          </cell>
          <cell r="BG92">
            <v>6183</v>
          </cell>
          <cell r="BH92">
            <v>6186</v>
          </cell>
        </row>
        <row r="93">
          <cell r="A93" t="str">
            <v>Admissions</v>
          </cell>
          <cell r="K93">
            <v>117768</v>
          </cell>
          <cell r="O93">
            <v>38420</v>
          </cell>
          <cell r="P93">
            <v>143062</v>
          </cell>
          <cell r="Q93">
            <v>42882</v>
          </cell>
          <cell r="R93">
            <v>39677</v>
          </cell>
          <cell r="S93">
            <v>40772</v>
          </cell>
          <cell r="T93">
            <v>46243</v>
          </cell>
          <cell r="U93">
            <v>169574</v>
          </cell>
          <cell r="W93">
            <v>53515</v>
          </cell>
          <cell r="X93">
            <v>50771</v>
          </cell>
          <cell r="Y93">
            <v>52032</v>
          </cell>
          <cell r="Z93">
            <v>53522</v>
          </cell>
          <cell r="AA93">
            <v>209840</v>
          </cell>
          <cell r="AC93">
            <v>61429</v>
          </cell>
          <cell r="AD93">
            <v>57744</v>
          </cell>
          <cell r="AE93">
            <v>62732</v>
          </cell>
          <cell r="AF93">
            <v>55795</v>
          </cell>
          <cell r="AG93">
            <v>211954</v>
          </cell>
          <cell r="AH93">
            <v>62602</v>
          </cell>
          <cell r="AI93">
            <v>59634</v>
          </cell>
          <cell r="AJ93">
            <v>61643</v>
          </cell>
          <cell r="AK93">
            <v>67550</v>
          </cell>
          <cell r="AL93">
            <v>249415</v>
          </cell>
          <cell r="AR93">
            <v>62732</v>
          </cell>
          <cell r="AS93">
            <v>69960</v>
          </cell>
          <cell r="AT93">
            <v>249807</v>
          </cell>
          <cell r="AU93">
            <v>68682</v>
          </cell>
          <cell r="AV93">
            <v>65097</v>
          </cell>
          <cell r="AW93">
            <v>66269</v>
          </cell>
          <cell r="AX93">
            <v>67767</v>
          </cell>
          <cell r="AY93">
            <v>267390</v>
          </cell>
          <cell r="BA93">
            <v>75490</v>
          </cell>
          <cell r="BB93">
            <v>70844</v>
          </cell>
          <cell r="BC93">
            <v>67826</v>
          </cell>
          <cell r="BD93">
            <v>68795</v>
          </cell>
          <cell r="BE93">
            <v>272887</v>
          </cell>
          <cell r="BG93">
            <v>73703</v>
          </cell>
          <cell r="BH93">
            <v>71634</v>
          </cell>
        </row>
        <row r="94">
          <cell r="A94" t="str">
            <v>% Change</v>
          </cell>
          <cell r="K94">
            <v>6.3166564771415024E-2</v>
          </cell>
          <cell r="X94">
            <v>0.27960783325352212</v>
          </cell>
          <cell r="Y94">
            <v>0.2761699205336996</v>
          </cell>
          <cell r="Z94">
            <v>0.15740760763791273</v>
          </cell>
          <cell r="AA94">
            <v>0.23745385495417937</v>
          </cell>
          <cell r="AC94">
            <v>0.14788377090535354</v>
          </cell>
          <cell r="AD94">
            <v>0.13734218352996796</v>
          </cell>
          <cell r="AE94">
            <v>0.20564268142681419</v>
          </cell>
          <cell r="AF94">
            <v>4.2468517618923007E-2</v>
          </cell>
          <cell r="AG94">
            <v>1.0074342356080734E-2</v>
          </cell>
          <cell r="AH94">
            <v>-0.56241349904237325</v>
          </cell>
          <cell r="AI94">
            <v>0.3906534210158108</v>
          </cell>
          <cell r="AJ94">
            <v>0.55362048541976461</v>
          </cell>
          <cell r="AK94">
            <v>0.210681960749171</v>
          </cell>
          <cell r="AL94">
            <v>0.17674117968993275</v>
          </cell>
          <cell r="AU94">
            <v>0.11807126927021439</v>
          </cell>
          <cell r="AV94">
            <v>0.12733790523690769</v>
          </cell>
          <cell r="AW94">
            <v>5.6382707390167708E-2</v>
          </cell>
          <cell r="AX94">
            <v>-3.1346483704974282E-2</v>
          </cell>
          <cell r="AY94">
            <v>7.0386338253131342E-2</v>
          </cell>
          <cell r="BA94">
            <v>9.9123496694912827E-2</v>
          </cell>
          <cell r="BB94">
            <v>8.8283638262899977E-2</v>
          </cell>
          <cell r="BC94">
            <v>2.3495148561167412E-2</v>
          </cell>
          <cell r="BD94">
            <v>1.5169625333864456E-2</v>
          </cell>
          <cell r="BE94">
            <v>2.0557986461722688E-2</v>
          </cell>
        </row>
        <row r="95">
          <cell r="A95" t="str">
            <v>Adjusted Admissions</v>
          </cell>
          <cell r="K95">
            <v>212246</v>
          </cell>
          <cell r="O95">
            <v>68846</v>
          </cell>
          <cell r="P95">
            <v>261933</v>
          </cell>
          <cell r="Q95">
            <v>76137</v>
          </cell>
          <cell r="R95">
            <v>73546</v>
          </cell>
          <cell r="S95">
            <v>76905</v>
          </cell>
          <cell r="T95">
            <v>84551</v>
          </cell>
          <cell r="U95">
            <v>311238</v>
          </cell>
          <cell r="W95">
            <v>96281</v>
          </cell>
          <cell r="X95">
            <v>94871</v>
          </cell>
          <cell r="Y95">
            <v>97848</v>
          </cell>
          <cell r="Z95">
            <v>98032</v>
          </cell>
          <cell r="AA95">
            <v>387049</v>
          </cell>
          <cell r="AC95">
            <v>110328</v>
          </cell>
          <cell r="AD95">
            <v>106692</v>
          </cell>
          <cell r="AE95">
            <v>116873</v>
          </cell>
          <cell r="AF95">
            <v>100366</v>
          </cell>
          <cell r="AG95">
            <v>385404</v>
          </cell>
          <cell r="AH95">
            <v>112678</v>
          </cell>
          <cell r="AI95">
            <v>110501</v>
          </cell>
          <cell r="AJ95">
            <v>118051</v>
          </cell>
          <cell r="AK95">
            <v>124828</v>
          </cell>
          <cell r="AL95">
            <v>462521</v>
          </cell>
          <cell r="AR95">
            <v>116873</v>
          </cell>
          <cell r="AS95">
            <v>126490</v>
          </cell>
          <cell r="AT95">
            <v>456758</v>
          </cell>
          <cell r="AU95">
            <v>123511</v>
          </cell>
          <cell r="AV95">
            <v>120287</v>
          </cell>
          <cell r="AW95">
            <v>125047</v>
          </cell>
          <cell r="AX95">
            <v>125513</v>
          </cell>
          <cell r="AY95">
            <v>493776</v>
          </cell>
          <cell r="BA95">
            <v>134513</v>
          </cell>
          <cell r="BB95">
            <v>132764</v>
          </cell>
          <cell r="BC95">
            <v>128300</v>
          </cell>
          <cell r="BD95">
            <v>126187</v>
          </cell>
          <cell r="BE95">
            <v>502449</v>
          </cell>
          <cell r="BG95">
            <v>133266</v>
          </cell>
          <cell r="BH95">
            <v>133410</v>
          </cell>
        </row>
        <row r="96">
          <cell r="A96" t="str">
            <v>% Change</v>
          </cell>
          <cell r="K96">
            <v>7.3188658443504195E-2</v>
          </cell>
          <cell r="W96">
            <v>0.26457569906878398</v>
          </cell>
          <cell r="X96">
            <v>0.28995458624534298</v>
          </cell>
          <cell r="Y96">
            <v>0.27232299590403741</v>
          </cell>
          <cell r="Z96">
            <v>0.15944223013329228</v>
          </cell>
          <cell r="AA96">
            <v>0.24357886890418268</v>
          </cell>
          <cell r="AC96">
            <v>0.14589586730507587</v>
          </cell>
          <cell r="AD96">
            <v>0.12460077368215794</v>
          </cell>
          <cell r="AE96">
            <v>0.19443422451148717</v>
          </cell>
          <cell r="AF96">
            <v>2.3808552309450004E-2</v>
          </cell>
          <cell r="AG96">
            <v>-4.2501078674792581E-3</v>
          </cell>
          <cell r="AH96">
            <v>-0.56982129017725902</v>
          </cell>
          <cell r="AI96">
            <v>0.45134428727162867</v>
          </cell>
          <cell r="AJ96">
            <v>0.60513148233758463</v>
          </cell>
          <cell r="AK96">
            <v>0.24372795568220318</v>
          </cell>
          <cell r="AL96">
            <v>0.20009392741123611</v>
          </cell>
          <cell r="AU96">
            <v>0.11948915959683859</v>
          </cell>
          <cell r="AV96">
            <v>0.12742286207025821</v>
          </cell>
          <cell r="AW96">
            <v>6.9939164734369896E-2</v>
          </cell>
          <cell r="AX96">
            <v>-7.7239307455134742E-3</v>
          </cell>
          <cell r="AY96">
            <v>8.1045104847643712E-2</v>
          </cell>
          <cell r="BA96">
            <v>8.9077086251426962E-2</v>
          </cell>
          <cell r="BB96">
            <v>0.10372691978351778</v>
          </cell>
          <cell r="BC96">
            <v>2.601421865378617E-2</v>
          </cell>
          <cell r="BD96">
            <v>5.3699616772764358E-3</v>
          </cell>
          <cell r="BE96">
            <v>1.7564644697190657E-2</v>
          </cell>
        </row>
        <row r="97">
          <cell r="A97" t="str">
            <v>Patient Days</v>
          </cell>
          <cell r="K97">
            <v>467884</v>
          </cell>
          <cell r="O97">
            <v>145396</v>
          </cell>
          <cell r="P97">
            <v>547881</v>
          </cell>
          <cell r="Q97">
            <v>165743</v>
          </cell>
          <cell r="R97">
            <v>150251</v>
          </cell>
          <cell r="S97">
            <v>152720</v>
          </cell>
          <cell r="T97">
            <v>174515</v>
          </cell>
          <cell r="U97">
            <v>643229</v>
          </cell>
          <cell r="W97">
            <v>210612</v>
          </cell>
          <cell r="X97">
            <v>195922</v>
          </cell>
          <cell r="Y97">
            <v>198137</v>
          </cell>
          <cell r="Z97">
            <v>204010</v>
          </cell>
          <cell r="AA97">
            <v>808681</v>
          </cell>
          <cell r="AC97">
            <v>244388</v>
          </cell>
          <cell r="AD97">
            <v>220904</v>
          </cell>
          <cell r="AE97">
            <v>244388</v>
          </cell>
          <cell r="AF97">
            <v>223372</v>
          </cell>
          <cell r="AG97">
            <v>835127</v>
          </cell>
          <cell r="AH97">
            <v>252634</v>
          </cell>
          <cell r="AI97">
            <v>234899</v>
          </cell>
          <cell r="AJ97">
            <v>242306</v>
          </cell>
          <cell r="AK97">
            <v>272446</v>
          </cell>
          <cell r="AL97">
            <v>994314</v>
          </cell>
          <cell r="AR97">
            <v>244388</v>
          </cell>
          <cell r="AS97">
            <v>284533</v>
          </cell>
          <cell r="AT97">
            <v>986216</v>
          </cell>
          <cell r="AU97">
            <v>285780</v>
          </cell>
          <cell r="AV97">
            <v>265253</v>
          </cell>
          <cell r="AW97">
            <v>266735</v>
          </cell>
          <cell r="AX97">
            <v>275707</v>
          </cell>
          <cell r="AY97">
            <v>994314</v>
          </cell>
          <cell r="BA97">
            <v>319499</v>
          </cell>
          <cell r="BB97">
            <v>293320</v>
          </cell>
          <cell r="BC97">
            <v>270787</v>
          </cell>
          <cell r="BD97">
            <v>280365</v>
          </cell>
          <cell r="BG97">
            <v>310266</v>
          </cell>
          <cell r="BH97">
            <v>297178</v>
          </cell>
        </row>
        <row r="98">
          <cell r="Y98">
            <v>0.29738737558931372</v>
          </cell>
          <cell r="Z98">
            <v>0.16901125977709652</v>
          </cell>
          <cell r="AA98">
            <v>0.25722098972527663</v>
          </cell>
          <cell r="AC98">
            <v>0.16037072911325101</v>
          </cell>
          <cell r="AD98">
            <v>0.1275099274200957</v>
          </cell>
          <cell r="AE98">
            <v>0.23342939481268021</v>
          </cell>
          <cell r="AF98">
            <v>9.490711239645111E-2</v>
          </cell>
          <cell r="AG98">
            <v>3.270263552624586E-2</v>
          </cell>
          <cell r="AH98">
            <v>-0.53888891930911997</v>
          </cell>
          <cell r="AI98">
            <v>0.41724839058059771</v>
          </cell>
          <cell r="AJ98">
            <v>0.61267479084997767</v>
          </cell>
          <cell r="AK98">
            <v>0.21969629138835667</v>
          </cell>
          <cell r="AL98">
            <v>0.19061412216345541</v>
          </cell>
          <cell r="AU98">
            <v>0.16937001816783148</v>
          </cell>
          <cell r="AV98">
            <v>0.20076141672400682</v>
          </cell>
          <cell r="AW98">
            <v>9.1440659934203028E-2</v>
          </cell>
          <cell r="AX98">
            <v>-3.101924908534337E-2</v>
          </cell>
          <cell r="AY98">
            <v>8.2111829457238716E-3</v>
          </cell>
          <cell r="BA98">
            <v>0.11798936244663727</v>
          </cell>
          <cell r="BB98">
            <v>0.10581218685556815</v>
          </cell>
          <cell r="BC98">
            <v>1.519110727875983E-2</v>
          </cell>
          <cell r="BD98">
            <v>1.6894746959634777E-2</v>
          </cell>
        </row>
        <row r="99">
          <cell r="A99" t="str">
            <v>Net Operating Revenue (millions)</v>
          </cell>
          <cell r="K99">
            <v>1047.95</v>
          </cell>
          <cell r="O99">
            <v>369.36700000000002</v>
          </cell>
          <cell r="P99">
            <v>1330.7950000000001</v>
          </cell>
          <cell r="Q99">
            <v>398.62400000000002</v>
          </cell>
          <cell r="R99">
            <v>400.80700000000002</v>
          </cell>
          <cell r="S99">
            <v>416.65899999999999</v>
          </cell>
          <cell r="T99">
            <v>477.50200000000001</v>
          </cell>
          <cell r="U99">
            <v>1693.625</v>
          </cell>
          <cell r="W99">
            <v>533.48900000000003</v>
          </cell>
          <cell r="X99">
            <v>530.42100000000005</v>
          </cell>
          <cell r="Y99">
            <v>552.74900000000002</v>
          </cell>
          <cell r="Z99">
            <v>581.82000000000005</v>
          </cell>
          <cell r="AA99">
            <v>2198.4789999999998</v>
          </cell>
          <cell r="AC99">
            <v>655.27300000000002</v>
          </cell>
          <cell r="AD99">
            <v>654.09900000000005</v>
          </cell>
          <cell r="AE99">
            <v>709.053</v>
          </cell>
          <cell r="AF99">
            <v>636.21600000000001</v>
          </cell>
          <cell r="AG99">
            <v>2385.404</v>
          </cell>
          <cell r="AH99">
            <v>708.90800000000002</v>
          </cell>
          <cell r="AI99">
            <v>699.99800000000005</v>
          </cell>
          <cell r="AJ99">
            <v>752.096</v>
          </cell>
          <cell r="AK99">
            <v>824.51700000000005</v>
          </cell>
          <cell r="AL99">
            <v>2966.41</v>
          </cell>
          <cell r="AR99">
            <v>709.053</v>
          </cell>
          <cell r="AS99">
            <v>782.81200000000001</v>
          </cell>
          <cell r="AT99">
            <v>2782.8919999999998</v>
          </cell>
          <cell r="AU99">
            <v>785.51300000000003</v>
          </cell>
          <cell r="AV99">
            <v>770.06600000000003</v>
          </cell>
          <cell r="AW99">
            <v>811.26499999999999</v>
          </cell>
          <cell r="AX99">
            <v>840.67499999999995</v>
          </cell>
          <cell r="AY99">
            <v>3199.2840000000001</v>
          </cell>
          <cell r="BA99">
            <v>908.15300000000002</v>
          </cell>
          <cell r="BB99">
            <v>918.81500000000005</v>
          </cell>
          <cell r="BC99">
            <v>881.08299999999997</v>
          </cell>
          <cell r="BD99">
            <v>918.303</v>
          </cell>
          <cell r="BE99">
            <v>3486.5079999999998</v>
          </cell>
          <cell r="BG99">
            <v>970.03599999999994</v>
          </cell>
          <cell r="BH99">
            <v>989.53700000000003</v>
          </cell>
        </row>
        <row r="100">
          <cell r="A100" t="str">
            <v>% Change</v>
          </cell>
          <cell r="K100">
            <v>7.5999999999999998E-2</v>
          </cell>
          <cell r="P100">
            <v>0.10299999999999999</v>
          </cell>
          <cell r="U100">
            <v>0.104</v>
          </cell>
          <cell r="AA100">
            <v>9.7000000000000003E-2</v>
          </cell>
          <cell r="AE100">
            <v>8.1000000000000003E-2</v>
          </cell>
          <cell r="AF100">
            <v>9.3492832834897399E-2</v>
          </cell>
          <cell r="AG100">
            <v>8.5024692071200114E-2</v>
          </cell>
          <cell r="AH100">
            <v>-0.46730488166847639</v>
          </cell>
          <cell r="AI100">
            <v>0.75603576302480535</v>
          </cell>
          <cell r="AJ100">
            <v>0.87645425354347606</v>
          </cell>
          <cell r="AK100">
            <v>0.2959702365234449</v>
          </cell>
          <cell r="AL100">
            <v>0.24356712741321807</v>
          </cell>
          <cell r="AU100">
            <v>0.19875685401351806</v>
          </cell>
          <cell r="AV100">
            <v>0.17729273397452072</v>
          </cell>
          <cell r="AW100">
            <v>0.14415283483745212</v>
          </cell>
          <cell r="AX100">
            <v>7.3916853599587107E-2</v>
          </cell>
          <cell r="AY100">
            <v>0.14962564123940147</v>
          </cell>
          <cell r="BA100">
            <v>0.15612726969509105</v>
          </cell>
          <cell r="BB100">
            <v>0.19316396256944213</v>
          </cell>
          <cell r="BC100">
            <v>8.6060658354545128E-2</v>
          </cell>
          <cell r="BD100">
            <v>9.2340083861182976E-2</v>
          </cell>
        </row>
        <row r="102">
          <cell r="A102" t="str">
            <v>Inpatient Revenue</v>
          </cell>
          <cell r="K102">
            <v>553.31760000000008</v>
          </cell>
          <cell r="O102">
            <v>195.02577600000001</v>
          </cell>
          <cell r="P102">
            <v>682.69783500000005</v>
          </cell>
          <cell r="Q102">
            <v>210.47347200000002</v>
          </cell>
          <cell r="R102">
            <v>198.80027200000001</v>
          </cell>
          <cell r="S102">
            <v>212.079431</v>
          </cell>
          <cell r="T102">
            <v>253.55356200000003</v>
          </cell>
          <cell r="U102">
            <v>894.23400000000004</v>
          </cell>
          <cell r="W102">
            <v>281.68219200000004</v>
          </cell>
          <cell r="X102">
            <v>272.10597300000001</v>
          </cell>
          <cell r="Y102">
            <v>290.19322500000004</v>
          </cell>
          <cell r="Z102">
            <v>310.11006000000003</v>
          </cell>
          <cell r="AA102">
            <v>1154.2014749999998</v>
          </cell>
          <cell r="AC102">
            <v>347.29469</v>
          </cell>
          <cell r="AD102">
            <v>328.35769800000003</v>
          </cell>
          <cell r="AE102">
            <v>355.23555299999998</v>
          </cell>
          <cell r="AF102">
            <v>330.19610399999999</v>
          </cell>
          <cell r="AG102">
            <v>1228.48306</v>
          </cell>
          <cell r="AH102">
            <v>367.21434400000004</v>
          </cell>
          <cell r="AI102">
            <v>348.59900400000004</v>
          </cell>
          <cell r="AJ102">
            <v>368.52704</v>
          </cell>
          <cell r="AK102">
            <v>423.80173800000006</v>
          </cell>
          <cell r="AL102">
            <v>1498.0370499999999</v>
          </cell>
          <cell r="AR102">
            <v>355.23555299999998</v>
          </cell>
          <cell r="AS102">
            <v>404.71380400000004</v>
          </cell>
          <cell r="AT102">
            <v>1427.6235959999999</v>
          </cell>
          <cell r="AU102">
            <v>402.96816900000005</v>
          </cell>
          <cell r="AV102">
            <v>388.88333</v>
          </cell>
          <cell r="AW102">
            <v>403.19870500000002</v>
          </cell>
          <cell r="AX102">
            <v>425.38155</v>
          </cell>
          <cell r="AY102">
            <v>1615.63842</v>
          </cell>
          <cell r="BA102">
            <v>471.33140700000001</v>
          </cell>
          <cell r="BB102">
            <v>463.08276000000001</v>
          </cell>
          <cell r="BC102">
            <v>440.54149999999998</v>
          </cell>
          <cell r="BD102">
            <v>472.92604499999999</v>
          </cell>
          <cell r="BE102">
            <v>1781.6055879999999</v>
          </cell>
          <cell r="BG102">
            <v>493.74832399999997</v>
          </cell>
          <cell r="BH102">
            <v>494.76850000000002</v>
          </cell>
        </row>
        <row r="103">
          <cell r="A103" t="str">
            <v>Inpatient Rev as % of Total</v>
          </cell>
          <cell r="K103">
            <v>0.52800000000000002</v>
          </cell>
          <cell r="O103">
            <v>0.52800000000000002</v>
          </cell>
          <cell r="P103">
            <v>0.51300000000000001</v>
          </cell>
          <cell r="Q103">
            <v>0.52800000000000002</v>
          </cell>
          <cell r="R103">
            <v>0.496</v>
          </cell>
          <cell r="S103">
            <v>0.50900000000000001</v>
          </cell>
          <cell r="T103">
            <v>0.53100000000000003</v>
          </cell>
          <cell r="U103">
            <v>0.52800000000000002</v>
          </cell>
          <cell r="W103">
            <v>0.52800000000000002</v>
          </cell>
          <cell r="X103">
            <v>0.51300000000000001</v>
          </cell>
          <cell r="Y103">
            <v>0.52500000000000002</v>
          </cell>
          <cell r="Z103">
            <v>0.53300000000000003</v>
          </cell>
          <cell r="AA103">
            <v>0.52500000000000002</v>
          </cell>
          <cell r="AC103">
            <v>0.53</v>
          </cell>
          <cell r="AD103">
            <v>0.502</v>
          </cell>
          <cell r="AE103">
            <v>0.501</v>
          </cell>
          <cell r="AF103">
            <v>0.51900000000000002</v>
          </cell>
          <cell r="AG103">
            <v>0.51500000000000001</v>
          </cell>
          <cell r="AH103">
            <v>0.51800000000000002</v>
          </cell>
          <cell r="AI103">
            <v>0.498</v>
          </cell>
          <cell r="AJ103">
            <v>0.49</v>
          </cell>
          <cell r="AK103">
            <v>0.51400000000000001</v>
          </cell>
          <cell r="AL103">
            <v>0.505</v>
          </cell>
          <cell r="AR103">
            <v>0.501</v>
          </cell>
          <cell r="AS103">
            <v>0.51700000000000002</v>
          </cell>
          <cell r="AT103">
            <v>0.51300000000000001</v>
          </cell>
          <cell r="AU103">
            <v>0.51300000000000001</v>
          </cell>
          <cell r="AV103">
            <v>0.505</v>
          </cell>
          <cell r="AW103">
            <v>0.497</v>
          </cell>
          <cell r="AX103">
            <v>0.50600000000000001</v>
          </cell>
          <cell r="AY103">
            <v>0.505</v>
          </cell>
          <cell r="BA103">
            <v>0.51900000000000002</v>
          </cell>
          <cell r="BB103">
            <v>0.504</v>
          </cell>
          <cell r="BC103">
            <v>0.5</v>
          </cell>
          <cell r="BD103">
            <v>0.51500000000000001</v>
          </cell>
          <cell r="BE103">
            <v>0.51100000000000001</v>
          </cell>
          <cell r="BG103">
            <v>0.50900000000000001</v>
          </cell>
          <cell r="BH103">
            <v>0.5</v>
          </cell>
        </row>
        <row r="104">
          <cell r="A104" t="str">
            <v>% Change</v>
          </cell>
          <cell r="AE104">
            <v>4.5999999999999999E-2</v>
          </cell>
          <cell r="AF104">
            <v>6.477069463660734E-2</v>
          </cell>
          <cell r="AG104">
            <v>6.4357555079368023E-2</v>
          </cell>
          <cell r="AH104">
            <v>-0.46211292145082017</v>
          </cell>
          <cell r="AI104">
            <v>0.65626100376203245</v>
          </cell>
          <cell r="AJ104">
            <v>0.85375521015383704</v>
          </cell>
          <cell r="AK104">
            <v>-9.6339113680153909E-3</v>
          </cell>
          <cell r="AL104">
            <v>-1.9417475728155331E-2</v>
          </cell>
          <cell r="AU104">
            <v>0.16030616246968843</v>
          </cell>
          <cell r="AV104">
            <v>0.18432834792257546</v>
          </cell>
          <cell r="AW104">
            <v>0.1350178820642991</v>
          </cell>
          <cell r="AX104">
            <v>-2.1276595744680882E-2</v>
          </cell>
          <cell r="AY104">
            <v>-1.5594541910331383E-2</v>
          </cell>
          <cell r="BA104">
            <v>0.1696492260657938</v>
          </cell>
          <cell r="BB104">
            <v>0.19080126165346312</v>
          </cell>
          <cell r="BC104">
            <v>9.261635649350608E-2</v>
          </cell>
          <cell r="BD104">
            <v>0.11176905768480072</v>
          </cell>
          <cell r="BE104">
            <v>0.10272544026280328</v>
          </cell>
        </row>
        <row r="105">
          <cell r="A105" t="str">
            <v>Outpatient Revenue</v>
          </cell>
          <cell r="K105">
            <v>477.86520000000002</v>
          </cell>
          <cell r="O105">
            <v>169.53945300000001</v>
          </cell>
          <cell r="P105">
            <v>632.12762499999997</v>
          </cell>
          <cell r="Q105">
            <v>188.15052800000001</v>
          </cell>
          <cell r="R105">
            <v>197.19704400000001</v>
          </cell>
          <cell r="S105">
            <v>199.57966099999999</v>
          </cell>
          <cell r="T105">
            <v>217.74091200000001</v>
          </cell>
          <cell r="U105">
            <v>799.39099999999996</v>
          </cell>
          <cell r="W105">
            <v>244.87145100000004</v>
          </cell>
          <cell r="X105">
            <v>251.41955400000001</v>
          </cell>
          <cell r="Y105">
            <v>253.71179100000003</v>
          </cell>
          <cell r="Z105">
            <v>264.72810000000004</v>
          </cell>
          <cell r="AA105">
            <v>1015.6972979999999</v>
          </cell>
          <cell r="AC105">
            <v>300.11503400000004</v>
          </cell>
          <cell r="AD105">
            <v>317.89211399999999</v>
          </cell>
          <cell r="AE105">
            <v>344.59975800000001</v>
          </cell>
          <cell r="AF105">
            <v>299.02152000000001</v>
          </cell>
          <cell r="AG105">
            <v>1128.296092</v>
          </cell>
          <cell r="AH105">
            <v>332.47785199999998</v>
          </cell>
          <cell r="AI105">
            <v>343.69901800000002</v>
          </cell>
          <cell r="AJ105">
            <v>375.29590400000001</v>
          </cell>
          <cell r="AK105">
            <v>389.99654099999998</v>
          </cell>
          <cell r="AL105">
            <v>1432.77603</v>
          </cell>
          <cell r="AR105">
            <v>344.59975800000001</v>
          </cell>
          <cell r="AS105">
            <v>368.704452</v>
          </cell>
          <cell r="AT105">
            <v>1321.8736999999999</v>
          </cell>
          <cell r="AU105">
            <v>371.54764899999998</v>
          </cell>
          <cell r="AV105">
            <v>372.71194400000002</v>
          </cell>
          <cell r="AW105">
            <v>398.33111500000001</v>
          </cell>
          <cell r="AX105">
            <v>405.20534999999995</v>
          </cell>
          <cell r="AY105">
            <v>1545.2541719999999</v>
          </cell>
          <cell r="BA105">
            <v>426.83190999999999</v>
          </cell>
          <cell r="BB105">
            <v>444.70645999999999</v>
          </cell>
          <cell r="BC105">
            <v>428.20633799999996</v>
          </cell>
          <cell r="BD105">
            <v>434.35731899999996</v>
          </cell>
          <cell r="BE105">
            <v>1666.5508239999999</v>
          </cell>
          <cell r="BG105">
            <v>463.67720799999995</v>
          </cell>
          <cell r="BH105">
            <v>481.90451899999999</v>
          </cell>
        </row>
        <row r="106">
          <cell r="A106" t="str">
            <v>Outpatient Revenues as % of Total</v>
          </cell>
          <cell r="K106">
            <v>0.45600000000000002</v>
          </cell>
          <cell r="O106">
            <v>0.45900000000000002</v>
          </cell>
          <cell r="P106">
            <v>0.47499999999999998</v>
          </cell>
          <cell r="Q106">
            <v>0.47199999999999998</v>
          </cell>
          <cell r="R106">
            <v>0.49199999999999999</v>
          </cell>
          <cell r="S106">
            <v>0.47899999999999998</v>
          </cell>
          <cell r="T106">
            <v>0.45600000000000002</v>
          </cell>
          <cell r="U106">
            <v>0.47199999999999998</v>
          </cell>
          <cell r="W106">
            <v>0.45900000000000002</v>
          </cell>
          <cell r="X106">
            <v>0.47399999999999998</v>
          </cell>
          <cell r="Y106">
            <v>0.45900000000000002</v>
          </cell>
          <cell r="Z106">
            <v>0.45500000000000002</v>
          </cell>
          <cell r="AA106">
            <v>0.46200000000000002</v>
          </cell>
          <cell r="AC106">
            <v>0.45800000000000002</v>
          </cell>
          <cell r="AD106">
            <v>0.48599999999999999</v>
          </cell>
          <cell r="AE106">
            <v>0.48599999999999999</v>
          </cell>
          <cell r="AF106">
            <v>0.47</v>
          </cell>
          <cell r="AG106">
            <v>0.47299999999999998</v>
          </cell>
          <cell r="AH106">
            <v>0.46899999999999997</v>
          </cell>
          <cell r="AI106">
            <v>0.49099999999999999</v>
          </cell>
          <cell r="AJ106">
            <v>0.499</v>
          </cell>
          <cell r="AK106">
            <v>0.47299999999999998</v>
          </cell>
          <cell r="AL106">
            <v>0.48299999999999998</v>
          </cell>
          <cell r="AR106">
            <v>0.48599999999999999</v>
          </cell>
          <cell r="AS106">
            <v>0.47099999999999997</v>
          </cell>
          <cell r="AT106">
            <v>0.47499999999999998</v>
          </cell>
          <cell r="AU106">
            <v>0.47299999999999998</v>
          </cell>
          <cell r="AV106">
            <v>0.48399999999999999</v>
          </cell>
          <cell r="AW106">
            <v>0.49099999999999999</v>
          </cell>
          <cell r="AX106">
            <v>0.48199999999999998</v>
          </cell>
          <cell r="AY106">
            <v>0.48299999999999998</v>
          </cell>
          <cell r="BA106">
            <v>0.47</v>
          </cell>
          <cell r="BB106">
            <v>0.48399999999999999</v>
          </cell>
          <cell r="BC106">
            <v>0.48599999999999999</v>
          </cell>
          <cell r="BD106">
            <v>0.47299999999999998</v>
          </cell>
          <cell r="BE106">
            <v>0.47799999999999998</v>
          </cell>
          <cell r="BG106">
            <v>0.47799999999999998</v>
          </cell>
          <cell r="BH106">
            <v>0.48699999999999999</v>
          </cell>
        </row>
        <row r="107">
          <cell r="A107" t="str">
            <v>% Change</v>
          </cell>
          <cell r="AE107">
            <v>0.121</v>
          </cell>
          <cell r="AF107">
            <v>0.12954204710417949</v>
          </cell>
          <cell r="AG107">
            <v>0.11085861331099078</v>
          </cell>
          <cell r="AH107">
            <v>-0.47403366211055875</v>
          </cell>
          <cell r="AI107">
            <v>0.82672364331605808</v>
          </cell>
          <cell r="AJ107">
            <v>0.90315177341096442</v>
          </cell>
          <cell r="AK107">
            <v>6.382978723404209E-3</v>
          </cell>
          <cell r="AL107">
            <v>2.114164904862581E-2</v>
          </cell>
          <cell r="AU107">
            <v>0.23801744966898242</v>
          </cell>
          <cell r="AV107">
            <v>0.17244790790878195</v>
          </cell>
          <cell r="AW107">
            <v>0.15592395453742602</v>
          </cell>
          <cell r="AX107">
            <v>2.3354564755838636E-2</v>
          </cell>
          <cell r="AY107">
            <v>1.6842105263157992E-2</v>
          </cell>
          <cell r="BA107">
            <v>0.2418770134513446</v>
          </cell>
          <cell r="BB107">
            <v>0.18494887703330742</v>
          </cell>
          <cell r="BC107">
            <v>7.5000977515903955E-2</v>
          </cell>
          <cell r="BD107">
            <v>7.1943692253816582E-2</v>
          </cell>
          <cell r="BE107">
            <v>7.8496246247313106E-2</v>
          </cell>
        </row>
        <row r="109">
          <cell r="A109" t="str">
            <v>Total Patient Revenue</v>
          </cell>
          <cell r="K109">
            <v>1031.1828</v>
          </cell>
          <cell r="P109">
            <v>1314.82546</v>
          </cell>
          <cell r="Q109">
            <v>398.62400000000002</v>
          </cell>
          <cell r="R109">
            <v>395.99731600000001</v>
          </cell>
          <cell r="S109">
            <v>411.65909199999999</v>
          </cell>
          <cell r="T109">
            <v>471.29447400000004</v>
          </cell>
          <cell r="U109">
            <v>1693.625</v>
          </cell>
          <cell r="V109">
            <v>0</v>
          </cell>
          <cell r="W109">
            <v>526.55364300000008</v>
          </cell>
          <cell r="X109">
            <v>523.52552700000001</v>
          </cell>
          <cell r="Y109">
            <v>543.90501600000005</v>
          </cell>
          <cell r="Z109">
            <v>574.83816000000002</v>
          </cell>
          <cell r="AA109">
            <v>2169.8987729999999</v>
          </cell>
          <cell r="AC109">
            <v>647.4097240000001</v>
          </cell>
          <cell r="AD109">
            <v>646.24981200000002</v>
          </cell>
          <cell r="AE109">
            <v>699.83531100000005</v>
          </cell>
          <cell r="AF109">
            <v>629.217624</v>
          </cell>
          <cell r="AG109">
            <v>2356.7791520000001</v>
          </cell>
          <cell r="AH109">
            <v>699.69219599999997</v>
          </cell>
          <cell r="AI109">
            <v>692.29802200000006</v>
          </cell>
          <cell r="AJ109">
            <v>743.82294400000001</v>
          </cell>
          <cell r="AK109">
            <v>813.79827900000009</v>
          </cell>
          <cell r="AL109">
            <v>2930.8130799999999</v>
          </cell>
          <cell r="AR109">
            <v>699.83531100000005</v>
          </cell>
          <cell r="AS109">
            <v>773.41825600000004</v>
          </cell>
          <cell r="AT109">
            <v>2749.4972959999996</v>
          </cell>
          <cell r="AU109">
            <v>774.51581800000008</v>
          </cell>
          <cell r="AV109">
            <v>761.59527400000002</v>
          </cell>
          <cell r="AW109">
            <v>801.52981999999997</v>
          </cell>
          <cell r="AX109">
            <v>830.58690000000001</v>
          </cell>
          <cell r="AY109">
            <v>3160.8925920000001</v>
          </cell>
          <cell r="BA109">
            <v>898.16331700000001</v>
          </cell>
          <cell r="BB109">
            <v>907.78922</v>
          </cell>
          <cell r="BC109">
            <v>868.747838</v>
          </cell>
          <cell r="BD109">
            <v>907.28336399999989</v>
          </cell>
          <cell r="BE109">
            <v>3448.1564119999998</v>
          </cell>
          <cell r="BG109">
            <v>957.42553199999998</v>
          </cell>
          <cell r="BH109">
            <v>976.67301900000007</v>
          </cell>
        </row>
        <row r="110">
          <cell r="A110" t="str">
            <v>Other Revenue</v>
          </cell>
          <cell r="K110">
            <v>16.767200000000003</v>
          </cell>
          <cell r="P110">
            <v>15.969540000000052</v>
          </cell>
          <cell r="Q110">
            <v>0</v>
          </cell>
          <cell r="R110">
            <v>4.8096840000000043</v>
          </cell>
          <cell r="S110">
            <v>4.9999080000000049</v>
          </cell>
          <cell r="T110">
            <v>6.207525999999973</v>
          </cell>
          <cell r="U110">
            <v>0</v>
          </cell>
          <cell r="V110">
            <v>0</v>
          </cell>
          <cell r="W110">
            <v>6.9353569999999536</v>
          </cell>
          <cell r="X110">
            <v>6.8954730000000382</v>
          </cell>
          <cell r="Y110">
            <v>8.8439839999999776</v>
          </cell>
          <cell r="Z110">
            <v>6.9818400000000338</v>
          </cell>
          <cell r="AA110">
            <v>28.580226999999923</v>
          </cell>
          <cell r="AC110">
            <v>7.863275999999928</v>
          </cell>
          <cell r="AD110">
            <v>7.8491880000000265</v>
          </cell>
          <cell r="AE110">
            <v>9.2176889999999503</v>
          </cell>
          <cell r="AF110">
            <v>6.9983760000000075</v>
          </cell>
          <cell r="AG110">
            <v>28.624847999999929</v>
          </cell>
          <cell r="AH110">
            <v>9.2158040000000483</v>
          </cell>
          <cell r="AI110">
            <v>7.6999779999999873</v>
          </cell>
          <cell r="AJ110">
            <v>8.2730559999999969</v>
          </cell>
          <cell r="AK110">
            <v>10.71872099999996</v>
          </cell>
          <cell r="AL110">
            <v>35.596919999999955</v>
          </cell>
          <cell r="AR110">
            <v>9.2176889999999503</v>
          </cell>
          <cell r="AS110">
            <v>9.3937439999999697</v>
          </cell>
          <cell r="AT110">
            <v>33.394704000000274</v>
          </cell>
          <cell r="AU110">
            <v>10.997181999999952</v>
          </cell>
          <cell r="AV110">
            <v>8.4707260000000133</v>
          </cell>
          <cell r="AW110">
            <v>9.7351800000000139</v>
          </cell>
          <cell r="AX110">
            <v>10.08809999999994</v>
          </cell>
          <cell r="AY110">
            <v>38.391407999999956</v>
          </cell>
          <cell r="BA110">
            <v>9.9896830000000136</v>
          </cell>
          <cell r="BB110">
            <v>11.025780000000054</v>
          </cell>
          <cell r="BC110">
            <v>12.335161999999968</v>
          </cell>
          <cell r="BD110">
            <v>11.019636000000105</v>
          </cell>
          <cell r="BE110">
            <v>38.351587999999992</v>
          </cell>
          <cell r="BG110">
            <v>12.610467999999969</v>
          </cell>
          <cell r="BH110">
            <v>12.863980999999967</v>
          </cell>
        </row>
        <row r="112">
          <cell r="A112" t="str">
            <v>EBITDA</v>
          </cell>
          <cell r="U112">
            <v>308.17500000000001</v>
          </cell>
          <cell r="Y112">
            <v>87.334342000000007</v>
          </cell>
          <cell r="Z112">
            <v>94.730999999999995</v>
          </cell>
          <cell r="AA112">
            <v>360.041</v>
          </cell>
          <cell r="AC112">
            <v>106.00700000000001</v>
          </cell>
          <cell r="AD112">
            <v>102.09</v>
          </cell>
          <cell r="AE112">
            <v>106.505</v>
          </cell>
          <cell r="AF112">
            <v>103.605</v>
          </cell>
          <cell r="AG112">
            <v>392.84199999999998</v>
          </cell>
          <cell r="AH112">
            <v>112.718</v>
          </cell>
          <cell r="AI112">
            <v>110.35899999999999</v>
          </cell>
          <cell r="AJ112">
            <v>113.577</v>
          </cell>
          <cell r="AK112">
            <v>123.517</v>
          </cell>
          <cell r="AL112">
            <v>459.80899999999997</v>
          </cell>
          <cell r="AR112">
            <v>106.505</v>
          </cell>
          <cell r="AS112">
            <v>116.789</v>
          </cell>
          <cell r="AT112">
            <v>429.81100000000004</v>
          </cell>
          <cell r="AU112">
            <v>121.785</v>
          </cell>
          <cell r="AV112">
            <v>118.63300000000001</v>
          </cell>
          <cell r="AW112">
            <v>120.312</v>
          </cell>
          <cell r="AX112">
            <v>130.01300000000001</v>
          </cell>
          <cell r="AY112">
            <v>459.80899999999997</v>
          </cell>
          <cell r="BA112">
            <v>142.93</v>
          </cell>
          <cell r="BB112">
            <v>132.334</v>
          </cell>
          <cell r="BC112">
            <v>133.88200000000001</v>
          </cell>
          <cell r="BD112">
            <v>147.179</v>
          </cell>
          <cell r="BG112">
            <v>155.154</v>
          </cell>
        </row>
        <row r="113">
          <cell r="A113" t="str">
            <v>EBITDA Margin</v>
          </cell>
          <cell r="U113">
            <v>0.1819617683961916</v>
          </cell>
          <cell r="W113">
            <v>0.17299999999999999</v>
          </cell>
          <cell r="X113">
            <v>0.16500000000000001</v>
          </cell>
          <cell r="Y113">
            <v>0.158</v>
          </cell>
          <cell r="Z113">
            <v>0.16281839744250798</v>
          </cell>
          <cell r="AA113">
            <v>0.16592525166610619</v>
          </cell>
          <cell r="AC113">
            <v>0.16177532112569876</v>
          </cell>
          <cell r="AD113">
            <v>0.15607729105227189</v>
          </cell>
          <cell r="AE113">
            <v>0.151</v>
          </cell>
          <cell r="AF113">
            <v>0.16284563733071789</v>
          </cell>
          <cell r="AG113">
            <v>0.16468573038361636</v>
          </cell>
          <cell r="AH113">
            <v>0.15900229648981251</v>
          </cell>
          <cell r="AI113">
            <v>0.15765616473189922</v>
          </cell>
          <cell r="AJ113">
            <v>0.151</v>
          </cell>
          <cell r="AK113">
            <v>0.151</v>
          </cell>
          <cell r="AL113">
            <v>0.151</v>
          </cell>
          <cell r="AR113">
            <v>0.151</v>
          </cell>
          <cell r="AS113">
            <v>0.14919163221820819</v>
          </cell>
          <cell r="AT113">
            <v>0.15444760342837596</v>
          </cell>
          <cell r="AU113">
            <v>0.15503880903307773</v>
          </cell>
          <cell r="AV113">
            <v>0.15405562640085396</v>
          </cell>
          <cell r="AW113">
            <v>0.151</v>
          </cell>
          <cell r="AX113">
            <v>0.156</v>
          </cell>
          <cell r="AY113">
            <v>0.154</v>
          </cell>
          <cell r="BA113">
            <v>0.15738537449086223</v>
          </cell>
          <cell r="BB113">
            <v>0.14402681715035126</v>
          </cell>
          <cell r="BC113">
            <v>0.15195163225258007</v>
          </cell>
          <cell r="BD113">
            <v>0.161</v>
          </cell>
          <cell r="BE113">
            <v>0.159</v>
          </cell>
        </row>
        <row r="114">
          <cell r="A114" t="str">
            <v>% Change</v>
          </cell>
          <cell r="K114">
            <v>0.126</v>
          </cell>
          <cell r="P114">
            <v>0.16700000000000001</v>
          </cell>
          <cell r="U114">
            <v>0.13600000000000001</v>
          </cell>
          <cell r="AA114">
            <v>0.109</v>
          </cell>
          <cell r="AF114">
            <v>9.3675776672894839E-2</v>
          </cell>
          <cell r="AG114">
            <v>9.1103513210995413E-2</v>
          </cell>
          <cell r="AH114">
            <v>6.7000000000000004E-2</v>
          </cell>
          <cell r="AI114" t="e">
            <v>#DIV/0!</v>
          </cell>
          <cell r="AU114">
            <v>6.7000000000000004E-2</v>
          </cell>
          <cell r="AV114">
            <v>0.16204329513174653</v>
          </cell>
        </row>
        <row r="116">
          <cell r="A116" t="str">
            <v>Non Same-Store EBITDA Margins</v>
          </cell>
          <cell r="AE116">
            <v>0.10299999999999999</v>
          </cell>
          <cell r="AI116">
            <v>9.1999999999999998E-2</v>
          </cell>
          <cell r="AJ116">
            <v>0.08</v>
          </cell>
          <cell r="AK116">
            <v>0.127</v>
          </cell>
          <cell r="AL116">
            <v>9.8000000000000004E-2</v>
          </cell>
          <cell r="AV116">
            <v>9.1999999999999998E-2</v>
          </cell>
          <cell r="AW116">
            <v>0.08</v>
          </cell>
          <cell r="AX116">
            <v>0.127</v>
          </cell>
          <cell r="AY116">
            <v>9.8000000000000004E-2</v>
          </cell>
        </row>
        <row r="118">
          <cell r="A118" t="str">
            <v>Inpatient Revenue Per Inpatient Admission</v>
          </cell>
          <cell r="K118">
            <v>4698.3696759731001</v>
          </cell>
          <cell r="O118">
            <v>5076.1524206142631</v>
          </cell>
          <cell r="P118">
            <v>4772.0417371489293</v>
          </cell>
          <cell r="Q118">
            <v>4908.2009234643911</v>
          </cell>
          <cell r="R118">
            <v>5010.4663154976433</v>
          </cell>
          <cell r="S118">
            <v>5201.5949916609434</v>
          </cell>
          <cell r="T118">
            <v>5483.0690482883901</v>
          </cell>
          <cell r="U118">
            <v>5273.4145564768187</v>
          </cell>
          <cell r="W118">
            <v>5263.6119218910599</v>
          </cell>
          <cell r="X118">
            <v>5359.4763349156019</v>
          </cell>
          <cell r="Y118">
            <v>5577.2068150369014</v>
          </cell>
          <cell r="Z118">
            <v>5794.0671125892168</v>
          </cell>
          <cell r="AA118">
            <v>5500.388272016774</v>
          </cell>
          <cell r="AC118">
            <v>5653.595044685735</v>
          </cell>
          <cell r="AD118">
            <v>5686.438383208646</v>
          </cell>
          <cell r="AE118">
            <v>5662.7487247337885</v>
          </cell>
          <cell r="AF118">
            <v>5918.0231920422975</v>
          </cell>
          <cell r="AG118">
            <v>5795.9890353567289</v>
          </cell>
          <cell r="AH118">
            <v>5865.8564263122589</v>
          </cell>
          <cell r="AI118">
            <v>5845.6418150719392</v>
          </cell>
          <cell r="AJ118">
            <v>5978.4085784273966</v>
          </cell>
          <cell r="AK118">
            <v>6273.8969356032576</v>
          </cell>
          <cell r="AL118">
            <v>6006.2027143515825</v>
          </cell>
          <cell r="AR118">
            <v>5662.7487247337885</v>
          </cell>
          <cell r="AS118">
            <v>5784.9314465408806</v>
          </cell>
          <cell r="AT118">
            <v>5714.9062916571593</v>
          </cell>
          <cell r="AU118">
            <v>5867.1583384292835</v>
          </cell>
          <cell r="AV118">
            <v>5973.9055563236398</v>
          </cell>
          <cell r="AW118">
            <v>6084.2732650258804</v>
          </cell>
          <cell r="AX118">
            <v>6277.1193943955022</v>
          </cell>
          <cell r="AY118">
            <v>6042.2544597778524</v>
          </cell>
          <cell r="BA118">
            <v>6243.6270631871776</v>
          </cell>
          <cell r="BB118">
            <v>6536.654621421716</v>
          </cell>
          <cell r="BC118">
            <v>6495.171468168548</v>
          </cell>
          <cell r="BD118">
            <v>6874.4246674903698</v>
          </cell>
          <cell r="BE118">
            <v>6528.7301630345155</v>
          </cell>
          <cell r="BG118">
            <v>6699.1618251631544</v>
          </cell>
          <cell r="BH118">
            <v>6906.8947706396411</v>
          </cell>
        </row>
        <row r="119">
          <cell r="A119" t="str">
            <v>% Change</v>
          </cell>
          <cell r="K119">
            <v>7.959419576806015E-3</v>
          </cell>
          <cell r="T119">
            <v>8.0162413173733293E-2</v>
          </cell>
          <cell r="U119">
            <v>0.10506463416378997</v>
          </cell>
          <cell r="W119">
            <v>7.2411664471104586E-2</v>
          </cell>
          <cell r="X119">
            <v>6.9656195140650246E-2</v>
          </cell>
          <cell r="Y119">
            <v>7.2210893769724338E-2</v>
          </cell>
          <cell r="Z119">
            <v>5.6719705982529733E-2</v>
          </cell>
          <cell r="AA119">
            <v>4.3041128875632495E-2</v>
          </cell>
          <cell r="AC119">
            <v>7.4090401910664738E-2</v>
          </cell>
          <cell r="AD119">
            <v>6.1006342385163892E-2</v>
          </cell>
          <cell r="AE119">
            <v>1.5337768982540689E-2</v>
          </cell>
          <cell r="AF119">
            <v>2.1393621620942493E-2</v>
          </cell>
          <cell r="AG119">
            <v>5.3741799436927806E-2</v>
          </cell>
          <cell r="AH119">
            <v>0.22921314385167824</v>
          </cell>
          <cell r="AI119">
            <v>0.1909948077157908</v>
          </cell>
          <cell r="AJ119">
            <v>0.19318406750602346</v>
          </cell>
          <cell r="AK119">
            <v>6.0133887957635634E-2</v>
          </cell>
          <cell r="AL119">
            <v>3.6268819301159327E-2</v>
          </cell>
          <cell r="AU119">
            <v>3.7774777297552298E-2</v>
          </cell>
          <cell r="AV119">
            <v>5.0553114927587961E-2</v>
          </cell>
          <cell r="AW119">
            <v>7.4438150230991873E-2</v>
          </cell>
          <cell r="AX119">
            <v>8.5081033786308158E-2</v>
          </cell>
          <cell r="AY119">
            <v>5.7279708785176187E-2</v>
          </cell>
          <cell r="BA119">
            <v>6.4165427800382036E-2</v>
          </cell>
          <cell r="BB119">
            <v>9.4201198829195087E-2</v>
          </cell>
          <cell r="BC119">
            <v>6.7534475399819049E-2</v>
          </cell>
          <cell r="BD119">
            <v>9.5155952207659045E-2</v>
          </cell>
          <cell r="BE119">
            <v>8.0512283369566839E-2</v>
          </cell>
          <cell r="BG119">
            <v>7.2959956987475927E-2</v>
          </cell>
          <cell r="BH119">
            <v>5.6640616746766126E-2</v>
          </cell>
        </row>
        <row r="120">
          <cell r="A120" t="str">
            <v>Total Revenue Per Adjusted Admission</v>
          </cell>
          <cell r="K120">
            <v>4937.4310941077802</v>
          </cell>
          <cell r="O120">
            <v>5365.1192516631327</v>
          </cell>
          <cell r="P120">
            <v>5080.6694841810695</v>
          </cell>
          <cell r="Q120">
            <v>5235.6147471006216</v>
          </cell>
          <cell r="R120">
            <v>5449.7457373616517</v>
          </cell>
          <cell r="S120">
            <v>5417.8401924452246</v>
          </cell>
          <cell r="T120">
            <v>5647.5026906837293</v>
          </cell>
          <cell r="U120">
            <v>5441.5752575199685</v>
          </cell>
          <cell r="W120">
            <v>5540.9582368276197</v>
          </cell>
          <cell r="X120">
            <v>5590.9708973237348</v>
          </cell>
          <cell r="Y120">
            <v>5649.0577221813428</v>
          </cell>
          <cell r="Z120">
            <v>5935.0008160600628</v>
          </cell>
          <cell r="AA120">
            <v>5680.1051029714581</v>
          </cell>
          <cell r="AC120">
            <v>5939.3173083895299</v>
          </cell>
          <cell r="AD120">
            <v>6130.7220785063546</v>
          </cell>
          <cell r="AE120">
            <v>6066.8674544163323</v>
          </cell>
          <cell r="AF120">
            <v>6338.9594085646531</v>
          </cell>
          <cell r="AG120">
            <v>6189.3597367956745</v>
          </cell>
          <cell r="AH120">
            <v>6291.4499724879752</v>
          </cell>
          <cell r="AI120">
            <v>6334.7662012108494</v>
          </cell>
          <cell r="AJ120">
            <v>6370.9413727965039</v>
          </cell>
          <cell r="AK120">
            <v>6605.2247893100912</v>
          </cell>
          <cell r="AL120">
            <v>6413.5682487930271</v>
          </cell>
          <cell r="AR120">
            <v>6066.8674544163323</v>
          </cell>
          <cell r="AS120">
            <v>6188.7263815321367</v>
          </cell>
          <cell r="AT120">
            <v>6092.7055464819441</v>
          </cell>
          <cell r="AU120">
            <v>6359.8626842953263</v>
          </cell>
          <cell r="AV120">
            <v>6401.9054428159316</v>
          </cell>
          <cell r="AW120">
            <v>6487.6806320823371</v>
          </cell>
          <cell r="AX120">
            <v>6697.9117700955276</v>
          </cell>
          <cell r="AY120">
            <v>6479.2213473315842</v>
          </cell>
          <cell r="BA120">
            <v>6751.4143614371851</v>
          </cell>
          <cell r="BB120">
            <v>6920.6637341447986</v>
          </cell>
          <cell r="BC120">
            <v>6867.3655494933746</v>
          </cell>
          <cell r="BD120">
            <v>7277.3185827383177</v>
          </cell>
          <cell r="BE120">
            <v>6939.0286377323864</v>
          </cell>
          <cell r="BG120">
            <v>7278.9458676631702</v>
          </cell>
          <cell r="BH120">
            <v>7417.2625740199392</v>
          </cell>
        </row>
        <row r="121">
          <cell r="A121" t="str">
            <v>% Change</v>
          </cell>
          <cell r="T121">
            <v>5.2633208280144173E-2</v>
          </cell>
          <cell r="U121">
            <v>7.1035081983309212E-2</v>
          </cell>
          <cell r="W121">
            <v>5.8320465595008031E-2</v>
          </cell>
          <cell r="X121">
            <v>2.5914082375236402E-2</v>
          </cell>
          <cell r="Y121">
            <v>4.2677067156490445E-2</v>
          </cell>
          <cell r="Z121">
            <v>5.0907124993600839E-2</v>
          </cell>
          <cell r="AA121">
            <v>4.3834704871875907E-2</v>
          </cell>
          <cell r="AC121">
            <v>7.1893534391622493E-2</v>
          </cell>
          <cell r="AD121">
            <v>9.6539794446253602E-2</v>
          </cell>
          <cell r="AE121">
            <v>7.3960960001246967E-2</v>
          </cell>
          <cell r="AF121">
            <v>6.8063780448265776E-2</v>
          </cell>
          <cell r="AG121">
            <v>8.9655846959206364E-2</v>
          </cell>
          <cell r="AH121">
            <v>0.23831120919727877</v>
          </cell>
          <cell r="AI121">
            <v>0.20993742038008345</v>
          </cell>
          <cell r="AJ121">
            <v>0.16903460818721139</v>
          </cell>
          <cell r="AK121">
            <v>4.2004588384914276E-2</v>
          </cell>
          <cell r="AL121">
            <v>3.6224831247800182E-2</v>
          </cell>
          <cell r="AU121">
            <v>7.0807022772088501E-2</v>
          </cell>
          <cell r="AV121">
            <v>4.423351129556452E-2</v>
          </cell>
          <cell r="AW121">
            <v>6.9362513822463168E-2</v>
          </cell>
          <cell r="AX121">
            <v>8.2276280638752697E-2</v>
          </cell>
          <cell r="AY121">
            <v>6.3439107289998908E-2</v>
          </cell>
          <cell r="BA121">
            <v>6.1566058353544895E-2</v>
          </cell>
          <cell r="BB121">
            <v>8.1031857774626292E-2</v>
          </cell>
          <cell r="BC121">
            <v>5.8523983984885453E-2</v>
          </cell>
          <cell r="BD121">
            <v>8.6505590478168859E-2</v>
          </cell>
          <cell r="BE121">
            <v>7.0966442686847042E-2</v>
          </cell>
          <cell r="BG121">
            <v>7.8136443415345092E-2</v>
          </cell>
          <cell r="BH121">
            <v>7.1755955635447011E-2</v>
          </cell>
        </row>
        <row r="123">
          <cell r="A123" t="str">
            <v>Total Patient Revenue Per Adjusted Admission</v>
          </cell>
          <cell r="Z123">
            <v>5863.7808062673421</v>
          </cell>
          <cell r="AA123">
            <v>5606.263736632829</v>
          </cell>
          <cell r="AC123">
            <v>5868.0455006888551</v>
          </cell>
          <cell r="AD123">
            <v>6057.1534135642787</v>
          </cell>
          <cell r="AE123">
            <v>5987.99817750892</v>
          </cell>
          <cell r="AF123">
            <v>6269.230855070442</v>
          </cell>
          <cell r="AG123">
            <v>6115.0874199541258</v>
          </cell>
          <cell r="AH123">
            <v>6209.6611228456304</v>
          </cell>
          <cell r="AI123">
            <v>6265.0837729975301</v>
          </cell>
          <cell r="AJ123">
            <v>6300.8610176957418</v>
          </cell>
          <cell r="AK123">
            <v>6519.3568670490604</v>
          </cell>
          <cell r="AL123">
            <v>6336.6054298075114</v>
          </cell>
          <cell r="AR123">
            <v>5987.99817750892</v>
          </cell>
          <cell r="AS123">
            <v>6114.461664953752</v>
          </cell>
          <cell r="AT123">
            <v>6019.5930799241605</v>
          </cell>
          <cell r="AU123">
            <v>6270.8246067151922</v>
          </cell>
          <cell r="AV123">
            <v>6331.4844829449567</v>
          </cell>
          <cell r="AW123">
            <v>6409.8284644973492</v>
          </cell>
          <cell r="AX123">
            <v>6617.5368288543823</v>
          </cell>
          <cell r="AY123">
            <v>6401.4706911636049</v>
          </cell>
          <cell r="BA123">
            <v>6677.1488034613758</v>
          </cell>
          <cell r="BB123">
            <v>6837.6157693350606</v>
          </cell>
          <cell r="BC123">
            <v>6771.2224318004673</v>
          </cell>
          <cell r="BD123">
            <v>7189.9907597454558</v>
          </cell>
          <cell r="BG123">
            <v>7184.3195713835485</v>
          </cell>
        </row>
        <row r="124">
          <cell r="AF124">
            <v>6.9144816663294417E-2</v>
          </cell>
          <cell r="AG124">
            <v>9.0759854909519655E-2</v>
          </cell>
          <cell r="AJ124">
            <v>5.2248319206566141E-2</v>
          </cell>
          <cell r="AK124">
            <v>3.9897400137422157E-2</v>
          </cell>
          <cell r="AL124">
            <v>3.6224831247800404E-2</v>
          </cell>
          <cell r="AU124">
            <v>6.8639397219918408E-2</v>
          </cell>
          <cell r="AV124">
            <v>4.5290427804972833E-2</v>
          </cell>
          <cell r="AW124">
            <v>7.0445961151563985E-2</v>
          </cell>
          <cell r="AX124">
            <v>8.2276280638752697E-2</v>
          </cell>
          <cell r="AY124">
            <v>6.3439107289998908E-2</v>
          </cell>
          <cell r="BA124">
            <v>6.4795975366790826E-2</v>
          </cell>
          <cell r="BB124">
            <v>7.9938802306704471E-2</v>
          </cell>
          <cell r="BC124">
            <v>5.6381222883701287E-2</v>
          </cell>
          <cell r="BD124">
            <v>8.6505590478168193E-2</v>
          </cell>
          <cell r="BG124">
            <v>7.595618771581969E-2</v>
          </cell>
        </row>
        <row r="130">
          <cell r="W130" t="str">
            <v>2002-Q1</v>
          </cell>
          <cell r="X130" t="str">
            <v>2002-Q2</v>
          </cell>
          <cell r="Y130" t="str">
            <v>2002-Q3</v>
          </cell>
          <cell r="Z130" t="str">
            <v>2002-Q4</v>
          </cell>
          <cell r="AA130" t="str">
            <v>2002-FY</v>
          </cell>
          <cell r="AC130" t="str">
            <v>2003-Q1</v>
          </cell>
          <cell r="AD130" t="str">
            <v>2003-Q2</v>
          </cell>
          <cell r="AE130" t="str">
            <v>2003-Q3</v>
          </cell>
          <cell r="AF130" t="str">
            <v>2003-Q4</v>
          </cell>
          <cell r="AG130" t="str">
            <v>2003-FY</v>
          </cell>
          <cell r="AU130" t="str">
            <v>2004-Q1</v>
          </cell>
          <cell r="AV130" t="str">
            <v>2004-Q2</v>
          </cell>
          <cell r="AW130" t="str">
            <v>2004-Q3</v>
          </cell>
          <cell r="AX130" t="str">
            <v>2004-Q4</v>
          </cell>
          <cell r="AY130" t="str">
            <v>2004-FY</v>
          </cell>
          <cell r="BA130" t="str">
            <v>2005-Q1</v>
          </cell>
          <cell r="BB130" t="str">
            <v>2005-Q2</v>
          </cell>
          <cell r="BC130" t="str">
            <v>2005-Q3</v>
          </cell>
          <cell r="BD130" t="str">
            <v>2005-Q4</v>
          </cell>
          <cell r="BE130" t="str">
            <v>2005-FY</v>
          </cell>
          <cell r="BG130" t="str">
            <v>2006-Q1</v>
          </cell>
          <cell r="BH130" t="str">
            <v>2006-Q2</v>
          </cell>
          <cell r="BI130" t="str">
            <v>2006-Q3</v>
          </cell>
          <cell r="BJ130" t="str">
            <v>2006-Q4</v>
          </cell>
          <cell r="BK130" t="str">
            <v>2006-FY</v>
          </cell>
          <cell r="BM130" t="str">
            <v>2007-FY</v>
          </cell>
          <cell r="BN130" t="str">
            <v>2008-FY</v>
          </cell>
        </row>
      </sheetData>
      <sheetData sheetId="6" refreshError="1"/>
      <sheetData sheetId="7" refreshError="1">
        <row r="1">
          <cell r="B1" t="str">
            <v>CYH 2006E Guidance (bold = updated)</v>
          </cell>
          <cell r="G1" t="str">
            <v>Morgan Stanley Estimates</v>
          </cell>
          <cell r="L1" t="str">
            <v>CYH FY2005E Guidance</v>
          </cell>
          <cell r="P1" t="str">
            <v>Morgan Stanley FY2005E Est.</v>
          </cell>
          <cell r="T1" t="str">
            <v>2005 Change</v>
          </cell>
        </row>
        <row r="2">
          <cell r="A2" t="str">
            <v>as of</v>
          </cell>
          <cell r="B2" t="str">
            <v>2Q06</v>
          </cell>
          <cell r="C2" t="str">
            <v>1Q06</v>
          </cell>
          <cell r="D2" t="str">
            <v>4Q05</v>
          </cell>
          <cell r="E2" t="str">
            <v>3Q05</v>
          </cell>
          <cell r="G2" t="str">
            <v>New</v>
          </cell>
          <cell r="H2" t="str">
            <v>Prior</v>
          </cell>
          <cell r="J2" t="str">
            <v>Delta</v>
          </cell>
          <cell r="L2" t="str">
            <v>New</v>
          </cell>
          <cell r="M2" t="str">
            <v xml:space="preserve">Prior </v>
          </cell>
          <cell r="N2" t="str">
            <v>1Q05</v>
          </cell>
          <cell r="P2" t="str">
            <v>New</v>
          </cell>
          <cell r="Q2" t="str">
            <v>Prior</v>
          </cell>
          <cell r="R2" t="str">
            <v>1Q05</v>
          </cell>
          <cell r="T2" t="str">
            <v>CYH</v>
          </cell>
          <cell r="U2" t="str">
            <v>MS</v>
          </cell>
        </row>
        <row r="3">
          <cell r="A3" t="str">
            <v>Revenue</v>
          </cell>
          <cell r="B3" t="str">
            <v>$4,275-4,325</v>
          </cell>
          <cell r="C3" t="str">
            <v>$4,225-4,275</v>
          </cell>
          <cell r="D3" t="str">
            <v>$4,175-4,225</v>
          </cell>
          <cell r="E3" t="str">
            <v>$4,150-4,200</v>
          </cell>
          <cell r="G3">
            <v>4326.4640268979365</v>
          </cell>
          <cell r="H3">
            <v>4324.1085573076562</v>
          </cell>
          <cell r="J3">
            <v>2.355469590280336</v>
          </cell>
          <cell r="L3" t="str">
            <v>$3,700-3,725</v>
          </cell>
          <cell r="M3" t="str">
            <v>$3,675-3,725</v>
          </cell>
          <cell r="N3" t="str">
            <v>$3,625-3,675</v>
          </cell>
          <cell r="P3">
            <v>3738.32</v>
          </cell>
          <cell r="Q3">
            <v>3669.1</v>
          </cell>
          <cell r="R3">
            <v>3648.6</v>
          </cell>
          <cell r="T3" t="str">
            <v>$0-25</v>
          </cell>
          <cell r="U3">
            <v>69.220000000000255</v>
          </cell>
        </row>
        <row r="4">
          <cell r="A4" t="str">
            <v>Bad debt (% of rev)</v>
          </cell>
          <cell r="B4" t="str">
            <v>10.5-11.0%</v>
          </cell>
          <cell r="C4" t="str">
            <v>10.2-10.5%</v>
          </cell>
          <cell r="D4" t="str">
            <v>10.2-10.5%</v>
          </cell>
          <cell r="E4" t="str">
            <v>10.2-10.5%</v>
          </cell>
          <cell r="G4">
            <v>0.10698152948932357</v>
          </cell>
          <cell r="H4">
            <v>0.10150386589312708</v>
          </cell>
          <cell r="J4" t="str">
            <v>--</v>
          </cell>
          <cell r="L4" t="str">
            <v>10.2-10.5%</v>
          </cell>
          <cell r="M4" t="str">
            <v>10.2-10.5%</v>
          </cell>
          <cell r="N4" t="str">
            <v>na</v>
          </cell>
          <cell r="P4">
            <v>0.10100686939587836</v>
          </cell>
          <cell r="Q4">
            <v>0.10199999999999999</v>
          </cell>
          <cell r="R4">
            <v>0.10199999999999999</v>
          </cell>
          <cell r="T4">
            <v>0</v>
          </cell>
          <cell r="U4" t="str">
            <v>-10 bps</v>
          </cell>
        </row>
        <row r="5">
          <cell r="A5" t="str">
            <v xml:space="preserve">EBITDA </v>
          </cell>
          <cell r="B5" t="str">
            <v>$645-665</v>
          </cell>
          <cell r="C5" t="str">
            <v>$640-665</v>
          </cell>
          <cell r="D5" t="str">
            <v>$630-658</v>
          </cell>
          <cell r="E5" t="str">
            <v>$635-655</v>
          </cell>
          <cell r="G5">
            <v>659.29186062644476</v>
          </cell>
          <cell r="H5">
            <v>674.5</v>
          </cell>
          <cell r="J5">
            <v>-15.208139373555241</v>
          </cell>
        </row>
        <row r="6">
          <cell r="A6" t="str">
            <v>Adj. EBITDA (after options)</v>
          </cell>
          <cell r="B6" t="str">
            <v>$625-645</v>
          </cell>
          <cell r="C6" t="str">
            <v>$620-645</v>
          </cell>
          <cell r="D6" t="str">
            <v>$615-640</v>
          </cell>
          <cell r="E6" t="str">
            <v>$620-637</v>
          </cell>
          <cell r="G6">
            <v>644.62789323969889</v>
          </cell>
          <cell r="H6">
            <v>661</v>
          </cell>
          <cell r="J6">
            <v>-16.372106760301108</v>
          </cell>
          <cell r="L6" t="str">
            <v>$560-570</v>
          </cell>
          <cell r="M6" t="str">
            <v>$555-575</v>
          </cell>
          <cell r="N6" t="str">
            <v>$560-580</v>
          </cell>
          <cell r="P6">
            <v>570.9450000000005</v>
          </cell>
          <cell r="Q6">
            <v>559.1</v>
          </cell>
          <cell r="R6">
            <v>558.70000000000005</v>
          </cell>
          <cell r="T6" t="str">
            <v>$5</v>
          </cell>
          <cell r="U6">
            <v>11.845000000000482</v>
          </cell>
        </row>
        <row r="7">
          <cell r="A7" t="str">
            <v>D&amp;A (% of rev)</v>
          </cell>
          <cell r="B7" t="str">
            <v xml:space="preserve">4.2-4.6% </v>
          </cell>
          <cell r="C7" t="str">
            <v xml:space="preserve">4.2-4.6% </v>
          </cell>
          <cell r="D7" t="str">
            <v xml:space="preserve">4.2-4.6% </v>
          </cell>
          <cell r="E7" t="str">
            <v xml:space="preserve">4.2-4.6% </v>
          </cell>
          <cell r="G7">
            <v>4.321970986872397E-2</v>
          </cell>
          <cell r="H7">
            <v>4.4026107148706757E-2</v>
          </cell>
          <cell r="J7" t="str">
            <v>--</v>
          </cell>
          <cell r="L7" t="str">
            <v xml:space="preserve">4.3-4.6% </v>
          </cell>
          <cell r="M7" t="str">
            <v xml:space="preserve">4.3-4.6% </v>
          </cell>
          <cell r="N7" t="str">
            <v>4.6-4.9% of rev</v>
          </cell>
          <cell r="P7">
            <v>4.3672826296304222E-2</v>
          </cell>
          <cell r="Q7">
            <v>4.4697609768063015E-2</v>
          </cell>
          <cell r="R7">
            <v>4.5999999999999999E-2</v>
          </cell>
          <cell r="T7">
            <v>0</v>
          </cell>
          <cell r="U7" t="str">
            <v>-20 bps</v>
          </cell>
        </row>
        <row r="8">
          <cell r="A8" t="str">
            <v>Tax + interest</v>
          </cell>
          <cell r="B8" t="str">
            <v>$226-235</v>
          </cell>
          <cell r="C8" t="str">
            <v>$226-235</v>
          </cell>
          <cell r="D8" t="str">
            <v>$230-246</v>
          </cell>
          <cell r="E8" t="str">
            <v>$230-246</v>
          </cell>
          <cell r="G8">
            <v>234.49074361128174</v>
          </cell>
          <cell r="H8">
            <v>241.65879107115271</v>
          </cell>
          <cell r="J8">
            <v>-7.1680474598709623</v>
          </cell>
          <cell r="L8" t="str">
            <v>$209-215</v>
          </cell>
          <cell r="M8" t="str">
            <v>$209-215</v>
          </cell>
          <cell r="N8">
            <v>219</v>
          </cell>
          <cell r="P8">
            <v>215.39499999999998</v>
          </cell>
          <cell r="Q8">
            <v>209.6</v>
          </cell>
          <cell r="R8">
            <v>204.9</v>
          </cell>
          <cell r="T8">
            <v>0</v>
          </cell>
          <cell r="U8">
            <v>5.7949999999999875</v>
          </cell>
        </row>
        <row r="9">
          <cell r="A9" t="str">
            <v>Tax rate</v>
          </cell>
          <cell r="B9" t="str">
            <v>38.3-38.7%</v>
          </cell>
          <cell r="C9" t="str">
            <v>38.5-39.0%</v>
          </cell>
          <cell r="D9" t="str">
            <v>38.5-39.0%</v>
          </cell>
          <cell r="E9" t="str">
            <v>38.5-39.0%</v>
          </cell>
          <cell r="G9">
            <v>0.38812967036719054</v>
          </cell>
          <cell r="H9">
            <v>0.38900000000000001</v>
          </cell>
          <cell r="J9" t="str">
            <v>--</v>
          </cell>
        </row>
        <row r="10">
          <cell r="A10" t="str">
            <v>Dil. shares</v>
          </cell>
          <cell r="B10" t="str">
            <v>96-97</v>
          </cell>
          <cell r="C10" t="str">
            <v>99-100</v>
          </cell>
          <cell r="D10" t="str">
            <v>99-100</v>
          </cell>
          <cell r="E10" t="str">
            <v>99-100</v>
          </cell>
          <cell r="G10">
            <v>97.074926269781329</v>
          </cell>
          <cell r="H10">
            <v>98.357061141133528</v>
          </cell>
          <cell r="J10">
            <v>-1.2821348713521985</v>
          </cell>
          <cell r="L10" t="str">
            <v>99-100</v>
          </cell>
          <cell r="M10" t="str">
            <v>99-100</v>
          </cell>
          <cell r="N10" t="str">
            <v>98-99</v>
          </cell>
          <cell r="P10">
            <v>98.579977</v>
          </cell>
          <cell r="Q10">
            <v>99.6</v>
          </cell>
          <cell r="R10">
            <v>98.8</v>
          </cell>
          <cell r="T10">
            <v>0</v>
          </cell>
          <cell r="U10">
            <v>-1.0200229999999948</v>
          </cell>
        </row>
        <row r="12">
          <cell r="A12" t="str">
            <v>Dil. EPS (incl. options)</v>
          </cell>
          <cell r="B12" t="str">
            <v>$2.17-2.22</v>
          </cell>
          <cell r="C12" t="str">
            <v>$2.16-2.21</v>
          </cell>
          <cell r="D12" t="str">
            <v>$2.14-2.19</v>
          </cell>
          <cell r="E12" t="str">
            <v>$2.14-2.18</v>
          </cell>
          <cell r="G12">
            <v>2.2576437420630358</v>
          </cell>
          <cell r="H12">
            <v>2.2668364564128174</v>
          </cell>
          <cell r="J12" t="str">
            <v>nm</v>
          </cell>
        </row>
        <row r="13">
          <cell r="A13" t="str">
            <v>Options expense per share</v>
          </cell>
          <cell r="B13">
            <v>0.13</v>
          </cell>
          <cell r="C13">
            <v>0.13</v>
          </cell>
          <cell r="D13" t="str">
            <v>$0.08-0.12</v>
          </cell>
          <cell r="E13" t="str">
            <v>$0.08-0.12</v>
          </cell>
          <cell r="G13">
            <v>9.3543574412758179E-2</v>
          </cell>
          <cell r="H13">
            <v>8.3570293052876998E-2</v>
          </cell>
          <cell r="J13">
            <v>9.9732813598811809E-3</v>
          </cell>
        </row>
        <row r="14">
          <cell r="A14" t="str">
            <v>Est. Dil. EPS (before options)</v>
          </cell>
          <cell r="B14" t="str">
            <v>$2.30-2.35</v>
          </cell>
          <cell r="C14" t="str">
            <v>$2.26-2.34</v>
          </cell>
          <cell r="D14" t="str">
            <v>$2.22-2.31</v>
          </cell>
          <cell r="E14" t="str">
            <v>$2.22-2.30</v>
          </cell>
          <cell r="G14">
            <v>2.3511873164757939</v>
          </cell>
          <cell r="H14">
            <v>2.3504067494656944</v>
          </cell>
          <cell r="J14">
            <v>7.805670100995421E-4</v>
          </cell>
          <cell r="L14" t="str">
            <v>$1.95-1.98**</v>
          </cell>
          <cell r="M14" t="str">
            <v>$1.91-1.96</v>
          </cell>
          <cell r="P14" t="str">
            <v>$2.02**</v>
          </cell>
          <cell r="Q14">
            <v>1.95</v>
          </cell>
          <cell r="T14" t="str">
            <v>**</v>
          </cell>
          <cell r="U14" t="str">
            <v>$0.04**</v>
          </cell>
        </row>
        <row r="16">
          <cell r="A16" t="str">
            <v>Acquisitions</v>
          </cell>
          <cell r="B16" t="str">
            <v>6-7</v>
          </cell>
          <cell r="C16" t="str">
            <v>5-7</v>
          </cell>
          <cell r="D16" t="str">
            <v>3-5</v>
          </cell>
          <cell r="E16" t="str">
            <v>2-4</v>
          </cell>
          <cell r="G16">
            <v>7</v>
          </cell>
          <cell r="H16">
            <v>4</v>
          </cell>
          <cell r="J16">
            <v>3</v>
          </cell>
          <cell r="L16">
            <v>5</v>
          </cell>
          <cell r="M16" t="str">
            <v>3-4</v>
          </cell>
          <cell r="N16" t="str">
            <v>2-4</v>
          </cell>
          <cell r="P16">
            <v>5</v>
          </cell>
          <cell r="Q16">
            <v>5</v>
          </cell>
          <cell r="R16">
            <v>4</v>
          </cell>
          <cell r="T16" t="str">
            <v>1-2</v>
          </cell>
          <cell r="U16">
            <v>0</v>
          </cell>
        </row>
        <row r="17">
          <cell r="A17" t="str">
            <v>Capital expenditures</v>
          </cell>
          <cell r="B17" t="str">
            <v>$260-275</v>
          </cell>
          <cell r="C17" t="str">
            <v>$250-260</v>
          </cell>
          <cell r="D17" t="str">
            <v>$240-260</v>
          </cell>
          <cell r="E17" t="str">
            <v>$240-260</v>
          </cell>
          <cell r="G17">
            <v>233.09400000000002</v>
          </cell>
          <cell r="H17">
            <v>236.6</v>
          </cell>
          <cell r="J17">
            <v>-3.5059999999999718</v>
          </cell>
        </row>
        <row r="18">
          <cell r="A18" t="str">
            <v>CFFO</v>
          </cell>
          <cell r="B18" t="str">
            <v>$430-450</v>
          </cell>
          <cell r="C18" t="str">
            <v>$430-450</v>
          </cell>
          <cell r="D18" t="str">
            <v>$430-450</v>
          </cell>
          <cell r="E18" t="str">
            <v>$425-445</v>
          </cell>
          <cell r="G18">
            <v>395.67535494494928</v>
          </cell>
          <cell r="H18">
            <v>436.50525017221344</v>
          </cell>
          <cell r="J18">
            <v>-40.82989522726416</v>
          </cell>
          <cell r="L18" t="str">
            <v>$365-380</v>
          </cell>
          <cell r="M18" t="str">
            <v>$360-380</v>
          </cell>
          <cell r="N18" t="str">
            <v>$325-340</v>
          </cell>
          <cell r="P18">
            <v>411.04870000000005</v>
          </cell>
          <cell r="Q18">
            <v>389.3</v>
          </cell>
          <cell r="R18">
            <v>349.4</v>
          </cell>
          <cell r="T18" t="str">
            <v>$0-5</v>
          </cell>
          <cell r="U18">
            <v>21.748700000000042</v>
          </cell>
        </row>
        <row r="19">
          <cell r="A19" t="str">
            <v>Same-store admits</v>
          </cell>
          <cell r="B19" t="str">
            <v>1.0-2.0%</v>
          </cell>
          <cell r="C19" t="str">
            <v>1.0-2.0%</v>
          </cell>
          <cell r="D19" t="str">
            <v>1.5-3.0%</v>
          </cell>
          <cell r="E19" t="str">
            <v>1.5-3.0%</v>
          </cell>
          <cell r="G19" t="str">
            <v>2.0-3.0%</v>
          </cell>
          <cell r="H19" t="str">
            <v>2.0-3.0%</v>
          </cell>
          <cell r="J19" t="str">
            <v>--</v>
          </cell>
          <cell r="L19" t="str">
            <v>1.5-3.0%</v>
          </cell>
          <cell r="M19" t="str">
            <v>1.5-3.0%</v>
          </cell>
          <cell r="P19" t="str">
            <v>2.0-3.0%</v>
          </cell>
          <cell r="Q19" t="str">
            <v>2.0-3.0%</v>
          </cell>
          <cell r="T19">
            <v>0</v>
          </cell>
          <cell r="U19">
            <v>0</v>
          </cell>
        </row>
        <row r="21">
          <cell r="A21" t="str">
            <v>Quarterly EPS Guidance (incl. options expense)</v>
          </cell>
        </row>
        <row r="22">
          <cell r="A22" t="str">
            <v>1Q06E</v>
          </cell>
          <cell r="B22" t="str">
            <v>$0.58A</v>
          </cell>
          <cell r="C22" t="str">
            <v>$0.58A</v>
          </cell>
          <cell r="D22" t="str">
            <v>$0.55-0.57</v>
          </cell>
          <cell r="E22" t="str">
            <v>na</v>
          </cell>
          <cell r="G22">
            <v>0.58435420012434225</v>
          </cell>
          <cell r="H22">
            <v>0.59</v>
          </cell>
        </row>
        <row r="23">
          <cell r="A23" t="str">
            <v>2Q06E</v>
          </cell>
          <cell r="B23" t="str">
            <v>$0.54A</v>
          </cell>
          <cell r="C23" t="str">
            <v>$0.51-0.53</v>
          </cell>
          <cell r="D23" t="str">
            <v>$0.51-0.53</v>
          </cell>
          <cell r="E23" t="str">
            <v>na</v>
          </cell>
          <cell r="G23">
            <v>0.54061112831630098</v>
          </cell>
          <cell r="H23">
            <v>0.56000000000000005</v>
          </cell>
        </row>
        <row r="24">
          <cell r="A24" t="str">
            <v>3Q06E</v>
          </cell>
          <cell r="B24" t="str">
            <v>$0.50-0.51</v>
          </cell>
          <cell r="C24" t="str">
            <v>$0.50-0.51</v>
          </cell>
          <cell r="D24" t="str">
            <v>$0.50-0.51</v>
          </cell>
          <cell r="E24" t="str">
            <v>na</v>
          </cell>
          <cell r="G24">
            <v>0.57015563920719359</v>
          </cell>
          <cell r="H24">
            <v>0.54</v>
          </cell>
        </row>
        <row r="25">
          <cell r="A25" t="str">
            <v>4Q06E</v>
          </cell>
          <cell r="B25" t="str">
            <v>$0.56-0.58</v>
          </cell>
          <cell r="C25" t="str">
            <v>$0.56-0.58</v>
          </cell>
          <cell r="D25" t="str">
            <v>$0.56-0.58</v>
          </cell>
          <cell r="E25" t="str">
            <v>na</v>
          </cell>
          <cell r="G25">
            <v>0.56252277441519916</v>
          </cell>
          <cell r="H25">
            <v>0.56999999999999995</v>
          </cell>
        </row>
      </sheetData>
      <sheetData sheetId="8"/>
      <sheetData sheetId="9" refreshError="1">
        <row r="3">
          <cell r="C3" t="str">
            <v xml:space="preserve">Earnings Report: </v>
          </cell>
        </row>
        <row r="4">
          <cell r="J4" t="str">
            <v>Christine Arnold</v>
          </cell>
        </row>
        <row r="5">
          <cell r="J5" t="str">
            <v>212-761-6871</v>
          </cell>
        </row>
        <row r="6">
          <cell r="C6" t="str">
            <v>Conference Call</v>
          </cell>
          <cell r="J6" t="str">
            <v>christine.arnold@morganstanley.com</v>
          </cell>
        </row>
        <row r="11">
          <cell r="C11" t="str">
            <v>Replay</v>
          </cell>
        </row>
        <row r="18">
          <cell r="B18" t="str">
            <v>Selected Quarterly Performance Data</v>
          </cell>
        </row>
        <row r="19">
          <cell r="B19" t="str">
            <v>($ million, except per share data)</v>
          </cell>
        </row>
        <row r="21">
          <cell r="D21" t="str">
            <v>Historicals</v>
          </cell>
          <cell r="G21" t="str">
            <v>This Qtr</v>
          </cell>
          <cell r="I21" t="str">
            <v>% change</v>
          </cell>
          <cell r="L21" t="str">
            <v xml:space="preserve"> </v>
          </cell>
        </row>
        <row r="22">
          <cell r="D22" t="str">
            <v>2Q05</v>
          </cell>
          <cell r="E22" t="str">
            <v>1Q06</v>
          </cell>
          <cell r="F22" t="str">
            <v>2Q06E</v>
          </cell>
          <cell r="G22" t="str">
            <v>2Q06</v>
          </cell>
          <cell r="H22" t="str">
            <v>A vs. E</v>
          </cell>
          <cell r="I22" t="str">
            <v>Q/Q</v>
          </cell>
          <cell r="J22" t="str">
            <v>Y / Y</v>
          </cell>
        </row>
        <row r="23">
          <cell r="B23" t="str">
            <v>Number of Hospitals</v>
          </cell>
          <cell r="D23">
            <v>67</v>
          </cell>
          <cell r="E23">
            <v>71</v>
          </cell>
          <cell r="F23">
            <v>75</v>
          </cell>
          <cell r="G23">
            <v>75</v>
          </cell>
          <cell r="H23">
            <v>0</v>
          </cell>
          <cell r="I23">
            <v>5.6338028169014009E-2</v>
          </cell>
          <cell r="J23">
            <v>0.11940298507462677</v>
          </cell>
        </row>
        <row r="24">
          <cell r="B24" t="str">
            <v>Beds in Service</v>
          </cell>
          <cell r="D24">
            <v>6187</v>
          </cell>
          <cell r="E24">
            <v>6528</v>
          </cell>
          <cell r="F24">
            <v>6874</v>
          </cell>
          <cell r="G24">
            <v>6874</v>
          </cell>
          <cell r="H24">
            <v>0</v>
          </cell>
          <cell r="I24">
            <v>5.3002450980392135E-2</v>
          </cell>
          <cell r="J24">
            <v>0.11103927590108298</v>
          </cell>
        </row>
        <row r="26">
          <cell r="B26" t="str">
            <v>Adjusted Admissions</v>
          </cell>
          <cell r="D26">
            <v>132764</v>
          </cell>
          <cell r="E26">
            <v>143168</v>
          </cell>
          <cell r="F26">
            <v>147223</v>
          </cell>
          <cell r="G26">
            <v>147223</v>
          </cell>
          <cell r="H26">
            <v>0</v>
          </cell>
          <cell r="I26">
            <v>2.8323368350469336E-2</v>
          </cell>
          <cell r="J26">
            <v>0.10890753517519802</v>
          </cell>
        </row>
        <row r="27">
          <cell r="B27" t="str">
            <v>Revenue per Adj. Admission</v>
          </cell>
          <cell r="D27">
            <v>6919.9331143984818</v>
          </cell>
          <cell r="E27">
            <v>7170.331358962896</v>
          </cell>
          <cell r="F27">
            <v>7207.1211699258956</v>
          </cell>
          <cell r="G27">
            <v>7207.1211699258956</v>
          </cell>
          <cell r="H27">
            <v>0</v>
          </cell>
          <cell r="I27">
            <v>5.1308383282751002E-3</v>
          </cell>
          <cell r="J27">
            <v>4.150156522898385E-2</v>
          </cell>
        </row>
        <row r="29">
          <cell r="B29" t="str">
            <v>Revenue</v>
          </cell>
          <cell r="D29">
            <v>918.71799999999996</v>
          </cell>
          <cell r="E29">
            <v>1026.5619999999999</v>
          </cell>
          <cell r="F29">
            <v>1061.0540000000001</v>
          </cell>
          <cell r="G29">
            <v>1061.0540000000001</v>
          </cell>
          <cell r="H29">
            <v>0</v>
          </cell>
          <cell r="I29">
            <v>3.3599529302662967E-2</v>
          </cell>
          <cell r="J29">
            <v>0.15492893357918325</v>
          </cell>
        </row>
        <row r="30">
          <cell r="B30" t="str">
            <v>Stock Options Exp</v>
          </cell>
          <cell r="D30">
            <v>0</v>
          </cell>
          <cell r="E30">
            <v>3.7</v>
          </cell>
          <cell r="F30">
            <v>3.2</v>
          </cell>
          <cell r="G30">
            <v>3.2</v>
          </cell>
          <cell r="H30">
            <v>0</v>
          </cell>
          <cell r="I30">
            <v>-0.13513513513513509</v>
          </cell>
          <cell r="J30" t="e">
            <v>#DIV/0!</v>
          </cell>
        </row>
        <row r="31">
          <cell r="B31" t="str">
            <v>EBITDA Adj. for Options Exp</v>
          </cell>
          <cell r="D31">
            <v>140.15200000000002</v>
          </cell>
          <cell r="E31">
            <v>162.15799999999976</v>
          </cell>
          <cell r="F31">
            <v>159.94400000000007</v>
          </cell>
          <cell r="G31">
            <v>125.76699999999995</v>
          </cell>
          <cell r="H31">
            <v>-0.21368103836342789</v>
          </cell>
          <cell r="I31">
            <v>-0.22441692670111779</v>
          </cell>
          <cell r="J31">
            <v>-0.10263856384496872</v>
          </cell>
        </row>
        <row r="32">
          <cell r="B32" t="str">
            <v>EBITDA</v>
          </cell>
          <cell r="D32">
            <v>140.15200000000002</v>
          </cell>
          <cell r="E32">
            <v>158.45799999999977</v>
          </cell>
          <cell r="F32">
            <v>156.74400000000009</v>
          </cell>
          <cell r="G32">
            <v>122.56699999999995</v>
          </cell>
          <cell r="H32">
            <v>-0.21804343387944747</v>
          </cell>
          <cell r="I32">
            <v>-0.22650165974579939</v>
          </cell>
          <cell r="J32">
            <v>-0.12547091728980009</v>
          </cell>
        </row>
        <row r="33">
          <cell r="B33" t="str">
            <v xml:space="preserve">Net Income </v>
          </cell>
          <cell r="D33">
            <v>46.499000000000009</v>
          </cell>
          <cell r="E33">
            <v>57.253999999999763</v>
          </cell>
          <cell r="F33">
            <v>52.369000000000078</v>
          </cell>
          <cell r="G33">
            <v>52.369000000000078</v>
          </cell>
          <cell r="H33">
            <v>0</v>
          </cell>
          <cell r="I33">
            <v>-8.5321549586049983E-2</v>
          </cell>
          <cell r="J33">
            <v>0.12623927396288237</v>
          </cell>
        </row>
        <row r="34">
          <cell r="B34" t="str">
            <v>EPS</v>
          </cell>
          <cell r="D34">
            <v>0.49016938459086784</v>
          </cell>
          <cell r="E34">
            <v>0.58435420012434225</v>
          </cell>
          <cell r="F34">
            <v>0.54061112831630098</v>
          </cell>
          <cell r="G34">
            <v>0.54061112831630098</v>
          </cell>
          <cell r="H34">
            <v>0</v>
          </cell>
          <cell r="I34">
            <v>-7.4857118848009274E-2</v>
          </cell>
          <cell r="J34">
            <v>0.10290676103228202</v>
          </cell>
        </row>
        <row r="35">
          <cell r="B35" t="str">
            <v>EPS Adj. for Options Exp</v>
          </cell>
          <cell r="D35">
            <v>0.4335695595791636</v>
          </cell>
          <cell r="E35">
            <v>0.60615486495159665</v>
          </cell>
          <cell r="F35">
            <v>0.56385215185299964</v>
          </cell>
          <cell r="G35">
            <v>0.56385215185299964</v>
          </cell>
          <cell r="H35">
            <v>0</v>
          </cell>
          <cell r="I35">
            <v>-6.9788622585706728E-2</v>
          </cell>
          <cell r="J35">
            <v>0.30048832856322405</v>
          </cell>
        </row>
        <row r="36">
          <cell r="B36" t="str">
            <v>Shares O/S</v>
          </cell>
          <cell r="D36">
            <v>99.328929000000002</v>
          </cell>
          <cell r="E36">
            <v>98.209271000000001</v>
          </cell>
          <cell r="F36">
            <v>96.87</v>
          </cell>
          <cell r="G36">
            <v>96.87</v>
          </cell>
          <cell r="H36">
            <v>0</v>
          </cell>
          <cell r="I36">
            <v>-1.3636910103935085E-2</v>
          </cell>
          <cell r="J36">
            <v>-2.4755416420527365E-2</v>
          </cell>
        </row>
        <row r="38">
          <cell r="B38" t="str">
            <v>Cash Flow from Operations</v>
          </cell>
          <cell r="D38">
            <v>127.6867</v>
          </cell>
          <cell r="E38">
            <v>90.813999999999766</v>
          </cell>
          <cell r="F38">
            <v>116.23200000000008</v>
          </cell>
          <cell r="G38">
            <v>116.23200000000008</v>
          </cell>
          <cell r="H38">
            <v>0</v>
          </cell>
          <cell r="I38">
            <v>0.27989076574096927</v>
          </cell>
          <cell r="J38">
            <v>-8.9709421576404713E-2</v>
          </cell>
        </row>
        <row r="39">
          <cell r="B39" t="str">
            <v>Acquisitions, Net</v>
          </cell>
          <cell r="D39">
            <v>-20.959000000000003</v>
          </cell>
          <cell r="E39">
            <v>-17.448</v>
          </cell>
          <cell r="F39">
            <v>-160.56699999999998</v>
          </cell>
          <cell r="G39">
            <v>-160.56699999999998</v>
          </cell>
          <cell r="H39">
            <v>0</v>
          </cell>
          <cell r="I39">
            <v>8.2026020174231995</v>
          </cell>
          <cell r="J39">
            <v>6.6610048189321986</v>
          </cell>
        </row>
        <row r="40">
          <cell r="B40" t="str">
            <v>Capital Expenditures</v>
          </cell>
          <cell r="D40">
            <v>-43.569000000000003</v>
          </cell>
          <cell r="E40">
            <v>-39.704000000000001</v>
          </cell>
          <cell r="F40">
            <v>-54.49</v>
          </cell>
          <cell r="G40">
            <v>-54.49</v>
          </cell>
          <cell r="H40">
            <v>0</v>
          </cell>
          <cell r="I40">
            <v>0.37240580294176917</v>
          </cell>
          <cell r="J40">
            <v>0.25065987284537172</v>
          </cell>
        </row>
        <row r="41">
          <cell r="B41" t="str">
            <v>Stock Repurchases</v>
          </cell>
          <cell r="D41">
            <v>0</v>
          </cell>
          <cell r="E41">
            <v>0</v>
          </cell>
          <cell r="F41">
            <v>0</v>
          </cell>
          <cell r="G41">
            <v>0</v>
          </cell>
          <cell r="H41" t="e">
            <v>#DIV/0!</v>
          </cell>
          <cell r="I41" t="e">
            <v>#DIV/0!</v>
          </cell>
          <cell r="J41" t="e">
            <v>#DIV/0!</v>
          </cell>
        </row>
        <row r="42">
          <cell r="H42" t="str">
            <v xml:space="preserve"> </v>
          </cell>
        </row>
        <row r="43">
          <cell r="B43" t="str">
            <v>Ratios (bps)</v>
          </cell>
        </row>
        <row r="44">
          <cell r="B44" t="str">
            <v>Adj. Admissions % Chg.</v>
          </cell>
          <cell r="D44">
            <v>1.2999999999999999E-2</v>
          </cell>
          <cell r="E44">
            <v>-8.9999999999999993E-3</v>
          </cell>
          <cell r="F44">
            <v>5.0000000000000001E-3</v>
          </cell>
          <cell r="G44">
            <v>5.0000000000000001E-3</v>
          </cell>
          <cell r="H44" t="str">
            <v>flat</v>
          </cell>
          <cell r="I44">
            <v>140</v>
          </cell>
          <cell r="J44">
            <v>-80</v>
          </cell>
        </row>
        <row r="45">
          <cell r="B45" t="str">
            <v>Rev. per Adj. Admit % Chg.</v>
          </cell>
          <cell r="D45">
            <v>7.8639102395637206E-2</v>
          </cell>
          <cell r="E45">
            <v>7.8136443415345092E-2</v>
          </cell>
          <cell r="F45">
            <v>7.1755955635447011E-2</v>
          </cell>
          <cell r="G45">
            <v>7.1755955635447011E-2</v>
          </cell>
          <cell r="H45" t="str">
            <v>flat</v>
          </cell>
          <cell r="I45">
            <v>-60</v>
          </cell>
          <cell r="J45">
            <v>-70</v>
          </cell>
        </row>
        <row r="46">
          <cell r="B46" t="str">
            <v xml:space="preserve">SG&amp;A </v>
          </cell>
          <cell r="H46" t="str">
            <v>flat</v>
          </cell>
          <cell r="I46" t="str">
            <v>flat</v>
          </cell>
          <cell r="J46" t="str">
            <v>flat</v>
          </cell>
        </row>
        <row r="47">
          <cell r="B47" t="str">
            <v>Bad Debt</v>
          </cell>
          <cell r="H47" t="str">
            <v>flat</v>
          </cell>
          <cell r="I47" t="str">
            <v>flat</v>
          </cell>
          <cell r="J47" t="str">
            <v>flat</v>
          </cell>
        </row>
        <row r="48">
          <cell r="B48" t="str">
            <v>EBITDA Adj. for Options Exp</v>
          </cell>
          <cell r="D48">
            <v>0.15255170792343245</v>
          </cell>
          <cell r="E48">
            <v>0.15796220783547391</v>
          </cell>
          <cell r="F48">
            <v>0.15074067860825185</v>
          </cell>
          <cell r="G48">
            <v>0.15074067860825185</v>
          </cell>
          <cell r="H48" t="str">
            <v>flat</v>
          </cell>
          <cell r="I48">
            <v>-70</v>
          </cell>
          <cell r="J48">
            <v>-20</v>
          </cell>
        </row>
        <row r="49">
          <cell r="B49" t="str">
            <v>Tax Rate</v>
          </cell>
          <cell r="D49">
            <v>0.38727615332920445</v>
          </cell>
          <cell r="E49">
            <v>0.38799811869334799</v>
          </cell>
          <cell r="F49">
            <v>0.38559998122858846</v>
          </cell>
          <cell r="G49">
            <v>0.38559998122858846</v>
          </cell>
          <cell r="H49" t="str">
            <v>flat</v>
          </cell>
          <cell r="I49">
            <v>-20</v>
          </cell>
          <cell r="J49">
            <v>-10</v>
          </cell>
        </row>
        <row r="51">
          <cell r="B51" t="str">
            <v>Note: Excludes charges, asset impairments and unusual items.  Please see earnings model for a reconciliation with GAAP reported earnings.</v>
          </cell>
        </row>
        <row r="52">
          <cell r="B52" t="str">
            <v>Source: Company data</v>
          </cell>
        </row>
        <row r="53">
          <cell r="B53" t="str">
            <v>E: Morgan Stanley Research estimates</v>
          </cell>
        </row>
        <row r="55">
          <cell r="B55" t="str">
            <v>What Happened in 1Q06</v>
          </cell>
        </row>
        <row r="56">
          <cell r="B56" t="str">
            <v>* Reported 3Q05 EPS was $0.67 per share, $0.03 above our and consensus projection. EBITDA came in $3.5 million above our projection, worth about $0.02 per share, driven by better than expected commercial MLR (by 70 bp).</v>
          </cell>
        </row>
        <row r="57">
          <cell r="B57" t="str">
            <v xml:space="preserve">* SG&amp;A ratio was in line with our projection and improved 110 bp year over year and 30 bp sequentially. </v>
          </cell>
        </row>
        <row r="58">
          <cell r="B58" t="str">
            <v>* Calculated comm premium yield of 11.2% beat our projection by 100 bp, improving 170 bp year over year. Calculated cost trend was 8.9%, down 80 bp sequentially.</v>
          </cell>
        </row>
        <row r="59">
          <cell r="B59" t="str">
            <v>* Calculated commercial MLR came in 70 bp better than projected, worth $0.06 per share, and 180 bp sequentially.</v>
          </cell>
        </row>
        <row r="60">
          <cell r="B60" t="str">
            <v xml:space="preserve">* Medicare enrollment increased 1% sequentially, but is flat from 3Q04. Commercial at risk dropped by 2.7% over the same period and is down 8.5% year to date. </v>
          </cell>
        </row>
        <row r="61">
          <cell r="B61" t="str">
            <v>* Calculated TRICARE revenue beat our expectation by $47 million, however earnings were balanced by higher than projected MLR that was 60 bp worse than projected.</v>
          </cell>
        </row>
        <row r="62">
          <cell r="B62" t="str">
            <v>* CFO was $175 million, including receiving an early $120 million CMS payment and paying out $37 million in provider settlement charges. Excluding these items, CFO was 1.1 times net income plus D&amp;A. DCP, excluding provider settlement reserves and capitati</v>
          </cell>
        </row>
        <row r="64">
          <cell r="B64" t="str">
            <v>Key Issues This Quarter</v>
          </cell>
        </row>
        <row r="65">
          <cell r="B65" t="str">
            <v>* Progress in settling bid price and equitable adjustments from the TRICARE 2004 option year. We project this could result in $0.11-0.16 EPS upside in 2006.</v>
          </cell>
        </row>
        <row r="66">
          <cell r="B66" t="str">
            <v>* Update on Medicare PDP enrollment, profitability and revenue targets. Guidance at the Dec investor day seemed to indicate PMPM revenue of about $150 versus our projection of $90-100 PMPM.</v>
          </cell>
        </row>
        <row r="67">
          <cell r="B67" t="str">
            <v>* Continued industry leading commercial yield and further evidence of medical trend deceleration entering 2006. Confirmation that provider contract renegotiations are coming within the targeted ranges should help suppress medical trend in 2006. We would a</v>
          </cell>
        </row>
        <row r="68">
          <cell r="B68" t="str">
            <v xml:space="preserve">* Strategy to grow Medicare Advantage in 2006, which we view as a secular growth opportunity. We are projecting 22,000 additions in 2006 versus guidance of 25,000. Health Net grew its MA book by about 1,000 lives in all of 2005, according to CMS data. </v>
          </cell>
        </row>
        <row r="69">
          <cell r="B69" t="str">
            <v xml:space="preserve">* Update on the realization of a portion of $50 million in prior period positive development still on the balance sheet, worth up to $0.27 EPS in 2006. </v>
          </cell>
        </row>
        <row r="70">
          <cell r="B70" t="str">
            <v>* Details on the profitability of the acquisition of Universal Care's health plan assets. We expect $0.05-$0.10 per share in 2006 EPS, not in our current projections.</v>
          </cell>
        </row>
        <row r="71">
          <cell r="B71" t="str">
            <v xml:space="preserve">* Commentary on consumer directed health plan capabilities and an update on enrollment in CDHP products, including HSAs. We expect CA, their largest market, to lag the market given the low price point and rich benefits of HMOs in the state. </v>
          </cell>
        </row>
      </sheetData>
      <sheetData sheetId="10" refreshError="1">
        <row r="1">
          <cell r="A1" t="str">
            <v>$ in mm (except per share and admission data)</v>
          </cell>
          <cell r="B1" t="str">
            <v>2Q04A</v>
          </cell>
          <cell r="C1" t="str">
            <v>3Q04A*</v>
          </cell>
          <cell r="D1" t="str">
            <v>4Q04A</v>
          </cell>
          <cell r="E1" t="str">
            <v>1Q05A</v>
          </cell>
          <cell r="F1" t="str">
            <v>2Q05A</v>
          </cell>
          <cell r="G1" t="str">
            <v>3Q05A</v>
          </cell>
          <cell r="H1" t="str">
            <v>4Q05A</v>
          </cell>
          <cell r="I1" t="str">
            <v>4Q05E</v>
          </cell>
          <cell r="K1" t="str">
            <v>Comments</v>
          </cell>
        </row>
        <row r="2">
          <cell r="A2" t="str">
            <v>Revenue Model</v>
          </cell>
        </row>
        <row r="3">
          <cell r="A3" t="str">
            <v>Number of Hospitals (EOP)</v>
          </cell>
          <cell r="B3">
            <v>64</v>
          </cell>
          <cell r="C3">
            <v>66</v>
          </cell>
          <cell r="D3">
            <v>66</v>
          </cell>
          <cell r="E3">
            <v>67</v>
          </cell>
          <cell r="F3">
            <v>67</v>
          </cell>
          <cell r="G3">
            <v>68</v>
          </cell>
          <cell r="H3">
            <v>70</v>
          </cell>
          <cell r="I3">
            <v>70</v>
          </cell>
          <cell r="K3" t="str">
            <v xml:space="preserve">New hospitals: Sunbury (123 beds); Bradley Memorial (251 beds); and </v>
          </cell>
        </row>
        <row r="4">
          <cell r="A4" t="str">
            <v>Beds in Service (EOP)</v>
          </cell>
          <cell r="B4">
            <v>5716</v>
          </cell>
          <cell r="C4">
            <v>6054</v>
          </cell>
          <cell r="D4">
            <v>5960</v>
          </cell>
          <cell r="E4">
            <v>6175</v>
          </cell>
          <cell r="F4">
            <v>6187</v>
          </cell>
          <cell r="G4">
            <v>6239</v>
          </cell>
          <cell r="H4">
            <v>6476</v>
          </cell>
          <cell r="I4">
            <v>6510</v>
          </cell>
          <cell r="K4" t="str">
            <v>Newport Clinic (83 beds and combined with existing hospital)</v>
          </cell>
        </row>
        <row r="7">
          <cell r="A7" t="str">
            <v>Adjusted Admissions</v>
          </cell>
          <cell r="B7">
            <v>120287</v>
          </cell>
          <cell r="C7">
            <v>125047</v>
          </cell>
          <cell r="D7">
            <v>125513</v>
          </cell>
          <cell r="E7">
            <v>134513</v>
          </cell>
          <cell r="F7">
            <v>132764</v>
          </cell>
          <cell r="G7">
            <v>134952</v>
          </cell>
          <cell r="H7">
            <v>136195</v>
          </cell>
          <cell r="I7">
            <v>139124.48413500001</v>
          </cell>
        </row>
        <row r="8">
          <cell r="A8" t="str">
            <v>% Change (same-store)</v>
          </cell>
          <cell r="B8">
            <v>3.5999999999999997E-2</v>
          </cell>
          <cell r="C8">
            <v>0.01</v>
          </cell>
          <cell r="D8">
            <v>-1.3139378607004537E-2</v>
          </cell>
          <cell r="E8">
            <v>2.8000000000000001E-2</v>
          </cell>
          <cell r="F8">
            <v>1.2999999999999999E-2</v>
          </cell>
          <cell r="G8">
            <v>2.601421865378617E-2</v>
          </cell>
          <cell r="H8">
            <v>5.0000000000000001E-3</v>
          </cell>
          <cell r="I8" t="str">
            <v>2.0-3.0%</v>
          </cell>
          <cell r="K8" t="str">
            <v>Attributed to planned closure of certain services.</v>
          </cell>
        </row>
        <row r="9">
          <cell r="A9" t="str">
            <v>Revenue Per Adj. Admission</v>
          </cell>
          <cell r="B9">
            <v>6410.568058061137</v>
          </cell>
          <cell r="C9">
            <v>6492.0789783041573</v>
          </cell>
          <cell r="D9">
            <v>6697.513404985938</v>
          </cell>
          <cell r="E9">
            <v>6752.2321262628893</v>
          </cell>
          <cell r="F9">
            <v>6919.9331143984818</v>
          </cell>
          <cell r="G9">
            <v>6885.9224020392439</v>
          </cell>
          <cell r="H9">
            <v>7210.7639781196076</v>
          </cell>
          <cell r="I9">
            <v>6991.6218610061496</v>
          </cell>
        </row>
        <row r="10">
          <cell r="A10" t="str">
            <v xml:space="preserve">% Change (same-store) </v>
          </cell>
          <cell r="B10">
            <v>3.3282233331021649E-2</v>
          </cell>
          <cell r="C10">
            <v>5.0120415628797543E-2</v>
          </cell>
          <cell r="D10">
            <v>6.7299535009470279E-2</v>
          </cell>
          <cell r="E10">
            <v>5.4603307396140277E-2</v>
          </cell>
          <cell r="F10">
            <v>7.8639102395637206E-2</v>
          </cell>
          <cell r="G10">
            <v>5.8523983984885453E-2</v>
          </cell>
          <cell r="H10">
            <v>8.6505590478168859E-2</v>
          </cell>
          <cell r="I10" t="str">
            <v>4.5-5.5%</v>
          </cell>
          <cell r="K10" t="str">
            <v>Favorable mix, stronger Medicare pricing than expected.</v>
          </cell>
        </row>
        <row r="12">
          <cell r="A12" t="str">
            <v>Income Statement</v>
          </cell>
        </row>
        <row r="13">
          <cell r="A13" t="str">
            <v>Revenue</v>
          </cell>
          <cell r="B13">
            <v>771.10799999999995</v>
          </cell>
          <cell r="C13">
            <v>811.81500000000005</v>
          </cell>
          <cell r="D13">
            <v>840.625</v>
          </cell>
          <cell r="E13">
            <v>908.26300000000003</v>
          </cell>
          <cell r="F13">
            <v>918.71799999999996</v>
          </cell>
          <cell r="G13">
            <v>929.26900000000001</v>
          </cell>
          <cell r="H13">
            <v>982.07</v>
          </cell>
          <cell r="I13">
            <v>985.70578467946928</v>
          </cell>
        </row>
        <row r="14">
          <cell r="A14" t="str">
            <v>% Change (y/y)</v>
          </cell>
          <cell r="B14">
            <v>0.17315717647989537</v>
          </cell>
          <cell r="C14">
            <v>0.13907452956866662</v>
          </cell>
          <cell r="D14">
            <v>6.9709764278915287E-2</v>
          </cell>
          <cell r="E14">
            <v>0.16450095453735392</v>
          </cell>
          <cell r="F14">
            <v>0.19142584436940102</v>
          </cell>
          <cell r="G14">
            <v>0.14468074622912841</v>
          </cell>
          <cell r="H14">
            <v>0.16826171003717483</v>
          </cell>
          <cell r="I14">
            <v>0.13082059978853233</v>
          </cell>
        </row>
        <row r="15">
          <cell r="A15" t="str">
            <v>Salaries and Benefits</v>
          </cell>
          <cell r="B15">
            <v>309.06200000000001</v>
          </cell>
          <cell r="C15">
            <v>324.44299999999998</v>
          </cell>
          <cell r="D15">
            <v>333.76400000000001</v>
          </cell>
          <cell r="E15">
            <v>359.733</v>
          </cell>
          <cell r="F15">
            <v>365.09699999999998</v>
          </cell>
          <cell r="G15">
            <v>371.88099999999997</v>
          </cell>
          <cell r="H15">
            <v>389.19600000000003</v>
          </cell>
          <cell r="I15">
            <v>393.29660808710827</v>
          </cell>
        </row>
        <row r="16">
          <cell r="A16" t="str">
            <v>% of Revenue</v>
          </cell>
          <cell r="B16">
            <v>0.40080248162384519</v>
          </cell>
          <cell r="C16">
            <v>0.39965139840973618</v>
          </cell>
          <cell r="D16">
            <v>0.39704267657992565</v>
          </cell>
          <cell r="E16">
            <v>0.39606699821527463</v>
          </cell>
          <cell r="F16">
            <v>0.39739833115275852</v>
          </cell>
          <cell r="G16">
            <v>0.40018659828316661</v>
          </cell>
          <cell r="H16">
            <v>0.39630168928895088</v>
          </cell>
          <cell r="I16">
            <v>0.39900000000000002</v>
          </cell>
        </row>
        <row r="17">
          <cell r="A17" t="str">
            <v>Provision for Bad Debt</v>
          </cell>
          <cell r="B17">
            <v>76.296000000000006</v>
          </cell>
          <cell r="C17">
            <v>83.52</v>
          </cell>
          <cell r="D17">
            <v>84.906000000000006</v>
          </cell>
          <cell r="E17">
            <v>93.051000000000002</v>
          </cell>
          <cell r="F17">
            <v>91.581999999999994</v>
          </cell>
          <cell r="G17">
            <v>92.98</v>
          </cell>
          <cell r="H17">
            <v>99.983000000000004</v>
          </cell>
          <cell r="I17">
            <v>99.556284252626398</v>
          </cell>
        </row>
        <row r="18">
          <cell r="A18" t="str">
            <v>% of Revenue</v>
          </cell>
          <cell r="B18">
            <v>9.8943338676294387E-2</v>
          </cell>
          <cell r="C18">
            <v>0.1028805823986992</v>
          </cell>
          <cell r="D18">
            <v>0.10100342007434945</v>
          </cell>
          <cell r="E18">
            <v>0.10244940066918944</v>
          </cell>
          <cell r="F18">
            <v>9.9684560441833076E-2</v>
          </cell>
          <cell r="G18">
            <v>0.10005714168878979</v>
          </cell>
          <cell r="H18">
            <v>0.10180842506135</v>
          </cell>
          <cell r="I18">
            <v>0.10100000000000001</v>
          </cell>
        </row>
        <row r="19">
          <cell r="A19" t="str">
            <v>Supplies</v>
          </cell>
          <cell r="B19">
            <v>92.241</v>
          </cell>
          <cell r="C19">
            <v>100.13500000000001</v>
          </cell>
          <cell r="D19">
            <v>102.80800000000001</v>
          </cell>
          <cell r="E19">
            <v>112.65600000000001</v>
          </cell>
          <cell r="F19">
            <v>110.429</v>
          </cell>
          <cell r="G19">
            <v>110.48099999999999</v>
          </cell>
          <cell r="H19">
            <v>114.64400000000001</v>
          </cell>
          <cell r="I19">
            <v>117.79184126919657</v>
          </cell>
        </row>
        <row r="20">
          <cell r="A20" t="str">
            <v>% of Revenue</v>
          </cell>
          <cell r="B20">
            <v>0.11962137599402418</v>
          </cell>
          <cell r="C20">
            <v>0.12334706798962818</v>
          </cell>
          <cell r="D20">
            <v>0.12229947955390336</v>
          </cell>
          <cell r="E20">
            <v>0.12403455827221851</v>
          </cell>
          <cell r="F20">
            <v>0.12019901645553914</v>
          </cell>
          <cell r="G20">
            <v>0.11889022446675827</v>
          </cell>
          <cell r="H20">
            <v>0.11673709613367683</v>
          </cell>
          <cell r="I20">
            <v>0.1195</v>
          </cell>
        </row>
        <row r="21">
          <cell r="A21" t="str">
            <v>Other Operating Expenses</v>
          </cell>
          <cell r="B21">
            <v>154.57299999999998</v>
          </cell>
          <cell r="C21">
            <v>162.21299999999999</v>
          </cell>
          <cell r="D21">
            <v>167.37700000000001</v>
          </cell>
          <cell r="E21">
            <v>178.06399999999999</v>
          </cell>
          <cell r="F21">
            <v>189.446</v>
          </cell>
          <cell r="G21">
            <v>194.102</v>
          </cell>
          <cell r="H21">
            <v>204.078</v>
          </cell>
          <cell r="I21">
            <v>203.05539164397067</v>
          </cell>
        </row>
        <row r="22">
          <cell r="A22" t="str">
            <v>% of Revenue</v>
          </cell>
          <cell r="B22">
            <v>0.2004557078904641</v>
          </cell>
          <cell r="C22">
            <v>0.19981522883908279</v>
          </cell>
          <cell r="D22">
            <v>0.19911018587360596</v>
          </cell>
          <cell r="E22">
            <v>0.19604894177127108</v>
          </cell>
          <cell r="F22">
            <v>0.20620691006380631</v>
          </cell>
          <cell r="G22">
            <v>0.20887600899201417</v>
          </cell>
          <cell r="H22">
            <v>0.20780392436384371</v>
          </cell>
          <cell r="I22">
            <v>0.20599999999999999</v>
          </cell>
        </row>
        <row r="23">
          <cell r="A23" t="str">
            <v>Rent (estimated)</v>
          </cell>
          <cell r="B23">
            <v>20.11</v>
          </cell>
          <cell r="C23">
            <v>20.951000000000001</v>
          </cell>
          <cell r="D23">
            <v>21.2</v>
          </cell>
          <cell r="E23">
            <v>20.477</v>
          </cell>
          <cell r="F23">
            <v>22.012</v>
          </cell>
          <cell r="G23">
            <v>22.327999999999999</v>
          </cell>
          <cell r="H23">
            <v>22.4</v>
          </cell>
          <cell r="I23">
            <v>22.5</v>
          </cell>
        </row>
        <row r="24">
          <cell r="A24" t="str">
            <v>% of Revenue</v>
          </cell>
          <cell r="B24">
            <v>2.6079355939764598E-2</v>
          </cell>
          <cell r="C24">
            <v>2.5807603949175612E-2</v>
          </cell>
          <cell r="D24">
            <v>2.5219330855018585E-2</v>
          </cell>
          <cell r="E24">
            <v>2.2545231942730243E-2</v>
          </cell>
          <cell r="F24">
            <v>2.3959473962630536E-2</v>
          </cell>
          <cell r="G24">
            <v>2.402748827304042E-2</v>
          </cell>
          <cell r="H24">
            <v>2.2808964737747815E-2</v>
          </cell>
          <cell r="I24">
            <v>2.2826283815831034E-2</v>
          </cell>
        </row>
        <row r="25">
          <cell r="A25" t="str">
            <v>EBITDA</v>
          </cell>
          <cell r="B25">
            <v>118.82599999999998</v>
          </cell>
          <cell r="C25">
            <v>120.55300000000011</v>
          </cell>
          <cell r="D25">
            <v>130.57</v>
          </cell>
          <cell r="E25">
            <v>143.78199999999998</v>
          </cell>
          <cell r="F25">
            <v>140.15200000000002</v>
          </cell>
          <cell r="G25">
            <v>137.49700000000001</v>
          </cell>
          <cell r="H25">
            <v>151.76900000000001</v>
          </cell>
          <cell r="I25">
            <v>149.50565942656749</v>
          </cell>
        </row>
        <row r="26">
          <cell r="A26" t="str">
            <v>EBITDA Margin</v>
          </cell>
          <cell r="B26">
            <v>0.15409773987560754</v>
          </cell>
          <cell r="C26">
            <v>0.14849811841367813</v>
          </cell>
          <cell r="D26">
            <v>0.15532490706319702</v>
          </cell>
          <cell r="E26">
            <v>0.15830436778774426</v>
          </cell>
          <cell r="F26">
            <v>0.15255170792343245</v>
          </cell>
          <cell r="G26">
            <v>0.14796253829623071</v>
          </cell>
          <cell r="H26">
            <v>0.15453990041443075</v>
          </cell>
          <cell r="I26">
            <v>0.15167371618416906</v>
          </cell>
        </row>
        <row r="27">
          <cell r="A27" t="str">
            <v>Diluted EPS from Cont. Ops</v>
          </cell>
          <cell r="B27">
            <v>0.37610311539160068</v>
          </cell>
          <cell r="C27">
            <v>0.37868857612474355</v>
          </cell>
          <cell r="D27">
            <v>0.46178063087083132</v>
          </cell>
          <cell r="E27">
            <v>0.5226783880601773</v>
          </cell>
          <cell r="F27">
            <v>0.49016938459086784</v>
          </cell>
          <cell r="G27">
            <v>0.46945584571635823</v>
          </cell>
          <cell r="H27">
            <v>0.5370620699468438</v>
          </cell>
          <cell r="I27">
            <v>0.52266843261200291</v>
          </cell>
          <cell r="K27" t="str">
            <v>Consensus was $0.51; co. guidance $0.47-0.51.</v>
          </cell>
        </row>
        <row r="28">
          <cell r="A28" t="str">
            <v>Diluted EPS as Reported</v>
          </cell>
          <cell r="B28">
            <v>0.37273612323771077</v>
          </cell>
          <cell r="C28">
            <v>0.31533432683500601</v>
          </cell>
          <cell r="D28">
            <v>0.43868698469994655</v>
          </cell>
          <cell r="E28">
            <v>0.38921535501625543</v>
          </cell>
          <cell r="F28">
            <v>0.4335695595791636</v>
          </cell>
          <cell r="G28">
            <v>0.45747967237411846</v>
          </cell>
          <cell r="H28">
            <v>0.50960981410523554</v>
          </cell>
          <cell r="I28">
            <v>0.52266843261200291</v>
          </cell>
        </row>
        <row r="29">
          <cell r="A29" t="str">
            <v>Shares Outstanding</v>
          </cell>
          <cell r="B29">
            <v>108.999363</v>
          </cell>
          <cell r="C29">
            <v>107.86963900000001</v>
          </cell>
          <cell r="D29">
            <v>97.516000000000005</v>
          </cell>
          <cell r="E29">
            <v>98.087085999999999</v>
          </cell>
          <cell r="F29">
            <v>99.328929000000002</v>
          </cell>
          <cell r="G29">
            <v>98.528968000000006</v>
          </cell>
          <cell r="H29">
            <v>98.388999999999996</v>
          </cell>
          <cell r="I29">
            <v>98.075086680704459</v>
          </cell>
        </row>
        <row r="31">
          <cell r="A31" t="str">
            <v>Cash Flow Statement</v>
          </cell>
        </row>
        <row r="32">
          <cell r="A32" t="str">
            <v>Cash Flow from Operations</v>
          </cell>
          <cell r="B32">
            <v>144.25399999999999</v>
          </cell>
          <cell r="C32">
            <v>57.188999999999979</v>
          </cell>
          <cell r="D32">
            <v>62.575999999999851</v>
          </cell>
          <cell r="E32">
            <v>148.70899999999997</v>
          </cell>
          <cell r="F32">
            <v>127.6867</v>
          </cell>
          <cell r="G32">
            <v>59.367000000000012</v>
          </cell>
          <cell r="H32">
            <v>75.286000000000016</v>
          </cell>
          <cell r="I32">
            <v>58.539468924322186</v>
          </cell>
        </row>
        <row r="33">
          <cell r="A33" t="str">
            <v>Purchases of PP&amp;E</v>
          </cell>
          <cell r="B33">
            <v>-43.246000000000002</v>
          </cell>
          <cell r="C33">
            <v>-42.05899999999999</v>
          </cell>
          <cell r="D33">
            <v>-39.083999999999996</v>
          </cell>
          <cell r="E33">
            <v>-33.165999999999997</v>
          </cell>
          <cell r="F33">
            <v>-43.569000000000003</v>
          </cell>
          <cell r="G33">
            <v>-53.935999999999993</v>
          </cell>
          <cell r="H33">
            <v>-57.694000000000031</v>
          </cell>
          <cell r="I33">
            <v>-54.74</v>
          </cell>
        </row>
        <row r="34">
          <cell r="A34" t="str">
            <v>Proceeds from Asset Sales</v>
          </cell>
          <cell r="B34">
            <v>0.13700000000000001</v>
          </cell>
          <cell r="C34">
            <v>7.9379999999999988</v>
          </cell>
          <cell r="D34">
            <v>-0.27399999999999913</v>
          </cell>
          <cell r="E34">
            <v>53.991999999999997</v>
          </cell>
          <cell r="F34">
            <v>2.4000000000000021E-2</v>
          </cell>
          <cell r="G34">
            <v>-2.0179999999999993</v>
          </cell>
          <cell r="H34">
            <v>2.3250000000000006</v>
          </cell>
          <cell r="I34">
            <v>0</v>
          </cell>
        </row>
        <row r="35">
          <cell r="A35" t="str">
            <v>Acquisitions of Facilities</v>
          </cell>
          <cell r="B35">
            <v>-1.3039999999999998</v>
          </cell>
          <cell r="C35">
            <v>-126.52499999999999</v>
          </cell>
          <cell r="D35">
            <v>-1.2179999999999951</v>
          </cell>
          <cell r="E35">
            <v>-24.853999999999999</v>
          </cell>
          <cell r="F35">
            <v>-20.959000000000003</v>
          </cell>
          <cell r="G35">
            <v>-15.14</v>
          </cell>
          <cell r="H35">
            <v>-97.425999999999974</v>
          </cell>
          <cell r="I35">
            <v>-96.9</v>
          </cell>
          <cell r="K35" t="str">
            <v>Three new hospitals.</v>
          </cell>
        </row>
        <row r="36">
          <cell r="A36" t="str">
            <v>Net Borrowings</v>
          </cell>
          <cell r="B36">
            <v>-89.542999999999992</v>
          </cell>
          <cell r="C36">
            <v>407.16499999999996</v>
          </cell>
          <cell r="D36">
            <v>-249.36199999999997</v>
          </cell>
          <cell r="E36">
            <v>-13.025</v>
          </cell>
          <cell r="F36">
            <v>-6.6760000000000002</v>
          </cell>
          <cell r="G36">
            <v>-3.5640000000000001</v>
          </cell>
          <cell r="H36">
            <v>-3.2739999999999991</v>
          </cell>
          <cell r="I36">
            <v>-0.28800000000001091</v>
          </cell>
        </row>
        <row r="37">
          <cell r="A37" t="str">
            <v>Common Stock Repurchased</v>
          </cell>
          <cell r="B37">
            <v>0</v>
          </cell>
          <cell r="C37">
            <v>-290.48099999999999</v>
          </cell>
          <cell r="D37">
            <v>-3.8999999999987267E-2</v>
          </cell>
          <cell r="E37">
            <v>-4.3899999999999997</v>
          </cell>
          <cell r="F37">
            <v>-6.8240000000000007</v>
          </cell>
          <cell r="G37">
            <v>-68.638999999999996</v>
          </cell>
          <cell r="H37">
            <v>0</v>
          </cell>
          <cell r="I37">
            <v>0</v>
          </cell>
        </row>
      </sheetData>
      <sheetData sheetId="11"/>
      <sheetData sheetId="12"/>
      <sheetData sheetId="13"/>
      <sheetData sheetId="14"/>
      <sheetData sheetId="15"/>
      <sheetData sheetId="16" refreshError="1">
        <row r="1">
          <cell r="A1" t="str">
            <v>Community Health Systems</v>
          </cell>
        </row>
        <row r="2">
          <cell r="A2" t="str">
            <v>ROIC Analysis - NOPAT Adjustments</v>
          </cell>
        </row>
        <row r="3">
          <cell r="K3" t="str">
            <v>F</v>
          </cell>
          <cell r="L3" t="str">
            <v>K</v>
          </cell>
          <cell r="M3" t="str">
            <v>Q</v>
          </cell>
          <cell r="N3" t="str">
            <v>V</v>
          </cell>
          <cell r="O3" t="str">
            <v>AB</v>
          </cell>
          <cell r="P3" t="str">
            <v>AH</v>
          </cell>
          <cell r="Q3" t="str">
            <v>AJ</v>
          </cell>
          <cell r="R3" t="str">
            <v>AK</v>
          </cell>
          <cell r="S3" t="str">
            <v>AL</v>
          </cell>
          <cell r="T3" t="str">
            <v>AM</v>
          </cell>
        </row>
        <row r="4">
          <cell r="A4" t="str">
            <v xml:space="preserve">December Year End </v>
          </cell>
        </row>
        <row r="5">
          <cell r="A5" t="str">
            <v>$ in millions except as noted</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t="str">
            <v>2003E</v>
          </cell>
          <cell r="Q5" t="str">
            <v>2004E</v>
          </cell>
          <cell r="R5" t="str">
            <v>2005E</v>
          </cell>
          <cell r="S5" t="str">
            <v>2006E</v>
          </cell>
          <cell r="T5" t="str">
            <v>2007E</v>
          </cell>
        </row>
        <row r="6">
          <cell r="A6" t="str">
            <v>NET OPERATING ASSETS (NOA)</v>
          </cell>
        </row>
        <row r="7">
          <cell r="A7" t="str">
            <v>Accounts receivable, net</v>
          </cell>
          <cell r="K7">
            <v>148.797</v>
          </cell>
          <cell r="L7">
            <v>226.35</v>
          </cell>
          <cell r="M7">
            <v>309.82600000000002</v>
          </cell>
          <cell r="N7">
            <v>370.05200000000002</v>
          </cell>
          <cell r="O7">
            <v>400.44200000000001</v>
          </cell>
          <cell r="P7">
            <v>559.09699999999998</v>
          </cell>
          <cell r="Q7">
            <v>597.26099999999997</v>
          </cell>
          <cell r="R7">
            <v>656.029</v>
          </cell>
          <cell r="S7">
            <v>745.30211787958126</v>
          </cell>
          <cell r="T7">
            <v>791.94411490301934</v>
          </cell>
        </row>
        <row r="8">
          <cell r="A8" t="str">
            <v>Supplies</v>
          </cell>
          <cell r="K8">
            <v>26.036999999999999</v>
          </cell>
          <cell r="L8">
            <v>32.134</v>
          </cell>
          <cell r="M8">
            <v>39.679000000000002</v>
          </cell>
          <cell r="N8">
            <v>47.466000000000001</v>
          </cell>
          <cell r="O8">
            <v>60.456000000000003</v>
          </cell>
          <cell r="P8">
            <v>77.418000000000006</v>
          </cell>
          <cell r="Q8">
            <v>88.266999999999996</v>
          </cell>
          <cell r="R8">
            <v>95.2</v>
          </cell>
          <cell r="S8">
            <v>103.85357380289246</v>
          </cell>
          <cell r="T8">
            <v>113.74856179388246</v>
          </cell>
        </row>
        <row r="9">
          <cell r="A9" t="str">
            <v>Prepaid expenses</v>
          </cell>
          <cell r="K9">
            <v>7.5640000000000001</v>
          </cell>
          <cell r="L9">
            <v>9.8460000000000001</v>
          </cell>
          <cell r="M9">
            <v>19.989000000000001</v>
          </cell>
          <cell r="N9">
            <v>14.846</v>
          </cell>
          <cell r="O9">
            <v>22.106999999999999</v>
          </cell>
          <cell r="P9">
            <v>24.314</v>
          </cell>
          <cell r="Q9">
            <v>30.483000000000001</v>
          </cell>
          <cell r="R9">
            <v>33.377000000000002</v>
          </cell>
          <cell r="S9">
            <v>39.342177370036914</v>
          </cell>
          <cell r="T9">
            <v>43.090631644270779</v>
          </cell>
        </row>
        <row r="10">
          <cell r="A10" t="str">
            <v>Deferred income taxes</v>
          </cell>
          <cell r="K10">
            <v>7.4560000000000004</v>
          </cell>
          <cell r="L10">
            <v>5.8620000000000001</v>
          </cell>
          <cell r="M10">
            <v>2.2330000000000001</v>
          </cell>
          <cell r="N10">
            <v>33.411000000000001</v>
          </cell>
          <cell r="O10">
            <v>15.683999999999999</v>
          </cell>
          <cell r="P10">
            <v>0</v>
          </cell>
          <cell r="Q10">
            <v>0</v>
          </cell>
          <cell r="R10">
            <v>4.1280000000000001</v>
          </cell>
          <cell r="S10">
            <v>4.1280000000000001</v>
          </cell>
          <cell r="T10">
            <v>4.1280000000000001</v>
          </cell>
        </row>
        <row r="11">
          <cell r="A11" t="str">
            <v>Other current assets</v>
          </cell>
          <cell r="K11">
            <v>13.683</v>
          </cell>
          <cell r="L11">
            <v>22.021999999999998</v>
          </cell>
          <cell r="M11">
            <v>23.11</v>
          </cell>
          <cell r="N11">
            <v>20.398</v>
          </cell>
          <cell r="O11">
            <v>16.193000000000001</v>
          </cell>
          <cell r="P11">
            <v>18.920000000000002</v>
          </cell>
          <cell r="Q11">
            <v>16.940000000000001</v>
          </cell>
          <cell r="R11">
            <v>21.367000000000001</v>
          </cell>
          <cell r="S11">
            <v>56.203110528624158</v>
          </cell>
          <cell r="T11">
            <v>61.558045206101106</v>
          </cell>
        </row>
        <row r="12">
          <cell r="A12" t="str">
            <v xml:space="preserve">  Total Current Assets</v>
          </cell>
          <cell r="K12">
            <v>203.53699999999998</v>
          </cell>
          <cell r="L12">
            <v>296.214</v>
          </cell>
          <cell r="M12">
            <v>394.83699999999999</v>
          </cell>
          <cell r="N12">
            <v>486.17300000000006</v>
          </cell>
          <cell r="O12">
            <v>514.88200000000006</v>
          </cell>
          <cell r="P12">
            <v>679.74899999999991</v>
          </cell>
          <cell r="Q12">
            <v>732.95100000000002</v>
          </cell>
          <cell r="R12">
            <v>810.101</v>
          </cell>
          <cell r="S12">
            <v>948.82897958113483</v>
          </cell>
          <cell r="T12">
            <v>1014.4693535472737</v>
          </cell>
        </row>
        <row r="14">
          <cell r="A14" t="str">
            <v xml:space="preserve">PP&amp;E, net of depreciation </v>
          </cell>
          <cell r="K14">
            <v>553.01499999999999</v>
          </cell>
          <cell r="L14">
            <v>623.34299999999996</v>
          </cell>
          <cell r="M14">
            <v>708.08100000000002</v>
          </cell>
          <cell r="N14">
            <v>866.53400000000011</v>
          </cell>
          <cell r="O14">
            <v>1029.337</v>
          </cell>
          <cell r="P14">
            <v>1395.345</v>
          </cell>
          <cell r="Q14">
            <v>1484.548</v>
          </cell>
          <cell r="R14">
            <v>1610.9910000000002</v>
          </cell>
          <cell r="S14">
            <v>1873.16848</v>
          </cell>
          <cell r="T14">
            <v>1993.9740234426231</v>
          </cell>
        </row>
        <row r="15">
          <cell r="A15" t="str">
            <v xml:space="preserve">Goodwill, net </v>
          </cell>
          <cell r="K15">
            <v>878.41600000000005</v>
          </cell>
          <cell r="L15">
            <v>877.89</v>
          </cell>
          <cell r="M15">
            <v>985.56799999999998</v>
          </cell>
          <cell r="N15">
            <v>1000.918</v>
          </cell>
          <cell r="O15">
            <v>1029.9749999999999</v>
          </cell>
          <cell r="P15">
            <v>1155.797</v>
          </cell>
          <cell r="Q15">
            <v>1213.7829999999999</v>
          </cell>
          <cell r="R15">
            <v>1259.816</v>
          </cell>
          <cell r="S15">
            <v>1376.9390000000001</v>
          </cell>
          <cell r="T15">
            <v>1445.1661200000001</v>
          </cell>
        </row>
        <row r="16">
          <cell r="A16" t="str">
            <v>Other assets, net</v>
          </cell>
          <cell r="K16">
            <v>85.474000000000004</v>
          </cell>
          <cell r="L16">
            <v>93.355000000000004</v>
          </cell>
          <cell r="M16">
            <v>111.611</v>
          </cell>
          <cell r="N16">
            <v>98.653000000000006</v>
          </cell>
          <cell r="O16">
            <v>102.458</v>
          </cell>
          <cell r="P16">
            <v>95.189000000000007</v>
          </cell>
          <cell r="Q16">
            <v>112.128</v>
          </cell>
          <cell r="R16">
            <v>141.602</v>
          </cell>
          <cell r="S16">
            <v>172.91000000000003</v>
          </cell>
          <cell r="T16">
            <v>189.96678000000003</v>
          </cell>
        </row>
        <row r="18">
          <cell r="A18" t="str">
            <v>Accounts payable</v>
          </cell>
          <cell r="K18">
            <v>63.843000000000004</v>
          </cell>
          <cell r="L18">
            <v>57.392000000000003</v>
          </cell>
          <cell r="M18">
            <v>83.191000000000003</v>
          </cell>
          <cell r="N18">
            <v>91.096000000000004</v>
          </cell>
          <cell r="O18">
            <v>111.67700000000001</v>
          </cell>
          <cell r="P18">
            <v>154.71100000000001</v>
          </cell>
          <cell r="Q18">
            <v>162.63800000000001</v>
          </cell>
          <cell r="R18">
            <v>189.94</v>
          </cell>
          <cell r="S18">
            <v>197.32179022549565</v>
          </cell>
          <cell r="T18">
            <v>216.06412783319809</v>
          </cell>
        </row>
        <row r="19">
          <cell r="A19" t="str">
            <v>Income taxes payable</v>
          </cell>
          <cell r="K19">
            <v>0</v>
          </cell>
          <cell r="L19">
            <v>0</v>
          </cell>
          <cell r="M19">
            <v>0</v>
          </cell>
          <cell r="N19">
            <v>2.3250000000000002</v>
          </cell>
          <cell r="O19">
            <v>6.5590000000000002</v>
          </cell>
          <cell r="P19">
            <v>9.7949999999999999</v>
          </cell>
          <cell r="Q19">
            <v>4.1079999999999997</v>
          </cell>
          <cell r="R19">
            <v>19.811</v>
          </cell>
          <cell r="S19">
            <v>50.289000000000001</v>
          </cell>
          <cell r="T19">
            <v>50.289000000000001</v>
          </cell>
        </row>
        <row r="20">
          <cell r="A20" t="str">
            <v>Compliance settlement payable</v>
          </cell>
          <cell r="K20">
            <v>20</v>
          </cell>
          <cell r="L20">
            <v>30.9</v>
          </cell>
          <cell r="M20">
            <v>0</v>
          </cell>
          <cell r="N20">
            <v>0</v>
          </cell>
          <cell r="O20">
            <v>0</v>
          </cell>
          <cell r="P20">
            <v>0</v>
          </cell>
          <cell r="Q20">
            <v>0</v>
          </cell>
          <cell r="R20">
            <v>0</v>
          </cell>
          <cell r="S20">
            <v>0</v>
          </cell>
          <cell r="T20">
            <v>0</v>
          </cell>
        </row>
        <row r="21">
          <cell r="A21" t="str">
            <v>Accrued employee compensation</v>
          </cell>
          <cell r="K21">
            <v>36.524000000000001</v>
          </cell>
          <cell r="L21">
            <v>49.345999999999997</v>
          </cell>
          <cell r="M21">
            <v>56.84</v>
          </cell>
          <cell r="N21">
            <v>73.328999999999994</v>
          </cell>
          <cell r="O21">
            <v>94.358999999999995</v>
          </cell>
          <cell r="P21">
            <v>115.47799999999999</v>
          </cell>
          <cell r="Q21">
            <v>98.364999999999995</v>
          </cell>
          <cell r="R21">
            <v>121.77500000000001</v>
          </cell>
          <cell r="S21">
            <v>116.31795755004056</v>
          </cell>
          <cell r="T21">
            <v>128.14144068800721</v>
          </cell>
        </row>
        <row r="22">
          <cell r="A22" t="str">
            <v>Other accruals (excl. interest)</v>
          </cell>
          <cell r="K22">
            <v>39.695</v>
          </cell>
          <cell r="L22">
            <v>51.158999999999999</v>
          </cell>
          <cell r="M22">
            <v>56.02</v>
          </cell>
          <cell r="N22">
            <v>67.45</v>
          </cell>
          <cell r="O22">
            <v>80.525000000000006</v>
          </cell>
          <cell r="P22">
            <v>80.844999999999999</v>
          </cell>
          <cell r="Q22">
            <v>62.688000000000002</v>
          </cell>
          <cell r="R22">
            <v>78.162000000000006</v>
          </cell>
          <cell r="S22">
            <v>154.38994462213054</v>
          </cell>
          <cell r="T22">
            <v>167.37012721953855</v>
          </cell>
        </row>
        <row r="23">
          <cell r="A23" t="str">
            <v xml:space="preserve">  Total Current Liab. (non-interest)</v>
          </cell>
          <cell r="K23">
            <v>160.06200000000001</v>
          </cell>
          <cell r="L23">
            <v>188.797</v>
          </cell>
          <cell r="M23">
            <v>196.05100000000002</v>
          </cell>
          <cell r="N23">
            <v>234.2</v>
          </cell>
          <cell r="O23">
            <v>293.12</v>
          </cell>
          <cell r="P23">
            <v>360.82899999999995</v>
          </cell>
          <cell r="Q23">
            <v>327.79899999999998</v>
          </cell>
          <cell r="R23">
            <v>409.68799999999999</v>
          </cell>
          <cell r="S23">
            <v>518.31869239766672</v>
          </cell>
          <cell r="T23">
            <v>561.86469574074385</v>
          </cell>
        </row>
        <row r="24">
          <cell r="A24" t="str">
            <v>Other non-current liabilities</v>
          </cell>
          <cell r="K24">
            <v>26.908000000000001</v>
          </cell>
          <cell r="L24">
            <v>22.495000000000001</v>
          </cell>
          <cell r="M24">
            <v>15.2</v>
          </cell>
          <cell r="N24">
            <v>65.343999999999994</v>
          </cell>
          <cell r="O24">
            <v>86.232000000000014</v>
          </cell>
          <cell r="P24">
            <v>140.077</v>
          </cell>
          <cell r="Q24">
            <v>208.48999999999998</v>
          </cell>
          <cell r="R24">
            <v>258.238</v>
          </cell>
          <cell r="S24">
            <v>260.99200000000002</v>
          </cell>
          <cell r="T24">
            <v>260.99200000000002</v>
          </cell>
        </row>
        <row r="25">
          <cell r="A25" t="str">
            <v>Reported NOA</v>
          </cell>
          <cell r="K25">
            <v>1533.4720000000002</v>
          </cell>
          <cell r="L25">
            <v>1679.51</v>
          </cell>
          <cell r="M25">
            <v>1988.8459999999998</v>
          </cell>
          <cell r="N25">
            <v>2152.7340000000004</v>
          </cell>
          <cell r="O25">
            <v>2297.3000000000002</v>
          </cell>
          <cell r="P25">
            <v>2825.1739999999991</v>
          </cell>
          <cell r="Q25">
            <v>3007.1210000000005</v>
          </cell>
          <cell r="R25">
            <v>3154.5840000000003</v>
          </cell>
          <cell r="S25">
            <v>3592.5357671834677</v>
          </cell>
          <cell r="T25">
            <v>3820.7195812491536</v>
          </cell>
        </row>
        <row r="27">
          <cell r="A27" t="str">
            <v>NOA Adjustments:</v>
          </cell>
        </row>
        <row r="28">
          <cell r="A28" t="str">
            <v xml:space="preserve">PV of noncapitalized leases </v>
          </cell>
          <cell r="K28">
            <v>63.094056060642139</v>
          </cell>
          <cell r="L28">
            <v>64.986877742461402</v>
          </cell>
          <cell r="M28">
            <v>129.8961896280147</v>
          </cell>
          <cell r="N28">
            <v>127.81460560008654</v>
          </cell>
          <cell r="O28">
            <v>152.25964641791353</v>
          </cell>
          <cell r="P28">
            <v>156.82743581045096</v>
          </cell>
          <cell r="Q28">
            <v>161.53225888476447</v>
          </cell>
          <cell r="R28">
            <v>166.37822665130744</v>
          </cell>
          <cell r="S28">
            <v>171.36957345084667</v>
          </cell>
          <cell r="T28">
            <v>176.51066065437209</v>
          </cell>
        </row>
        <row r="29">
          <cell r="A29" t="str">
            <v xml:space="preserve">Accumulated goodwill amortization </v>
          </cell>
          <cell r="K29">
            <v>73.058000000000007</v>
          </cell>
          <cell r="L29">
            <v>97.766000000000005</v>
          </cell>
          <cell r="M29">
            <v>123.459</v>
          </cell>
          <cell r="N29">
            <v>151.05199999999999</v>
          </cell>
          <cell r="O29">
            <v>151.05199999999999</v>
          </cell>
          <cell r="P29">
            <v>151.05199999999999</v>
          </cell>
          <cell r="Q29">
            <v>151.05199999999999</v>
          </cell>
          <cell r="R29">
            <v>151.05199999999999</v>
          </cell>
          <cell r="S29">
            <v>151.05199999999999</v>
          </cell>
          <cell r="T29">
            <v>151.05199999999999</v>
          </cell>
        </row>
        <row r="30">
          <cell r="A30" t="str">
            <v>Accumulated other intangibles amortization</v>
          </cell>
          <cell r="K30">
            <v>27.343</v>
          </cell>
          <cell r="L30">
            <v>34.265000000000001</v>
          </cell>
          <cell r="M30">
            <v>37.142000000000003</v>
          </cell>
          <cell r="N30">
            <v>44.671999999999997</v>
          </cell>
          <cell r="O30">
            <v>56.015999999999998</v>
          </cell>
          <cell r="P30">
            <v>56.015999999999998</v>
          </cell>
          <cell r="Q30">
            <v>56.015999999999998</v>
          </cell>
          <cell r="R30">
            <v>56.015999999999998</v>
          </cell>
          <cell r="S30">
            <v>56.015999999999998</v>
          </cell>
          <cell r="T30">
            <v>56.015999999999998</v>
          </cell>
        </row>
        <row r="31">
          <cell r="A31" t="str">
            <v>After-tax accumulated charges/(gains)</v>
          </cell>
          <cell r="K31">
            <v>0.35199999999999998</v>
          </cell>
          <cell r="L31">
            <v>0.35199999999999998</v>
          </cell>
          <cell r="M31">
            <v>0.35199999999999998</v>
          </cell>
          <cell r="N31">
            <v>4.16</v>
          </cell>
          <cell r="O31">
            <v>9.4340000000000011</v>
          </cell>
          <cell r="P31">
            <v>9.4340000000000011</v>
          </cell>
          <cell r="Q31">
            <v>9.4340000000000011</v>
          </cell>
          <cell r="R31">
            <v>9.4340000000000011</v>
          </cell>
          <cell r="S31">
            <v>9.4340000000000011</v>
          </cell>
          <cell r="T31">
            <v>9.4340000000000011</v>
          </cell>
        </row>
        <row r="32">
          <cell r="A32" t="str">
            <v>NOA of small acquisitions</v>
          </cell>
          <cell r="K32">
            <v>218.56399999999999</v>
          </cell>
          <cell r="L32">
            <v>93.076999999999998</v>
          </cell>
          <cell r="M32">
            <v>246.94099999999997</v>
          </cell>
          <cell r="N32">
            <v>215.12700000000001</v>
          </cell>
          <cell r="O32">
            <v>173.185</v>
          </cell>
          <cell r="P32">
            <v>450.572</v>
          </cell>
          <cell r="Q32">
            <v>126.52499999999999</v>
          </cell>
          <cell r="R32">
            <v>158.37899999999996</v>
          </cell>
          <cell r="S32">
            <v>328.01499999999999</v>
          </cell>
          <cell r="T32">
            <v>170.56780000000001</v>
          </cell>
        </row>
        <row r="34">
          <cell r="A34" t="str">
            <v>Adjusted NOA (ex. small acquisitions)</v>
          </cell>
          <cell r="K34">
            <v>1697.3190560606424</v>
          </cell>
          <cell r="L34">
            <v>1876.8798777424613</v>
          </cell>
          <cell r="M34">
            <v>2279.6951896280143</v>
          </cell>
          <cell r="N34">
            <v>2480.4326056000868</v>
          </cell>
          <cell r="O34">
            <v>2666.0616464179138</v>
          </cell>
          <cell r="P34">
            <v>3198.5034358104499</v>
          </cell>
          <cell r="Q34">
            <v>3385.1552588847653</v>
          </cell>
          <cell r="R34">
            <v>3537.4642266513079</v>
          </cell>
          <cell r="S34">
            <v>3980.4073406343146</v>
          </cell>
          <cell r="T34">
            <v>4213.7322419035254</v>
          </cell>
        </row>
        <row r="37">
          <cell r="A37" t="str">
            <v>NET OPERATING PROFIT AFTER-TAX (NOPAT)</v>
          </cell>
        </row>
        <row r="38">
          <cell r="A38" t="str">
            <v>Operating income (EBIT)</v>
          </cell>
          <cell r="K38">
            <v>89.890000000000086</v>
          </cell>
          <cell r="L38">
            <v>122.53400000000008</v>
          </cell>
          <cell r="M38">
            <v>155.11199999999994</v>
          </cell>
          <cell r="N38">
            <v>189.04299999999995</v>
          </cell>
          <cell r="O38">
            <v>243.88199999999989</v>
          </cell>
          <cell r="P38">
            <v>292.75700000000052</v>
          </cell>
          <cell r="Q38">
            <v>344.96599999999989</v>
          </cell>
          <cell r="R38">
            <v>409.13700000000046</v>
          </cell>
          <cell r="S38">
            <v>456.33937323969889</v>
          </cell>
          <cell r="T38">
            <v>486.71322010484113</v>
          </cell>
        </row>
        <row r="39">
          <cell r="A39" t="str">
            <v>Lease rental expense</v>
          </cell>
          <cell r="K39">
            <v>3.9749255318204546</v>
          </cell>
          <cell r="L39">
            <v>4.0941732977750682</v>
          </cell>
          <cell r="M39">
            <v>8.1834599465649251</v>
          </cell>
          <cell r="N39">
            <v>8.0523201528054518</v>
          </cell>
          <cell r="O39">
            <v>9.5923577243285525</v>
          </cell>
          <cell r="P39">
            <v>9.8801284560584115</v>
          </cell>
          <cell r="Q39">
            <v>10.176532309740162</v>
          </cell>
          <cell r="R39">
            <v>10.481828279032369</v>
          </cell>
          <cell r="S39">
            <v>10.79628312740334</v>
          </cell>
          <cell r="T39">
            <v>11.120171621225442</v>
          </cell>
        </row>
        <row r="40">
          <cell r="A40" t="str">
            <v>Reported NOP</v>
          </cell>
          <cell r="K40">
            <v>93.864925531820546</v>
          </cell>
          <cell r="L40">
            <v>126.62817329777515</v>
          </cell>
          <cell r="M40">
            <v>163.29545994656488</v>
          </cell>
          <cell r="N40">
            <v>197.09532015280541</v>
          </cell>
          <cell r="O40">
            <v>253.47435772432846</v>
          </cell>
          <cell r="P40">
            <v>302.63712845605892</v>
          </cell>
          <cell r="Q40">
            <v>355.14253230974003</v>
          </cell>
          <cell r="R40">
            <v>419.61882827903281</v>
          </cell>
          <cell r="S40">
            <v>467.13565636710223</v>
          </cell>
          <cell r="T40">
            <v>497.83339172606657</v>
          </cell>
        </row>
        <row r="41">
          <cell r="B41" t="str">
            <v>Effective tax rate</v>
          </cell>
          <cell r="K41">
            <v>0.35699999999999998</v>
          </cell>
          <cell r="L41">
            <v>0.35</v>
          </cell>
          <cell r="M41">
            <v>0.40299999999999997</v>
          </cell>
          <cell r="N41">
            <v>0.41</v>
          </cell>
          <cell r="O41">
            <v>0.40699999999999997</v>
          </cell>
          <cell r="P41">
            <v>0.40699999999999997</v>
          </cell>
          <cell r="Q41">
            <v>0.40699999999999997</v>
          </cell>
          <cell r="R41">
            <v>0.40699999999999997</v>
          </cell>
          <cell r="S41">
            <v>0.40699999999999997</v>
          </cell>
          <cell r="T41">
            <v>0.40699999999999997</v>
          </cell>
        </row>
        <row r="43">
          <cell r="A43" t="str">
            <v>Goodwill amortization</v>
          </cell>
          <cell r="K43">
            <v>26.638999999999999</v>
          </cell>
          <cell r="L43">
            <v>24.707999999999998</v>
          </cell>
          <cell r="M43">
            <v>25.693000000000001</v>
          </cell>
          <cell r="N43">
            <v>28.755000000000003</v>
          </cell>
          <cell r="O43">
            <v>0</v>
          </cell>
          <cell r="P43">
            <v>0</v>
          </cell>
          <cell r="Q43">
            <v>0</v>
          </cell>
          <cell r="R43">
            <v>0</v>
          </cell>
          <cell r="S43">
            <v>0</v>
          </cell>
          <cell r="T43">
            <v>0</v>
          </cell>
        </row>
        <row r="44">
          <cell r="A44" t="str">
            <v>After-tax operating (charges)/gains</v>
          </cell>
          <cell r="K44">
            <v>-118.90548899999999</v>
          </cell>
          <cell r="L44">
            <v>-9.1</v>
          </cell>
          <cell r="M44">
            <v>0</v>
          </cell>
          <cell r="N44">
            <v>0</v>
          </cell>
          <cell r="O44">
            <v>0</v>
          </cell>
          <cell r="P44">
            <v>0</v>
          </cell>
          <cell r="Q44">
            <v>0</v>
          </cell>
          <cell r="R44">
            <v>0</v>
          </cell>
          <cell r="S44">
            <v>0</v>
          </cell>
          <cell r="T44">
            <v>0</v>
          </cell>
        </row>
        <row r="46">
          <cell r="A46" t="str">
            <v>Adjusted NOPAT</v>
          </cell>
          <cell r="K46">
            <v>-31.91134188303937</v>
          </cell>
          <cell r="L46">
            <v>97.916312643553852</v>
          </cell>
          <cell r="M46">
            <v>123.18038958809923</v>
          </cell>
          <cell r="N46">
            <v>145.0412388901552</v>
          </cell>
          <cell r="O46">
            <v>150.31029413052676</v>
          </cell>
          <cell r="P46">
            <v>179.46381717444294</v>
          </cell>
          <cell r="Q46">
            <v>210.59952165967584</v>
          </cell>
          <cell r="R46">
            <v>248.83396516946644</v>
          </cell>
          <cell r="S46">
            <v>277.0114442256916</v>
          </cell>
          <cell r="T46">
            <v>295.21520129355747</v>
          </cell>
        </row>
        <row r="48">
          <cell r="A48" t="str">
            <v>ROIC</v>
          </cell>
          <cell r="L48">
            <v>5.6149260760004892E-2</v>
          </cell>
          <cell r="M48">
            <v>6.1579406767287008E-2</v>
          </cell>
          <cell r="N48">
            <v>6.0756397922152164E-2</v>
          </cell>
          <cell r="O48">
            <v>5.855427506439953E-2</v>
          </cell>
          <cell r="P48">
            <v>6.2069262890880793E-2</v>
          </cell>
          <cell r="Q48">
            <v>6.4566104927252621E-2</v>
          </cell>
          <cell r="R48">
            <v>7.1827136872362141E-2</v>
          </cell>
          <cell r="S48">
            <v>7.4838189964050228E-2</v>
          </cell>
          <cell r="T48">
            <v>7.2611318425522903E-2</v>
          </cell>
        </row>
        <row r="50">
          <cell r="A50" t="str">
            <v>Operating profit margin</v>
          </cell>
          <cell r="L50">
            <v>9.0667198149876754E-2</v>
          </cell>
          <cell r="M50">
            <v>9.2097418684620971E-2</v>
          </cell>
          <cell r="N50">
            <v>8.5639524032861583E-2</v>
          </cell>
          <cell r="O50">
            <v>6.8309913134886144E-2</v>
          </cell>
          <cell r="P50">
            <v>6.3311330594266801E-2</v>
          </cell>
          <cell r="Q50">
            <v>6.574030325505012E-2</v>
          </cell>
          <cell r="R50">
            <v>6.6563045745004823E-2</v>
          </cell>
          <cell r="S50">
            <v>6.4027215412746211E-2</v>
          </cell>
          <cell r="T50">
            <v>6.2299010854756996E-2</v>
          </cell>
        </row>
        <row r="51">
          <cell r="A51" t="str">
            <v>Operating asset turnover</v>
          </cell>
          <cell r="L51">
            <v>0.6192896869625083</v>
          </cell>
          <cell r="M51">
            <v>0.66863336287589059</v>
          </cell>
          <cell r="N51">
            <v>0.70944343290416623</v>
          </cell>
          <cell r="O51">
            <v>0.85511297292800448</v>
          </cell>
          <cell r="P51">
            <v>0.96669538499619667</v>
          </cell>
          <cell r="Q51">
            <v>0.97316922050689736</v>
          </cell>
          <cell r="R51">
            <v>1.0800304733809913</v>
          </cell>
          <cell r="S51">
            <v>1.1509810956932949</v>
          </cell>
          <cell r="T51">
            <v>1.1566027039881674</v>
          </cell>
        </row>
        <row r="53">
          <cell r="A53" t="str">
            <v>ROIC Normalization Breakdown</v>
          </cell>
        </row>
        <row r="55">
          <cell r="A55" t="str">
            <v xml:space="preserve">December Year End </v>
          </cell>
        </row>
        <row r="56">
          <cell r="A56" t="str">
            <v>$ in millions except as noted</v>
          </cell>
          <cell r="K56">
            <v>1998</v>
          </cell>
          <cell r="L56">
            <v>1999</v>
          </cell>
          <cell r="M56">
            <v>2000</v>
          </cell>
          <cell r="N56">
            <v>2001</v>
          </cell>
          <cell r="O56">
            <v>2002</v>
          </cell>
          <cell r="P56" t="str">
            <v>2003E</v>
          </cell>
          <cell r="Q56" t="str">
            <v>2004E</v>
          </cell>
          <cell r="R56" t="str">
            <v>2005E</v>
          </cell>
          <cell r="S56" t="str">
            <v>2006E</v>
          </cell>
          <cell r="T56" t="str">
            <v>2007E</v>
          </cell>
        </row>
        <row r="59">
          <cell r="A59" t="str">
            <v>RECONCILIATION</v>
          </cell>
        </row>
        <row r="60">
          <cell r="A60" t="str">
            <v>Adjusted NOPAT</v>
          </cell>
          <cell r="K60">
            <v>-31.91134188303937</v>
          </cell>
          <cell r="L60">
            <v>97.916312643553852</v>
          </cell>
          <cell r="M60">
            <v>123.18038958809923</v>
          </cell>
          <cell r="N60">
            <v>145.0412388901552</v>
          </cell>
          <cell r="O60">
            <v>150.31029413052676</v>
          </cell>
          <cell r="P60">
            <v>179.46381717444294</v>
          </cell>
          <cell r="Q60">
            <v>210.59952165967584</v>
          </cell>
          <cell r="R60">
            <v>248.83396516946644</v>
          </cell>
          <cell r="S60">
            <v>277.0114442256916</v>
          </cell>
          <cell r="T60">
            <v>295.21520129355747</v>
          </cell>
        </row>
        <row r="61">
          <cell r="A61" t="str">
            <v>Adjusted ROIC</v>
          </cell>
          <cell r="L61">
            <v>5.6149260760004892E-2</v>
          </cell>
          <cell r="M61">
            <v>6.1579406767287008E-2</v>
          </cell>
          <cell r="N61">
            <v>6.0756397922152164E-2</v>
          </cell>
          <cell r="O61">
            <v>5.855427506439953E-2</v>
          </cell>
          <cell r="P61">
            <v>6.2069262890880793E-2</v>
          </cell>
          <cell r="Q61">
            <v>6.4566104927252621E-2</v>
          </cell>
          <cell r="R61">
            <v>7.1827136872362141E-2</v>
          </cell>
          <cell r="S61">
            <v>7.4838189964050228E-2</v>
          </cell>
          <cell r="T61">
            <v>7.2611318425522903E-2</v>
          </cell>
        </row>
        <row r="63">
          <cell r="A63" t="str">
            <v>Adjustments:</v>
          </cell>
        </row>
        <row r="64">
          <cell r="B64" t="str">
            <v xml:space="preserve">Restructurings </v>
          </cell>
          <cell r="K64">
            <v>0</v>
          </cell>
          <cell r="L64">
            <v>0</v>
          </cell>
          <cell r="M64">
            <v>0</v>
          </cell>
          <cell r="N64">
            <v>0</v>
          </cell>
          <cell r="O64">
            <v>0</v>
          </cell>
          <cell r="P64">
            <v>0</v>
          </cell>
          <cell r="Q64">
            <v>0</v>
          </cell>
          <cell r="R64">
            <v>0</v>
          </cell>
          <cell r="S64">
            <v>0</v>
          </cell>
          <cell r="T64">
            <v>0</v>
          </cell>
        </row>
        <row r="65">
          <cell r="B65" t="str">
            <v>Asset writedowns</v>
          </cell>
          <cell r="K65">
            <v>105.987619</v>
          </cell>
          <cell r="L65">
            <v>0</v>
          </cell>
          <cell r="M65">
            <v>0</v>
          </cell>
          <cell r="N65">
            <v>0</v>
          </cell>
          <cell r="O65">
            <v>0</v>
          </cell>
          <cell r="P65">
            <v>0</v>
          </cell>
          <cell r="Q65">
            <v>0</v>
          </cell>
          <cell r="R65">
            <v>0</v>
          </cell>
          <cell r="S65">
            <v>0</v>
          </cell>
          <cell r="T65">
            <v>0</v>
          </cell>
        </row>
        <row r="66">
          <cell r="B66" t="str">
            <v>Losses/(gains) on asset sales</v>
          </cell>
          <cell r="K66">
            <v>0</v>
          </cell>
          <cell r="L66">
            <v>0</v>
          </cell>
          <cell r="M66">
            <v>0</v>
          </cell>
          <cell r="N66">
            <v>0</v>
          </cell>
          <cell r="O66">
            <v>0</v>
          </cell>
          <cell r="P66">
            <v>0</v>
          </cell>
          <cell r="Q66">
            <v>0</v>
          </cell>
          <cell r="R66">
            <v>0</v>
          </cell>
          <cell r="S66">
            <v>0</v>
          </cell>
          <cell r="T66">
            <v>0</v>
          </cell>
        </row>
        <row r="67">
          <cell r="B67" t="str">
            <v>Government and compliance settlements</v>
          </cell>
          <cell r="K67">
            <v>12.917870000000001</v>
          </cell>
          <cell r="L67">
            <v>9.1</v>
          </cell>
          <cell r="M67">
            <v>0</v>
          </cell>
          <cell r="N67">
            <v>0</v>
          </cell>
          <cell r="O67">
            <v>0</v>
          </cell>
          <cell r="P67">
            <v>0</v>
          </cell>
          <cell r="Q67">
            <v>0</v>
          </cell>
          <cell r="R67">
            <v>0</v>
          </cell>
          <cell r="S67">
            <v>0</v>
          </cell>
          <cell r="T67">
            <v>0</v>
          </cell>
        </row>
        <row r="68">
          <cell r="B68" t="str">
            <v>Other</v>
          </cell>
          <cell r="K68">
            <v>0</v>
          </cell>
          <cell r="L68">
            <v>0</v>
          </cell>
          <cell r="M68">
            <v>0</v>
          </cell>
          <cell r="N68">
            <v>0</v>
          </cell>
          <cell r="O68">
            <v>0</v>
          </cell>
          <cell r="P68">
            <v>0</v>
          </cell>
          <cell r="Q68">
            <v>0</v>
          </cell>
          <cell r="R68">
            <v>0</v>
          </cell>
          <cell r="S68">
            <v>0</v>
          </cell>
          <cell r="T68">
            <v>0</v>
          </cell>
        </row>
        <row r="70">
          <cell r="A70" t="str">
            <v>Reported NOPAT</v>
          </cell>
          <cell r="K70">
            <v>86.994147116960619</v>
          </cell>
          <cell r="L70">
            <v>107.01631264355385</v>
          </cell>
          <cell r="M70">
            <v>123.18038958809923</v>
          </cell>
          <cell r="N70">
            <v>145.0412388901552</v>
          </cell>
          <cell r="O70">
            <v>150.31029413052676</v>
          </cell>
          <cell r="P70">
            <v>179.46381717444294</v>
          </cell>
          <cell r="Q70">
            <v>210.59952165967584</v>
          </cell>
          <cell r="R70">
            <v>248.83396516946644</v>
          </cell>
          <cell r="S70">
            <v>277.0114442256916</v>
          </cell>
          <cell r="T70">
            <v>295.21520129355747</v>
          </cell>
        </row>
        <row r="71">
          <cell r="A71" t="str">
            <v>Reported ROIC</v>
          </cell>
          <cell r="L71">
            <v>6.1367576882427645E-2</v>
          </cell>
          <cell r="M71">
            <v>6.1579406767287008E-2</v>
          </cell>
          <cell r="N71">
            <v>6.0756397922152164E-2</v>
          </cell>
          <cell r="O71">
            <v>5.8412692901226235E-2</v>
          </cell>
          <cell r="P71">
            <v>6.7314203861552943E-2</v>
          </cell>
          <cell r="Q71">
            <v>6.5843143797128134E-2</v>
          </cell>
          <cell r="R71">
            <v>7.3507401031716477E-2</v>
          </cell>
          <cell r="S71">
            <v>7.8307913939788643E-2</v>
          </cell>
          <cell r="T71">
            <v>7.4167082921345481E-2</v>
          </cell>
        </row>
        <row r="73">
          <cell r="A73" t="str">
            <v>ADJ. AS % OF DIFFERENCE</v>
          </cell>
        </row>
        <row r="74">
          <cell r="B74" t="str">
            <v xml:space="preserve">Restructurings </v>
          </cell>
          <cell r="K74" t="str">
            <v>-</v>
          </cell>
          <cell r="L74" t="str">
            <v>-</v>
          </cell>
          <cell r="M74" t="str">
            <v>-</v>
          </cell>
          <cell r="N74" t="str">
            <v>-</v>
          </cell>
          <cell r="O74" t="str">
            <v>-</v>
          </cell>
          <cell r="P74" t="str">
            <v>-</v>
          </cell>
          <cell r="Q74" t="str">
            <v>-</v>
          </cell>
          <cell r="R74" t="str">
            <v>-</v>
          </cell>
          <cell r="S74" t="str">
            <v>-</v>
          </cell>
          <cell r="T74" t="str">
            <v>-</v>
          </cell>
        </row>
        <row r="75">
          <cell r="B75" t="str">
            <v>Asset writedowns</v>
          </cell>
          <cell r="K75">
            <v>1.2183304568467499</v>
          </cell>
          <cell r="L75" t="str">
            <v>-</v>
          </cell>
          <cell r="M75" t="str">
            <v>-</v>
          </cell>
          <cell r="N75" t="str">
            <v>-</v>
          </cell>
          <cell r="O75" t="str">
            <v>-</v>
          </cell>
          <cell r="P75" t="str">
            <v>-</v>
          </cell>
          <cell r="Q75" t="str">
            <v>-</v>
          </cell>
          <cell r="R75" t="str">
            <v>-</v>
          </cell>
          <cell r="S75" t="str">
            <v>-</v>
          </cell>
          <cell r="T75" t="str">
            <v>-</v>
          </cell>
        </row>
        <row r="76">
          <cell r="B76" t="str">
            <v>Losses/(gains) on asset sales</v>
          </cell>
          <cell r="K76" t="str">
            <v>-</v>
          </cell>
          <cell r="L76" t="str">
            <v>-</v>
          </cell>
          <cell r="M76" t="str">
            <v>-</v>
          </cell>
          <cell r="N76" t="str">
            <v>-</v>
          </cell>
          <cell r="O76" t="str">
            <v>-</v>
          </cell>
          <cell r="P76" t="str">
            <v>-</v>
          </cell>
          <cell r="Q76" t="str">
            <v>-</v>
          </cell>
          <cell r="R76" t="str">
            <v>-</v>
          </cell>
          <cell r="S76" t="str">
            <v>-</v>
          </cell>
          <cell r="T76" t="str">
            <v>-</v>
          </cell>
        </row>
        <row r="77">
          <cell r="B77" t="str">
            <v>Government and compliance settlements</v>
          </cell>
          <cell r="K77">
            <v>0.14849125404531369</v>
          </cell>
          <cell r="L77">
            <v>8.5033765182229298E-2</v>
          </cell>
          <cell r="M77" t="str">
            <v>-</v>
          </cell>
          <cell r="N77" t="str">
            <v>-</v>
          </cell>
          <cell r="O77" t="str">
            <v>-</v>
          </cell>
          <cell r="P77" t="str">
            <v>-</v>
          </cell>
          <cell r="Q77" t="str">
            <v>-</v>
          </cell>
          <cell r="R77" t="str">
            <v>-</v>
          </cell>
          <cell r="S77" t="str">
            <v>-</v>
          </cell>
          <cell r="T77" t="str">
            <v>-</v>
          </cell>
        </row>
        <row r="78">
          <cell r="B78" t="str">
            <v>Other</v>
          </cell>
          <cell r="K78" t="str">
            <v>-</v>
          </cell>
          <cell r="L78" t="str">
            <v>-</v>
          </cell>
          <cell r="M78" t="str">
            <v>-</v>
          </cell>
          <cell r="N78" t="str">
            <v>-</v>
          </cell>
          <cell r="O78" t="str">
            <v>-</v>
          </cell>
          <cell r="P78" t="str">
            <v>-</v>
          </cell>
          <cell r="Q78" t="str">
            <v>-</v>
          </cell>
          <cell r="R78" t="str">
            <v>-</v>
          </cell>
          <cell r="S78" t="str">
            <v>-</v>
          </cell>
          <cell r="T78" t="str">
            <v>-</v>
          </cell>
        </row>
        <row r="80">
          <cell r="A80" t="str">
            <v>Difference</v>
          </cell>
          <cell r="K80">
            <v>1.3668217108920635</v>
          </cell>
          <cell r="L80">
            <v>8.5033765182229298E-2</v>
          </cell>
          <cell r="M80">
            <v>0</v>
          </cell>
          <cell r="N80">
            <v>0</v>
          </cell>
          <cell r="O80">
            <v>0</v>
          </cell>
          <cell r="P80">
            <v>0</v>
          </cell>
          <cell r="Q80">
            <v>0</v>
          </cell>
          <cell r="R80">
            <v>0</v>
          </cell>
          <cell r="S80">
            <v>0</v>
          </cell>
          <cell r="T80">
            <v>0</v>
          </cell>
        </row>
        <row r="82">
          <cell r="A82" t="str">
            <v>Note: CYH did not report a FY1997 balance sheet so can not calculate ROIC prior to FY1999</v>
          </cell>
        </row>
        <row r="83">
          <cell r="A83" t="str">
            <v>Residual Income Analysis</v>
          </cell>
        </row>
        <row r="84">
          <cell r="X84">
            <v>1999</v>
          </cell>
          <cell r="Y84">
            <v>2000</v>
          </cell>
          <cell r="Z84">
            <v>2001</v>
          </cell>
          <cell r="AA84">
            <v>2002</v>
          </cell>
          <cell r="AB84" t="str">
            <v>2003E</v>
          </cell>
          <cell r="AC84" t="str">
            <v>2004E</v>
          </cell>
          <cell r="AD84" t="str">
            <v>2005E</v>
          </cell>
          <cell r="AE84" t="str">
            <v>2006E</v>
          </cell>
          <cell r="AF84" t="str">
            <v>2007E</v>
          </cell>
        </row>
        <row r="85">
          <cell r="A85" t="str">
            <v>WACC</v>
          </cell>
          <cell r="D85">
            <v>7.4999999999999997E-2</v>
          </cell>
          <cell r="X85">
            <v>5.6149260760004892E-2</v>
          </cell>
          <cell r="Y85">
            <v>6.1579406767287008E-2</v>
          </cell>
          <cell r="Z85">
            <v>6.0756397922152164E-2</v>
          </cell>
          <cell r="AA85">
            <v>5.855427506439953E-2</v>
          </cell>
          <cell r="AB85">
            <v>6.2069262890880793E-2</v>
          </cell>
          <cell r="AC85">
            <v>6.4566104927252621E-2</v>
          </cell>
          <cell r="AD85">
            <v>7.1827136872362141E-2</v>
          </cell>
          <cell r="AE85">
            <v>7.4838189964050228E-2</v>
          </cell>
          <cell r="AF85">
            <v>7.2611318425522903E-2</v>
          </cell>
        </row>
        <row r="86">
          <cell r="A86" t="str">
            <v>Long-Term Residual Income Growth Rate</v>
          </cell>
          <cell r="D86">
            <v>0.02</v>
          </cell>
        </row>
        <row r="87">
          <cell r="A87" t="str">
            <v>Fully Diluted Shares Outstanding</v>
          </cell>
          <cell r="D87">
            <v>108.39688599999999</v>
          </cell>
          <cell r="X87">
            <v>1999</v>
          </cell>
          <cell r="Y87">
            <v>2000</v>
          </cell>
          <cell r="Z87">
            <v>2001</v>
          </cell>
          <cell r="AA87">
            <v>2002</v>
          </cell>
          <cell r="AB87" t="str">
            <v>2003E</v>
          </cell>
          <cell r="AC87" t="str">
            <v>2004E</v>
          </cell>
          <cell r="AD87" t="str">
            <v>2005E</v>
          </cell>
          <cell r="AE87" t="str">
            <v>2006E</v>
          </cell>
          <cell r="AF87" t="str">
            <v>2007E</v>
          </cell>
        </row>
        <row r="88">
          <cell r="A88" t="str">
            <v>Discount Period</v>
          </cell>
          <cell r="P88">
            <v>0</v>
          </cell>
          <cell r="Q88">
            <v>1</v>
          </cell>
          <cell r="R88">
            <v>2</v>
          </cell>
          <cell r="S88">
            <v>3</v>
          </cell>
          <cell r="T88">
            <v>4</v>
          </cell>
          <cell r="W88" t="str">
            <v>Op. Margin</v>
          </cell>
          <cell r="X88">
            <v>9.0667198149876754E-2</v>
          </cell>
          <cell r="Y88">
            <v>9.2097418684620971E-2</v>
          </cell>
          <cell r="Z88">
            <v>8.5639524032861583E-2</v>
          </cell>
          <cell r="AA88">
            <v>6.8309913134886144E-2</v>
          </cell>
          <cell r="AB88">
            <v>6.3311330594266801E-2</v>
          </cell>
          <cell r="AC88">
            <v>6.574030325505012E-2</v>
          </cell>
          <cell r="AD88">
            <v>6.6563045745004823E-2</v>
          </cell>
          <cell r="AE88">
            <v>6.4027215412746211E-2</v>
          </cell>
          <cell r="AF88">
            <v>6.2299010854756996E-2</v>
          </cell>
        </row>
        <row r="89">
          <cell r="W89" t="str">
            <v>Op. Asset Turns</v>
          </cell>
          <cell r="X89">
            <v>0.6192896869625083</v>
          </cell>
          <cell r="Y89">
            <v>0.66863336287589059</v>
          </cell>
          <cell r="Z89">
            <v>0.70944343290416623</v>
          </cell>
          <cell r="AA89">
            <v>0.85511297292800448</v>
          </cell>
          <cell r="AB89">
            <v>0.96669538499619667</v>
          </cell>
          <cell r="AC89">
            <v>0.97316922050689736</v>
          </cell>
          <cell r="AD89">
            <v>1.0800304733809913</v>
          </cell>
          <cell r="AE89">
            <v>1.1509810956932949</v>
          </cell>
          <cell r="AF89">
            <v>1.1566027039881674</v>
          </cell>
        </row>
        <row r="90">
          <cell r="A90" t="str">
            <v>ROIC</v>
          </cell>
          <cell r="P90">
            <v>6.2069262890880793E-2</v>
          </cell>
          <cell r="Q90">
            <v>6.4566104927252621E-2</v>
          </cell>
          <cell r="R90">
            <v>7.1827136872362141E-2</v>
          </cell>
          <cell r="S90">
            <v>7.4838189964050228E-2</v>
          </cell>
          <cell r="T90">
            <v>7.2611318425522903E-2</v>
          </cell>
        </row>
        <row r="91">
          <cell r="A91" t="str">
            <v>Residual Income</v>
          </cell>
          <cell r="P91">
            <v>-34.474142266535559</v>
          </cell>
          <cell r="Q91">
            <v>-33.372849239068209</v>
          </cell>
          <cell r="R91">
            <v>-10.740634302244855</v>
          </cell>
          <cell r="S91">
            <v>-0.57239721368547092</v>
          </cell>
          <cell r="T91">
            <v>-9.5079256734865591</v>
          </cell>
          <cell r="U91">
            <v>-9.6980841869562902</v>
          </cell>
        </row>
        <row r="92">
          <cell r="A92" t="str">
            <v>PV of Residual Income</v>
          </cell>
          <cell r="P92">
            <v>-34.474142266535559</v>
          </cell>
          <cell r="Q92">
            <v>-31.044510920063452</v>
          </cell>
          <cell r="R92">
            <v>-9.2942211376916006</v>
          </cell>
          <cell r="S92">
            <v>-0.46075718711396663</v>
          </cell>
          <cell r="T92">
            <v>-7.1195397813811319</v>
          </cell>
        </row>
        <row r="93">
          <cell r="A93" t="str">
            <v>Future Terminal Value</v>
          </cell>
        </row>
        <row r="95">
          <cell r="A95" t="str">
            <v>PV Terminal Value</v>
          </cell>
          <cell r="K95">
            <v>-132.03510140015919</v>
          </cell>
        </row>
        <row r="96">
          <cell r="A96" t="str">
            <v>PV FCFs</v>
          </cell>
          <cell r="K96">
            <v>-47.919029026250158</v>
          </cell>
        </row>
        <row r="97">
          <cell r="A97" t="str">
            <v>Current Invested Capital</v>
          </cell>
          <cell r="K97">
            <v>2666.0616464179138</v>
          </cell>
        </row>
        <row r="98">
          <cell r="A98" t="str">
            <v>Less: Net Debt</v>
          </cell>
          <cell r="K98">
            <v>-1059.614</v>
          </cell>
        </row>
        <row r="99">
          <cell r="A99" t="str">
            <v>Implied Market Value</v>
          </cell>
          <cell r="K99">
            <v>1426.4935159915044</v>
          </cell>
        </row>
        <row r="100">
          <cell r="B100" t="str">
            <v>Equity Value Per Share</v>
          </cell>
          <cell r="K100">
            <v>13.159912324340244</v>
          </cell>
        </row>
        <row r="106">
          <cell r="A106" t="str">
            <v>Adjustment Schedules</v>
          </cell>
        </row>
        <row r="108">
          <cell r="A108" t="str">
            <v>Adjustments for Small Acquisitions</v>
          </cell>
        </row>
        <row r="109">
          <cell r="A109" t="str">
            <v>Number of hospitals</v>
          </cell>
          <cell r="K109">
            <v>41</v>
          </cell>
          <cell r="L109">
            <v>46</v>
          </cell>
          <cell r="M109">
            <v>52</v>
          </cell>
          <cell r="N109">
            <v>57</v>
          </cell>
          <cell r="O109">
            <v>63</v>
          </cell>
          <cell r="P109">
            <v>72</v>
          </cell>
          <cell r="Q109">
            <v>66</v>
          </cell>
          <cell r="R109">
            <v>70</v>
          </cell>
          <cell r="S109">
            <v>78</v>
          </cell>
          <cell r="T109">
            <v>82</v>
          </cell>
        </row>
        <row r="110">
          <cell r="A110" t="str">
            <v>Net additional hospitals</v>
          </cell>
          <cell r="K110">
            <v>4</v>
          </cell>
          <cell r="L110">
            <v>5</v>
          </cell>
          <cell r="M110">
            <v>6</v>
          </cell>
          <cell r="N110">
            <v>5</v>
          </cell>
          <cell r="O110">
            <v>6</v>
          </cell>
          <cell r="P110">
            <v>9</v>
          </cell>
          <cell r="Q110">
            <v>-6</v>
          </cell>
          <cell r="R110">
            <v>4</v>
          </cell>
          <cell r="S110">
            <v>8</v>
          </cell>
          <cell r="T110">
            <v>4</v>
          </cell>
        </row>
        <row r="111">
          <cell r="A111" t="str">
            <v>NOA of acquired hospitals</v>
          </cell>
          <cell r="K111">
            <v>218.56399999999999</v>
          </cell>
          <cell r="L111">
            <v>93.076999999999998</v>
          </cell>
          <cell r="M111">
            <v>246.94099999999997</v>
          </cell>
          <cell r="N111">
            <v>215.12700000000001</v>
          </cell>
          <cell r="O111">
            <v>173.185</v>
          </cell>
          <cell r="P111">
            <v>450.572</v>
          </cell>
          <cell r="Q111">
            <v>126.52499999999999</v>
          </cell>
          <cell r="R111">
            <v>158.37899999999996</v>
          </cell>
          <cell r="S111">
            <v>328.01499999999999</v>
          </cell>
          <cell r="T111">
            <v>170.56780000000001</v>
          </cell>
        </row>
        <row r="112">
          <cell r="B112" t="str">
            <v>% of adjusted NOA (BOY)</v>
          </cell>
          <cell r="L112">
            <v>5.4837656872848133E-2</v>
          </cell>
          <cell r="M112">
            <v>0.13156995443790695</v>
          </cell>
          <cell r="N112">
            <v>9.4366563117195948E-2</v>
          </cell>
          <cell r="O112">
            <v>0.10181558629322315</v>
          </cell>
          <cell r="P112">
            <v>0.1420897564424205</v>
          </cell>
          <cell r="Q112">
            <v>-7.8957770428659452E-2</v>
          </cell>
          <cell r="R112">
            <v>4.9736113646419305E-2</v>
          </cell>
          <cell r="S112">
            <v>9.5189353660854736E-2</v>
          </cell>
          <cell r="T112">
            <v>4.2298300716086062E-2</v>
          </cell>
        </row>
        <row r="113">
          <cell r="B113" t="str">
            <v>% of change in adjusted NOA (y/y)</v>
          </cell>
          <cell r="L113">
            <v>0.51835917840102175</v>
          </cell>
          <cell r="M113">
            <v>0.61303776870865401</v>
          </cell>
          <cell r="N113">
            <v>1.071683616919376</v>
          </cell>
          <cell r="O113">
            <v>1.3604913266122234</v>
          </cell>
          <cell r="P113">
            <v>0.71147693052454908</v>
          </cell>
          <cell r="Q113">
            <v>-1.353036342428054</v>
          </cell>
          <cell r="R113">
            <v>1.1054140090078859</v>
          </cell>
          <cell r="S113">
            <v>0.76020807797511392</v>
          </cell>
          <cell r="T113">
            <v>0.72158807632969846</v>
          </cell>
        </row>
        <row r="115">
          <cell r="A115" t="str">
            <v>Average NOA/acquisition</v>
          </cell>
          <cell r="K115">
            <v>54.640999999999998</v>
          </cell>
          <cell r="L115">
            <v>18.615400000000001</v>
          </cell>
          <cell r="M115">
            <v>41.156833333333331</v>
          </cell>
          <cell r="N115">
            <v>43.025400000000005</v>
          </cell>
        </row>
        <row r="116">
          <cell r="A116" t="str">
            <v>Assumed NOA/acq (avg. 2000, 2001)</v>
          </cell>
          <cell r="K116">
            <v>42.091116666666665</v>
          </cell>
        </row>
        <row r="117">
          <cell r="B117" t="str">
            <v>Est. NOA for acq. 2002+</v>
          </cell>
          <cell r="O117">
            <v>252.54669999999999</v>
          </cell>
          <cell r="P117">
            <v>378.82004999999998</v>
          </cell>
          <cell r="Q117">
            <v>-252.54669999999999</v>
          </cell>
          <cell r="R117">
            <v>168.36446666666666</v>
          </cell>
          <cell r="S117">
            <v>336.72893333333332</v>
          </cell>
          <cell r="T117">
            <v>168.36446666666666</v>
          </cell>
        </row>
        <row r="121">
          <cell r="A121" t="str">
            <v>Schedule 1: Goodwill Amortization</v>
          </cell>
          <cell r="K121">
            <v>1998</v>
          </cell>
          <cell r="L121">
            <v>1999</v>
          </cell>
          <cell r="M121">
            <v>2000</v>
          </cell>
          <cell r="N121">
            <v>2001</v>
          </cell>
          <cell r="O121">
            <v>2002</v>
          </cell>
          <cell r="P121" t="str">
            <v>2003E</v>
          </cell>
          <cell r="Q121" t="str">
            <v>2004E</v>
          </cell>
          <cell r="R121" t="str">
            <v>2005E</v>
          </cell>
          <cell r="S121" t="str">
            <v>2006E</v>
          </cell>
          <cell r="T121" t="str">
            <v>2007E</v>
          </cell>
        </row>
        <row r="122">
          <cell r="B122" t="str">
            <v>Acc. Goodwill Amortization</v>
          </cell>
          <cell r="K122">
            <v>73.058000000000007</v>
          </cell>
          <cell r="L122">
            <v>97.766000000000005</v>
          </cell>
          <cell r="M122">
            <v>123.459</v>
          </cell>
          <cell r="N122">
            <v>151.05199999999999</v>
          </cell>
          <cell r="O122">
            <v>151.05199999999999</v>
          </cell>
          <cell r="P122">
            <v>151.05199999999999</v>
          </cell>
          <cell r="Q122">
            <v>151.05199999999999</v>
          </cell>
          <cell r="R122">
            <v>151.05199999999999</v>
          </cell>
          <cell r="S122">
            <v>151.05199999999999</v>
          </cell>
          <cell r="T122">
            <v>151.05199999999999</v>
          </cell>
        </row>
        <row r="124">
          <cell r="B124" t="str">
            <v>Acc. Other Assets Amortization</v>
          </cell>
          <cell r="K124">
            <v>27.343</v>
          </cell>
          <cell r="L124">
            <v>34.265000000000001</v>
          </cell>
          <cell r="M124">
            <v>37.142000000000003</v>
          </cell>
          <cell r="N124">
            <v>44.671999999999997</v>
          </cell>
          <cell r="O124">
            <v>56.015999999999998</v>
          </cell>
          <cell r="P124">
            <v>56.015999999999998</v>
          </cell>
          <cell r="Q124">
            <v>56.015999999999998</v>
          </cell>
          <cell r="R124">
            <v>56.015999999999998</v>
          </cell>
          <cell r="S124">
            <v>56.015999999999998</v>
          </cell>
          <cell r="T124">
            <v>56.015999999999998</v>
          </cell>
        </row>
        <row r="125">
          <cell r="B125" t="str">
            <v>Delta</v>
          </cell>
          <cell r="L125">
            <v>6.9220000000000006</v>
          </cell>
          <cell r="M125">
            <v>2.8770000000000024</v>
          </cell>
          <cell r="N125">
            <v>7.529999999999994</v>
          </cell>
        </row>
        <row r="126">
          <cell r="B126" t="str">
            <v>MD Recruitment Cost Amortization (add'l)</v>
          </cell>
          <cell r="K126">
            <v>0</v>
          </cell>
          <cell r="L126">
            <v>0</v>
          </cell>
          <cell r="M126">
            <v>4.3</v>
          </cell>
          <cell r="N126">
            <v>6.9</v>
          </cell>
          <cell r="O126">
            <v>15.733333333333334</v>
          </cell>
        </row>
        <row r="128">
          <cell r="B128" t="str">
            <v>Intangibles, Gross (in Other Assets)</v>
          </cell>
          <cell r="N128">
            <v>3.1</v>
          </cell>
          <cell r="O128">
            <v>3.7</v>
          </cell>
        </row>
        <row r="132">
          <cell r="A132" t="str">
            <v>Schedule 2:  Operating Leases</v>
          </cell>
        </row>
        <row r="133">
          <cell r="A133" t="str">
            <v>Discount Rate</v>
          </cell>
          <cell r="C133">
            <v>6.3E-2</v>
          </cell>
        </row>
        <row r="134">
          <cell r="A134" t="str">
            <v>Rent Expense</v>
          </cell>
        </row>
        <row r="135">
          <cell r="C135">
            <v>1990</v>
          </cell>
          <cell r="D135">
            <v>1991</v>
          </cell>
          <cell r="E135">
            <v>1992</v>
          </cell>
          <cell r="F135">
            <v>1993</v>
          </cell>
          <cell r="G135">
            <v>1994</v>
          </cell>
          <cell r="H135">
            <v>1995</v>
          </cell>
          <cell r="I135">
            <v>1996</v>
          </cell>
          <cell r="J135">
            <v>1997</v>
          </cell>
          <cell r="K135">
            <v>1998</v>
          </cell>
          <cell r="L135">
            <v>1999</v>
          </cell>
          <cell r="M135">
            <v>2000</v>
          </cell>
          <cell r="N135">
            <v>2001</v>
          </cell>
          <cell r="O135">
            <v>2002</v>
          </cell>
          <cell r="P135" t="str">
            <v>2003E</v>
          </cell>
          <cell r="Q135" t="str">
            <v>2004E</v>
          </cell>
          <cell r="R135" t="str">
            <v>2005E</v>
          </cell>
          <cell r="S135" t="str">
            <v>2006E</v>
          </cell>
          <cell r="T135" t="str">
            <v>2007E</v>
          </cell>
        </row>
        <row r="136">
          <cell r="B136">
            <v>1990</v>
          </cell>
        </row>
        <row r="137">
          <cell r="B137">
            <v>1991</v>
          </cell>
        </row>
        <row r="138">
          <cell r="B138">
            <v>1992</v>
          </cell>
        </row>
        <row r="139">
          <cell r="B139">
            <v>1993</v>
          </cell>
          <cell r="E139">
            <v>0</v>
          </cell>
        </row>
        <row r="140">
          <cell r="B140">
            <v>1994</v>
          </cell>
          <cell r="E140">
            <v>0</v>
          </cell>
          <cell r="F140">
            <v>0</v>
          </cell>
        </row>
        <row r="141">
          <cell r="B141">
            <v>1995</v>
          </cell>
          <cell r="E141">
            <v>0</v>
          </cell>
          <cell r="F141">
            <v>0</v>
          </cell>
          <cell r="G141">
            <v>0</v>
          </cell>
        </row>
        <row r="142">
          <cell r="B142">
            <v>1996</v>
          </cell>
          <cell r="E142">
            <v>0</v>
          </cell>
          <cell r="F142">
            <v>0</v>
          </cell>
          <cell r="G142">
            <v>0</v>
          </cell>
          <cell r="H142">
            <v>0</v>
          </cell>
        </row>
        <row r="143">
          <cell r="B143">
            <v>1997</v>
          </cell>
          <cell r="F143">
            <v>2.4E-2</v>
          </cell>
          <cell r="G143">
            <v>2.4E-2</v>
          </cell>
          <cell r="H143">
            <v>2.4E-2</v>
          </cell>
          <cell r="I143">
            <v>2.4E-2</v>
          </cell>
        </row>
        <row r="144">
          <cell r="B144">
            <v>1998</v>
          </cell>
          <cell r="E144">
            <v>0</v>
          </cell>
          <cell r="F144">
            <v>8.9999999999999993E-3</v>
          </cell>
          <cell r="G144">
            <v>8.9999999999999993E-3</v>
          </cell>
          <cell r="H144">
            <v>8.9999999999999993E-3</v>
          </cell>
          <cell r="I144">
            <v>8.9999999999999993E-3</v>
          </cell>
          <cell r="J144">
            <v>8.9999999999999993E-3</v>
          </cell>
        </row>
        <row r="145">
          <cell r="B145">
            <v>1999</v>
          </cell>
          <cell r="F145">
            <v>0</v>
          </cell>
          <cell r="G145">
            <v>0</v>
          </cell>
          <cell r="H145">
            <v>0</v>
          </cell>
          <cell r="I145">
            <v>0</v>
          </cell>
          <cell r="J145">
            <v>0</v>
          </cell>
          <cell r="K145">
            <v>15.831067961165049</v>
          </cell>
        </row>
        <row r="146">
          <cell r="B146">
            <v>2000</v>
          </cell>
          <cell r="G146">
            <v>0</v>
          </cell>
          <cell r="H146">
            <v>0</v>
          </cell>
          <cell r="I146">
            <v>0</v>
          </cell>
          <cell r="J146">
            <v>0</v>
          </cell>
          <cell r="K146">
            <v>13.822330097087379</v>
          </cell>
          <cell r="L146">
            <v>16.306000000000001</v>
          </cell>
        </row>
        <row r="147">
          <cell r="B147">
            <v>2001</v>
          </cell>
          <cell r="H147">
            <v>0</v>
          </cell>
          <cell r="I147">
            <v>0</v>
          </cell>
          <cell r="J147">
            <v>0</v>
          </cell>
          <cell r="K147">
            <v>11.001941747572817</v>
          </cell>
          <cell r="L147">
            <v>14.237</v>
          </cell>
          <cell r="M147">
            <v>24.140999999999998</v>
          </cell>
        </row>
        <row r="148">
          <cell r="B148">
            <v>2002</v>
          </cell>
          <cell r="I148">
            <v>0</v>
          </cell>
          <cell r="J148">
            <v>0</v>
          </cell>
          <cell r="K148">
            <v>8.7067961165048544</v>
          </cell>
          <cell r="L148">
            <v>11.332000000000001</v>
          </cell>
          <cell r="M148">
            <v>21.073</v>
          </cell>
          <cell r="N148">
            <v>31.984000000000002</v>
          </cell>
        </row>
        <row r="149">
          <cell r="B149">
            <v>2003</v>
          </cell>
          <cell r="J149">
            <v>0</v>
          </cell>
          <cell r="K149">
            <v>8.1631067961165034</v>
          </cell>
          <cell r="L149">
            <v>8.968</v>
          </cell>
          <cell r="M149">
            <v>19.379000000000001</v>
          </cell>
          <cell r="N149">
            <v>28.564</v>
          </cell>
          <cell r="O149">
            <v>41.834000000000003</v>
          </cell>
        </row>
        <row r="150">
          <cell r="B150">
            <v>2004</v>
          </cell>
          <cell r="K150">
            <v>20.164077669902909</v>
          </cell>
          <cell r="L150">
            <v>8.4079999999999995</v>
          </cell>
          <cell r="M150">
            <v>17.16</v>
          </cell>
          <cell r="N150">
            <v>26.521999999999998</v>
          </cell>
          <cell r="O150">
            <v>37.042999999999999</v>
          </cell>
          <cell r="P150">
            <v>43.089020000000005</v>
          </cell>
        </row>
        <row r="151">
          <cell r="B151">
            <v>2005</v>
          </cell>
          <cell r="L151">
            <v>20.768999999999998</v>
          </cell>
          <cell r="M151">
            <v>11.943</v>
          </cell>
          <cell r="N151">
            <v>19.561</v>
          </cell>
          <cell r="O151">
            <v>30.216999999999999</v>
          </cell>
          <cell r="P151">
            <v>38.154290000000003</v>
          </cell>
          <cell r="Q151">
            <v>44.381690600000006</v>
          </cell>
        </row>
        <row r="152">
          <cell r="B152">
            <v>2006</v>
          </cell>
          <cell r="M152">
            <v>72.376000000000005</v>
          </cell>
          <cell r="N152">
            <v>13.467000000000001</v>
          </cell>
          <cell r="O152">
            <v>20.427</v>
          </cell>
          <cell r="P152">
            <v>31.12351</v>
          </cell>
          <cell r="Q152">
            <v>39.298918700000002</v>
          </cell>
          <cell r="R152">
            <v>45.713141318000005</v>
          </cell>
        </row>
        <row r="153">
          <cell r="B153">
            <v>2007</v>
          </cell>
          <cell r="N153">
            <v>36.25</v>
          </cell>
          <cell r="O153">
            <v>14.651</v>
          </cell>
          <cell r="P153">
            <v>21.039809999999999</v>
          </cell>
          <cell r="Q153">
            <v>32.057215300000003</v>
          </cell>
          <cell r="R153">
            <v>40.477886261000002</v>
          </cell>
          <cell r="S153">
            <v>47.084535557540008</v>
          </cell>
        </row>
        <row r="154">
          <cell r="B154">
            <v>2008</v>
          </cell>
          <cell r="O154">
            <v>40.648000000000003</v>
          </cell>
          <cell r="P154">
            <v>15.090529999999999</v>
          </cell>
          <cell r="Q154">
            <v>21.6710043</v>
          </cell>
          <cell r="R154">
            <v>33.018931759000004</v>
          </cell>
          <cell r="S154">
            <v>41.692222848830006</v>
          </cell>
          <cell r="T154">
            <v>48.497071624266212</v>
          </cell>
        </row>
        <row r="155">
          <cell r="B155">
            <v>2009</v>
          </cell>
          <cell r="P155">
            <v>41.867440000000002</v>
          </cell>
          <cell r="Q155">
            <v>15.543245900000001</v>
          </cell>
          <cell r="R155">
            <v>22.321134429000001</v>
          </cell>
          <cell r="S155">
            <v>34.009499711770005</v>
          </cell>
          <cell r="T155">
            <v>42.94298953429491</v>
          </cell>
        </row>
        <row r="156">
          <cell r="B156">
            <v>2010</v>
          </cell>
          <cell r="Q156">
            <v>43.123463200000003</v>
          </cell>
          <cell r="R156">
            <v>16.009543277000002</v>
          </cell>
          <cell r="S156">
            <v>22.990768461870001</v>
          </cell>
          <cell r="T156">
            <v>35.029784703123106</v>
          </cell>
        </row>
        <row r="157">
          <cell r="B157">
            <v>2011</v>
          </cell>
          <cell r="R157">
            <v>44.417167096000007</v>
          </cell>
          <cell r="S157">
            <v>16.489829575310004</v>
          </cell>
          <cell r="T157">
            <v>23.6804915157261</v>
          </cell>
        </row>
        <row r="158">
          <cell r="B158">
            <v>2012</v>
          </cell>
          <cell r="S158">
            <v>45.749682108880009</v>
          </cell>
          <cell r="T158">
            <v>16.984524462569304</v>
          </cell>
        </row>
        <row r="159">
          <cell r="B159">
            <v>2013</v>
          </cell>
          <cell r="T159">
            <v>47.122172572146411</v>
          </cell>
        </row>
        <row r="160">
          <cell r="B160" t="str">
            <v>Assumes Rent Expense = Interest + Amort.</v>
          </cell>
        </row>
        <row r="161">
          <cell r="B161" t="str">
            <v>PV of Noncancelable Leases</v>
          </cell>
          <cell r="E161">
            <v>0</v>
          </cell>
          <cell r="F161">
            <v>2.54275083231883E-2</v>
          </cell>
          <cell r="G161">
            <v>2.7029441347549161E-2</v>
          </cell>
          <cell r="H161">
            <v>2.8732296152444756E-2</v>
          </cell>
          <cell r="I161">
            <v>3.054243081004877E-2</v>
          </cell>
          <cell r="J161">
            <v>8.4666039510818431E-3</v>
          </cell>
          <cell r="K161">
            <v>63.094056060642139</v>
          </cell>
          <cell r="L161">
            <v>64.986877742461402</v>
          </cell>
          <cell r="M161">
            <v>129.8961896280147</v>
          </cell>
          <cell r="N161">
            <v>127.81460560008654</v>
          </cell>
          <cell r="O161">
            <v>152.25964641791353</v>
          </cell>
          <cell r="P161">
            <v>156.82743581045096</v>
          </cell>
          <cell r="Q161">
            <v>161.53225888476447</v>
          </cell>
          <cell r="R161">
            <v>166.37822665130744</v>
          </cell>
          <cell r="S161">
            <v>171.36957345084667</v>
          </cell>
          <cell r="T161">
            <v>176.51066065437209</v>
          </cell>
        </row>
        <row r="162">
          <cell r="B162" t="str">
            <v>Pre-Tax Interest Component</v>
          </cell>
          <cell r="E162">
            <v>0</v>
          </cell>
          <cell r="F162">
            <v>1.601933024360863E-3</v>
          </cell>
          <cell r="G162">
            <v>1.7028548048955972E-3</v>
          </cell>
          <cell r="H162">
            <v>1.8101346576040196E-3</v>
          </cell>
          <cell r="I162">
            <v>1.9241731410330725E-3</v>
          </cell>
          <cell r="J162">
            <v>5.3339604891815609E-4</v>
          </cell>
          <cell r="K162">
            <v>3.9749255318204546</v>
          </cell>
          <cell r="L162">
            <v>4.0941732977750682</v>
          </cell>
          <cell r="M162">
            <v>8.1834599465649251</v>
          </cell>
          <cell r="N162">
            <v>8.0523201528054518</v>
          </cell>
          <cell r="O162">
            <v>9.5923577243285525</v>
          </cell>
          <cell r="P162">
            <v>9.8801284560584115</v>
          </cell>
          <cell r="Q162">
            <v>10.176532309740162</v>
          </cell>
          <cell r="R162">
            <v>10.481828279032369</v>
          </cell>
          <cell r="S162">
            <v>10.79628312740334</v>
          </cell>
          <cell r="T162">
            <v>11.120171621225442</v>
          </cell>
        </row>
        <row r="164">
          <cell r="B164" t="str">
            <v>Rent Expense</v>
          </cell>
          <cell r="K164">
            <v>22.344000000000001</v>
          </cell>
          <cell r="L164">
            <v>25.521999999999998</v>
          </cell>
          <cell r="M164">
            <v>31.385000000000002</v>
          </cell>
          <cell r="N164">
            <v>39.378999999999998</v>
          </cell>
          <cell r="O164">
            <v>51.295000000000002</v>
          </cell>
          <cell r="P164">
            <v>69.06</v>
          </cell>
          <cell r="Q164">
            <v>81.959000000000003</v>
          </cell>
          <cell r="R164">
            <v>87.217000000000013</v>
          </cell>
          <cell r="S164">
            <v>94.52000000000001</v>
          </cell>
          <cell r="T164">
            <v>103.52570130290816</v>
          </cell>
          <cell r="U164" t="str">
            <v>Addback</v>
          </cell>
        </row>
        <row r="165">
          <cell r="B165" t="str">
            <v>Amortization</v>
          </cell>
          <cell r="K165">
            <v>-18.369074468179548</v>
          </cell>
          <cell r="L165">
            <v>-21.42782670222493</v>
          </cell>
          <cell r="M165">
            <v>-23.201540053435075</v>
          </cell>
          <cell r="N165">
            <v>-31.326679847194548</v>
          </cell>
          <cell r="O165">
            <v>-41.702642275671451</v>
          </cell>
          <cell r="P165">
            <v>-59.179871543941587</v>
          </cell>
          <cell r="Q165">
            <v>-71.782467690259836</v>
          </cell>
          <cell r="R165">
            <v>-76.735171720967642</v>
          </cell>
          <cell r="S165">
            <v>-83.723716872596668</v>
          </cell>
          <cell r="T165">
            <v>-92.405529681682722</v>
          </cell>
          <cell r="U165" t="str">
            <v>Subtract</v>
          </cell>
        </row>
        <row r="166">
          <cell r="B166" t="str">
            <v>Interest</v>
          </cell>
          <cell r="K166">
            <v>3.9749255318204546</v>
          </cell>
          <cell r="L166">
            <v>4.0941732977750682</v>
          </cell>
          <cell r="M166">
            <v>8.1834599465649251</v>
          </cell>
          <cell r="N166">
            <v>8.0523201528054518</v>
          </cell>
          <cell r="O166">
            <v>9.5923577243285525</v>
          </cell>
          <cell r="P166">
            <v>9.8801284560584115</v>
          </cell>
          <cell r="Q166">
            <v>10.176532309740162</v>
          </cell>
          <cell r="R166">
            <v>10.481828279032369</v>
          </cell>
          <cell r="S166">
            <v>10.79628312740334</v>
          </cell>
          <cell r="T166">
            <v>11.120171621225442</v>
          </cell>
          <cell r="U166" t="str">
            <v>Net net effect is to addback interest</v>
          </cell>
        </row>
        <row r="168">
          <cell r="A168" t="str">
            <v>Schedule III:  One-Time Gains/Losses</v>
          </cell>
        </row>
        <row r="169">
          <cell r="C169">
            <v>1990</v>
          </cell>
          <cell r="D169">
            <v>1991</v>
          </cell>
          <cell r="E169">
            <v>1992</v>
          </cell>
          <cell r="F169">
            <v>1993</v>
          </cell>
          <cell r="G169">
            <v>1994</v>
          </cell>
          <cell r="H169">
            <v>1995</v>
          </cell>
          <cell r="I169">
            <v>1996</v>
          </cell>
          <cell r="J169">
            <v>1997</v>
          </cell>
          <cell r="K169">
            <v>1998</v>
          </cell>
          <cell r="L169">
            <v>1999</v>
          </cell>
          <cell r="M169">
            <v>2000</v>
          </cell>
          <cell r="N169">
            <v>2001</v>
          </cell>
          <cell r="O169">
            <v>2002</v>
          </cell>
          <cell r="P169" t="str">
            <v>2003E</v>
          </cell>
          <cell r="Q169" t="str">
            <v>2004E</v>
          </cell>
          <cell r="R169" t="str">
            <v>2005E</v>
          </cell>
          <cell r="S169" t="str">
            <v>2006E</v>
          </cell>
          <cell r="T169" t="str">
            <v>2007E</v>
          </cell>
        </row>
        <row r="170">
          <cell r="B170">
            <v>1995</v>
          </cell>
          <cell r="H170">
            <v>0</v>
          </cell>
          <cell r="I170">
            <v>0</v>
          </cell>
          <cell r="J170">
            <v>0</v>
          </cell>
          <cell r="K170">
            <v>0</v>
          </cell>
          <cell r="L170">
            <v>0</v>
          </cell>
          <cell r="M170">
            <v>0</v>
          </cell>
          <cell r="N170">
            <v>0</v>
          </cell>
          <cell r="O170">
            <v>0</v>
          </cell>
          <cell r="P170">
            <v>0</v>
          </cell>
          <cell r="Q170">
            <v>0</v>
          </cell>
          <cell r="R170">
            <v>0</v>
          </cell>
          <cell r="S170">
            <v>0</v>
          </cell>
          <cell r="T170">
            <v>0</v>
          </cell>
        </row>
        <row r="171">
          <cell r="B171">
            <v>1996</v>
          </cell>
          <cell r="I171">
            <v>0</v>
          </cell>
          <cell r="J171">
            <v>0</v>
          </cell>
          <cell r="K171">
            <v>0</v>
          </cell>
          <cell r="L171">
            <v>0</v>
          </cell>
          <cell r="M171">
            <v>0</v>
          </cell>
          <cell r="N171">
            <v>0</v>
          </cell>
          <cell r="O171">
            <v>0</v>
          </cell>
          <cell r="P171">
            <v>0</v>
          </cell>
          <cell r="Q171">
            <v>0</v>
          </cell>
          <cell r="R171">
            <v>0</v>
          </cell>
          <cell r="S171">
            <v>0</v>
          </cell>
          <cell r="T171">
            <v>0</v>
          </cell>
        </row>
        <row r="172">
          <cell r="B172">
            <v>1997</v>
          </cell>
          <cell r="J172">
            <v>0</v>
          </cell>
          <cell r="K172">
            <v>0</v>
          </cell>
          <cell r="L172">
            <v>0</v>
          </cell>
          <cell r="M172">
            <v>0</v>
          </cell>
          <cell r="N172">
            <v>0</v>
          </cell>
          <cell r="O172">
            <v>0</v>
          </cell>
          <cell r="P172">
            <v>0</v>
          </cell>
          <cell r="Q172">
            <v>0</v>
          </cell>
          <cell r="R172">
            <v>0</v>
          </cell>
          <cell r="S172">
            <v>0</v>
          </cell>
          <cell r="T172">
            <v>0</v>
          </cell>
        </row>
        <row r="173">
          <cell r="B173">
            <v>1998</v>
          </cell>
          <cell r="K173">
            <v>0.35199999999999998</v>
          </cell>
          <cell r="L173">
            <v>0.35199999999999998</v>
          </cell>
          <cell r="M173">
            <v>0.35199999999999998</v>
          </cell>
          <cell r="N173">
            <v>0.35199999999999998</v>
          </cell>
          <cell r="O173">
            <v>0.35199999999999998</v>
          </cell>
          <cell r="P173">
            <v>0.35199999999999998</v>
          </cell>
          <cell r="Q173">
            <v>0.35199999999999998</v>
          </cell>
          <cell r="R173">
            <v>0.35199999999999998</v>
          </cell>
          <cell r="S173">
            <v>0.35199999999999998</v>
          </cell>
          <cell r="T173">
            <v>0.35199999999999998</v>
          </cell>
        </row>
        <row r="174">
          <cell r="B174">
            <v>1999</v>
          </cell>
          <cell r="L174">
            <v>0</v>
          </cell>
          <cell r="M174">
            <v>0</v>
          </cell>
          <cell r="N174">
            <v>0</v>
          </cell>
          <cell r="O174">
            <v>0</v>
          </cell>
          <cell r="P174">
            <v>0</v>
          </cell>
          <cell r="Q174">
            <v>0</v>
          </cell>
          <cell r="R174">
            <v>0</v>
          </cell>
          <cell r="S174">
            <v>0</v>
          </cell>
          <cell r="T174">
            <v>0</v>
          </cell>
        </row>
        <row r="175">
          <cell r="B175">
            <v>2000</v>
          </cell>
          <cell r="M175">
            <v>0</v>
          </cell>
          <cell r="N175">
            <v>0</v>
          </cell>
          <cell r="O175">
            <v>0</v>
          </cell>
          <cell r="P175">
            <v>0</v>
          </cell>
          <cell r="Q175">
            <v>0</v>
          </cell>
          <cell r="R175">
            <v>0</v>
          </cell>
          <cell r="S175">
            <v>0</v>
          </cell>
          <cell r="T175">
            <v>0</v>
          </cell>
        </row>
        <row r="176">
          <cell r="B176">
            <v>2001</v>
          </cell>
          <cell r="N176">
            <v>3.8079999999999998</v>
          </cell>
          <cell r="O176">
            <v>3.8079999999999998</v>
          </cell>
          <cell r="P176">
            <v>3.8079999999999998</v>
          </cell>
          <cell r="Q176">
            <v>3.8079999999999998</v>
          </cell>
          <cell r="R176">
            <v>3.8079999999999998</v>
          </cell>
          <cell r="S176">
            <v>3.8079999999999998</v>
          </cell>
          <cell r="T176">
            <v>3.8079999999999998</v>
          </cell>
        </row>
        <row r="177">
          <cell r="B177">
            <v>2002</v>
          </cell>
          <cell r="O177">
            <v>5.274</v>
          </cell>
          <cell r="P177">
            <v>5.274</v>
          </cell>
          <cell r="Q177">
            <v>5.274</v>
          </cell>
          <cell r="R177">
            <v>5.274</v>
          </cell>
          <cell r="S177">
            <v>5.274</v>
          </cell>
          <cell r="T177">
            <v>5.274</v>
          </cell>
        </row>
        <row r="178">
          <cell r="B178" t="str">
            <v>Accumulated One-Time Gains/Losses</v>
          </cell>
          <cell r="C178">
            <v>0</v>
          </cell>
          <cell r="D178">
            <v>0</v>
          </cell>
          <cell r="E178">
            <v>0</v>
          </cell>
          <cell r="F178">
            <v>0</v>
          </cell>
          <cell r="G178">
            <v>0</v>
          </cell>
          <cell r="H178">
            <v>0</v>
          </cell>
          <cell r="I178">
            <v>0</v>
          </cell>
          <cell r="J178">
            <v>0</v>
          </cell>
          <cell r="K178">
            <v>0.35199999999999998</v>
          </cell>
          <cell r="L178">
            <v>0.35199999999999998</v>
          </cell>
          <cell r="M178">
            <v>0.35199999999999998</v>
          </cell>
          <cell r="N178">
            <v>4.16</v>
          </cell>
          <cell r="O178">
            <v>9.4340000000000011</v>
          </cell>
          <cell r="P178">
            <v>9.4340000000000011</v>
          </cell>
          <cell r="Q178">
            <v>9.4340000000000011</v>
          </cell>
          <cell r="R178">
            <v>9.4340000000000011</v>
          </cell>
          <cell r="S178">
            <v>9.4340000000000011</v>
          </cell>
          <cell r="T178">
            <v>9.4340000000000011</v>
          </cell>
        </row>
        <row r="180">
          <cell r="A180" t="str">
            <v>Schedule IV:  Operating Gains/Losses</v>
          </cell>
        </row>
        <row r="181">
          <cell r="C181">
            <v>1990</v>
          </cell>
          <cell r="D181">
            <v>1991</v>
          </cell>
          <cell r="E181">
            <v>1992</v>
          </cell>
          <cell r="F181">
            <v>1993</v>
          </cell>
          <cell r="G181">
            <v>1994</v>
          </cell>
          <cell r="H181">
            <v>1995</v>
          </cell>
          <cell r="I181">
            <v>1996</v>
          </cell>
          <cell r="J181">
            <v>1997</v>
          </cell>
          <cell r="K181">
            <v>1998</v>
          </cell>
          <cell r="L181">
            <v>1999</v>
          </cell>
          <cell r="M181">
            <v>2000</v>
          </cell>
          <cell r="N181">
            <v>2001</v>
          </cell>
          <cell r="O181">
            <v>2002</v>
          </cell>
          <cell r="P181" t="str">
            <v>2003E</v>
          </cell>
          <cell r="Q181" t="str">
            <v>2004E</v>
          </cell>
          <cell r="R181" t="str">
            <v>2005E</v>
          </cell>
          <cell r="S181" t="str">
            <v>2006E</v>
          </cell>
          <cell r="T181" t="str">
            <v>2007E</v>
          </cell>
        </row>
        <row r="182">
          <cell r="B182" t="str">
            <v>Asset impairments</v>
          </cell>
          <cell r="G182">
            <v>0</v>
          </cell>
          <cell r="H182">
            <v>0</v>
          </cell>
          <cell r="I182">
            <v>0</v>
          </cell>
          <cell r="J182">
            <v>0</v>
          </cell>
          <cell r="K182">
            <v>-105.987619</v>
          </cell>
          <cell r="L182">
            <v>0</v>
          </cell>
          <cell r="M182">
            <v>0</v>
          </cell>
          <cell r="N182">
            <v>0</v>
          </cell>
          <cell r="O182">
            <v>0</v>
          </cell>
          <cell r="P182">
            <v>0</v>
          </cell>
          <cell r="Q182">
            <v>0</v>
          </cell>
          <cell r="R182">
            <v>0</v>
          </cell>
          <cell r="S182">
            <v>0</v>
          </cell>
          <cell r="T182">
            <v>0</v>
          </cell>
        </row>
        <row r="183">
          <cell r="B183" t="str">
            <v>Gains and losses  on asset sales</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row>
        <row r="184">
          <cell r="B184" t="str">
            <v>Compliance settlements</v>
          </cell>
          <cell r="G184">
            <v>0</v>
          </cell>
          <cell r="H184">
            <v>0</v>
          </cell>
          <cell r="I184">
            <v>0</v>
          </cell>
          <cell r="J184">
            <v>0</v>
          </cell>
          <cell r="K184">
            <v>-12.917870000000001</v>
          </cell>
          <cell r="L184">
            <v>-9.1</v>
          </cell>
          <cell r="M184">
            <v>0</v>
          </cell>
          <cell r="N184">
            <v>0</v>
          </cell>
          <cell r="O184">
            <v>0</v>
          </cell>
          <cell r="P184">
            <v>0</v>
          </cell>
          <cell r="Q184">
            <v>0</v>
          </cell>
          <cell r="R184">
            <v>0</v>
          </cell>
          <cell r="S184">
            <v>0</v>
          </cell>
          <cell r="T184">
            <v>0</v>
          </cell>
        </row>
        <row r="185">
          <cell r="B185" t="str">
            <v>Other</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row>
        <row r="186">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row>
        <row r="187">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row>
        <row r="188">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row>
        <row r="189">
          <cell r="B189" t="str">
            <v xml:space="preserve"> Gains/Losses</v>
          </cell>
          <cell r="C189">
            <v>0</v>
          </cell>
          <cell r="D189">
            <v>0</v>
          </cell>
          <cell r="E189">
            <v>0</v>
          </cell>
          <cell r="F189">
            <v>0</v>
          </cell>
          <cell r="G189">
            <v>0</v>
          </cell>
          <cell r="H189">
            <v>0</v>
          </cell>
          <cell r="I189">
            <v>0</v>
          </cell>
          <cell r="J189">
            <v>0</v>
          </cell>
          <cell r="K189">
            <v>-118.90548899999999</v>
          </cell>
          <cell r="L189">
            <v>-9.1</v>
          </cell>
          <cell r="M189">
            <v>0</v>
          </cell>
          <cell r="N189">
            <v>0</v>
          </cell>
          <cell r="O189">
            <v>0</v>
          </cell>
          <cell r="P189">
            <v>0</v>
          </cell>
          <cell r="Q189">
            <v>0</v>
          </cell>
          <cell r="R189">
            <v>0</v>
          </cell>
          <cell r="S189">
            <v>0</v>
          </cell>
          <cell r="T189">
            <v>0</v>
          </cell>
        </row>
        <row r="190">
          <cell r="T190" t="str">
            <v>Action:</v>
          </cell>
        </row>
        <row r="191">
          <cell r="B191">
            <v>2002</v>
          </cell>
          <cell r="L191" t="str">
            <v>$5.274 mm, net ($3.372 of tax) loss on early retirement of debt</v>
          </cell>
          <cell r="T191" t="str">
            <v>NOA</v>
          </cell>
        </row>
        <row r="192">
          <cell r="B192">
            <v>2001</v>
          </cell>
          <cell r="L192" t="str">
            <v>$6.2 mm ($3.808 mm, net) loss on early retirement of debt</v>
          </cell>
          <cell r="T192" t="str">
            <v>NOA</v>
          </cell>
        </row>
        <row r="193">
          <cell r="B193">
            <v>2000</v>
          </cell>
        </row>
        <row r="194">
          <cell r="B194">
            <v>1999</v>
          </cell>
          <cell r="L194" t="str">
            <v>$17.279 mm compliance settlement and Y2K costs ($3.3 mm for Y2K)</v>
          </cell>
          <cell r="T194" t="str">
            <v>NOPAT</v>
          </cell>
        </row>
        <row r="195">
          <cell r="B195">
            <v>1998</v>
          </cell>
          <cell r="L195" t="str">
            <v>$164.833 mm impairment of long-lived assets ($134.3 mm related to goodwill reduction; the rest to tangibles)</v>
          </cell>
          <cell r="T195" t="str">
            <v>NOPAT</v>
          </cell>
        </row>
        <row r="196">
          <cell r="L196" t="str">
            <v>$20.209 mm compliance settlement ($0.2 mm for Y2K)</v>
          </cell>
          <cell r="T196" t="str">
            <v>NOPAT</v>
          </cell>
        </row>
        <row r="197">
          <cell r="L197" t="str">
            <v>$(.352) net of $189 in taxes for cumulative change in accounting principle</v>
          </cell>
          <cell r="T197" t="str">
            <v>NOA</v>
          </cell>
        </row>
        <row r="198">
          <cell r="B198">
            <v>1997</v>
          </cell>
        </row>
        <row r="199">
          <cell r="B199">
            <v>1996</v>
          </cell>
          <cell r="L199" t="str">
            <v>$15.655 mm asset impairment</v>
          </cell>
        </row>
        <row r="200">
          <cell r="L200" t="str">
            <v>$3.146 mm loss on hospital sales</v>
          </cell>
        </row>
        <row r="201">
          <cell r="B201">
            <v>1995</v>
          </cell>
          <cell r="L201" t="str">
            <v>$25.4 mm asset impairment</v>
          </cell>
        </row>
        <row r="206">
          <cell r="A206" t="str">
            <v>Notes to self:</v>
          </cell>
        </row>
        <row r="207">
          <cell r="A207" t="str">
            <v>there are Capitalized Interest Costs in PP&amp;E, but it is a minor amount in grand scheme of things</v>
          </cell>
        </row>
        <row r="208">
          <cell r="A208" t="str">
            <v>D&amp;A includes amortization of MD recruitment costs, while other assets includes the capitalized contracts.  CYH does not break it out, so can't do anything about these.  Tried to parse out, but just couldn't figure it out</v>
          </cell>
        </row>
      </sheetData>
      <sheetData sheetId="17" refreshError="1">
        <row r="1">
          <cell r="A1" t="str">
            <v>Community Health Systems</v>
          </cell>
        </row>
        <row r="2">
          <cell r="A2" t="str">
            <v>ROIC Analysis - NOA Adjustments</v>
          </cell>
        </row>
        <row r="4">
          <cell r="A4" t="str">
            <v xml:space="preserve">December Year End </v>
          </cell>
        </row>
        <row r="5">
          <cell r="A5" t="str">
            <v>$ in millions except as noted</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t="str">
            <v>2006E</v>
          </cell>
          <cell r="T5" t="str">
            <v>2007E</v>
          </cell>
        </row>
        <row r="6">
          <cell r="A6" t="str">
            <v>NET OPERATING ASSETS (NOA)</v>
          </cell>
        </row>
        <row r="7">
          <cell r="A7" t="str">
            <v>Accounts receivable, net</v>
          </cell>
          <cell r="K7">
            <v>148.797</v>
          </cell>
          <cell r="L7">
            <v>226.35</v>
          </cell>
          <cell r="M7">
            <v>309.82600000000002</v>
          </cell>
          <cell r="N7">
            <v>370.05200000000002</v>
          </cell>
          <cell r="O7">
            <v>400.44200000000001</v>
          </cell>
          <cell r="P7">
            <v>559.09699999999998</v>
          </cell>
          <cell r="Q7">
            <v>597.26099999999997</v>
          </cell>
          <cell r="R7">
            <v>656.029</v>
          </cell>
          <cell r="S7">
            <v>745.30211787958126</v>
          </cell>
          <cell r="T7">
            <v>791.94411490301934</v>
          </cell>
        </row>
        <row r="8">
          <cell r="A8" t="str">
            <v>Supplies</v>
          </cell>
          <cell r="K8">
            <v>26.036999999999999</v>
          </cell>
          <cell r="L8">
            <v>32.134</v>
          </cell>
          <cell r="M8">
            <v>39.679000000000002</v>
          </cell>
          <cell r="N8">
            <v>47.466000000000001</v>
          </cell>
          <cell r="O8">
            <v>60.456000000000003</v>
          </cell>
          <cell r="P8">
            <v>77.418000000000006</v>
          </cell>
          <cell r="Q8">
            <v>88.266999999999996</v>
          </cell>
          <cell r="R8">
            <v>95.2</v>
          </cell>
          <cell r="S8">
            <v>103.85357380289246</v>
          </cell>
          <cell r="T8">
            <v>113.74856179388246</v>
          </cell>
        </row>
        <row r="9">
          <cell r="A9" t="str">
            <v>Prepaid expenses</v>
          </cell>
          <cell r="K9">
            <v>7.5640000000000001</v>
          </cell>
          <cell r="L9">
            <v>9.8460000000000001</v>
          </cell>
          <cell r="M9">
            <v>19.989000000000001</v>
          </cell>
          <cell r="N9">
            <v>14.846</v>
          </cell>
          <cell r="O9">
            <v>22.106999999999999</v>
          </cell>
          <cell r="P9">
            <v>24.314</v>
          </cell>
          <cell r="Q9">
            <v>30.483000000000001</v>
          </cell>
          <cell r="R9">
            <v>33.377000000000002</v>
          </cell>
          <cell r="S9">
            <v>39.342177370036914</v>
          </cell>
          <cell r="T9">
            <v>43.090631644270779</v>
          </cell>
        </row>
        <row r="10">
          <cell r="A10" t="str">
            <v>Deferred income taxes</v>
          </cell>
          <cell r="K10">
            <v>7.4560000000000004</v>
          </cell>
          <cell r="L10">
            <v>5.8620000000000001</v>
          </cell>
          <cell r="M10">
            <v>2.2330000000000001</v>
          </cell>
          <cell r="N10">
            <v>33.411000000000001</v>
          </cell>
          <cell r="O10">
            <v>15.683999999999999</v>
          </cell>
          <cell r="P10">
            <v>0</v>
          </cell>
          <cell r="Q10">
            <v>0</v>
          </cell>
          <cell r="R10">
            <v>4.1280000000000001</v>
          </cell>
          <cell r="S10">
            <v>4.1280000000000001</v>
          </cell>
          <cell r="T10">
            <v>4.1280000000000001</v>
          </cell>
        </row>
        <row r="11">
          <cell r="A11" t="str">
            <v>Other current assets</v>
          </cell>
          <cell r="K11">
            <v>13.683</v>
          </cell>
          <cell r="L11">
            <v>22.021999999999998</v>
          </cell>
          <cell r="M11">
            <v>23.11</v>
          </cell>
          <cell r="N11">
            <v>20.398</v>
          </cell>
          <cell r="O11">
            <v>16.193000000000001</v>
          </cell>
          <cell r="P11">
            <v>18.920000000000002</v>
          </cell>
          <cell r="Q11">
            <v>16.940000000000001</v>
          </cell>
          <cell r="R11">
            <v>21.367000000000001</v>
          </cell>
          <cell r="S11">
            <v>56.203110528624158</v>
          </cell>
          <cell r="T11">
            <v>61.558045206101106</v>
          </cell>
        </row>
        <row r="12">
          <cell r="A12" t="str">
            <v xml:space="preserve">  Total Current Assets</v>
          </cell>
          <cell r="K12">
            <v>203.53699999999998</v>
          </cell>
          <cell r="L12">
            <v>296.214</v>
          </cell>
          <cell r="M12">
            <v>394.83699999999999</v>
          </cell>
          <cell r="N12">
            <v>486.17300000000006</v>
          </cell>
          <cell r="O12">
            <v>514.88200000000006</v>
          </cell>
          <cell r="P12">
            <v>679.74899999999991</v>
          </cell>
          <cell r="Q12">
            <v>732.95100000000002</v>
          </cell>
          <cell r="R12">
            <v>810.101</v>
          </cell>
          <cell r="S12">
            <v>948.82897958113483</v>
          </cell>
          <cell r="T12">
            <v>1014.4693535472737</v>
          </cell>
        </row>
        <row r="14">
          <cell r="A14" t="str">
            <v xml:space="preserve">PP&amp;E, net of depreciation </v>
          </cell>
          <cell r="K14">
            <v>553.01499999999999</v>
          </cell>
          <cell r="L14">
            <v>623.34299999999996</v>
          </cell>
          <cell r="M14">
            <v>708.08100000000002</v>
          </cell>
          <cell r="N14">
            <v>866.53400000000011</v>
          </cell>
          <cell r="O14">
            <v>1029.337</v>
          </cell>
          <cell r="P14">
            <v>1395.345</v>
          </cell>
          <cell r="Q14">
            <v>1484.548</v>
          </cell>
          <cell r="R14">
            <v>1610.9910000000002</v>
          </cell>
          <cell r="S14">
            <v>1873.16848</v>
          </cell>
          <cell r="T14">
            <v>1993.9740234426231</v>
          </cell>
        </row>
        <row r="15">
          <cell r="A15" t="str">
            <v xml:space="preserve">Goodwill, net </v>
          </cell>
          <cell r="K15">
            <v>878.41600000000005</v>
          </cell>
          <cell r="L15">
            <v>877.89</v>
          </cell>
          <cell r="M15">
            <v>985.56799999999998</v>
          </cell>
          <cell r="N15">
            <v>1000.918</v>
          </cell>
          <cell r="O15">
            <v>1029.9749999999999</v>
          </cell>
          <cell r="P15">
            <v>1155.797</v>
          </cell>
          <cell r="Q15">
            <v>1213.7829999999999</v>
          </cell>
          <cell r="R15">
            <v>1259.816</v>
          </cell>
          <cell r="S15">
            <v>1376.9390000000001</v>
          </cell>
          <cell r="T15">
            <v>1445.1661200000001</v>
          </cell>
        </row>
        <row r="16">
          <cell r="A16" t="str">
            <v>Other intangibles, net</v>
          </cell>
          <cell r="L16">
            <v>0</v>
          </cell>
          <cell r="M16">
            <v>0</v>
          </cell>
          <cell r="N16">
            <v>0</v>
          </cell>
          <cell r="O16">
            <v>0</v>
          </cell>
          <cell r="P16">
            <v>7.8</v>
          </cell>
          <cell r="Q16">
            <v>6.7</v>
          </cell>
          <cell r="R16">
            <v>7.6</v>
          </cell>
          <cell r="S16">
            <v>6.2999999999999989</v>
          </cell>
          <cell r="T16">
            <v>5.0999999999999988</v>
          </cell>
        </row>
        <row r="17">
          <cell r="A17" t="str">
            <v>Other assets, net</v>
          </cell>
          <cell r="K17">
            <v>85.474000000000004</v>
          </cell>
          <cell r="L17">
            <v>93.355000000000004</v>
          </cell>
          <cell r="M17">
            <v>111.611</v>
          </cell>
          <cell r="N17">
            <v>98.653000000000006</v>
          </cell>
          <cell r="O17">
            <v>102.458</v>
          </cell>
          <cell r="P17">
            <v>95.189000000000007</v>
          </cell>
          <cell r="Q17">
            <v>112.128</v>
          </cell>
          <cell r="R17">
            <v>141.602</v>
          </cell>
          <cell r="S17">
            <v>172.91000000000003</v>
          </cell>
          <cell r="T17">
            <v>189.96678000000003</v>
          </cell>
        </row>
        <row r="19">
          <cell r="A19" t="str">
            <v>Accounts payable</v>
          </cell>
          <cell r="K19">
            <v>63.843000000000004</v>
          </cell>
          <cell r="L19">
            <v>57.392000000000003</v>
          </cell>
          <cell r="M19">
            <v>83.191000000000003</v>
          </cell>
          <cell r="N19">
            <v>91.096000000000004</v>
          </cell>
          <cell r="O19">
            <v>111.67700000000001</v>
          </cell>
          <cell r="P19">
            <v>154.71100000000001</v>
          </cell>
          <cell r="Q19">
            <v>162.63800000000001</v>
          </cell>
          <cell r="R19">
            <v>189.94</v>
          </cell>
          <cell r="S19">
            <v>197.32179022549565</v>
          </cell>
          <cell r="T19">
            <v>216.06412783319809</v>
          </cell>
        </row>
        <row r="20">
          <cell r="A20" t="str">
            <v>Income taxes payable</v>
          </cell>
          <cell r="K20">
            <v>0</v>
          </cell>
          <cell r="L20">
            <v>0</v>
          </cell>
          <cell r="M20">
            <v>0</v>
          </cell>
          <cell r="N20">
            <v>2.3250000000000002</v>
          </cell>
          <cell r="O20">
            <v>6.5590000000000002</v>
          </cell>
          <cell r="P20">
            <v>9.7949999999999999</v>
          </cell>
          <cell r="Q20">
            <v>4.1079999999999997</v>
          </cell>
          <cell r="R20">
            <v>19.811</v>
          </cell>
          <cell r="S20">
            <v>50.289000000000001</v>
          </cell>
          <cell r="T20">
            <v>50.289000000000001</v>
          </cell>
        </row>
        <row r="21">
          <cell r="A21" t="str">
            <v>Compliance settlement payable</v>
          </cell>
          <cell r="K21">
            <v>20</v>
          </cell>
          <cell r="L21">
            <v>30.9</v>
          </cell>
          <cell r="M21">
            <v>0</v>
          </cell>
          <cell r="N21">
            <v>0</v>
          </cell>
          <cell r="O21">
            <v>0</v>
          </cell>
          <cell r="P21">
            <v>0</v>
          </cell>
          <cell r="Q21">
            <v>0</v>
          </cell>
          <cell r="R21">
            <v>0</v>
          </cell>
          <cell r="S21">
            <v>0</v>
          </cell>
          <cell r="T21">
            <v>0</v>
          </cell>
        </row>
        <row r="22">
          <cell r="A22" t="str">
            <v>Accrued employee compensation</v>
          </cell>
          <cell r="K22">
            <v>36.524000000000001</v>
          </cell>
          <cell r="L22">
            <v>49.345999999999997</v>
          </cell>
          <cell r="M22">
            <v>56.84</v>
          </cell>
          <cell r="N22">
            <v>73.328999999999994</v>
          </cell>
          <cell r="O22">
            <v>94.358999999999995</v>
          </cell>
          <cell r="P22">
            <v>115.47799999999999</v>
          </cell>
          <cell r="Q22">
            <v>98.364999999999995</v>
          </cell>
          <cell r="R22">
            <v>121.77500000000001</v>
          </cell>
          <cell r="S22">
            <v>116.31795755004056</v>
          </cell>
          <cell r="T22">
            <v>128.14144068800721</v>
          </cell>
        </row>
        <row r="23">
          <cell r="A23" t="str">
            <v>Other accruals (excl. interest)</v>
          </cell>
          <cell r="K23">
            <v>39.695</v>
          </cell>
          <cell r="L23">
            <v>51.158999999999999</v>
          </cell>
          <cell r="M23">
            <v>56.02</v>
          </cell>
          <cell r="N23">
            <v>67.45</v>
          </cell>
          <cell r="O23">
            <v>80.525000000000006</v>
          </cell>
          <cell r="P23">
            <v>80.844999999999999</v>
          </cell>
          <cell r="Q23">
            <v>62.688000000000002</v>
          </cell>
          <cell r="R23">
            <v>78.162000000000006</v>
          </cell>
          <cell r="S23">
            <v>154.38994462213054</v>
          </cell>
          <cell r="T23">
            <v>167.37012721953855</v>
          </cell>
        </row>
        <row r="24">
          <cell r="A24" t="str">
            <v xml:space="preserve">  Total Current Liab. (non-interest)</v>
          </cell>
          <cell r="K24">
            <v>160.06200000000001</v>
          </cell>
          <cell r="L24">
            <v>188.797</v>
          </cell>
          <cell r="M24">
            <v>196.05100000000002</v>
          </cell>
          <cell r="N24">
            <v>234.2</v>
          </cell>
          <cell r="O24">
            <v>293.12</v>
          </cell>
          <cell r="P24">
            <v>360.82899999999995</v>
          </cell>
          <cell r="Q24">
            <v>327.79899999999998</v>
          </cell>
          <cell r="R24">
            <v>409.68799999999999</v>
          </cell>
          <cell r="S24">
            <v>518.31869239766672</v>
          </cell>
          <cell r="T24">
            <v>561.86469574074385</v>
          </cell>
        </row>
        <row r="25">
          <cell r="A25" t="str">
            <v>Other non-current liabilities</v>
          </cell>
          <cell r="K25">
            <v>26.908000000000001</v>
          </cell>
          <cell r="L25">
            <v>22.495000000000001</v>
          </cell>
          <cell r="M25">
            <v>15.2</v>
          </cell>
          <cell r="N25">
            <v>65.343999999999994</v>
          </cell>
          <cell r="O25">
            <v>94.532000000000011</v>
          </cell>
          <cell r="P25">
            <v>148.37700000000001</v>
          </cell>
          <cell r="Q25">
            <v>216.79</v>
          </cell>
          <cell r="R25">
            <v>266.53800000000001</v>
          </cell>
          <cell r="S25">
            <v>269.29200000000003</v>
          </cell>
          <cell r="T25">
            <v>269.29200000000003</v>
          </cell>
        </row>
        <row r="26">
          <cell r="A26" t="str">
            <v>Reported NOA</v>
          </cell>
          <cell r="K26">
            <v>1533.4720000000002</v>
          </cell>
          <cell r="L26">
            <v>1679.51</v>
          </cell>
          <cell r="M26">
            <v>1988.8459999999998</v>
          </cell>
          <cell r="N26">
            <v>2152.7340000000004</v>
          </cell>
          <cell r="O26">
            <v>2289</v>
          </cell>
          <cell r="P26">
            <v>2824.6739999999995</v>
          </cell>
          <cell r="Q26">
            <v>3005.5210000000002</v>
          </cell>
          <cell r="R26">
            <v>3153.884</v>
          </cell>
          <cell r="S26">
            <v>3590.5357671834681</v>
          </cell>
          <cell r="T26">
            <v>3817.5195812491534</v>
          </cell>
        </row>
        <row r="28">
          <cell r="A28" t="str">
            <v>NOA Adjustments:</v>
          </cell>
        </row>
        <row r="29">
          <cell r="A29" t="str">
            <v xml:space="preserve">PV of noncapitalized leases </v>
          </cell>
          <cell r="K29">
            <v>63.094056060642139</v>
          </cell>
          <cell r="L29">
            <v>64.986877742461402</v>
          </cell>
          <cell r="M29">
            <v>129.8961896280147</v>
          </cell>
          <cell r="N29">
            <v>127.81460560008654</v>
          </cell>
          <cell r="O29">
            <v>152.25964641791353</v>
          </cell>
          <cell r="P29">
            <v>189.81650896928747</v>
          </cell>
          <cell r="Q29">
            <v>230.72541289154668</v>
          </cell>
          <cell r="R29">
            <v>253.00435812233121</v>
          </cell>
          <cell r="S29">
            <v>260.5944888660012</v>
          </cell>
          <cell r="T29">
            <v>268.4123235319812</v>
          </cell>
        </row>
        <row r="30">
          <cell r="A30" t="str">
            <v xml:space="preserve">Accumulated goodwill amortization </v>
          </cell>
          <cell r="K30">
            <v>73.058000000000007</v>
          </cell>
          <cell r="L30">
            <v>96.766000000000005</v>
          </cell>
          <cell r="M30">
            <v>122.459</v>
          </cell>
          <cell r="N30">
            <v>150.05199999999999</v>
          </cell>
          <cell r="O30">
            <v>150.05199999999999</v>
          </cell>
          <cell r="P30">
            <v>151.05199999999999</v>
          </cell>
          <cell r="Q30">
            <v>151.05199999999999</v>
          </cell>
          <cell r="R30">
            <v>151.05199999999999</v>
          </cell>
          <cell r="S30">
            <v>151.05199999999999</v>
          </cell>
          <cell r="T30">
            <v>151.05199999999999</v>
          </cell>
        </row>
        <row r="31">
          <cell r="A31" t="str">
            <v>Accumulated other intangibles amortization</v>
          </cell>
          <cell r="K31">
            <v>27.343</v>
          </cell>
          <cell r="L31">
            <v>1</v>
          </cell>
          <cell r="M31">
            <v>1</v>
          </cell>
          <cell r="N31">
            <v>1</v>
          </cell>
          <cell r="O31">
            <v>1</v>
          </cell>
          <cell r="P31">
            <v>2.0000000000000009</v>
          </cell>
          <cell r="Q31">
            <v>3.1000000000000005</v>
          </cell>
          <cell r="R31">
            <v>4.4000000000000004</v>
          </cell>
          <cell r="S31">
            <v>5.7</v>
          </cell>
          <cell r="T31">
            <v>6.9</v>
          </cell>
        </row>
        <row r="32">
          <cell r="A32" t="str">
            <v>After-tax accumulated charges/(gains)</v>
          </cell>
          <cell r="K32">
            <v>119.205406</v>
          </cell>
          <cell r="L32">
            <v>128.29175599999999</v>
          </cell>
          <cell r="M32">
            <v>128.29175599999999</v>
          </cell>
          <cell r="N32">
            <v>132.09975599999999</v>
          </cell>
          <cell r="O32">
            <v>137.37375599999999</v>
          </cell>
          <cell r="P32">
            <v>137.37375599999999</v>
          </cell>
          <cell r="Q32">
            <v>137.37375599999999</v>
          </cell>
          <cell r="R32">
            <v>137.37375599999999</v>
          </cell>
          <cell r="S32">
            <v>137.37375599999999</v>
          </cell>
          <cell r="T32">
            <v>137.37375599999999</v>
          </cell>
        </row>
        <row r="33">
          <cell r="A33" t="str">
            <v>NOA of small acquisitions</v>
          </cell>
          <cell r="K33">
            <v>218.56399999999999</v>
          </cell>
          <cell r="L33">
            <v>93.076999999999998</v>
          </cell>
          <cell r="M33">
            <v>246.94099999999997</v>
          </cell>
          <cell r="N33">
            <v>215.12700000000001</v>
          </cell>
          <cell r="O33">
            <v>173.185</v>
          </cell>
          <cell r="P33">
            <v>450.572</v>
          </cell>
          <cell r="Q33">
            <v>126.52499999999999</v>
          </cell>
          <cell r="R33">
            <v>158.37899999999996</v>
          </cell>
          <cell r="S33">
            <v>328.01499999999999</v>
          </cell>
          <cell r="T33">
            <v>170.56780000000001</v>
          </cell>
        </row>
        <row r="35">
          <cell r="A35" t="str">
            <v xml:space="preserve">Adjusted NOA </v>
          </cell>
          <cell r="K35">
            <v>1788.8294620606423</v>
          </cell>
          <cell r="L35">
            <v>1969.5546337424616</v>
          </cell>
          <cell r="M35">
            <v>2369.4929456280142</v>
          </cell>
          <cell r="N35">
            <v>2562.700361600087</v>
          </cell>
          <cell r="O35">
            <v>2728.6854024179138</v>
          </cell>
          <cell r="P35">
            <v>3302.9162649692871</v>
          </cell>
          <cell r="Q35">
            <v>3524.6721688915468</v>
          </cell>
          <cell r="R35">
            <v>3695.3141141223314</v>
          </cell>
          <cell r="S35">
            <v>4139.5560120494692</v>
          </cell>
          <cell r="T35">
            <v>4374.3576607811347</v>
          </cell>
        </row>
        <row r="38">
          <cell r="A38" t="str">
            <v>NET OPERATING PROFIT AFTER-TAX (NOPAT)</v>
          </cell>
        </row>
        <row r="39">
          <cell r="A39" t="str">
            <v>Operating income (EBIT)</v>
          </cell>
          <cell r="K39">
            <v>89.890000000000086</v>
          </cell>
          <cell r="L39">
            <v>122.53400000000008</v>
          </cell>
          <cell r="M39">
            <v>155.11199999999994</v>
          </cell>
          <cell r="N39">
            <v>189.04299999999995</v>
          </cell>
          <cell r="O39">
            <v>244.70199999999988</v>
          </cell>
          <cell r="P39">
            <v>293.34499999999991</v>
          </cell>
          <cell r="Q39">
            <v>344.96599999999989</v>
          </cell>
          <cell r="R39">
            <v>409.13700000000046</v>
          </cell>
          <cell r="S39">
            <v>456.33937323969889</v>
          </cell>
          <cell r="T39">
            <v>486.71322010484113</v>
          </cell>
        </row>
        <row r="40">
          <cell r="A40" t="str">
            <v>Lease rental expense</v>
          </cell>
          <cell r="K40">
            <v>3.9749255318204546</v>
          </cell>
          <cell r="L40">
            <v>4.0941732977750682</v>
          </cell>
          <cell r="M40">
            <v>8.1834599465649251</v>
          </cell>
          <cell r="N40">
            <v>8.0523201528054518</v>
          </cell>
          <cell r="O40">
            <v>9.5923577243285525</v>
          </cell>
          <cell r="P40">
            <v>11.95844006506511</v>
          </cell>
          <cell r="Q40">
            <v>14.535701012167442</v>
          </cell>
          <cell r="R40">
            <v>15.939274561706867</v>
          </cell>
          <cell r="S40">
            <v>16.417452798558077</v>
          </cell>
          <cell r="T40">
            <v>16.909976382514817</v>
          </cell>
        </row>
        <row r="41">
          <cell r="A41" t="str">
            <v>Reported NOP</v>
          </cell>
          <cell r="K41">
            <v>93.864925531820546</v>
          </cell>
          <cell r="L41">
            <v>126.62817329777515</v>
          </cell>
          <cell r="M41">
            <v>163.29545994656488</v>
          </cell>
          <cell r="N41">
            <v>197.09532015280541</v>
          </cell>
          <cell r="O41">
            <v>254.29435772432845</v>
          </cell>
          <cell r="P41">
            <v>305.30344006506505</v>
          </cell>
          <cell r="Q41">
            <v>359.50170101216736</v>
          </cell>
          <cell r="R41">
            <v>425.07627456170735</v>
          </cell>
          <cell r="S41">
            <v>472.75682603825697</v>
          </cell>
          <cell r="T41">
            <v>503.62319648735593</v>
          </cell>
        </row>
        <row r="42">
          <cell r="B42" t="str">
            <v>Effective tax rate</v>
          </cell>
          <cell r="K42">
            <v>0.35699999999999998</v>
          </cell>
          <cell r="L42">
            <v>0.35</v>
          </cell>
          <cell r="M42">
            <v>0.40299999999999997</v>
          </cell>
          <cell r="N42">
            <v>0.41</v>
          </cell>
          <cell r="O42">
            <v>0.40699999999999997</v>
          </cell>
          <cell r="P42">
            <v>0.39400000000000002</v>
          </cell>
          <cell r="Q42">
            <v>0.38699999999999996</v>
          </cell>
          <cell r="R42">
            <v>0.38699999999999996</v>
          </cell>
          <cell r="S42">
            <v>0.38699999999999996</v>
          </cell>
          <cell r="T42">
            <v>0.38699999999999996</v>
          </cell>
        </row>
        <row r="44">
          <cell r="A44" t="str">
            <v>Goodwill amortization</v>
          </cell>
          <cell r="K44">
            <v>26.638999999999999</v>
          </cell>
          <cell r="L44">
            <v>24.707999999999998</v>
          </cell>
          <cell r="M44">
            <v>25.693000000000001</v>
          </cell>
          <cell r="N44">
            <v>28.755000000000003</v>
          </cell>
          <cell r="O44">
            <v>0</v>
          </cell>
          <cell r="P44">
            <v>0</v>
          </cell>
          <cell r="Q44">
            <v>0</v>
          </cell>
          <cell r="R44">
            <v>0</v>
          </cell>
          <cell r="S44">
            <v>0</v>
          </cell>
          <cell r="T44">
            <v>0</v>
          </cell>
        </row>
        <row r="45">
          <cell r="A45" t="str">
            <v>Intangible amortization</v>
          </cell>
          <cell r="L45">
            <v>0</v>
          </cell>
          <cell r="M45">
            <v>0</v>
          </cell>
          <cell r="N45">
            <v>0</v>
          </cell>
          <cell r="O45">
            <v>0.3</v>
          </cell>
          <cell r="P45">
            <v>0.93333333333333346</v>
          </cell>
          <cell r="Q45">
            <v>1.01400000000001</v>
          </cell>
          <cell r="R45">
            <v>1.3</v>
          </cell>
          <cell r="S45">
            <v>1.3</v>
          </cell>
          <cell r="T45">
            <v>1.2</v>
          </cell>
        </row>
        <row r="46">
          <cell r="A46" t="str">
            <v>After-tax operating (charges)/gains</v>
          </cell>
          <cell r="K46">
            <v>0</v>
          </cell>
          <cell r="L46">
            <v>0</v>
          </cell>
          <cell r="M46">
            <v>0</v>
          </cell>
          <cell r="N46">
            <v>0</v>
          </cell>
          <cell r="O46">
            <v>0</v>
          </cell>
          <cell r="P46">
            <v>0</v>
          </cell>
          <cell r="Q46">
            <v>0</v>
          </cell>
          <cell r="R46">
            <v>0</v>
          </cell>
          <cell r="S46">
            <v>0</v>
          </cell>
          <cell r="T46">
            <v>0</v>
          </cell>
        </row>
        <row r="47">
          <cell r="A47" t="str">
            <v>Discontinued operations</v>
          </cell>
          <cell r="L47">
            <v>0</v>
          </cell>
          <cell r="M47">
            <v>0</v>
          </cell>
          <cell r="N47">
            <v>0</v>
          </cell>
          <cell r="O47">
            <v>-0.81699999999999995</v>
          </cell>
          <cell r="P47">
            <v>-0.57699999999999996</v>
          </cell>
          <cell r="Q47">
            <v>-10.923999999999999</v>
          </cell>
          <cell r="R47">
            <v>-22.594000000000001</v>
          </cell>
          <cell r="S47">
            <v>-3.2160000000000002</v>
          </cell>
          <cell r="T47">
            <v>0</v>
          </cell>
        </row>
        <row r="49">
          <cell r="A49" t="str">
            <v>Adjusted NOPAT</v>
          </cell>
          <cell r="K49">
            <v>86.994147116960619</v>
          </cell>
          <cell r="L49">
            <v>107.01631264355385</v>
          </cell>
          <cell r="M49">
            <v>123.18038958809923</v>
          </cell>
          <cell r="N49">
            <v>145.0412388901552</v>
          </cell>
          <cell r="O49">
            <v>151.09655413052678</v>
          </cell>
          <cell r="P49">
            <v>185.94721801276276</v>
          </cell>
          <cell r="Q49">
            <v>221.38854272045859</v>
          </cell>
          <cell r="R49">
            <v>261.87175630632663</v>
          </cell>
          <cell r="S49">
            <v>291.09993436145152</v>
          </cell>
          <cell r="T49">
            <v>309.92101944674914</v>
          </cell>
        </row>
        <row r="51">
          <cell r="A51" t="str">
            <v>ROIC</v>
          </cell>
          <cell r="L51">
            <v>5.6948044646664163E-2</v>
          </cell>
          <cell r="M51">
            <v>5.677761643995187E-2</v>
          </cell>
          <cell r="N51">
            <v>5.881409338826931E-2</v>
          </cell>
          <cell r="O51">
            <v>5.711039068744516E-2</v>
          </cell>
          <cell r="P51">
            <v>5.6297890438494612E-2</v>
          </cell>
          <cell r="Q51">
            <v>6.4851168129145362E-2</v>
          </cell>
          <cell r="R51">
            <v>7.2540790533749344E-2</v>
          </cell>
          <cell r="S51">
            <v>7.4308809124749589E-2</v>
          </cell>
          <cell r="T51">
            <v>7.2803420696115728E-2</v>
          </cell>
        </row>
        <row r="53">
          <cell r="A53" t="str">
            <v>Operating profit margin</v>
          </cell>
          <cell r="L53">
            <v>9.9093490775574347E-2</v>
          </cell>
          <cell r="M53">
            <v>9.2097418684620971E-2</v>
          </cell>
          <cell r="N53">
            <v>8.5639524032861583E-2</v>
          </cell>
          <cell r="O53">
            <v>6.8667236314992469E-2</v>
          </cell>
          <cell r="P53">
            <v>6.5598547818956854E-2</v>
          </cell>
          <cell r="Q53">
            <v>6.9108181352642142E-2</v>
          </cell>
          <cell r="R53">
            <v>7.0050652781550704E-2</v>
          </cell>
          <cell r="S53">
            <v>6.7283567493376203E-2</v>
          </cell>
          <cell r="T53">
            <v>6.5402367053013041E-2</v>
          </cell>
        </row>
        <row r="54">
          <cell r="A54" t="str">
            <v>Operating asset turnover</v>
          </cell>
          <cell r="L54">
            <v>0.57469006491697172</v>
          </cell>
          <cell r="M54">
            <v>0.61649519878924652</v>
          </cell>
          <cell r="N54">
            <v>0.68676343139998275</v>
          </cell>
          <cell r="O54">
            <v>0.83169781910934371</v>
          </cell>
          <cell r="P54">
            <v>0.85821854767073802</v>
          </cell>
          <cell r="Q54">
            <v>0.93840073432443127</v>
          </cell>
          <cell r="R54">
            <v>1.0355476737663531</v>
          </cell>
          <cell r="S54">
            <v>1.1044124426378696</v>
          </cell>
          <cell r="T54">
            <v>1.113161862125015</v>
          </cell>
        </row>
        <row r="55">
          <cell r="B55" t="str">
            <v>check</v>
          </cell>
          <cell r="L55">
            <v>0</v>
          </cell>
          <cell r="M55">
            <v>0</v>
          </cell>
          <cell r="N55">
            <v>0</v>
          </cell>
          <cell r="O55">
            <v>0</v>
          </cell>
          <cell r="P55">
            <v>0</v>
          </cell>
          <cell r="Q55">
            <v>0</v>
          </cell>
          <cell r="R55">
            <v>0</v>
          </cell>
          <cell r="S55">
            <v>0</v>
          </cell>
          <cell r="T55">
            <v>0</v>
          </cell>
        </row>
        <row r="56">
          <cell r="A56" t="str">
            <v>ROIC Normalization Breakdown</v>
          </cell>
        </row>
        <row r="58">
          <cell r="A58" t="str">
            <v xml:space="preserve">December Year End </v>
          </cell>
        </row>
        <row r="59">
          <cell r="A59" t="str">
            <v>$ in millions except as noted</v>
          </cell>
          <cell r="K59">
            <v>1998</v>
          </cell>
          <cell r="L59">
            <v>1999</v>
          </cell>
          <cell r="M59">
            <v>2000</v>
          </cell>
          <cell r="N59">
            <v>2001</v>
          </cell>
          <cell r="O59">
            <v>2002</v>
          </cell>
          <cell r="P59">
            <v>2003</v>
          </cell>
          <cell r="Q59">
            <v>2004</v>
          </cell>
          <cell r="R59">
            <v>2005</v>
          </cell>
          <cell r="S59" t="str">
            <v>2006E</v>
          </cell>
          <cell r="T59" t="str">
            <v>2007E</v>
          </cell>
        </row>
        <row r="60">
          <cell r="A60" t="str">
            <v>RECONCILIATION</v>
          </cell>
        </row>
        <row r="61">
          <cell r="A61" t="str">
            <v>Adjusted NOA</v>
          </cell>
          <cell r="K61">
            <v>1788.8294620606423</v>
          </cell>
          <cell r="L61">
            <v>1969.5546337424616</v>
          </cell>
          <cell r="M61">
            <v>2369.4929456280142</v>
          </cell>
          <cell r="N61">
            <v>2562.700361600087</v>
          </cell>
          <cell r="O61">
            <v>2728.6854024179138</v>
          </cell>
          <cell r="P61">
            <v>3302.9162649692871</v>
          </cell>
          <cell r="Q61">
            <v>3524.6721688915468</v>
          </cell>
          <cell r="R61">
            <v>3695.3141141223314</v>
          </cell>
          <cell r="S61">
            <v>4139.5560120494692</v>
          </cell>
          <cell r="T61">
            <v>4374.3576607811347</v>
          </cell>
        </row>
        <row r="62">
          <cell r="A62" t="str">
            <v>Adjusted ROIC</v>
          </cell>
          <cell r="L62">
            <v>5.6948044646664163E-2</v>
          </cell>
          <cell r="M62">
            <v>5.677761643995187E-2</v>
          </cell>
          <cell r="N62">
            <v>5.881409338826931E-2</v>
          </cell>
          <cell r="O62">
            <v>5.711039068744516E-2</v>
          </cell>
          <cell r="P62">
            <v>5.6297890438494612E-2</v>
          </cell>
          <cell r="Q62">
            <v>6.4851168129145362E-2</v>
          </cell>
          <cell r="R62">
            <v>7.2540790533749344E-2</v>
          </cell>
          <cell r="S62">
            <v>7.4308809124749589E-2</v>
          </cell>
          <cell r="T62">
            <v>7.2803420696115728E-2</v>
          </cell>
        </row>
        <row r="64">
          <cell r="A64" t="str">
            <v>Adjustments:</v>
          </cell>
        </row>
        <row r="65">
          <cell r="B65" t="str">
            <v xml:space="preserve">Restructurings </v>
          </cell>
          <cell r="H65">
            <v>0</v>
          </cell>
          <cell r="I65">
            <v>0</v>
          </cell>
          <cell r="J65">
            <v>0</v>
          </cell>
          <cell r="K65">
            <v>0</v>
          </cell>
          <cell r="L65">
            <v>0</v>
          </cell>
          <cell r="M65">
            <v>0</v>
          </cell>
          <cell r="N65">
            <v>0</v>
          </cell>
          <cell r="O65">
            <v>0</v>
          </cell>
          <cell r="P65">
            <v>0</v>
          </cell>
          <cell r="Q65">
            <v>0</v>
          </cell>
          <cell r="R65">
            <v>0</v>
          </cell>
          <cell r="S65">
            <v>0</v>
          </cell>
          <cell r="T65">
            <v>0</v>
          </cell>
        </row>
        <row r="66">
          <cell r="B66" t="str">
            <v>Asset writedowns</v>
          </cell>
          <cell r="H66">
            <v>-16.509999999999998</v>
          </cell>
          <cell r="I66">
            <v>-26.685749999999999</v>
          </cell>
          <cell r="J66">
            <v>-26.685749999999999</v>
          </cell>
          <cell r="K66">
            <v>-132.67336899999998</v>
          </cell>
          <cell r="L66">
            <v>-132.67336899999998</v>
          </cell>
          <cell r="M66">
            <v>-132.67336899999998</v>
          </cell>
          <cell r="N66">
            <v>-132.67336899999998</v>
          </cell>
          <cell r="O66">
            <v>-132.67336899999998</v>
          </cell>
          <cell r="P66">
            <v>-132.67336899999998</v>
          </cell>
          <cell r="Q66">
            <v>-132.67336899999998</v>
          </cell>
          <cell r="R66">
            <v>-132.67336899999998</v>
          </cell>
          <cell r="S66">
            <v>-132.67336899999998</v>
          </cell>
          <cell r="T66">
            <v>-132.67336899999998</v>
          </cell>
        </row>
        <row r="67">
          <cell r="B67" t="str">
            <v>Losses/(gains) on asset sales</v>
          </cell>
          <cell r="H67">
            <v>0</v>
          </cell>
          <cell r="I67">
            <v>-2.0449000000000002</v>
          </cell>
          <cell r="J67">
            <v>-2.0449000000000002</v>
          </cell>
          <cell r="K67">
            <v>-2.0449000000000002</v>
          </cell>
          <cell r="L67">
            <v>-2.0449000000000002</v>
          </cell>
          <cell r="M67">
            <v>-2.0449000000000002</v>
          </cell>
          <cell r="N67">
            <v>-2.0449000000000002</v>
          </cell>
          <cell r="O67">
            <v>-2.0449000000000002</v>
          </cell>
          <cell r="P67">
            <v>-2.0449000000000002</v>
          </cell>
          <cell r="Q67">
            <v>-2.0449000000000002</v>
          </cell>
          <cell r="R67">
            <v>-2.0449000000000002</v>
          </cell>
          <cell r="S67">
            <v>-2.0449000000000002</v>
          </cell>
          <cell r="T67">
            <v>-2.0449000000000002</v>
          </cell>
        </row>
        <row r="68">
          <cell r="B68" t="str">
            <v>Government and compliance settlements</v>
          </cell>
          <cell r="H68">
            <v>0</v>
          </cell>
          <cell r="I68">
            <v>0</v>
          </cell>
          <cell r="J68">
            <v>0</v>
          </cell>
          <cell r="K68">
            <v>-12.994387</v>
          </cell>
          <cell r="L68">
            <v>-24.225737000000002</v>
          </cell>
          <cell r="M68">
            <v>-24.225737000000002</v>
          </cell>
          <cell r="N68">
            <v>-24.225737000000002</v>
          </cell>
          <cell r="O68">
            <v>-24.225737000000002</v>
          </cell>
          <cell r="P68">
            <v>-24.225737000000002</v>
          </cell>
          <cell r="Q68">
            <v>-24.225737000000002</v>
          </cell>
          <cell r="R68">
            <v>-24.225737000000002</v>
          </cell>
          <cell r="S68">
            <v>-24.225737000000002</v>
          </cell>
          <cell r="T68">
            <v>-24.225737000000002</v>
          </cell>
        </row>
        <row r="69">
          <cell r="B69" t="str">
            <v>Other (accounting changes, early debt retirement)*</v>
          </cell>
          <cell r="H69">
            <v>0</v>
          </cell>
          <cell r="I69">
            <v>0</v>
          </cell>
          <cell r="J69">
            <v>0</v>
          </cell>
          <cell r="K69">
            <v>-0.35199999999999998</v>
          </cell>
          <cell r="L69">
            <v>-0.35199999999999998</v>
          </cell>
          <cell r="M69">
            <v>-0.35199999999999998</v>
          </cell>
          <cell r="N69">
            <v>-4.16</v>
          </cell>
          <cell r="O69">
            <v>-7.532</v>
          </cell>
          <cell r="P69">
            <v>-7.532</v>
          </cell>
          <cell r="Q69">
            <v>-7.532</v>
          </cell>
          <cell r="R69">
            <v>-7.532</v>
          </cell>
          <cell r="S69">
            <v>-7.532</v>
          </cell>
          <cell r="T69">
            <v>-7.532</v>
          </cell>
        </row>
        <row r="71">
          <cell r="A71" t="str">
            <v>Reported NOA</v>
          </cell>
          <cell r="K71">
            <v>1641.1168060606424</v>
          </cell>
          <cell r="L71">
            <v>1810.6106277424617</v>
          </cell>
          <cell r="M71">
            <v>2210.5489396280141</v>
          </cell>
          <cell r="N71">
            <v>2403.7563556000869</v>
          </cell>
          <cell r="O71">
            <v>2569.7413964179136</v>
          </cell>
          <cell r="P71">
            <v>3143.9722589692869</v>
          </cell>
          <cell r="Q71">
            <v>3365.7281628915466</v>
          </cell>
          <cell r="R71">
            <v>3536.3701081223312</v>
          </cell>
          <cell r="S71">
            <v>3980.6120060494691</v>
          </cell>
          <cell r="T71">
            <v>4215.4136547811349</v>
          </cell>
        </row>
        <row r="72">
          <cell r="A72" t="str">
            <v>Reported ROIC</v>
          </cell>
          <cell r="L72">
            <v>6.3411238218634453E-2</v>
          </cell>
          <cell r="M72">
            <v>6.3689360193427039E-2</v>
          </cell>
          <cell r="N72">
            <v>6.2568681488733083E-2</v>
          </cell>
          <cell r="O72">
            <v>6.0760680577052341E-2</v>
          </cell>
          <cell r="P72">
            <v>7.236028429629672E-2</v>
          </cell>
          <cell r="Q72">
            <v>7.0416824477019441E-2</v>
          </cell>
          <cell r="R72">
            <v>7.7805379291638554E-2</v>
          </cell>
          <cell r="S72">
            <v>8.231602616843002E-2</v>
          </cell>
          <cell r="T72">
            <v>7.7857630679843151E-2</v>
          </cell>
        </row>
        <row r="74">
          <cell r="A74" t="str">
            <v>ADJ. AS % OF DIFFERENCE</v>
          </cell>
        </row>
        <row r="75">
          <cell r="B75" t="str">
            <v xml:space="preserve">Restructurings </v>
          </cell>
          <cell r="K75" t="str">
            <v>-</v>
          </cell>
          <cell r="L75" t="str">
            <v>-</v>
          </cell>
          <cell r="M75" t="str">
            <v>-</v>
          </cell>
          <cell r="N75" t="str">
            <v>-</v>
          </cell>
          <cell r="O75" t="str">
            <v>-</v>
          </cell>
          <cell r="P75" t="str">
            <v>-</v>
          </cell>
          <cell r="Q75" t="str">
            <v>-</v>
          </cell>
          <cell r="R75" t="str">
            <v>-</v>
          </cell>
          <cell r="S75" t="str">
            <v>-</v>
          </cell>
          <cell r="T75" t="str">
            <v>-</v>
          </cell>
        </row>
        <row r="76">
          <cell r="B76" t="str">
            <v>Asset writedowns</v>
          </cell>
          <cell r="K76">
            <v>8.0843343088095557E-2</v>
          </cell>
          <cell r="L76">
            <v>7.3275483401653324E-2</v>
          </cell>
          <cell r="M76">
            <v>6.0018290760993534E-2</v>
          </cell>
          <cell r="N76">
            <v>5.5194183341796633E-2</v>
          </cell>
          <cell r="O76">
            <v>5.1629074110313158E-2</v>
          </cell>
          <cell r="P76">
            <v>4.2199281059653954E-2</v>
          </cell>
          <cell r="Q76">
            <v>3.9418919942131765E-2</v>
          </cell>
          <cell r="R76">
            <v>3.75168223188167E-2</v>
          </cell>
          <cell r="S76">
            <v>3.3329892187023376E-2</v>
          </cell>
          <cell r="T76">
            <v>3.1473392617002501E-2</v>
          </cell>
        </row>
        <row r="77">
          <cell r="B77" t="str">
            <v>Losses/(gains) on asset sales</v>
          </cell>
          <cell r="K77">
            <v>1.2460417152808897E-3</v>
          </cell>
          <cell r="L77">
            <v>1.1293979879869352E-3</v>
          </cell>
          <cell r="M77">
            <v>9.2506434186613454E-4</v>
          </cell>
          <cell r="N77">
            <v>8.5071017918925921E-4</v>
          </cell>
          <cell r="O77">
            <v>7.9576100647728797E-4</v>
          </cell>
          <cell r="P77">
            <v>6.5041922496805553E-4</v>
          </cell>
          <cell r="Q77">
            <v>6.0756540666167961E-4</v>
          </cell>
          <cell r="R77">
            <v>5.7824829909718621E-4</v>
          </cell>
          <cell r="S77">
            <v>5.1371497571030982E-4</v>
          </cell>
          <cell r="T77">
            <v>4.8510067278463614E-4</v>
          </cell>
        </row>
        <row r="78">
          <cell r="B78" t="str">
            <v>Government and compliance settlements</v>
          </cell>
          <cell r="K78">
            <v>7.9180147031653724E-3</v>
          </cell>
          <cell r="L78">
            <v>1.3379871204117228E-2</v>
          </cell>
          <cell r="M78">
            <v>1.0959149813745747E-2</v>
          </cell>
          <cell r="N78">
            <v>1.007828307705186E-2</v>
          </cell>
          <cell r="O78">
            <v>9.4273054221602343E-3</v>
          </cell>
          <cell r="P78">
            <v>7.7054550754663215E-3</v>
          </cell>
          <cell r="Q78">
            <v>7.1977699408699485E-3</v>
          </cell>
          <cell r="R78">
            <v>6.8504529388365093E-3</v>
          </cell>
          <cell r="S78">
            <v>6.0859327568684278E-3</v>
          </cell>
          <cell r="T78">
            <v>5.7469418149563682E-3</v>
          </cell>
        </row>
        <row r="79">
          <cell r="B79" t="str">
            <v>Other</v>
          </cell>
          <cell r="K79">
            <v>0</v>
          </cell>
          <cell r="L79">
            <v>0</v>
          </cell>
          <cell r="M79">
            <v>0</v>
          </cell>
          <cell r="N79">
            <v>0</v>
          </cell>
          <cell r="O79">
            <v>0</v>
          </cell>
          <cell r="P79">
            <v>0</v>
          </cell>
          <cell r="Q79">
            <v>0</v>
          </cell>
          <cell r="R79">
            <v>0</v>
          </cell>
          <cell r="S79">
            <v>0</v>
          </cell>
          <cell r="T79">
            <v>0</v>
          </cell>
        </row>
        <row r="81">
          <cell r="A81" t="str">
            <v>Difference</v>
          </cell>
          <cell r="K81">
            <v>9.0007399506541824E-2</v>
          </cell>
          <cell r="L81">
            <v>8.7784752593757481E-2</v>
          </cell>
          <cell r="M81">
            <v>7.1902504916605423E-2</v>
          </cell>
          <cell r="N81">
            <v>6.612317659803775E-2</v>
          </cell>
          <cell r="O81">
            <v>6.1852140538950683E-2</v>
          </cell>
          <cell r="P81">
            <v>5.0555155360088332E-2</v>
          </cell>
          <cell r="Q81">
            <v>4.7224255289663397E-2</v>
          </cell>
          <cell r="R81">
            <v>4.4945523556750397E-2</v>
          </cell>
          <cell r="S81">
            <v>3.9929539919602117E-2</v>
          </cell>
          <cell r="T81">
            <v>3.7705435104743501E-2</v>
          </cell>
        </row>
        <row r="82">
          <cell r="A82" t="str">
            <v>Note: CYH did not report a FY1997 balance sheet so can not calculate ROIC prior to FY1999</v>
          </cell>
        </row>
        <row r="83">
          <cell r="A83" t="str">
            <v>* Included in both reported and adjusted NOA.</v>
          </cell>
        </row>
        <row r="84">
          <cell r="A84" t="str">
            <v>check</v>
          </cell>
          <cell r="H84">
            <v>-16.509999999999998</v>
          </cell>
          <cell r="I84">
            <v>-28.730649999999997</v>
          </cell>
          <cell r="J84">
            <v>-28.730649999999997</v>
          </cell>
          <cell r="K84">
            <v>-28.859249999999989</v>
          </cell>
          <cell r="L84">
            <v>-31.004250000000013</v>
          </cell>
          <cell r="M84">
            <v>-31.004250000000013</v>
          </cell>
          <cell r="N84">
            <v>-31.004250000000013</v>
          </cell>
          <cell r="O84">
            <v>-29.102250000000026</v>
          </cell>
          <cell r="P84">
            <v>-29.102250000000026</v>
          </cell>
          <cell r="Q84">
            <v>-29.102250000000026</v>
          </cell>
          <cell r="R84">
            <v>-29.102250000000026</v>
          </cell>
          <cell r="S84">
            <v>-29.102250000000026</v>
          </cell>
          <cell r="T84">
            <v>-29.102250000000026</v>
          </cell>
        </row>
        <row r="89">
          <cell r="A89" t="str">
            <v>Adjustment Schedules</v>
          </cell>
        </row>
        <row r="91">
          <cell r="A91" t="str">
            <v>Adjustments for Small Acquisitions</v>
          </cell>
        </row>
        <row r="92">
          <cell r="A92" t="str">
            <v>Number of hospitals</v>
          </cell>
          <cell r="K92">
            <v>41</v>
          </cell>
          <cell r="L92">
            <v>46</v>
          </cell>
          <cell r="M92">
            <v>52</v>
          </cell>
          <cell r="N92">
            <v>57</v>
          </cell>
          <cell r="O92">
            <v>63</v>
          </cell>
          <cell r="P92">
            <v>72</v>
          </cell>
          <cell r="Q92">
            <v>66</v>
          </cell>
          <cell r="R92">
            <v>70</v>
          </cell>
          <cell r="S92">
            <v>78</v>
          </cell>
          <cell r="T92">
            <v>82</v>
          </cell>
        </row>
        <row r="93">
          <cell r="A93" t="str">
            <v>Net additional hospitals</v>
          </cell>
          <cell r="K93">
            <v>4</v>
          </cell>
          <cell r="L93">
            <v>5</v>
          </cell>
          <cell r="M93">
            <v>6</v>
          </cell>
          <cell r="N93">
            <v>5</v>
          </cell>
          <cell r="O93">
            <v>6</v>
          </cell>
          <cell r="P93">
            <v>9</v>
          </cell>
          <cell r="Q93">
            <v>-6</v>
          </cell>
          <cell r="R93">
            <v>4</v>
          </cell>
          <cell r="S93">
            <v>8</v>
          </cell>
          <cell r="T93">
            <v>4</v>
          </cell>
        </row>
        <row r="94">
          <cell r="A94" t="str">
            <v>NOA of acquired hospitals</v>
          </cell>
          <cell r="K94">
            <v>218.56399999999999</v>
          </cell>
          <cell r="L94">
            <v>93.076999999999998</v>
          </cell>
          <cell r="M94">
            <v>246.94099999999997</v>
          </cell>
          <cell r="N94">
            <v>215.12700000000001</v>
          </cell>
          <cell r="O94">
            <v>173.185</v>
          </cell>
          <cell r="P94">
            <v>450.572</v>
          </cell>
          <cell r="Q94">
            <v>126.52499999999999</v>
          </cell>
          <cell r="R94">
            <v>158.37899999999996</v>
          </cell>
          <cell r="S94">
            <v>328.01499999999999</v>
          </cell>
          <cell r="T94">
            <v>170.56780000000001</v>
          </cell>
        </row>
        <row r="95">
          <cell r="B95" t="str">
            <v>% of adjusted NOA (BOY)</v>
          </cell>
          <cell r="L95">
            <v>5.2032349630903293E-2</v>
          </cell>
          <cell r="M95">
            <v>0.12537910640781438</v>
          </cell>
          <cell r="N95">
            <v>9.079031038979625E-2</v>
          </cell>
          <cell r="O95">
            <v>9.8547104368579413E-2</v>
          </cell>
          <cell r="P95">
            <v>0.13882877434838181</v>
          </cell>
          <cell r="Q95">
            <v>-7.6461732523621317E-2</v>
          </cell>
          <cell r="R95">
            <v>4.7767411719205247E-2</v>
          </cell>
          <cell r="S95">
            <v>9.11232233401921E-2</v>
          </cell>
          <cell r="T95">
            <v>4.0672107389437259E-2</v>
          </cell>
        </row>
        <row r="96">
          <cell r="B96" t="str">
            <v>% of change in adjusted NOA (y/y)</v>
          </cell>
          <cell r="L96">
            <v>0.51501956885048228</v>
          </cell>
          <cell r="M96">
            <v>0.61744772296449879</v>
          </cell>
          <cell r="N96">
            <v>1.1134510490585703</v>
          </cell>
          <cell r="O96">
            <v>1.5215027737178863</v>
          </cell>
          <cell r="P96">
            <v>0.65969991288322472</v>
          </cell>
          <cell r="Q96">
            <v>-1.1388499495757938</v>
          </cell>
          <cell r="R96">
            <v>0.98665346576401391</v>
          </cell>
          <cell r="S96">
            <v>0.7579855364938175</v>
          </cell>
          <cell r="T96">
            <v>0.71704976339018778</v>
          </cell>
        </row>
        <row r="98">
          <cell r="A98" t="str">
            <v>Average NOA/acquisition</v>
          </cell>
          <cell r="K98">
            <v>54.640999999999998</v>
          </cell>
          <cell r="L98">
            <v>18.615400000000001</v>
          </cell>
          <cell r="M98">
            <v>41.156833333333331</v>
          </cell>
          <cell r="N98">
            <v>43.025400000000005</v>
          </cell>
        </row>
        <row r="99">
          <cell r="A99" t="str">
            <v>Assumed NOA/acq (avg. 2000, 2001)</v>
          </cell>
          <cell r="K99">
            <v>42.091116666666665</v>
          </cell>
        </row>
        <row r="100">
          <cell r="B100" t="str">
            <v>Est. NOA for acq. 2002+</v>
          </cell>
          <cell r="O100">
            <v>252.54669999999999</v>
          </cell>
          <cell r="P100">
            <v>378.82004999999998</v>
          </cell>
          <cell r="Q100">
            <v>-252.54669999999999</v>
          </cell>
          <cell r="R100">
            <v>168.36446666666666</v>
          </cell>
          <cell r="S100">
            <v>336.72893333333332</v>
          </cell>
          <cell r="T100">
            <v>168.36446666666666</v>
          </cell>
        </row>
        <row r="104">
          <cell r="A104" t="str">
            <v>Schedule 1: Goodwill Amortization</v>
          </cell>
          <cell r="K104">
            <v>1998</v>
          </cell>
          <cell r="L104">
            <v>1999</v>
          </cell>
          <cell r="M104">
            <v>2000</v>
          </cell>
          <cell r="N104">
            <v>2001</v>
          </cell>
          <cell r="O104">
            <v>2002</v>
          </cell>
          <cell r="P104">
            <v>2003</v>
          </cell>
          <cell r="Q104">
            <v>2004</v>
          </cell>
          <cell r="R104">
            <v>2005</v>
          </cell>
          <cell r="S104" t="str">
            <v>2006E</v>
          </cell>
          <cell r="T104" t="str">
            <v>2007E</v>
          </cell>
        </row>
        <row r="105">
          <cell r="B105" t="str">
            <v>Acc. Goodwill Amortization</v>
          </cell>
          <cell r="K105">
            <v>73.058000000000007</v>
          </cell>
          <cell r="L105">
            <v>97.766000000000005</v>
          </cell>
          <cell r="M105">
            <v>123.459</v>
          </cell>
          <cell r="N105">
            <v>151.05199999999999</v>
          </cell>
          <cell r="O105">
            <v>151.05199999999999</v>
          </cell>
          <cell r="P105">
            <v>151.05199999999999</v>
          </cell>
          <cell r="Q105">
            <v>151.05199999999999</v>
          </cell>
          <cell r="R105">
            <v>151.05199999999999</v>
          </cell>
          <cell r="S105">
            <v>151.05199999999999</v>
          </cell>
          <cell r="T105">
            <v>151.05199999999999</v>
          </cell>
        </row>
        <row r="107">
          <cell r="B107" t="str">
            <v>Acc. Other Assets Amortization</v>
          </cell>
          <cell r="K107">
            <v>27.343</v>
          </cell>
          <cell r="L107">
            <v>34.265000000000001</v>
          </cell>
          <cell r="M107">
            <v>37.142000000000003</v>
          </cell>
          <cell r="N107">
            <v>44.671999999999997</v>
          </cell>
          <cell r="O107">
            <v>56.015999999999998</v>
          </cell>
        </row>
        <row r="108">
          <cell r="B108" t="str">
            <v>Delta</v>
          </cell>
          <cell r="L108">
            <v>6.9220000000000006</v>
          </cell>
          <cell r="M108">
            <v>2.8770000000000024</v>
          </cell>
          <cell r="N108">
            <v>7.529999999999994</v>
          </cell>
        </row>
        <row r="109">
          <cell r="B109" t="str">
            <v>MD Recruitment Cost Amortization (add'l)</v>
          </cell>
          <cell r="K109">
            <v>0</v>
          </cell>
          <cell r="L109">
            <v>0</v>
          </cell>
          <cell r="M109">
            <v>4.3</v>
          </cell>
          <cell r="N109">
            <v>6.9</v>
          </cell>
          <cell r="O109">
            <v>15.733333333333334</v>
          </cell>
        </row>
        <row r="111">
          <cell r="B111" t="str">
            <v>Intangibles, Gross (in Other Assets)</v>
          </cell>
          <cell r="N111">
            <v>3.1</v>
          </cell>
          <cell r="O111">
            <v>3.7</v>
          </cell>
          <cell r="P111">
            <v>9.8000000000000007</v>
          </cell>
          <cell r="Q111">
            <v>9.8000000000000007</v>
          </cell>
        </row>
        <row r="115">
          <cell r="A115" t="str">
            <v>Schedule 2:  Operating Leases</v>
          </cell>
        </row>
        <row r="116">
          <cell r="A116" t="str">
            <v>Discount Rate</v>
          </cell>
          <cell r="L116">
            <v>6.3E-2</v>
          </cell>
        </row>
        <row r="117">
          <cell r="A117" t="str">
            <v>Rent Expense</v>
          </cell>
        </row>
        <row r="118">
          <cell r="C118">
            <v>1990</v>
          </cell>
          <cell r="D118">
            <v>1991</v>
          </cell>
          <cell r="E118">
            <v>1992</v>
          </cell>
          <cell r="F118">
            <v>1993</v>
          </cell>
          <cell r="G118">
            <v>1994</v>
          </cell>
          <cell r="H118">
            <v>1995</v>
          </cell>
          <cell r="I118">
            <v>1996</v>
          </cell>
          <cell r="J118">
            <v>1997</v>
          </cell>
          <cell r="K118">
            <v>1998</v>
          </cell>
          <cell r="L118">
            <v>1999</v>
          </cell>
          <cell r="M118">
            <v>2000</v>
          </cell>
          <cell r="N118">
            <v>2001</v>
          </cell>
          <cell r="O118">
            <v>2002</v>
          </cell>
          <cell r="P118">
            <v>2003</v>
          </cell>
          <cell r="Q118">
            <v>2004</v>
          </cell>
          <cell r="R118">
            <v>2005</v>
          </cell>
          <cell r="S118" t="str">
            <v>2006E</v>
          </cell>
          <cell r="T118" t="str">
            <v>2007E</v>
          </cell>
        </row>
        <row r="119">
          <cell r="B119">
            <v>1990</v>
          </cell>
        </row>
        <row r="120">
          <cell r="B120">
            <v>1991</v>
          </cell>
        </row>
        <row r="121">
          <cell r="B121">
            <v>1992</v>
          </cell>
        </row>
        <row r="122">
          <cell r="B122">
            <v>1993</v>
          </cell>
          <cell r="E122">
            <v>0</v>
          </cell>
        </row>
        <row r="123">
          <cell r="B123">
            <v>1994</v>
          </cell>
          <cell r="E123">
            <v>0</v>
          </cell>
          <cell r="F123">
            <v>0</v>
          </cell>
        </row>
        <row r="124">
          <cell r="B124">
            <v>1995</v>
          </cell>
          <cell r="E124">
            <v>0</v>
          </cell>
          <cell r="F124">
            <v>0</v>
          </cell>
          <cell r="G124">
            <v>0</v>
          </cell>
        </row>
        <row r="125">
          <cell r="B125">
            <v>1996</v>
          </cell>
          <cell r="E125">
            <v>0</v>
          </cell>
          <cell r="F125">
            <v>0</v>
          </cell>
          <cell r="G125">
            <v>0</v>
          </cell>
          <cell r="H125">
            <v>0</v>
          </cell>
        </row>
        <row r="126">
          <cell r="B126">
            <v>1997</v>
          </cell>
          <cell r="F126">
            <v>2.4E-2</v>
          </cell>
          <cell r="G126">
            <v>2.4E-2</v>
          </cell>
          <cell r="H126">
            <v>2.4E-2</v>
          </cell>
          <cell r="I126">
            <v>2.4E-2</v>
          </cell>
        </row>
        <row r="127">
          <cell r="B127">
            <v>1998</v>
          </cell>
          <cell r="E127">
            <v>0</v>
          </cell>
          <cell r="F127">
            <v>8.9999999999999993E-3</v>
          </cell>
          <cell r="G127">
            <v>8.9999999999999993E-3</v>
          </cell>
          <cell r="H127">
            <v>8.9999999999999993E-3</v>
          </cell>
          <cell r="I127">
            <v>8.9999999999999993E-3</v>
          </cell>
          <cell r="J127">
            <v>8.9999999999999993E-3</v>
          </cell>
        </row>
        <row r="128">
          <cell r="B128">
            <v>1999</v>
          </cell>
          <cell r="F128">
            <v>0</v>
          </cell>
          <cell r="G128">
            <v>0</v>
          </cell>
          <cell r="H128">
            <v>0</v>
          </cell>
          <cell r="I128">
            <v>0</v>
          </cell>
          <cell r="J128">
            <v>0</v>
          </cell>
          <cell r="K128">
            <v>15.831067961165049</v>
          </cell>
        </row>
        <row r="129">
          <cell r="B129">
            <v>2000</v>
          </cell>
          <cell r="G129">
            <v>0</v>
          </cell>
          <cell r="H129">
            <v>0</v>
          </cell>
          <cell r="I129">
            <v>0</v>
          </cell>
          <cell r="J129">
            <v>0</v>
          </cell>
          <cell r="K129">
            <v>13.822330097087379</v>
          </cell>
          <cell r="L129">
            <v>16.306000000000001</v>
          </cell>
        </row>
        <row r="130">
          <cell r="B130">
            <v>2001</v>
          </cell>
          <cell r="H130">
            <v>0</v>
          </cell>
          <cell r="I130">
            <v>0</v>
          </cell>
          <cell r="J130">
            <v>0</v>
          </cell>
          <cell r="K130">
            <v>11.001941747572817</v>
          </cell>
          <cell r="L130">
            <v>14.237</v>
          </cell>
          <cell r="M130">
            <v>24.140999999999998</v>
          </cell>
        </row>
        <row r="131">
          <cell r="B131">
            <v>2002</v>
          </cell>
          <cell r="I131">
            <v>0</v>
          </cell>
          <cell r="J131">
            <v>0</v>
          </cell>
          <cell r="K131">
            <v>8.7067961165048544</v>
          </cell>
          <cell r="L131">
            <v>11.332000000000001</v>
          </cell>
          <cell r="M131">
            <v>21.073</v>
          </cell>
          <cell r="N131">
            <v>31.984000000000002</v>
          </cell>
        </row>
        <row r="132">
          <cell r="B132">
            <v>2003</v>
          </cell>
          <cell r="J132">
            <v>0</v>
          </cell>
          <cell r="K132">
            <v>8.1631067961165034</v>
          </cell>
          <cell r="L132">
            <v>8.968</v>
          </cell>
          <cell r="M132">
            <v>19.379000000000001</v>
          </cell>
          <cell r="N132">
            <v>28.564</v>
          </cell>
          <cell r="O132">
            <v>41.834000000000003</v>
          </cell>
        </row>
        <row r="133">
          <cell r="B133">
            <v>2004</v>
          </cell>
          <cell r="K133">
            <v>20.164077669902909</v>
          </cell>
          <cell r="L133">
            <v>8.4079999999999995</v>
          </cell>
          <cell r="M133">
            <v>17.16</v>
          </cell>
          <cell r="N133">
            <v>26.521999999999998</v>
          </cell>
          <cell r="O133">
            <v>37.042999999999999</v>
          </cell>
          <cell r="P133">
            <v>53.02</v>
          </cell>
        </row>
        <row r="134">
          <cell r="B134">
            <v>2005</v>
          </cell>
          <cell r="L134">
            <v>20.768999999999998</v>
          </cell>
          <cell r="M134">
            <v>11.943</v>
          </cell>
          <cell r="N134">
            <v>19.561</v>
          </cell>
          <cell r="O134">
            <v>30.216999999999999</v>
          </cell>
          <cell r="P134">
            <v>44.183999999999997</v>
          </cell>
          <cell r="Q134">
            <v>59.16</v>
          </cell>
        </row>
        <row r="135">
          <cell r="B135">
            <v>2006</v>
          </cell>
          <cell r="M135">
            <v>72.376000000000005</v>
          </cell>
          <cell r="N135">
            <v>13.467000000000001</v>
          </cell>
          <cell r="O135">
            <v>20.427</v>
          </cell>
          <cell r="P135">
            <v>34.036999999999999</v>
          </cell>
          <cell r="Q135">
            <v>52.045000000000002</v>
          </cell>
          <cell r="R135">
            <v>60.877000000000002</v>
          </cell>
        </row>
        <row r="136">
          <cell r="B136">
            <v>2007</v>
          </cell>
          <cell r="N136">
            <v>36.25</v>
          </cell>
          <cell r="O136">
            <v>14.651</v>
          </cell>
          <cell r="P136">
            <v>26.710999999999999</v>
          </cell>
          <cell r="Q136">
            <v>40.588999999999999</v>
          </cell>
          <cell r="R136">
            <v>51.052</v>
          </cell>
          <cell r="S136">
            <v>62.703310000000002</v>
          </cell>
        </row>
        <row r="137">
          <cell r="B137">
            <v>2008</v>
          </cell>
          <cell r="O137">
            <v>40.648000000000003</v>
          </cell>
          <cell r="P137">
            <v>16.774999999999999</v>
          </cell>
          <cell r="Q137">
            <v>28.5</v>
          </cell>
          <cell r="R137">
            <v>37.798000000000002</v>
          </cell>
          <cell r="S137">
            <v>52.583559999999999</v>
          </cell>
          <cell r="T137">
            <v>64.584409300000004</v>
          </cell>
        </row>
        <row r="138">
          <cell r="B138">
            <v>2009</v>
          </cell>
          <cell r="P138">
            <v>56.587000000000003</v>
          </cell>
          <cell r="Q138">
            <v>19.888999999999999</v>
          </cell>
          <cell r="R138">
            <v>28.463999999999999</v>
          </cell>
          <cell r="S138">
            <v>38.931940000000004</v>
          </cell>
          <cell r="T138">
            <v>54.1610668</v>
          </cell>
        </row>
        <row r="139">
          <cell r="B139">
            <v>2010</v>
          </cell>
          <cell r="Q139">
            <v>84.037000000000006</v>
          </cell>
          <cell r="R139">
            <v>23.303999999999998</v>
          </cell>
          <cell r="S139">
            <v>29.317920000000001</v>
          </cell>
          <cell r="T139">
            <v>40.099898200000005</v>
          </cell>
        </row>
        <row r="140">
          <cell r="B140">
            <v>2011</v>
          </cell>
          <cell r="R140">
            <v>114.881</v>
          </cell>
          <cell r="S140">
            <v>24.003119999999999</v>
          </cell>
          <cell r="T140">
            <v>30.1974576</v>
          </cell>
        </row>
        <row r="141">
          <cell r="B141">
            <v>2012</v>
          </cell>
          <cell r="S141">
            <v>118.32743000000001</v>
          </cell>
          <cell r="T141">
            <v>24.723213600000001</v>
          </cell>
        </row>
        <row r="142">
          <cell r="B142">
            <v>2013</v>
          </cell>
          <cell r="T142">
            <v>121.87725290000002</v>
          </cell>
        </row>
        <row r="143">
          <cell r="B143" t="str">
            <v>Assumes Rent Expense = Interest + Amort.</v>
          </cell>
        </row>
        <row r="144">
          <cell r="B144" t="str">
            <v>PV of Noncancelable Leases</v>
          </cell>
          <cell r="E144">
            <v>0</v>
          </cell>
          <cell r="F144">
            <v>2.54275083231883E-2</v>
          </cell>
          <cell r="G144">
            <v>2.7029441347549161E-2</v>
          </cell>
          <cell r="H144">
            <v>2.8732296152444756E-2</v>
          </cell>
          <cell r="I144">
            <v>3.054243081004877E-2</v>
          </cell>
          <cell r="J144">
            <v>8.4666039510818431E-3</v>
          </cell>
          <cell r="K144">
            <v>63.094056060642139</v>
          </cell>
          <cell r="L144">
            <v>64.986877742461402</v>
          </cell>
          <cell r="M144">
            <v>129.8961896280147</v>
          </cell>
          <cell r="N144">
            <v>127.81460560008654</v>
          </cell>
          <cell r="O144">
            <v>152.25964641791353</v>
          </cell>
          <cell r="P144">
            <v>189.81650896928747</v>
          </cell>
          <cell r="Q144">
            <v>230.72541289154668</v>
          </cell>
          <cell r="R144">
            <v>253.00435812233121</v>
          </cell>
          <cell r="S144">
            <v>260.5944888660012</v>
          </cell>
          <cell r="T144">
            <v>268.4123235319812</v>
          </cell>
        </row>
        <row r="145">
          <cell r="B145" t="str">
            <v>Pre-Tax Interest Component</v>
          </cell>
          <cell r="E145">
            <v>0</v>
          </cell>
          <cell r="F145">
            <v>1.601933024360863E-3</v>
          </cell>
          <cell r="G145">
            <v>1.7028548048955972E-3</v>
          </cell>
          <cell r="H145">
            <v>1.8101346576040196E-3</v>
          </cell>
          <cell r="I145">
            <v>1.9241731410330725E-3</v>
          </cell>
          <cell r="J145">
            <v>5.3339604891815609E-4</v>
          </cell>
          <cell r="K145">
            <v>3.9749255318204546</v>
          </cell>
          <cell r="L145">
            <v>4.0941732977750682</v>
          </cell>
          <cell r="M145">
            <v>8.1834599465649251</v>
          </cell>
          <cell r="N145">
            <v>8.0523201528054518</v>
          </cell>
          <cell r="O145">
            <v>9.5923577243285525</v>
          </cell>
          <cell r="P145">
            <v>11.95844006506511</v>
          </cell>
          <cell r="Q145">
            <v>14.535701012167442</v>
          </cell>
          <cell r="R145">
            <v>15.939274561706867</v>
          </cell>
          <cell r="S145">
            <v>16.417452798558077</v>
          </cell>
          <cell r="T145">
            <v>16.909976382514817</v>
          </cell>
        </row>
        <row r="147">
          <cell r="B147" t="str">
            <v>Rent Expense</v>
          </cell>
          <cell r="K147">
            <v>22.344000000000001</v>
          </cell>
          <cell r="L147">
            <v>25.521999999999998</v>
          </cell>
          <cell r="M147">
            <v>31.385000000000002</v>
          </cell>
          <cell r="N147">
            <v>39.378999999999998</v>
          </cell>
          <cell r="O147">
            <v>51.295000000000002</v>
          </cell>
          <cell r="P147">
            <v>69.06</v>
          </cell>
          <cell r="Q147">
            <v>81.959000000000003</v>
          </cell>
          <cell r="R147">
            <v>87.217000000000013</v>
          </cell>
          <cell r="S147">
            <v>94.52000000000001</v>
          </cell>
          <cell r="T147">
            <v>103.52570130290816</v>
          </cell>
          <cell r="U147" t="str">
            <v>Addback</v>
          </cell>
        </row>
        <row r="148">
          <cell r="B148" t="str">
            <v>Amortization</v>
          </cell>
          <cell r="K148">
            <v>-18.369074468179548</v>
          </cell>
          <cell r="L148">
            <v>-21.42782670222493</v>
          </cell>
          <cell r="M148">
            <v>-23.201540053435075</v>
          </cell>
          <cell r="N148">
            <v>-31.326679847194548</v>
          </cell>
          <cell r="O148">
            <v>-41.702642275671451</v>
          </cell>
          <cell r="P148">
            <v>-57.10155993493489</v>
          </cell>
          <cell r="Q148">
            <v>-67.423298987832567</v>
          </cell>
          <cell r="R148">
            <v>-71.277725438293146</v>
          </cell>
          <cell r="S148">
            <v>-78.102547201441936</v>
          </cell>
          <cell r="T148">
            <v>-86.615724920393347</v>
          </cell>
          <cell r="U148" t="str">
            <v>Subtract</v>
          </cell>
        </row>
        <row r="149">
          <cell r="B149" t="str">
            <v>Interest</v>
          </cell>
          <cell r="K149">
            <v>3.9749255318204546</v>
          </cell>
          <cell r="L149">
            <v>4.0941732977750682</v>
          </cell>
          <cell r="M149">
            <v>8.1834599465649251</v>
          </cell>
          <cell r="N149">
            <v>8.0523201528054518</v>
          </cell>
          <cell r="O149">
            <v>9.5923577243285525</v>
          </cell>
          <cell r="P149">
            <v>11.95844006506511</v>
          </cell>
          <cell r="Q149">
            <v>14.535701012167442</v>
          </cell>
          <cell r="R149">
            <v>15.939274561706867</v>
          </cell>
          <cell r="S149">
            <v>16.417452798558077</v>
          </cell>
          <cell r="T149">
            <v>16.909976382514817</v>
          </cell>
          <cell r="U149" t="str">
            <v>Net net effect is to addback interest</v>
          </cell>
        </row>
        <row r="151">
          <cell r="A151" t="str">
            <v>Schedule III:  One-Time Gains/Losses</v>
          </cell>
        </row>
        <row r="152">
          <cell r="C152">
            <v>1990</v>
          </cell>
          <cell r="D152">
            <v>1991</v>
          </cell>
          <cell r="E152">
            <v>1992</v>
          </cell>
          <cell r="F152">
            <v>1993</v>
          </cell>
          <cell r="G152">
            <v>1994</v>
          </cell>
          <cell r="H152">
            <v>1995</v>
          </cell>
          <cell r="I152">
            <v>1996</v>
          </cell>
          <cell r="J152">
            <v>1997</v>
          </cell>
          <cell r="K152">
            <v>1998</v>
          </cell>
          <cell r="L152">
            <v>1999</v>
          </cell>
          <cell r="M152">
            <v>2000</v>
          </cell>
          <cell r="N152">
            <v>2001</v>
          </cell>
          <cell r="O152">
            <v>2002</v>
          </cell>
          <cell r="P152">
            <v>2003</v>
          </cell>
          <cell r="Q152">
            <v>2004</v>
          </cell>
          <cell r="R152">
            <v>2005</v>
          </cell>
          <cell r="S152" t="str">
            <v>2006E</v>
          </cell>
          <cell r="T152" t="str">
            <v>2007E</v>
          </cell>
        </row>
        <row r="153">
          <cell r="B153">
            <v>1995</v>
          </cell>
          <cell r="H153">
            <v>0</v>
          </cell>
          <cell r="I153">
            <v>0</v>
          </cell>
          <cell r="J153">
            <v>0</v>
          </cell>
          <cell r="K153">
            <v>0</v>
          </cell>
          <cell r="L153">
            <v>0</v>
          </cell>
          <cell r="M153">
            <v>0</v>
          </cell>
          <cell r="N153">
            <v>0</v>
          </cell>
          <cell r="O153">
            <v>0</v>
          </cell>
          <cell r="P153">
            <v>0</v>
          </cell>
          <cell r="Q153">
            <v>0</v>
          </cell>
          <cell r="R153">
            <v>0</v>
          </cell>
          <cell r="S153">
            <v>0</v>
          </cell>
          <cell r="T153">
            <v>0</v>
          </cell>
        </row>
        <row r="154">
          <cell r="B154">
            <v>1996</v>
          </cell>
          <cell r="I154">
            <v>0</v>
          </cell>
          <cell r="J154">
            <v>0</v>
          </cell>
          <cell r="K154">
            <v>0</v>
          </cell>
          <cell r="L154">
            <v>0</v>
          </cell>
          <cell r="M154">
            <v>0</v>
          </cell>
          <cell r="N154">
            <v>0</v>
          </cell>
          <cell r="O154">
            <v>0</v>
          </cell>
          <cell r="P154">
            <v>0</v>
          </cell>
          <cell r="Q154">
            <v>0</v>
          </cell>
          <cell r="R154">
            <v>0</v>
          </cell>
          <cell r="S154">
            <v>0</v>
          </cell>
          <cell r="T154">
            <v>0</v>
          </cell>
        </row>
        <row r="155">
          <cell r="B155">
            <v>1997</v>
          </cell>
          <cell r="J155">
            <v>0</v>
          </cell>
          <cell r="K155">
            <v>0</v>
          </cell>
          <cell r="L155">
            <v>0</v>
          </cell>
          <cell r="M155">
            <v>0</v>
          </cell>
          <cell r="N155">
            <v>0</v>
          </cell>
          <cell r="O155">
            <v>0</v>
          </cell>
          <cell r="P155">
            <v>0</v>
          </cell>
          <cell r="Q155">
            <v>0</v>
          </cell>
          <cell r="R155">
            <v>0</v>
          </cell>
          <cell r="S155">
            <v>0</v>
          </cell>
          <cell r="T155">
            <v>0</v>
          </cell>
        </row>
        <row r="156">
          <cell r="B156">
            <v>1998</v>
          </cell>
          <cell r="K156">
            <v>119.205406</v>
          </cell>
          <cell r="L156">
            <v>119.205406</v>
          </cell>
          <cell r="M156">
            <v>119.205406</v>
          </cell>
          <cell r="N156">
            <v>119.205406</v>
          </cell>
          <cell r="O156">
            <v>119.205406</v>
          </cell>
          <cell r="P156">
            <v>119.205406</v>
          </cell>
          <cell r="Q156">
            <v>119.205406</v>
          </cell>
          <cell r="R156">
            <v>119.205406</v>
          </cell>
          <cell r="S156">
            <v>119.205406</v>
          </cell>
          <cell r="T156">
            <v>119.205406</v>
          </cell>
        </row>
        <row r="157">
          <cell r="B157">
            <v>1999</v>
          </cell>
          <cell r="L157">
            <v>9.0863499999999995</v>
          </cell>
          <cell r="M157">
            <v>9.0863499999999995</v>
          </cell>
          <cell r="N157">
            <v>9.0863499999999995</v>
          </cell>
          <cell r="O157">
            <v>9.0863499999999995</v>
          </cell>
          <cell r="P157">
            <v>9.0863499999999995</v>
          </cell>
          <cell r="Q157">
            <v>9.0863499999999995</v>
          </cell>
          <cell r="R157">
            <v>9.0863499999999995</v>
          </cell>
          <cell r="S157">
            <v>9.0863499999999995</v>
          </cell>
          <cell r="T157">
            <v>9.0863499999999995</v>
          </cell>
        </row>
        <row r="158">
          <cell r="B158">
            <v>2000</v>
          </cell>
          <cell r="M158">
            <v>0</v>
          </cell>
          <cell r="N158">
            <v>0</v>
          </cell>
          <cell r="O158">
            <v>0</v>
          </cell>
          <cell r="P158">
            <v>0</v>
          </cell>
          <cell r="Q158">
            <v>0</v>
          </cell>
          <cell r="R158">
            <v>0</v>
          </cell>
          <cell r="S158">
            <v>0</v>
          </cell>
          <cell r="T158">
            <v>0</v>
          </cell>
        </row>
        <row r="159">
          <cell r="B159">
            <v>2001</v>
          </cell>
          <cell r="N159">
            <v>3.8079999999999998</v>
          </cell>
          <cell r="O159">
            <v>3.8079999999999998</v>
          </cell>
          <cell r="P159">
            <v>3.8079999999999998</v>
          </cell>
          <cell r="Q159">
            <v>3.8079999999999998</v>
          </cell>
          <cell r="R159">
            <v>3.8079999999999998</v>
          </cell>
          <cell r="S159">
            <v>3.8079999999999998</v>
          </cell>
          <cell r="T159">
            <v>3.8079999999999998</v>
          </cell>
        </row>
        <row r="160">
          <cell r="B160">
            <v>2002</v>
          </cell>
          <cell r="O160">
            <v>5.274</v>
          </cell>
          <cell r="P160">
            <v>5.274</v>
          </cell>
          <cell r="Q160">
            <v>5.274</v>
          </cell>
          <cell r="R160">
            <v>5.274</v>
          </cell>
          <cell r="S160">
            <v>5.274</v>
          </cell>
          <cell r="T160">
            <v>5.274</v>
          </cell>
        </row>
        <row r="161">
          <cell r="B161" t="str">
            <v>Accumulated One-Time Gains/Losses</v>
          </cell>
          <cell r="C161">
            <v>0</v>
          </cell>
          <cell r="D161">
            <v>0</v>
          </cell>
          <cell r="E161">
            <v>0</v>
          </cell>
          <cell r="F161">
            <v>0</v>
          </cell>
          <cell r="G161">
            <v>0</v>
          </cell>
          <cell r="H161">
            <v>0</v>
          </cell>
          <cell r="I161">
            <v>0</v>
          </cell>
          <cell r="J161">
            <v>0</v>
          </cell>
          <cell r="K161">
            <v>119.205406</v>
          </cell>
          <cell r="L161">
            <v>128.29175599999999</v>
          </cell>
          <cell r="M161">
            <v>128.29175599999999</v>
          </cell>
          <cell r="N161">
            <v>132.09975599999999</v>
          </cell>
          <cell r="O161">
            <v>137.37375599999999</v>
          </cell>
          <cell r="P161">
            <v>137.37375599999999</v>
          </cell>
          <cell r="Q161">
            <v>137.37375599999999</v>
          </cell>
          <cell r="R161">
            <v>137.37375599999999</v>
          </cell>
          <cell r="S161">
            <v>137.37375599999999</v>
          </cell>
          <cell r="T161">
            <v>137.37375599999999</v>
          </cell>
        </row>
        <row r="163">
          <cell r="A163" t="str">
            <v>Schedule IV:  Operating Gains/Losses</v>
          </cell>
        </row>
        <row r="164">
          <cell r="C164">
            <v>1990</v>
          </cell>
          <cell r="D164">
            <v>1991</v>
          </cell>
          <cell r="E164">
            <v>1992</v>
          </cell>
          <cell r="F164">
            <v>1993</v>
          </cell>
          <cell r="G164">
            <v>1994</v>
          </cell>
          <cell r="H164">
            <v>1995</v>
          </cell>
          <cell r="I164">
            <v>1996</v>
          </cell>
          <cell r="J164">
            <v>1997</v>
          </cell>
          <cell r="K164">
            <v>1998</v>
          </cell>
          <cell r="L164">
            <v>1999</v>
          </cell>
          <cell r="M164">
            <v>2000</v>
          </cell>
          <cell r="N164">
            <v>2001</v>
          </cell>
          <cell r="O164">
            <v>2002</v>
          </cell>
          <cell r="P164">
            <v>2003</v>
          </cell>
          <cell r="Q164">
            <v>2004</v>
          </cell>
          <cell r="R164">
            <v>2005</v>
          </cell>
          <cell r="S164" t="str">
            <v>2006E</v>
          </cell>
          <cell r="T164" t="str">
            <v>2007E</v>
          </cell>
        </row>
        <row r="165">
          <cell r="B165" t="str">
            <v>Asset impairments</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row>
        <row r="166">
          <cell r="B166" t="str">
            <v>Gains and losses  on asset sales</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row>
        <row r="167">
          <cell r="B167" t="str">
            <v>Compliance settlements</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row>
        <row r="168">
          <cell r="B168" t="str">
            <v>Other</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row>
        <row r="169">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row>
        <row r="170">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row>
        <row r="171">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row>
        <row r="172">
          <cell r="B172" t="str">
            <v xml:space="preserve"> Gains/Losses</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row>
        <row r="173">
          <cell r="T173" t="str">
            <v>Action:</v>
          </cell>
        </row>
        <row r="174">
          <cell r="B174">
            <v>2002</v>
          </cell>
          <cell r="L174" t="str">
            <v>$5.274 mm, net ($3.372 of tax) loss on early retirement of debt</v>
          </cell>
          <cell r="T174" t="str">
            <v>NOA</v>
          </cell>
        </row>
        <row r="175">
          <cell r="B175">
            <v>2001</v>
          </cell>
          <cell r="L175" t="str">
            <v>$6.2 mm ($3.808 mm, net) loss on early retirement of debt</v>
          </cell>
          <cell r="T175" t="str">
            <v>NOA</v>
          </cell>
        </row>
        <row r="176">
          <cell r="B176">
            <v>2000</v>
          </cell>
        </row>
        <row r="177">
          <cell r="B177">
            <v>1999</v>
          </cell>
          <cell r="L177" t="str">
            <v>$17.279 mm compliance settlement and Y2K costs ($3.3 mm for Y2K)</v>
          </cell>
          <cell r="T177" t="str">
            <v>NOA</v>
          </cell>
        </row>
        <row r="178">
          <cell r="B178">
            <v>1998</v>
          </cell>
          <cell r="L178" t="str">
            <v>$164.833 mm impairment of long-lived assets ($134.3 mm related to goodwill reduction; the rest to tangibles)</v>
          </cell>
          <cell r="T178" t="str">
            <v>NOA</v>
          </cell>
        </row>
        <row r="179">
          <cell r="L179" t="str">
            <v>$20.209 mm compliance settlement ($0.2 mm for Y2K)</v>
          </cell>
          <cell r="T179" t="str">
            <v>NOA</v>
          </cell>
        </row>
        <row r="180">
          <cell r="L180" t="str">
            <v>$(.352) net of $189 in taxes for cumulative change in accounting principle</v>
          </cell>
          <cell r="T180" t="str">
            <v>NOA</v>
          </cell>
        </row>
        <row r="181">
          <cell r="B181">
            <v>1997</v>
          </cell>
        </row>
        <row r="182">
          <cell r="B182">
            <v>1996</v>
          </cell>
          <cell r="L182" t="str">
            <v>$15.655 mm asset impairment</v>
          </cell>
          <cell r="T182" t="str">
            <v>NOA</v>
          </cell>
        </row>
        <row r="183">
          <cell r="L183" t="str">
            <v>$3.146 mm loss on hospital sales</v>
          </cell>
          <cell r="T183" t="str">
            <v>NOA</v>
          </cell>
        </row>
        <row r="184">
          <cell r="B184">
            <v>1995</v>
          </cell>
          <cell r="L184" t="str">
            <v>$25.4 mm asset impairment</v>
          </cell>
          <cell r="T184" t="str">
            <v>NOA</v>
          </cell>
        </row>
      </sheetData>
      <sheetData sheetId="18" refreshError="1">
        <row r="1">
          <cell r="C1">
            <v>1999</v>
          </cell>
          <cell r="D1">
            <v>2000</v>
          </cell>
          <cell r="E1">
            <v>2001</v>
          </cell>
          <cell r="F1">
            <v>2002</v>
          </cell>
          <cell r="G1" t="str">
            <v>2003E</v>
          </cell>
          <cell r="H1" t="str">
            <v>2004E</v>
          </cell>
          <cell r="I1" t="str">
            <v>2005E</v>
          </cell>
          <cell r="J1" t="str">
            <v>2006E</v>
          </cell>
          <cell r="K1" t="str">
            <v>2007E</v>
          </cell>
        </row>
        <row r="2">
          <cell r="A2" t="str">
            <v>ROIC</v>
          </cell>
        </row>
        <row r="3">
          <cell r="B3" t="str">
            <v>Adjusted NOA</v>
          </cell>
          <cell r="C3">
            <v>5.6948044646664163E-2</v>
          </cell>
          <cell r="D3">
            <v>5.677761643995187E-2</v>
          </cell>
          <cell r="E3">
            <v>5.881409338826931E-2</v>
          </cell>
          <cell r="F3">
            <v>5.711039068744516E-2</v>
          </cell>
          <cell r="G3">
            <v>5.6297890438494612E-2</v>
          </cell>
          <cell r="H3">
            <v>6.4851168129145362E-2</v>
          </cell>
          <cell r="I3">
            <v>7.2540790533749344E-2</v>
          </cell>
          <cell r="J3">
            <v>7.4308809124749589E-2</v>
          </cell>
          <cell r="K3">
            <v>7.2803420696115728E-2</v>
          </cell>
        </row>
        <row r="4">
          <cell r="B4" t="str">
            <v>Adjusted NOPAT</v>
          </cell>
          <cell r="C4">
            <v>5.6149260760004892E-2</v>
          </cell>
          <cell r="D4">
            <v>6.1579406767287008E-2</v>
          </cell>
          <cell r="E4">
            <v>6.0756397922152164E-2</v>
          </cell>
          <cell r="F4">
            <v>5.855427506439953E-2</v>
          </cell>
          <cell r="G4">
            <v>6.2069262890880793E-2</v>
          </cell>
          <cell r="H4">
            <v>6.4566104927252621E-2</v>
          </cell>
          <cell r="I4">
            <v>7.1827136872362141E-2</v>
          </cell>
          <cell r="J4">
            <v>7.4838189964050228E-2</v>
          </cell>
          <cell r="K4">
            <v>7.2611318425522903E-2</v>
          </cell>
        </row>
        <row r="6">
          <cell r="B6" t="str">
            <v>Reported NOA</v>
          </cell>
          <cell r="C6">
            <v>6.3411238218634453E-2</v>
          </cell>
          <cell r="D6">
            <v>6.3689360193427039E-2</v>
          </cell>
          <cell r="E6">
            <v>6.2568681488733083E-2</v>
          </cell>
          <cell r="F6">
            <v>6.0760680577052341E-2</v>
          </cell>
          <cell r="G6">
            <v>7.236028429629672E-2</v>
          </cell>
          <cell r="H6">
            <v>7.0416824477019441E-2</v>
          </cell>
          <cell r="I6">
            <v>7.7805379291638554E-2</v>
          </cell>
          <cell r="J6">
            <v>8.231602616843002E-2</v>
          </cell>
          <cell r="K6">
            <v>7.7857630679843151E-2</v>
          </cell>
        </row>
        <row r="7">
          <cell r="B7" t="str">
            <v>Reported NOPAT</v>
          </cell>
          <cell r="C7">
            <v>6.1367576882427645E-2</v>
          </cell>
          <cell r="D7">
            <v>6.1579406767287008E-2</v>
          </cell>
          <cell r="E7">
            <v>6.0756397922152164E-2</v>
          </cell>
          <cell r="F7">
            <v>5.8412692901226235E-2</v>
          </cell>
          <cell r="G7">
            <v>6.7314203861552943E-2</v>
          </cell>
          <cell r="H7">
            <v>6.5843143797128134E-2</v>
          </cell>
          <cell r="I7">
            <v>7.3507401031716477E-2</v>
          </cell>
          <cell r="J7">
            <v>7.8307913939788643E-2</v>
          </cell>
          <cell r="K7">
            <v>7.4167082921345481E-2</v>
          </cell>
        </row>
        <row r="9">
          <cell r="A9" t="str">
            <v>Operating Margins</v>
          </cell>
        </row>
        <row r="10">
          <cell r="B10" t="str">
            <v>Adjusted NOA</v>
          </cell>
          <cell r="C10">
            <v>9.9093490775574347E-2</v>
          </cell>
          <cell r="D10">
            <v>9.2097418684620971E-2</v>
          </cell>
          <cell r="E10">
            <v>8.5639524032861583E-2</v>
          </cell>
          <cell r="F10">
            <v>6.8667236314992469E-2</v>
          </cell>
          <cell r="G10">
            <v>6.5598547818956854E-2</v>
          </cell>
          <cell r="H10">
            <v>6.9108181352642142E-2</v>
          </cell>
          <cell r="I10">
            <v>7.0050652781550704E-2</v>
          </cell>
          <cell r="J10">
            <v>6.7283567493376203E-2</v>
          </cell>
          <cell r="K10">
            <v>6.5402367053013041E-2</v>
          </cell>
        </row>
        <row r="11">
          <cell r="B11" t="str">
            <v>Adjusted NOPAT</v>
          </cell>
          <cell r="C11">
            <v>9.0667198149876754E-2</v>
          </cell>
          <cell r="D11">
            <v>9.2097418684620971E-2</v>
          </cell>
          <cell r="E11">
            <v>8.5639524032861583E-2</v>
          </cell>
          <cell r="F11">
            <v>6.8309913134886144E-2</v>
          </cell>
          <cell r="G11">
            <v>6.3311330594266801E-2</v>
          </cell>
          <cell r="H11">
            <v>6.574030325505012E-2</v>
          </cell>
          <cell r="I11">
            <v>6.6563045745004823E-2</v>
          </cell>
          <cell r="J11">
            <v>6.4027215412746211E-2</v>
          </cell>
          <cell r="K11">
            <v>6.2299010854756996E-2</v>
          </cell>
        </row>
        <row r="13">
          <cell r="A13" t="str">
            <v>Operating Asset Turnover</v>
          </cell>
        </row>
        <row r="14">
          <cell r="B14" t="str">
            <v>Adjusted NOA</v>
          </cell>
          <cell r="C14">
            <v>0.57469006491697172</v>
          </cell>
          <cell r="D14">
            <v>0.61649519878924652</v>
          </cell>
          <cell r="E14">
            <v>0.68676343139998275</v>
          </cell>
          <cell r="F14">
            <v>0.83169781910934371</v>
          </cell>
          <cell r="G14">
            <v>0.85821854767073802</v>
          </cell>
          <cell r="H14">
            <v>0.93840073432443127</v>
          </cell>
          <cell r="I14">
            <v>1.0355476737663531</v>
          </cell>
          <cell r="J14">
            <v>1.1044124426378696</v>
          </cell>
          <cell r="K14">
            <v>1.113161862125015</v>
          </cell>
        </row>
        <row r="15">
          <cell r="B15" t="str">
            <v>Adjusted NOPAT</v>
          </cell>
          <cell r="C15">
            <v>0.6192896869625083</v>
          </cell>
          <cell r="D15">
            <v>0.66863336287589059</v>
          </cell>
          <cell r="E15">
            <v>0.70944343290416623</v>
          </cell>
          <cell r="F15">
            <v>0.85511297292800448</v>
          </cell>
          <cell r="G15">
            <v>0.96669538499619667</v>
          </cell>
          <cell r="H15">
            <v>0.97316922050689736</v>
          </cell>
          <cell r="I15">
            <v>1.0800304733809913</v>
          </cell>
          <cell r="J15">
            <v>1.1509810956932949</v>
          </cell>
          <cell r="K15">
            <v>1.1566027039881674</v>
          </cell>
        </row>
        <row r="19">
          <cell r="A19" t="str">
            <v>Check</v>
          </cell>
        </row>
        <row r="21">
          <cell r="A21" t="str">
            <v>NOPAT (on NOA sheet)</v>
          </cell>
          <cell r="C21">
            <v>107.01631264355385</v>
          </cell>
          <cell r="D21">
            <v>123.18038958809923</v>
          </cell>
          <cell r="E21">
            <v>145.0412388901552</v>
          </cell>
          <cell r="F21">
            <v>151.09655413052678</v>
          </cell>
          <cell r="G21">
            <v>185.94721801276276</v>
          </cell>
          <cell r="H21">
            <v>221.38854272045859</v>
          </cell>
          <cell r="I21">
            <v>261.87175630632663</v>
          </cell>
          <cell r="J21">
            <v>291.09993436145152</v>
          </cell>
          <cell r="K21">
            <v>309.92101944674914</v>
          </cell>
        </row>
        <row r="22">
          <cell r="A22" t="str">
            <v>Reported NOPAT (NOPAT)</v>
          </cell>
          <cell r="C22">
            <v>107.01631264355385</v>
          </cell>
          <cell r="D22">
            <v>123.18038958809923</v>
          </cell>
          <cell r="E22">
            <v>145.0412388901552</v>
          </cell>
          <cell r="F22">
            <v>150.31029413052676</v>
          </cell>
          <cell r="G22">
            <v>179.46381717444294</v>
          </cell>
          <cell r="H22">
            <v>210.59952165967584</v>
          </cell>
          <cell r="I22">
            <v>248.83396516946644</v>
          </cell>
          <cell r="J22">
            <v>277.0114442256916</v>
          </cell>
          <cell r="K22">
            <v>295.21520129355747</v>
          </cell>
        </row>
        <row r="23">
          <cell r="B23" t="str">
            <v>Diff</v>
          </cell>
          <cell r="C23">
            <v>0</v>
          </cell>
          <cell r="D23">
            <v>0</v>
          </cell>
          <cell r="E23">
            <v>0</v>
          </cell>
          <cell r="F23">
            <v>0.78626000000002705</v>
          </cell>
          <cell r="G23">
            <v>6.4834008383198238</v>
          </cell>
          <cell r="H23">
            <v>10.789021060782744</v>
          </cell>
          <cell r="I23">
            <v>13.037791136860193</v>
          </cell>
          <cell r="J23">
            <v>14.088490135759912</v>
          </cell>
          <cell r="K23">
            <v>14.705818153191672</v>
          </cell>
        </row>
        <row r="25">
          <cell r="A25" t="str">
            <v>NOA (on NOPAT sheet)</v>
          </cell>
          <cell r="C25">
            <v>1876.8798777424613</v>
          </cell>
          <cell r="D25">
            <v>2279.6951896280143</v>
          </cell>
          <cell r="E25">
            <v>2480.4326056000868</v>
          </cell>
          <cell r="F25">
            <v>2666.0616464179138</v>
          </cell>
          <cell r="G25">
            <v>3198.5034358104499</v>
          </cell>
          <cell r="H25">
            <v>3385.1552588847653</v>
          </cell>
          <cell r="I25">
            <v>3537.4642266513079</v>
          </cell>
          <cell r="J25">
            <v>3980.4073406343146</v>
          </cell>
          <cell r="K25">
            <v>4213.7322419035254</v>
          </cell>
        </row>
        <row r="26">
          <cell r="A26" t="str">
            <v>Reported NOA (NOA)</v>
          </cell>
          <cell r="C26">
            <v>1810.6106277424617</v>
          </cell>
          <cell r="D26">
            <v>2210.5489396280141</v>
          </cell>
          <cell r="E26">
            <v>2403.7563556000869</v>
          </cell>
          <cell r="F26">
            <v>2569.7413964179136</v>
          </cell>
          <cell r="G26">
            <v>3143.9722589692869</v>
          </cell>
          <cell r="H26">
            <v>3365.7281628915466</v>
          </cell>
          <cell r="I26">
            <v>3536.3701081223312</v>
          </cell>
          <cell r="J26">
            <v>3980.6120060494691</v>
          </cell>
          <cell r="K26">
            <v>4215.4136547811349</v>
          </cell>
        </row>
        <row r="27">
          <cell r="B27" t="str">
            <v>Diff</v>
          </cell>
          <cell r="C27">
            <v>66.269249999999602</v>
          </cell>
          <cell r="D27">
            <v>69.146250000000236</v>
          </cell>
          <cell r="E27">
            <v>76.676249999999982</v>
          </cell>
          <cell r="F27">
            <v>96.320250000000215</v>
          </cell>
          <cell r="G27">
            <v>54.53117684116296</v>
          </cell>
          <cell r="H27">
            <v>19.4270959932187</v>
          </cell>
          <cell r="I27">
            <v>1.0941185289766509</v>
          </cell>
          <cell r="J27">
            <v>-0.20466541515452263</v>
          </cell>
          <cell r="K27">
            <v>-1.6814128776095458</v>
          </cell>
        </row>
        <row r="28">
          <cell r="C28">
            <v>1999</v>
          </cell>
          <cell r="D28">
            <v>2000</v>
          </cell>
          <cell r="E28">
            <v>2001</v>
          </cell>
          <cell r="F28">
            <v>2002</v>
          </cell>
          <cell r="G28" t="str">
            <v>2003E</v>
          </cell>
          <cell r="H28" t="str">
            <v>2004E</v>
          </cell>
          <cell r="I28" t="str">
            <v>2005E</v>
          </cell>
          <cell r="J28" t="str">
            <v>2006E</v>
          </cell>
          <cell r="K28" t="str">
            <v>2007E</v>
          </cell>
          <cell r="L28" t="str">
            <v>2008E</v>
          </cell>
          <cell r="M28" t="str">
            <v>2009E</v>
          </cell>
          <cell r="N28" t="str">
            <v>2010E</v>
          </cell>
          <cell r="O28" t="str">
            <v>2011E</v>
          </cell>
          <cell r="P28" t="str">
            <v>2012E</v>
          </cell>
          <cell r="Q28" t="str">
            <v>2013E</v>
          </cell>
          <cell r="R28" t="str">
            <v>2014E</v>
          </cell>
          <cell r="S28" t="str">
            <v>2015E</v>
          </cell>
          <cell r="T28" t="str">
            <v>2016E</v>
          </cell>
          <cell r="U28" t="str">
            <v>2017E</v>
          </cell>
          <cell r="V28" t="str">
            <v>2018E</v>
          </cell>
        </row>
        <row r="29">
          <cell r="B29" t="str">
            <v>Operating Margins</v>
          </cell>
          <cell r="C29">
            <v>9.9093490775574347E-2</v>
          </cell>
          <cell r="D29">
            <v>9.2097418684620971E-2</v>
          </cell>
          <cell r="E29">
            <v>8.5639524032861583E-2</v>
          </cell>
          <cell r="F29">
            <v>6.8667236314992469E-2</v>
          </cell>
          <cell r="G29">
            <v>6.5598547818956854E-2</v>
          </cell>
          <cell r="H29">
            <v>6.9108181352642142E-2</v>
          </cell>
          <cell r="I29">
            <v>7.0050652781550704E-2</v>
          </cell>
          <cell r="J29">
            <v>6.7283567493376203E-2</v>
          </cell>
          <cell r="K29">
            <v>6.5402367053013041E-2</v>
          </cell>
        </row>
        <row r="30">
          <cell r="B30" t="str">
            <v>Asset Turnover</v>
          </cell>
          <cell r="C30">
            <v>0.57469006491697172</v>
          </cell>
          <cell r="D30">
            <v>0.61649519878924652</v>
          </cell>
          <cell r="E30">
            <v>0.68676343139998275</v>
          </cell>
          <cell r="F30">
            <v>0.83169781910934371</v>
          </cell>
          <cell r="G30">
            <v>0.85821854767073802</v>
          </cell>
          <cell r="H30">
            <v>0.93840073432443127</v>
          </cell>
          <cell r="I30">
            <v>1.0355476737663531</v>
          </cell>
          <cell r="J30">
            <v>1.1044124426378696</v>
          </cell>
          <cell r="K30">
            <v>1.113161862125015</v>
          </cell>
        </row>
        <row r="31">
          <cell r="B31" t="str">
            <v>ROIC</v>
          </cell>
          <cell r="C31">
            <v>5.6948044646664163E-2</v>
          </cell>
          <cell r="D31">
            <v>5.677761643995187E-2</v>
          </cell>
          <cell r="E31">
            <v>5.881409338826931E-2</v>
          </cell>
          <cell r="F31">
            <v>5.711039068744516E-2</v>
          </cell>
          <cell r="G31">
            <v>5.6297890438494612E-2</v>
          </cell>
          <cell r="H31">
            <v>6.4851168129145362E-2</v>
          </cell>
          <cell r="I31">
            <v>7.2540790533749344E-2</v>
          </cell>
          <cell r="J31">
            <v>7.4308809124749589E-2</v>
          </cell>
          <cell r="K31">
            <v>7.2803420696115728E-2</v>
          </cell>
          <cell r="L31">
            <v>7.2803420696115728E-2</v>
          </cell>
          <cell r="M31">
            <v>7.5120770763853748E-2</v>
          </cell>
          <cell r="N31">
            <v>7.7194189245514064E-2</v>
          </cell>
          <cell r="O31">
            <v>7.9023676141096705E-2</v>
          </cell>
          <cell r="P31">
            <v>8.060923145060167E-2</v>
          </cell>
          <cell r="Q31">
            <v>8.1950855174028933E-2</v>
          </cell>
          <cell r="R31">
            <v>8.3048547311378521E-2</v>
          </cell>
          <cell r="S31">
            <v>8.3902307862650419E-2</v>
          </cell>
          <cell r="T31">
            <v>8.4512136827844642E-2</v>
          </cell>
          <cell r="U31">
            <v>8.4878034206961162E-2</v>
          </cell>
          <cell r="V31">
            <v>8.5000000000000006E-2</v>
          </cell>
        </row>
        <row r="32">
          <cell r="B32" t="str">
            <v>WACC</v>
          </cell>
          <cell r="C32">
            <v>7.0999999999999994E-2</v>
          </cell>
          <cell r="D32">
            <v>7.0999999999999994E-2</v>
          </cell>
          <cell r="E32">
            <v>7.0999999999999994E-2</v>
          </cell>
          <cell r="F32">
            <v>7.0999999999999994E-2</v>
          </cell>
          <cell r="G32">
            <v>7.0999999999999994E-2</v>
          </cell>
          <cell r="H32">
            <v>7.0999999999999994E-2</v>
          </cell>
          <cell r="I32">
            <v>7.0999999999999994E-2</v>
          </cell>
          <cell r="J32">
            <v>7.0999999999999994E-2</v>
          </cell>
          <cell r="K32">
            <v>7.0999999999999994E-2</v>
          </cell>
          <cell r="L32">
            <v>7.0999999999999994E-2</v>
          </cell>
          <cell r="M32">
            <v>7.0999999999999994E-2</v>
          </cell>
          <cell r="N32">
            <v>7.0999999999999994E-2</v>
          </cell>
          <cell r="O32">
            <v>7.0999999999999994E-2</v>
          </cell>
          <cell r="P32">
            <v>7.0999999999999994E-2</v>
          </cell>
          <cell r="Q32">
            <v>7.0999999999999994E-2</v>
          </cell>
          <cell r="R32">
            <v>7.0999999999999994E-2</v>
          </cell>
          <cell r="S32">
            <v>7.0999999999999994E-2</v>
          </cell>
          <cell r="T32">
            <v>7.0999999999999994E-2</v>
          </cell>
          <cell r="U32">
            <v>7.0999999999999994E-2</v>
          </cell>
          <cell r="V32">
            <v>7.0999999999999994E-2</v>
          </cell>
        </row>
      </sheetData>
      <sheetData sheetId="19"/>
      <sheetData sheetId="20"/>
      <sheetData sheetId="21"/>
      <sheetData sheetId="22"/>
      <sheetData sheetId="23" refreshError="1"/>
      <sheetData sheetId="24"/>
      <sheetData sheetId="25"/>
      <sheetData sheetId="26"/>
      <sheetData sheetId="27"/>
      <sheetData sheetId="28" refreshError="1"/>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ncome Statement"/>
      <sheetName val="Guidance"/>
      <sheetName val="Balance Sheet &amp; Cash Flow"/>
      <sheetName val="Revenue Assumptions"/>
      <sheetName val="Drivers"/>
      <sheetName val="Expense Assumptions"/>
      <sheetName val="Valuation"/>
      <sheetName val="Scenarios"/>
      <sheetName val="MWA RR"/>
      <sheetName val="Debt"/>
      <sheetName val="MW-Cache"/>
      <sheetName val="mwareDates"/>
      <sheetName val="mwareSettings"/>
      <sheetName val="MS vs. Guidance"/>
      <sheetName val="Facilities"/>
      <sheetName val="One Pager"/>
      <sheetName val="Quarterly Comps (2)"/>
      <sheetName val="Quarterly Comps"/>
      <sheetName val="Same Site"/>
      <sheetName val="What Changed"/>
      <sheetName val="M&amp;A"/>
      <sheetName val="Charts"/>
      <sheetName val="Notes"/>
      <sheetName val="#REF"/>
    </sheetNames>
    <sheetDataSet>
      <sheetData sheetId="0" refreshError="1"/>
      <sheetData sheetId="1" refreshError="1"/>
      <sheetData sheetId="2" refreshError="1">
        <row r="1">
          <cell r="A1" t="str">
            <v>Tenet Health</v>
          </cell>
          <cell r="DT1" t="str">
            <v>ElementName</v>
          </cell>
          <cell r="DU1" t="str">
            <v>ScaleOverride</v>
          </cell>
          <cell r="DV1" t="str">
            <v>UnitOverride</v>
          </cell>
          <cell r="DW1" t="str">
            <v>ReverseSign</v>
          </cell>
          <cell r="DX1" t="str">
            <v>IsDrivingAssumption</v>
          </cell>
        </row>
        <row r="2">
          <cell r="A2" t="str">
            <v>Andrew Schenker (212) 761-6857</v>
          </cell>
        </row>
        <row r="3">
          <cell r="A3" t="str">
            <v>INCOME STATEMENT</v>
          </cell>
        </row>
        <row r="4">
          <cell r="B4" t="str">
            <v>Fiscal Year ends December 31</v>
          </cell>
          <cell r="C4" t="str">
            <v>THC</v>
          </cell>
          <cell r="D4">
            <v>34577</v>
          </cell>
          <cell r="E4">
            <v>34668</v>
          </cell>
          <cell r="F4">
            <v>34758</v>
          </cell>
          <cell r="G4">
            <v>34850</v>
          </cell>
          <cell r="H4">
            <v>34850</v>
          </cell>
          <cell r="I4">
            <v>34942</v>
          </cell>
          <cell r="J4">
            <v>35033</v>
          </cell>
          <cell r="K4">
            <v>35123</v>
          </cell>
          <cell r="L4">
            <v>35216</v>
          </cell>
          <cell r="M4">
            <v>35216</v>
          </cell>
          <cell r="N4">
            <v>35308</v>
          </cell>
          <cell r="O4">
            <v>35399</v>
          </cell>
          <cell r="P4">
            <v>35489</v>
          </cell>
          <cell r="Q4">
            <v>35581</v>
          </cell>
          <cell r="R4">
            <v>35581</v>
          </cell>
          <cell r="S4">
            <v>35673</v>
          </cell>
          <cell r="T4">
            <v>35764</v>
          </cell>
          <cell r="U4">
            <v>35854</v>
          </cell>
          <cell r="V4">
            <v>35946</v>
          </cell>
          <cell r="W4">
            <v>35946</v>
          </cell>
          <cell r="X4">
            <v>36038</v>
          </cell>
          <cell r="Y4">
            <v>36129</v>
          </cell>
          <cell r="Z4">
            <v>36219</v>
          </cell>
          <cell r="AA4">
            <v>36311</v>
          </cell>
          <cell r="AB4">
            <v>36311</v>
          </cell>
          <cell r="AC4">
            <v>36403</v>
          </cell>
          <cell r="AD4">
            <v>36494</v>
          </cell>
          <cell r="AE4">
            <v>36584</v>
          </cell>
          <cell r="AF4">
            <v>36677</v>
          </cell>
          <cell r="AG4">
            <v>36677</v>
          </cell>
          <cell r="AH4">
            <v>36769</v>
          </cell>
          <cell r="AI4">
            <v>36860</v>
          </cell>
          <cell r="AJ4">
            <v>36950</v>
          </cell>
          <cell r="AK4">
            <v>37042</v>
          </cell>
          <cell r="AL4">
            <v>37042</v>
          </cell>
          <cell r="AM4">
            <v>37134</v>
          </cell>
          <cell r="AN4">
            <v>37225</v>
          </cell>
          <cell r="AO4">
            <v>37315</v>
          </cell>
          <cell r="AP4">
            <v>37407</v>
          </cell>
          <cell r="AQ4">
            <v>37407</v>
          </cell>
          <cell r="AR4">
            <v>37499</v>
          </cell>
          <cell r="AS4">
            <v>37590</v>
          </cell>
          <cell r="AT4">
            <v>37680</v>
          </cell>
          <cell r="AV4">
            <v>37346</v>
          </cell>
          <cell r="AW4">
            <v>37437</v>
          </cell>
          <cell r="AX4">
            <v>37529</v>
          </cell>
          <cell r="AY4">
            <v>37621</v>
          </cell>
          <cell r="AZ4">
            <v>37621</v>
          </cell>
          <cell r="BA4">
            <v>37711</v>
          </cell>
          <cell r="BB4">
            <v>37802</v>
          </cell>
          <cell r="BC4">
            <v>37894</v>
          </cell>
          <cell r="BD4">
            <v>37986</v>
          </cell>
          <cell r="BE4">
            <v>37986</v>
          </cell>
          <cell r="BF4">
            <v>38077</v>
          </cell>
          <cell r="BG4">
            <v>38168</v>
          </cell>
          <cell r="BH4">
            <v>38260</v>
          </cell>
          <cell r="BI4">
            <v>38352</v>
          </cell>
          <cell r="BJ4">
            <v>38352</v>
          </cell>
          <cell r="BK4">
            <v>38442</v>
          </cell>
          <cell r="BL4">
            <v>38533</v>
          </cell>
          <cell r="BM4">
            <v>38625</v>
          </cell>
          <cell r="BN4">
            <v>38717</v>
          </cell>
          <cell r="BO4">
            <v>38717</v>
          </cell>
          <cell r="BP4">
            <v>38807</v>
          </cell>
          <cell r="BQ4">
            <v>38898</v>
          </cell>
          <cell r="BR4">
            <v>38990</v>
          </cell>
          <cell r="BS4">
            <v>39082</v>
          </cell>
          <cell r="BT4">
            <v>39082</v>
          </cell>
          <cell r="BU4">
            <v>39172</v>
          </cell>
          <cell r="BV4">
            <v>39263</v>
          </cell>
          <cell r="BW4">
            <v>39355</v>
          </cell>
          <cell r="BX4">
            <v>39447</v>
          </cell>
          <cell r="BY4">
            <v>39447</v>
          </cell>
          <cell r="BZ4">
            <v>39538</v>
          </cell>
          <cell r="CA4">
            <v>39629</v>
          </cell>
          <cell r="CB4">
            <v>39721</v>
          </cell>
          <cell r="CC4">
            <v>39813</v>
          </cell>
          <cell r="CD4">
            <v>39813</v>
          </cell>
          <cell r="CE4">
            <v>39903</v>
          </cell>
          <cell r="CF4">
            <v>39994</v>
          </cell>
          <cell r="CG4">
            <v>40086</v>
          </cell>
          <cell r="CH4">
            <v>40178</v>
          </cell>
          <cell r="CI4">
            <v>40178</v>
          </cell>
          <cell r="CJ4">
            <v>40268</v>
          </cell>
          <cell r="CK4">
            <v>40359</v>
          </cell>
          <cell r="CL4">
            <v>40451</v>
          </cell>
          <cell r="CM4">
            <v>40543</v>
          </cell>
          <cell r="CN4">
            <v>40543</v>
          </cell>
          <cell r="CO4">
            <v>40633</v>
          </cell>
          <cell r="CP4">
            <v>40724</v>
          </cell>
          <cell r="CQ4">
            <v>40816</v>
          </cell>
          <cell r="CR4">
            <v>40908</v>
          </cell>
          <cell r="CS4">
            <v>40908</v>
          </cell>
          <cell r="CT4">
            <v>40999</v>
          </cell>
          <cell r="CU4">
            <v>41090</v>
          </cell>
          <cell r="CV4">
            <v>41182</v>
          </cell>
          <cell r="CW4">
            <v>41274</v>
          </cell>
          <cell r="CX4">
            <v>41274</v>
          </cell>
          <cell r="CY4">
            <v>41364</v>
          </cell>
          <cell r="CZ4">
            <v>41455</v>
          </cell>
          <cell r="DA4">
            <v>41547</v>
          </cell>
          <cell r="DB4">
            <v>41639</v>
          </cell>
          <cell r="DC4">
            <v>41639</v>
          </cell>
          <cell r="DD4">
            <v>41729</v>
          </cell>
          <cell r="DE4">
            <v>41820</v>
          </cell>
          <cell r="DF4">
            <v>41912</v>
          </cell>
          <cell r="DG4">
            <v>42004</v>
          </cell>
          <cell r="DH4">
            <v>42004</v>
          </cell>
          <cell r="DI4">
            <v>42094</v>
          </cell>
          <cell r="DJ4">
            <v>42185</v>
          </cell>
          <cell r="DK4">
            <v>42277</v>
          </cell>
          <cell r="DL4">
            <v>42369</v>
          </cell>
          <cell r="DM4">
            <v>42369</v>
          </cell>
          <cell r="DN4">
            <v>42460</v>
          </cell>
          <cell r="DO4">
            <v>42551</v>
          </cell>
          <cell r="DP4">
            <v>42643</v>
          </cell>
          <cell r="DQ4">
            <v>42735</v>
          </cell>
          <cell r="DR4">
            <v>42735</v>
          </cell>
        </row>
        <row r="5">
          <cell r="B5" t="str">
            <v>($ Millions, except per share data)</v>
          </cell>
          <cell r="C5" t="str">
            <v>THC.N</v>
          </cell>
          <cell r="D5" t="str">
            <v>F1Q95A</v>
          </cell>
          <cell r="E5" t="str">
            <v>F2Q95A</v>
          </cell>
          <cell r="F5" t="str">
            <v>F3Q95A</v>
          </cell>
          <cell r="G5" t="str">
            <v>F4Q95A</v>
          </cell>
          <cell r="H5" t="str">
            <v>F1995A</v>
          </cell>
          <cell r="I5" t="str">
            <v>F1Q96A</v>
          </cell>
          <cell r="J5" t="str">
            <v>F2Q96A</v>
          </cell>
          <cell r="K5" t="str">
            <v>F3Q96A</v>
          </cell>
          <cell r="L5" t="str">
            <v>F4Q96A</v>
          </cell>
          <cell r="M5" t="str">
            <v>F1996A</v>
          </cell>
          <cell r="N5" t="str">
            <v>F1Q97A</v>
          </cell>
          <cell r="O5" t="str">
            <v>F2Q97A</v>
          </cell>
          <cell r="P5" t="str">
            <v>F3Q97A</v>
          </cell>
          <cell r="Q5" t="str">
            <v>F4Q97A</v>
          </cell>
          <cell r="R5" t="str">
            <v>F1997A</v>
          </cell>
          <cell r="S5" t="str">
            <v>F1Q98A</v>
          </cell>
          <cell r="T5" t="str">
            <v>F2Q98A</v>
          </cell>
          <cell r="U5" t="str">
            <v>F3Q98A</v>
          </cell>
          <cell r="V5" t="str">
            <v>F4Q98A</v>
          </cell>
          <cell r="W5" t="str">
            <v>F1998A</v>
          </cell>
          <cell r="X5" t="str">
            <v>F1Q99A</v>
          </cell>
          <cell r="Y5" t="str">
            <v>F2Q99A</v>
          </cell>
          <cell r="Z5" t="str">
            <v>F3Q99A</v>
          </cell>
          <cell r="AA5" t="str">
            <v>F4Q99A</v>
          </cell>
          <cell r="AB5" t="str">
            <v>F1999A</v>
          </cell>
          <cell r="AC5" t="str">
            <v>F1Q00A</v>
          </cell>
          <cell r="AD5" t="str">
            <v>F2Q00A</v>
          </cell>
          <cell r="AE5" t="str">
            <v>F3Q00A</v>
          </cell>
          <cell r="AF5" t="str">
            <v>F4Q00A</v>
          </cell>
          <cell r="AG5" t="str">
            <v>F2000A</v>
          </cell>
          <cell r="AH5" t="str">
            <v>F1Q01A</v>
          </cell>
          <cell r="AI5" t="str">
            <v>F2Q01A</v>
          </cell>
          <cell r="AJ5" t="str">
            <v>F3Q01A</v>
          </cell>
          <cell r="AK5" t="str">
            <v>F4Q01A</v>
          </cell>
          <cell r="AL5" t="str">
            <v>F2001A</v>
          </cell>
          <cell r="AM5" t="str">
            <v>F1Q02A</v>
          </cell>
          <cell r="AN5" t="str">
            <v>F2Q02A</v>
          </cell>
          <cell r="AO5" t="str">
            <v>F3Q02A</v>
          </cell>
          <cell r="AP5" t="str">
            <v>F4Q02A</v>
          </cell>
          <cell r="AQ5" t="str">
            <v>F2002A</v>
          </cell>
          <cell r="AR5" t="str">
            <v>F1Q03A</v>
          </cell>
          <cell r="AS5" t="str">
            <v>F2Q03A</v>
          </cell>
          <cell r="AT5" t="str">
            <v>F3Q03A</v>
          </cell>
          <cell r="AV5" t="str">
            <v>1Q02A</v>
          </cell>
          <cell r="AW5" t="str">
            <v>2Q02A</v>
          </cell>
          <cell r="AX5" t="str">
            <v>3Q02A</v>
          </cell>
          <cell r="AY5" t="str">
            <v>4Q02A</v>
          </cell>
          <cell r="AZ5" t="str">
            <v>2002A</v>
          </cell>
          <cell r="BA5" t="str">
            <v>1Q03A</v>
          </cell>
          <cell r="BB5" t="str">
            <v>2Q03A</v>
          </cell>
          <cell r="BC5" t="str">
            <v>3Q03A</v>
          </cell>
          <cell r="BD5" t="str">
            <v>4Q03A</v>
          </cell>
          <cell r="BE5" t="str">
            <v>2003A</v>
          </cell>
          <cell r="BF5" t="str">
            <v>1Q04A</v>
          </cell>
          <cell r="BG5" t="str">
            <v>2Q04A</v>
          </cell>
          <cell r="BH5" t="str">
            <v>3Q04A</v>
          </cell>
          <cell r="BI5" t="str">
            <v>4Q04A</v>
          </cell>
          <cell r="BJ5" t="str">
            <v>2004A</v>
          </cell>
          <cell r="BK5" t="str">
            <v>1Q05A</v>
          </cell>
          <cell r="BL5" t="str">
            <v>2Q05A</v>
          </cell>
          <cell r="BM5" t="str">
            <v>3Q05A</v>
          </cell>
          <cell r="BN5" t="str">
            <v>4Q05A</v>
          </cell>
          <cell r="BO5" t="str">
            <v>2005A</v>
          </cell>
          <cell r="BP5" t="str">
            <v>1Q06A</v>
          </cell>
          <cell r="BQ5" t="str">
            <v>2Q06A</v>
          </cell>
          <cell r="BR5" t="str">
            <v>3Q06A</v>
          </cell>
          <cell r="BS5" t="str">
            <v>4Q06A</v>
          </cell>
          <cell r="BT5" t="str">
            <v>2006A</v>
          </cell>
          <cell r="BU5" t="str">
            <v>1Q07A</v>
          </cell>
          <cell r="BV5" t="str">
            <v>2Q07A</v>
          </cell>
          <cell r="BW5" t="str">
            <v>3Q07A</v>
          </cell>
          <cell r="BX5" t="str">
            <v>4Q07A</v>
          </cell>
          <cell r="BY5" t="str">
            <v>2007A</v>
          </cell>
          <cell r="BZ5" t="str">
            <v>1Q08A</v>
          </cell>
          <cell r="CA5" t="str">
            <v>2Q08A</v>
          </cell>
          <cell r="CB5" t="str">
            <v>3Q08A</v>
          </cell>
          <cell r="CC5" t="str">
            <v>4Q08A</v>
          </cell>
          <cell r="CD5" t="str">
            <v>2008A</v>
          </cell>
          <cell r="CE5" t="str">
            <v>1Q09A</v>
          </cell>
          <cell r="CF5" t="str">
            <v>2Q09A</v>
          </cell>
          <cell r="CG5" t="str">
            <v>3Q09A</v>
          </cell>
          <cell r="CH5" t="str">
            <v>4Q09A</v>
          </cell>
          <cell r="CI5" t="str">
            <v>2009A</v>
          </cell>
          <cell r="CJ5" t="str">
            <v>1Q10A</v>
          </cell>
          <cell r="CK5" t="str">
            <v>2Q10A</v>
          </cell>
          <cell r="CL5" t="str">
            <v>3Q10A</v>
          </cell>
          <cell r="CM5" t="str">
            <v>4Q10A</v>
          </cell>
          <cell r="CN5" t="str">
            <v>2010A</v>
          </cell>
          <cell r="CO5" t="str">
            <v>1Q11A</v>
          </cell>
          <cell r="CP5" t="str">
            <v>2Q11A</v>
          </cell>
          <cell r="CQ5" t="str">
            <v>3Q11A</v>
          </cell>
          <cell r="CR5" t="str">
            <v>4Q11A</v>
          </cell>
          <cell r="CS5" t="str">
            <v>2011A</v>
          </cell>
          <cell r="CT5" t="str">
            <v>1Q12A</v>
          </cell>
          <cell r="CU5" t="str">
            <v>2Q12A</v>
          </cell>
          <cell r="CV5" t="str">
            <v>3Q12A</v>
          </cell>
          <cell r="CW5" t="str">
            <v>4Q12E</v>
          </cell>
          <cell r="CX5" t="str">
            <v>2012E</v>
          </cell>
          <cell r="CY5" t="str">
            <v>1Q13E</v>
          </cell>
          <cell r="CZ5" t="str">
            <v>2Q13E</v>
          </cell>
          <cell r="DA5" t="str">
            <v>3Q13E</v>
          </cell>
          <cell r="DB5" t="str">
            <v>4Q13E</v>
          </cell>
          <cell r="DC5" t="str">
            <v>2013E</v>
          </cell>
          <cell r="DD5" t="str">
            <v>1Q14E</v>
          </cell>
          <cell r="DE5" t="str">
            <v>2Q14E</v>
          </cell>
          <cell r="DF5" t="str">
            <v>3Q14E</v>
          </cell>
          <cell r="DG5" t="str">
            <v>4Q14E</v>
          </cell>
          <cell r="DH5" t="str">
            <v>2014E</v>
          </cell>
          <cell r="DI5" t="str">
            <v>1Q15E</v>
          </cell>
          <cell r="DJ5" t="str">
            <v>2Q15E</v>
          </cell>
          <cell r="DK5" t="str">
            <v>3Q15E</v>
          </cell>
          <cell r="DL5" t="str">
            <v>4Q15E</v>
          </cell>
          <cell r="DM5" t="str">
            <v>2015E</v>
          </cell>
          <cell r="DN5" t="str">
            <v>1Q16E</v>
          </cell>
          <cell r="DO5" t="str">
            <v>2Q16E</v>
          </cell>
          <cell r="DP5" t="str">
            <v>3Q16E</v>
          </cell>
          <cell r="DQ5" t="str">
            <v>4Q16E</v>
          </cell>
          <cell r="DR5" t="str">
            <v>2016E</v>
          </cell>
        </row>
        <row r="6">
          <cell r="B6" t="str">
            <v>Days in period</v>
          </cell>
          <cell r="D6">
            <v>91</v>
          </cell>
          <cell r="E6">
            <v>91</v>
          </cell>
          <cell r="F6">
            <v>90</v>
          </cell>
          <cell r="G6">
            <v>92</v>
          </cell>
          <cell r="H6">
            <v>364</v>
          </cell>
          <cell r="I6">
            <v>92</v>
          </cell>
          <cell r="J6">
            <v>91</v>
          </cell>
          <cell r="K6">
            <v>90</v>
          </cell>
          <cell r="L6">
            <v>93</v>
          </cell>
          <cell r="M6">
            <v>366</v>
          </cell>
          <cell r="N6">
            <v>92</v>
          </cell>
          <cell r="O6">
            <v>91</v>
          </cell>
          <cell r="P6">
            <v>90</v>
          </cell>
          <cell r="Q6">
            <v>92</v>
          </cell>
          <cell r="R6">
            <v>365</v>
          </cell>
          <cell r="S6">
            <v>92</v>
          </cell>
          <cell r="T6">
            <v>91</v>
          </cell>
          <cell r="U6">
            <v>90</v>
          </cell>
          <cell r="V6">
            <v>92</v>
          </cell>
          <cell r="W6">
            <v>365</v>
          </cell>
          <cell r="X6">
            <v>92</v>
          </cell>
          <cell r="Y6">
            <v>91</v>
          </cell>
          <cell r="Z6">
            <v>90</v>
          </cell>
          <cell r="AA6">
            <v>92</v>
          </cell>
          <cell r="AB6">
            <v>365</v>
          </cell>
          <cell r="AC6">
            <v>91</v>
          </cell>
          <cell r="AD6">
            <v>91</v>
          </cell>
          <cell r="AE6">
            <v>90</v>
          </cell>
          <cell r="AF6">
            <v>93</v>
          </cell>
          <cell r="AG6">
            <v>365</v>
          </cell>
          <cell r="AH6">
            <v>92</v>
          </cell>
          <cell r="AI6">
            <v>91</v>
          </cell>
          <cell r="AJ6">
            <v>90</v>
          </cell>
          <cell r="AK6">
            <v>92</v>
          </cell>
          <cell r="AL6">
            <v>365</v>
          </cell>
          <cell r="AM6">
            <v>92</v>
          </cell>
          <cell r="AN6">
            <v>91</v>
          </cell>
          <cell r="AO6">
            <v>90</v>
          </cell>
          <cell r="AP6">
            <v>92</v>
          </cell>
          <cell r="AQ6">
            <v>365</v>
          </cell>
          <cell r="AR6">
            <v>92</v>
          </cell>
          <cell r="AS6">
            <v>91</v>
          </cell>
          <cell r="AT6">
            <v>90</v>
          </cell>
          <cell r="AV6">
            <v>91</v>
          </cell>
          <cell r="AW6">
            <v>91</v>
          </cell>
          <cell r="AX6">
            <v>92</v>
          </cell>
          <cell r="AY6">
            <v>92</v>
          </cell>
          <cell r="AZ6">
            <v>366</v>
          </cell>
          <cell r="BA6">
            <v>90</v>
          </cell>
          <cell r="BB6">
            <v>91</v>
          </cell>
          <cell r="BC6">
            <v>92</v>
          </cell>
          <cell r="BD6">
            <v>92</v>
          </cell>
          <cell r="BE6">
            <v>365</v>
          </cell>
          <cell r="BF6">
            <v>91</v>
          </cell>
          <cell r="BG6">
            <v>91</v>
          </cell>
          <cell r="BH6">
            <v>92</v>
          </cell>
          <cell r="BI6">
            <v>92</v>
          </cell>
          <cell r="BJ6">
            <v>366</v>
          </cell>
          <cell r="BK6">
            <v>90</v>
          </cell>
          <cell r="BL6">
            <v>91</v>
          </cell>
          <cell r="BM6">
            <v>92</v>
          </cell>
          <cell r="BN6">
            <v>92</v>
          </cell>
          <cell r="BO6">
            <v>365</v>
          </cell>
          <cell r="BP6">
            <v>90</v>
          </cell>
          <cell r="BQ6">
            <v>91</v>
          </cell>
          <cell r="BR6">
            <v>92</v>
          </cell>
          <cell r="BS6">
            <v>92</v>
          </cell>
          <cell r="BT6">
            <v>365</v>
          </cell>
          <cell r="BU6">
            <v>90</v>
          </cell>
          <cell r="BV6">
            <v>91</v>
          </cell>
          <cell r="BW6">
            <v>92</v>
          </cell>
          <cell r="BX6">
            <v>92</v>
          </cell>
          <cell r="BY6">
            <v>365</v>
          </cell>
          <cell r="BZ6">
            <v>91</v>
          </cell>
          <cell r="CA6">
            <v>91</v>
          </cell>
          <cell r="CB6">
            <v>92</v>
          </cell>
          <cell r="CC6">
            <v>92</v>
          </cell>
          <cell r="CD6">
            <v>366</v>
          </cell>
          <cell r="CE6">
            <v>90</v>
          </cell>
          <cell r="CF6">
            <v>91</v>
          </cell>
          <cell r="CG6">
            <v>92</v>
          </cell>
          <cell r="CH6">
            <v>92</v>
          </cell>
          <cell r="CI6">
            <v>365</v>
          </cell>
          <cell r="CJ6">
            <v>90</v>
          </cell>
          <cell r="CK6">
            <v>91</v>
          </cell>
          <cell r="CL6">
            <v>92</v>
          </cell>
          <cell r="CM6">
            <v>92</v>
          </cell>
          <cell r="CN6">
            <v>365</v>
          </cell>
          <cell r="CO6">
            <v>90</v>
          </cell>
          <cell r="CP6">
            <v>91</v>
          </cell>
          <cell r="CQ6">
            <v>92</v>
          </cell>
          <cell r="CR6">
            <v>92</v>
          </cell>
          <cell r="CS6">
            <v>365</v>
          </cell>
          <cell r="CT6">
            <v>91</v>
          </cell>
          <cell r="CU6">
            <v>91</v>
          </cell>
          <cell r="CV6">
            <v>92</v>
          </cell>
          <cell r="CW6">
            <v>92</v>
          </cell>
          <cell r="CX6">
            <v>366</v>
          </cell>
          <cell r="CY6">
            <v>90</v>
          </cell>
          <cell r="CZ6">
            <v>91</v>
          </cell>
          <cell r="DA6">
            <v>92</v>
          </cell>
          <cell r="DB6">
            <v>92</v>
          </cell>
          <cell r="DC6">
            <v>365</v>
          </cell>
          <cell r="DD6">
            <v>90</v>
          </cell>
          <cell r="DE6">
            <v>91</v>
          </cell>
          <cell r="DF6">
            <v>92</v>
          </cell>
          <cell r="DG6">
            <v>92</v>
          </cell>
          <cell r="DH6">
            <v>365</v>
          </cell>
          <cell r="DI6">
            <v>90</v>
          </cell>
          <cell r="DJ6">
            <v>91</v>
          </cell>
          <cell r="DK6">
            <v>92</v>
          </cell>
          <cell r="DL6">
            <v>92</v>
          </cell>
          <cell r="DM6">
            <v>365</v>
          </cell>
          <cell r="DN6">
            <v>91</v>
          </cell>
          <cell r="DO6">
            <v>91</v>
          </cell>
          <cell r="DP6">
            <v>92</v>
          </cell>
          <cell r="DQ6">
            <v>92</v>
          </cell>
          <cell r="DR6">
            <v>366</v>
          </cell>
        </row>
        <row r="8">
          <cell r="B8" t="str">
            <v>Inpatient revenue</v>
          </cell>
          <cell r="D8">
            <v>373.37799999999999</v>
          </cell>
          <cell r="E8">
            <v>366.77499999999998</v>
          </cell>
          <cell r="F8">
            <v>385.7</v>
          </cell>
          <cell r="G8">
            <v>812.04700000000003</v>
          </cell>
          <cell r="H8">
            <v>1937.9</v>
          </cell>
          <cell r="I8">
            <v>787.3</v>
          </cell>
          <cell r="J8">
            <v>839.4</v>
          </cell>
          <cell r="K8">
            <v>906.7</v>
          </cell>
          <cell r="L8">
            <v>906.60000000000036</v>
          </cell>
          <cell r="M8">
            <v>3440</v>
          </cell>
          <cell r="N8">
            <v>858.2</v>
          </cell>
          <cell r="O8">
            <v>884.5</v>
          </cell>
          <cell r="P8">
            <v>1377</v>
          </cell>
          <cell r="Q8">
            <v>2107.3000000000002</v>
          </cell>
          <cell r="R8">
            <v>5227</v>
          </cell>
          <cell r="S8">
            <v>1341</v>
          </cell>
          <cell r="T8">
            <v>1390</v>
          </cell>
          <cell r="U8">
            <v>1564</v>
          </cell>
          <cell r="V8">
            <v>1548</v>
          </cell>
          <cell r="W8">
            <v>5843</v>
          </cell>
          <cell r="X8">
            <v>1474</v>
          </cell>
          <cell r="Y8">
            <v>1538</v>
          </cell>
          <cell r="Z8">
            <v>1725</v>
          </cell>
          <cell r="AA8">
            <v>1779</v>
          </cell>
          <cell r="AB8">
            <v>6516</v>
          </cell>
          <cell r="AC8">
            <v>1703</v>
          </cell>
          <cell r="AD8">
            <v>1700</v>
          </cell>
          <cell r="AE8">
            <v>1831</v>
          </cell>
          <cell r="AF8">
            <v>1795</v>
          </cell>
          <cell r="AG8">
            <v>7029</v>
          </cell>
          <cell r="AH8">
            <v>1777</v>
          </cell>
          <cell r="AI8">
            <v>1842</v>
          </cell>
          <cell r="AJ8">
            <v>1987</v>
          </cell>
          <cell r="AK8">
            <v>2071</v>
          </cell>
          <cell r="AL8">
            <v>7677</v>
          </cell>
          <cell r="AM8">
            <v>2121</v>
          </cell>
          <cell r="AN8">
            <v>2210</v>
          </cell>
          <cell r="AO8">
            <v>2335</v>
          </cell>
          <cell r="AP8">
            <v>2474</v>
          </cell>
          <cell r="AQ8">
            <v>9140</v>
          </cell>
          <cell r="AR8">
            <v>2424</v>
          </cell>
          <cell r="AS8">
            <v>2470</v>
          </cell>
          <cell r="AT8">
            <v>2390</v>
          </cell>
          <cell r="AV8">
            <v>2295</v>
          </cell>
          <cell r="AW8">
            <v>2277</v>
          </cell>
          <cell r="AX8">
            <v>2328</v>
          </cell>
          <cell r="AY8">
            <v>2316</v>
          </cell>
          <cell r="AZ8">
            <v>9216</v>
          </cell>
          <cell r="BA8">
            <v>2266</v>
          </cell>
          <cell r="BB8">
            <v>2181</v>
          </cell>
          <cell r="BC8">
            <v>2139</v>
          </cell>
          <cell r="BD8">
            <v>2049</v>
          </cell>
          <cell r="BE8">
            <v>8635</v>
          </cell>
          <cell r="BF8">
            <v>1765</v>
          </cell>
          <cell r="BG8">
            <v>1690</v>
          </cell>
          <cell r="BH8">
            <v>1597</v>
          </cell>
          <cell r="BI8">
            <v>1605</v>
          </cell>
          <cell r="BJ8">
            <v>6657</v>
          </cell>
          <cell r="BK8">
            <v>1701</v>
          </cell>
          <cell r="BL8">
            <v>1598</v>
          </cell>
          <cell r="BM8">
            <v>1603</v>
          </cell>
          <cell r="BN8">
            <v>1590</v>
          </cell>
          <cell r="BO8">
            <v>6492</v>
          </cell>
          <cell r="BP8">
            <v>1677</v>
          </cell>
          <cell r="BQ8">
            <v>1480</v>
          </cell>
          <cell r="BR8">
            <v>1418</v>
          </cell>
          <cell r="BS8">
            <v>1494</v>
          </cell>
          <cell r="BT8">
            <v>6069</v>
          </cell>
          <cell r="BU8">
            <v>1540</v>
          </cell>
          <cell r="BV8">
            <v>1491</v>
          </cell>
          <cell r="BW8">
            <v>1484</v>
          </cell>
          <cell r="BX8">
            <v>1517</v>
          </cell>
          <cell r="BY8">
            <v>6032</v>
          </cell>
          <cell r="BZ8">
            <v>1614</v>
          </cell>
          <cell r="CA8">
            <v>1439</v>
          </cell>
          <cell r="CB8">
            <v>1414</v>
          </cell>
          <cell r="CC8">
            <v>1452</v>
          </cell>
          <cell r="CD8">
            <v>5919</v>
          </cell>
          <cell r="CE8">
            <v>1524</v>
          </cell>
          <cell r="CF8">
            <v>1441</v>
          </cell>
          <cell r="CG8">
            <v>1466</v>
          </cell>
          <cell r="CH8">
            <v>1481</v>
          </cell>
          <cell r="CI8">
            <v>5912</v>
          </cell>
          <cell r="CJ8">
            <v>1544</v>
          </cell>
          <cell r="CK8">
            <v>1478</v>
          </cell>
          <cell r="CL8">
            <v>1430</v>
          </cell>
          <cell r="CM8">
            <v>1477</v>
          </cell>
          <cell r="CN8">
            <v>5929</v>
          </cell>
          <cell r="CO8">
            <v>1619</v>
          </cell>
          <cell r="CP8">
            <v>1466</v>
          </cell>
          <cell r="CQ8">
            <v>1444</v>
          </cell>
          <cell r="CR8">
            <v>1499</v>
          </cell>
          <cell r="CS8">
            <v>6028</v>
          </cell>
          <cell r="CT8">
            <v>1607</v>
          </cell>
          <cell r="CU8">
            <v>1548</v>
          </cell>
          <cell r="CV8">
            <v>1501</v>
          </cell>
          <cell r="CW8">
            <v>1566.9719676249997</v>
          </cell>
          <cell r="CX8">
            <v>6222.9719676249997</v>
          </cell>
          <cell r="CY8">
            <v>1606.2622426113317</v>
          </cell>
          <cell r="CZ8">
            <v>1615.3014979879445</v>
          </cell>
          <cell r="DA8">
            <v>1586.7104750080632</v>
          </cell>
          <cell r="DB8">
            <v>1651.1535615765195</v>
          </cell>
          <cell r="DC8">
            <v>6459.4277771838588</v>
          </cell>
          <cell r="DD8">
            <v>1676.6791381232226</v>
          </cell>
          <cell r="DE8">
            <v>1668.3301375925591</v>
          </cell>
          <cell r="DF8">
            <v>1636.6363387761864</v>
          </cell>
          <cell r="DG8">
            <v>1705.9677262663463</v>
          </cell>
          <cell r="DH8">
            <v>6687.6133407583147</v>
          </cell>
          <cell r="DI8">
            <v>1767.9684934982627</v>
          </cell>
          <cell r="DJ8">
            <v>1734.8997959473397</v>
          </cell>
          <cell r="DK8">
            <v>1701.612127552592</v>
          </cell>
          <cell r="DL8">
            <v>1778.6490303947874</v>
          </cell>
          <cell r="DM8">
            <v>6983.129447392982</v>
          </cell>
          <cell r="DN8">
            <v>1844.9685061539681</v>
          </cell>
          <cell r="DO8">
            <v>1805.0185286323726</v>
          </cell>
          <cell r="DP8">
            <v>1770.5631205608361</v>
          </cell>
          <cell r="DQ8">
            <v>1848.3063535703138</v>
          </cell>
          <cell r="DR8">
            <v>7268.8565089174908</v>
          </cell>
        </row>
        <row r="9">
          <cell r="B9" t="str">
            <v>Outpatient revenue</v>
          </cell>
          <cell r="D9">
            <v>144.14400000000001</v>
          </cell>
          <cell r="E9">
            <v>138.39599999999999</v>
          </cell>
          <cell r="F9">
            <v>144.19999999999999</v>
          </cell>
          <cell r="G9">
            <v>359.56</v>
          </cell>
          <cell r="H9">
            <v>786.3</v>
          </cell>
          <cell r="I9">
            <v>365.3</v>
          </cell>
          <cell r="J9">
            <v>390</v>
          </cell>
          <cell r="K9">
            <v>402.6</v>
          </cell>
          <cell r="L9">
            <v>414.09999999999991</v>
          </cell>
          <cell r="M9">
            <v>1572</v>
          </cell>
          <cell r="N9">
            <v>410.5</v>
          </cell>
          <cell r="O9">
            <v>425.7</v>
          </cell>
          <cell r="P9">
            <v>639.79999999999995</v>
          </cell>
          <cell r="Q9">
            <v>1039</v>
          </cell>
          <cell r="R9">
            <v>2515</v>
          </cell>
          <cell r="S9">
            <v>735</v>
          </cell>
          <cell r="T9">
            <v>759</v>
          </cell>
          <cell r="U9">
            <v>724</v>
          </cell>
          <cell r="V9">
            <v>760</v>
          </cell>
          <cell r="W9">
            <v>2978</v>
          </cell>
          <cell r="X9">
            <v>786</v>
          </cell>
          <cell r="Y9">
            <v>755</v>
          </cell>
          <cell r="Z9">
            <v>807</v>
          </cell>
          <cell r="AA9">
            <v>837</v>
          </cell>
          <cell r="AB9">
            <v>3185</v>
          </cell>
          <cell r="AC9">
            <v>902</v>
          </cell>
          <cell r="AD9">
            <v>823</v>
          </cell>
          <cell r="AE9">
            <v>795</v>
          </cell>
          <cell r="AF9">
            <v>874</v>
          </cell>
          <cell r="AG9">
            <v>3394</v>
          </cell>
          <cell r="AH9">
            <v>912</v>
          </cell>
          <cell r="AI9">
            <v>879</v>
          </cell>
          <cell r="AJ9">
            <v>864</v>
          </cell>
          <cell r="AK9">
            <v>948</v>
          </cell>
          <cell r="AL9">
            <v>3603</v>
          </cell>
          <cell r="AM9">
            <v>997</v>
          </cell>
          <cell r="AN9">
            <v>1014</v>
          </cell>
          <cell r="AO9">
            <v>982</v>
          </cell>
          <cell r="AP9">
            <v>1115</v>
          </cell>
          <cell r="AQ9">
            <v>4108</v>
          </cell>
          <cell r="AR9">
            <v>1122</v>
          </cell>
          <cell r="AS9">
            <v>1138</v>
          </cell>
          <cell r="AT9">
            <v>1103</v>
          </cell>
          <cell r="AV9">
            <v>934</v>
          </cell>
          <cell r="AW9">
            <v>1018</v>
          </cell>
          <cell r="AX9">
            <v>1044</v>
          </cell>
          <cell r="AY9">
            <v>1054</v>
          </cell>
          <cell r="AZ9">
            <v>4050</v>
          </cell>
          <cell r="BA9">
            <v>1012</v>
          </cell>
          <cell r="BB9">
            <v>1014</v>
          </cell>
          <cell r="BC9">
            <v>1006</v>
          </cell>
          <cell r="BD9">
            <v>963</v>
          </cell>
          <cell r="BE9">
            <v>3995</v>
          </cell>
          <cell r="BF9">
            <v>808</v>
          </cell>
          <cell r="BG9">
            <v>781</v>
          </cell>
          <cell r="BH9">
            <v>751</v>
          </cell>
          <cell r="BI9">
            <v>714</v>
          </cell>
          <cell r="BJ9">
            <v>3054</v>
          </cell>
          <cell r="BK9">
            <v>709</v>
          </cell>
          <cell r="BL9">
            <v>727</v>
          </cell>
          <cell r="BM9">
            <v>708</v>
          </cell>
          <cell r="BN9">
            <v>641</v>
          </cell>
          <cell r="BO9">
            <v>2785</v>
          </cell>
          <cell r="BP9">
            <v>664</v>
          </cell>
          <cell r="BQ9">
            <v>632</v>
          </cell>
          <cell r="BR9">
            <v>623</v>
          </cell>
          <cell r="BS9">
            <v>622</v>
          </cell>
          <cell r="BT9">
            <v>2541</v>
          </cell>
          <cell r="BU9">
            <v>657</v>
          </cell>
          <cell r="BV9">
            <v>667</v>
          </cell>
          <cell r="BW9">
            <v>654</v>
          </cell>
          <cell r="BX9">
            <v>660</v>
          </cell>
          <cell r="BY9">
            <v>2638</v>
          </cell>
          <cell r="BZ9">
            <v>683</v>
          </cell>
          <cell r="CA9">
            <v>670</v>
          </cell>
          <cell r="CB9">
            <v>664</v>
          </cell>
          <cell r="CC9">
            <v>654</v>
          </cell>
          <cell r="CD9">
            <v>2671</v>
          </cell>
          <cell r="CE9">
            <v>674</v>
          </cell>
          <cell r="CF9">
            <v>702</v>
          </cell>
          <cell r="CG9">
            <v>709</v>
          </cell>
          <cell r="CH9">
            <v>691</v>
          </cell>
          <cell r="CI9">
            <v>2776</v>
          </cell>
          <cell r="CJ9">
            <v>706</v>
          </cell>
          <cell r="CK9">
            <v>733</v>
          </cell>
          <cell r="CL9">
            <v>734</v>
          </cell>
          <cell r="CM9">
            <v>730</v>
          </cell>
          <cell r="CN9">
            <v>2903</v>
          </cell>
          <cell r="CO9">
            <v>720</v>
          </cell>
          <cell r="CP9">
            <v>738</v>
          </cell>
          <cell r="CQ9">
            <v>734</v>
          </cell>
          <cell r="CR9">
            <v>736</v>
          </cell>
          <cell r="CS9">
            <v>2928</v>
          </cell>
          <cell r="CT9">
            <v>766</v>
          </cell>
          <cell r="CU9">
            <v>791</v>
          </cell>
          <cell r="CV9">
            <v>789</v>
          </cell>
          <cell r="CW9">
            <v>794.88000000000011</v>
          </cell>
          <cell r="CX9">
            <v>3140.88</v>
          </cell>
          <cell r="CY9">
            <v>800.02825675362146</v>
          </cell>
          <cell r="CZ9">
            <v>862.12069056046641</v>
          </cell>
          <cell r="DA9">
            <v>869.32217143899538</v>
          </cell>
          <cell r="DB9">
            <v>875.47674989600011</v>
          </cell>
          <cell r="DC9">
            <v>3406.9478686490829</v>
          </cell>
          <cell r="DD9">
            <v>836.02186419379143</v>
          </cell>
          <cell r="DE9">
            <v>890.19494447141676</v>
          </cell>
          <cell r="DF9">
            <v>896.46852214390003</v>
          </cell>
          <cell r="DG9">
            <v>904.30432740939477</v>
          </cell>
          <cell r="DH9">
            <v>3526.9896582185029</v>
          </cell>
          <cell r="DI9">
            <v>889.3240761142672</v>
          </cell>
          <cell r="DJ9">
            <v>934.28260466286383</v>
          </cell>
          <cell r="DK9">
            <v>940.68685057797734</v>
          </cell>
          <cell r="DL9">
            <v>951.48464946833246</v>
          </cell>
          <cell r="DM9">
            <v>3715.7781808234408</v>
          </cell>
          <cell r="DN9">
            <v>945.43367787769398</v>
          </cell>
          <cell r="DO9">
            <v>990.37511332035672</v>
          </cell>
          <cell r="DP9">
            <v>997.25713413772769</v>
          </cell>
          <cell r="DQ9">
            <v>1007.4395931498228</v>
          </cell>
          <cell r="DR9">
            <v>3940.505518485601</v>
          </cell>
        </row>
        <row r="10">
          <cell r="B10" t="str">
            <v>Non-patient revenue</v>
          </cell>
          <cell r="D10">
            <v>145.3130000000001</v>
          </cell>
          <cell r="E10">
            <v>133.62900000000002</v>
          </cell>
          <cell r="F10">
            <v>130.60000000000002</v>
          </cell>
          <cell r="G10">
            <v>184.25800000000004</v>
          </cell>
          <cell r="H10">
            <v>593.80000000000018</v>
          </cell>
          <cell r="I10">
            <v>131.30000000000018</v>
          </cell>
          <cell r="J10">
            <v>141.5</v>
          </cell>
          <cell r="K10">
            <v>122.59999999999991</v>
          </cell>
          <cell r="L10">
            <v>151.59999999999945</v>
          </cell>
          <cell r="M10">
            <v>546.99999999999955</v>
          </cell>
          <cell r="N10">
            <v>169.89999999999986</v>
          </cell>
          <cell r="O10">
            <v>165.89999999999986</v>
          </cell>
          <cell r="P10">
            <v>220.10000000000014</v>
          </cell>
          <cell r="Q10">
            <v>393.09999999999945</v>
          </cell>
          <cell r="R10">
            <v>948.99999999999932</v>
          </cell>
          <cell r="S10">
            <v>255</v>
          </cell>
          <cell r="T10">
            <v>280</v>
          </cell>
          <cell r="U10">
            <v>276</v>
          </cell>
          <cell r="V10">
            <v>263</v>
          </cell>
          <cell r="W10">
            <v>1074</v>
          </cell>
          <cell r="X10">
            <v>293</v>
          </cell>
          <cell r="Y10">
            <v>270</v>
          </cell>
          <cell r="Z10">
            <v>290</v>
          </cell>
          <cell r="AA10">
            <v>326</v>
          </cell>
          <cell r="AB10">
            <v>1179</v>
          </cell>
          <cell r="AC10">
            <v>268</v>
          </cell>
          <cell r="AD10">
            <v>257</v>
          </cell>
          <cell r="AE10">
            <v>224</v>
          </cell>
          <cell r="AF10">
            <v>242</v>
          </cell>
          <cell r="AG10">
            <v>991</v>
          </cell>
          <cell r="AH10">
            <v>204</v>
          </cell>
          <cell r="AI10">
            <v>194</v>
          </cell>
          <cell r="AJ10">
            <v>185</v>
          </cell>
          <cell r="AK10">
            <v>190</v>
          </cell>
          <cell r="AL10">
            <v>773</v>
          </cell>
          <cell r="AM10">
            <v>179</v>
          </cell>
          <cell r="AN10">
            <v>170</v>
          </cell>
          <cell r="AO10">
            <v>167</v>
          </cell>
          <cell r="AP10">
            <v>149</v>
          </cell>
          <cell r="AQ10">
            <v>665</v>
          </cell>
          <cell r="AR10">
            <v>157</v>
          </cell>
          <cell r="AS10">
            <v>170</v>
          </cell>
          <cell r="AT10">
            <v>193</v>
          </cell>
          <cell r="AV10">
            <v>146</v>
          </cell>
          <cell r="AW10">
            <v>135</v>
          </cell>
          <cell r="AX10">
            <v>149</v>
          </cell>
          <cell r="AY10">
            <v>123</v>
          </cell>
          <cell r="AZ10">
            <v>553</v>
          </cell>
          <cell r="BA10">
            <v>174</v>
          </cell>
          <cell r="BB10">
            <v>184</v>
          </cell>
          <cell r="BC10">
            <v>152</v>
          </cell>
          <cell r="BD10">
            <v>169</v>
          </cell>
          <cell r="BE10">
            <v>679</v>
          </cell>
          <cell r="BF10">
            <v>96</v>
          </cell>
          <cell r="BG10">
            <v>99</v>
          </cell>
          <cell r="BH10">
            <v>92</v>
          </cell>
          <cell r="BI10">
            <v>93</v>
          </cell>
          <cell r="BJ10">
            <v>380</v>
          </cell>
          <cell r="BK10">
            <v>91</v>
          </cell>
          <cell r="BL10">
            <v>95</v>
          </cell>
          <cell r="BM10">
            <v>83</v>
          </cell>
          <cell r="BN10">
            <v>68</v>
          </cell>
          <cell r="BO10">
            <v>337</v>
          </cell>
          <cell r="BP10">
            <v>73</v>
          </cell>
          <cell r="BQ10">
            <v>83</v>
          </cell>
          <cell r="BR10">
            <v>76</v>
          </cell>
          <cell r="BS10">
            <v>63</v>
          </cell>
          <cell r="BT10">
            <v>295</v>
          </cell>
          <cell r="BU10">
            <v>82</v>
          </cell>
          <cell r="BV10">
            <v>70</v>
          </cell>
          <cell r="BW10">
            <v>74</v>
          </cell>
          <cell r="BX10">
            <v>74</v>
          </cell>
          <cell r="BY10">
            <v>300</v>
          </cell>
          <cell r="BZ10">
            <v>74</v>
          </cell>
          <cell r="CA10">
            <v>75</v>
          </cell>
          <cell r="CB10">
            <v>80</v>
          </cell>
          <cell r="CC10">
            <v>89</v>
          </cell>
          <cell r="CD10">
            <v>318</v>
          </cell>
          <cell r="CE10">
            <v>81</v>
          </cell>
          <cell r="CF10">
            <v>86</v>
          </cell>
          <cell r="CG10">
            <v>87</v>
          </cell>
          <cell r="CH10">
            <v>89</v>
          </cell>
          <cell r="CI10">
            <v>343</v>
          </cell>
          <cell r="CJ10">
            <v>89</v>
          </cell>
          <cell r="CK10">
            <v>92</v>
          </cell>
          <cell r="CL10">
            <v>98</v>
          </cell>
          <cell r="CM10">
            <v>94</v>
          </cell>
          <cell r="CN10">
            <v>373</v>
          </cell>
          <cell r="CO10">
            <v>90</v>
          </cell>
          <cell r="CP10">
            <v>96</v>
          </cell>
          <cell r="CQ10">
            <v>111</v>
          </cell>
          <cell r="CR10">
            <v>118</v>
          </cell>
          <cell r="CS10">
            <v>415</v>
          </cell>
          <cell r="CT10">
            <v>118</v>
          </cell>
          <cell r="CU10">
            <v>116</v>
          </cell>
          <cell r="CV10">
            <v>137</v>
          </cell>
          <cell r="CW10">
            <v>163.61666666666665</v>
          </cell>
          <cell r="CX10">
            <v>534.61666666666667</v>
          </cell>
          <cell r="CY10">
            <v>252.7</v>
          </cell>
          <cell r="CZ10">
            <v>252.22</v>
          </cell>
          <cell r="DA10">
            <v>253.26999999999998</v>
          </cell>
          <cell r="DB10">
            <v>254.38899999999998</v>
          </cell>
          <cell r="DC10">
            <v>1012.579</v>
          </cell>
          <cell r="DD10">
            <v>260.78640000000001</v>
          </cell>
          <cell r="DE10">
            <v>260.29104000000001</v>
          </cell>
          <cell r="DF10">
            <v>261.37464</v>
          </cell>
          <cell r="DG10">
            <v>262.529448</v>
          </cell>
          <cell r="DH10">
            <v>1044.981528</v>
          </cell>
          <cell r="DI10">
            <v>269.13156480000004</v>
          </cell>
          <cell r="DJ10">
            <v>268.62035328000002</v>
          </cell>
          <cell r="DK10">
            <v>269.73862847999999</v>
          </cell>
          <cell r="DL10">
            <v>270.93039033600002</v>
          </cell>
          <cell r="DM10">
            <v>1078.4209368960001</v>
          </cell>
          <cell r="DN10">
            <v>277.74377487360005</v>
          </cell>
          <cell r="DO10">
            <v>277.21620458496005</v>
          </cell>
          <cell r="DP10">
            <v>278.37026459136001</v>
          </cell>
          <cell r="DQ10">
            <v>279.60016282675201</v>
          </cell>
          <cell r="DR10">
            <v>1112.9304068766721</v>
          </cell>
        </row>
        <row r="11">
          <cell r="B11" t="str">
            <v>Gross Revenue</v>
          </cell>
          <cell r="D11">
            <v>662.83500000000004</v>
          </cell>
          <cell r="E11">
            <v>638.79999999999995</v>
          </cell>
          <cell r="F11">
            <v>660.5</v>
          </cell>
          <cell r="G11">
            <v>1355.865</v>
          </cell>
          <cell r="H11">
            <v>3318</v>
          </cell>
          <cell r="I11">
            <v>1283.9000000000001</v>
          </cell>
          <cell r="J11">
            <v>1370.9</v>
          </cell>
          <cell r="K11">
            <v>1431.9</v>
          </cell>
          <cell r="L11">
            <v>1472.2999999999997</v>
          </cell>
          <cell r="M11">
            <v>5559</v>
          </cell>
          <cell r="N11">
            <v>1438.6</v>
          </cell>
          <cell r="O11">
            <v>1476.1</v>
          </cell>
          <cell r="P11">
            <v>2236.9</v>
          </cell>
          <cell r="Q11">
            <v>3539.3999999999996</v>
          </cell>
          <cell r="R11">
            <v>8691</v>
          </cell>
          <cell r="S11">
            <v>2331</v>
          </cell>
          <cell r="T11">
            <v>2429</v>
          </cell>
          <cell r="U11">
            <v>2564</v>
          </cell>
          <cell r="V11">
            <v>2571</v>
          </cell>
          <cell r="W11">
            <v>9895</v>
          </cell>
          <cell r="X11">
            <v>2553</v>
          </cell>
          <cell r="Y11">
            <v>2563</v>
          </cell>
          <cell r="Z11">
            <v>2822</v>
          </cell>
          <cell r="AA11">
            <v>2942</v>
          </cell>
          <cell r="AB11">
            <v>10880</v>
          </cell>
          <cell r="AC11">
            <v>2873</v>
          </cell>
          <cell r="AD11">
            <v>2780</v>
          </cell>
          <cell r="AE11">
            <v>2850</v>
          </cell>
          <cell r="AF11">
            <v>2911</v>
          </cell>
          <cell r="AG11">
            <v>11414</v>
          </cell>
          <cell r="AH11">
            <v>2893</v>
          </cell>
          <cell r="AI11">
            <v>2915</v>
          </cell>
          <cell r="AJ11">
            <v>3036</v>
          </cell>
          <cell r="AK11">
            <v>3209</v>
          </cell>
          <cell r="AL11">
            <v>12053</v>
          </cell>
          <cell r="AM11">
            <v>3297</v>
          </cell>
          <cell r="AN11">
            <v>3394</v>
          </cell>
          <cell r="AO11">
            <v>3484</v>
          </cell>
          <cell r="AP11">
            <v>3738</v>
          </cell>
          <cell r="AQ11">
            <v>13913</v>
          </cell>
          <cell r="AR11">
            <v>3703</v>
          </cell>
          <cell r="AS11">
            <v>3778</v>
          </cell>
          <cell r="AT11">
            <v>3686</v>
          </cell>
          <cell r="AV11">
            <v>3375</v>
          </cell>
          <cell r="AW11">
            <v>3430</v>
          </cell>
          <cell r="AX11">
            <v>3521</v>
          </cell>
          <cell r="AY11">
            <v>3493</v>
          </cell>
          <cell r="AZ11">
            <v>13819</v>
          </cell>
          <cell r="BA11">
            <v>3452</v>
          </cell>
          <cell r="BB11">
            <v>3379</v>
          </cell>
          <cell r="BC11">
            <v>3297</v>
          </cell>
          <cell r="BD11">
            <v>3181</v>
          </cell>
          <cell r="BE11">
            <v>13309</v>
          </cell>
          <cell r="BF11">
            <v>2669</v>
          </cell>
          <cell r="BG11">
            <v>2570</v>
          </cell>
          <cell r="BH11">
            <v>2440</v>
          </cell>
          <cell r="BI11">
            <v>2412</v>
          </cell>
          <cell r="BJ11">
            <v>10091</v>
          </cell>
          <cell r="BK11">
            <v>2501</v>
          </cell>
          <cell r="BL11">
            <v>2420</v>
          </cell>
          <cell r="BM11">
            <v>2394</v>
          </cell>
          <cell r="BN11">
            <v>2299</v>
          </cell>
          <cell r="BO11">
            <v>9614</v>
          </cell>
          <cell r="BP11">
            <v>2414</v>
          </cell>
          <cell r="BQ11">
            <v>2195</v>
          </cell>
          <cell r="BR11">
            <v>2117</v>
          </cell>
          <cell r="BS11">
            <v>2179</v>
          </cell>
          <cell r="BT11">
            <v>8905</v>
          </cell>
          <cell r="BU11">
            <v>2279</v>
          </cell>
          <cell r="BV11">
            <v>2228</v>
          </cell>
          <cell r="BW11">
            <v>2212</v>
          </cell>
          <cell r="BX11">
            <v>2251</v>
          </cell>
          <cell r="BY11">
            <v>8970</v>
          </cell>
          <cell r="BZ11">
            <v>2371</v>
          </cell>
          <cell r="CA11">
            <v>2184</v>
          </cell>
          <cell r="CB11">
            <v>2158</v>
          </cell>
          <cell r="CC11">
            <v>2195</v>
          </cell>
          <cell r="CD11">
            <v>8908</v>
          </cell>
          <cell r="CE11">
            <v>2279</v>
          </cell>
          <cell r="CF11">
            <v>2229</v>
          </cell>
          <cell r="CG11">
            <v>2262</v>
          </cell>
          <cell r="CH11">
            <v>2261</v>
          </cell>
          <cell r="CI11">
            <v>9031</v>
          </cell>
          <cell r="CJ11">
            <v>2339</v>
          </cell>
          <cell r="CK11">
            <v>2303</v>
          </cell>
          <cell r="CL11">
            <v>2262</v>
          </cell>
          <cell r="CM11">
            <v>2301</v>
          </cell>
          <cell r="CN11">
            <v>9205</v>
          </cell>
          <cell r="CO11">
            <v>2429</v>
          </cell>
          <cell r="CP11">
            <v>2300</v>
          </cell>
          <cell r="CQ11">
            <v>2289</v>
          </cell>
          <cell r="CR11">
            <v>2353</v>
          </cell>
          <cell r="CS11">
            <v>9371</v>
          </cell>
          <cell r="CT11">
            <v>2491</v>
          </cell>
          <cell r="CU11">
            <v>2455</v>
          </cell>
          <cell r="CV11">
            <v>2427</v>
          </cell>
          <cell r="CW11">
            <v>2525.4686342916666</v>
          </cell>
          <cell r="CX11">
            <v>9898.4686342916666</v>
          </cell>
          <cell r="CY11">
            <v>2658.9904993649529</v>
          </cell>
          <cell r="CZ11">
            <v>2729.6421885484106</v>
          </cell>
          <cell r="DA11">
            <v>2709.3026464470586</v>
          </cell>
          <cell r="DB11">
            <v>2781.0193114725198</v>
          </cell>
          <cell r="DC11">
            <v>10878.954645832942</v>
          </cell>
          <cell r="DD11">
            <v>2773.4874023170141</v>
          </cell>
          <cell r="DE11">
            <v>2818.8161220639759</v>
          </cell>
          <cell r="DF11">
            <v>2794.4795009200866</v>
          </cell>
          <cell r="DG11">
            <v>2872.8015016757408</v>
          </cell>
          <cell r="DH11">
            <v>11259.584526976818</v>
          </cell>
          <cell r="DI11">
            <v>2926.4241344125298</v>
          </cell>
          <cell r="DJ11">
            <v>2937.8027538902033</v>
          </cell>
          <cell r="DK11">
            <v>2912.0376066105696</v>
          </cell>
          <cell r="DL11">
            <v>3001.0640701991201</v>
          </cell>
          <cell r="DM11">
            <v>11777.328565112422</v>
          </cell>
          <cell r="DN11">
            <v>3068.145958905262</v>
          </cell>
          <cell r="DO11">
            <v>3072.6098465376895</v>
          </cell>
          <cell r="DP11">
            <v>3046.1905192899239</v>
          </cell>
          <cell r="DQ11">
            <v>3135.3461095468883</v>
          </cell>
          <cell r="DR11">
            <v>12322.292434279763</v>
          </cell>
        </row>
        <row r="12">
          <cell r="B12" t="str">
            <v>Provision for doubtful accounts</v>
          </cell>
          <cell r="D12">
            <v>26.117000000000001</v>
          </cell>
          <cell r="E12">
            <v>20.7</v>
          </cell>
          <cell r="F12">
            <v>22.1</v>
          </cell>
          <cell r="G12">
            <v>68.082999999999998</v>
          </cell>
          <cell r="H12">
            <v>137</v>
          </cell>
          <cell r="I12">
            <v>67.3</v>
          </cell>
          <cell r="J12">
            <v>69.7</v>
          </cell>
          <cell r="K12">
            <v>71.900000000000006</v>
          </cell>
          <cell r="L12">
            <v>81.099999999999994</v>
          </cell>
          <cell r="M12">
            <v>290</v>
          </cell>
          <cell r="N12">
            <v>74.5</v>
          </cell>
          <cell r="O12">
            <v>78.7</v>
          </cell>
          <cell r="P12">
            <v>128.1</v>
          </cell>
          <cell r="Q12">
            <v>212.70000000000005</v>
          </cell>
          <cell r="R12">
            <v>494</v>
          </cell>
          <cell r="S12">
            <v>148</v>
          </cell>
          <cell r="T12">
            <v>136</v>
          </cell>
          <cell r="U12">
            <v>163</v>
          </cell>
          <cell r="V12">
            <v>141</v>
          </cell>
          <cell r="W12">
            <v>588</v>
          </cell>
          <cell r="X12">
            <v>159</v>
          </cell>
          <cell r="Y12">
            <v>184</v>
          </cell>
          <cell r="Z12">
            <v>190</v>
          </cell>
          <cell r="AA12">
            <v>210</v>
          </cell>
          <cell r="AB12">
            <v>743</v>
          </cell>
          <cell r="AC12">
            <v>223</v>
          </cell>
          <cell r="AD12">
            <v>210</v>
          </cell>
          <cell r="AE12">
            <v>214</v>
          </cell>
          <cell r="AF12">
            <v>204</v>
          </cell>
          <cell r="AG12">
            <v>851</v>
          </cell>
          <cell r="AH12">
            <v>213</v>
          </cell>
          <cell r="AI12">
            <v>206</v>
          </cell>
          <cell r="AJ12">
            <v>219</v>
          </cell>
          <cell r="AK12">
            <v>211</v>
          </cell>
          <cell r="AL12">
            <v>849</v>
          </cell>
          <cell r="AM12">
            <v>246</v>
          </cell>
          <cell r="AN12">
            <v>258</v>
          </cell>
          <cell r="AO12">
            <v>236</v>
          </cell>
          <cell r="AP12">
            <v>246</v>
          </cell>
          <cell r="AQ12">
            <v>986</v>
          </cell>
          <cell r="AR12">
            <v>277</v>
          </cell>
          <cell r="AS12">
            <v>291</v>
          </cell>
          <cell r="AT12">
            <v>304</v>
          </cell>
          <cell r="AV12">
            <v>225</v>
          </cell>
          <cell r="AW12">
            <v>219</v>
          </cell>
          <cell r="AX12">
            <v>260</v>
          </cell>
          <cell r="AY12">
            <v>271</v>
          </cell>
          <cell r="AZ12">
            <v>975</v>
          </cell>
          <cell r="BA12">
            <v>274</v>
          </cell>
          <cell r="BB12">
            <v>288</v>
          </cell>
          <cell r="BC12">
            <v>522</v>
          </cell>
          <cell r="BD12">
            <v>364</v>
          </cell>
          <cell r="BE12">
            <v>1448</v>
          </cell>
          <cell r="BF12">
            <v>293</v>
          </cell>
          <cell r="BG12">
            <v>499</v>
          </cell>
          <cell r="BH12">
            <v>253</v>
          </cell>
          <cell r="BI12">
            <v>195</v>
          </cell>
          <cell r="BJ12">
            <v>1240</v>
          </cell>
          <cell r="BK12">
            <v>167</v>
          </cell>
          <cell r="BL12">
            <v>153</v>
          </cell>
          <cell r="BM12">
            <v>206</v>
          </cell>
          <cell r="BN12">
            <v>172</v>
          </cell>
          <cell r="BO12">
            <v>698</v>
          </cell>
          <cell r="BP12">
            <v>138</v>
          </cell>
          <cell r="BQ12">
            <v>128</v>
          </cell>
          <cell r="BR12">
            <v>157</v>
          </cell>
          <cell r="BS12">
            <v>124</v>
          </cell>
          <cell r="BT12">
            <v>547</v>
          </cell>
          <cell r="BU12">
            <v>141</v>
          </cell>
          <cell r="BV12">
            <v>151</v>
          </cell>
          <cell r="BW12">
            <v>159</v>
          </cell>
          <cell r="BX12">
            <v>134</v>
          </cell>
          <cell r="BY12">
            <v>585</v>
          </cell>
          <cell r="BZ12">
            <v>149</v>
          </cell>
          <cell r="CA12">
            <v>154</v>
          </cell>
          <cell r="CB12">
            <v>166</v>
          </cell>
          <cell r="CC12">
            <v>166</v>
          </cell>
          <cell r="CD12">
            <v>635</v>
          </cell>
          <cell r="CE12">
            <v>156</v>
          </cell>
          <cell r="CF12">
            <v>167</v>
          </cell>
          <cell r="CG12">
            <v>193</v>
          </cell>
          <cell r="CH12">
            <v>181</v>
          </cell>
          <cell r="CI12">
            <v>697</v>
          </cell>
          <cell r="CJ12">
            <v>189</v>
          </cell>
          <cell r="CK12">
            <v>173</v>
          </cell>
          <cell r="CL12">
            <v>187</v>
          </cell>
          <cell r="CM12">
            <v>191</v>
          </cell>
          <cell r="CN12">
            <v>740</v>
          </cell>
          <cell r="CO12">
            <v>179</v>
          </cell>
          <cell r="CP12">
            <v>168</v>
          </cell>
          <cell r="CQ12">
            <v>189</v>
          </cell>
          <cell r="CR12">
            <v>181</v>
          </cell>
          <cell r="CS12">
            <v>717</v>
          </cell>
          <cell r="CT12">
            <v>189</v>
          </cell>
          <cell r="CU12">
            <v>190</v>
          </cell>
          <cell r="CV12">
            <v>206</v>
          </cell>
          <cell r="CW12">
            <v>208.10146299321087</v>
          </cell>
          <cell r="CX12">
            <v>793.10146299321082</v>
          </cell>
          <cell r="CY12">
            <v>204.88732183322202</v>
          </cell>
          <cell r="CZ12">
            <v>208.83679518688257</v>
          </cell>
          <cell r="DA12">
            <v>226.58118378504724</v>
          </cell>
          <cell r="DB12">
            <v>229.02726390058174</v>
          </cell>
          <cell r="DC12">
            <v>869.33256470573349</v>
          </cell>
          <cell r="DD12">
            <v>169.86391991421326</v>
          </cell>
          <cell r="DE12">
            <v>169.13840597997893</v>
          </cell>
          <cell r="DF12">
            <v>184.76305973911246</v>
          </cell>
          <cell r="DG12">
            <v>187.86952586921848</v>
          </cell>
          <cell r="DH12">
            <v>711.6349115025231</v>
          </cell>
          <cell r="DI12">
            <v>157.17303567209143</v>
          </cell>
          <cell r="DJ12">
            <v>156.94870239267993</v>
          </cell>
          <cell r="DK12">
            <v>172.08563740553268</v>
          </cell>
          <cell r="DL12">
            <v>175.70831831527954</v>
          </cell>
          <cell r="DM12">
            <v>661.91569378558358</v>
          </cell>
          <cell r="DN12">
            <v>151.20343750782621</v>
          </cell>
          <cell r="DO12">
            <v>150.37501062876376</v>
          </cell>
          <cell r="DP12">
            <v>165.37000217204101</v>
          </cell>
          <cell r="DQ12">
            <v>169.35556161795313</v>
          </cell>
          <cell r="DR12">
            <v>636.30401192658405</v>
          </cell>
        </row>
        <row r="13">
          <cell r="B13" t="str">
            <v>Net Revenue</v>
          </cell>
          <cell r="D13">
            <v>636.71800000000007</v>
          </cell>
          <cell r="E13">
            <v>618.09999999999991</v>
          </cell>
          <cell r="F13">
            <v>638.4</v>
          </cell>
          <cell r="G13">
            <v>1287.7819999999999</v>
          </cell>
          <cell r="H13">
            <v>3181</v>
          </cell>
          <cell r="I13">
            <v>1216.6000000000001</v>
          </cell>
          <cell r="J13">
            <v>1301.2</v>
          </cell>
          <cell r="K13">
            <v>1360</v>
          </cell>
          <cell r="L13">
            <v>1391.1999999999998</v>
          </cell>
          <cell r="M13">
            <v>5269</v>
          </cell>
          <cell r="N13">
            <v>1364.1</v>
          </cell>
          <cell r="O13">
            <v>1397.3999999999999</v>
          </cell>
          <cell r="P13">
            <v>2108.8000000000002</v>
          </cell>
          <cell r="Q13">
            <v>3326.7</v>
          </cell>
          <cell r="R13">
            <v>8197</v>
          </cell>
          <cell r="S13">
            <v>2183</v>
          </cell>
          <cell r="T13">
            <v>2293</v>
          </cell>
          <cell r="U13">
            <v>2401</v>
          </cell>
          <cell r="V13">
            <v>2430</v>
          </cell>
          <cell r="W13">
            <v>9307</v>
          </cell>
          <cell r="X13">
            <v>2394</v>
          </cell>
          <cell r="Y13">
            <v>2379</v>
          </cell>
          <cell r="Z13">
            <v>2632</v>
          </cell>
          <cell r="AA13">
            <v>2732</v>
          </cell>
          <cell r="AB13">
            <v>10137</v>
          </cell>
          <cell r="AC13">
            <v>2650</v>
          </cell>
          <cell r="AD13">
            <v>2570</v>
          </cell>
          <cell r="AE13">
            <v>2636</v>
          </cell>
          <cell r="AF13">
            <v>2707</v>
          </cell>
          <cell r="AG13">
            <v>10563</v>
          </cell>
          <cell r="AH13">
            <v>2680</v>
          </cell>
          <cell r="AI13">
            <v>2709</v>
          </cell>
          <cell r="AJ13">
            <v>2817</v>
          </cell>
          <cell r="AK13">
            <v>2998</v>
          </cell>
          <cell r="AL13">
            <v>11204</v>
          </cell>
          <cell r="AM13">
            <v>3051</v>
          </cell>
          <cell r="AN13">
            <v>3136</v>
          </cell>
          <cell r="AO13">
            <v>3248</v>
          </cell>
          <cell r="AP13">
            <v>3492</v>
          </cell>
          <cell r="AQ13">
            <v>12927</v>
          </cell>
          <cell r="AR13">
            <v>3426</v>
          </cell>
          <cell r="AS13">
            <v>3487</v>
          </cell>
          <cell r="AT13">
            <v>3382</v>
          </cell>
          <cell r="AV13">
            <v>3150</v>
          </cell>
          <cell r="AW13">
            <v>3211</v>
          </cell>
          <cell r="AX13">
            <v>3261</v>
          </cell>
          <cell r="AY13">
            <v>3222</v>
          </cell>
          <cell r="AZ13">
            <v>12844</v>
          </cell>
          <cell r="BA13">
            <v>3178</v>
          </cell>
          <cell r="BB13">
            <v>3091</v>
          </cell>
          <cell r="BC13">
            <v>2775</v>
          </cell>
          <cell r="BD13">
            <v>2817</v>
          </cell>
          <cell r="BE13">
            <v>11861</v>
          </cell>
          <cell r="BF13">
            <v>2376</v>
          </cell>
          <cell r="BG13">
            <v>2071</v>
          </cell>
          <cell r="BH13">
            <v>2187</v>
          </cell>
          <cell r="BI13">
            <v>2217</v>
          </cell>
          <cell r="BJ13">
            <v>8851</v>
          </cell>
          <cell r="BK13">
            <v>2334</v>
          </cell>
          <cell r="BL13">
            <v>2267</v>
          </cell>
          <cell r="BM13">
            <v>2188</v>
          </cell>
          <cell r="BN13">
            <v>2127</v>
          </cell>
          <cell r="BO13">
            <v>8916</v>
          </cell>
          <cell r="BP13">
            <v>2276</v>
          </cell>
          <cell r="BQ13">
            <v>2067</v>
          </cell>
          <cell r="BR13">
            <v>1960</v>
          </cell>
          <cell r="BS13">
            <v>2055</v>
          </cell>
          <cell r="BT13">
            <v>8358</v>
          </cell>
          <cell r="BU13">
            <v>2138</v>
          </cell>
          <cell r="BV13">
            <v>2077</v>
          </cell>
          <cell r="BW13">
            <v>2053</v>
          </cell>
          <cell r="BX13">
            <v>2117</v>
          </cell>
          <cell r="BY13">
            <v>8385</v>
          </cell>
          <cell r="BZ13">
            <v>2222</v>
          </cell>
          <cell r="CA13">
            <v>2030</v>
          </cell>
          <cell r="CB13">
            <v>1992</v>
          </cell>
          <cell r="CC13">
            <v>2029</v>
          </cell>
          <cell r="CD13">
            <v>8273</v>
          </cell>
          <cell r="CE13">
            <v>2123</v>
          </cell>
          <cell r="CF13">
            <v>2062</v>
          </cell>
          <cell r="CG13">
            <v>2069</v>
          </cell>
          <cell r="CH13">
            <v>2080</v>
          </cell>
          <cell r="CI13">
            <v>8334</v>
          </cell>
          <cell r="CJ13">
            <v>2150</v>
          </cell>
          <cell r="CK13">
            <v>2130</v>
          </cell>
          <cell r="CL13">
            <v>2075</v>
          </cell>
          <cell r="CM13">
            <v>2110</v>
          </cell>
          <cell r="CN13">
            <v>8465</v>
          </cell>
          <cell r="CO13">
            <v>2250</v>
          </cell>
          <cell r="CP13">
            <v>2132</v>
          </cell>
          <cell r="CQ13">
            <v>2100</v>
          </cell>
          <cell r="CR13">
            <v>2172</v>
          </cell>
          <cell r="CS13">
            <v>8654</v>
          </cell>
          <cell r="CT13">
            <v>2302</v>
          </cell>
          <cell r="CU13">
            <v>2265</v>
          </cell>
          <cell r="CV13">
            <v>2221</v>
          </cell>
          <cell r="CW13">
            <v>2317.3671712984556</v>
          </cell>
          <cell r="CX13">
            <v>9105.367171298456</v>
          </cell>
          <cell r="CY13">
            <v>2454.103177531731</v>
          </cell>
          <cell r="CZ13">
            <v>2520.8053933615279</v>
          </cell>
          <cell r="DA13">
            <v>2482.7214626620112</v>
          </cell>
          <cell r="DB13">
            <v>2551.9920475719382</v>
          </cell>
          <cell r="DC13">
            <v>10009.622081127209</v>
          </cell>
          <cell r="DD13">
            <v>2603.6234824028011</v>
          </cell>
          <cell r="DE13">
            <v>2649.677716083997</v>
          </cell>
          <cell r="DF13">
            <v>2609.716441180974</v>
          </cell>
          <cell r="DG13">
            <v>2684.9319758065221</v>
          </cell>
          <cell r="DH13">
            <v>10547.949615474296</v>
          </cell>
          <cell r="DI13">
            <v>2769.2510987404385</v>
          </cell>
          <cell r="DJ13">
            <v>2780.8540514975234</v>
          </cell>
          <cell r="DK13">
            <v>2739.9519692050371</v>
          </cell>
          <cell r="DL13">
            <v>2825.3557518838406</v>
          </cell>
          <cell r="DM13">
            <v>11115.412871326838</v>
          </cell>
          <cell r="DN13">
            <v>2916.9425213974359</v>
          </cell>
          <cell r="DO13">
            <v>2922.2348359089256</v>
          </cell>
          <cell r="DP13">
            <v>2880.8205171178829</v>
          </cell>
          <cell r="DQ13">
            <v>2965.990547928935</v>
          </cell>
          <cell r="DR13">
            <v>11685.988422353179</v>
          </cell>
          <cell r="DT13" t="str">
            <v>mstag:revenueNetOfDiscountsAndAllowances</v>
          </cell>
          <cell r="DU13">
            <v>6</v>
          </cell>
          <cell r="DV13" t="str">
            <v>ISO4217:USD</v>
          </cell>
          <cell r="DW13" t="b">
            <v>0</v>
          </cell>
        </row>
        <row r="14">
          <cell r="B14" t="str">
            <v>Salaries, wages &amp; benefits</v>
          </cell>
          <cell r="D14">
            <v>514.02800000000002</v>
          </cell>
          <cell r="E14">
            <v>273</v>
          </cell>
          <cell r="F14">
            <v>275.3</v>
          </cell>
          <cell r="G14">
            <v>304.67200000000003</v>
          </cell>
          <cell r="H14">
            <v>1367</v>
          </cell>
          <cell r="I14">
            <v>502.2</v>
          </cell>
          <cell r="J14">
            <v>544.70000000000005</v>
          </cell>
          <cell r="K14">
            <v>569.79999999999995</v>
          </cell>
          <cell r="L14">
            <v>577.29999999999995</v>
          </cell>
          <cell r="M14">
            <v>2194</v>
          </cell>
          <cell r="N14">
            <v>568.70000000000005</v>
          </cell>
          <cell r="O14">
            <v>581.4</v>
          </cell>
          <cell r="P14">
            <v>911</v>
          </cell>
          <cell r="Q14">
            <v>1512.9</v>
          </cell>
          <cell r="R14">
            <v>3574</v>
          </cell>
          <cell r="S14">
            <v>966</v>
          </cell>
          <cell r="T14">
            <v>1007</v>
          </cell>
          <cell r="U14">
            <v>1040</v>
          </cell>
          <cell r="V14">
            <v>1039</v>
          </cell>
          <cell r="W14">
            <v>4052</v>
          </cell>
          <cell r="X14">
            <v>1018</v>
          </cell>
          <cell r="Y14">
            <v>1039</v>
          </cell>
          <cell r="Z14">
            <v>1160</v>
          </cell>
          <cell r="AA14">
            <v>1195</v>
          </cell>
          <cell r="AB14">
            <v>4412</v>
          </cell>
          <cell r="AC14">
            <v>1161</v>
          </cell>
          <cell r="AD14">
            <v>1110</v>
          </cell>
          <cell r="AE14">
            <v>1121</v>
          </cell>
          <cell r="AF14">
            <v>1116</v>
          </cell>
          <cell r="AG14">
            <v>4508</v>
          </cell>
          <cell r="AH14">
            <v>1123</v>
          </cell>
          <cell r="AI14">
            <v>1130</v>
          </cell>
          <cell r="AJ14">
            <v>1178</v>
          </cell>
          <cell r="AK14">
            <v>1249</v>
          </cell>
          <cell r="AL14">
            <v>4680</v>
          </cell>
          <cell r="AM14">
            <v>1270</v>
          </cell>
          <cell r="AN14">
            <v>1300</v>
          </cell>
          <cell r="AO14">
            <v>1351</v>
          </cell>
          <cell r="AP14">
            <v>1425</v>
          </cell>
          <cell r="AQ14">
            <v>5346</v>
          </cell>
          <cell r="AR14">
            <v>1423</v>
          </cell>
          <cell r="AS14">
            <v>1447</v>
          </cell>
          <cell r="AT14">
            <v>1451</v>
          </cell>
          <cell r="AV14">
            <v>1339</v>
          </cell>
          <cell r="AW14">
            <v>1353</v>
          </cell>
          <cell r="AX14">
            <v>1376</v>
          </cell>
          <cell r="AY14">
            <v>1354</v>
          </cell>
          <cell r="AZ14">
            <v>5422</v>
          </cell>
          <cell r="BA14">
            <v>1462</v>
          </cell>
          <cell r="BB14">
            <v>1474</v>
          </cell>
          <cell r="BC14">
            <v>1420</v>
          </cell>
          <cell r="BD14">
            <v>1407</v>
          </cell>
          <cell r="BE14">
            <v>5763</v>
          </cell>
          <cell r="BF14">
            <v>1146</v>
          </cell>
          <cell r="BG14">
            <v>1131</v>
          </cell>
          <cell r="BH14">
            <v>1078</v>
          </cell>
          <cell r="BI14">
            <v>1076</v>
          </cell>
          <cell r="BJ14">
            <v>4431</v>
          </cell>
          <cell r="BK14">
            <v>1124</v>
          </cell>
          <cell r="BL14">
            <v>1114</v>
          </cell>
          <cell r="BM14">
            <v>1099</v>
          </cell>
          <cell r="BN14">
            <v>1051</v>
          </cell>
          <cell r="BO14">
            <v>4388</v>
          </cell>
          <cell r="BP14">
            <v>1075</v>
          </cell>
          <cell r="BQ14">
            <v>963</v>
          </cell>
          <cell r="BR14">
            <v>953</v>
          </cell>
          <cell r="BS14">
            <v>986</v>
          </cell>
          <cell r="BT14">
            <v>3977</v>
          </cell>
          <cell r="BU14">
            <v>1019</v>
          </cell>
          <cell r="BV14">
            <v>993</v>
          </cell>
          <cell r="BW14">
            <v>983</v>
          </cell>
          <cell r="BX14">
            <v>1023</v>
          </cell>
          <cell r="BY14">
            <v>4018</v>
          </cell>
          <cell r="BZ14">
            <v>1036</v>
          </cell>
          <cell r="CA14">
            <v>967</v>
          </cell>
          <cell r="CB14">
            <v>952</v>
          </cell>
          <cell r="CC14">
            <v>967</v>
          </cell>
          <cell r="CD14">
            <v>3922</v>
          </cell>
          <cell r="CE14">
            <v>975</v>
          </cell>
          <cell r="CF14">
            <v>949</v>
          </cell>
          <cell r="CG14">
            <v>954</v>
          </cell>
          <cell r="CH14">
            <v>989</v>
          </cell>
          <cell r="CI14">
            <v>3867</v>
          </cell>
          <cell r="CJ14">
            <v>987</v>
          </cell>
          <cell r="CK14">
            <v>969</v>
          </cell>
          <cell r="CL14">
            <v>977</v>
          </cell>
          <cell r="CM14">
            <v>967</v>
          </cell>
          <cell r="CN14">
            <v>3900</v>
          </cell>
          <cell r="CO14">
            <v>1017</v>
          </cell>
          <cell r="CP14">
            <v>982</v>
          </cell>
          <cell r="CQ14">
            <v>1002</v>
          </cell>
          <cell r="CR14">
            <v>1014</v>
          </cell>
          <cell r="CS14">
            <v>4015</v>
          </cell>
          <cell r="CT14">
            <v>1062</v>
          </cell>
          <cell r="CU14">
            <v>1054</v>
          </cell>
          <cell r="CV14">
            <v>1050</v>
          </cell>
          <cell r="CW14">
            <v>1074.5291638730312</v>
          </cell>
          <cell r="CX14">
            <v>4240.5291638730314</v>
          </cell>
          <cell r="CY14">
            <v>1156.322828303174</v>
          </cell>
          <cell r="CZ14">
            <v>1153.7315985077744</v>
          </cell>
          <cell r="DA14">
            <v>1150.155455178789</v>
          </cell>
          <cell r="DB14">
            <v>1159.1763060679043</v>
          </cell>
          <cell r="DC14">
            <v>4619.3861880576414</v>
          </cell>
          <cell r="DD14">
            <v>1202.0045685907146</v>
          </cell>
          <cell r="DE14">
            <v>1202.43340664832</v>
          </cell>
          <cell r="DF14">
            <v>1202.2035822017981</v>
          </cell>
          <cell r="DG14">
            <v>1210.5650575507188</v>
          </cell>
          <cell r="DH14">
            <v>4817.2066149915518</v>
          </cell>
          <cell r="DI14">
            <v>1274.1890085551343</v>
          </cell>
          <cell r="DJ14">
            <v>1262.3649029318246</v>
          </cell>
          <cell r="DK14">
            <v>1259.2709545924458</v>
          </cell>
          <cell r="DL14">
            <v>1269.58000500194</v>
          </cell>
          <cell r="DM14">
            <v>5065.4048710813449</v>
          </cell>
          <cell r="DN14">
            <v>1337.3953277894871</v>
          </cell>
          <cell r="DO14">
            <v>1325.8072740284997</v>
          </cell>
          <cell r="DP14">
            <v>1322.8328492390096</v>
          </cell>
          <cell r="DQ14">
            <v>1331.412701199095</v>
          </cell>
          <cell r="DR14">
            <v>5317.4481522560909</v>
          </cell>
          <cell r="DT14" t="str">
            <v>mstag:laborAndRelatedExpenseTotal</v>
          </cell>
          <cell r="DU14">
            <v>6</v>
          </cell>
          <cell r="DV14" t="str">
            <v>ISO4217:USD</v>
          </cell>
          <cell r="DW14" t="b">
            <v>0</v>
          </cell>
        </row>
        <row r="15">
          <cell r="B15" t="str">
            <v>Supplies</v>
          </cell>
          <cell r="D15">
            <v>0</v>
          </cell>
          <cell r="E15">
            <v>78.5</v>
          </cell>
          <cell r="F15">
            <v>84</v>
          </cell>
          <cell r="G15">
            <v>269.5</v>
          </cell>
          <cell r="H15">
            <v>432</v>
          </cell>
          <cell r="I15">
            <v>178.7</v>
          </cell>
          <cell r="J15">
            <v>186</v>
          </cell>
          <cell r="K15">
            <v>200</v>
          </cell>
          <cell r="L15">
            <v>199.29999999999995</v>
          </cell>
          <cell r="M15">
            <v>764</v>
          </cell>
          <cell r="N15">
            <v>191</v>
          </cell>
          <cell r="O15">
            <v>204.1</v>
          </cell>
          <cell r="P15">
            <v>315.5</v>
          </cell>
          <cell r="Q15">
            <v>486.4</v>
          </cell>
          <cell r="R15">
            <v>1197</v>
          </cell>
          <cell r="S15">
            <v>321</v>
          </cell>
          <cell r="T15">
            <v>330</v>
          </cell>
          <cell r="U15">
            <v>365</v>
          </cell>
          <cell r="V15">
            <v>359</v>
          </cell>
          <cell r="W15">
            <v>1375</v>
          </cell>
          <cell r="X15">
            <v>350</v>
          </cell>
          <cell r="Y15">
            <v>351</v>
          </cell>
          <cell r="Z15">
            <v>403</v>
          </cell>
          <cell r="AA15">
            <v>421</v>
          </cell>
          <cell r="AB15">
            <v>1525</v>
          </cell>
          <cell r="AC15">
            <v>407</v>
          </cell>
          <cell r="AD15">
            <v>387</v>
          </cell>
          <cell r="AE15">
            <v>401</v>
          </cell>
          <cell r="AF15">
            <v>400</v>
          </cell>
          <cell r="AG15">
            <v>1595</v>
          </cell>
          <cell r="AH15">
            <v>404</v>
          </cell>
          <cell r="AI15">
            <v>405</v>
          </cell>
          <cell r="AJ15">
            <v>420</v>
          </cell>
          <cell r="AK15">
            <v>448</v>
          </cell>
          <cell r="AL15">
            <v>1677</v>
          </cell>
          <cell r="AM15">
            <v>466</v>
          </cell>
          <cell r="AN15">
            <v>473</v>
          </cell>
          <cell r="AO15">
            <v>496</v>
          </cell>
          <cell r="AP15">
            <v>525</v>
          </cell>
          <cell r="AQ15">
            <v>1960</v>
          </cell>
          <cell r="AR15">
            <v>529</v>
          </cell>
          <cell r="AS15">
            <v>536</v>
          </cell>
          <cell r="AT15">
            <v>558</v>
          </cell>
          <cell r="AV15">
            <v>489</v>
          </cell>
          <cell r="AW15">
            <v>475</v>
          </cell>
          <cell r="AX15">
            <v>501</v>
          </cell>
          <cell r="AY15">
            <v>498</v>
          </cell>
          <cell r="AZ15">
            <v>1963</v>
          </cell>
          <cell r="BA15">
            <v>527</v>
          </cell>
          <cell r="BB15">
            <v>525</v>
          </cell>
          <cell r="BC15">
            <v>521</v>
          </cell>
          <cell r="BD15">
            <v>533</v>
          </cell>
          <cell r="BE15">
            <v>2106</v>
          </cell>
          <cell r="BF15">
            <v>449</v>
          </cell>
          <cell r="BG15">
            <v>437</v>
          </cell>
          <cell r="BH15">
            <v>423</v>
          </cell>
          <cell r="BI15">
            <v>444</v>
          </cell>
          <cell r="BJ15">
            <v>1753</v>
          </cell>
          <cell r="BK15">
            <v>457</v>
          </cell>
          <cell r="BL15">
            <v>447</v>
          </cell>
          <cell r="BM15">
            <v>446</v>
          </cell>
          <cell r="BN15">
            <v>424</v>
          </cell>
          <cell r="BO15">
            <v>1774</v>
          </cell>
          <cell r="BP15">
            <v>449</v>
          </cell>
          <cell r="BQ15">
            <v>398</v>
          </cell>
          <cell r="BR15">
            <v>386</v>
          </cell>
          <cell r="BS15">
            <v>392</v>
          </cell>
          <cell r="BT15">
            <v>1625</v>
          </cell>
          <cell r="BU15">
            <v>408</v>
          </cell>
          <cell r="BV15">
            <v>399</v>
          </cell>
          <cell r="BW15">
            <v>383</v>
          </cell>
          <cell r="BX15">
            <v>406</v>
          </cell>
          <cell r="BY15">
            <v>1596</v>
          </cell>
          <cell r="BZ15">
            <v>420</v>
          </cell>
          <cell r="CA15">
            <v>392</v>
          </cell>
          <cell r="CB15">
            <v>380</v>
          </cell>
          <cell r="CC15">
            <v>388</v>
          </cell>
          <cell r="CD15">
            <v>1580</v>
          </cell>
          <cell r="CE15">
            <v>395</v>
          </cell>
          <cell r="CF15">
            <v>395</v>
          </cell>
          <cell r="CG15">
            <v>389</v>
          </cell>
          <cell r="CH15">
            <v>394</v>
          </cell>
          <cell r="CI15">
            <v>1573</v>
          </cell>
          <cell r="CJ15">
            <v>398</v>
          </cell>
          <cell r="CK15">
            <v>395</v>
          </cell>
          <cell r="CL15">
            <v>390</v>
          </cell>
          <cell r="CM15">
            <v>394</v>
          </cell>
          <cell r="CN15">
            <v>1577</v>
          </cell>
          <cell r="CO15">
            <v>396</v>
          </cell>
          <cell r="CP15">
            <v>392</v>
          </cell>
          <cell r="CQ15">
            <v>379</v>
          </cell>
          <cell r="CR15">
            <v>381</v>
          </cell>
          <cell r="CS15">
            <v>1548</v>
          </cell>
          <cell r="CT15">
            <v>399</v>
          </cell>
          <cell r="CU15">
            <v>389</v>
          </cell>
          <cell r="CV15">
            <v>376</v>
          </cell>
          <cell r="CW15">
            <v>381.10662224768873</v>
          </cell>
          <cell r="CX15">
            <v>1545.1066222476888</v>
          </cell>
          <cell r="CY15">
            <v>410.05683470451316</v>
          </cell>
          <cell r="CZ15">
            <v>401.88380484282362</v>
          </cell>
          <cell r="DA15">
            <v>388.687342795897</v>
          </cell>
          <cell r="DB15">
            <v>390.65362135570132</v>
          </cell>
          <cell r="DC15">
            <v>1591.281603698935</v>
          </cell>
          <cell r="DD15">
            <v>423.6533857924623</v>
          </cell>
          <cell r="DE15">
            <v>416.79322004371102</v>
          </cell>
          <cell r="DF15">
            <v>404.64503041598965</v>
          </cell>
          <cell r="DG15">
            <v>406.51142870714301</v>
          </cell>
          <cell r="DH15">
            <v>1651.603064959306</v>
          </cell>
          <cell r="DI15">
            <v>444.22439068514007</v>
          </cell>
          <cell r="DJ15">
            <v>434.46575645738011</v>
          </cell>
          <cell r="DK15">
            <v>421.83888927748461</v>
          </cell>
          <cell r="DL15">
            <v>424.19591374356446</v>
          </cell>
          <cell r="DM15">
            <v>1724.7249501635692</v>
          </cell>
          <cell r="DN15">
            <v>465.54214885711656</v>
          </cell>
          <cell r="DO15">
            <v>453.84170737399813</v>
          </cell>
          <cell r="DP15">
            <v>440.86390072533902</v>
          </cell>
          <cell r="DQ15">
            <v>442.82275516768135</v>
          </cell>
          <cell r="DR15">
            <v>1803.0705121241351</v>
          </cell>
          <cell r="DT15" t="str">
            <v>mstag:costOfSalesWithoutDepreciation</v>
          </cell>
          <cell r="DU15">
            <v>6</v>
          </cell>
          <cell r="DV15" t="str">
            <v>ISO4217:USD</v>
          </cell>
          <cell r="DW15" t="b">
            <v>0</v>
          </cell>
        </row>
        <row r="16">
          <cell r="B16" t="str">
            <v>Other operating expenses, net</v>
          </cell>
          <cell r="D16">
            <v>0</v>
          </cell>
          <cell r="E16">
            <v>144.6</v>
          </cell>
          <cell r="F16">
            <v>152.80000000000001</v>
          </cell>
          <cell r="G16">
            <v>461.6</v>
          </cell>
          <cell r="H16">
            <v>759</v>
          </cell>
          <cell r="I16">
            <v>281.60000000000002</v>
          </cell>
          <cell r="J16">
            <v>296.7</v>
          </cell>
          <cell r="K16">
            <v>310.60000000000002</v>
          </cell>
          <cell r="L16">
            <v>323.10000000000002</v>
          </cell>
          <cell r="M16">
            <v>1212</v>
          </cell>
          <cell r="N16">
            <v>321.7</v>
          </cell>
          <cell r="O16">
            <v>320.2</v>
          </cell>
          <cell r="P16">
            <v>470.7</v>
          </cell>
          <cell r="Q16">
            <v>716.40000000000009</v>
          </cell>
          <cell r="R16">
            <v>1829</v>
          </cell>
          <cell r="S16">
            <v>486</v>
          </cell>
          <cell r="T16">
            <v>512</v>
          </cell>
          <cell r="U16">
            <v>518</v>
          </cell>
          <cell r="V16">
            <v>555</v>
          </cell>
          <cell r="W16">
            <v>2071</v>
          </cell>
          <cell r="X16">
            <v>561</v>
          </cell>
          <cell r="Y16">
            <v>538</v>
          </cell>
          <cell r="Z16">
            <v>611</v>
          </cell>
          <cell r="AA16">
            <v>632</v>
          </cell>
          <cell r="AB16">
            <v>2342</v>
          </cell>
          <cell r="AC16">
            <v>625</v>
          </cell>
          <cell r="AD16">
            <v>604</v>
          </cell>
          <cell r="AE16">
            <v>614</v>
          </cell>
          <cell r="AF16">
            <v>682</v>
          </cell>
          <cell r="AG16">
            <v>2525</v>
          </cell>
          <cell r="AH16">
            <v>636</v>
          </cell>
          <cell r="AI16">
            <v>637</v>
          </cell>
          <cell r="AJ16">
            <v>641</v>
          </cell>
          <cell r="AK16">
            <v>689</v>
          </cell>
          <cell r="AL16">
            <v>2603</v>
          </cell>
          <cell r="AM16">
            <v>689</v>
          </cell>
          <cell r="AN16">
            <v>685</v>
          </cell>
          <cell r="AO16">
            <v>680</v>
          </cell>
          <cell r="AP16">
            <v>770</v>
          </cell>
          <cell r="AQ16">
            <v>2824</v>
          </cell>
          <cell r="AR16">
            <v>718</v>
          </cell>
          <cell r="AS16">
            <v>729</v>
          </cell>
          <cell r="AT16">
            <v>858</v>
          </cell>
          <cell r="AV16">
            <v>648</v>
          </cell>
          <cell r="AW16">
            <v>691</v>
          </cell>
          <cell r="AX16">
            <v>679</v>
          </cell>
          <cell r="AY16">
            <v>802</v>
          </cell>
          <cell r="AZ16">
            <v>2820</v>
          </cell>
          <cell r="BA16">
            <v>722</v>
          </cell>
          <cell r="BB16">
            <v>753</v>
          </cell>
          <cell r="BC16">
            <v>754</v>
          </cell>
          <cell r="BD16">
            <v>706</v>
          </cell>
          <cell r="BE16">
            <v>2935</v>
          </cell>
          <cell r="BF16">
            <v>559</v>
          </cell>
          <cell r="BG16">
            <v>610</v>
          </cell>
          <cell r="BH16">
            <v>557</v>
          </cell>
          <cell r="BI16">
            <v>556</v>
          </cell>
          <cell r="BJ16">
            <v>2282</v>
          </cell>
          <cell r="BK16">
            <v>527</v>
          </cell>
          <cell r="BL16">
            <v>547</v>
          </cell>
          <cell r="BM16">
            <v>554</v>
          </cell>
          <cell r="BN16">
            <v>555</v>
          </cell>
          <cell r="BO16">
            <v>2183</v>
          </cell>
          <cell r="BP16">
            <v>536</v>
          </cell>
          <cell r="BQ16">
            <v>497</v>
          </cell>
          <cell r="BR16">
            <v>513</v>
          </cell>
          <cell r="BS16">
            <v>524</v>
          </cell>
          <cell r="BT16">
            <v>2070</v>
          </cell>
          <cell r="BU16">
            <v>522</v>
          </cell>
          <cell r="BV16">
            <v>529</v>
          </cell>
          <cell r="BW16">
            <v>510</v>
          </cell>
          <cell r="BX16">
            <v>522</v>
          </cell>
          <cell r="BY16">
            <v>2083</v>
          </cell>
          <cell r="BZ16">
            <v>532</v>
          </cell>
          <cell r="CA16">
            <v>508</v>
          </cell>
          <cell r="CB16">
            <v>504</v>
          </cell>
          <cell r="CC16">
            <v>475</v>
          </cell>
          <cell r="CD16">
            <v>2019</v>
          </cell>
          <cell r="CE16">
            <v>477</v>
          </cell>
          <cell r="CF16">
            <v>472</v>
          </cell>
          <cell r="CG16">
            <v>486</v>
          </cell>
          <cell r="CH16">
            <v>479</v>
          </cell>
          <cell r="CI16">
            <v>1914</v>
          </cell>
          <cell r="CJ16">
            <v>467</v>
          </cell>
          <cell r="CK16">
            <v>498</v>
          </cell>
          <cell r="CL16">
            <v>505</v>
          </cell>
          <cell r="CM16">
            <v>468</v>
          </cell>
          <cell r="CN16">
            <v>1938</v>
          </cell>
          <cell r="CO16">
            <v>491</v>
          </cell>
          <cell r="CP16">
            <v>508</v>
          </cell>
          <cell r="CQ16">
            <v>527</v>
          </cell>
          <cell r="CR16">
            <v>494</v>
          </cell>
          <cell r="CS16">
            <v>2020</v>
          </cell>
          <cell r="CT16">
            <v>531</v>
          </cell>
          <cell r="CU16">
            <v>534</v>
          </cell>
          <cell r="CV16">
            <v>539</v>
          </cell>
          <cell r="CW16">
            <v>545.54310544788916</v>
          </cell>
          <cell r="CX16">
            <v>2149.543105447889</v>
          </cell>
          <cell r="CY16">
            <v>629.41489738242126</v>
          </cell>
          <cell r="CZ16">
            <v>635.72232086640372</v>
          </cell>
          <cell r="DA16">
            <v>640.18053421212153</v>
          </cell>
          <cell r="DB16">
            <v>627.70013777426652</v>
          </cell>
          <cell r="DC16">
            <v>2533.0178902352127</v>
          </cell>
          <cell r="DD16">
            <v>657.64183184378771</v>
          </cell>
          <cell r="DE16">
            <v>665.79749144606069</v>
          </cell>
          <cell r="DF16">
            <v>672.26932702404577</v>
          </cell>
          <cell r="DG16">
            <v>658.5566766262898</v>
          </cell>
          <cell r="DH16">
            <v>2654.2653269401835</v>
          </cell>
          <cell r="DI16">
            <v>700.14197585302554</v>
          </cell>
          <cell r="DJ16">
            <v>702.22093824215199</v>
          </cell>
          <cell r="DK16">
            <v>707.43795961107446</v>
          </cell>
          <cell r="DL16">
            <v>693.76671853655239</v>
          </cell>
          <cell r="DM16">
            <v>2803.5675922428045</v>
          </cell>
          <cell r="DN16">
            <v>738.04216072922793</v>
          </cell>
          <cell r="DO16">
            <v>740.86149877064258</v>
          </cell>
          <cell r="DP16">
            <v>746.51101977686585</v>
          </cell>
          <cell r="DQ16">
            <v>730.84250260033082</v>
          </cell>
          <cell r="DR16">
            <v>2956.2571818770675</v>
          </cell>
          <cell r="DT16" t="str">
            <v>mstag:otherOperatingExpense</v>
          </cell>
          <cell r="DU16">
            <v>6</v>
          </cell>
          <cell r="DV16" t="str">
            <v>ISO4217:USD</v>
          </cell>
          <cell r="DW16" t="b">
            <v>0</v>
          </cell>
        </row>
        <row r="17">
          <cell r="B17" t="str">
            <v>Asset impairments &amp; restructuring costs</v>
          </cell>
          <cell r="D17">
            <v>0</v>
          </cell>
          <cell r="E17">
            <v>0</v>
          </cell>
          <cell r="F17">
            <v>0</v>
          </cell>
          <cell r="G17">
            <v>37</v>
          </cell>
          <cell r="H17">
            <v>37</v>
          </cell>
          <cell r="I17">
            <v>0</v>
          </cell>
          <cell r="J17">
            <v>0</v>
          </cell>
          <cell r="K17">
            <v>0</v>
          </cell>
          <cell r="L17">
            <v>86</v>
          </cell>
          <cell r="M17">
            <v>86</v>
          </cell>
          <cell r="N17">
            <v>0</v>
          </cell>
          <cell r="O17">
            <v>0</v>
          </cell>
          <cell r="P17">
            <v>272.2</v>
          </cell>
          <cell r="Q17">
            <v>467.8</v>
          </cell>
          <cell r="R17">
            <v>740</v>
          </cell>
          <cell r="S17">
            <v>0</v>
          </cell>
          <cell r="T17">
            <v>0</v>
          </cell>
          <cell r="U17">
            <v>0</v>
          </cell>
          <cell r="V17">
            <v>221</v>
          </cell>
          <cell r="W17">
            <v>221</v>
          </cell>
          <cell r="X17">
            <v>0</v>
          </cell>
          <cell r="Y17">
            <v>0</v>
          </cell>
          <cell r="Z17">
            <v>0</v>
          </cell>
          <cell r="AA17">
            <v>363</v>
          </cell>
          <cell r="AB17">
            <v>363</v>
          </cell>
          <cell r="AC17">
            <v>0</v>
          </cell>
          <cell r="AD17">
            <v>0</v>
          </cell>
          <cell r="AE17">
            <v>232</v>
          </cell>
          <cell r="AF17">
            <v>123</v>
          </cell>
          <cell r="AG17">
            <v>355</v>
          </cell>
          <cell r="AH17">
            <v>0</v>
          </cell>
          <cell r="AI17">
            <v>0</v>
          </cell>
          <cell r="AJ17">
            <v>0</v>
          </cell>
          <cell r="AK17">
            <v>143</v>
          </cell>
          <cell r="AL17">
            <v>143</v>
          </cell>
          <cell r="AM17">
            <v>0</v>
          </cell>
          <cell r="AN17">
            <v>99</v>
          </cell>
          <cell r="AO17">
            <v>0</v>
          </cell>
          <cell r="AP17">
            <v>0</v>
          </cell>
          <cell r="AQ17">
            <v>99</v>
          </cell>
          <cell r="AR17">
            <v>0</v>
          </cell>
          <cell r="AS17">
            <v>64</v>
          </cell>
          <cell r="AT17">
            <v>398</v>
          </cell>
          <cell r="AV17">
            <v>0</v>
          </cell>
          <cell r="AW17">
            <v>0</v>
          </cell>
          <cell r="AX17">
            <v>0</v>
          </cell>
          <cell r="AY17">
            <v>316</v>
          </cell>
          <cell r="AZ17">
            <v>316</v>
          </cell>
          <cell r="BA17">
            <v>196</v>
          </cell>
          <cell r="BB17">
            <v>275</v>
          </cell>
          <cell r="BC17">
            <v>9</v>
          </cell>
          <cell r="BD17">
            <v>1447</v>
          </cell>
          <cell r="BE17">
            <v>1927</v>
          </cell>
          <cell r="BF17">
            <v>60</v>
          </cell>
          <cell r="BG17">
            <v>43</v>
          </cell>
          <cell r="BH17">
            <v>2</v>
          </cell>
          <cell r="BI17">
            <v>1240</v>
          </cell>
          <cell r="BJ17">
            <v>1345</v>
          </cell>
          <cell r="BK17">
            <v>24</v>
          </cell>
          <cell r="BL17">
            <v>-4</v>
          </cell>
          <cell r="BM17">
            <v>205</v>
          </cell>
          <cell r="BN17">
            <v>56</v>
          </cell>
          <cell r="BO17">
            <v>281</v>
          </cell>
          <cell r="BP17">
            <v>1</v>
          </cell>
          <cell r="BQ17">
            <v>27</v>
          </cell>
          <cell r="BR17">
            <v>1</v>
          </cell>
          <cell r="BS17">
            <v>323</v>
          </cell>
          <cell r="BT17">
            <v>352</v>
          </cell>
          <cell r="BU17">
            <v>3</v>
          </cell>
          <cell r="BV17">
            <v>10</v>
          </cell>
          <cell r="BW17">
            <v>13</v>
          </cell>
          <cell r="BX17">
            <v>36</v>
          </cell>
          <cell r="BY17">
            <v>62</v>
          </cell>
          <cell r="BZ17">
            <v>1</v>
          </cell>
          <cell r="CA17">
            <v>2</v>
          </cell>
          <cell r="CB17">
            <v>1</v>
          </cell>
          <cell r="CC17">
            <v>14</v>
          </cell>
          <cell r="CD17">
            <v>18</v>
          </cell>
          <cell r="CE17">
            <v>5</v>
          </cell>
          <cell r="CF17">
            <v>1</v>
          </cell>
          <cell r="CG17">
            <v>7</v>
          </cell>
          <cell r="CH17">
            <v>14</v>
          </cell>
          <cell r="CI17">
            <v>27</v>
          </cell>
          <cell r="CJ17">
            <v>0</v>
          </cell>
          <cell r="CK17">
            <v>-2</v>
          </cell>
          <cell r="CL17">
            <v>3</v>
          </cell>
          <cell r="CM17">
            <v>9</v>
          </cell>
          <cell r="CN17">
            <v>10</v>
          </cell>
          <cell r="CO17">
            <v>8</v>
          </cell>
          <cell r="CP17">
            <v>2</v>
          </cell>
          <cell r="CQ17">
            <v>8</v>
          </cell>
          <cell r="CR17">
            <v>2</v>
          </cell>
          <cell r="CS17">
            <v>20</v>
          </cell>
          <cell r="CT17">
            <v>3</v>
          </cell>
          <cell r="CU17">
            <v>3</v>
          </cell>
          <cell r="CV17">
            <v>6</v>
          </cell>
          <cell r="CW17">
            <v>4</v>
          </cell>
          <cell r="CX17">
            <v>16</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T17" t="str">
            <v>mstag:restructuringCostsOneTimeGrossOfTax</v>
          </cell>
          <cell r="DU17">
            <v>6</v>
          </cell>
          <cell r="DV17" t="str">
            <v>ISO4217:USD</v>
          </cell>
          <cell r="DW17" t="b">
            <v>0</v>
          </cell>
        </row>
        <row r="18">
          <cell r="B18" t="str">
            <v>Litigation &amp; investigation costs</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4</v>
          </cell>
          <cell r="AV18">
            <v>0</v>
          </cell>
          <cell r="AW18">
            <v>0</v>
          </cell>
          <cell r="AX18">
            <v>0</v>
          </cell>
          <cell r="AY18">
            <v>0</v>
          </cell>
          <cell r="AZ18">
            <v>0</v>
          </cell>
          <cell r="BA18">
            <v>6</v>
          </cell>
          <cell r="BB18">
            <v>68</v>
          </cell>
          <cell r="BC18">
            <v>253</v>
          </cell>
          <cell r="BD18">
            <v>-45</v>
          </cell>
          <cell r="BE18">
            <v>282</v>
          </cell>
          <cell r="BF18">
            <v>10</v>
          </cell>
          <cell r="BG18">
            <v>9</v>
          </cell>
          <cell r="BH18">
            <v>10</v>
          </cell>
          <cell r="BI18">
            <v>45</v>
          </cell>
          <cell r="BJ18">
            <v>74</v>
          </cell>
          <cell r="BK18">
            <v>8</v>
          </cell>
          <cell r="BL18">
            <v>11</v>
          </cell>
          <cell r="BM18">
            <v>28</v>
          </cell>
          <cell r="BN18">
            <v>165</v>
          </cell>
          <cell r="BO18">
            <v>212</v>
          </cell>
          <cell r="BP18">
            <v>16</v>
          </cell>
          <cell r="BQ18">
            <v>728</v>
          </cell>
          <cell r="BR18">
            <v>7</v>
          </cell>
          <cell r="BS18">
            <v>15</v>
          </cell>
          <cell r="BT18">
            <v>766</v>
          </cell>
          <cell r="BU18">
            <v>-1</v>
          </cell>
          <cell r="BV18">
            <v>-1</v>
          </cell>
          <cell r="BW18">
            <v>3</v>
          </cell>
          <cell r="BX18">
            <v>12</v>
          </cell>
          <cell r="BY18">
            <v>13</v>
          </cell>
          <cell r="BZ18">
            <v>47</v>
          </cell>
          <cell r="CA18">
            <v>3</v>
          </cell>
          <cell r="CB18">
            <v>-5</v>
          </cell>
          <cell r="CC18">
            <v>-4</v>
          </cell>
          <cell r="CD18">
            <v>41</v>
          </cell>
          <cell r="CE18">
            <v>1</v>
          </cell>
          <cell r="CF18">
            <v>9</v>
          </cell>
          <cell r="CG18">
            <v>3</v>
          </cell>
          <cell r="CH18">
            <v>18</v>
          </cell>
          <cell r="CI18">
            <v>31</v>
          </cell>
          <cell r="CJ18">
            <v>2</v>
          </cell>
          <cell r="CK18">
            <v>2</v>
          </cell>
          <cell r="CL18">
            <v>2</v>
          </cell>
          <cell r="CM18">
            <v>6</v>
          </cell>
          <cell r="CN18">
            <v>12</v>
          </cell>
          <cell r="CO18">
            <v>11</v>
          </cell>
          <cell r="CP18">
            <v>8</v>
          </cell>
          <cell r="CQ18">
            <v>5</v>
          </cell>
          <cell r="CR18">
            <v>31</v>
          </cell>
          <cell r="CS18">
            <v>55</v>
          </cell>
          <cell r="CT18">
            <v>2</v>
          </cell>
          <cell r="CU18">
            <v>1</v>
          </cell>
          <cell r="CV18">
            <v>0</v>
          </cell>
          <cell r="CW18">
            <v>4</v>
          </cell>
          <cell r="CX18">
            <v>7</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T18" t="str">
            <v>mstag:legalProvisionOneTimeGrossOfTax</v>
          </cell>
          <cell r="DU18">
            <v>6</v>
          </cell>
          <cell r="DV18" t="str">
            <v>ISO4217:USD</v>
          </cell>
          <cell r="DW18" t="b">
            <v>0</v>
          </cell>
        </row>
        <row r="19">
          <cell r="B19" t="str">
            <v>Hurricane insurance recoveries, net of costs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40</v>
          </cell>
          <cell r="BN19">
            <v>15</v>
          </cell>
          <cell r="BO19">
            <v>55</v>
          </cell>
          <cell r="BP19">
            <v>5</v>
          </cell>
          <cell r="BQ19">
            <v>-13</v>
          </cell>
          <cell r="BR19">
            <v>-4</v>
          </cell>
          <cell r="BS19">
            <v>0</v>
          </cell>
          <cell r="BT19">
            <v>-12</v>
          </cell>
          <cell r="BU19">
            <v>0</v>
          </cell>
          <cell r="BV19">
            <v>0</v>
          </cell>
          <cell r="BW19">
            <v>0</v>
          </cell>
          <cell r="BX19">
            <v>-3</v>
          </cell>
          <cell r="BY19">
            <v>-3</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T19" t="str">
            <v>mstag:incomeLossFromExtraordinaryItemsPretax</v>
          </cell>
          <cell r="DU19">
            <v>6</v>
          </cell>
          <cell r="DV19" t="str">
            <v>ISO4217:USD</v>
          </cell>
          <cell r="DW19" t="b">
            <v>1</v>
          </cell>
        </row>
        <row r="20">
          <cell r="B20" t="str">
            <v>Electronic Health Record Incentives</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25</v>
          </cell>
          <cell r="CP20">
            <v>25</v>
          </cell>
          <cell r="CQ20">
            <v>0</v>
          </cell>
          <cell r="CR20">
            <v>5</v>
          </cell>
          <cell r="CS20">
            <v>55</v>
          </cell>
          <cell r="CT20">
            <v>0</v>
          </cell>
          <cell r="CU20">
            <v>0</v>
          </cell>
          <cell r="CV20">
            <v>13</v>
          </cell>
          <cell r="CW20">
            <v>22</v>
          </cell>
          <cell r="CX20">
            <v>35</v>
          </cell>
          <cell r="CY20">
            <v>18.75</v>
          </cell>
          <cell r="CZ20">
            <v>18.75</v>
          </cell>
          <cell r="DA20">
            <v>18.75</v>
          </cell>
          <cell r="DB20">
            <v>18.75</v>
          </cell>
          <cell r="DC20">
            <v>75</v>
          </cell>
          <cell r="DD20">
            <v>18.75</v>
          </cell>
          <cell r="DE20">
            <v>18.75</v>
          </cell>
          <cell r="DF20">
            <v>18.75</v>
          </cell>
          <cell r="DG20">
            <v>18.75</v>
          </cell>
          <cell r="DH20">
            <v>75</v>
          </cell>
          <cell r="DI20">
            <v>12.5</v>
          </cell>
          <cell r="DJ20">
            <v>12.5</v>
          </cell>
          <cell r="DK20">
            <v>12.5</v>
          </cell>
          <cell r="DL20">
            <v>12.5</v>
          </cell>
          <cell r="DM20">
            <v>50</v>
          </cell>
          <cell r="DN20">
            <v>12.5</v>
          </cell>
          <cell r="DO20">
            <v>12.5</v>
          </cell>
          <cell r="DP20">
            <v>12.5</v>
          </cell>
          <cell r="DQ20">
            <v>12.5</v>
          </cell>
          <cell r="DR20">
            <v>50</v>
          </cell>
          <cell r="DT20" t="str">
            <v>mstag:otherOperatingExpense</v>
          </cell>
          <cell r="DU20">
            <v>6</v>
          </cell>
          <cell r="DV20" t="str">
            <v>ISO4217:USD</v>
          </cell>
          <cell r="DW20" t="b">
            <v>1</v>
          </cell>
        </row>
        <row r="21">
          <cell r="B21" t="str">
            <v>EBITDA</v>
          </cell>
          <cell r="D21">
            <v>122.69000000000001</v>
          </cell>
          <cell r="E21">
            <v>121.99999999999997</v>
          </cell>
          <cell r="F21">
            <v>126.29999999999995</v>
          </cell>
          <cell r="G21">
            <v>215.01</v>
          </cell>
          <cell r="H21">
            <v>586</v>
          </cell>
          <cell r="I21">
            <v>254.10000000000002</v>
          </cell>
          <cell r="J21">
            <v>273.8</v>
          </cell>
          <cell r="K21">
            <v>279.60000000000014</v>
          </cell>
          <cell r="L21">
            <v>205.49999999999977</v>
          </cell>
          <cell r="M21">
            <v>1013</v>
          </cell>
          <cell r="N21">
            <v>282.69999999999987</v>
          </cell>
          <cell r="O21">
            <v>291.69999999999987</v>
          </cell>
          <cell r="P21">
            <v>139.40000000000009</v>
          </cell>
          <cell r="Q21">
            <v>143.19999999999931</v>
          </cell>
          <cell r="R21">
            <v>857</v>
          </cell>
          <cell r="S21">
            <v>410</v>
          </cell>
          <cell r="T21">
            <v>444</v>
          </cell>
          <cell r="U21">
            <v>478</v>
          </cell>
          <cell r="V21">
            <v>256</v>
          </cell>
          <cell r="W21">
            <v>1588</v>
          </cell>
          <cell r="X21">
            <v>465</v>
          </cell>
          <cell r="Y21">
            <v>451</v>
          </cell>
          <cell r="Z21">
            <v>458</v>
          </cell>
          <cell r="AA21">
            <v>121</v>
          </cell>
          <cell r="AB21">
            <v>1495</v>
          </cell>
          <cell r="AC21">
            <v>457</v>
          </cell>
          <cell r="AD21">
            <v>469</v>
          </cell>
          <cell r="AE21">
            <v>268</v>
          </cell>
          <cell r="AF21">
            <v>386</v>
          </cell>
          <cell r="AG21">
            <v>1580</v>
          </cell>
          <cell r="AH21">
            <v>517</v>
          </cell>
          <cell r="AI21">
            <v>537</v>
          </cell>
          <cell r="AJ21">
            <v>578</v>
          </cell>
          <cell r="AK21">
            <v>469</v>
          </cell>
          <cell r="AL21">
            <v>2101</v>
          </cell>
          <cell r="AM21">
            <v>626</v>
          </cell>
          <cell r="AN21">
            <v>579</v>
          </cell>
          <cell r="AO21">
            <v>721</v>
          </cell>
          <cell r="AP21">
            <v>772</v>
          </cell>
          <cell r="AQ21">
            <v>2698</v>
          </cell>
          <cell r="AR21">
            <v>756</v>
          </cell>
          <cell r="AS21">
            <v>711</v>
          </cell>
          <cell r="AT21">
            <v>113</v>
          </cell>
          <cell r="AV21">
            <v>674</v>
          </cell>
          <cell r="AW21">
            <v>692</v>
          </cell>
          <cell r="AX21">
            <v>705</v>
          </cell>
          <cell r="AY21">
            <v>252</v>
          </cell>
          <cell r="AZ21">
            <v>2323</v>
          </cell>
          <cell r="BA21">
            <v>265</v>
          </cell>
          <cell r="BB21">
            <v>-4</v>
          </cell>
          <cell r="BC21">
            <v>-182</v>
          </cell>
          <cell r="BD21">
            <v>-1231</v>
          </cell>
          <cell r="BE21">
            <v>-1152</v>
          </cell>
          <cell r="BF21">
            <v>152</v>
          </cell>
          <cell r="BG21">
            <v>-159</v>
          </cell>
          <cell r="BH21">
            <v>117</v>
          </cell>
          <cell r="BI21">
            <v>-1144</v>
          </cell>
          <cell r="BJ21">
            <v>-1034</v>
          </cell>
          <cell r="BK21">
            <v>194</v>
          </cell>
          <cell r="BL21">
            <v>152</v>
          </cell>
          <cell r="BM21">
            <v>-184</v>
          </cell>
          <cell r="BN21">
            <v>-139</v>
          </cell>
          <cell r="BO21">
            <v>23</v>
          </cell>
          <cell r="BP21">
            <v>194</v>
          </cell>
          <cell r="BQ21">
            <v>-533</v>
          </cell>
          <cell r="BR21">
            <v>104</v>
          </cell>
          <cell r="BS21">
            <v>-185</v>
          </cell>
          <cell r="BT21">
            <v>-420</v>
          </cell>
          <cell r="BU21">
            <v>187</v>
          </cell>
          <cell r="BV21">
            <v>147</v>
          </cell>
          <cell r="BW21">
            <v>161</v>
          </cell>
          <cell r="BX21">
            <v>121</v>
          </cell>
          <cell r="BY21">
            <v>616</v>
          </cell>
          <cell r="BZ21">
            <v>186</v>
          </cell>
          <cell r="CA21">
            <v>158</v>
          </cell>
          <cell r="CB21">
            <v>160</v>
          </cell>
          <cell r="CC21">
            <v>189</v>
          </cell>
          <cell r="CD21">
            <v>693</v>
          </cell>
          <cell r="CE21">
            <v>270</v>
          </cell>
          <cell r="CF21">
            <v>236</v>
          </cell>
          <cell r="CG21">
            <v>230</v>
          </cell>
          <cell r="CH21">
            <v>186</v>
          </cell>
          <cell r="CI21">
            <v>922</v>
          </cell>
          <cell r="CJ21">
            <v>296</v>
          </cell>
          <cell r="CK21">
            <v>268</v>
          </cell>
          <cell r="CL21">
            <v>198</v>
          </cell>
          <cell r="CM21">
            <v>266</v>
          </cell>
          <cell r="CN21">
            <v>1028</v>
          </cell>
          <cell r="CO21">
            <v>352</v>
          </cell>
          <cell r="CP21">
            <v>265</v>
          </cell>
          <cell r="CQ21">
            <v>179</v>
          </cell>
          <cell r="CR21">
            <v>255</v>
          </cell>
          <cell r="CS21">
            <v>1051</v>
          </cell>
          <cell r="CT21">
            <v>305</v>
          </cell>
          <cell r="CU21">
            <v>284</v>
          </cell>
          <cell r="CV21">
            <v>263</v>
          </cell>
          <cell r="CW21">
            <v>330.18827972984684</v>
          </cell>
          <cell r="CX21">
            <v>1182.1882797298472</v>
          </cell>
          <cell r="CY21">
            <v>277.05861714162245</v>
          </cell>
          <cell r="CZ21">
            <v>348.21766914452633</v>
          </cell>
          <cell r="DA21">
            <v>322.44813047520393</v>
          </cell>
          <cell r="DB21">
            <v>393.211982374066</v>
          </cell>
          <cell r="DC21">
            <v>1340.9363991354194</v>
          </cell>
          <cell r="DD21">
            <v>339.07369617583618</v>
          </cell>
          <cell r="DE21">
            <v>383.40359794590529</v>
          </cell>
          <cell r="DF21">
            <v>349.34850153914067</v>
          </cell>
          <cell r="DG21">
            <v>428.04881292237064</v>
          </cell>
          <cell r="DH21">
            <v>1499.8746085832536</v>
          </cell>
          <cell r="DI21">
            <v>363.19572364713849</v>
          </cell>
          <cell r="DJ21">
            <v>394.30245386616662</v>
          </cell>
          <cell r="DK21">
            <v>363.90416572403194</v>
          </cell>
          <cell r="DL21">
            <v>450.31311460178381</v>
          </cell>
          <cell r="DM21">
            <v>1571.7154578391201</v>
          </cell>
          <cell r="DN21">
            <v>388.46288402160428</v>
          </cell>
          <cell r="DO21">
            <v>414.22435573578537</v>
          </cell>
          <cell r="DP21">
            <v>383.11274737666827</v>
          </cell>
          <cell r="DQ21">
            <v>473.41258896182808</v>
          </cell>
          <cell r="DR21">
            <v>1659.2125760958852</v>
          </cell>
        </row>
        <row r="22">
          <cell r="B22" t="str">
            <v>Depreciation and Amortization</v>
          </cell>
          <cell r="D22">
            <v>37.822000000000003</v>
          </cell>
          <cell r="E22">
            <v>37.200000000000003</v>
          </cell>
          <cell r="F22">
            <v>37.6</v>
          </cell>
          <cell r="G22">
            <v>82.377999999999986</v>
          </cell>
          <cell r="H22">
            <v>195</v>
          </cell>
          <cell r="I22">
            <v>80.2</v>
          </cell>
          <cell r="J22">
            <v>82.5</v>
          </cell>
          <cell r="K22">
            <v>77.8</v>
          </cell>
          <cell r="L22">
            <v>80.5</v>
          </cell>
          <cell r="M22">
            <v>321</v>
          </cell>
          <cell r="N22">
            <v>84.1</v>
          </cell>
          <cell r="O22">
            <v>85.5</v>
          </cell>
          <cell r="P22">
            <v>108.2</v>
          </cell>
          <cell r="Q22">
            <v>165.2</v>
          </cell>
          <cell r="R22">
            <v>443</v>
          </cell>
          <cell r="S22">
            <v>105</v>
          </cell>
          <cell r="T22">
            <v>114</v>
          </cell>
          <cell r="U22">
            <v>121</v>
          </cell>
          <cell r="V22">
            <v>120</v>
          </cell>
          <cell r="W22">
            <v>460</v>
          </cell>
          <cell r="X22">
            <v>127</v>
          </cell>
          <cell r="Y22">
            <v>134</v>
          </cell>
          <cell r="Z22">
            <v>142</v>
          </cell>
          <cell r="AA22">
            <v>153</v>
          </cell>
          <cell r="AB22">
            <v>556</v>
          </cell>
          <cell r="AC22">
            <v>134</v>
          </cell>
          <cell r="AD22">
            <v>132</v>
          </cell>
          <cell r="AE22">
            <v>133</v>
          </cell>
          <cell r="AF22">
            <v>134</v>
          </cell>
          <cell r="AG22">
            <v>533</v>
          </cell>
          <cell r="AH22">
            <v>137</v>
          </cell>
          <cell r="AI22">
            <v>136</v>
          </cell>
          <cell r="AJ22">
            <v>139</v>
          </cell>
          <cell r="AK22">
            <v>142</v>
          </cell>
          <cell r="AL22">
            <v>554</v>
          </cell>
          <cell r="AM22">
            <v>149</v>
          </cell>
          <cell r="AN22">
            <v>151</v>
          </cell>
          <cell r="AO22">
            <v>154</v>
          </cell>
          <cell r="AP22">
            <v>150</v>
          </cell>
          <cell r="AQ22">
            <v>604</v>
          </cell>
          <cell r="AR22">
            <v>128</v>
          </cell>
          <cell r="AS22">
            <v>130</v>
          </cell>
          <cell r="AT22">
            <v>132</v>
          </cell>
          <cell r="AV22">
            <v>144</v>
          </cell>
          <cell r="AW22">
            <v>133</v>
          </cell>
          <cell r="AX22">
            <v>120</v>
          </cell>
          <cell r="AY22">
            <v>121</v>
          </cell>
          <cell r="AZ22">
            <v>518</v>
          </cell>
          <cell r="BA22">
            <v>119</v>
          </cell>
          <cell r="BB22">
            <v>120</v>
          </cell>
          <cell r="BC22">
            <v>112</v>
          </cell>
          <cell r="BD22">
            <v>114</v>
          </cell>
          <cell r="BE22">
            <v>465</v>
          </cell>
          <cell r="BF22">
            <v>96</v>
          </cell>
          <cell r="BG22">
            <v>95</v>
          </cell>
          <cell r="BH22">
            <v>99</v>
          </cell>
          <cell r="BI22">
            <v>100</v>
          </cell>
          <cell r="BJ22">
            <v>390</v>
          </cell>
          <cell r="BK22">
            <v>96</v>
          </cell>
          <cell r="BL22">
            <v>92</v>
          </cell>
          <cell r="BM22">
            <v>105</v>
          </cell>
          <cell r="BN22">
            <v>89</v>
          </cell>
          <cell r="BO22">
            <v>382</v>
          </cell>
          <cell r="BP22">
            <v>90</v>
          </cell>
          <cell r="BQ22">
            <v>82</v>
          </cell>
          <cell r="BR22">
            <v>83</v>
          </cell>
          <cell r="BS22">
            <v>95</v>
          </cell>
          <cell r="BT22">
            <v>350</v>
          </cell>
          <cell r="BU22">
            <v>89</v>
          </cell>
          <cell r="BV22">
            <v>89</v>
          </cell>
          <cell r="BW22">
            <v>91</v>
          </cell>
          <cell r="BX22">
            <v>93</v>
          </cell>
          <cell r="BY22">
            <v>362</v>
          </cell>
          <cell r="BZ22">
            <v>95</v>
          </cell>
          <cell r="CA22">
            <v>95</v>
          </cell>
          <cell r="CB22">
            <v>94</v>
          </cell>
          <cell r="CC22">
            <v>96</v>
          </cell>
          <cell r="CD22">
            <v>380</v>
          </cell>
          <cell r="CE22">
            <v>97</v>
          </cell>
          <cell r="CF22">
            <v>98</v>
          </cell>
          <cell r="CG22">
            <v>97</v>
          </cell>
          <cell r="CH22">
            <v>95</v>
          </cell>
          <cell r="CI22">
            <v>387</v>
          </cell>
          <cell r="CJ22">
            <v>95</v>
          </cell>
          <cell r="CK22">
            <v>97</v>
          </cell>
          <cell r="CL22">
            <v>101</v>
          </cell>
          <cell r="CM22">
            <v>101</v>
          </cell>
          <cell r="CN22">
            <v>394</v>
          </cell>
          <cell r="CO22">
            <v>98</v>
          </cell>
          <cell r="CP22">
            <v>100</v>
          </cell>
          <cell r="CQ22">
            <v>100</v>
          </cell>
          <cell r="CR22">
            <v>100</v>
          </cell>
          <cell r="CS22">
            <v>398</v>
          </cell>
          <cell r="CT22">
            <v>100</v>
          </cell>
          <cell r="CU22">
            <v>104</v>
          </cell>
          <cell r="CV22">
            <v>110</v>
          </cell>
          <cell r="CW22">
            <v>110</v>
          </cell>
          <cell r="CX22">
            <v>424</v>
          </cell>
          <cell r="CY22">
            <v>107.9875</v>
          </cell>
          <cell r="CZ22">
            <v>107.9875</v>
          </cell>
          <cell r="DA22">
            <v>107.9875</v>
          </cell>
          <cell r="DB22">
            <v>107.9875</v>
          </cell>
          <cell r="DC22">
            <v>431.95</v>
          </cell>
          <cell r="DD22">
            <v>109.15062499999999</v>
          </cell>
          <cell r="DE22">
            <v>109.15062499999999</v>
          </cell>
          <cell r="DF22">
            <v>109.15062499999999</v>
          </cell>
          <cell r="DG22">
            <v>109.15062499999999</v>
          </cell>
          <cell r="DH22">
            <v>436.60249999999996</v>
          </cell>
          <cell r="DI22">
            <v>110.19309374999999</v>
          </cell>
          <cell r="DJ22">
            <v>110.19309374999999</v>
          </cell>
          <cell r="DK22">
            <v>110.19309374999999</v>
          </cell>
          <cell r="DL22">
            <v>110.19309374999999</v>
          </cell>
          <cell r="DM22">
            <v>440.77237499999995</v>
          </cell>
          <cell r="DN22">
            <v>111.18343906249999</v>
          </cell>
          <cell r="DO22">
            <v>111.18343906249999</v>
          </cell>
          <cell r="DP22">
            <v>111.18343906249999</v>
          </cell>
          <cell r="DQ22">
            <v>111.18343906249999</v>
          </cell>
          <cell r="DR22">
            <v>444.73375624999994</v>
          </cell>
          <cell r="DT22" t="str">
            <v>mstag:depreciationInIncomeStatement</v>
          </cell>
          <cell r="DU22">
            <v>6</v>
          </cell>
          <cell r="DV22" t="str">
            <v>ISO4217:USD</v>
          </cell>
          <cell r="DW22" t="b">
            <v>0</v>
          </cell>
        </row>
        <row r="23">
          <cell r="B23" t="str">
            <v>Operating income</v>
          </cell>
          <cell r="D23">
            <v>84.868000000000009</v>
          </cell>
          <cell r="E23">
            <v>84.799999999999969</v>
          </cell>
          <cell r="F23">
            <v>88.69999999999996</v>
          </cell>
          <cell r="G23">
            <v>132.63200000000001</v>
          </cell>
          <cell r="H23">
            <v>391</v>
          </cell>
          <cell r="I23">
            <v>173.90000000000003</v>
          </cell>
          <cell r="J23">
            <v>191.3</v>
          </cell>
          <cell r="K23">
            <v>201.80000000000013</v>
          </cell>
          <cell r="L23">
            <v>124.99999999999977</v>
          </cell>
          <cell r="M23">
            <v>692</v>
          </cell>
          <cell r="N23">
            <v>198.59999999999988</v>
          </cell>
          <cell r="O23">
            <v>206.19999999999987</v>
          </cell>
          <cell r="P23">
            <v>31.200000000000088</v>
          </cell>
          <cell r="Q23">
            <v>-22.000000000000682</v>
          </cell>
          <cell r="R23">
            <v>414</v>
          </cell>
          <cell r="S23">
            <v>305</v>
          </cell>
          <cell r="T23">
            <v>330</v>
          </cell>
          <cell r="U23">
            <v>357</v>
          </cell>
          <cell r="V23">
            <v>136</v>
          </cell>
          <cell r="W23">
            <v>1128</v>
          </cell>
          <cell r="X23">
            <v>338</v>
          </cell>
          <cell r="Y23">
            <v>317</v>
          </cell>
          <cell r="Z23">
            <v>316</v>
          </cell>
          <cell r="AA23">
            <v>-32</v>
          </cell>
          <cell r="AB23">
            <v>939</v>
          </cell>
          <cell r="AC23">
            <v>323</v>
          </cell>
          <cell r="AD23">
            <v>337</v>
          </cell>
          <cell r="AE23">
            <v>135</v>
          </cell>
          <cell r="AF23">
            <v>252</v>
          </cell>
          <cell r="AG23">
            <v>1047</v>
          </cell>
          <cell r="AH23">
            <v>380</v>
          </cell>
          <cell r="AI23">
            <v>401</v>
          </cell>
          <cell r="AJ23">
            <v>439</v>
          </cell>
          <cell r="AK23">
            <v>327</v>
          </cell>
          <cell r="AL23">
            <v>1547</v>
          </cell>
          <cell r="AM23">
            <v>477</v>
          </cell>
          <cell r="AN23">
            <v>428</v>
          </cell>
          <cell r="AO23">
            <v>567</v>
          </cell>
          <cell r="AP23">
            <v>622</v>
          </cell>
          <cell r="AQ23">
            <v>2094</v>
          </cell>
          <cell r="AR23">
            <v>628</v>
          </cell>
          <cell r="AS23">
            <v>581</v>
          </cell>
          <cell r="AT23">
            <v>-19</v>
          </cell>
          <cell r="AV23">
            <v>530</v>
          </cell>
          <cell r="AW23">
            <v>559</v>
          </cell>
          <cell r="AX23">
            <v>585</v>
          </cell>
          <cell r="AY23">
            <v>131</v>
          </cell>
          <cell r="AZ23">
            <v>1805</v>
          </cell>
          <cell r="BA23">
            <v>146</v>
          </cell>
          <cell r="BB23">
            <v>-124</v>
          </cell>
          <cell r="BC23">
            <v>-294</v>
          </cell>
          <cell r="BD23">
            <v>-1345</v>
          </cell>
          <cell r="BE23">
            <v>-1617</v>
          </cell>
          <cell r="BF23">
            <v>56</v>
          </cell>
          <cell r="BG23">
            <v>-254</v>
          </cell>
          <cell r="BH23">
            <v>18</v>
          </cell>
          <cell r="BI23">
            <v>-1244</v>
          </cell>
          <cell r="BJ23">
            <v>-1424</v>
          </cell>
          <cell r="BK23">
            <v>98</v>
          </cell>
          <cell r="BL23">
            <v>60</v>
          </cell>
          <cell r="BM23">
            <v>-289</v>
          </cell>
          <cell r="BN23">
            <v>-228</v>
          </cell>
          <cell r="BO23">
            <v>-359</v>
          </cell>
          <cell r="BP23">
            <v>104</v>
          </cell>
          <cell r="BQ23">
            <v>-615</v>
          </cell>
          <cell r="BR23">
            <v>21</v>
          </cell>
          <cell r="BS23">
            <v>-280</v>
          </cell>
          <cell r="BT23">
            <v>-770</v>
          </cell>
          <cell r="BU23">
            <v>98</v>
          </cell>
          <cell r="BV23">
            <v>58</v>
          </cell>
          <cell r="BW23">
            <v>70</v>
          </cell>
          <cell r="BX23">
            <v>28</v>
          </cell>
          <cell r="BY23">
            <v>254</v>
          </cell>
          <cell r="BZ23">
            <v>91</v>
          </cell>
          <cell r="CA23">
            <v>63</v>
          </cell>
          <cell r="CB23">
            <v>66</v>
          </cell>
          <cell r="CC23">
            <v>93</v>
          </cell>
          <cell r="CD23">
            <v>313</v>
          </cell>
          <cell r="CE23">
            <v>173</v>
          </cell>
          <cell r="CF23">
            <v>138</v>
          </cell>
          <cell r="CG23">
            <v>133</v>
          </cell>
          <cell r="CH23">
            <v>91</v>
          </cell>
          <cell r="CI23">
            <v>535</v>
          </cell>
          <cell r="CJ23">
            <v>201</v>
          </cell>
          <cell r="CK23">
            <v>171</v>
          </cell>
          <cell r="CL23">
            <v>97</v>
          </cell>
          <cell r="CM23">
            <v>165</v>
          </cell>
          <cell r="CN23">
            <v>634</v>
          </cell>
          <cell r="CO23">
            <v>254</v>
          </cell>
          <cell r="CP23">
            <v>165</v>
          </cell>
          <cell r="CQ23">
            <v>79</v>
          </cell>
          <cell r="CR23">
            <v>155</v>
          </cell>
          <cell r="CS23">
            <v>653</v>
          </cell>
          <cell r="CT23">
            <v>205</v>
          </cell>
          <cell r="CU23">
            <v>180</v>
          </cell>
          <cell r="CV23">
            <v>153</v>
          </cell>
          <cell r="CW23">
            <v>220.18827972984684</v>
          </cell>
          <cell r="CX23">
            <v>758.18827972984718</v>
          </cell>
          <cell r="CY23">
            <v>169.07111714162244</v>
          </cell>
          <cell r="CZ23">
            <v>240.23016914452631</v>
          </cell>
          <cell r="DA23">
            <v>214.46063047520391</v>
          </cell>
          <cell r="DB23">
            <v>285.22448237406599</v>
          </cell>
          <cell r="DC23">
            <v>908.98639913541933</v>
          </cell>
          <cell r="DD23">
            <v>229.92307117583618</v>
          </cell>
          <cell r="DE23">
            <v>274.2529729459053</v>
          </cell>
          <cell r="DF23">
            <v>240.19787653914068</v>
          </cell>
          <cell r="DG23">
            <v>318.89818792237065</v>
          </cell>
          <cell r="DH23">
            <v>1063.2721085832536</v>
          </cell>
          <cell r="DI23">
            <v>253.00262989713849</v>
          </cell>
          <cell r="DJ23">
            <v>284.10936011616661</v>
          </cell>
          <cell r="DK23">
            <v>253.71107197403194</v>
          </cell>
          <cell r="DL23">
            <v>340.12002085178381</v>
          </cell>
          <cell r="DM23">
            <v>1130.9430828391201</v>
          </cell>
          <cell r="DN23">
            <v>277.2794449591043</v>
          </cell>
          <cell r="DO23">
            <v>303.04091667328538</v>
          </cell>
          <cell r="DP23">
            <v>271.92930831416828</v>
          </cell>
          <cell r="DQ23">
            <v>362.22914989932809</v>
          </cell>
          <cell r="DR23">
            <v>1214.4788198458853</v>
          </cell>
        </row>
        <row r="24">
          <cell r="B24" t="str">
            <v>Interest expense</v>
          </cell>
          <cell r="D24">
            <v>17.66</v>
          </cell>
          <cell r="E24">
            <v>17.3</v>
          </cell>
          <cell r="F24">
            <v>17.899999999999999</v>
          </cell>
          <cell r="G24">
            <v>85.14</v>
          </cell>
          <cell r="H24">
            <v>138</v>
          </cell>
          <cell r="I24">
            <v>77.099999999999994</v>
          </cell>
          <cell r="J24">
            <v>81.3</v>
          </cell>
          <cell r="K24">
            <v>79.5</v>
          </cell>
          <cell r="L24">
            <v>74.100000000000023</v>
          </cell>
          <cell r="M24">
            <v>312</v>
          </cell>
          <cell r="N24">
            <v>71</v>
          </cell>
          <cell r="O24">
            <v>70.099999999999994</v>
          </cell>
          <cell r="P24">
            <v>106</v>
          </cell>
          <cell r="Q24">
            <v>169.9</v>
          </cell>
          <cell r="R24">
            <v>417</v>
          </cell>
          <cell r="S24">
            <v>112</v>
          </cell>
          <cell r="T24">
            <v>118</v>
          </cell>
          <cell r="U24">
            <v>114</v>
          </cell>
          <cell r="V24">
            <v>120</v>
          </cell>
          <cell r="W24">
            <v>464</v>
          </cell>
          <cell r="X24">
            <v>119</v>
          </cell>
          <cell r="Y24">
            <v>119</v>
          </cell>
          <cell r="Z24">
            <v>122</v>
          </cell>
          <cell r="AA24">
            <v>125</v>
          </cell>
          <cell r="AB24">
            <v>485</v>
          </cell>
          <cell r="AC24">
            <v>124</v>
          </cell>
          <cell r="AD24">
            <v>120</v>
          </cell>
          <cell r="AE24">
            <v>117</v>
          </cell>
          <cell r="AF24">
            <v>118</v>
          </cell>
          <cell r="AG24">
            <v>479</v>
          </cell>
          <cell r="AH24">
            <v>123</v>
          </cell>
          <cell r="AI24">
            <v>118</v>
          </cell>
          <cell r="AJ24">
            <v>113</v>
          </cell>
          <cell r="AK24">
            <v>102</v>
          </cell>
          <cell r="AL24">
            <v>456</v>
          </cell>
          <cell r="AM24">
            <v>97</v>
          </cell>
          <cell r="AN24">
            <v>86</v>
          </cell>
          <cell r="AO24">
            <v>75</v>
          </cell>
          <cell r="AP24">
            <v>69</v>
          </cell>
          <cell r="AQ24">
            <v>327</v>
          </cell>
          <cell r="AR24">
            <v>64</v>
          </cell>
          <cell r="AS24">
            <v>62</v>
          </cell>
          <cell r="AT24">
            <v>67</v>
          </cell>
          <cell r="AV24">
            <v>73</v>
          </cell>
          <cell r="AW24">
            <v>68</v>
          </cell>
          <cell r="AX24">
            <v>62</v>
          </cell>
          <cell r="AY24">
            <v>62</v>
          </cell>
          <cell r="AZ24">
            <v>265</v>
          </cell>
          <cell r="BA24">
            <v>73</v>
          </cell>
          <cell r="BB24">
            <v>73</v>
          </cell>
          <cell r="BC24">
            <v>74</v>
          </cell>
          <cell r="BD24">
            <v>76</v>
          </cell>
          <cell r="BE24">
            <v>296</v>
          </cell>
          <cell r="BF24">
            <v>77</v>
          </cell>
          <cell r="BG24">
            <v>73</v>
          </cell>
          <cell r="BH24">
            <v>91</v>
          </cell>
          <cell r="BI24">
            <v>91</v>
          </cell>
          <cell r="BJ24">
            <v>332</v>
          </cell>
          <cell r="BK24">
            <v>101</v>
          </cell>
          <cell r="BL24">
            <v>102</v>
          </cell>
          <cell r="BM24">
            <v>102</v>
          </cell>
          <cell r="BN24">
            <v>100</v>
          </cell>
          <cell r="BO24">
            <v>405</v>
          </cell>
          <cell r="BP24">
            <v>102</v>
          </cell>
          <cell r="BQ24">
            <v>101</v>
          </cell>
          <cell r="BR24">
            <v>104</v>
          </cell>
          <cell r="BS24">
            <v>102</v>
          </cell>
          <cell r="BT24">
            <v>409</v>
          </cell>
          <cell r="BU24">
            <v>106</v>
          </cell>
          <cell r="BV24">
            <v>105</v>
          </cell>
          <cell r="BW24">
            <v>105</v>
          </cell>
          <cell r="BX24">
            <v>104</v>
          </cell>
          <cell r="BY24">
            <v>420</v>
          </cell>
          <cell r="BZ24">
            <v>104</v>
          </cell>
          <cell r="CA24">
            <v>102</v>
          </cell>
          <cell r="CB24">
            <v>106</v>
          </cell>
          <cell r="CC24">
            <v>106</v>
          </cell>
          <cell r="CD24">
            <v>418</v>
          </cell>
          <cell r="CE24">
            <v>110</v>
          </cell>
          <cell r="CF24">
            <v>120</v>
          </cell>
          <cell r="CG24">
            <v>112</v>
          </cell>
          <cell r="CH24">
            <v>103</v>
          </cell>
          <cell r="CI24">
            <v>445</v>
          </cell>
          <cell r="CJ24">
            <v>109</v>
          </cell>
          <cell r="CK24">
            <v>107</v>
          </cell>
          <cell r="CL24">
            <v>107</v>
          </cell>
          <cell r="CM24">
            <v>101</v>
          </cell>
          <cell r="CN24">
            <v>424</v>
          </cell>
          <cell r="CO24">
            <v>118</v>
          </cell>
          <cell r="CP24">
            <v>98</v>
          </cell>
          <cell r="CQ24">
            <v>59</v>
          </cell>
          <cell r="CR24">
            <v>100</v>
          </cell>
          <cell r="CS24">
            <v>375</v>
          </cell>
          <cell r="CT24">
            <v>98</v>
          </cell>
          <cell r="CU24">
            <v>102</v>
          </cell>
          <cell r="CV24">
            <v>103</v>
          </cell>
          <cell r="CW24">
            <v>108.78411421874999</v>
          </cell>
          <cell r="CX24">
            <v>411.78411421875001</v>
          </cell>
          <cell r="CY24">
            <v>110.80182218750001</v>
          </cell>
          <cell r="CZ24">
            <v>110.29286421875</v>
          </cell>
          <cell r="DA24">
            <v>109.78390625</v>
          </cell>
          <cell r="DB24">
            <v>109.78390625</v>
          </cell>
          <cell r="DC24">
            <v>440.66249890624999</v>
          </cell>
          <cell r="DD24">
            <v>109.78390625</v>
          </cell>
          <cell r="DE24">
            <v>109.78390625</v>
          </cell>
          <cell r="DF24">
            <v>109.78390625</v>
          </cell>
          <cell r="DG24">
            <v>109.35265625000001</v>
          </cell>
          <cell r="DH24">
            <v>438.70437500000003</v>
          </cell>
          <cell r="DI24">
            <v>109.35265625000001</v>
          </cell>
          <cell r="DJ24">
            <v>109.35265625000001</v>
          </cell>
          <cell r="DK24">
            <v>109.35265625000001</v>
          </cell>
          <cell r="DL24">
            <v>106.68640624999999</v>
          </cell>
          <cell r="DM24">
            <v>434.74437500000005</v>
          </cell>
          <cell r="DN24">
            <v>106.68640624999999</v>
          </cell>
          <cell r="DO24">
            <v>106.68640624999999</v>
          </cell>
          <cell r="DP24">
            <v>106.68640624999999</v>
          </cell>
          <cell r="DQ24">
            <v>106.68640624999999</v>
          </cell>
          <cell r="DR24">
            <v>426.74562499999996</v>
          </cell>
          <cell r="DT24" t="str">
            <v>mstag:interestExpense</v>
          </cell>
          <cell r="DU24">
            <v>6</v>
          </cell>
          <cell r="DV24" t="str">
            <v>ISO4217:USD</v>
          </cell>
          <cell r="DW24" t="b">
            <v>0</v>
          </cell>
        </row>
        <row r="25">
          <cell r="B25" t="str">
            <v>Investment earnings</v>
          </cell>
          <cell r="D25">
            <v>5.9790000000000001</v>
          </cell>
          <cell r="E25">
            <v>4.4000000000000004</v>
          </cell>
          <cell r="F25">
            <v>5.2</v>
          </cell>
          <cell r="G25">
            <v>11.420999999999999</v>
          </cell>
          <cell r="H25">
            <v>27</v>
          </cell>
          <cell r="I25">
            <v>7.3</v>
          </cell>
          <cell r="J25">
            <v>5.4</v>
          </cell>
          <cell r="K25">
            <v>5.3</v>
          </cell>
          <cell r="L25">
            <v>4</v>
          </cell>
          <cell r="M25">
            <v>22</v>
          </cell>
          <cell r="N25">
            <v>4.8</v>
          </cell>
          <cell r="O25">
            <v>5.5</v>
          </cell>
          <cell r="P25">
            <v>6.9</v>
          </cell>
          <cell r="Q25">
            <v>8.7999999999999972</v>
          </cell>
          <cell r="R25">
            <v>26</v>
          </cell>
          <cell r="S25">
            <v>6</v>
          </cell>
          <cell r="T25">
            <v>6</v>
          </cell>
          <cell r="U25">
            <v>5</v>
          </cell>
          <cell r="V25">
            <v>5</v>
          </cell>
          <cell r="W25">
            <v>22</v>
          </cell>
          <cell r="X25">
            <v>7</v>
          </cell>
          <cell r="Y25">
            <v>6</v>
          </cell>
          <cell r="Z25">
            <v>8</v>
          </cell>
          <cell r="AA25">
            <v>6</v>
          </cell>
          <cell r="AB25">
            <v>27</v>
          </cell>
          <cell r="AC25">
            <v>5</v>
          </cell>
          <cell r="AD25">
            <v>6</v>
          </cell>
          <cell r="AE25">
            <v>5</v>
          </cell>
          <cell r="AF25">
            <v>6</v>
          </cell>
          <cell r="AG25">
            <v>22</v>
          </cell>
          <cell r="AH25">
            <v>6</v>
          </cell>
          <cell r="AI25">
            <v>13</v>
          </cell>
          <cell r="AJ25">
            <v>9</v>
          </cell>
          <cell r="AK25">
            <v>9</v>
          </cell>
          <cell r="AL25">
            <v>37</v>
          </cell>
          <cell r="AM25">
            <v>9</v>
          </cell>
          <cell r="AN25">
            <v>10</v>
          </cell>
          <cell r="AO25">
            <v>7</v>
          </cell>
          <cell r="AP25">
            <v>6</v>
          </cell>
          <cell r="AQ25">
            <v>32</v>
          </cell>
          <cell r="AR25">
            <v>7</v>
          </cell>
          <cell r="AS25">
            <v>6</v>
          </cell>
          <cell r="AT25">
            <v>5</v>
          </cell>
          <cell r="AV25">
            <v>9</v>
          </cell>
          <cell r="AW25">
            <v>7</v>
          </cell>
          <cell r="AX25">
            <v>7</v>
          </cell>
          <cell r="AY25">
            <v>3</v>
          </cell>
          <cell r="AZ25">
            <v>26</v>
          </cell>
          <cell r="BA25">
            <v>6</v>
          </cell>
          <cell r="BB25">
            <v>4</v>
          </cell>
          <cell r="BC25">
            <v>3</v>
          </cell>
          <cell r="BD25">
            <v>5</v>
          </cell>
          <cell r="BE25">
            <v>18</v>
          </cell>
          <cell r="BF25">
            <v>3</v>
          </cell>
          <cell r="BG25">
            <v>3</v>
          </cell>
          <cell r="BH25">
            <v>6</v>
          </cell>
          <cell r="BI25">
            <v>7</v>
          </cell>
          <cell r="BJ25">
            <v>19</v>
          </cell>
          <cell r="BK25">
            <v>9</v>
          </cell>
          <cell r="BL25">
            <v>15</v>
          </cell>
          <cell r="BM25">
            <v>17</v>
          </cell>
          <cell r="BN25">
            <v>18</v>
          </cell>
          <cell r="BO25">
            <v>59</v>
          </cell>
          <cell r="BP25">
            <v>17</v>
          </cell>
          <cell r="BQ25">
            <v>17</v>
          </cell>
          <cell r="BR25">
            <v>15</v>
          </cell>
          <cell r="BS25">
            <v>13</v>
          </cell>
          <cell r="BT25">
            <v>62</v>
          </cell>
          <cell r="BU25">
            <v>11</v>
          </cell>
          <cell r="BV25">
            <v>15</v>
          </cell>
          <cell r="BW25">
            <v>10</v>
          </cell>
          <cell r="BX25">
            <v>11</v>
          </cell>
          <cell r="BY25">
            <v>47</v>
          </cell>
          <cell r="BZ25">
            <v>5</v>
          </cell>
          <cell r="CA25">
            <v>4</v>
          </cell>
          <cell r="CB25">
            <v>12</v>
          </cell>
          <cell r="CC25">
            <v>1</v>
          </cell>
          <cell r="CD25">
            <v>22</v>
          </cell>
          <cell r="CE25">
            <v>2</v>
          </cell>
          <cell r="CF25">
            <v>-5</v>
          </cell>
          <cell r="CG25">
            <v>2</v>
          </cell>
          <cell r="CH25">
            <v>1</v>
          </cell>
          <cell r="CI25">
            <v>0</v>
          </cell>
          <cell r="CJ25">
            <v>1</v>
          </cell>
          <cell r="CK25">
            <v>1</v>
          </cell>
          <cell r="CL25">
            <v>3</v>
          </cell>
          <cell r="CM25">
            <v>0</v>
          </cell>
          <cell r="CN25">
            <v>5</v>
          </cell>
          <cell r="CO25">
            <v>1</v>
          </cell>
          <cell r="CP25">
            <v>1</v>
          </cell>
          <cell r="CQ25">
            <v>1</v>
          </cell>
          <cell r="CR25">
            <v>0</v>
          </cell>
          <cell r="CS25">
            <v>3</v>
          </cell>
          <cell r="CT25">
            <v>1</v>
          </cell>
          <cell r="CU25">
            <v>0</v>
          </cell>
          <cell r="CV25">
            <v>1</v>
          </cell>
          <cell r="CW25">
            <v>0.54988893091562829</v>
          </cell>
          <cell r="CX25">
            <v>2.5498889309156283</v>
          </cell>
          <cell r="CY25">
            <v>0.98744661160324698</v>
          </cell>
          <cell r="CZ25">
            <v>0.97020559440748155</v>
          </cell>
          <cell r="DA25">
            <v>1.0053230506187567</v>
          </cell>
          <cell r="DB25">
            <v>1.0774501658277169</v>
          </cell>
          <cell r="DC25">
            <v>4.0404254224572016</v>
          </cell>
          <cell r="DD25">
            <v>1.1569858630674654</v>
          </cell>
          <cell r="DE25">
            <v>1.2568677160537514</v>
          </cell>
          <cell r="DF25">
            <v>1.3618499804346105</v>
          </cell>
          <cell r="DG25">
            <v>1.4601939474292129</v>
          </cell>
          <cell r="DH25">
            <v>5.2358975069850402</v>
          </cell>
          <cell r="DI25">
            <v>1.5492920915343529</v>
          </cell>
          <cell r="DJ25">
            <v>1.6574860401589717</v>
          </cell>
          <cell r="DK25">
            <v>1.7808645954355351</v>
          </cell>
          <cell r="DL25">
            <v>1.8916488004663545</v>
          </cell>
          <cell r="DM25">
            <v>6.879291527595214</v>
          </cell>
          <cell r="DN25">
            <v>2.0001465422907727</v>
          </cell>
          <cell r="DO25">
            <v>2.1263125199121378</v>
          </cell>
          <cell r="DP25">
            <v>2.2639497013725283</v>
          </cell>
          <cell r="DQ25">
            <v>2.3920083491259825</v>
          </cell>
          <cell r="DR25">
            <v>8.7824171127014203</v>
          </cell>
          <cell r="DT25" t="str">
            <v>mstag:otherInterestIncomeExpense</v>
          </cell>
          <cell r="DU25">
            <v>6</v>
          </cell>
          <cell r="DV25" t="str">
            <v>ISO4217:USD</v>
          </cell>
          <cell r="DW25" t="b">
            <v>0</v>
          </cell>
        </row>
        <row r="26">
          <cell r="B26" t="str">
            <v>Net gain (loss) on investment sales</v>
          </cell>
          <cell r="D26">
            <v>-2.5</v>
          </cell>
          <cell r="E26">
            <v>0</v>
          </cell>
          <cell r="F26">
            <v>0</v>
          </cell>
          <cell r="G26">
            <v>0.5</v>
          </cell>
          <cell r="H26">
            <v>-2</v>
          </cell>
          <cell r="I26">
            <v>123.5</v>
          </cell>
          <cell r="J26">
            <v>171.1</v>
          </cell>
          <cell r="K26">
            <v>0</v>
          </cell>
          <cell r="L26">
            <v>34.399999999999977</v>
          </cell>
          <cell r="M26">
            <v>329</v>
          </cell>
          <cell r="N26">
            <v>0</v>
          </cell>
          <cell r="O26">
            <v>0</v>
          </cell>
          <cell r="P26">
            <v>0</v>
          </cell>
          <cell r="Q26">
            <v>-18</v>
          </cell>
          <cell r="R26">
            <v>-18</v>
          </cell>
          <cell r="S26">
            <v>0</v>
          </cell>
          <cell r="T26">
            <v>0</v>
          </cell>
          <cell r="U26">
            <v>0</v>
          </cell>
          <cell r="V26">
            <v>-17</v>
          </cell>
          <cell r="W26">
            <v>-17</v>
          </cell>
          <cell r="X26">
            <v>0</v>
          </cell>
          <cell r="Y26">
            <v>0</v>
          </cell>
          <cell r="Z26">
            <v>0</v>
          </cell>
          <cell r="AA26">
            <v>0</v>
          </cell>
          <cell r="AB26">
            <v>0</v>
          </cell>
          <cell r="AC26">
            <v>10</v>
          </cell>
          <cell r="AD26">
            <v>58</v>
          </cell>
          <cell r="AE26">
            <v>51</v>
          </cell>
          <cell r="AF26">
            <v>-70</v>
          </cell>
          <cell r="AG26">
            <v>49</v>
          </cell>
          <cell r="AH26">
            <v>0</v>
          </cell>
          <cell r="AI26">
            <v>0</v>
          </cell>
          <cell r="AJ26">
            <v>0</v>
          </cell>
          <cell r="AK26">
            <v>28</v>
          </cell>
          <cell r="AL26">
            <v>28</v>
          </cell>
          <cell r="AM26">
            <v>0</v>
          </cell>
          <cell r="AN26">
            <v>0</v>
          </cell>
          <cell r="AO26">
            <v>0</v>
          </cell>
          <cell r="AP26">
            <v>0</v>
          </cell>
          <cell r="AQ26">
            <v>0</v>
          </cell>
          <cell r="AR26">
            <v>0</v>
          </cell>
          <cell r="AS26">
            <v>0</v>
          </cell>
          <cell r="AT26">
            <v>0</v>
          </cell>
          <cell r="AV26">
            <v>0</v>
          </cell>
          <cell r="AW26">
            <v>0</v>
          </cell>
          <cell r="AX26">
            <v>0</v>
          </cell>
          <cell r="AY26">
            <v>-64</v>
          </cell>
          <cell r="AZ26">
            <v>-64</v>
          </cell>
          <cell r="BA26">
            <v>0</v>
          </cell>
          <cell r="BB26">
            <v>4</v>
          </cell>
          <cell r="BC26">
            <v>0</v>
          </cell>
          <cell r="BD26">
            <v>7</v>
          </cell>
          <cell r="BE26">
            <v>11</v>
          </cell>
          <cell r="BF26">
            <v>0</v>
          </cell>
          <cell r="BG26">
            <v>6</v>
          </cell>
          <cell r="BH26">
            <v>0</v>
          </cell>
          <cell r="BI26">
            <v>4</v>
          </cell>
          <cell r="BJ26">
            <v>10</v>
          </cell>
          <cell r="BK26">
            <v>0</v>
          </cell>
          <cell r="BL26">
            <v>0</v>
          </cell>
          <cell r="BM26">
            <v>0</v>
          </cell>
          <cell r="BN26">
            <v>4</v>
          </cell>
          <cell r="BO26">
            <v>4</v>
          </cell>
          <cell r="BP26">
            <v>2</v>
          </cell>
          <cell r="BQ26">
            <v>0</v>
          </cell>
          <cell r="BR26">
            <v>0</v>
          </cell>
          <cell r="BS26">
            <v>3</v>
          </cell>
          <cell r="BT26">
            <v>5</v>
          </cell>
          <cell r="BU26">
            <v>0</v>
          </cell>
          <cell r="BV26">
            <v>0</v>
          </cell>
          <cell r="BW26">
            <v>0</v>
          </cell>
          <cell r="BX26">
            <v>0</v>
          </cell>
          <cell r="BY26">
            <v>0</v>
          </cell>
          <cell r="BZ26">
            <v>0</v>
          </cell>
          <cell r="CA26">
            <v>0</v>
          </cell>
          <cell r="CB26">
            <v>140</v>
          </cell>
          <cell r="CC26">
            <v>-1</v>
          </cell>
          <cell r="CD26">
            <v>139</v>
          </cell>
          <cell r="CE26">
            <v>0</v>
          </cell>
          <cell r="CF26">
            <v>15</v>
          </cell>
          <cell r="CG26">
            <v>0</v>
          </cell>
          <cell r="CH26">
            <v>0</v>
          </cell>
          <cell r="CI26">
            <v>15</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T26" t="str">
            <v>mstag:gainsLossesFromDivestituresOfEquityMethodInvestmentsOperatingOneTimegrossOfTax</v>
          </cell>
          <cell r="DU26">
            <v>6</v>
          </cell>
          <cell r="DV26" t="str">
            <v>ISO4217:USD</v>
          </cell>
          <cell r="DW26" t="b">
            <v>0</v>
          </cell>
        </row>
        <row r="27">
          <cell r="B27" t="str">
            <v>(Loss) from early extinguishment of debt</v>
          </cell>
          <cell r="D27">
            <v>0</v>
          </cell>
          <cell r="E27">
            <v>0</v>
          </cell>
          <cell r="F27">
            <v>0</v>
          </cell>
          <cell r="G27">
            <v>-32.1</v>
          </cell>
          <cell r="H27">
            <v>-32.1</v>
          </cell>
          <cell r="I27">
            <v>0</v>
          </cell>
          <cell r="J27">
            <v>0</v>
          </cell>
          <cell r="K27">
            <v>0</v>
          </cell>
          <cell r="L27">
            <v>-36</v>
          </cell>
          <cell r="M27">
            <v>-36</v>
          </cell>
          <cell r="N27">
            <v>0</v>
          </cell>
          <cell r="O27">
            <v>0</v>
          </cell>
          <cell r="P27">
            <v>-76.5</v>
          </cell>
          <cell r="Q27">
            <v>0.5</v>
          </cell>
          <cell r="R27">
            <v>-76</v>
          </cell>
          <cell r="S27">
            <v>0</v>
          </cell>
          <cell r="T27">
            <v>0</v>
          </cell>
          <cell r="U27">
            <v>0</v>
          </cell>
          <cell r="V27">
            <v>-189</v>
          </cell>
          <cell r="W27">
            <v>-189</v>
          </cell>
          <cell r="X27">
            <v>0</v>
          </cell>
          <cell r="Y27">
            <v>0</v>
          </cell>
          <cell r="Z27">
            <v>0</v>
          </cell>
          <cell r="AA27">
            <v>0</v>
          </cell>
          <cell r="AB27">
            <v>0</v>
          </cell>
          <cell r="AC27">
            <v>0</v>
          </cell>
          <cell r="AD27">
            <v>0</v>
          </cell>
          <cell r="AE27">
            <v>0</v>
          </cell>
          <cell r="AF27">
            <v>0</v>
          </cell>
          <cell r="AG27">
            <v>0</v>
          </cell>
          <cell r="AH27">
            <v>0</v>
          </cell>
          <cell r="AI27">
            <v>0</v>
          </cell>
          <cell r="AJ27">
            <v>0</v>
          </cell>
          <cell r="AK27">
            <v>-56</v>
          </cell>
          <cell r="AL27">
            <v>-56</v>
          </cell>
          <cell r="AM27">
            <v>-110</v>
          </cell>
          <cell r="AN27">
            <v>-165</v>
          </cell>
          <cell r="AO27">
            <v>-12</v>
          </cell>
          <cell r="AP27">
            <v>-96</v>
          </cell>
          <cell r="AQ27">
            <v>-383</v>
          </cell>
          <cell r="AR27">
            <v>-4</v>
          </cell>
          <cell r="AS27">
            <v>0</v>
          </cell>
          <cell r="AT27">
            <v>0</v>
          </cell>
          <cell r="AV27">
            <v>-6</v>
          </cell>
          <cell r="AW27">
            <v>-96</v>
          </cell>
          <cell r="AX27">
            <v>-3</v>
          </cell>
          <cell r="AY27">
            <v>0</v>
          </cell>
          <cell r="AZ27">
            <v>-105</v>
          </cell>
          <cell r="BA27">
            <v>0</v>
          </cell>
          <cell r="BB27">
            <v>0</v>
          </cell>
          <cell r="BC27">
            <v>0</v>
          </cell>
          <cell r="BD27">
            <v>0</v>
          </cell>
          <cell r="BE27">
            <v>0</v>
          </cell>
          <cell r="BF27">
            <v>0</v>
          </cell>
          <cell r="BG27">
            <v>-5</v>
          </cell>
          <cell r="BH27">
            <v>0</v>
          </cell>
          <cell r="BI27">
            <v>-8</v>
          </cell>
          <cell r="BJ27">
            <v>-13</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134</v>
          </cell>
          <cell r="CF27">
            <v>-21</v>
          </cell>
          <cell r="CG27">
            <v>-16</v>
          </cell>
          <cell r="CH27">
            <v>0</v>
          </cell>
          <cell r="CI27">
            <v>97</v>
          </cell>
          <cell r="CJ27">
            <v>0</v>
          </cell>
          <cell r="CK27">
            <v>0</v>
          </cell>
          <cell r="CL27">
            <v>-55</v>
          </cell>
          <cell r="CM27">
            <v>-2</v>
          </cell>
          <cell r="CN27">
            <v>-57</v>
          </cell>
          <cell r="CO27">
            <v>0</v>
          </cell>
          <cell r="CP27">
            <v>0</v>
          </cell>
          <cell r="CQ27">
            <v>0</v>
          </cell>
          <cell r="CR27">
            <v>-117</v>
          </cell>
          <cell r="CS27">
            <v>-117</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T27" t="str">
            <v>mstag:gainLossOnRedemptionAndExtinguishmentOfDebt</v>
          </cell>
          <cell r="DU27">
            <v>6</v>
          </cell>
          <cell r="DV27" t="str">
            <v>ISO4217:USD</v>
          </cell>
          <cell r="DW27" t="b">
            <v>0</v>
          </cell>
        </row>
        <row r="28">
          <cell r="B28" t="str">
            <v>Others</v>
          </cell>
          <cell r="D28">
            <v>38.329000000000001</v>
          </cell>
          <cell r="E28">
            <v>6.1</v>
          </cell>
          <cell r="F28">
            <v>6.1</v>
          </cell>
          <cell r="G28">
            <v>9.4709999999999965</v>
          </cell>
          <cell r="H28">
            <v>60</v>
          </cell>
          <cell r="I28">
            <v>6.9</v>
          </cell>
          <cell r="J28">
            <v>24.4</v>
          </cell>
          <cell r="K28">
            <v>2.9</v>
          </cell>
          <cell r="L28">
            <v>2.8000000000000043</v>
          </cell>
          <cell r="M28">
            <v>37</v>
          </cell>
          <cell r="N28">
            <v>0.6</v>
          </cell>
          <cell r="O28">
            <v>0.7</v>
          </cell>
          <cell r="P28">
            <v>0.4</v>
          </cell>
          <cell r="Q28">
            <v>-0.69999999999999973</v>
          </cell>
          <cell r="R28">
            <v>1</v>
          </cell>
          <cell r="S28">
            <v>0</v>
          </cell>
          <cell r="T28">
            <v>18</v>
          </cell>
          <cell r="U28">
            <v>0</v>
          </cell>
          <cell r="V28">
            <v>-18</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row>
        <row r="29">
          <cell r="B29" t="str">
            <v>Pretax income</v>
          </cell>
          <cell r="D29">
            <v>109.01600000000002</v>
          </cell>
          <cell r="E29">
            <v>77.999999999999972</v>
          </cell>
          <cell r="F29">
            <v>82.099999999999952</v>
          </cell>
          <cell r="G29">
            <v>36.783999999999999</v>
          </cell>
          <cell r="H29">
            <v>305.89999999999998</v>
          </cell>
          <cell r="I29">
            <v>234.50000000000003</v>
          </cell>
          <cell r="J29">
            <v>310.89999999999998</v>
          </cell>
          <cell r="K29">
            <v>130.50000000000011</v>
          </cell>
          <cell r="L29">
            <v>56.099999999999731</v>
          </cell>
          <cell r="M29">
            <v>732</v>
          </cell>
          <cell r="N29">
            <v>132.99999999999989</v>
          </cell>
          <cell r="O29">
            <v>142.29999999999987</v>
          </cell>
          <cell r="P29">
            <v>-143.99999999999991</v>
          </cell>
          <cell r="Q29">
            <v>-201.30000000000069</v>
          </cell>
          <cell r="R29">
            <v>-70</v>
          </cell>
          <cell r="S29">
            <v>199</v>
          </cell>
          <cell r="T29">
            <v>236</v>
          </cell>
          <cell r="U29">
            <v>248</v>
          </cell>
          <cell r="V29">
            <v>-203</v>
          </cell>
          <cell r="W29">
            <v>480</v>
          </cell>
          <cell r="X29">
            <v>226</v>
          </cell>
          <cell r="Y29">
            <v>204</v>
          </cell>
          <cell r="Z29">
            <v>202</v>
          </cell>
          <cell r="AA29">
            <v>-151</v>
          </cell>
          <cell r="AB29">
            <v>481</v>
          </cell>
          <cell r="AC29">
            <v>214</v>
          </cell>
          <cell r="AD29">
            <v>281</v>
          </cell>
          <cell r="AE29">
            <v>74</v>
          </cell>
          <cell r="AF29">
            <v>70</v>
          </cell>
          <cell r="AG29">
            <v>639</v>
          </cell>
          <cell r="AH29">
            <v>263</v>
          </cell>
          <cell r="AI29">
            <v>296</v>
          </cell>
          <cell r="AJ29">
            <v>335</v>
          </cell>
          <cell r="AK29">
            <v>206</v>
          </cell>
          <cell r="AL29">
            <v>1100</v>
          </cell>
          <cell r="AM29">
            <v>279</v>
          </cell>
          <cell r="AN29">
            <v>187</v>
          </cell>
          <cell r="AO29">
            <v>487</v>
          </cell>
          <cell r="AP29">
            <v>463</v>
          </cell>
          <cell r="AQ29">
            <v>1416</v>
          </cell>
          <cell r="AR29">
            <v>567</v>
          </cell>
          <cell r="AS29">
            <v>525</v>
          </cell>
          <cell r="AT29">
            <v>-81</v>
          </cell>
          <cell r="AV29">
            <v>460</v>
          </cell>
          <cell r="AW29">
            <v>402</v>
          </cell>
          <cell r="AX29">
            <v>527</v>
          </cell>
          <cell r="AY29">
            <v>8</v>
          </cell>
          <cell r="AZ29">
            <v>1397</v>
          </cell>
          <cell r="BA29">
            <v>79</v>
          </cell>
          <cell r="BB29">
            <v>-189</v>
          </cell>
          <cell r="BC29">
            <v>-365</v>
          </cell>
          <cell r="BD29">
            <v>-1409</v>
          </cell>
          <cell r="BE29">
            <v>-1884</v>
          </cell>
          <cell r="BF29">
            <v>-18</v>
          </cell>
          <cell r="BG29">
            <v>-323</v>
          </cell>
          <cell r="BH29">
            <v>-67</v>
          </cell>
          <cell r="BI29">
            <v>-1332</v>
          </cell>
          <cell r="BJ29">
            <v>-1740</v>
          </cell>
          <cell r="BK29">
            <v>6</v>
          </cell>
          <cell r="BL29">
            <v>-27</v>
          </cell>
          <cell r="BM29">
            <v>-374</v>
          </cell>
          <cell r="BN29">
            <v>-306</v>
          </cell>
          <cell r="BO29">
            <v>-701</v>
          </cell>
          <cell r="BP29">
            <v>21</v>
          </cell>
          <cell r="BQ29">
            <v>-699</v>
          </cell>
          <cell r="BR29">
            <v>-68</v>
          </cell>
          <cell r="BS29">
            <v>-366</v>
          </cell>
          <cell r="BT29">
            <v>-1112</v>
          </cell>
          <cell r="BU29">
            <v>3</v>
          </cell>
          <cell r="BV29">
            <v>-32</v>
          </cell>
          <cell r="BW29">
            <v>-25</v>
          </cell>
          <cell r="BX29">
            <v>-65</v>
          </cell>
          <cell r="BY29">
            <v>-119</v>
          </cell>
          <cell r="BZ29">
            <v>-8</v>
          </cell>
          <cell r="CA29">
            <v>-35</v>
          </cell>
          <cell r="CB29">
            <v>112</v>
          </cell>
          <cell r="CC29">
            <v>-13</v>
          </cell>
          <cell r="CD29">
            <v>56</v>
          </cell>
          <cell r="CE29">
            <v>199</v>
          </cell>
          <cell r="CF29">
            <v>7</v>
          </cell>
          <cell r="CG29">
            <v>7</v>
          </cell>
          <cell r="CH29">
            <v>-11</v>
          </cell>
          <cell r="CI29">
            <v>202</v>
          </cell>
          <cell r="CJ29">
            <v>93</v>
          </cell>
          <cell r="CK29">
            <v>65</v>
          </cell>
          <cell r="CL29">
            <v>-62</v>
          </cell>
          <cell r="CM29">
            <v>62</v>
          </cell>
          <cell r="CN29">
            <v>158</v>
          </cell>
          <cell r="CO29">
            <v>137</v>
          </cell>
          <cell r="CP29">
            <v>68</v>
          </cell>
          <cell r="CQ29">
            <v>21</v>
          </cell>
          <cell r="CR29">
            <v>-62</v>
          </cell>
          <cell r="CS29">
            <v>164</v>
          </cell>
          <cell r="CT29">
            <v>108</v>
          </cell>
          <cell r="CU29">
            <v>78</v>
          </cell>
          <cell r="CV29">
            <v>51</v>
          </cell>
          <cell r="CW29">
            <v>111.95405444201248</v>
          </cell>
          <cell r="CX29">
            <v>348.95405444201282</v>
          </cell>
          <cell r="CY29">
            <v>59.256741565725676</v>
          </cell>
          <cell r="CZ29">
            <v>130.90751052018379</v>
          </cell>
          <cell r="DA29">
            <v>105.68204727582267</v>
          </cell>
          <cell r="DB29">
            <v>176.5180262898937</v>
          </cell>
          <cell r="DC29">
            <v>472.36432565162653</v>
          </cell>
          <cell r="DD29">
            <v>121.29615078890365</v>
          </cell>
          <cell r="DE29">
            <v>165.72593441195906</v>
          </cell>
          <cell r="DF29">
            <v>131.77582026957529</v>
          </cell>
          <cell r="DG29">
            <v>211.00572561979988</v>
          </cell>
          <cell r="DH29">
            <v>629.80363109023858</v>
          </cell>
          <cell r="DI29">
            <v>145.19926573867284</v>
          </cell>
          <cell r="DJ29">
            <v>176.41418990632559</v>
          </cell>
          <cell r="DK29">
            <v>146.13928031946747</v>
          </cell>
          <cell r="DL29">
            <v>235.32526340225016</v>
          </cell>
          <cell r="DM29">
            <v>703.07799936671529</v>
          </cell>
          <cell r="DN29">
            <v>172.59318525139506</v>
          </cell>
          <cell r="DO29">
            <v>198.48082294319752</v>
          </cell>
          <cell r="DP29">
            <v>167.5068517655408</v>
          </cell>
          <cell r="DQ29">
            <v>257.93475199845409</v>
          </cell>
          <cell r="DR29">
            <v>796.51561195858665</v>
          </cell>
        </row>
        <row r="30">
          <cell r="B30" t="str">
            <v>Income tax expense (benefit)</v>
          </cell>
          <cell r="D30">
            <v>43</v>
          </cell>
          <cell r="E30">
            <v>30</v>
          </cell>
          <cell r="F30">
            <v>32</v>
          </cell>
          <cell r="G30">
            <v>17.900000000000006</v>
          </cell>
          <cell r="H30">
            <v>122.9</v>
          </cell>
          <cell r="I30">
            <v>110.6</v>
          </cell>
          <cell r="J30">
            <v>123.1</v>
          </cell>
          <cell r="K30">
            <v>55.6</v>
          </cell>
          <cell r="L30">
            <v>45.699999999999989</v>
          </cell>
          <cell r="M30">
            <v>335</v>
          </cell>
          <cell r="N30">
            <v>56</v>
          </cell>
          <cell r="O30">
            <v>60</v>
          </cell>
          <cell r="P30">
            <v>-39.6</v>
          </cell>
          <cell r="Q30">
            <v>-53.400000000000006</v>
          </cell>
          <cell r="R30">
            <v>23</v>
          </cell>
          <cell r="S30">
            <v>77</v>
          </cell>
          <cell r="T30">
            <v>91</v>
          </cell>
          <cell r="U30">
            <v>94</v>
          </cell>
          <cell r="V30">
            <v>-65</v>
          </cell>
          <cell r="W30">
            <v>197</v>
          </cell>
          <cell r="X30">
            <v>85</v>
          </cell>
          <cell r="Y30">
            <v>78</v>
          </cell>
          <cell r="Z30">
            <v>78</v>
          </cell>
          <cell r="AA30">
            <v>-16</v>
          </cell>
          <cell r="AB30">
            <v>225</v>
          </cell>
          <cell r="AC30">
            <v>81</v>
          </cell>
          <cell r="AD30">
            <v>141</v>
          </cell>
          <cell r="AE30">
            <v>30</v>
          </cell>
          <cell r="AF30">
            <v>26</v>
          </cell>
          <cell r="AG30">
            <v>278</v>
          </cell>
          <cell r="AH30">
            <v>103</v>
          </cell>
          <cell r="AI30">
            <v>117</v>
          </cell>
          <cell r="AJ30">
            <v>134</v>
          </cell>
          <cell r="AK30">
            <v>89</v>
          </cell>
          <cell r="AL30">
            <v>443</v>
          </cell>
          <cell r="AM30">
            <v>117</v>
          </cell>
          <cell r="AN30">
            <v>86</v>
          </cell>
          <cell r="AO30">
            <v>198</v>
          </cell>
          <cell r="AP30">
            <v>192</v>
          </cell>
          <cell r="AQ30">
            <v>593</v>
          </cell>
          <cell r="AR30">
            <v>218</v>
          </cell>
          <cell r="AS30">
            <v>201</v>
          </cell>
          <cell r="AT30">
            <v>-31</v>
          </cell>
          <cell r="AV30">
            <v>188</v>
          </cell>
          <cell r="AW30">
            <v>168</v>
          </cell>
          <cell r="AX30">
            <v>205</v>
          </cell>
          <cell r="AY30">
            <v>6</v>
          </cell>
          <cell r="AZ30">
            <v>567</v>
          </cell>
          <cell r="BA30">
            <v>56</v>
          </cell>
          <cell r="BB30">
            <v>-69</v>
          </cell>
          <cell r="BC30">
            <v>-136</v>
          </cell>
          <cell r="BD30">
            <v>-310</v>
          </cell>
          <cell r="BE30">
            <v>-459</v>
          </cell>
          <cell r="BF30">
            <v>-4</v>
          </cell>
          <cell r="BG30">
            <v>-110</v>
          </cell>
          <cell r="BH30">
            <v>-16</v>
          </cell>
          <cell r="BI30">
            <v>279</v>
          </cell>
          <cell r="BJ30">
            <v>149</v>
          </cell>
          <cell r="BK30">
            <v>-17</v>
          </cell>
          <cell r="BL30">
            <v>-18</v>
          </cell>
          <cell r="BM30">
            <v>4</v>
          </cell>
          <cell r="BN30">
            <v>-56</v>
          </cell>
          <cell r="BO30">
            <v>-87</v>
          </cell>
          <cell r="BP30">
            <v>5</v>
          </cell>
          <cell r="BQ30">
            <v>-252</v>
          </cell>
          <cell r="BR30">
            <v>-39</v>
          </cell>
          <cell r="BS30">
            <v>25</v>
          </cell>
          <cell r="BT30">
            <v>-261</v>
          </cell>
          <cell r="BU30">
            <v>-92</v>
          </cell>
          <cell r="BV30">
            <v>-4</v>
          </cell>
          <cell r="BW30">
            <v>10</v>
          </cell>
          <cell r="BX30">
            <v>20</v>
          </cell>
          <cell r="BY30">
            <v>-66</v>
          </cell>
          <cell r="BZ30">
            <v>1</v>
          </cell>
          <cell r="CA30">
            <v>-16</v>
          </cell>
          <cell r="CB30">
            <v>-4</v>
          </cell>
          <cell r="CC30">
            <v>-6</v>
          </cell>
          <cell r="CD30">
            <v>-25</v>
          </cell>
          <cell r="CE30">
            <v>5</v>
          </cell>
          <cell r="CF30">
            <v>4</v>
          </cell>
          <cell r="CG30">
            <v>3</v>
          </cell>
          <cell r="CH30">
            <v>-35</v>
          </cell>
          <cell r="CI30">
            <v>-23</v>
          </cell>
          <cell r="CJ30">
            <v>3</v>
          </cell>
          <cell r="CK30">
            <v>20</v>
          </cell>
          <cell r="CL30">
            <v>-1002</v>
          </cell>
          <cell r="CM30">
            <v>2</v>
          </cell>
          <cell r="CN30">
            <v>-977</v>
          </cell>
          <cell r="CO30">
            <v>50</v>
          </cell>
          <cell r="CP30">
            <v>19</v>
          </cell>
          <cell r="CQ30">
            <v>4</v>
          </cell>
          <cell r="CR30">
            <v>-12</v>
          </cell>
          <cell r="CS30">
            <v>61</v>
          </cell>
          <cell r="CT30">
            <v>42</v>
          </cell>
          <cell r="CU30">
            <v>30</v>
          </cell>
          <cell r="CV30">
            <v>18</v>
          </cell>
          <cell r="CW30">
            <v>43.662081232384871</v>
          </cell>
          <cell r="CX30">
            <v>133.66208123238488</v>
          </cell>
          <cell r="CY30">
            <v>23.110129210633016</v>
          </cell>
          <cell r="CZ30">
            <v>51.053929102871678</v>
          </cell>
          <cell r="DA30">
            <v>41.215998437570839</v>
          </cell>
          <cell r="DB30">
            <v>68.842030253058539</v>
          </cell>
          <cell r="DC30">
            <v>184.22208700413407</v>
          </cell>
          <cell r="DD30">
            <v>47.305498807672421</v>
          </cell>
          <cell r="DE30">
            <v>64.633114420664029</v>
          </cell>
          <cell r="DF30">
            <v>51.392569905134366</v>
          </cell>
          <cell r="DG30">
            <v>82.29223299172196</v>
          </cell>
          <cell r="DH30">
            <v>245.62341612519276</v>
          </cell>
          <cell r="DI30">
            <v>56.627713638082405</v>
          </cell>
          <cell r="DJ30">
            <v>68.801534063466988</v>
          </cell>
          <cell r="DK30">
            <v>56.994319324592318</v>
          </cell>
          <cell r="DL30">
            <v>91.776852726877564</v>
          </cell>
          <cell r="DM30">
            <v>274.20041975301928</v>
          </cell>
          <cell r="DN30">
            <v>67.31134224804407</v>
          </cell>
          <cell r="DO30">
            <v>77.407520947847033</v>
          </cell>
          <cell r="DP30">
            <v>65.327672188560911</v>
          </cell>
          <cell r="DQ30">
            <v>100.5945532793971</v>
          </cell>
          <cell r="DR30">
            <v>310.64108866384913</v>
          </cell>
          <cell r="DT30" t="str">
            <v>mstag:taxExpenseIncome</v>
          </cell>
          <cell r="DU30">
            <v>6</v>
          </cell>
          <cell r="DV30" t="str">
            <v>ISO4217:USD</v>
          </cell>
          <cell r="DW30" t="b">
            <v>0</v>
          </cell>
        </row>
        <row r="31">
          <cell r="B31" t="str">
            <v>Income from continuing ops</v>
          </cell>
          <cell r="D31">
            <v>66.01600000000002</v>
          </cell>
          <cell r="E31">
            <v>47.999999999999972</v>
          </cell>
          <cell r="F31">
            <v>50.099999999999952</v>
          </cell>
          <cell r="G31">
            <v>18.883999999999993</v>
          </cell>
          <cell r="H31">
            <v>182.99999999999997</v>
          </cell>
          <cell r="I31">
            <v>123.90000000000003</v>
          </cell>
          <cell r="J31">
            <v>187.79999999999998</v>
          </cell>
          <cell r="K31">
            <v>74.900000000000119</v>
          </cell>
          <cell r="L31">
            <v>10.399999999999743</v>
          </cell>
          <cell r="M31">
            <v>397</v>
          </cell>
          <cell r="N31">
            <v>76.999999999999886</v>
          </cell>
          <cell r="O31">
            <v>82.299999999999869</v>
          </cell>
          <cell r="P31">
            <v>-104.39999999999992</v>
          </cell>
          <cell r="Q31">
            <v>-147.90000000000069</v>
          </cell>
          <cell r="R31">
            <v>-93</v>
          </cell>
          <cell r="S31">
            <v>122</v>
          </cell>
          <cell r="T31">
            <v>145</v>
          </cell>
          <cell r="U31">
            <v>154</v>
          </cell>
          <cell r="V31">
            <v>-138</v>
          </cell>
          <cell r="W31">
            <v>283</v>
          </cell>
          <cell r="X31">
            <v>141</v>
          </cell>
          <cell r="Y31">
            <v>126</v>
          </cell>
          <cell r="Z31">
            <v>124</v>
          </cell>
          <cell r="AA31">
            <v>-135</v>
          </cell>
          <cell r="AB31">
            <v>256</v>
          </cell>
          <cell r="AC31">
            <v>133</v>
          </cell>
          <cell r="AD31">
            <v>140</v>
          </cell>
          <cell r="AE31">
            <v>44</v>
          </cell>
          <cell r="AF31">
            <v>44</v>
          </cell>
          <cell r="AG31">
            <v>361</v>
          </cell>
          <cell r="AH31">
            <v>160</v>
          </cell>
          <cell r="AI31">
            <v>179</v>
          </cell>
          <cell r="AJ31">
            <v>201</v>
          </cell>
          <cell r="AK31">
            <v>117</v>
          </cell>
          <cell r="AL31">
            <v>657</v>
          </cell>
          <cell r="AM31">
            <v>162</v>
          </cell>
          <cell r="AN31">
            <v>101</v>
          </cell>
          <cell r="AO31">
            <v>289</v>
          </cell>
          <cell r="AP31">
            <v>271</v>
          </cell>
          <cell r="AQ31">
            <v>823</v>
          </cell>
          <cell r="AR31">
            <v>349</v>
          </cell>
          <cell r="AS31">
            <v>324</v>
          </cell>
          <cell r="AT31">
            <v>-50</v>
          </cell>
          <cell r="AV31">
            <v>272</v>
          </cell>
          <cell r="AW31">
            <v>234</v>
          </cell>
          <cell r="AX31">
            <v>322</v>
          </cell>
          <cell r="AY31">
            <v>2</v>
          </cell>
          <cell r="AZ31">
            <v>830</v>
          </cell>
          <cell r="BA31">
            <v>23</v>
          </cell>
          <cell r="BB31">
            <v>-120</v>
          </cell>
          <cell r="BC31">
            <v>-229</v>
          </cell>
          <cell r="BD31">
            <v>-1099</v>
          </cell>
          <cell r="BE31">
            <v>-1425</v>
          </cell>
          <cell r="BF31">
            <v>-14</v>
          </cell>
          <cell r="BG31">
            <v>-213</v>
          </cell>
          <cell r="BH31">
            <v>-51</v>
          </cell>
          <cell r="BI31">
            <v>-1611</v>
          </cell>
          <cell r="BJ31">
            <v>-1889</v>
          </cell>
          <cell r="BK31">
            <v>23</v>
          </cell>
          <cell r="BL31">
            <v>-9</v>
          </cell>
          <cell r="BM31">
            <v>-378</v>
          </cell>
          <cell r="BN31">
            <v>-250</v>
          </cell>
          <cell r="BO31">
            <v>-614</v>
          </cell>
          <cell r="BP31">
            <v>16</v>
          </cell>
          <cell r="BQ31">
            <v>-447</v>
          </cell>
          <cell r="BR31">
            <v>-29</v>
          </cell>
          <cell r="BS31">
            <v>-391</v>
          </cell>
          <cell r="BT31">
            <v>-851</v>
          </cell>
          <cell r="BU31">
            <v>95</v>
          </cell>
          <cell r="BV31">
            <v>-28</v>
          </cell>
          <cell r="BW31">
            <v>-35</v>
          </cell>
          <cell r="BX31">
            <v>-85</v>
          </cell>
          <cell r="BY31">
            <v>-53</v>
          </cell>
          <cell r="BZ31">
            <v>-9</v>
          </cell>
          <cell r="CA31">
            <v>-19</v>
          </cell>
          <cell r="CB31">
            <v>116</v>
          </cell>
          <cell r="CC31">
            <v>-7</v>
          </cell>
          <cell r="CD31">
            <v>81</v>
          </cell>
          <cell r="CE31">
            <v>194</v>
          </cell>
          <cell r="CF31">
            <v>3</v>
          </cell>
          <cell r="CG31">
            <v>4</v>
          </cell>
          <cell r="CH31">
            <v>24</v>
          </cell>
          <cell r="CI31">
            <v>225</v>
          </cell>
          <cell r="CJ31">
            <v>90</v>
          </cell>
          <cell r="CK31">
            <v>45</v>
          </cell>
          <cell r="CL31">
            <v>940</v>
          </cell>
          <cell r="CM31">
            <v>60</v>
          </cell>
          <cell r="CN31">
            <v>1135</v>
          </cell>
          <cell r="CO31">
            <v>87</v>
          </cell>
          <cell r="CP31">
            <v>49</v>
          </cell>
          <cell r="CQ31">
            <v>17</v>
          </cell>
          <cell r="CR31">
            <v>-50</v>
          </cell>
          <cell r="CS31">
            <v>103</v>
          </cell>
          <cell r="CT31">
            <v>66</v>
          </cell>
          <cell r="CU31">
            <v>48</v>
          </cell>
          <cell r="CV31">
            <v>33</v>
          </cell>
          <cell r="CW31">
            <v>68.291973209627599</v>
          </cell>
          <cell r="CX31">
            <v>215.29197320962794</v>
          </cell>
          <cell r="CY31">
            <v>36.146612355092657</v>
          </cell>
          <cell r="CZ31">
            <v>79.853581417312114</v>
          </cell>
          <cell r="DA31">
            <v>64.466048838251822</v>
          </cell>
          <cell r="DB31">
            <v>107.67599603683516</v>
          </cell>
          <cell r="DC31">
            <v>288.14223864749249</v>
          </cell>
          <cell r="DD31">
            <v>73.990651981231224</v>
          </cell>
          <cell r="DE31">
            <v>101.09281999129503</v>
          </cell>
          <cell r="DF31">
            <v>80.383250364440926</v>
          </cell>
          <cell r="DG31">
            <v>128.71349262807792</v>
          </cell>
          <cell r="DH31">
            <v>384.18021496504582</v>
          </cell>
          <cell r="DI31">
            <v>88.571552100590424</v>
          </cell>
          <cell r="DJ31">
            <v>107.6126558428586</v>
          </cell>
          <cell r="DK31">
            <v>89.144960994875163</v>
          </cell>
          <cell r="DL31">
            <v>143.54841067537259</v>
          </cell>
          <cell r="DM31">
            <v>428.87757961369601</v>
          </cell>
          <cell r="DN31">
            <v>105.28184300335099</v>
          </cell>
          <cell r="DO31">
            <v>121.07330199535049</v>
          </cell>
          <cell r="DP31">
            <v>102.17917957697989</v>
          </cell>
          <cell r="DQ31">
            <v>157.34019871905699</v>
          </cell>
          <cell r="DR31">
            <v>485.87452329473751</v>
          </cell>
        </row>
        <row r="32">
          <cell r="B32" t="str">
            <v>Discontinued operations:</v>
          </cell>
        </row>
        <row r="33">
          <cell r="B33" t="str">
            <v>Income (loss) on operations</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V33">
            <v>29</v>
          </cell>
          <cell r="AW33">
            <v>26</v>
          </cell>
          <cell r="AX33">
            <v>26</v>
          </cell>
          <cell r="AY33">
            <v>34</v>
          </cell>
          <cell r="AZ33">
            <v>115</v>
          </cell>
          <cell r="BA33">
            <v>12</v>
          </cell>
          <cell r="BB33">
            <v>11</v>
          </cell>
          <cell r="BC33">
            <v>-12</v>
          </cell>
          <cell r="BD33">
            <v>-32</v>
          </cell>
          <cell r="BE33">
            <v>-21</v>
          </cell>
          <cell r="BF33">
            <v>-61</v>
          </cell>
          <cell r="BG33">
            <v>-96</v>
          </cell>
          <cell r="BH33">
            <v>-32</v>
          </cell>
          <cell r="BI33">
            <v>-53</v>
          </cell>
          <cell r="BJ33">
            <v>-242</v>
          </cell>
          <cell r="BK33">
            <v>-39</v>
          </cell>
          <cell r="BL33">
            <v>-20</v>
          </cell>
          <cell r="BM33">
            <v>7</v>
          </cell>
          <cell r="BN33">
            <v>5</v>
          </cell>
          <cell r="BO33">
            <v>-47</v>
          </cell>
          <cell r="BP33">
            <v>13</v>
          </cell>
          <cell r="BQ33">
            <v>-21</v>
          </cell>
          <cell r="BR33">
            <v>-17</v>
          </cell>
          <cell r="BS33">
            <v>-23</v>
          </cell>
          <cell r="BT33">
            <v>-48</v>
          </cell>
          <cell r="BU33">
            <v>-21</v>
          </cell>
          <cell r="BV33">
            <v>0</v>
          </cell>
          <cell r="BW33">
            <v>-11</v>
          </cell>
          <cell r="BX33">
            <v>23</v>
          </cell>
          <cell r="BY33">
            <v>-9</v>
          </cell>
          <cell r="BZ33">
            <v>-9</v>
          </cell>
          <cell r="CA33">
            <v>6</v>
          </cell>
          <cell r="CB33">
            <v>-29</v>
          </cell>
          <cell r="CC33">
            <v>25</v>
          </cell>
          <cell r="CD33">
            <v>-7</v>
          </cell>
          <cell r="CE33">
            <v>2</v>
          </cell>
          <cell r="CF33">
            <v>-11</v>
          </cell>
          <cell r="CG33">
            <v>-2</v>
          </cell>
          <cell r="CH33">
            <v>4</v>
          </cell>
          <cell r="CI33">
            <v>-7</v>
          </cell>
          <cell r="CJ33">
            <v>5</v>
          </cell>
          <cell r="CK33">
            <v>-5</v>
          </cell>
          <cell r="CL33">
            <v>-4</v>
          </cell>
          <cell r="CM33">
            <v>15</v>
          </cell>
          <cell r="CN33">
            <v>11</v>
          </cell>
          <cell r="CO33">
            <v>-10</v>
          </cell>
          <cell r="CP33">
            <v>-5</v>
          </cell>
          <cell r="CQ33">
            <v>-2</v>
          </cell>
          <cell r="CR33">
            <v>-1</v>
          </cell>
          <cell r="CS33">
            <v>-18</v>
          </cell>
          <cell r="CT33">
            <v>2</v>
          </cell>
          <cell r="CU33">
            <v>1</v>
          </cell>
          <cell r="CV33">
            <v>4</v>
          </cell>
          <cell r="CW33">
            <v>0</v>
          </cell>
          <cell r="CX33">
            <v>7</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row>
        <row r="34">
          <cell r="B34" t="str">
            <v>Impairment of assets &amp; restructuring</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V34">
            <v>0</v>
          </cell>
          <cell r="AW34">
            <v>0</v>
          </cell>
          <cell r="AX34">
            <v>0</v>
          </cell>
          <cell r="AY34">
            <v>-80</v>
          </cell>
          <cell r="AZ34">
            <v>-80</v>
          </cell>
          <cell r="BA34">
            <v>-61</v>
          </cell>
          <cell r="BB34">
            <v>-4</v>
          </cell>
          <cell r="BC34">
            <v>-99</v>
          </cell>
          <cell r="BD34">
            <v>8</v>
          </cell>
          <cell r="BE34">
            <v>-156</v>
          </cell>
          <cell r="BF34">
            <v>-86</v>
          </cell>
          <cell r="BG34">
            <v>-247</v>
          </cell>
          <cell r="BH34">
            <v>-9</v>
          </cell>
          <cell r="BI34">
            <v>-24</v>
          </cell>
          <cell r="BJ34">
            <v>-366</v>
          </cell>
          <cell r="BK34">
            <v>-7</v>
          </cell>
          <cell r="BL34">
            <v>-1</v>
          </cell>
          <cell r="BM34">
            <v>-27</v>
          </cell>
          <cell r="BN34">
            <v>-21</v>
          </cell>
          <cell r="BO34">
            <v>-56</v>
          </cell>
          <cell r="BP34">
            <v>-3</v>
          </cell>
          <cell r="BQ34">
            <v>-101</v>
          </cell>
          <cell r="BR34">
            <v>0</v>
          </cell>
          <cell r="BS34">
            <v>-23</v>
          </cell>
          <cell r="BT34">
            <v>-127</v>
          </cell>
          <cell r="BU34">
            <v>-9</v>
          </cell>
          <cell r="BV34">
            <v>-1</v>
          </cell>
          <cell r="BW34">
            <v>-6</v>
          </cell>
          <cell r="BX34">
            <v>-11</v>
          </cell>
          <cell r="BY34">
            <v>-27</v>
          </cell>
          <cell r="BZ34">
            <v>-10</v>
          </cell>
          <cell r="CA34">
            <v>-7</v>
          </cell>
          <cell r="CB34">
            <v>-21</v>
          </cell>
          <cell r="CC34">
            <v>-55</v>
          </cell>
          <cell r="CD34">
            <v>-93</v>
          </cell>
          <cell r="CE34">
            <v>-9</v>
          </cell>
          <cell r="CF34">
            <v>-6</v>
          </cell>
          <cell r="CG34">
            <v>-1</v>
          </cell>
          <cell r="CH34">
            <v>4</v>
          </cell>
          <cell r="CI34">
            <v>-12</v>
          </cell>
          <cell r="CJ34">
            <v>1</v>
          </cell>
          <cell r="CK34">
            <v>-3</v>
          </cell>
          <cell r="CL34">
            <v>1</v>
          </cell>
          <cell r="CM34">
            <v>0</v>
          </cell>
          <cell r="CN34">
            <v>-1</v>
          </cell>
          <cell r="CO34">
            <v>0</v>
          </cell>
          <cell r="CP34">
            <v>0</v>
          </cell>
          <cell r="CQ34">
            <v>0</v>
          </cell>
          <cell r="CR34">
            <v>-6</v>
          </cell>
          <cell r="CS34">
            <v>-6</v>
          </cell>
          <cell r="CT34">
            <v>0</v>
          </cell>
          <cell r="CU34">
            <v>-100</v>
          </cell>
          <cell r="CV34">
            <v>0</v>
          </cell>
          <cell r="CW34">
            <v>0</v>
          </cell>
          <cell r="CX34">
            <v>-100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row>
        <row r="35">
          <cell r="B35" t="str">
            <v>Hurricane &amp; insurance settlements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-395</v>
          </cell>
          <cell r="BJ35">
            <v>-395</v>
          </cell>
          <cell r="BK35">
            <v>0</v>
          </cell>
          <cell r="BL35">
            <v>0</v>
          </cell>
          <cell r="BM35">
            <v>0</v>
          </cell>
          <cell r="BN35">
            <v>0</v>
          </cell>
          <cell r="BO35">
            <v>0</v>
          </cell>
          <cell r="BP35">
            <v>45</v>
          </cell>
          <cell r="BQ35">
            <v>194</v>
          </cell>
          <cell r="BR35">
            <v>-6</v>
          </cell>
          <cell r="BS35">
            <v>-1</v>
          </cell>
          <cell r="BT35">
            <v>232</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row>
        <row r="36">
          <cell r="B36" t="str">
            <v>Litigation &amp; investigation costs</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Q36">
            <v>-21</v>
          </cell>
          <cell r="BR36">
            <v>0</v>
          </cell>
          <cell r="BS36">
            <v>11</v>
          </cell>
          <cell r="BT36">
            <v>-10</v>
          </cell>
          <cell r="BU36">
            <v>0</v>
          </cell>
          <cell r="BV36">
            <v>0</v>
          </cell>
          <cell r="BW36">
            <v>0</v>
          </cell>
          <cell r="BX36">
            <v>0</v>
          </cell>
          <cell r="BY36">
            <v>0</v>
          </cell>
          <cell r="BZ36">
            <v>0</v>
          </cell>
          <cell r="CA36">
            <v>0</v>
          </cell>
          <cell r="CB36">
            <v>39</v>
          </cell>
          <cell r="CC36">
            <v>0</v>
          </cell>
          <cell r="CD36">
            <v>39</v>
          </cell>
          <cell r="CE36">
            <v>0</v>
          </cell>
          <cell r="CF36">
            <v>0</v>
          </cell>
          <cell r="CG36">
            <v>0</v>
          </cell>
          <cell r="CH36">
            <v>0</v>
          </cell>
          <cell r="CI36">
            <v>0</v>
          </cell>
          <cell r="CJ36">
            <v>0</v>
          </cell>
          <cell r="CK36">
            <v>0</v>
          </cell>
          <cell r="CL36">
            <v>0</v>
          </cell>
          <cell r="CM36">
            <v>0</v>
          </cell>
          <cell r="CN36">
            <v>0</v>
          </cell>
          <cell r="CO36">
            <v>0</v>
          </cell>
          <cell r="CP36">
            <v>0</v>
          </cell>
          <cell r="CQ36">
            <v>0</v>
          </cell>
          <cell r="CR36">
            <v>-17</v>
          </cell>
          <cell r="CS36">
            <v>-17</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row>
        <row r="37">
          <cell r="B37" t="str">
            <v>Net gain (loss) on sales of facilities</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V37">
            <v>0</v>
          </cell>
          <cell r="AW37">
            <v>0</v>
          </cell>
          <cell r="AX37">
            <v>0</v>
          </cell>
          <cell r="AY37">
            <v>0</v>
          </cell>
          <cell r="AZ37">
            <v>0</v>
          </cell>
          <cell r="BA37">
            <v>0</v>
          </cell>
          <cell r="BB37">
            <v>0</v>
          </cell>
          <cell r="BC37">
            <v>0</v>
          </cell>
          <cell r="BD37">
            <v>274</v>
          </cell>
          <cell r="BE37">
            <v>274</v>
          </cell>
          <cell r="BF37">
            <v>-2</v>
          </cell>
          <cell r="BG37">
            <v>31</v>
          </cell>
          <cell r="BH37">
            <v>4</v>
          </cell>
          <cell r="BI37">
            <v>38</v>
          </cell>
          <cell r="BJ37">
            <v>71</v>
          </cell>
          <cell r="BK37">
            <v>22</v>
          </cell>
          <cell r="BL37">
            <v>0</v>
          </cell>
          <cell r="BM37">
            <v>-2</v>
          </cell>
          <cell r="BN37">
            <v>-1</v>
          </cell>
          <cell r="BO37">
            <v>19</v>
          </cell>
          <cell r="BP37">
            <v>0</v>
          </cell>
          <cell r="BQ37">
            <v>-1</v>
          </cell>
          <cell r="BR37">
            <v>3</v>
          </cell>
          <cell r="BS37">
            <v>13</v>
          </cell>
          <cell r="BT37">
            <v>15</v>
          </cell>
          <cell r="BU37">
            <v>-1</v>
          </cell>
          <cell r="BV37">
            <v>2</v>
          </cell>
          <cell r="BW37">
            <v>-5</v>
          </cell>
          <cell r="BX37">
            <v>-4</v>
          </cell>
          <cell r="BY37">
            <v>-8</v>
          </cell>
          <cell r="BZ37">
            <v>0</v>
          </cell>
          <cell r="CA37">
            <v>8</v>
          </cell>
          <cell r="CB37">
            <v>-3</v>
          </cell>
          <cell r="CC37">
            <v>1</v>
          </cell>
          <cell r="CD37">
            <v>6</v>
          </cell>
          <cell r="CE37">
            <v>-2</v>
          </cell>
          <cell r="CF37">
            <v>0</v>
          </cell>
          <cell r="CG37">
            <v>0</v>
          </cell>
          <cell r="CH37">
            <v>1</v>
          </cell>
          <cell r="CI37">
            <v>-1</v>
          </cell>
          <cell r="CJ37">
            <v>0</v>
          </cell>
          <cell r="CK37">
            <v>0</v>
          </cell>
          <cell r="CL37">
            <v>0</v>
          </cell>
          <cell r="CM37">
            <v>0</v>
          </cell>
          <cell r="CN37">
            <v>0</v>
          </cell>
          <cell r="CO37">
            <v>0</v>
          </cell>
          <cell r="CP37">
            <v>0</v>
          </cell>
          <cell r="CQ37">
            <v>0</v>
          </cell>
          <cell r="CR37">
            <v>0</v>
          </cell>
          <cell r="CS37">
            <v>0</v>
          </cell>
          <cell r="CT37">
            <v>0</v>
          </cell>
          <cell r="CU37">
            <v>2</v>
          </cell>
          <cell r="CV37">
            <v>-1</v>
          </cell>
          <cell r="CW37">
            <v>0</v>
          </cell>
          <cell r="CX37">
            <v>1</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row>
        <row r="38">
          <cell r="B38" t="str">
            <v>Income tax benefit (expense)</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V38">
            <v>-12</v>
          </cell>
          <cell r="AW38">
            <v>-10</v>
          </cell>
          <cell r="AX38">
            <v>-9</v>
          </cell>
          <cell r="AY38">
            <v>18</v>
          </cell>
          <cell r="AZ38">
            <v>-13</v>
          </cell>
          <cell r="BA38">
            <v>14</v>
          </cell>
          <cell r="BB38">
            <v>-73</v>
          </cell>
          <cell r="BC38">
            <v>38</v>
          </cell>
          <cell r="BD38">
            <v>-116</v>
          </cell>
          <cell r="BE38">
            <v>-137</v>
          </cell>
          <cell r="BF38">
            <v>46</v>
          </cell>
          <cell r="BG38">
            <v>99</v>
          </cell>
          <cell r="BH38">
            <v>19</v>
          </cell>
          <cell r="BI38">
            <v>14</v>
          </cell>
          <cell r="BJ38">
            <v>178</v>
          </cell>
          <cell r="BK38">
            <v>0</v>
          </cell>
          <cell r="BL38">
            <v>0</v>
          </cell>
          <cell r="BM38">
            <v>-1</v>
          </cell>
          <cell r="BN38">
            <v>-2</v>
          </cell>
          <cell r="BO38">
            <v>-3</v>
          </cell>
          <cell r="BP38">
            <v>-2</v>
          </cell>
          <cell r="BQ38">
            <v>-1</v>
          </cell>
          <cell r="BR38">
            <v>-39</v>
          </cell>
          <cell r="BS38">
            <v>30</v>
          </cell>
          <cell r="BT38">
            <v>-12</v>
          </cell>
          <cell r="BU38">
            <v>13</v>
          </cell>
          <cell r="BV38">
            <v>-2</v>
          </cell>
          <cell r="BW38">
            <v>-2</v>
          </cell>
          <cell r="BX38">
            <v>3</v>
          </cell>
          <cell r="BY38">
            <v>12</v>
          </cell>
          <cell r="BZ38">
            <v>-2</v>
          </cell>
          <cell r="CA38">
            <v>-3</v>
          </cell>
          <cell r="CB38">
            <v>4</v>
          </cell>
          <cell r="CC38">
            <v>6</v>
          </cell>
          <cell r="CD38">
            <v>5</v>
          </cell>
          <cell r="CE38">
            <v>-2</v>
          </cell>
          <cell r="CF38">
            <v>0</v>
          </cell>
          <cell r="CG38">
            <v>-2</v>
          </cell>
          <cell r="CH38">
            <v>-4</v>
          </cell>
          <cell r="CI38">
            <v>-8</v>
          </cell>
          <cell r="CJ38">
            <v>-1</v>
          </cell>
          <cell r="CK38">
            <v>-2</v>
          </cell>
          <cell r="CL38">
            <v>3</v>
          </cell>
          <cell r="CM38">
            <v>7</v>
          </cell>
          <cell r="CN38">
            <v>7</v>
          </cell>
          <cell r="CO38">
            <v>5</v>
          </cell>
          <cell r="CP38">
            <v>19</v>
          </cell>
          <cell r="CQ38">
            <v>0</v>
          </cell>
          <cell r="CR38">
            <v>8</v>
          </cell>
          <cell r="CS38">
            <v>32</v>
          </cell>
          <cell r="CT38">
            <v>-1</v>
          </cell>
          <cell r="CU38">
            <v>29</v>
          </cell>
          <cell r="CV38">
            <v>-4</v>
          </cell>
          <cell r="CW38">
            <v>-4.5</v>
          </cell>
          <cell r="CX38">
            <v>19.5</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row>
        <row r="39">
          <cell r="B39" t="str">
            <v>Discontinued operations, net</v>
          </cell>
          <cell r="D39">
            <v>0</v>
          </cell>
          <cell r="E39">
            <v>0</v>
          </cell>
          <cell r="F39">
            <v>0</v>
          </cell>
          <cell r="G39">
            <v>-9</v>
          </cell>
          <cell r="H39">
            <v>-9</v>
          </cell>
          <cell r="I39">
            <v>0</v>
          </cell>
          <cell r="J39">
            <v>0</v>
          </cell>
          <cell r="K39">
            <v>0</v>
          </cell>
          <cell r="L39">
            <v>-25</v>
          </cell>
          <cell r="M39">
            <v>-25</v>
          </cell>
          <cell r="N39">
            <v>0</v>
          </cell>
          <cell r="O39">
            <v>0</v>
          </cell>
          <cell r="P39">
            <v>0</v>
          </cell>
          <cell r="Q39">
            <v>-134</v>
          </cell>
          <cell r="R39">
            <v>-134</v>
          </cell>
          <cell r="S39">
            <v>0</v>
          </cell>
          <cell r="T39">
            <v>0</v>
          </cell>
          <cell r="U39">
            <v>0</v>
          </cell>
          <cell r="V39">
            <v>0</v>
          </cell>
          <cell r="W39">
            <v>0</v>
          </cell>
          <cell r="X39">
            <v>0</v>
          </cell>
          <cell r="Y39">
            <v>0</v>
          </cell>
          <cell r="Z39">
            <v>0</v>
          </cell>
          <cell r="AA39">
            <v>0</v>
          </cell>
          <cell r="AB39">
            <v>0</v>
          </cell>
          <cell r="AC39">
            <v>0</v>
          </cell>
          <cell r="AD39">
            <v>0</v>
          </cell>
          <cell r="AE39">
            <v>0</v>
          </cell>
          <cell r="AF39">
            <v>-19</v>
          </cell>
          <cell r="AG39">
            <v>-19</v>
          </cell>
          <cell r="AH39">
            <v>0</v>
          </cell>
          <cell r="AI39">
            <v>0</v>
          </cell>
          <cell r="AJ39">
            <v>0</v>
          </cell>
          <cell r="AK39">
            <v>0</v>
          </cell>
          <cell r="AL39">
            <v>0</v>
          </cell>
          <cell r="AM39">
            <v>0</v>
          </cell>
          <cell r="AN39">
            <v>0</v>
          </cell>
          <cell r="AO39">
            <v>0</v>
          </cell>
          <cell r="AP39">
            <v>0</v>
          </cell>
          <cell r="AQ39">
            <v>0</v>
          </cell>
          <cell r="AR39">
            <v>0</v>
          </cell>
          <cell r="AS39">
            <v>0</v>
          </cell>
          <cell r="AT39">
            <v>0</v>
          </cell>
          <cell r="AV39">
            <v>17</v>
          </cell>
          <cell r="AW39">
            <v>16</v>
          </cell>
          <cell r="AX39">
            <v>17</v>
          </cell>
          <cell r="AY39">
            <v>-28</v>
          </cell>
          <cell r="AZ39">
            <v>22</v>
          </cell>
          <cell r="BA39">
            <v>-35</v>
          </cell>
          <cell r="BB39">
            <v>-66</v>
          </cell>
          <cell r="BC39">
            <v>-73</v>
          </cell>
          <cell r="BD39">
            <v>134</v>
          </cell>
          <cell r="BE39">
            <v>-40</v>
          </cell>
          <cell r="BF39">
            <v>-103</v>
          </cell>
          <cell r="BG39">
            <v>-213</v>
          </cell>
          <cell r="BH39">
            <v>-18</v>
          </cell>
          <cell r="BI39">
            <v>-420</v>
          </cell>
          <cell r="BJ39">
            <v>-754</v>
          </cell>
          <cell r="BK39">
            <v>-24</v>
          </cell>
          <cell r="BL39">
            <v>-21</v>
          </cell>
          <cell r="BM39">
            <v>-23</v>
          </cell>
          <cell r="BN39">
            <v>-19</v>
          </cell>
          <cell r="BO39">
            <v>-87</v>
          </cell>
          <cell r="BP39">
            <v>53</v>
          </cell>
          <cell r="BQ39">
            <v>49</v>
          </cell>
          <cell r="BR39">
            <v>-59</v>
          </cell>
          <cell r="BS39">
            <v>7</v>
          </cell>
          <cell r="BT39">
            <v>50</v>
          </cell>
          <cell r="BU39">
            <v>-18</v>
          </cell>
          <cell r="BV39">
            <v>-1</v>
          </cell>
          <cell r="BW39">
            <v>-24</v>
          </cell>
          <cell r="BX39">
            <v>11</v>
          </cell>
          <cell r="BY39">
            <v>-32</v>
          </cell>
          <cell r="BZ39">
            <v>-21</v>
          </cell>
          <cell r="CA39">
            <v>4</v>
          </cell>
          <cell r="CB39">
            <v>-10</v>
          </cell>
          <cell r="CC39">
            <v>-23</v>
          </cell>
          <cell r="CD39">
            <v>-50</v>
          </cell>
          <cell r="CE39">
            <v>-11</v>
          </cell>
          <cell r="CF39">
            <v>-17</v>
          </cell>
          <cell r="CG39">
            <v>-5</v>
          </cell>
          <cell r="CH39">
            <v>5</v>
          </cell>
          <cell r="CI39">
            <v>-28</v>
          </cell>
          <cell r="CJ39">
            <v>5</v>
          </cell>
          <cell r="CK39">
            <v>-10</v>
          </cell>
          <cell r="CL39">
            <v>0</v>
          </cell>
          <cell r="CM39">
            <v>22</v>
          </cell>
          <cell r="CN39">
            <v>17</v>
          </cell>
          <cell r="CO39">
            <v>-5</v>
          </cell>
          <cell r="CP39">
            <v>14</v>
          </cell>
          <cell r="CQ39">
            <v>-2</v>
          </cell>
          <cell r="CR39">
            <v>-16</v>
          </cell>
          <cell r="CS39">
            <v>-9</v>
          </cell>
          <cell r="CT39">
            <v>1</v>
          </cell>
          <cell r="CU39">
            <v>-68</v>
          </cell>
          <cell r="CV39">
            <v>-1</v>
          </cell>
          <cell r="CW39">
            <v>-4.5</v>
          </cell>
          <cell r="CX39">
            <v>-72.5</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T39" t="str">
            <v>mstag:incomeLossFromDiscontinuedOperationsNetOfTax</v>
          </cell>
          <cell r="DU39">
            <v>6</v>
          </cell>
          <cell r="DV39" t="str">
            <v>ISO4217:USD</v>
          </cell>
          <cell r="DW39" t="b">
            <v>0</v>
          </cell>
        </row>
        <row r="40">
          <cell r="B40" t="str">
            <v>Cumulative effect of change in accounting principle, net of tax</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-19</v>
          </cell>
          <cell r="AD40">
            <v>0</v>
          </cell>
          <cell r="AE40">
            <v>0</v>
          </cell>
          <cell r="AF40">
            <v>0</v>
          </cell>
          <cell r="AG40">
            <v>-19</v>
          </cell>
          <cell r="AH40">
            <v>0</v>
          </cell>
          <cell r="AI40">
            <v>0</v>
          </cell>
          <cell r="AJ40">
            <v>0</v>
          </cell>
          <cell r="AK40">
            <v>0</v>
          </cell>
          <cell r="AL40">
            <v>0</v>
          </cell>
          <cell r="AM40">
            <v>0</v>
          </cell>
          <cell r="AN40">
            <v>0</v>
          </cell>
          <cell r="AO40">
            <v>0</v>
          </cell>
          <cell r="AP40">
            <v>0</v>
          </cell>
          <cell r="AQ40">
            <v>0</v>
          </cell>
          <cell r="AR40">
            <v>0</v>
          </cell>
          <cell r="AS40">
            <v>0</v>
          </cell>
          <cell r="AT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-16</v>
          </cell>
          <cell r="BO40">
            <v>-16</v>
          </cell>
          <cell r="BP40">
            <v>2</v>
          </cell>
          <cell r="BQ40">
            <v>0</v>
          </cell>
          <cell r="BR40">
            <v>0</v>
          </cell>
          <cell r="BS40">
            <v>0</v>
          </cell>
          <cell r="BT40">
            <v>2</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T40" t="str">
            <v>mstag:cumulativeEffectOfChangeInAccountingPrincipleNetOfTax</v>
          </cell>
          <cell r="DU40">
            <v>6</v>
          </cell>
          <cell r="DV40" t="str">
            <v>ISO4217:USD</v>
          </cell>
          <cell r="DW40" t="b">
            <v>0</v>
          </cell>
        </row>
        <row r="41">
          <cell r="B41" t="str">
            <v>Preferred Stock Dividend</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6</v>
          </cell>
          <cell r="CI41">
            <v>6</v>
          </cell>
          <cell r="CJ41">
            <v>6</v>
          </cell>
          <cell r="CK41">
            <v>6</v>
          </cell>
          <cell r="CL41">
            <v>6</v>
          </cell>
          <cell r="CM41">
            <v>6</v>
          </cell>
          <cell r="CN41">
            <v>24</v>
          </cell>
          <cell r="CO41">
            <v>6</v>
          </cell>
          <cell r="CP41">
            <v>6</v>
          </cell>
          <cell r="CQ41">
            <v>6</v>
          </cell>
          <cell r="CR41">
            <v>6</v>
          </cell>
          <cell r="CS41">
            <v>24</v>
          </cell>
          <cell r="CT41">
            <v>6</v>
          </cell>
          <cell r="CU41">
            <v>4</v>
          </cell>
          <cell r="CV41">
            <v>1</v>
          </cell>
          <cell r="CW41">
            <v>1</v>
          </cell>
          <cell r="CX41">
            <v>12</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T41" t="str">
            <v>mstag:preferredDividendsPaid</v>
          </cell>
          <cell r="DU41">
            <v>6</v>
          </cell>
          <cell r="DV41" t="str">
            <v>ISO4217:USD</v>
          </cell>
          <cell r="DW41" t="b">
            <v>0</v>
          </cell>
        </row>
        <row r="42">
          <cell r="B42" t="str">
            <v>Net income attributable to non-controlling interest</v>
          </cell>
          <cell r="D42">
            <v>1.988</v>
          </cell>
          <cell r="E42">
            <v>1.8</v>
          </cell>
          <cell r="F42">
            <v>1.2</v>
          </cell>
          <cell r="G42">
            <v>4.0119999999999996</v>
          </cell>
          <cell r="H42">
            <v>9</v>
          </cell>
          <cell r="I42">
            <v>5.6</v>
          </cell>
          <cell r="J42">
            <v>5</v>
          </cell>
          <cell r="K42">
            <v>4.2</v>
          </cell>
          <cell r="L42">
            <v>7.1999999999999993</v>
          </cell>
          <cell r="M42">
            <v>22</v>
          </cell>
          <cell r="N42">
            <v>4.5999999999999996</v>
          </cell>
          <cell r="O42">
            <v>5.5</v>
          </cell>
          <cell r="P42">
            <v>8.9</v>
          </cell>
          <cell r="Q42">
            <v>8</v>
          </cell>
          <cell r="R42">
            <v>27</v>
          </cell>
          <cell r="S42">
            <v>6</v>
          </cell>
          <cell r="T42">
            <v>7</v>
          </cell>
          <cell r="U42">
            <v>6</v>
          </cell>
          <cell r="V42">
            <v>3</v>
          </cell>
          <cell r="W42">
            <v>22</v>
          </cell>
          <cell r="X42">
            <v>4</v>
          </cell>
          <cell r="Y42">
            <v>1</v>
          </cell>
          <cell r="Z42">
            <v>0</v>
          </cell>
          <cell r="AA42">
            <v>2</v>
          </cell>
          <cell r="AB42">
            <v>7</v>
          </cell>
          <cell r="AC42">
            <v>5</v>
          </cell>
          <cell r="AD42">
            <v>5</v>
          </cell>
          <cell r="AE42">
            <v>6</v>
          </cell>
          <cell r="AF42">
            <v>5</v>
          </cell>
          <cell r="AG42">
            <v>21</v>
          </cell>
          <cell r="AH42">
            <v>6</v>
          </cell>
          <cell r="AI42">
            <v>4</v>
          </cell>
          <cell r="AJ42">
            <v>3</v>
          </cell>
          <cell r="AK42">
            <v>1</v>
          </cell>
          <cell r="AL42">
            <v>14</v>
          </cell>
          <cell r="AM42">
            <v>7</v>
          </cell>
          <cell r="AN42">
            <v>12</v>
          </cell>
          <cell r="AO42">
            <v>9</v>
          </cell>
          <cell r="AP42">
            <v>10</v>
          </cell>
          <cell r="AQ42">
            <v>38</v>
          </cell>
          <cell r="AR42">
            <v>11</v>
          </cell>
          <cell r="AS42">
            <v>9</v>
          </cell>
          <cell r="AT42">
            <v>5</v>
          </cell>
          <cell r="AV42">
            <v>11</v>
          </cell>
          <cell r="AW42">
            <v>8</v>
          </cell>
          <cell r="AX42">
            <v>11</v>
          </cell>
          <cell r="AY42">
            <v>5</v>
          </cell>
          <cell r="AZ42">
            <v>35</v>
          </cell>
          <cell r="BA42">
            <v>8</v>
          </cell>
          <cell r="BB42">
            <v>9</v>
          </cell>
          <cell r="BC42">
            <v>6</v>
          </cell>
          <cell r="BD42">
            <v>-11</v>
          </cell>
          <cell r="BE42">
            <v>12</v>
          </cell>
          <cell r="BF42">
            <v>5</v>
          </cell>
          <cell r="BG42">
            <v>0</v>
          </cell>
          <cell r="BH42">
            <v>1</v>
          </cell>
          <cell r="BI42">
            <v>-9</v>
          </cell>
          <cell r="BJ42">
            <v>-3</v>
          </cell>
          <cell r="BK42">
            <v>3</v>
          </cell>
          <cell r="BL42">
            <v>3</v>
          </cell>
          <cell r="BM42">
            <v>0</v>
          </cell>
          <cell r="BN42">
            <v>1</v>
          </cell>
          <cell r="BO42">
            <v>7</v>
          </cell>
          <cell r="BP42">
            <v>1</v>
          </cell>
          <cell r="BQ42">
            <v>0</v>
          </cell>
          <cell r="BR42">
            <v>1</v>
          </cell>
          <cell r="BS42">
            <v>2</v>
          </cell>
          <cell r="BT42">
            <v>4</v>
          </cell>
          <cell r="BU42">
            <v>2</v>
          </cell>
          <cell r="BV42">
            <v>1</v>
          </cell>
          <cell r="BW42">
            <v>0</v>
          </cell>
          <cell r="BX42">
            <v>1</v>
          </cell>
          <cell r="BY42">
            <v>4</v>
          </cell>
          <cell r="BZ42">
            <v>1</v>
          </cell>
          <cell r="CA42">
            <v>0</v>
          </cell>
          <cell r="CB42">
            <v>2</v>
          </cell>
          <cell r="CC42">
            <v>3</v>
          </cell>
          <cell r="CD42">
            <v>6</v>
          </cell>
          <cell r="CE42">
            <v>5</v>
          </cell>
          <cell r="CF42">
            <v>1</v>
          </cell>
          <cell r="CG42">
            <v>2</v>
          </cell>
          <cell r="CH42">
            <v>2</v>
          </cell>
          <cell r="CI42">
            <v>10</v>
          </cell>
          <cell r="CJ42">
            <v>1</v>
          </cell>
          <cell r="CK42">
            <v>4</v>
          </cell>
          <cell r="CL42">
            <v>2</v>
          </cell>
          <cell r="CM42">
            <v>2</v>
          </cell>
          <cell r="CN42">
            <v>9</v>
          </cell>
          <cell r="CO42">
            <v>3</v>
          </cell>
          <cell r="CP42">
            <v>2</v>
          </cell>
          <cell r="CQ42">
            <v>3</v>
          </cell>
          <cell r="CR42">
            <v>4</v>
          </cell>
          <cell r="CS42">
            <v>12</v>
          </cell>
          <cell r="CT42">
            <v>3</v>
          </cell>
          <cell r="CU42">
            <v>-18</v>
          </cell>
          <cell r="CV42">
            <v>-9</v>
          </cell>
          <cell r="CW42">
            <v>2</v>
          </cell>
          <cell r="CX42">
            <v>-22</v>
          </cell>
          <cell r="CY42">
            <v>3</v>
          </cell>
          <cell r="CZ42">
            <v>3</v>
          </cell>
          <cell r="DA42">
            <v>3</v>
          </cell>
          <cell r="DB42">
            <v>3</v>
          </cell>
          <cell r="DC42">
            <v>12</v>
          </cell>
          <cell r="DD42">
            <v>4</v>
          </cell>
          <cell r="DE42">
            <v>4</v>
          </cell>
          <cell r="DF42">
            <v>4</v>
          </cell>
          <cell r="DG42">
            <v>4</v>
          </cell>
          <cell r="DH42">
            <v>16</v>
          </cell>
          <cell r="DI42">
            <v>4.258500247103095</v>
          </cell>
          <cell r="DJ42">
            <v>4.2188259779530402</v>
          </cell>
          <cell r="DK42">
            <v>4.209253233329628</v>
          </cell>
          <cell r="DL42">
            <v>4.2138618780126231</v>
          </cell>
          <cell r="DM42">
            <v>16.900441336398387</v>
          </cell>
          <cell r="DN42">
            <v>4.4890219873028876</v>
          </cell>
          <cell r="DO42">
            <v>4.4509720044847194</v>
          </cell>
          <cell r="DP42">
            <v>4.4417377962577458</v>
          </cell>
          <cell r="DQ42">
            <v>4.4390560663319247</v>
          </cell>
          <cell r="DR42">
            <v>17.820787854377276</v>
          </cell>
          <cell r="DT42" t="str">
            <v>mstag:netIncomeAttributableToNoncontrollingInterest</v>
          </cell>
          <cell r="DU42">
            <v>6</v>
          </cell>
          <cell r="DV42" t="str">
            <v>ISO4217:USD</v>
          </cell>
          <cell r="DW42" t="b">
            <v>0</v>
          </cell>
        </row>
        <row r="43">
          <cell r="B43" t="str">
            <v>Reported Net income/(loss) -- (GAAP)</v>
          </cell>
          <cell r="D43">
            <v>64.02800000000002</v>
          </cell>
          <cell r="E43">
            <v>46.199999999999974</v>
          </cell>
          <cell r="F43">
            <v>48.899999999999949</v>
          </cell>
          <cell r="G43">
            <v>5.8719999999999937</v>
          </cell>
          <cell r="H43">
            <v>164.99999999999997</v>
          </cell>
          <cell r="I43">
            <v>118.30000000000004</v>
          </cell>
          <cell r="J43">
            <v>182.79999999999998</v>
          </cell>
          <cell r="K43">
            <v>70.700000000000117</v>
          </cell>
          <cell r="L43">
            <v>-21.800000000000257</v>
          </cell>
          <cell r="M43">
            <v>350</v>
          </cell>
          <cell r="N43">
            <v>72.399999999999892</v>
          </cell>
          <cell r="O43">
            <v>76.799999999999869</v>
          </cell>
          <cell r="P43">
            <v>-113.29999999999993</v>
          </cell>
          <cell r="Q43">
            <v>-289.90000000000066</v>
          </cell>
          <cell r="R43">
            <v>-254</v>
          </cell>
          <cell r="S43">
            <v>116</v>
          </cell>
          <cell r="T43">
            <v>138</v>
          </cell>
          <cell r="U43">
            <v>148</v>
          </cell>
          <cell r="V43">
            <v>-141</v>
          </cell>
          <cell r="W43">
            <v>261</v>
          </cell>
          <cell r="X43">
            <v>137</v>
          </cell>
          <cell r="Y43">
            <v>125</v>
          </cell>
          <cell r="Z43">
            <v>124</v>
          </cell>
          <cell r="AA43">
            <v>-137</v>
          </cell>
          <cell r="AB43">
            <v>249</v>
          </cell>
          <cell r="AC43">
            <v>109</v>
          </cell>
          <cell r="AD43">
            <v>135</v>
          </cell>
          <cell r="AE43">
            <v>38</v>
          </cell>
          <cell r="AF43">
            <v>20</v>
          </cell>
          <cell r="AG43">
            <v>302</v>
          </cell>
          <cell r="AH43">
            <v>154</v>
          </cell>
          <cell r="AI43">
            <v>175</v>
          </cell>
          <cell r="AJ43">
            <v>198</v>
          </cell>
          <cell r="AK43">
            <v>116</v>
          </cell>
          <cell r="AL43">
            <v>643</v>
          </cell>
          <cell r="AM43">
            <v>155</v>
          </cell>
          <cell r="AN43">
            <v>89</v>
          </cell>
          <cell r="AO43">
            <v>280</v>
          </cell>
          <cell r="AP43">
            <v>261</v>
          </cell>
          <cell r="AQ43">
            <v>785</v>
          </cell>
          <cell r="AR43">
            <v>338</v>
          </cell>
          <cell r="AS43">
            <v>315</v>
          </cell>
          <cell r="AT43">
            <v>-55</v>
          </cell>
          <cell r="AV43">
            <v>278</v>
          </cell>
          <cell r="AW43">
            <v>242</v>
          </cell>
          <cell r="AX43">
            <v>328</v>
          </cell>
          <cell r="AY43">
            <v>-31</v>
          </cell>
          <cell r="AZ43">
            <v>817</v>
          </cell>
          <cell r="BA43">
            <v>-20</v>
          </cell>
          <cell r="BB43">
            <v>-195</v>
          </cell>
          <cell r="BC43">
            <v>-308</v>
          </cell>
          <cell r="BD43">
            <v>-954</v>
          </cell>
          <cell r="BE43">
            <v>-1477</v>
          </cell>
          <cell r="BF43">
            <v>-122</v>
          </cell>
          <cell r="BG43">
            <v>-426</v>
          </cell>
          <cell r="BH43">
            <v>-70</v>
          </cell>
          <cell r="BI43">
            <v>-2022</v>
          </cell>
          <cell r="BJ43">
            <v>-2640</v>
          </cell>
          <cell r="BK43">
            <v>-4</v>
          </cell>
          <cell r="BL43">
            <v>-33</v>
          </cell>
          <cell r="BM43">
            <v>-401</v>
          </cell>
          <cell r="BN43">
            <v>-286</v>
          </cell>
          <cell r="BO43">
            <v>-724</v>
          </cell>
          <cell r="BP43">
            <v>70</v>
          </cell>
          <cell r="BQ43">
            <v>-398</v>
          </cell>
          <cell r="BR43">
            <v>-89</v>
          </cell>
          <cell r="BS43">
            <v>-386</v>
          </cell>
          <cell r="BT43">
            <v>-803</v>
          </cell>
          <cell r="BU43">
            <v>75</v>
          </cell>
          <cell r="BV43">
            <v>-30</v>
          </cell>
          <cell r="BW43">
            <v>-59</v>
          </cell>
          <cell r="BX43">
            <v>-75</v>
          </cell>
          <cell r="BY43">
            <v>-89</v>
          </cell>
          <cell r="BZ43">
            <v>-31</v>
          </cell>
          <cell r="CA43">
            <v>-15</v>
          </cell>
          <cell r="CB43">
            <v>104</v>
          </cell>
          <cell r="CC43">
            <v>-33</v>
          </cell>
          <cell r="CD43">
            <v>25</v>
          </cell>
          <cell r="CE43">
            <v>178</v>
          </cell>
          <cell r="CF43">
            <v>-15</v>
          </cell>
          <cell r="CG43">
            <v>-3</v>
          </cell>
          <cell r="CH43">
            <v>21</v>
          </cell>
          <cell r="CI43">
            <v>181</v>
          </cell>
          <cell r="CJ43">
            <v>88</v>
          </cell>
          <cell r="CK43">
            <v>25</v>
          </cell>
          <cell r="CL43">
            <v>932</v>
          </cell>
          <cell r="CM43">
            <v>74</v>
          </cell>
          <cell r="CN43">
            <v>1119</v>
          </cell>
          <cell r="CO43">
            <v>73</v>
          </cell>
          <cell r="CP43">
            <v>55</v>
          </cell>
          <cell r="CQ43">
            <v>6</v>
          </cell>
          <cell r="CR43">
            <v>-76</v>
          </cell>
          <cell r="CS43">
            <v>58</v>
          </cell>
          <cell r="CT43">
            <v>58</v>
          </cell>
          <cell r="CU43">
            <v>-6</v>
          </cell>
          <cell r="CV43">
            <v>40</v>
          </cell>
          <cell r="CW43">
            <v>60.791973209627599</v>
          </cell>
          <cell r="CX43">
            <v>152.79197320962794</v>
          </cell>
          <cell r="CY43">
            <v>33.146612355092657</v>
          </cell>
          <cell r="CZ43">
            <v>76.853581417312114</v>
          </cell>
          <cell r="DA43">
            <v>61.466048838251822</v>
          </cell>
          <cell r="DB43">
            <v>104.67599603683516</v>
          </cell>
          <cell r="DC43">
            <v>276.14223864749249</v>
          </cell>
          <cell r="DD43">
            <v>69.990651981231224</v>
          </cell>
          <cell r="DE43">
            <v>97.09281999129503</v>
          </cell>
          <cell r="DF43">
            <v>76.383250364440926</v>
          </cell>
          <cell r="DG43">
            <v>124.71349262807792</v>
          </cell>
          <cell r="DH43">
            <v>368.18021496504582</v>
          </cell>
          <cell r="DI43">
            <v>84.313051853487323</v>
          </cell>
          <cell r="DJ43">
            <v>103.39382986490556</v>
          </cell>
          <cell r="DK43">
            <v>84.93570776154553</v>
          </cell>
          <cell r="DL43">
            <v>139.33454879735996</v>
          </cell>
          <cell r="DM43">
            <v>411.97713827729763</v>
          </cell>
          <cell r="DN43">
            <v>100.79282101604809</v>
          </cell>
          <cell r="DO43">
            <v>116.62232999086577</v>
          </cell>
          <cell r="DP43">
            <v>97.73744178072215</v>
          </cell>
          <cell r="DQ43">
            <v>152.90114265272507</v>
          </cell>
          <cell r="DR43">
            <v>468.05373544036024</v>
          </cell>
        </row>
        <row r="44">
          <cell r="B44" t="str">
            <v>Adjustments</v>
          </cell>
          <cell r="D44">
            <v>1.47</v>
          </cell>
          <cell r="E44">
            <v>2.258</v>
          </cell>
          <cell r="F44">
            <v>1.7749999999999999</v>
          </cell>
          <cell r="G44">
            <v>0</v>
          </cell>
          <cell r="H44">
            <v>5.5030000000000001</v>
          </cell>
          <cell r="I44">
            <v>1.7869999999999999</v>
          </cell>
          <cell r="J44">
            <v>0</v>
          </cell>
          <cell r="K44">
            <v>0</v>
          </cell>
          <cell r="L44">
            <v>0</v>
          </cell>
          <cell r="M44">
            <v>1.7869999999999999</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6</v>
          </cell>
          <cell r="CJ44">
            <v>6</v>
          </cell>
          <cell r="CK44">
            <v>6</v>
          </cell>
          <cell r="CL44">
            <v>6</v>
          </cell>
          <cell r="CM44">
            <v>6</v>
          </cell>
          <cell r="CN44">
            <v>24</v>
          </cell>
          <cell r="CO44">
            <v>7</v>
          </cell>
          <cell r="CP44">
            <v>9</v>
          </cell>
          <cell r="CQ44">
            <v>9</v>
          </cell>
          <cell r="CR44">
            <v>10</v>
          </cell>
          <cell r="CS44">
            <v>35</v>
          </cell>
          <cell r="CT44">
            <v>9</v>
          </cell>
          <cell r="CU44">
            <v>6</v>
          </cell>
          <cell r="CV44">
            <v>3</v>
          </cell>
          <cell r="CW44">
            <v>-1.88</v>
          </cell>
          <cell r="CX44">
            <v>16.12</v>
          </cell>
          <cell r="CY44">
            <v>3</v>
          </cell>
          <cell r="CZ44">
            <v>3</v>
          </cell>
          <cell r="DA44">
            <v>3</v>
          </cell>
          <cell r="DB44">
            <v>3</v>
          </cell>
          <cell r="DC44">
            <v>12</v>
          </cell>
          <cell r="DD44">
            <v>4</v>
          </cell>
          <cell r="DE44">
            <v>4</v>
          </cell>
          <cell r="DF44">
            <v>4</v>
          </cell>
          <cell r="DG44">
            <v>4</v>
          </cell>
          <cell r="DH44">
            <v>16</v>
          </cell>
          <cell r="DI44">
            <v>4.2845638307348164</v>
          </cell>
          <cell r="DJ44">
            <v>4.1137063499523974</v>
          </cell>
          <cell r="DK44">
            <v>4.1666606740348131</v>
          </cell>
          <cell r="DL44">
            <v>4.2080538574786415</v>
          </cell>
          <cell r="DM44">
            <v>16.772984712200667</v>
          </cell>
          <cell r="DN44">
            <v>4.5826366173819153</v>
          </cell>
          <cell r="DO44">
            <v>4.3215489677718528</v>
          </cell>
          <cell r="DP44">
            <v>4.3865967157582864</v>
          </cell>
          <cell r="DQ44">
            <v>4.4239121770225251</v>
          </cell>
          <cell r="DR44">
            <v>17.714694477934582</v>
          </cell>
          <cell r="DT44" t="str">
            <v>mstag:oneTimeItemsNotAllocatedToOtherExpenseIncomeItemsNetOfTax</v>
          </cell>
          <cell r="DU44">
            <v>6</v>
          </cell>
          <cell r="DV44" t="str">
            <v>ISO4217:USD</v>
          </cell>
          <cell r="DW44" t="b">
            <v>0</v>
          </cell>
        </row>
        <row r="45">
          <cell r="B45" t="str">
            <v>Income attributable to common shareholders (cont ops)</v>
          </cell>
          <cell r="D45">
            <v>65.498000000000019</v>
          </cell>
          <cell r="E45">
            <v>48.457999999999977</v>
          </cell>
          <cell r="F45">
            <v>50.674999999999947</v>
          </cell>
          <cell r="G45">
            <v>5.8719999999999937</v>
          </cell>
          <cell r="H45">
            <v>170.50299999999999</v>
          </cell>
          <cell r="I45">
            <v>120.08700000000005</v>
          </cell>
          <cell r="J45">
            <v>182.79999999999998</v>
          </cell>
          <cell r="K45">
            <v>70.700000000000117</v>
          </cell>
          <cell r="L45">
            <v>-21.800000000000257</v>
          </cell>
          <cell r="M45">
            <v>351.78699999999998</v>
          </cell>
          <cell r="N45">
            <v>72.399999999999892</v>
          </cell>
          <cell r="O45">
            <v>76.799999999999869</v>
          </cell>
          <cell r="P45">
            <v>-113.29999999999993</v>
          </cell>
          <cell r="Q45">
            <v>-289.90000000000066</v>
          </cell>
          <cell r="R45">
            <v>-254</v>
          </cell>
          <cell r="S45">
            <v>116</v>
          </cell>
          <cell r="T45">
            <v>138</v>
          </cell>
          <cell r="U45">
            <v>148</v>
          </cell>
          <cell r="V45">
            <v>-141</v>
          </cell>
          <cell r="W45">
            <v>261</v>
          </cell>
          <cell r="X45">
            <v>137</v>
          </cell>
          <cell r="Y45">
            <v>125</v>
          </cell>
          <cell r="Z45">
            <v>124</v>
          </cell>
          <cell r="AA45">
            <v>-137</v>
          </cell>
          <cell r="AB45">
            <v>249</v>
          </cell>
          <cell r="AC45">
            <v>109</v>
          </cell>
          <cell r="AD45">
            <v>135</v>
          </cell>
          <cell r="AE45">
            <v>38</v>
          </cell>
          <cell r="AF45">
            <v>20</v>
          </cell>
          <cell r="AG45">
            <v>302</v>
          </cell>
          <cell r="AH45">
            <v>154</v>
          </cell>
          <cell r="AI45">
            <v>175</v>
          </cell>
          <cell r="AJ45">
            <v>198</v>
          </cell>
          <cell r="AK45">
            <v>116</v>
          </cell>
          <cell r="AL45">
            <v>643</v>
          </cell>
          <cell r="AM45">
            <v>155</v>
          </cell>
          <cell r="AN45">
            <v>89</v>
          </cell>
          <cell r="AO45">
            <v>280</v>
          </cell>
          <cell r="AP45">
            <v>261</v>
          </cell>
          <cell r="AQ45">
            <v>785</v>
          </cell>
          <cell r="AR45">
            <v>338</v>
          </cell>
          <cell r="AS45">
            <v>315</v>
          </cell>
          <cell r="AT45">
            <v>-55</v>
          </cell>
          <cell r="AV45">
            <v>278</v>
          </cell>
          <cell r="AW45">
            <v>242</v>
          </cell>
          <cell r="AX45">
            <v>328</v>
          </cell>
          <cell r="AY45">
            <v>-31</v>
          </cell>
          <cell r="AZ45">
            <v>817</v>
          </cell>
          <cell r="BA45">
            <v>-20</v>
          </cell>
          <cell r="BB45">
            <v>-195</v>
          </cell>
          <cell r="BC45">
            <v>-308</v>
          </cell>
          <cell r="BD45">
            <v>-954</v>
          </cell>
          <cell r="BE45">
            <v>-1477</v>
          </cell>
          <cell r="BF45">
            <v>-122</v>
          </cell>
          <cell r="BG45">
            <v>-426</v>
          </cell>
          <cell r="BH45">
            <v>-70</v>
          </cell>
          <cell r="BI45">
            <v>-2022</v>
          </cell>
          <cell r="BJ45">
            <v>-2640</v>
          </cell>
          <cell r="BK45">
            <v>-4</v>
          </cell>
          <cell r="BL45">
            <v>-33</v>
          </cell>
          <cell r="BM45">
            <v>-401</v>
          </cell>
          <cell r="BN45">
            <v>-286</v>
          </cell>
          <cell r="BO45">
            <v>-724</v>
          </cell>
          <cell r="BP45">
            <v>70</v>
          </cell>
          <cell r="BQ45">
            <v>-398</v>
          </cell>
          <cell r="BR45">
            <v>-89</v>
          </cell>
          <cell r="BS45">
            <v>-386</v>
          </cell>
          <cell r="BT45">
            <v>-803</v>
          </cell>
          <cell r="BU45">
            <v>75</v>
          </cell>
          <cell r="BV45">
            <v>-30</v>
          </cell>
          <cell r="BW45">
            <v>-59</v>
          </cell>
          <cell r="BX45">
            <v>-75</v>
          </cell>
          <cell r="BY45">
            <v>-89</v>
          </cell>
          <cell r="BZ45">
            <v>-31</v>
          </cell>
          <cell r="CA45">
            <v>-15</v>
          </cell>
          <cell r="CB45">
            <v>104</v>
          </cell>
          <cell r="CC45">
            <v>-33</v>
          </cell>
          <cell r="CD45">
            <v>25</v>
          </cell>
          <cell r="CE45">
            <v>178</v>
          </cell>
          <cell r="CF45">
            <v>-15</v>
          </cell>
          <cell r="CG45">
            <v>-3</v>
          </cell>
          <cell r="CH45">
            <v>21</v>
          </cell>
          <cell r="CI45">
            <v>187</v>
          </cell>
          <cell r="CJ45">
            <v>94</v>
          </cell>
          <cell r="CK45">
            <v>31</v>
          </cell>
          <cell r="CL45">
            <v>938</v>
          </cell>
          <cell r="CM45">
            <v>80</v>
          </cell>
          <cell r="CN45">
            <v>1143</v>
          </cell>
          <cell r="CO45">
            <v>80</v>
          </cell>
          <cell r="CP45">
            <v>40</v>
          </cell>
          <cell r="CQ45">
            <v>8</v>
          </cell>
          <cell r="CR45">
            <v>-60</v>
          </cell>
          <cell r="CS45">
            <v>68</v>
          </cell>
          <cell r="CT45">
            <v>57</v>
          </cell>
          <cell r="CU45">
            <v>42</v>
          </cell>
          <cell r="CV45">
            <v>30</v>
          </cell>
          <cell r="CW45">
            <v>70.171973209627595</v>
          </cell>
          <cell r="CX45">
            <v>199.17197320962794</v>
          </cell>
          <cell r="CY45">
            <v>33.146612355092657</v>
          </cell>
          <cell r="CZ45">
            <v>76.853581417312114</v>
          </cell>
          <cell r="DA45">
            <v>61.466048838251822</v>
          </cell>
          <cell r="DB45">
            <v>104.67599603683516</v>
          </cell>
          <cell r="DC45">
            <v>276.14223864749249</v>
          </cell>
          <cell r="DD45">
            <v>69.990651981231224</v>
          </cell>
          <cell r="DE45">
            <v>97.09281999129503</v>
          </cell>
          <cell r="DF45">
            <v>76.383250364440926</v>
          </cell>
          <cell r="DG45">
            <v>124.71349262807792</v>
          </cell>
          <cell r="DH45">
            <v>368.18021496504582</v>
          </cell>
          <cell r="DI45">
            <v>84.286988269855613</v>
          </cell>
          <cell r="DJ45">
            <v>103.49894949290621</v>
          </cell>
          <cell r="DK45">
            <v>84.978300320840347</v>
          </cell>
          <cell r="DL45">
            <v>139.34035681789396</v>
          </cell>
          <cell r="DM45">
            <v>412.10459490149537</v>
          </cell>
          <cell r="DN45">
            <v>100.69920638596906</v>
          </cell>
          <cell r="DO45">
            <v>116.75175302757864</v>
          </cell>
          <cell r="DP45">
            <v>97.792582861221604</v>
          </cell>
          <cell r="DQ45">
            <v>152.91628654203447</v>
          </cell>
          <cell r="DR45">
            <v>468.15982881680293</v>
          </cell>
        </row>
        <row r="46">
          <cell r="B46" t="str">
            <v>Operating EPS from continuing operations:</v>
          </cell>
        </row>
        <row r="47">
          <cell r="B47" t="str">
            <v>Litigation settlement charges</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V47">
            <v>0</v>
          </cell>
          <cell r="AW47">
            <v>0</v>
          </cell>
          <cell r="AX47">
            <v>0</v>
          </cell>
          <cell r="AY47">
            <v>0</v>
          </cell>
          <cell r="AZ47">
            <v>0</v>
          </cell>
          <cell r="BA47">
            <v>0</v>
          </cell>
          <cell r="BB47">
            <v>45</v>
          </cell>
          <cell r="BC47">
            <v>155</v>
          </cell>
          <cell r="BD47">
            <v>-21</v>
          </cell>
          <cell r="BE47">
            <v>179</v>
          </cell>
          <cell r="BF47">
            <v>6.3822070675759459</v>
          </cell>
          <cell r="BG47">
            <v>6</v>
          </cell>
          <cell r="BH47">
            <v>6</v>
          </cell>
          <cell r="BI47">
            <v>28</v>
          </cell>
          <cell r="BJ47">
            <v>46.382207067575948</v>
          </cell>
          <cell r="BK47">
            <v>8</v>
          </cell>
          <cell r="BL47">
            <v>11</v>
          </cell>
          <cell r="BM47">
            <v>28</v>
          </cell>
          <cell r="BN47">
            <v>165</v>
          </cell>
          <cell r="BO47">
            <v>212</v>
          </cell>
          <cell r="BP47">
            <v>16</v>
          </cell>
          <cell r="BQ47">
            <v>728</v>
          </cell>
          <cell r="BR47">
            <v>7</v>
          </cell>
          <cell r="BS47">
            <v>15</v>
          </cell>
          <cell r="BT47">
            <v>766</v>
          </cell>
          <cell r="BU47">
            <v>-1</v>
          </cell>
          <cell r="BV47">
            <v>-1</v>
          </cell>
          <cell r="BW47">
            <v>3</v>
          </cell>
          <cell r="BX47">
            <v>12</v>
          </cell>
          <cell r="BY47">
            <v>13</v>
          </cell>
          <cell r="BZ47">
            <v>47</v>
          </cell>
          <cell r="CA47">
            <v>3</v>
          </cell>
          <cell r="CB47">
            <v>-5</v>
          </cell>
          <cell r="CC47">
            <v>-4</v>
          </cell>
          <cell r="CD47">
            <v>41</v>
          </cell>
          <cell r="CE47">
            <v>1</v>
          </cell>
          <cell r="CF47">
            <v>9</v>
          </cell>
          <cell r="CG47">
            <v>3</v>
          </cell>
          <cell r="CH47">
            <v>18</v>
          </cell>
          <cell r="CI47">
            <v>31</v>
          </cell>
          <cell r="CJ47">
            <v>2</v>
          </cell>
          <cell r="CK47">
            <v>2</v>
          </cell>
          <cell r="CL47">
            <v>2</v>
          </cell>
          <cell r="CM47">
            <v>6</v>
          </cell>
          <cell r="CN47">
            <v>12</v>
          </cell>
          <cell r="CO47">
            <v>11</v>
          </cell>
          <cell r="CP47">
            <v>8</v>
          </cell>
          <cell r="CQ47">
            <v>5</v>
          </cell>
          <cell r="CR47">
            <v>31</v>
          </cell>
          <cell r="CS47">
            <v>55</v>
          </cell>
          <cell r="CT47">
            <v>2</v>
          </cell>
          <cell r="CU47">
            <v>1</v>
          </cell>
          <cell r="CV47">
            <v>0</v>
          </cell>
          <cell r="CW47">
            <v>4</v>
          </cell>
          <cell r="CX47">
            <v>7</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row>
        <row r="48">
          <cell r="B48" t="str">
            <v>Asset impairments &amp; restructuring costs</v>
          </cell>
          <cell r="D48">
            <v>-24.039002142857147</v>
          </cell>
          <cell r="E48">
            <v>0</v>
          </cell>
          <cell r="F48">
            <v>0</v>
          </cell>
          <cell r="G48">
            <v>29.743172142857148</v>
          </cell>
          <cell r="H48">
            <v>5.7041700000000013</v>
          </cell>
          <cell r="I48">
            <v>0</v>
          </cell>
          <cell r="J48">
            <v>0</v>
          </cell>
          <cell r="K48">
            <v>0</v>
          </cell>
          <cell r="L48">
            <v>0</v>
          </cell>
          <cell r="M48">
            <v>0</v>
          </cell>
          <cell r="N48">
            <v>0</v>
          </cell>
          <cell r="O48">
            <v>0</v>
          </cell>
          <cell r="P48">
            <v>186.12594594594594</v>
          </cell>
          <cell r="Q48">
            <v>319.87405405405406</v>
          </cell>
          <cell r="R48">
            <v>506</v>
          </cell>
          <cell r="S48">
            <v>0</v>
          </cell>
          <cell r="T48">
            <v>-10.948840803709428</v>
          </cell>
          <cell r="U48">
            <v>0</v>
          </cell>
          <cell r="V48">
            <v>170.12647080370942</v>
          </cell>
          <cell r="W48">
            <v>159.17762999999999</v>
          </cell>
          <cell r="X48">
            <v>0</v>
          </cell>
          <cell r="Y48">
            <v>0</v>
          </cell>
          <cell r="Z48">
            <v>0</v>
          </cell>
          <cell r="AA48">
            <v>269.51196000000004</v>
          </cell>
          <cell r="AB48">
            <v>269.51196000000004</v>
          </cell>
          <cell r="AC48">
            <v>-7.4836601307189543</v>
          </cell>
          <cell r="AD48">
            <v>-43.405228758169933</v>
          </cell>
          <cell r="AE48">
            <v>135.45424836601308</v>
          </cell>
          <cell r="AF48">
            <v>144.43464052287584</v>
          </cell>
          <cell r="AG48">
            <v>229.00000000000003</v>
          </cell>
          <cell r="AH48">
            <v>0</v>
          </cell>
          <cell r="AI48">
            <v>0</v>
          </cell>
          <cell r="AJ48">
            <v>0</v>
          </cell>
          <cell r="AK48">
            <v>74</v>
          </cell>
          <cell r="AL48">
            <v>74</v>
          </cell>
          <cell r="AM48">
            <v>0</v>
          </cell>
          <cell r="AN48">
            <v>66</v>
          </cell>
          <cell r="AO48">
            <v>0</v>
          </cell>
          <cell r="AP48">
            <v>0</v>
          </cell>
          <cell r="AQ48">
            <v>66</v>
          </cell>
          <cell r="AR48">
            <v>0</v>
          </cell>
          <cell r="AS48">
            <v>40</v>
          </cell>
          <cell r="AT48">
            <v>245</v>
          </cell>
          <cell r="AV48">
            <v>0</v>
          </cell>
          <cell r="AW48">
            <v>0</v>
          </cell>
          <cell r="AX48">
            <v>0</v>
          </cell>
          <cell r="AY48">
            <v>205.4</v>
          </cell>
          <cell r="AZ48">
            <v>205.4</v>
          </cell>
          <cell r="BA48">
            <v>-147</v>
          </cell>
          <cell r="BB48">
            <v>172</v>
          </cell>
          <cell r="BC48">
            <v>6</v>
          </cell>
          <cell r="BD48">
            <v>1126</v>
          </cell>
          <cell r="BE48">
            <v>1157</v>
          </cell>
          <cell r="BF48">
            <v>38.293242405455672</v>
          </cell>
          <cell r="BG48">
            <v>38</v>
          </cell>
          <cell r="BH48">
            <v>0</v>
          </cell>
          <cell r="BI48">
            <v>1062</v>
          </cell>
          <cell r="BJ48">
            <v>1138.2932424054557</v>
          </cell>
          <cell r="BK48">
            <v>24</v>
          </cell>
          <cell r="BL48">
            <v>-4</v>
          </cell>
          <cell r="BM48">
            <v>205</v>
          </cell>
          <cell r="BN48">
            <v>56</v>
          </cell>
          <cell r="BO48">
            <v>281</v>
          </cell>
          <cell r="BP48">
            <v>1</v>
          </cell>
          <cell r="BQ48">
            <v>27</v>
          </cell>
          <cell r="BR48">
            <v>1</v>
          </cell>
          <cell r="BS48">
            <v>323</v>
          </cell>
          <cell r="BT48">
            <v>352</v>
          </cell>
          <cell r="BU48">
            <v>3</v>
          </cell>
          <cell r="BV48">
            <v>10</v>
          </cell>
          <cell r="BW48">
            <v>13</v>
          </cell>
          <cell r="BX48">
            <v>36</v>
          </cell>
          <cell r="BY48">
            <v>62</v>
          </cell>
          <cell r="BZ48">
            <v>1</v>
          </cell>
          <cell r="CA48">
            <v>2</v>
          </cell>
          <cell r="CB48">
            <v>1</v>
          </cell>
          <cell r="CC48">
            <v>14</v>
          </cell>
          <cell r="CD48">
            <v>18</v>
          </cell>
          <cell r="CE48">
            <v>5</v>
          </cell>
          <cell r="CF48">
            <v>1</v>
          </cell>
          <cell r="CG48">
            <v>7</v>
          </cell>
          <cell r="CH48">
            <v>14</v>
          </cell>
          <cell r="CI48">
            <v>27</v>
          </cell>
          <cell r="CJ48">
            <v>0</v>
          </cell>
          <cell r="CK48">
            <v>-2</v>
          </cell>
          <cell r="CL48">
            <v>3</v>
          </cell>
          <cell r="CM48">
            <v>9</v>
          </cell>
          <cell r="CN48">
            <v>10</v>
          </cell>
          <cell r="CO48">
            <v>8</v>
          </cell>
          <cell r="CP48">
            <v>2</v>
          </cell>
          <cell r="CQ48">
            <v>8</v>
          </cell>
          <cell r="CR48">
            <v>2</v>
          </cell>
          <cell r="CS48">
            <v>20</v>
          </cell>
          <cell r="CT48">
            <v>3</v>
          </cell>
          <cell r="CU48">
            <v>3</v>
          </cell>
          <cell r="CV48">
            <v>6</v>
          </cell>
          <cell r="CW48">
            <v>4</v>
          </cell>
          <cell r="CX48">
            <v>16</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row>
        <row r="49">
          <cell r="B49" t="str">
            <v>Deferred tax asset valuation allowance and other tax adjustments</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V49">
            <v>0</v>
          </cell>
          <cell r="AW49">
            <v>0</v>
          </cell>
          <cell r="AX49">
            <v>0</v>
          </cell>
          <cell r="AY49">
            <v>0</v>
          </cell>
          <cell r="AZ49">
            <v>0</v>
          </cell>
          <cell r="BA49">
            <v>0</v>
          </cell>
          <cell r="BB49">
            <v>0</v>
          </cell>
          <cell r="BF49">
            <v>0</v>
          </cell>
          <cell r="BG49">
            <v>0</v>
          </cell>
          <cell r="BH49">
            <v>0</v>
          </cell>
          <cell r="BI49">
            <v>480</v>
          </cell>
          <cell r="BJ49">
            <v>480</v>
          </cell>
          <cell r="BK49">
            <v>-22</v>
          </cell>
          <cell r="BL49">
            <v>13</v>
          </cell>
          <cell r="BM49">
            <v>139</v>
          </cell>
          <cell r="BN49">
            <v>88</v>
          </cell>
          <cell r="BO49">
            <v>218</v>
          </cell>
          <cell r="BP49">
            <v>-7</v>
          </cell>
          <cell r="BQ49">
            <v>2</v>
          </cell>
          <cell r="BR49">
            <v>19</v>
          </cell>
          <cell r="BS49">
            <v>126</v>
          </cell>
          <cell r="BT49">
            <v>140</v>
          </cell>
          <cell r="BU49">
            <v>-2</v>
          </cell>
          <cell r="BV49">
            <v>16</v>
          </cell>
          <cell r="BW49">
            <v>11</v>
          </cell>
          <cell r="BX49">
            <v>-62</v>
          </cell>
          <cell r="BY49">
            <v>-37</v>
          </cell>
          <cell r="BZ49">
            <v>-2</v>
          </cell>
          <cell r="CA49">
            <v>1</v>
          </cell>
          <cell r="CB49">
            <v>-47</v>
          </cell>
          <cell r="CC49">
            <v>0</v>
          </cell>
          <cell r="CD49">
            <v>-48</v>
          </cell>
          <cell r="CE49">
            <v>-72</v>
          </cell>
          <cell r="CF49">
            <v>-1</v>
          </cell>
          <cell r="CG49">
            <v>-3</v>
          </cell>
          <cell r="CH49">
            <v>-33</v>
          </cell>
          <cell r="CI49">
            <v>-109</v>
          </cell>
          <cell r="CJ49">
            <v>-33</v>
          </cell>
          <cell r="CK49">
            <v>-6</v>
          </cell>
          <cell r="CL49">
            <v>-981</v>
          </cell>
          <cell r="CM49">
            <v>-23</v>
          </cell>
          <cell r="CN49">
            <v>-1043</v>
          </cell>
          <cell r="CO49">
            <v>-5</v>
          </cell>
          <cell r="CP49">
            <v>-7</v>
          </cell>
          <cell r="CQ49">
            <v>-4</v>
          </cell>
          <cell r="CR49">
            <v>8</v>
          </cell>
          <cell r="CS49">
            <v>-8</v>
          </cell>
          <cell r="CT49">
            <v>0</v>
          </cell>
          <cell r="CU49">
            <v>-1</v>
          </cell>
          <cell r="CV49">
            <v>-2</v>
          </cell>
        </row>
        <row r="50">
          <cell r="B50" t="str">
            <v>Loss (gain) from divestitures</v>
          </cell>
          <cell r="D50">
            <v>0</v>
          </cell>
          <cell r="E50">
            <v>0</v>
          </cell>
          <cell r="F50">
            <v>0</v>
          </cell>
          <cell r="G50">
            <v>0</v>
          </cell>
          <cell r="H50">
            <v>0</v>
          </cell>
          <cell r="I50">
            <v>-60.434360000000005</v>
          </cell>
          <cell r="J50">
            <v>-116.83569999999997</v>
          </cell>
          <cell r="K50">
            <v>0</v>
          </cell>
          <cell r="L50">
            <v>49.431219999999996</v>
          </cell>
          <cell r="M50">
            <v>-127.83883999999998</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-4</v>
          </cell>
          <cell r="BO50">
            <v>-4</v>
          </cell>
          <cell r="BP50">
            <v>-2</v>
          </cell>
          <cell r="BQ50">
            <v>0</v>
          </cell>
          <cell r="BR50">
            <v>0</v>
          </cell>
          <cell r="BS50">
            <v>-3</v>
          </cell>
          <cell r="BT50">
            <v>-5</v>
          </cell>
          <cell r="BU50">
            <v>0</v>
          </cell>
          <cell r="BV50">
            <v>0</v>
          </cell>
          <cell r="BW50">
            <v>0</v>
          </cell>
          <cell r="BX50">
            <v>0</v>
          </cell>
          <cell r="BY50">
            <v>0</v>
          </cell>
          <cell r="BZ50">
            <v>0</v>
          </cell>
          <cell r="CA50">
            <v>0</v>
          </cell>
          <cell r="CB50">
            <v>-140</v>
          </cell>
          <cell r="CC50">
            <v>1</v>
          </cell>
          <cell r="CD50">
            <v>-139</v>
          </cell>
          <cell r="CE50">
            <v>0</v>
          </cell>
          <cell r="CF50">
            <v>-15</v>
          </cell>
          <cell r="CG50">
            <v>0</v>
          </cell>
          <cell r="CH50">
            <v>0</v>
          </cell>
          <cell r="CI50">
            <v>-15</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row>
        <row r="51">
          <cell r="B51" t="str">
            <v>Loss (gain) on early retirement of debt</v>
          </cell>
          <cell r="D51">
            <v>0</v>
          </cell>
          <cell r="E51">
            <v>0</v>
          </cell>
          <cell r="F51">
            <v>0</v>
          </cell>
          <cell r="G51">
            <v>20</v>
          </cell>
          <cell r="H51">
            <v>20</v>
          </cell>
          <cell r="I51">
            <v>0</v>
          </cell>
          <cell r="J51">
            <v>0</v>
          </cell>
          <cell r="K51">
            <v>0</v>
          </cell>
          <cell r="L51">
            <v>23</v>
          </cell>
          <cell r="M51">
            <v>23</v>
          </cell>
          <cell r="N51">
            <v>0</v>
          </cell>
          <cell r="O51">
            <v>0</v>
          </cell>
          <cell r="P51">
            <v>47.4</v>
          </cell>
          <cell r="Q51">
            <v>-0.39999999999999858</v>
          </cell>
          <cell r="R51">
            <v>47</v>
          </cell>
          <cell r="S51">
            <v>0</v>
          </cell>
          <cell r="T51">
            <v>0</v>
          </cell>
          <cell r="U51">
            <v>0</v>
          </cell>
          <cell r="V51">
            <v>117</v>
          </cell>
          <cell r="W51">
            <v>117</v>
          </cell>
          <cell r="X51">
            <v>0</v>
          </cell>
          <cell r="Y51">
            <v>0</v>
          </cell>
          <cell r="Z51">
            <v>0</v>
          </cell>
          <cell r="AA51">
            <v>0</v>
          </cell>
          <cell r="AB51">
            <v>0</v>
          </cell>
          <cell r="AC51">
            <v>0</v>
          </cell>
          <cell r="AD51">
            <v>0</v>
          </cell>
          <cell r="AE51">
            <v>0</v>
          </cell>
          <cell r="AF51">
            <v>0</v>
          </cell>
          <cell r="AG51">
            <v>0</v>
          </cell>
          <cell r="AH51">
            <v>0</v>
          </cell>
          <cell r="AI51">
            <v>0</v>
          </cell>
          <cell r="AJ51">
            <v>0</v>
          </cell>
          <cell r="AK51">
            <v>35</v>
          </cell>
          <cell r="AL51">
            <v>35</v>
          </cell>
          <cell r="AM51">
            <v>69</v>
          </cell>
          <cell r="AN51">
            <v>103</v>
          </cell>
          <cell r="AO51">
            <v>8</v>
          </cell>
          <cell r="AP51">
            <v>60</v>
          </cell>
          <cell r="AQ51">
            <v>240</v>
          </cell>
          <cell r="AR51">
            <v>3</v>
          </cell>
          <cell r="AS51">
            <v>0</v>
          </cell>
          <cell r="AT51">
            <v>0</v>
          </cell>
          <cell r="AV51">
            <v>4</v>
          </cell>
          <cell r="AW51">
            <v>60</v>
          </cell>
          <cell r="AX51">
            <v>1.9500000000000002</v>
          </cell>
          <cell r="AY51">
            <v>0</v>
          </cell>
          <cell r="AZ51">
            <v>65.95</v>
          </cell>
          <cell r="BA51">
            <v>0</v>
          </cell>
          <cell r="BB51">
            <v>0</v>
          </cell>
          <cell r="BC51">
            <v>0</v>
          </cell>
          <cell r="BD51">
            <v>0</v>
          </cell>
          <cell r="BE51">
            <v>0</v>
          </cell>
          <cell r="BF51">
            <v>0</v>
          </cell>
          <cell r="BG51">
            <v>-3</v>
          </cell>
          <cell r="BH51">
            <v>-7</v>
          </cell>
          <cell r="BI51">
            <v>0</v>
          </cell>
          <cell r="BJ51">
            <v>-10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-134</v>
          </cell>
          <cell r="CF51">
            <v>21</v>
          </cell>
          <cell r="CG51">
            <v>16</v>
          </cell>
          <cell r="CH51">
            <v>0</v>
          </cell>
          <cell r="CI51">
            <v>-97</v>
          </cell>
          <cell r="CJ51">
            <v>0</v>
          </cell>
          <cell r="CK51">
            <v>0</v>
          </cell>
          <cell r="CL51">
            <v>55</v>
          </cell>
          <cell r="CM51">
            <v>2</v>
          </cell>
          <cell r="CN51">
            <v>57</v>
          </cell>
          <cell r="CO51">
            <v>0</v>
          </cell>
          <cell r="CP51">
            <v>0</v>
          </cell>
          <cell r="CQ51">
            <v>0</v>
          </cell>
          <cell r="CR51">
            <v>117</v>
          </cell>
          <cell r="CS51">
            <v>117</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row>
        <row r="52">
          <cell r="B52" t="str">
            <v>Other one-time items</v>
          </cell>
          <cell r="D52">
            <v>0</v>
          </cell>
          <cell r="E52">
            <v>0</v>
          </cell>
          <cell r="F52">
            <v>0</v>
          </cell>
          <cell r="G52">
            <v>0</v>
          </cell>
          <cell r="H52">
            <v>0</v>
          </cell>
          <cell r="I52">
            <v>0</v>
          </cell>
          <cell r="J52">
            <v>0</v>
          </cell>
          <cell r="K52">
            <v>0</v>
          </cell>
          <cell r="L52">
            <v>0</v>
          </cell>
          <cell r="M52">
            <v>0</v>
          </cell>
          <cell r="N52">
            <v>0</v>
          </cell>
          <cell r="O52">
            <v>0</v>
          </cell>
          <cell r="P52">
            <v>0</v>
          </cell>
          <cell r="Q52">
            <v>11.700000000000001</v>
          </cell>
          <cell r="R52">
            <v>11.700000000000001</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V52">
            <v>20</v>
          </cell>
          <cell r="AW52">
            <v>0</v>
          </cell>
          <cell r="AX52">
            <v>0</v>
          </cell>
          <cell r="AY52">
            <v>0</v>
          </cell>
          <cell r="AZ52">
            <v>20</v>
          </cell>
          <cell r="BA52">
            <v>0</v>
          </cell>
          <cell r="BB52">
            <v>0</v>
          </cell>
          <cell r="BC52">
            <v>0</v>
          </cell>
          <cell r="BD52">
            <v>-5</v>
          </cell>
          <cell r="BE52">
            <v>-5</v>
          </cell>
          <cell r="BF52">
            <v>0</v>
          </cell>
          <cell r="BG52">
            <v>3</v>
          </cell>
          <cell r="BH52">
            <v>0</v>
          </cell>
          <cell r="BI52">
            <v>5</v>
          </cell>
          <cell r="BJ52">
            <v>8</v>
          </cell>
          <cell r="BK52">
            <v>0</v>
          </cell>
          <cell r="BL52">
            <v>-23</v>
          </cell>
          <cell r="BM52">
            <v>37</v>
          </cell>
          <cell r="BN52">
            <v>-83</v>
          </cell>
          <cell r="BO52">
            <v>-69</v>
          </cell>
          <cell r="BP52">
            <v>0</v>
          </cell>
          <cell r="BQ52">
            <v>-13</v>
          </cell>
          <cell r="BR52">
            <v>0</v>
          </cell>
          <cell r="BS52">
            <v>-57</v>
          </cell>
          <cell r="BT52">
            <v>-70</v>
          </cell>
          <cell r="BU52">
            <v>0</v>
          </cell>
          <cell r="BV52">
            <v>-9</v>
          </cell>
          <cell r="BW52">
            <v>0</v>
          </cell>
          <cell r="BX52">
            <v>9</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-18.75</v>
          </cell>
          <cell r="CZ52">
            <v>-18.75</v>
          </cell>
          <cell r="DA52">
            <v>-18.75</v>
          </cell>
          <cell r="DB52">
            <v>-18.75</v>
          </cell>
          <cell r="DC52">
            <v>-75</v>
          </cell>
          <cell r="DD52">
            <v>-18.75</v>
          </cell>
          <cell r="DE52">
            <v>-18.75</v>
          </cell>
          <cell r="DF52">
            <v>-18.75</v>
          </cell>
          <cell r="DG52">
            <v>-18.75</v>
          </cell>
          <cell r="DH52">
            <v>-75</v>
          </cell>
          <cell r="DI52">
            <v>-12.5</v>
          </cell>
          <cell r="DJ52">
            <v>-12.5</v>
          </cell>
          <cell r="DK52">
            <v>-12.5</v>
          </cell>
          <cell r="DL52">
            <v>-12.5</v>
          </cell>
          <cell r="DM52">
            <v>-50</v>
          </cell>
          <cell r="DN52">
            <v>-12.5</v>
          </cell>
          <cell r="DO52">
            <v>-12.5</v>
          </cell>
          <cell r="DP52">
            <v>-12.5</v>
          </cell>
          <cell r="DQ52">
            <v>-12.5</v>
          </cell>
          <cell r="DR52">
            <v>-50</v>
          </cell>
        </row>
        <row r="53">
          <cell r="B53" t="str">
            <v>Provision for income taxes</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V53">
            <v>0</v>
          </cell>
          <cell r="AW53">
            <v>0</v>
          </cell>
          <cell r="AX53">
            <v>0</v>
          </cell>
          <cell r="AY53">
            <v>0</v>
          </cell>
          <cell r="AZ53">
            <v>0</v>
          </cell>
          <cell r="BA53">
            <v>0</v>
          </cell>
          <cell r="BB53">
            <v>105</v>
          </cell>
          <cell r="BC53">
            <v>0</v>
          </cell>
          <cell r="BD53">
            <v>21</v>
          </cell>
          <cell r="BE53">
            <v>126</v>
          </cell>
          <cell r="BF53">
            <v>0</v>
          </cell>
          <cell r="BG53">
            <v>139</v>
          </cell>
          <cell r="BH53">
            <v>14</v>
          </cell>
          <cell r="BI53">
            <v>0</v>
          </cell>
          <cell r="BJ53">
            <v>153</v>
          </cell>
          <cell r="BK53">
            <v>-10</v>
          </cell>
          <cell r="BL53">
            <v>1.8281050000000001</v>
          </cell>
          <cell r="BM53">
            <v>-331.585465</v>
          </cell>
          <cell r="BN53">
            <v>-171.64017999999999</v>
          </cell>
          <cell r="BO53">
            <v>-511.39753999999999</v>
          </cell>
          <cell r="BP53">
            <v>-6.8231374999999996</v>
          </cell>
          <cell r="BQ53">
            <v>-625.17147999999997</v>
          </cell>
          <cell r="BR53">
            <v>-30.534202499999999</v>
          </cell>
          <cell r="BS53">
            <v>-306.23579500000005</v>
          </cell>
          <cell r="BT53">
            <v>-968.76461500000005</v>
          </cell>
          <cell r="BU53">
            <v>-23.716300000000004</v>
          </cell>
          <cell r="BV53">
            <v>-12.45091</v>
          </cell>
          <cell r="BW53">
            <v>-22.260159999999999</v>
          </cell>
          <cell r="BX53">
            <v>22.794395000000002</v>
          </cell>
          <cell r="BY53">
            <v>-35.632975000000002</v>
          </cell>
          <cell r="BZ53">
            <v>-38.874009999999998</v>
          </cell>
          <cell r="CA53">
            <v>-4.8092299999999994</v>
          </cell>
          <cell r="CB53">
            <v>156.1427975</v>
          </cell>
          <cell r="CC53">
            <v>-11</v>
          </cell>
          <cell r="CD53">
            <v>101.4595575</v>
          </cell>
          <cell r="CE53">
            <v>162.83781999999999</v>
          </cell>
          <cell r="CF53">
            <v>-12.558779999999999</v>
          </cell>
          <cell r="CG53">
            <v>-19.26437</v>
          </cell>
          <cell r="CH53">
            <v>-2.7543275</v>
          </cell>
          <cell r="CI53">
            <v>128.26034250000004</v>
          </cell>
          <cell r="CJ53">
            <v>22.611580000000004</v>
          </cell>
          <cell r="CK53">
            <v>4.7436275000000006</v>
          </cell>
          <cell r="CL53">
            <v>861.86584374999995</v>
          </cell>
          <cell r="CM53">
            <v>3.1903949999999996</v>
          </cell>
          <cell r="CN53">
            <v>892.41144624999993</v>
          </cell>
          <cell r="CO53">
            <v>-7</v>
          </cell>
          <cell r="CP53">
            <v>-2.5</v>
          </cell>
          <cell r="CQ53">
            <v>-5</v>
          </cell>
          <cell r="CR53">
            <v>-50</v>
          </cell>
          <cell r="CS53">
            <v>-64.5</v>
          </cell>
          <cell r="CT53">
            <v>-1.6</v>
          </cell>
          <cell r="CU53">
            <v>-2.5</v>
          </cell>
          <cell r="CV53">
            <v>-1.35</v>
          </cell>
          <cell r="CW53">
            <v>-3.12</v>
          </cell>
          <cell r="CX53">
            <v>-8.57</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row>
        <row r="54">
          <cell r="B54" t="str">
            <v>Total Non-operating adjustments, net</v>
          </cell>
          <cell r="D54">
            <v>-24.039002142857147</v>
          </cell>
          <cell r="E54">
            <v>0</v>
          </cell>
          <cell r="F54">
            <v>0</v>
          </cell>
          <cell r="G54">
            <v>49.743172142857148</v>
          </cell>
          <cell r="H54">
            <v>25.704170000000001</v>
          </cell>
          <cell r="I54">
            <v>-60.434360000000005</v>
          </cell>
          <cell r="J54">
            <v>-116.83569999999997</v>
          </cell>
          <cell r="K54">
            <v>0</v>
          </cell>
          <cell r="L54">
            <v>72.431219999999996</v>
          </cell>
          <cell r="M54">
            <v>-104.83883999999998</v>
          </cell>
          <cell r="N54">
            <v>0</v>
          </cell>
          <cell r="O54">
            <v>0</v>
          </cell>
          <cell r="P54">
            <v>233.52594594594595</v>
          </cell>
          <cell r="Q54">
            <v>331.17405405405407</v>
          </cell>
          <cell r="R54">
            <v>564.70000000000005</v>
          </cell>
          <cell r="S54">
            <v>0</v>
          </cell>
          <cell r="T54">
            <v>-10.948840803709428</v>
          </cell>
          <cell r="U54">
            <v>0</v>
          </cell>
          <cell r="V54">
            <v>287.12647080370942</v>
          </cell>
          <cell r="W54">
            <v>276.17763000000002</v>
          </cell>
          <cell r="X54">
            <v>0</v>
          </cell>
          <cell r="Y54">
            <v>0</v>
          </cell>
          <cell r="Z54">
            <v>0</v>
          </cell>
          <cell r="AA54">
            <v>269.51196000000004</v>
          </cell>
          <cell r="AB54">
            <v>269.51196000000004</v>
          </cell>
          <cell r="AC54">
            <v>-7.4836601307189543</v>
          </cell>
          <cell r="AD54">
            <v>-43.405228758169933</v>
          </cell>
          <cell r="AE54">
            <v>135.45424836601308</v>
          </cell>
          <cell r="AF54">
            <v>144.43464052287584</v>
          </cell>
          <cell r="AG54">
            <v>229.00000000000003</v>
          </cell>
          <cell r="AH54">
            <v>0</v>
          </cell>
          <cell r="AI54">
            <v>0</v>
          </cell>
          <cell r="AJ54">
            <v>0</v>
          </cell>
          <cell r="AK54">
            <v>109</v>
          </cell>
          <cell r="AL54">
            <v>109</v>
          </cell>
          <cell r="AM54">
            <v>69</v>
          </cell>
          <cell r="AN54">
            <v>169</v>
          </cell>
          <cell r="AO54">
            <v>8</v>
          </cell>
          <cell r="AP54">
            <v>60</v>
          </cell>
          <cell r="AQ54">
            <v>306</v>
          </cell>
          <cell r="AR54">
            <v>3</v>
          </cell>
          <cell r="AS54">
            <v>40</v>
          </cell>
          <cell r="AT54">
            <v>245</v>
          </cell>
          <cell r="AV54">
            <v>24</v>
          </cell>
          <cell r="AW54">
            <v>60</v>
          </cell>
          <cell r="AX54">
            <v>1.9500000000000002</v>
          </cell>
          <cell r="AY54">
            <v>205.4</v>
          </cell>
          <cell r="AZ54">
            <v>291.35000000000002</v>
          </cell>
          <cell r="BA54">
            <v>-147</v>
          </cell>
          <cell r="BB54">
            <v>322</v>
          </cell>
          <cell r="BC54">
            <v>161</v>
          </cell>
          <cell r="BD54">
            <v>1121</v>
          </cell>
          <cell r="BE54">
            <v>1457</v>
          </cell>
          <cell r="BF54">
            <v>44.67544947303162</v>
          </cell>
          <cell r="BG54">
            <v>183</v>
          </cell>
          <cell r="BH54">
            <v>13</v>
          </cell>
          <cell r="BI54">
            <v>1575</v>
          </cell>
          <cell r="BJ54">
            <v>1815.6754494730317</v>
          </cell>
          <cell r="BK54">
            <v>0</v>
          </cell>
          <cell r="BL54">
            <v>-1.1718949999999999</v>
          </cell>
          <cell r="BM54">
            <v>77.414535000000001</v>
          </cell>
          <cell r="BN54">
            <v>50.359820000000013</v>
          </cell>
          <cell r="BO54">
            <v>126.60246000000001</v>
          </cell>
          <cell r="BP54">
            <v>1.1768625000000004</v>
          </cell>
          <cell r="BQ54">
            <v>118.82852000000003</v>
          </cell>
          <cell r="BR54">
            <v>-3.5342024999999992</v>
          </cell>
          <cell r="BS54">
            <v>97.764204999999947</v>
          </cell>
          <cell r="BT54">
            <v>214.23538499999995</v>
          </cell>
          <cell r="BU54">
            <v>-23.716300000000004</v>
          </cell>
          <cell r="BV54">
            <v>3.5490899999999996</v>
          </cell>
          <cell r="BW54">
            <v>4.7398400000000009</v>
          </cell>
          <cell r="BX54">
            <v>17.794395000000002</v>
          </cell>
          <cell r="BY54">
            <v>2.3670249999999982</v>
          </cell>
          <cell r="BZ54">
            <v>7.1259900000000016</v>
          </cell>
          <cell r="CA54">
            <v>1.1907700000000006</v>
          </cell>
          <cell r="CB54">
            <v>-34.8572025</v>
          </cell>
          <cell r="CC54">
            <v>0</v>
          </cell>
          <cell r="CD54">
            <v>-26.540442499999997</v>
          </cell>
          <cell r="CE54">
            <v>-37.162180000000006</v>
          </cell>
          <cell r="CF54">
            <v>2.4412200000000013</v>
          </cell>
          <cell r="CG54">
            <v>3.7356300000000005</v>
          </cell>
          <cell r="CH54">
            <v>-3.7543275</v>
          </cell>
          <cell r="CI54">
            <v>-34.739657499999964</v>
          </cell>
          <cell r="CJ54">
            <v>-8.3884199999999964</v>
          </cell>
          <cell r="CK54">
            <v>-1.2563724999999994</v>
          </cell>
          <cell r="CL54">
            <v>-59.134156250000046</v>
          </cell>
          <cell r="CM54">
            <v>-2.8096050000000004</v>
          </cell>
          <cell r="CN54">
            <v>-71.588553750000074</v>
          </cell>
          <cell r="CO54">
            <v>7</v>
          </cell>
          <cell r="CP54">
            <v>0.5</v>
          </cell>
          <cell r="CQ54">
            <v>4</v>
          </cell>
          <cell r="CR54">
            <v>108</v>
          </cell>
          <cell r="CS54">
            <v>119.5</v>
          </cell>
          <cell r="CT54">
            <v>3.4</v>
          </cell>
          <cell r="CU54">
            <v>0.5</v>
          </cell>
          <cell r="CV54">
            <v>2.65</v>
          </cell>
          <cell r="CW54">
            <v>4.88</v>
          </cell>
          <cell r="CX54">
            <v>14.43</v>
          </cell>
          <cell r="CY54">
            <v>-18.75</v>
          </cell>
          <cell r="CZ54">
            <v>-18.75</v>
          </cell>
          <cell r="DA54">
            <v>-18.75</v>
          </cell>
          <cell r="DB54">
            <v>-18.75</v>
          </cell>
          <cell r="DC54">
            <v>-75</v>
          </cell>
          <cell r="DD54">
            <v>-18.75</v>
          </cell>
          <cell r="DE54">
            <v>-18.75</v>
          </cell>
          <cell r="DF54">
            <v>-18.75</v>
          </cell>
          <cell r="DG54">
            <v>-18.75</v>
          </cell>
          <cell r="DH54">
            <v>-75</v>
          </cell>
          <cell r="DI54">
            <v>-12.5</v>
          </cell>
          <cell r="DJ54">
            <v>-12.5</v>
          </cell>
          <cell r="DK54">
            <v>-12.5</v>
          </cell>
          <cell r="DL54">
            <v>-12.5</v>
          </cell>
          <cell r="DM54">
            <v>-50</v>
          </cell>
          <cell r="DN54">
            <v>-12.5</v>
          </cell>
          <cell r="DO54">
            <v>-12.5</v>
          </cell>
          <cell r="DP54">
            <v>-12.5</v>
          </cell>
          <cell r="DQ54">
            <v>-12.5</v>
          </cell>
          <cell r="DR54">
            <v>-50</v>
          </cell>
          <cell r="DT54" t="str">
            <v>mstag:oneTimeItemsNotAllocatedToOtherExpenseIncomeItemsNetOfTax</v>
          </cell>
          <cell r="DU54">
            <v>6</v>
          </cell>
          <cell r="DV54" t="str">
            <v>ISO4217:USD</v>
          </cell>
          <cell r="DW54" t="b">
            <v>0</v>
          </cell>
        </row>
        <row r="55">
          <cell r="B55" t="str">
            <v>Operating net income</v>
          </cell>
          <cell r="D55">
            <v>39.988997857142877</v>
          </cell>
          <cell r="E55">
            <v>46.199999999999974</v>
          </cell>
          <cell r="F55">
            <v>48.899999999999949</v>
          </cell>
          <cell r="G55">
            <v>64.615172142857148</v>
          </cell>
          <cell r="H55">
            <v>199.70416999999998</v>
          </cell>
          <cell r="I55">
            <v>57.865640000000027</v>
          </cell>
          <cell r="J55">
            <v>65.964300000000009</v>
          </cell>
          <cell r="K55">
            <v>70.700000000000117</v>
          </cell>
          <cell r="L55">
            <v>75.631219999999743</v>
          </cell>
          <cell r="M55">
            <v>270.16116</v>
          </cell>
          <cell r="N55">
            <v>72.399999999999892</v>
          </cell>
          <cell r="O55">
            <v>76.799999999999869</v>
          </cell>
          <cell r="P55">
            <v>120.22594594594602</v>
          </cell>
          <cell r="Q55">
            <v>175.27405405405335</v>
          </cell>
          <cell r="R55">
            <v>444.7</v>
          </cell>
          <cell r="S55">
            <v>116</v>
          </cell>
          <cell r="T55">
            <v>127.05115919629057</v>
          </cell>
          <cell r="U55">
            <v>148</v>
          </cell>
          <cell r="V55">
            <v>146.12647080370942</v>
          </cell>
          <cell r="W55">
            <v>537.17763000000002</v>
          </cell>
          <cell r="X55">
            <v>137</v>
          </cell>
          <cell r="Y55">
            <v>125</v>
          </cell>
          <cell r="Z55">
            <v>124</v>
          </cell>
          <cell r="AA55">
            <v>132.51196000000004</v>
          </cell>
          <cell r="AB55">
            <v>518.51196000000004</v>
          </cell>
          <cell r="AC55">
            <v>120.51633986928104</v>
          </cell>
          <cell r="AD55">
            <v>91.594771241830074</v>
          </cell>
          <cell r="AE55">
            <v>173.45424836601308</v>
          </cell>
          <cell r="AF55">
            <v>183.43464052287584</v>
          </cell>
          <cell r="AG55">
            <v>569</v>
          </cell>
          <cell r="AH55">
            <v>154</v>
          </cell>
          <cell r="AI55">
            <v>175</v>
          </cell>
          <cell r="AJ55">
            <v>198</v>
          </cell>
          <cell r="AK55">
            <v>225</v>
          </cell>
          <cell r="AL55">
            <v>752</v>
          </cell>
          <cell r="AM55">
            <v>224</v>
          </cell>
          <cell r="AN55">
            <v>258</v>
          </cell>
          <cell r="AO55">
            <v>288</v>
          </cell>
          <cell r="AP55">
            <v>321</v>
          </cell>
          <cell r="AQ55">
            <v>1091</v>
          </cell>
          <cell r="AR55">
            <v>341</v>
          </cell>
          <cell r="AS55">
            <v>355</v>
          </cell>
          <cell r="AT55">
            <v>190</v>
          </cell>
          <cell r="AV55">
            <v>285</v>
          </cell>
          <cell r="AW55">
            <v>286</v>
          </cell>
          <cell r="AX55">
            <v>312.95</v>
          </cell>
          <cell r="AY55">
            <v>202.4</v>
          </cell>
          <cell r="AZ55">
            <v>1086.3500000000001</v>
          </cell>
          <cell r="BA55">
            <v>-132</v>
          </cell>
          <cell r="BB55">
            <v>193</v>
          </cell>
          <cell r="BC55">
            <v>-74</v>
          </cell>
          <cell r="BD55">
            <v>33</v>
          </cell>
          <cell r="BE55">
            <v>20</v>
          </cell>
          <cell r="BF55">
            <v>25.67544947303162</v>
          </cell>
          <cell r="BG55">
            <v>-30</v>
          </cell>
          <cell r="BH55">
            <v>-39</v>
          </cell>
          <cell r="BI55">
            <v>-27</v>
          </cell>
          <cell r="BJ55">
            <v>-70.324550526968324</v>
          </cell>
          <cell r="BK55">
            <v>20</v>
          </cell>
          <cell r="BL55">
            <v>-13.171894999999999</v>
          </cell>
          <cell r="BM55">
            <v>-300.585465</v>
          </cell>
          <cell r="BN55">
            <v>-200.64017999999999</v>
          </cell>
          <cell r="BO55">
            <v>17</v>
          </cell>
          <cell r="BP55">
            <v>23</v>
          </cell>
          <cell r="BQ55">
            <v>297</v>
          </cell>
          <cell r="BR55">
            <v>-3</v>
          </cell>
          <cell r="BS55">
            <v>11</v>
          </cell>
          <cell r="BT55">
            <v>328</v>
          </cell>
          <cell r="BU55">
            <v>93</v>
          </cell>
          <cell r="BV55">
            <v>-13</v>
          </cell>
          <cell r="BW55">
            <v>-8</v>
          </cell>
          <cell r="BX55">
            <v>-91</v>
          </cell>
          <cell r="BY55">
            <v>-19</v>
          </cell>
          <cell r="BZ55">
            <v>36</v>
          </cell>
          <cell r="CA55">
            <v>-13</v>
          </cell>
          <cell r="CB55">
            <v>-77</v>
          </cell>
          <cell r="CC55">
            <v>1</v>
          </cell>
          <cell r="CD55">
            <v>-53</v>
          </cell>
          <cell r="CE55">
            <v>-11</v>
          </cell>
          <cell r="CF55">
            <v>17</v>
          </cell>
          <cell r="CG55">
            <v>25</v>
          </cell>
          <cell r="CH55">
            <v>15</v>
          </cell>
          <cell r="CI55">
            <v>46</v>
          </cell>
          <cell r="CJ55">
            <v>52</v>
          </cell>
          <cell r="CK55">
            <v>29</v>
          </cell>
          <cell r="CL55">
            <v>11</v>
          </cell>
          <cell r="CM55">
            <v>46</v>
          </cell>
          <cell r="CN55">
            <v>138</v>
          </cell>
          <cell r="CO55">
            <v>92</v>
          </cell>
          <cell r="CP55">
            <v>44</v>
          </cell>
          <cell r="CQ55">
            <v>17</v>
          </cell>
          <cell r="CR55">
            <v>98</v>
          </cell>
          <cell r="CS55">
            <v>251</v>
          </cell>
          <cell r="CT55">
            <v>62</v>
          </cell>
          <cell r="CU55">
            <v>65</v>
          </cell>
          <cell r="CV55">
            <v>10.65</v>
          </cell>
          <cell r="CW55">
            <v>73.291973209627599</v>
          </cell>
          <cell r="CX55">
            <v>248.29197320962794</v>
          </cell>
          <cell r="CY55">
            <v>14.396612355092657</v>
          </cell>
          <cell r="CZ55">
            <v>58.103581417312114</v>
          </cell>
          <cell r="DA55">
            <v>42.716048838251822</v>
          </cell>
          <cell r="DB55">
            <v>85.925996036835159</v>
          </cell>
          <cell r="DC55">
            <v>201.14223864749249</v>
          </cell>
          <cell r="DD55">
            <v>51.240651981231224</v>
          </cell>
          <cell r="DE55">
            <v>78.34281999129503</v>
          </cell>
          <cell r="DF55">
            <v>57.633250364440926</v>
          </cell>
          <cell r="DG55">
            <v>105.96349262807792</v>
          </cell>
          <cell r="DH55">
            <v>293.18021496504582</v>
          </cell>
          <cell r="DI55">
            <v>71.813051853487323</v>
          </cell>
          <cell r="DJ55">
            <v>90.893829864905555</v>
          </cell>
          <cell r="DK55">
            <v>72.43570776154553</v>
          </cell>
          <cell r="DL55">
            <v>126.83454879735997</v>
          </cell>
          <cell r="DM55">
            <v>361.97713827729763</v>
          </cell>
          <cell r="DN55">
            <v>88.292821016048094</v>
          </cell>
          <cell r="DO55">
            <v>104.12232999086577</v>
          </cell>
          <cell r="DP55">
            <v>85.23744178072215</v>
          </cell>
          <cell r="DQ55">
            <v>140.40114265272507</v>
          </cell>
          <cell r="DR55">
            <v>418.05373544036024</v>
          </cell>
          <cell r="DT55" t="str">
            <v>mstag:netIncomeAdjustedForConsensus</v>
          </cell>
          <cell r="DU55">
            <v>6</v>
          </cell>
          <cell r="DV55" t="str">
            <v>ISO4217:USD</v>
          </cell>
          <cell r="DW55" t="b">
            <v>0</v>
          </cell>
        </row>
        <row r="57">
          <cell r="B57" t="str">
            <v>Reported EPS, GAAP - Fully Diluted</v>
          </cell>
          <cell r="D57">
            <v>0.96951665158689226</v>
          </cell>
          <cell r="E57">
            <v>0.7093486451225689</v>
          </cell>
          <cell r="F57">
            <v>0.74220537888357874</v>
          </cell>
          <cell r="G57">
            <v>9.9646060606060502E-2</v>
          </cell>
          <cell r="H57">
            <v>2.3912751548428601</v>
          </cell>
          <cell r="I57">
            <v>1.4836751808077397</v>
          </cell>
          <cell r="J57">
            <v>2.2548797392332731</v>
          </cell>
          <cell r="K57">
            <v>0.86481990309001999</v>
          </cell>
          <cell r="L57">
            <v>-0.28236190476190809</v>
          </cell>
          <cell r="M57">
            <v>4.329499652322669</v>
          </cell>
          <cell r="N57">
            <v>0.8790116390702073</v>
          </cell>
          <cell r="O57">
            <v>0.92808686312984434</v>
          </cell>
          <cell r="P57">
            <v>-0.98973466943145894</v>
          </cell>
          <cell r="Q57">
            <v>-2.5143430420712032</v>
          </cell>
          <cell r="R57">
            <v>-2.2269493752596006</v>
          </cell>
          <cell r="S57">
            <v>0.99784946236559136</v>
          </cell>
          <cell r="T57">
            <v>1.1819685557821709</v>
          </cell>
          <cell r="U57">
            <v>1.2616575452236034</v>
          </cell>
          <cell r="V57">
            <v>-1.2533333333333334</v>
          </cell>
          <cell r="W57">
            <v>2.2299615844261536</v>
          </cell>
          <cell r="X57">
            <v>1.1647245734568195</v>
          </cell>
          <cell r="Y57">
            <v>1.0617909227494013</v>
          </cell>
          <cell r="Z57">
            <v>1.0566286940729734</v>
          </cell>
          <cell r="AA57">
            <v>-1.1733333333333333</v>
          </cell>
          <cell r="AB57">
            <v>2.1187927986572466</v>
          </cell>
          <cell r="AC57">
            <v>0.92798338143522419</v>
          </cell>
          <cell r="AD57">
            <v>1.1474286442811839</v>
          </cell>
          <cell r="AE57">
            <v>0.32080809871602889</v>
          </cell>
          <cell r="AF57">
            <v>0.1641025641025641</v>
          </cell>
          <cell r="AG57">
            <v>2.5572794611083944</v>
          </cell>
          <cell r="AH57">
            <v>1.2843648388445303</v>
          </cell>
          <cell r="AI57">
            <v>1.4326970111893638</v>
          </cell>
          <cell r="AJ57">
            <v>1.5994183933115231</v>
          </cell>
          <cell r="AK57">
            <v>0.94233995584988972</v>
          </cell>
          <cell r="AL57">
            <v>5.2411926770023314</v>
          </cell>
          <cell r="AM57">
            <v>1.2316139406779241</v>
          </cell>
          <cell r="AN57">
            <v>0.70804134086323367</v>
          </cell>
          <cell r="AO57">
            <v>2.2280509626871092</v>
          </cell>
          <cell r="AP57">
            <v>2.0814953271028038</v>
          </cell>
          <cell r="AQ57">
            <v>6.2437984565489293</v>
          </cell>
          <cell r="AR57">
            <v>2.7035728354919923</v>
          </cell>
          <cell r="AS57">
            <v>2.5557239087971668</v>
          </cell>
          <cell r="AT57">
            <v>-0.46581648101056772</v>
          </cell>
          <cell r="AV57">
            <v>2.2149011859282068</v>
          </cell>
          <cell r="AW57">
            <v>1.9251345406525568</v>
          </cell>
          <cell r="AX57">
            <v>2.6270894572016692</v>
          </cell>
          <cell r="AY57">
            <v>-0.25419576764046881</v>
          </cell>
          <cell r="AZ57">
            <v>6.5620381674484349</v>
          </cell>
          <cell r="BA57">
            <v>-0.1693749007568941</v>
          </cell>
          <cell r="BB57">
            <v>-1.6770226398056374</v>
          </cell>
          <cell r="BC57">
            <v>-2.6572971060912929</v>
          </cell>
          <cell r="BD57">
            <v>-8.2144187157867101</v>
          </cell>
          <cell r="BE57">
            <v>-12.680097955259084</v>
          </cell>
          <cell r="BF57">
            <v>-1.0487947457102575</v>
          </cell>
          <cell r="BG57">
            <v>-3.6572645206708416</v>
          </cell>
          <cell r="BH57">
            <v>-0.60002657260535819</v>
          </cell>
          <cell r="BI57">
            <v>-17.317574511819114</v>
          </cell>
          <cell r="BJ57">
            <v>-22.649959461720282</v>
          </cell>
          <cell r="BK57">
            <v>-3.4118994257346776E-2</v>
          </cell>
          <cell r="BL57">
            <v>-0.28159519410868722</v>
          </cell>
          <cell r="BM57">
            <v>-3.4187378377975146</v>
          </cell>
          <cell r="BN57">
            <v>-2.4360795303306806</v>
          </cell>
          <cell r="BO57">
            <v>-6.1761833063907288</v>
          </cell>
          <cell r="BP57">
            <v>0.59480185663150964</v>
          </cell>
          <cell r="BQ57">
            <v>-3.3828579199673614</v>
          </cell>
          <cell r="BR57">
            <v>-0.75547453774932261</v>
          </cell>
          <cell r="BS57">
            <v>-3.2747664820015103</v>
          </cell>
          <cell r="BT57">
            <v>-6.8217488908286557</v>
          </cell>
          <cell r="BU57">
            <v>0.63247639808907796</v>
          </cell>
          <cell r="BV57">
            <v>-0.25358613052923423</v>
          </cell>
          <cell r="BW57">
            <v>-0.49790710234944641</v>
          </cell>
          <cell r="BX57">
            <v>-0.63252973943991597</v>
          </cell>
          <cell r="BY57">
            <v>-0.75199881708051253</v>
          </cell>
          <cell r="BZ57">
            <v>-0.26101636404204892</v>
          </cell>
          <cell r="CA57">
            <v>-0.1259689108727966</v>
          </cell>
          <cell r="CB57">
            <v>0.86524442114940237</v>
          </cell>
          <cell r="CC57">
            <v>-0.27665648067805992</v>
          </cell>
          <cell r="CD57">
            <v>0.20894013029506525</v>
          </cell>
          <cell r="CE57">
            <v>1.484842923639033</v>
          </cell>
          <cell r="CF57">
            <v>-0.12288937498463882</v>
          </cell>
          <cell r="CG57">
            <v>-2.4092321777049654E-2</v>
          </cell>
          <cell r="CH57">
            <v>0.16780635147040315</v>
          </cell>
          <cell r="CI57">
            <v>1.4272281219136684</v>
          </cell>
          <cell r="CJ57">
            <v>0.62943915540709694</v>
          </cell>
          <cell r="CK57">
            <v>0.19898557155620647</v>
          </cell>
          <cell r="CL57">
            <v>6.6589264981691523</v>
          </cell>
          <cell r="CM57">
            <v>0.52676443841749987</v>
          </cell>
          <cell r="CN57">
            <v>7.9838610422898491</v>
          </cell>
          <cell r="CO57">
            <v>0.51664864883992911</v>
          </cell>
          <cell r="CP57">
            <v>0.43672629965776538</v>
          </cell>
          <cell r="CQ57">
            <v>4.9624507890296751E-2</v>
          </cell>
          <cell r="CR57">
            <v>-0.70296493962363626</v>
          </cell>
          <cell r="CS57">
            <v>0.47817206362161752</v>
          </cell>
          <cell r="CT57">
            <v>0.47847580706700521</v>
          </cell>
          <cell r="CU57">
            <v>-5.6113049089565777E-2</v>
          </cell>
          <cell r="CV57">
            <v>0.37274836689621749</v>
          </cell>
          <cell r="CW57">
            <v>0.5682764644369539</v>
          </cell>
          <cell r="CX57">
            <v>1.428282020563896</v>
          </cell>
          <cell r="CY57">
            <v>0.31748868525797791</v>
          </cell>
          <cell r="CZ57">
            <v>0.76635313139595318</v>
          </cell>
          <cell r="DA57">
            <v>0.62905798483990338</v>
          </cell>
          <cell r="DB57">
            <v>1.0826851930055175</v>
          </cell>
          <cell r="DC57">
            <v>2.7677854268565261</v>
          </cell>
          <cell r="DD57">
            <v>0.72877739235776506</v>
          </cell>
          <cell r="DE57">
            <v>1.013695021851502</v>
          </cell>
          <cell r="DF57">
            <v>0.79962583126404896</v>
          </cell>
          <cell r="DG57">
            <v>1.309102811873998</v>
          </cell>
          <cell r="DH57">
            <v>3.8491469655929396</v>
          </cell>
          <cell r="DI57">
            <v>0.8874214593568821</v>
          </cell>
          <cell r="DJ57">
            <v>1.0912084718571367</v>
          </cell>
          <cell r="DK57">
            <v>0.89884459272746142</v>
          </cell>
          <cell r="DL57">
            <v>1.478555157607446</v>
          </cell>
          <cell r="DM57">
            <v>4.3538796314388053</v>
          </cell>
          <cell r="DN57">
            <v>1.0724967119485491</v>
          </cell>
          <cell r="DO57">
            <v>1.2443398036528255</v>
          </cell>
          <cell r="DP57">
            <v>1.0457128199705861</v>
          </cell>
          <cell r="DQ57">
            <v>1.6404374444359369</v>
          </cell>
          <cell r="DR57">
            <v>5.0009173536427944</v>
          </cell>
        </row>
        <row r="58">
          <cell r="B58" t="str">
            <v>y/y change</v>
          </cell>
          <cell r="I58">
            <v>0.53032459873616355</v>
          </cell>
          <cell r="J58">
            <v>2.1788031946457735</v>
          </cell>
          <cell r="K58">
            <v>0.16520295823088404</v>
          </cell>
          <cell r="L58" t="str">
            <v>nm</v>
          </cell>
          <cell r="M58">
            <v>0.8105401394542473</v>
          </cell>
          <cell r="N58">
            <v>-0.40754442047641626</v>
          </cell>
          <cell r="O58">
            <v>-0.58840959587254005</v>
          </cell>
          <cell r="P58" t="str">
            <v>nm</v>
          </cell>
          <cell r="Q58" t="str">
            <v>nm</v>
          </cell>
          <cell r="R58" t="str">
            <v>nm</v>
          </cell>
          <cell r="S58">
            <v>0.13519482338264277</v>
          </cell>
          <cell r="T58">
            <v>0.27355380486277503</v>
          </cell>
          <cell r="U58" t="str">
            <v>nm</v>
          </cell>
          <cell r="V58" t="str">
            <v>nm</v>
          </cell>
          <cell r="W58" t="str">
            <v>nm</v>
          </cell>
          <cell r="X58">
            <v>0.16723475572720048</v>
          </cell>
          <cell r="Y58">
            <v>-0.10167582922985763</v>
          </cell>
          <cell r="Z58">
            <v>-0.1625075298180797</v>
          </cell>
          <cell r="AA58" t="str">
            <v>nm</v>
          </cell>
          <cell r="AB58">
            <v>-4.9852332230877705E-2</v>
          </cell>
          <cell r="AC58">
            <v>-0.20325937772478198</v>
          </cell>
          <cell r="AD58">
            <v>8.0654034327240387E-2</v>
          </cell>
          <cell r="AE58">
            <v>-0.69638521032453327</v>
          </cell>
          <cell r="AF58" t="str">
            <v>nm</v>
          </cell>
          <cell r="AG58">
            <v>0.20695117650439077</v>
          </cell>
          <cell r="AH58">
            <v>0.38403862023706137</v>
          </cell>
          <cell r="AI58">
            <v>0.24861534382113026</v>
          </cell>
          <cell r="AJ58">
            <v>3.985592320495897</v>
          </cell>
          <cell r="AK58">
            <v>4.7423841059602658</v>
          </cell>
          <cell r="AL58">
            <v>1.0495189347552403</v>
          </cell>
          <cell r="AM58">
            <v>-4.1071583845337267E-2</v>
          </cell>
          <cell r="AN58">
            <v>-0.50579827044139081</v>
          </cell>
          <cell r="AO58">
            <v>0.39303822689823575</v>
          </cell>
          <cell r="AP58">
            <v>1.2088581877285653</v>
          </cell>
          <cell r="AQ58">
            <v>0.19129344050752062</v>
          </cell>
          <cell r="AR58">
            <v>1.1951463410716592</v>
          </cell>
          <cell r="AS58">
            <v>2.6095687656899602</v>
          </cell>
          <cell r="AT58" t="str">
            <v>nm</v>
          </cell>
          <cell r="BA58" t="str">
            <v>nm</v>
          </cell>
          <cell r="BB58" t="str">
            <v>nm</v>
          </cell>
          <cell r="BC58" t="str">
            <v>nm</v>
          </cell>
          <cell r="BD58" t="str">
            <v>nm</v>
          </cell>
          <cell r="BE58" t="str">
            <v>nm</v>
          </cell>
          <cell r="BF58" t="str">
            <v>nm</v>
          </cell>
          <cell r="BG58" t="str">
            <v>nm</v>
          </cell>
          <cell r="BH58" t="str">
            <v>nm</v>
          </cell>
          <cell r="BI58" t="str">
            <v>nm</v>
          </cell>
          <cell r="BJ58" t="str">
            <v>nm</v>
          </cell>
          <cell r="BK58" t="str">
            <v>nm</v>
          </cell>
          <cell r="BL58" t="str">
            <v>nm</v>
          </cell>
          <cell r="BM58" t="str">
            <v>nm</v>
          </cell>
          <cell r="BN58" t="str">
            <v>nm</v>
          </cell>
          <cell r="BO58" t="str">
            <v>nm</v>
          </cell>
          <cell r="BP58" t="str">
            <v>nm</v>
          </cell>
          <cell r="BQ58" t="str">
            <v>nm</v>
          </cell>
          <cell r="BR58" t="str">
            <v>nm</v>
          </cell>
          <cell r="BS58" t="str">
            <v>nm</v>
          </cell>
          <cell r="BT58" t="str">
            <v>nm</v>
          </cell>
          <cell r="BU58">
            <v>6.3339650065867836E-2</v>
          </cell>
          <cell r="BV58" t="str">
            <v>nm</v>
          </cell>
          <cell r="BW58" t="str">
            <v>nm</v>
          </cell>
          <cell r="BX58" t="str">
            <v>nm</v>
          </cell>
          <cell r="BY58" t="str">
            <v>nm</v>
          </cell>
          <cell r="BZ58" t="str">
            <v>nm</v>
          </cell>
          <cell r="CA58" t="str">
            <v>nm</v>
          </cell>
          <cell r="CB58" t="str">
            <v>nm</v>
          </cell>
          <cell r="CC58" t="str">
            <v>nm</v>
          </cell>
          <cell r="CD58" t="str">
            <v>nm</v>
          </cell>
          <cell r="CE58" t="str">
            <v>nm</v>
          </cell>
          <cell r="CF58" t="str">
            <v>nm</v>
          </cell>
          <cell r="CG58" t="str">
            <v>nm</v>
          </cell>
          <cell r="CH58" t="str">
            <v>nm</v>
          </cell>
          <cell r="CI58">
            <v>5.8307994251661324</v>
          </cell>
          <cell r="CJ58">
            <v>-0.57609040970847203</v>
          </cell>
          <cell r="CK58" t="str">
            <v>nm</v>
          </cell>
          <cell r="CL58" t="str">
            <v>nm</v>
          </cell>
          <cell r="CM58">
            <v>2.1391209796394861</v>
          </cell>
          <cell r="CN58">
            <v>4.5939628148476075</v>
          </cell>
          <cell r="CO58">
            <v>-0.17919207217768218</v>
          </cell>
          <cell r="CP58">
            <v>1.1947636516671034</v>
          </cell>
          <cell r="CQ58">
            <v>-0.99254767147468281</v>
          </cell>
          <cell r="CR58" t="str">
            <v>nm</v>
          </cell>
          <cell r="CS58">
            <v>-0.94010766706875537</v>
          </cell>
          <cell r="CT58">
            <v>-7.3885496185146948E-2</v>
          </cell>
          <cell r="CU58" t="str">
            <v>nm</v>
          </cell>
          <cell r="CV58">
            <v>6.5113765907813113</v>
          </cell>
          <cell r="CW58" t="str">
            <v>nm</v>
          </cell>
          <cell r="CX58">
            <v>1.9869624957724636</v>
          </cell>
          <cell r="CY58">
            <v>-0.33645822721081242</v>
          </cell>
          <cell r="CZ58" t="str">
            <v>nm</v>
          </cell>
          <cell r="DA58">
            <v>0.68762103527887208</v>
          </cell>
          <cell r="DB58">
            <v>0.90520857498161167</v>
          </cell>
          <cell r="DC58">
            <v>0.93784237777059221</v>
          </cell>
          <cell r="DD58">
            <v>1.2954436683801545</v>
          </cell>
          <cell r="DE58">
            <v>0.32275184940525037</v>
          </cell>
          <cell r="DF58">
            <v>0.2711480507914632</v>
          </cell>
          <cell r="DG58">
            <v>0.20912599556289191</v>
          </cell>
          <cell r="DH58">
            <v>0.39069558219495182</v>
          </cell>
          <cell r="DI58">
            <v>0.21768522001741353</v>
          </cell>
          <cell r="DJ58">
            <v>7.6466243134998724E-2</v>
          </cell>
          <cell r="DK58">
            <v>0.12408148609527458</v>
          </cell>
          <cell r="DL58">
            <v>0.12944158716676712</v>
          </cell>
          <cell r="DM58">
            <v>0.13112844751255537</v>
          </cell>
          <cell r="DN58">
            <v>0.20855395217261452</v>
          </cell>
          <cell r="DO58">
            <v>0.14033187584685214</v>
          </cell>
          <cell r="DP58">
            <v>0.16339668551319475</v>
          </cell>
          <cell r="DQ58">
            <v>0.1094868094677266</v>
          </cell>
          <cell r="DR58">
            <v>0.14861176168762524</v>
          </cell>
        </row>
        <row r="59">
          <cell r="B59" t="str">
            <v>Operating EPS - Fully Diluted</v>
          </cell>
          <cell r="D59">
            <v>0.61368574278001298</v>
          </cell>
          <cell r="E59">
            <v>0.7093486451225689</v>
          </cell>
          <cell r="F59">
            <v>0.74220537888357874</v>
          </cell>
          <cell r="G59">
            <v>1.0964998909090911</v>
          </cell>
          <cell r="H59">
            <v>2.8779951509159081</v>
          </cell>
          <cell r="I59">
            <v>0.73700851414107282</v>
          </cell>
          <cell r="J59">
            <v>0.81368470231239287</v>
          </cell>
          <cell r="K59">
            <v>0.86481990309001999</v>
          </cell>
          <cell r="L59">
            <v>0.97960437333333006</v>
          </cell>
          <cell r="M59">
            <v>3.3469101023340531</v>
          </cell>
          <cell r="N59">
            <v>0.8790116390702073</v>
          </cell>
          <cell r="O59">
            <v>0.92808686312984434</v>
          </cell>
          <cell r="P59">
            <v>1.0502364242532694</v>
          </cell>
          <cell r="Q59">
            <v>1.5201762616985859</v>
          </cell>
          <cell r="R59">
            <v>3.898914910149387</v>
          </cell>
          <cell r="S59">
            <v>0.99784946236559136</v>
          </cell>
          <cell r="T59">
            <v>1.0881918488818132</v>
          </cell>
          <cell r="U59">
            <v>1.2616575452236034</v>
          </cell>
          <cell r="V59">
            <v>1.2989019626996394</v>
          </cell>
          <cell r="W59">
            <v>4.5895995360654638</v>
          </cell>
          <cell r="X59">
            <v>1.1647245734568195</v>
          </cell>
          <cell r="Y59">
            <v>1.0617909227494013</v>
          </cell>
          <cell r="Z59">
            <v>1.0566286940729734</v>
          </cell>
          <cell r="AA59">
            <v>1.1348956184914845</v>
          </cell>
          <cell r="AB59">
            <v>4.41212613199058</v>
          </cell>
          <cell r="AC59">
            <v>1.0260289962393774</v>
          </cell>
          <cell r="AD59">
            <v>0.7785071421426536</v>
          </cell>
          <cell r="AE59">
            <v>1.4643559903294345</v>
          </cell>
          <cell r="AF59">
            <v>1.5051047427518018</v>
          </cell>
          <cell r="AG59">
            <v>4.8181854747373389</v>
          </cell>
          <cell r="AH59">
            <v>1.2843648388445303</v>
          </cell>
          <cell r="AI59">
            <v>1.4326970111893638</v>
          </cell>
          <cell r="AJ59">
            <v>1.5994183933115231</v>
          </cell>
          <cell r="AK59">
            <v>1.8278145695364238</v>
          </cell>
          <cell r="AL59">
            <v>6.1296685740369412</v>
          </cell>
          <cell r="AM59">
            <v>1.7798807916893871</v>
          </cell>
          <cell r="AN59">
            <v>2.0525243364349919</v>
          </cell>
          <cell r="AO59">
            <v>2.2917095616210266</v>
          </cell>
          <cell r="AP59">
            <v>2.56</v>
          </cell>
          <cell r="AQ59">
            <v>8.6776867720953916</v>
          </cell>
          <cell r="AR59">
            <v>2.7275690440910334</v>
          </cell>
          <cell r="AS59">
            <v>2.8802602781682354</v>
          </cell>
          <cell r="AT59">
            <v>1.6091842071274156</v>
          </cell>
          <cell r="AV59">
            <v>2.2706720790990613</v>
          </cell>
          <cell r="AW59">
            <v>2.2751590025893855</v>
          </cell>
          <cell r="AX59">
            <v>2.5065477000953122</v>
          </cell>
          <cell r="AY59">
            <v>1.6596523667880931</v>
          </cell>
          <cell r="AZ59">
            <v>8.7254224763863011</v>
          </cell>
          <cell r="BA59">
            <v>-1.1178743449955011</v>
          </cell>
          <cell r="BB59">
            <v>1.6598224076025025</v>
          </cell>
          <cell r="BC59">
            <v>-0.6384415125024534</v>
          </cell>
          <cell r="BD59">
            <v>0.2841465593511126</v>
          </cell>
          <cell r="BE59">
            <v>0.17170071706511963</v>
          </cell>
          <cell r="BF59">
            <v>0.22072357787758004</v>
          </cell>
          <cell r="BG59">
            <v>-0.25755383948386207</v>
          </cell>
          <cell r="BH59">
            <v>-0.3343005190229853</v>
          </cell>
          <cell r="BI59">
            <v>-0.23124357656731756</v>
          </cell>
          <cell r="BJ59">
            <v>-0.60335159795436821</v>
          </cell>
          <cell r="BK59">
            <v>0.1705949712867339</v>
          </cell>
          <cell r="BL59">
            <v>-0.11239825240315898</v>
          </cell>
          <cell r="BM59">
            <v>-2.5626506301432932</v>
          </cell>
          <cell r="BN59">
            <v>-1.7090050190904307</v>
          </cell>
          <cell r="BO59">
            <v>0.14502087874121877</v>
          </cell>
          <cell r="BP59">
            <v>0.19543489575035317</v>
          </cell>
          <cell r="BQ59">
            <v>2.5243939754530311</v>
          </cell>
          <cell r="BR59">
            <v>-2.5465433856718737E-2</v>
          </cell>
          <cell r="BS59">
            <v>9.3322360886053404E-2</v>
          </cell>
          <cell r="BT59">
            <v>2.7864677910234112</v>
          </cell>
          <cell r="BU59">
            <v>0.78427073363045663</v>
          </cell>
          <cell r="BV59">
            <v>-0.10988732322933485</v>
          </cell>
          <cell r="BW59">
            <v>-6.7512827437213069E-2</v>
          </cell>
          <cell r="BX59">
            <v>-0.76746941718709805</v>
          </cell>
          <cell r="BY59">
            <v>-0.1605390733093229</v>
          </cell>
          <cell r="BZ59">
            <v>0.30311577759721808</v>
          </cell>
          <cell r="CA59">
            <v>-0.10917305608975705</v>
          </cell>
          <cell r="CB59">
            <v>-0.64061365796638448</v>
          </cell>
          <cell r="CC59">
            <v>8.3835297175169667E-3</v>
          </cell>
          <cell r="CD59">
            <v>-0.44295307622553837</v>
          </cell>
          <cell r="CE59">
            <v>-9.1759955955221142E-2</v>
          </cell>
          <cell r="CF59">
            <v>0.13927462498259066</v>
          </cell>
          <cell r="CG59">
            <v>0.20076934814208044</v>
          </cell>
          <cell r="CH59">
            <v>0.11986167962171654</v>
          </cell>
          <cell r="CI59">
            <v>0.41003238861608154</v>
          </cell>
          <cell r="CJ59">
            <v>0.41485762515467756</v>
          </cell>
          <cell r="CK59">
            <v>0.27857980017868905</v>
          </cell>
          <cell r="CL59">
            <v>0.12146110565329998</v>
          </cell>
          <cell r="CM59">
            <v>0.37015879456364859</v>
          </cell>
          <cell r="CN59">
            <v>1.1558404726103266</v>
          </cell>
          <cell r="CO59">
            <v>0.70066049637195871</v>
          </cell>
          <cell r="CP59">
            <v>0.42084534330657392</v>
          </cell>
          <cell r="CQ59">
            <v>0.21503953419128594</v>
          </cell>
          <cell r="CR59">
            <v>0.99895017735990421</v>
          </cell>
          <cell r="CS59">
            <v>2.3578829344100449</v>
          </cell>
          <cell r="CT59">
            <v>0.58572038451305808</v>
          </cell>
          <cell r="CU59">
            <v>0.66400441422652834</v>
          </cell>
          <cell r="CV59">
            <v>0.12720038020333424</v>
          </cell>
          <cell r="CW59">
            <v>0.66755101885073753</v>
          </cell>
          <cell r="CX59">
            <v>2.4716931094213845</v>
          </cell>
          <cell r="CY59">
            <v>0.16663022831388896</v>
          </cell>
          <cell r="CZ59">
            <v>0.60930043981159776</v>
          </cell>
          <cell r="DA59">
            <v>0.46786878448475228</v>
          </cell>
          <cell r="DB59">
            <v>0.91977972818590159</v>
          </cell>
          <cell r="DC59">
            <v>2.1363337418625741</v>
          </cell>
          <cell r="DD59">
            <v>0.57519307455258695</v>
          </cell>
          <cell r="DE59">
            <v>0.85969803655794286</v>
          </cell>
          <cell r="DF59">
            <v>0.64521395490541389</v>
          </cell>
          <cell r="DG59">
            <v>1.1542738028530912</v>
          </cell>
          <cell r="DH59">
            <v>3.2323303585638419</v>
          </cell>
          <cell r="DI59">
            <v>0.80095140289099132</v>
          </cell>
          <cell r="DJ59">
            <v>1.0027003404689232</v>
          </cell>
          <cell r="DK59">
            <v>0.81065580629224476</v>
          </cell>
          <cell r="DL59">
            <v>1.3905647787570543</v>
          </cell>
          <cell r="DM59">
            <v>4.0027280464746857</v>
          </cell>
          <cell r="DN59">
            <v>0.98825116638724619</v>
          </cell>
          <cell r="DO59">
            <v>1.1570771657650032</v>
          </cell>
          <cell r="DP59">
            <v>0.95890586376890996</v>
          </cell>
          <cell r="DQ59">
            <v>1.5537911536396971</v>
          </cell>
          <cell r="DR59">
            <v>4.6559651987346555</v>
          </cell>
        </row>
        <row r="60">
          <cell r="B60" t="str">
            <v>y/y change</v>
          </cell>
          <cell r="I60">
            <v>0.20095427148495304</v>
          </cell>
          <cell r="J60">
            <v>0.14708713114098582</v>
          </cell>
          <cell r="K60">
            <v>0.16520295823088404</v>
          </cell>
          <cell r="L60">
            <v>-0.10660786977264969</v>
          </cell>
          <cell r="M60">
            <v>0.16293111239916969</v>
          </cell>
          <cell r="N60">
            <v>0.19267501284517485</v>
          </cell>
          <cell r="O60">
            <v>0.14059765470867824</v>
          </cell>
          <cell r="P60">
            <v>0.21439899856692946</v>
          </cell>
          <cell r="Q60">
            <v>0.55182674055020309</v>
          </cell>
          <cell r="R60">
            <v>0.16492967869987885</v>
          </cell>
          <cell r="S60">
            <v>0.13519482338264277</v>
          </cell>
          <cell r="T60">
            <v>0.17251077685986949</v>
          </cell>
          <cell r="U60">
            <v>0.20130812080780469</v>
          </cell>
          <cell r="V60">
            <v>-0.14555831752806292</v>
          </cell>
          <cell r="W60">
            <v>0.17714790956789894</v>
          </cell>
          <cell r="X60">
            <v>0.16723475572720048</v>
          </cell>
          <cell r="Y60">
            <v>-2.4261279074586417E-2</v>
          </cell>
          <cell r="Z60">
            <v>-0.1625075298180797</v>
          </cell>
          <cell r="AA60">
            <v>-0.12626537561563456</v>
          </cell>
          <cell r="AB60">
            <v>-3.8668603367305265E-2</v>
          </cell>
          <cell r="AC60">
            <v>-0.11908015025887497</v>
          </cell>
          <cell r="AD60">
            <v>-0.2667980809943381</v>
          </cell>
          <cell r="AE60">
            <v>0.38587566147271635</v>
          </cell>
          <cell r="AF60">
            <v>0.32620543971471427</v>
          </cell>
          <cell r="AG60">
            <v>9.2032578081252758E-2</v>
          </cell>
          <cell r="AH60">
            <v>0.25178220454978439</v>
          </cell>
          <cell r="AI60">
            <v>0.84031325293459735</v>
          </cell>
          <cell r="AJ60">
            <v>9.2233312032071968E-2</v>
          </cell>
          <cell r="AK60">
            <v>0.21441021187310039</v>
          </cell>
          <cell r="AL60">
            <v>0.27219439894457298</v>
          </cell>
          <cell r="AM60">
            <v>0.38580622721706104</v>
          </cell>
          <cell r="AN60">
            <v>0.43262973287776596</v>
          </cell>
          <cell r="AO60">
            <v>0.43283931909532813</v>
          </cell>
          <cell r="AP60">
            <v>0.40057971014492755</v>
          </cell>
          <cell r="AQ60">
            <v>0.41568612842314745</v>
          </cell>
          <cell r="AR60">
            <v>0.53244478890192481</v>
          </cell>
          <cell r="AS60">
            <v>0.40327704136796227</v>
          </cell>
          <cell r="AT60">
            <v>-0.29782367099381946</v>
          </cell>
          <cell r="BA60" t="str">
            <v>nm</v>
          </cell>
          <cell r="BB60">
            <v>-0.2704587214724602</v>
          </cell>
          <cell r="BC60" t="str">
            <v>nm</v>
          </cell>
          <cell r="BD60">
            <v>-0.8287915198162743</v>
          </cell>
          <cell r="BE60">
            <v>-0.98032178756618438</v>
          </cell>
          <cell r="BF60" t="str">
            <v>nm</v>
          </cell>
          <cell r="BG60" t="str">
            <v>nm</v>
          </cell>
          <cell r="BH60" t="str">
            <v>nm</v>
          </cell>
          <cell r="BI60" t="str">
            <v>nm</v>
          </cell>
          <cell r="BJ60" t="str">
            <v>nm</v>
          </cell>
          <cell r="BK60">
            <v>-0.22711033897180199</v>
          </cell>
          <cell r="BL60" t="str">
            <v>nm</v>
          </cell>
          <cell r="BM60" t="str">
            <v>nm</v>
          </cell>
          <cell r="BN60" t="str">
            <v>nm</v>
          </cell>
          <cell r="BO60" t="str">
            <v>nm</v>
          </cell>
          <cell r="BP60">
            <v>0.14560760071801071</v>
          </cell>
          <cell r="BQ60" t="str">
            <v>nm</v>
          </cell>
          <cell r="BR60" t="str">
            <v>nm</v>
          </cell>
          <cell r="BS60" t="str">
            <v>nm</v>
          </cell>
          <cell r="BT60">
            <v>18.214252562871991</v>
          </cell>
          <cell r="BU60">
            <v>3.0129513750311885</v>
          </cell>
          <cell r="BV60" t="str">
            <v>nm</v>
          </cell>
          <cell r="BW60" t="str">
            <v>nm</v>
          </cell>
          <cell r="BX60" t="str">
            <v>nm</v>
          </cell>
          <cell r="BY60" t="str">
            <v>nm</v>
          </cell>
          <cell r="BZ60">
            <v>-0.61350619805220941</v>
          </cell>
          <cell r="CA60" t="str">
            <v>nm</v>
          </cell>
          <cell r="CB60" t="str">
            <v>nm</v>
          </cell>
          <cell r="CC60" t="str">
            <v>nm</v>
          </cell>
          <cell r="CD60" t="str">
            <v>nm</v>
          </cell>
          <cell r="CE60" t="str">
            <v>nm</v>
          </cell>
          <cell r="CF60" t="str">
            <v>nm</v>
          </cell>
          <cell r="CG60" t="str">
            <v>nm</v>
          </cell>
          <cell r="CH60">
            <v>13.29728093779778</v>
          </cell>
          <cell r="CI60" t="str">
            <v>nm</v>
          </cell>
          <cell r="CJ60" t="str">
            <v>nm</v>
          </cell>
          <cell r="CK60">
            <v>1.0002193523300571</v>
          </cell>
          <cell r="CL60">
            <v>-0.39502166651781734</v>
          </cell>
          <cell r="CM60">
            <v>2.0882163151047921</v>
          </cell>
          <cell r="CN60">
            <v>1.8189004203093684</v>
          </cell>
          <cell r="CO60">
            <v>0.68891796579783482</v>
          </cell>
          <cell r="CP60">
            <v>0.51068147452411017</v>
          </cell>
          <cell r="CQ60">
            <v>0.77043945907340361</v>
          </cell>
          <cell r="CR60">
            <v>1.6987071279435328</v>
          </cell>
          <cell r="CS60">
            <v>1.0399726348784535</v>
          </cell>
          <cell r="CT60">
            <v>-0.16404537212253867</v>
          </cell>
          <cell r="CU60">
            <v>0.57778724366879808</v>
          </cell>
          <cell r="CV60">
            <v>-0.40847909347597167</v>
          </cell>
          <cell r="CW60">
            <v>-0.33174743447667399</v>
          </cell>
          <cell r="CX60">
            <v>4.8267949757147433E-2</v>
          </cell>
          <cell r="CY60">
            <v>-0.71551232854492852</v>
          </cell>
          <cell r="CZ60">
            <v>-8.2384955947398364E-2</v>
          </cell>
          <cell r="DA60">
            <v>2.6782027202815568</v>
          </cell>
          <cell r="DB60">
            <v>0.37784184610998506</v>
          </cell>
          <cell r="DC60">
            <v>-0.13568001880189606</v>
          </cell>
          <cell r="DD60">
            <v>2.4519131394879294</v>
          </cell>
          <cell r="DE60">
            <v>0.41095915969430563</v>
          </cell>
          <cell r="DF60">
            <v>0.37904894770008157</v>
          </cell>
          <cell r="DG60">
            <v>0.25494590441744847</v>
          </cell>
          <cell r="DH60">
            <v>0.51302687179659356</v>
          </cell>
          <cell r="DI60">
            <v>0.39249138824213103</v>
          </cell>
          <cell r="DJ60">
            <v>0.16634015413543657</v>
          </cell>
          <cell r="DK60">
            <v>0.25641393855327266</v>
          </cell>
          <cell r="DL60">
            <v>0.20470964109200773</v>
          </cell>
          <cell r="DM60">
            <v>0.23834125923104588</v>
          </cell>
          <cell r="DN60">
            <v>0.23384660145447822</v>
          </cell>
          <cell r="DO60">
            <v>0.15396107796660763</v>
          </cell>
          <cell r="DP60">
            <v>0.18287669850257071</v>
          </cell>
          <cell r="DQ60">
            <v>0.11738135279720052</v>
          </cell>
          <cell r="DR60">
            <v>0.16319798514298123</v>
          </cell>
        </row>
        <row r="61">
          <cell r="B61" t="str">
            <v>Reported EPS, Continuing Operations - Fully Diluted</v>
          </cell>
          <cell r="D61">
            <v>0.94775736919914411</v>
          </cell>
          <cell r="E61">
            <v>0.67629508862649468</v>
          </cell>
          <cell r="F61">
            <v>0.71620805184818948</v>
          </cell>
          <cell r="G61">
            <v>0.25237333333333323</v>
          </cell>
          <cell r="H61">
            <v>2.4403199764382895</v>
          </cell>
          <cell r="I61">
            <v>1.461596791405861</v>
          </cell>
          <cell r="J61">
            <v>2.2548797392332731</v>
          </cell>
          <cell r="K61">
            <v>0.86481990309001999</v>
          </cell>
          <cell r="L61">
            <v>4.1447619047615729E-2</v>
          </cell>
          <cell r="M61">
            <v>4.6151858073806054</v>
          </cell>
          <cell r="N61">
            <v>0.8790116390702073</v>
          </cell>
          <cell r="O61">
            <v>0.92808686312984434</v>
          </cell>
          <cell r="P61">
            <v>-0.98973466943145894</v>
          </cell>
          <cell r="Q61">
            <v>-1.3521423948220126</v>
          </cell>
          <cell r="R61">
            <v>-1.0521020670517798</v>
          </cell>
          <cell r="S61">
            <v>0.99784946236559136</v>
          </cell>
          <cell r="T61">
            <v>1.1819685557821709</v>
          </cell>
          <cell r="U61">
            <v>1.2616575452236034</v>
          </cell>
          <cell r="V61">
            <v>-1.2533333333333334</v>
          </cell>
          <cell r="W61">
            <v>2.2299615844261536</v>
          </cell>
          <cell r="X61">
            <v>1.1647245734568195</v>
          </cell>
          <cell r="Y61">
            <v>1.0617909227494013</v>
          </cell>
          <cell r="Z61">
            <v>1.0566286940729734</v>
          </cell>
          <cell r="AA61">
            <v>-1.1733333333333333</v>
          </cell>
          <cell r="AB61">
            <v>2.1187927986572466</v>
          </cell>
          <cell r="AC61">
            <v>1.089741952511089</v>
          </cell>
          <cell r="AD61">
            <v>1.1474286442811839</v>
          </cell>
          <cell r="AE61">
            <v>0.32080809871602889</v>
          </cell>
          <cell r="AF61">
            <v>0.32</v>
          </cell>
          <cell r="AG61">
            <v>2.8790563469432255</v>
          </cell>
          <cell r="AH61">
            <v>1.2843648388445303</v>
          </cell>
          <cell r="AI61">
            <v>1.4326970111893638</v>
          </cell>
          <cell r="AJ61">
            <v>1.5994183933115231</v>
          </cell>
          <cell r="AK61">
            <v>0.94233995584988972</v>
          </cell>
          <cell r="AL61">
            <v>5.2411926770023314</v>
          </cell>
          <cell r="AM61">
            <v>1.2316139406779241</v>
          </cell>
          <cell r="AN61">
            <v>0.70804134086323367</v>
          </cell>
          <cell r="AO61">
            <v>2.2280509626871092</v>
          </cell>
          <cell r="AP61">
            <v>2.0814953271028038</v>
          </cell>
          <cell r="AQ61">
            <v>6.2437984565489293</v>
          </cell>
          <cell r="AR61">
            <v>2.7035728354919923</v>
          </cell>
          <cell r="AS61">
            <v>2.5557239087971668</v>
          </cell>
          <cell r="AT61">
            <v>-0.46581648101056772</v>
          </cell>
          <cell r="AV61">
            <v>2.0794575882275614</v>
          </cell>
          <cell r="AW61">
            <v>1.7978529181300738</v>
          </cell>
          <cell r="AX61">
            <v>2.4909293328954853</v>
          </cell>
          <cell r="AY61">
            <v>-2.4599590416819559E-2</v>
          </cell>
          <cell r="AZ61">
            <v>6.3853370172845851</v>
          </cell>
          <cell r="BA61">
            <v>0.12703117556767057</v>
          </cell>
          <cell r="BB61">
            <v>-1.1094149771021908</v>
          </cell>
          <cell r="BC61">
            <v>-2.0274831815956293</v>
          </cell>
          <cell r="BD61">
            <v>-9.3682259567881978</v>
          </cell>
          <cell r="BE61">
            <v>-12.336696521128847</v>
          </cell>
          <cell r="BF61">
            <v>-0.16333688662700732</v>
          </cell>
          <cell r="BG61">
            <v>-1.8286322603354208</v>
          </cell>
          <cell r="BH61">
            <v>-0.44573402536398038</v>
          </cell>
          <cell r="BI61">
            <v>-13.720452209660841</v>
          </cell>
          <cell r="BJ61">
            <v>-16.180993766971383</v>
          </cell>
          <cell r="BK61">
            <v>0.1705949712867339</v>
          </cell>
          <cell r="BL61">
            <v>-0.10239825240315899</v>
          </cell>
          <cell r="BM61">
            <v>-3.2226506301432929</v>
          </cell>
          <cell r="BN61">
            <v>-2.1379579094860168</v>
          </cell>
          <cell r="BO61">
            <v>-5.2975273940174619</v>
          </cell>
          <cell r="BP61">
            <v>0.12745754070675205</v>
          </cell>
          <cell r="BQ61">
            <v>-3.7993404277020364</v>
          </cell>
          <cell r="BR61">
            <v>-0.25465433856718739</v>
          </cell>
          <cell r="BS61">
            <v>-3.3341534389289986</v>
          </cell>
          <cell r="BT61">
            <v>-7.263505979649441</v>
          </cell>
          <cell r="BU61">
            <v>0.78427073363045663</v>
          </cell>
          <cell r="BV61">
            <v>-0.24513325951159312</v>
          </cell>
          <cell r="BW61">
            <v>-0.29536862003780717</v>
          </cell>
          <cell r="BX61">
            <v>-0.72530076789110365</v>
          </cell>
          <cell r="BY61">
            <v>-0.48161721992796869</v>
          </cell>
          <cell r="BZ61">
            <v>-8.4198827110338353E-2</v>
          </cell>
          <cell r="CA61">
            <v>-0.1595606204388757</v>
          </cell>
          <cell r="CB61">
            <v>0.94844100010607568</v>
          </cell>
          <cell r="CC61">
            <v>-8.383529717516966E-2</v>
          </cell>
          <cell r="CD61">
            <v>0.62682039088519581</v>
          </cell>
          <cell r="CE61">
            <v>1.5766028795942542</v>
          </cell>
          <cell r="CF61">
            <v>1.6385249997951844E-2</v>
          </cell>
          <cell r="CG61">
            <v>1.6061547851366435E-2</v>
          </cell>
          <cell r="CH61">
            <v>0.1278524582631643</v>
          </cell>
          <cell r="CI61">
            <v>1.6480147927069433</v>
          </cell>
          <cell r="CJ61">
            <v>0.59367556703169377</v>
          </cell>
          <cell r="CK61">
            <v>0.27857980017868905</v>
          </cell>
          <cell r="CL61">
            <v>6.6589264981691523</v>
          </cell>
          <cell r="CM61">
            <v>0.37015879456364859</v>
          </cell>
          <cell r="CN61">
            <v>7.8625691408430862</v>
          </cell>
          <cell r="CO61">
            <v>0.56619030009855242</v>
          </cell>
          <cell r="CP61">
            <v>0.31761912702382938</v>
          </cell>
          <cell r="CQ61">
            <v>6.6166010520395668E-2</v>
          </cell>
          <cell r="CR61">
            <v>-0.55497232075550229</v>
          </cell>
          <cell r="CS61">
            <v>0.560615522866724</v>
          </cell>
          <cell r="CT61">
            <v>0.47022622418653959</v>
          </cell>
          <cell r="CU61">
            <v>0.39279134362696044</v>
          </cell>
          <cell r="CV61">
            <v>0.27956127517216312</v>
          </cell>
          <cell r="CW61">
            <v>0.65595963961598303</v>
          </cell>
          <cell r="CX61">
            <v>1.8618369954896288</v>
          </cell>
          <cell r="CY61">
            <v>0.31748868525797791</v>
          </cell>
          <cell r="CZ61">
            <v>0.76635313139595318</v>
          </cell>
          <cell r="DA61">
            <v>0.62905798483990338</v>
          </cell>
          <cell r="DB61">
            <v>1.0826851930055175</v>
          </cell>
          <cell r="DC61">
            <v>2.7677854268565261</v>
          </cell>
          <cell r="DD61">
            <v>0.72877739235776506</v>
          </cell>
          <cell r="DE61">
            <v>1.013695021851502</v>
          </cell>
          <cell r="DF61">
            <v>0.79962583126404896</v>
          </cell>
          <cell r="DG61">
            <v>1.309102811873998</v>
          </cell>
          <cell r="DH61">
            <v>3.8491469655929396</v>
          </cell>
          <cell r="DI61">
            <v>0.8871471319198595</v>
          </cell>
          <cell r="DJ61">
            <v>1.092317894235461</v>
          </cell>
          <cell r="DK61">
            <v>0.89929533473717138</v>
          </cell>
          <cell r="DL61">
            <v>1.4786167896921671</v>
          </cell>
          <cell r="DM61">
            <v>4.3552266256004399</v>
          </cell>
          <cell r="DN61">
            <v>1.0715005955392856</v>
          </cell>
          <cell r="DO61">
            <v>1.2457207247517614</v>
          </cell>
          <cell r="DP61">
            <v>1.046302785635072</v>
          </cell>
          <cell r="DQ61">
            <v>1.6405999193700449</v>
          </cell>
          <cell r="DR61">
            <v>5.0020509076926514</v>
          </cell>
          <cell r="DT61" t="str">
            <v>mstag:adjEpsForConsensus</v>
          </cell>
          <cell r="DU61">
            <v>0</v>
          </cell>
          <cell r="DV61" t="str">
            <v>ISO4217:USD</v>
          </cell>
          <cell r="DW61" t="b">
            <v>0</v>
          </cell>
        </row>
        <row r="62">
          <cell r="B62" t="str">
            <v>y/y change</v>
          </cell>
          <cell r="I62">
            <v>0.54216346810461813</v>
          </cell>
          <cell r="J62">
            <v>2.3341654806524872</v>
          </cell>
          <cell r="K62">
            <v>0.20749815763497015</v>
          </cell>
          <cell r="L62">
            <v>-0.83576862697743126</v>
          </cell>
          <cell r="M62">
            <v>0.89122158239125238</v>
          </cell>
          <cell r="N62">
            <v>-0.39859498581362141</v>
          </cell>
          <cell r="O62">
            <v>-0.58840959587254005</v>
          </cell>
          <cell r="P62" t="str">
            <v>nm</v>
          </cell>
          <cell r="Q62" t="str">
            <v>nm</v>
          </cell>
          <cell r="R62" t="str">
            <v>nm</v>
          </cell>
          <cell r="S62">
            <v>0.13519482338264277</v>
          </cell>
          <cell r="T62">
            <v>0.27355380486277503</v>
          </cell>
          <cell r="U62" t="str">
            <v>nm</v>
          </cell>
          <cell r="V62" t="str">
            <v>nm</v>
          </cell>
          <cell r="W62" t="str">
            <v>nm</v>
          </cell>
          <cell r="X62">
            <v>0.16723475572720048</v>
          </cell>
          <cell r="Y62">
            <v>-0.10167582922985763</v>
          </cell>
          <cell r="Z62">
            <v>-0.1625075298180797</v>
          </cell>
          <cell r="AA62" t="str">
            <v>nm</v>
          </cell>
          <cell r="AB62">
            <v>-4.9852332230877705E-2</v>
          </cell>
          <cell r="AC62">
            <v>-6.4377984851120118E-2</v>
          </cell>
          <cell r="AD62">
            <v>8.0654034327240387E-2</v>
          </cell>
          <cell r="AE62">
            <v>-0.69638521032453327</v>
          </cell>
          <cell r="AF62" t="str">
            <v>nm</v>
          </cell>
          <cell r="AG62">
            <v>0.35881920533606904</v>
          </cell>
          <cell r="AH62">
            <v>0.17859538754562254</v>
          </cell>
          <cell r="AI62">
            <v>0.24861534382113026</v>
          </cell>
          <cell r="AJ62">
            <v>3.985592320495897</v>
          </cell>
          <cell r="AK62">
            <v>1.9448123620309055</v>
          </cell>
          <cell r="AL62">
            <v>0.82045505381200745</v>
          </cell>
          <cell r="AM62">
            <v>-4.1071583845337267E-2</v>
          </cell>
          <cell r="AN62">
            <v>-0.50579827044139081</v>
          </cell>
          <cell r="AO62">
            <v>0.39303822689823575</v>
          </cell>
          <cell r="AP62">
            <v>1.2088581877285653</v>
          </cell>
          <cell r="AQ62">
            <v>0.19129344050752062</v>
          </cell>
          <cell r="AR62">
            <v>1.1951463410716592</v>
          </cell>
          <cell r="AS62">
            <v>2.6095687656899602</v>
          </cell>
          <cell r="AT62" t="str">
            <v>nm</v>
          </cell>
          <cell r="BA62">
            <v>-0.93891138906278615</v>
          </cell>
          <cell r="BB62" t="str">
            <v>nm</v>
          </cell>
          <cell r="BC62" t="str">
            <v>nm</v>
          </cell>
          <cell r="BD62" t="str">
            <v>nm</v>
          </cell>
          <cell r="BE62" t="str">
            <v>nm</v>
          </cell>
          <cell r="BF62" t="str">
            <v>nm</v>
          </cell>
          <cell r="BG62" t="str">
            <v>nm</v>
          </cell>
          <cell r="BH62" t="str">
            <v>nm</v>
          </cell>
          <cell r="BI62" t="str">
            <v>nm</v>
          </cell>
          <cell r="BJ62" t="str">
            <v>nm</v>
          </cell>
          <cell r="BK62" t="str">
            <v>nm</v>
          </cell>
          <cell r="BL62" t="str">
            <v>nm</v>
          </cell>
          <cell r="BM62" t="str">
            <v>nm</v>
          </cell>
          <cell r="BN62" t="str">
            <v>nm</v>
          </cell>
          <cell r="BO62" t="str">
            <v>nm</v>
          </cell>
          <cell r="BP62">
            <v>-0.25286460822738432</v>
          </cell>
          <cell r="BQ62" t="str">
            <v>nm</v>
          </cell>
          <cell r="BR62" t="str">
            <v>nm</v>
          </cell>
          <cell r="BS62" t="str">
            <v>nm</v>
          </cell>
          <cell r="BT62" t="str">
            <v>nm</v>
          </cell>
          <cell r="BU62">
            <v>5.1531921083811554</v>
          </cell>
          <cell r="BV62" t="str">
            <v>nm</v>
          </cell>
          <cell r="BW62" t="str">
            <v>nm</v>
          </cell>
          <cell r="BX62" t="str">
            <v>nm</v>
          </cell>
          <cell r="BY62" t="str">
            <v>nm</v>
          </cell>
          <cell r="BZ62" t="str">
            <v>nm</v>
          </cell>
          <cell r="CA62" t="str">
            <v>nm</v>
          </cell>
          <cell r="CB62" t="str">
            <v>nm</v>
          </cell>
          <cell r="CC62" t="str">
            <v>nm</v>
          </cell>
          <cell r="CD62" t="str">
            <v>nm</v>
          </cell>
          <cell r="CE62" t="str">
            <v>nm</v>
          </cell>
          <cell r="CF62" t="str">
            <v>nm</v>
          </cell>
          <cell r="CG62">
            <v>-0.98306531682037146</v>
          </cell>
          <cell r="CH62" t="str">
            <v>nm</v>
          </cell>
          <cell r="CI62">
            <v>1.6291658929276642</v>
          </cell>
          <cell r="CJ62">
            <v>-0.62344635119245828</v>
          </cell>
          <cell r="CK62">
            <v>16.001864494805481</v>
          </cell>
          <cell r="CL62">
            <v>413.58809323926056</v>
          </cell>
          <cell r="CM62">
            <v>1.8952027954107429</v>
          </cell>
          <cell r="CN62">
            <v>3.7709335957649017</v>
          </cell>
          <cell r="CO62">
            <v>-4.6296779688213108E-2</v>
          </cell>
          <cell r="CP62">
            <v>0.14013696190498881</v>
          </cell>
          <cell r="CQ62">
            <v>-0.99006356196624368</v>
          </cell>
          <cell r="CR62" t="str">
            <v>nm</v>
          </cell>
          <cell r="CS62">
            <v>-0.92869817577125813</v>
          </cell>
          <cell r="CT62">
            <v>-0.16949085121258545</v>
          </cell>
          <cell r="CU62">
            <v>0.23667408605871287</v>
          </cell>
          <cell r="CV62">
            <v>3.2251493323144871</v>
          </cell>
          <cell r="CW62" t="str">
            <v>nm</v>
          </cell>
          <cell r="CX62">
            <v>2.3210585856935793</v>
          </cell>
          <cell r="CY62">
            <v>-0.32481714347766877</v>
          </cell>
          <cell r="CZ62">
            <v>0.95104384001845443</v>
          </cell>
          <cell r="DA62">
            <v>1.2501613803718294</v>
          </cell>
          <cell r="DB62">
            <v>0.65053629464055351</v>
          </cell>
          <cell r="DC62">
            <v>0.48658847877746125</v>
          </cell>
          <cell r="DD62">
            <v>1.2954436683801545</v>
          </cell>
          <cell r="DE62">
            <v>0.32275184940525037</v>
          </cell>
          <cell r="DF62">
            <v>0.2711480507914632</v>
          </cell>
          <cell r="DG62">
            <v>0.20912599556289191</v>
          </cell>
          <cell r="DH62">
            <v>0.39069558219495182</v>
          </cell>
          <cell r="DI62">
            <v>0.21730879857528418</v>
          </cell>
          <cell r="DJ62">
            <v>7.7560677214686624E-2</v>
          </cell>
          <cell r="DK62">
            <v>0.12464517725192148</v>
          </cell>
          <cell r="DL62">
            <v>0.12948866680341764</v>
          </cell>
          <cell r="DM62">
            <v>0.13147839366261804</v>
          </cell>
          <cell r="DN62">
            <v>0.20780483528191085</v>
          </cell>
          <cell r="DO62">
            <v>0.14043789937513629</v>
          </cell>
          <cell r="DP62">
            <v>0.16346960249812148</v>
          </cell>
          <cell r="DQ62">
            <v>0.10955044661139079</v>
          </cell>
          <cell r="DR62">
            <v>0.14851679090362735</v>
          </cell>
        </row>
        <row r="63">
          <cell r="B63" t="str">
            <v>EBITDA (Ex-HCIT)</v>
          </cell>
          <cell r="BO63">
            <v>23</v>
          </cell>
          <cell r="BP63">
            <v>194</v>
          </cell>
          <cell r="BQ63">
            <v>-533</v>
          </cell>
          <cell r="BR63">
            <v>104</v>
          </cell>
          <cell r="BS63">
            <v>-185</v>
          </cell>
          <cell r="BT63">
            <v>-420</v>
          </cell>
          <cell r="BU63">
            <v>187</v>
          </cell>
          <cell r="BV63">
            <v>147</v>
          </cell>
          <cell r="BW63">
            <v>161</v>
          </cell>
          <cell r="BX63">
            <v>121</v>
          </cell>
          <cell r="BY63">
            <v>616</v>
          </cell>
          <cell r="BZ63">
            <v>186</v>
          </cell>
          <cell r="CA63">
            <v>158</v>
          </cell>
          <cell r="CB63">
            <v>160</v>
          </cell>
          <cell r="CC63">
            <v>189</v>
          </cell>
          <cell r="CD63">
            <v>693</v>
          </cell>
          <cell r="CE63">
            <v>270</v>
          </cell>
          <cell r="CF63">
            <v>236</v>
          </cell>
          <cell r="CG63">
            <v>230</v>
          </cell>
          <cell r="CH63">
            <v>186</v>
          </cell>
          <cell r="CI63">
            <v>922</v>
          </cell>
          <cell r="CJ63">
            <v>296</v>
          </cell>
          <cell r="CK63">
            <v>268</v>
          </cell>
          <cell r="CL63">
            <v>198</v>
          </cell>
          <cell r="CM63">
            <v>266</v>
          </cell>
          <cell r="CN63">
            <v>1028</v>
          </cell>
          <cell r="CO63">
            <v>327</v>
          </cell>
          <cell r="CP63">
            <v>240</v>
          </cell>
          <cell r="CQ63">
            <v>179</v>
          </cell>
          <cell r="CR63">
            <v>250</v>
          </cell>
          <cell r="CS63">
            <v>996</v>
          </cell>
          <cell r="CT63">
            <v>305</v>
          </cell>
          <cell r="CU63">
            <v>284</v>
          </cell>
          <cell r="CV63">
            <v>250</v>
          </cell>
          <cell r="CW63">
            <v>308.18827972984684</v>
          </cell>
          <cell r="CX63">
            <v>1147.1882797298472</v>
          </cell>
          <cell r="CY63">
            <v>258.30861714162245</v>
          </cell>
          <cell r="CZ63">
            <v>329.46766914452633</v>
          </cell>
          <cell r="DA63">
            <v>303.69813047520393</v>
          </cell>
          <cell r="DB63">
            <v>374.461982374066</v>
          </cell>
          <cell r="DC63">
            <v>1265.9363991354194</v>
          </cell>
          <cell r="DD63">
            <v>320.32369617583618</v>
          </cell>
          <cell r="DE63">
            <v>364.65359794590529</v>
          </cell>
          <cell r="DF63">
            <v>330.59850153914067</v>
          </cell>
          <cell r="DG63">
            <v>409.29881292237064</v>
          </cell>
          <cell r="DH63">
            <v>1424.8746085832536</v>
          </cell>
          <cell r="DI63">
            <v>350.69572364713849</v>
          </cell>
          <cell r="DJ63">
            <v>381.80245386616662</v>
          </cell>
          <cell r="DK63">
            <v>351.40416572403194</v>
          </cell>
          <cell r="DL63">
            <v>437.81311460178381</v>
          </cell>
          <cell r="DM63">
            <v>1521.7154578391201</v>
          </cell>
          <cell r="DN63">
            <v>375.96288402160428</v>
          </cell>
          <cell r="DO63">
            <v>401.72435573578537</v>
          </cell>
          <cell r="DP63">
            <v>370.61274737666827</v>
          </cell>
          <cell r="DQ63">
            <v>460.91258896182808</v>
          </cell>
          <cell r="DR63">
            <v>1609.2125760958852</v>
          </cell>
        </row>
        <row r="64">
          <cell r="B64" t="str">
            <v>Wtd. avg shares outstanding - basic</v>
          </cell>
          <cell r="D64">
            <v>63.172875000000005</v>
          </cell>
          <cell r="E64">
            <v>63.119624999999999</v>
          </cell>
          <cell r="F64">
            <v>62.963249999999995</v>
          </cell>
          <cell r="G64">
            <v>58.928571428571431</v>
          </cell>
          <cell r="H64">
            <v>66.306375000000003</v>
          </cell>
          <cell r="I64">
            <v>75.708928874999998</v>
          </cell>
          <cell r="J64">
            <v>76.441874999999996</v>
          </cell>
          <cell r="K64">
            <v>79.975499999999997</v>
          </cell>
          <cell r="L64">
            <v>77.205882352941174</v>
          </cell>
          <cell r="M64">
            <v>78.5595</v>
          </cell>
          <cell r="N64">
            <v>82.365234749999999</v>
          </cell>
          <cell r="O64">
            <v>82.750875000000008</v>
          </cell>
          <cell r="P64">
            <v>114.14999999999999</v>
          </cell>
          <cell r="Q64">
            <v>115.29850746268656</v>
          </cell>
          <cell r="R64">
            <v>113.94750000000001</v>
          </cell>
          <cell r="S64">
            <v>114.375</v>
          </cell>
          <cell r="T64">
            <v>114.375</v>
          </cell>
          <cell r="U64">
            <v>114.97762500000002</v>
          </cell>
          <cell r="V64">
            <v>112.5</v>
          </cell>
          <cell r="W64">
            <v>114.845625</v>
          </cell>
          <cell r="X64">
            <v>116.02612500000001</v>
          </cell>
          <cell r="Y64">
            <v>116.176125</v>
          </cell>
          <cell r="Z64">
            <v>116.352</v>
          </cell>
          <cell r="AA64">
            <v>116.76136363636364</v>
          </cell>
          <cell r="AB64">
            <v>116.26875000000001</v>
          </cell>
          <cell r="AC64">
            <v>116.68199999999999</v>
          </cell>
          <cell r="AD64">
            <v>116.81700000000001</v>
          </cell>
          <cell r="AE64">
            <v>117.104625</v>
          </cell>
          <cell r="AF64">
            <v>112.5</v>
          </cell>
          <cell r="AG64">
            <v>116.99250000000001</v>
          </cell>
          <cell r="AH64">
            <v>117.88312500000001</v>
          </cell>
          <cell r="AI64">
            <v>119.263125</v>
          </cell>
          <cell r="AJ64">
            <v>120.694125</v>
          </cell>
          <cell r="AK64">
            <v>120.47872340425533</v>
          </cell>
          <cell r="AL64">
            <v>119.905125</v>
          </cell>
          <cell r="AM64">
            <v>122.37937500000001</v>
          </cell>
          <cell r="AN64">
            <v>122.20537499999999</v>
          </cell>
          <cell r="AO64">
            <v>122.4495</v>
          </cell>
          <cell r="AP64">
            <v>123.46153846153845</v>
          </cell>
          <cell r="AQ64">
            <v>122.42925</v>
          </cell>
          <cell r="AR64">
            <v>122.12050000000001</v>
          </cell>
          <cell r="AS64">
            <v>121.23875</v>
          </cell>
          <cell r="AT64">
            <v>118.07225</v>
          </cell>
          <cell r="AV64">
            <v>122.50875000000001</v>
          </cell>
          <cell r="AW64">
            <v>122.65125</v>
          </cell>
          <cell r="AX64">
            <v>122.0265</v>
          </cell>
          <cell r="AY64">
            <v>120.08625000000001</v>
          </cell>
          <cell r="AZ64">
            <v>121.812</v>
          </cell>
          <cell r="BA64">
            <v>117.62775000000001</v>
          </cell>
          <cell r="BB64">
            <v>116.2775</v>
          </cell>
          <cell r="BC64">
            <v>115.90725</v>
          </cell>
          <cell r="BD64">
            <v>116.13724999999999</v>
          </cell>
          <cell r="BE64">
            <v>116.48175000000001</v>
          </cell>
          <cell r="BF64">
            <v>116.324</v>
          </cell>
          <cell r="BG64">
            <v>116.48050000000001</v>
          </cell>
          <cell r="BH64">
            <v>116.6615</v>
          </cell>
          <cell r="BI64">
            <v>116.76</v>
          </cell>
          <cell r="BJ64">
            <v>116.5565</v>
          </cell>
          <cell r="BK64">
            <v>117.01175000000001</v>
          </cell>
          <cell r="BL64">
            <v>117.1895</v>
          </cell>
          <cell r="BM64">
            <v>117.29474999999999</v>
          </cell>
          <cell r="BN64">
            <v>117.40175000000001</v>
          </cell>
          <cell r="BO64">
            <v>117.22450000000001</v>
          </cell>
          <cell r="BP64">
            <v>117.51725</v>
          </cell>
          <cell r="BQ64">
            <v>117.652</v>
          </cell>
          <cell r="BR64">
            <v>117.80674999999999</v>
          </cell>
          <cell r="BS64">
            <v>117.871</v>
          </cell>
          <cell r="BT64">
            <v>117.71174999999999</v>
          </cell>
          <cell r="BU64">
            <v>118.03400000000001</v>
          </cell>
          <cell r="BV64">
            <v>118.303</v>
          </cell>
          <cell r="BW64">
            <v>118.496</v>
          </cell>
          <cell r="BX64">
            <v>118.5715</v>
          </cell>
          <cell r="BY64">
            <v>118.35124999999999</v>
          </cell>
          <cell r="BZ64">
            <v>118.76649999999999</v>
          </cell>
          <cell r="CA64">
            <v>119.077</v>
          </cell>
          <cell r="CB64">
            <v>119.22450000000001</v>
          </cell>
          <cell r="CC64">
            <v>119.28149999999999</v>
          </cell>
          <cell r="CD64">
            <v>119.08725</v>
          </cell>
          <cell r="CE64">
            <v>119.593</v>
          </cell>
          <cell r="CF64">
            <v>120.11175</v>
          </cell>
          <cell r="CG64">
            <v>120.252</v>
          </cell>
          <cell r="CH64">
            <v>120.28274999999999</v>
          </cell>
          <cell r="CI64">
            <v>120.06</v>
          </cell>
          <cell r="CJ64">
            <v>120.47924999999999</v>
          </cell>
          <cell r="CK64">
            <v>121.1525</v>
          </cell>
          <cell r="CL64">
            <v>121.30249999999999</v>
          </cell>
          <cell r="CM64">
            <v>121.38724999999999</v>
          </cell>
          <cell r="CN64">
            <v>121.08025000000001</v>
          </cell>
          <cell r="CO64">
            <v>121.7255</v>
          </cell>
          <cell r="CP64">
            <v>121.6985</v>
          </cell>
          <cell r="CQ64">
            <v>117.18825</v>
          </cell>
          <cell r="CR64">
            <v>108.1135</v>
          </cell>
          <cell r="CS64">
            <v>117.1815</v>
          </cell>
          <cell r="CT64">
            <v>102.84325</v>
          </cell>
          <cell r="CU64">
            <v>103.75275000000001</v>
          </cell>
          <cell r="CV64">
            <v>104.244</v>
          </cell>
          <cell r="CW64">
            <v>103.91862600000002</v>
          </cell>
          <cell r="CX64">
            <v>103.68965650000001</v>
          </cell>
          <cell r="CY64">
            <v>101.41862600000002</v>
          </cell>
          <cell r="CZ64">
            <v>97.418626000000017</v>
          </cell>
          <cell r="DA64">
            <v>94.918626000000017</v>
          </cell>
          <cell r="DB64">
            <v>93.918626000000017</v>
          </cell>
          <cell r="DC64">
            <v>96.918626000000017</v>
          </cell>
          <cell r="DD64">
            <v>93.293626000000017</v>
          </cell>
          <cell r="DE64">
            <v>93.043626000000017</v>
          </cell>
          <cell r="DF64">
            <v>92.793626000000017</v>
          </cell>
          <cell r="DG64">
            <v>92.543626000000017</v>
          </cell>
          <cell r="DH64">
            <v>92.918626000000017</v>
          </cell>
          <cell r="DI64">
            <v>92.293626000000017</v>
          </cell>
          <cell r="DJ64">
            <v>92.043626000000017</v>
          </cell>
          <cell r="DK64">
            <v>91.793626000000017</v>
          </cell>
          <cell r="DL64">
            <v>91.543626000000017</v>
          </cell>
          <cell r="DM64">
            <v>91.918626000000017</v>
          </cell>
          <cell r="DN64">
            <v>91.293626000000017</v>
          </cell>
          <cell r="DO64">
            <v>91.043626000000017</v>
          </cell>
          <cell r="DP64">
            <v>90.793626000000017</v>
          </cell>
          <cell r="DQ64">
            <v>90.543626000000017</v>
          </cell>
          <cell r="DR64">
            <v>90.918626000000017</v>
          </cell>
          <cell r="DT64" t="str">
            <v>mstag:averageBasicSharesOutstanding</v>
          </cell>
          <cell r="DU64">
            <v>6</v>
          </cell>
          <cell r="DV64" t="str">
            <v>ms_eqr_gcim_Decimal:ms_eqr_gcim_decimal</v>
          </cell>
          <cell r="DW64" t="b">
            <v>0</v>
          </cell>
        </row>
        <row r="65">
          <cell r="B65" t="str">
            <v>Wtd. avg shares outstanding - diluted</v>
          </cell>
          <cell r="D65">
            <v>67.557374999999993</v>
          </cell>
          <cell r="E65">
            <v>68.313375000000008</v>
          </cell>
          <cell r="F65">
            <v>68.276250000000005</v>
          </cell>
          <cell r="G65">
            <v>58.928571428571431</v>
          </cell>
          <cell r="H65">
            <v>71.302125000000004</v>
          </cell>
          <cell r="I65">
            <v>80.938874999999996</v>
          </cell>
          <cell r="J65">
            <v>81.068624999999997</v>
          </cell>
          <cell r="K65">
            <v>81.751125000000002</v>
          </cell>
          <cell r="L65">
            <v>77.205882352941174</v>
          </cell>
          <cell r="M65">
            <v>81.253500000000003</v>
          </cell>
          <cell r="N65">
            <v>82.365234749999999</v>
          </cell>
          <cell r="O65">
            <v>82.750875000000008</v>
          </cell>
          <cell r="P65">
            <v>114.47512499999999</v>
          </cell>
          <cell r="Q65">
            <v>115.29850746268656</v>
          </cell>
          <cell r="R65">
            <v>114.05737500000001</v>
          </cell>
          <cell r="S65">
            <v>116.25</v>
          </cell>
          <cell r="T65">
            <v>116.75437500000001</v>
          </cell>
          <cell r="U65">
            <v>117.30599999999998</v>
          </cell>
          <cell r="V65">
            <v>112.5</v>
          </cell>
          <cell r="W65">
            <v>117.04237499999999</v>
          </cell>
          <cell r="X65">
            <v>117.62437500000001</v>
          </cell>
          <cell r="Y65">
            <v>117.72562500000001</v>
          </cell>
          <cell r="Z65">
            <v>117.354375</v>
          </cell>
          <cell r="AA65">
            <v>116.76136363636364</v>
          </cell>
          <cell r="AB65">
            <v>117.51975000000002</v>
          </cell>
          <cell r="AC65">
            <v>117.459</v>
          </cell>
          <cell r="AD65">
            <v>117.654375</v>
          </cell>
          <cell r="AE65">
            <v>118.45087500000001</v>
          </cell>
          <cell r="AF65">
            <v>121.875</v>
          </cell>
          <cell r="AG65">
            <v>118.09425</v>
          </cell>
          <cell r="AH65">
            <v>119.90362500000001</v>
          </cell>
          <cell r="AI65">
            <v>122.14725</v>
          </cell>
          <cell r="AJ65">
            <v>123.795</v>
          </cell>
          <cell r="AK65">
            <v>123.09782608695652</v>
          </cell>
          <cell r="AL65">
            <v>122.68199999999999</v>
          </cell>
          <cell r="AM65">
            <v>125.851125</v>
          </cell>
          <cell r="AN65">
            <v>125.698875</v>
          </cell>
          <cell r="AO65">
            <v>125.67037499999999</v>
          </cell>
          <cell r="AP65">
            <v>125.390625</v>
          </cell>
          <cell r="AQ65">
            <v>125.72475</v>
          </cell>
          <cell r="AR65">
            <v>125.01975</v>
          </cell>
          <cell r="AS65">
            <v>123.25275000000001</v>
          </cell>
          <cell r="AT65">
            <v>118.07225</v>
          </cell>
          <cell r="AV65">
            <v>125.51349999999999</v>
          </cell>
          <cell r="AW65">
            <v>125.7055</v>
          </cell>
          <cell r="AX65">
            <v>124.85299999999999</v>
          </cell>
          <cell r="AY65">
            <v>121.95325</v>
          </cell>
          <cell r="AZ65">
            <v>124.504</v>
          </cell>
          <cell r="BA65">
            <v>118.08125</v>
          </cell>
          <cell r="BB65">
            <v>116.2775</v>
          </cell>
          <cell r="BC65">
            <v>115.90725</v>
          </cell>
          <cell r="BD65">
            <v>116.13724999999999</v>
          </cell>
          <cell r="BE65">
            <v>116.48175000000001</v>
          </cell>
          <cell r="BF65">
            <v>116.324</v>
          </cell>
          <cell r="BG65">
            <v>116.48050000000001</v>
          </cell>
          <cell r="BH65">
            <v>116.6615</v>
          </cell>
          <cell r="BI65">
            <v>116.76</v>
          </cell>
          <cell r="BJ65">
            <v>116.5565</v>
          </cell>
          <cell r="BK65">
            <v>117.23675</v>
          </cell>
          <cell r="BL65">
            <v>117.1895</v>
          </cell>
          <cell r="BM65">
            <v>117.29474999999999</v>
          </cell>
          <cell r="BN65">
            <v>117.40175000000001</v>
          </cell>
          <cell r="BO65">
            <v>117.22450000000001</v>
          </cell>
          <cell r="BP65">
            <v>117.68625</v>
          </cell>
          <cell r="BQ65">
            <v>117.652</v>
          </cell>
          <cell r="BR65">
            <v>117.80674999999999</v>
          </cell>
          <cell r="BS65">
            <v>117.871</v>
          </cell>
          <cell r="BT65">
            <v>117.71174999999999</v>
          </cell>
          <cell r="BU65">
            <v>118.58150000000001</v>
          </cell>
          <cell r="BV65">
            <v>118.303</v>
          </cell>
          <cell r="BW65">
            <v>118.496</v>
          </cell>
          <cell r="BX65">
            <v>118.5715</v>
          </cell>
          <cell r="BY65">
            <v>118.35124999999999</v>
          </cell>
          <cell r="BZ65">
            <v>118.76649999999999</v>
          </cell>
          <cell r="CA65">
            <v>119.077</v>
          </cell>
          <cell r="CB65">
            <v>120.19725</v>
          </cell>
          <cell r="CC65">
            <v>119.28149999999999</v>
          </cell>
          <cell r="CD65">
            <v>119.6515</v>
          </cell>
          <cell r="CE65">
            <v>119.878</v>
          </cell>
          <cell r="CF65">
            <v>122.06100000000001</v>
          </cell>
          <cell r="CG65">
            <v>124.521</v>
          </cell>
          <cell r="CH65">
            <v>125.14425</v>
          </cell>
          <cell r="CI65">
            <v>126.81925</v>
          </cell>
          <cell r="CJ65">
            <v>139.80699999999999</v>
          </cell>
          <cell r="CK65">
            <v>125.63724999999999</v>
          </cell>
          <cell r="CL65">
            <v>139.96250000000001</v>
          </cell>
          <cell r="CM65">
            <v>140.48025000000001</v>
          </cell>
          <cell r="CN65">
            <v>140.15774999999999</v>
          </cell>
          <cell r="CO65">
            <v>141.29525000000001</v>
          </cell>
          <cell r="CP65">
            <v>125.937</v>
          </cell>
          <cell r="CQ65">
            <v>120.908</v>
          </cell>
          <cell r="CR65">
            <v>108.1135</v>
          </cell>
          <cell r="CS65">
            <v>121.29525</v>
          </cell>
          <cell r="CT65">
            <v>121.21825</v>
          </cell>
          <cell r="CU65">
            <v>106.92700000000001</v>
          </cell>
          <cell r="CV65">
            <v>107.31100000000001</v>
          </cell>
          <cell r="CW65">
            <v>106.97605305519744</v>
          </cell>
          <cell r="CX65">
            <v>106.97605305519744</v>
          </cell>
          <cell r="CY65">
            <v>104.40249966123712</v>
          </cell>
          <cell r="CZ65">
            <v>100.28481423090059</v>
          </cell>
          <cell r="DA65">
            <v>97.711260836940269</v>
          </cell>
          <cell r="DB65">
            <v>96.681839479356142</v>
          </cell>
          <cell r="DC65">
            <v>99.770103552108523</v>
          </cell>
          <cell r="DD65">
            <v>96.038451130866065</v>
          </cell>
          <cell r="DE65">
            <v>95.781095791470037</v>
          </cell>
          <cell r="DF65">
            <v>95.523740452073994</v>
          </cell>
          <cell r="DG65">
            <v>95.266385112677966</v>
          </cell>
          <cell r="DH65">
            <v>95.652418121772001</v>
          </cell>
          <cell r="DI65">
            <v>95.009029773281938</v>
          </cell>
          <cell r="DJ65">
            <v>94.751674433885896</v>
          </cell>
          <cell r="DK65">
            <v>94.494319094489867</v>
          </cell>
          <cell r="DL65">
            <v>94.236963755093839</v>
          </cell>
          <cell r="DM65">
            <v>94.622996764187889</v>
          </cell>
          <cell r="DN65">
            <v>93.979608415697811</v>
          </cell>
          <cell r="DO65">
            <v>93.722253076301769</v>
          </cell>
          <cell r="DP65">
            <v>93.464897736905741</v>
          </cell>
          <cell r="DQ65">
            <v>93.207542397509712</v>
          </cell>
          <cell r="DR65">
            <v>93.593575406603762</v>
          </cell>
          <cell r="DT65" t="str">
            <v>mstag:averageDilutedSharesOutstanding</v>
          </cell>
          <cell r="DU65">
            <v>6</v>
          </cell>
          <cell r="DV65" t="str">
            <v>ms_eqr_gcim_Decimal:ms_eqr_gcim_decimal</v>
          </cell>
          <cell r="DW65" t="b">
            <v>0</v>
          </cell>
        </row>
        <row r="66">
          <cell r="B66" t="str">
            <v>End of period shares outstanding</v>
          </cell>
          <cell r="D66">
            <v>62.353479000000007</v>
          </cell>
          <cell r="E66">
            <v>62.385545250000007</v>
          </cell>
          <cell r="F66">
            <v>62.43704025000001</v>
          </cell>
          <cell r="G66">
            <v>74.976799499999998</v>
          </cell>
          <cell r="H66">
            <v>74.976799499999998</v>
          </cell>
          <cell r="I66">
            <v>75.019879500000002</v>
          </cell>
          <cell r="J66">
            <v>76.332881624999999</v>
          </cell>
          <cell r="K66">
            <v>80.500438125000002</v>
          </cell>
          <cell r="L66">
            <v>80.970914625000006</v>
          </cell>
          <cell r="M66">
            <v>80.970914625000006</v>
          </cell>
          <cell r="N66">
            <v>81.208840499999994</v>
          </cell>
          <cell r="O66">
            <v>81.489356999999998</v>
          </cell>
          <cell r="P66">
            <v>112.786872</v>
          </cell>
          <cell r="Q66">
            <v>113.559483</v>
          </cell>
          <cell r="R66">
            <v>113.559483</v>
          </cell>
          <cell r="S66">
            <v>114.28586999999999</v>
          </cell>
          <cell r="T66">
            <v>114.74070112500002</v>
          </cell>
          <cell r="U66">
            <v>115.40885475000002</v>
          </cell>
          <cell r="V66">
            <v>115.98357225000001</v>
          </cell>
          <cell r="W66">
            <v>115.98357225000001</v>
          </cell>
          <cell r="X66">
            <v>116.09581125000001</v>
          </cell>
          <cell r="Y66">
            <v>116.27317687499999</v>
          </cell>
          <cell r="Z66">
            <v>116.44687612500002</v>
          </cell>
          <cell r="AA66">
            <v>116.633855625</v>
          </cell>
          <cell r="AB66">
            <v>116.633855625</v>
          </cell>
          <cell r="AC66">
            <v>116.763953625</v>
          </cell>
          <cell r="AD66">
            <v>116.93780362499999</v>
          </cell>
          <cell r="AE66">
            <v>117.258352125</v>
          </cell>
          <cell r="AF66">
            <v>117.547515</v>
          </cell>
          <cell r="AG66">
            <v>117.547515</v>
          </cell>
          <cell r="AH66">
            <v>118.47280162500002</v>
          </cell>
          <cell r="AI66">
            <v>118.685728875</v>
          </cell>
          <cell r="AJ66">
            <v>121.52278687500001</v>
          </cell>
          <cell r="AK66">
            <v>122.05023449999999</v>
          </cell>
          <cell r="AL66">
            <v>122.05023449999999</v>
          </cell>
          <cell r="AM66">
            <v>122.5521045</v>
          </cell>
          <cell r="AN66">
            <v>122.32074637500001</v>
          </cell>
          <cell r="AO66">
            <v>122.440065375</v>
          </cell>
          <cell r="AP66">
            <v>122.13529725000001</v>
          </cell>
          <cell r="AQ66">
            <v>122.13529725000001</v>
          </cell>
          <cell r="AR66">
            <v>121.803568</v>
          </cell>
          <cell r="AS66">
            <v>118.42961975</v>
          </cell>
          <cell r="AT66">
            <v>117.13857775</v>
          </cell>
          <cell r="AV66" t="str">
            <v>ND</v>
          </cell>
          <cell r="AW66" t="str">
            <v>ND</v>
          </cell>
          <cell r="AX66" t="str">
            <v>ND</v>
          </cell>
          <cell r="AY66">
            <v>118.43459824999999</v>
          </cell>
          <cell r="AZ66">
            <v>118.43459824999999</v>
          </cell>
          <cell r="BA66">
            <v>117.14448149999998</v>
          </cell>
          <cell r="BB66">
            <v>115.71590474999999</v>
          </cell>
          <cell r="BC66">
            <v>115.96984475000001</v>
          </cell>
          <cell r="BD66">
            <v>116.19663525</v>
          </cell>
          <cell r="BE66">
            <v>116.19663525</v>
          </cell>
          <cell r="BF66">
            <v>116.367251</v>
          </cell>
          <cell r="BG66">
            <v>116.53375775000001</v>
          </cell>
          <cell r="BH66">
            <v>116.66662774999999</v>
          </cell>
          <cell r="BI66">
            <v>116.80908874999999</v>
          </cell>
          <cell r="BJ66">
            <v>116.80908874999999</v>
          </cell>
          <cell r="BK66">
            <v>117.14088950000001</v>
          </cell>
          <cell r="BL66">
            <v>117.238491</v>
          </cell>
          <cell r="BM66">
            <v>117.35156375</v>
          </cell>
          <cell r="BN66">
            <v>117.42739699999998</v>
          </cell>
          <cell r="BO66">
            <v>117.42739699999998</v>
          </cell>
          <cell r="BP66">
            <v>117.61439875000001</v>
          </cell>
          <cell r="BQ66">
            <v>117.66345475000001</v>
          </cell>
          <cell r="BR66">
            <v>117.82936249999999</v>
          </cell>
          <cell r="BS66">
            <v>117.89633725000002</v>
          </cell>
          <cell r="BT66">
            <v>117.89633725000002</v>
          </cell>
          <cell r="BU66">
            <v>118.25386525</v>
          </cell>
          <cell r="BV66">
            <v>118.36053750000001</v>
          </cell>
          <cell r="BW66">
            <v>118.52333425</v>
          </cell>
          <cell r="BX66">
            <v>118.59478225000001</v>
          </cell>
          <cell r="BY66">
            <v>118.59478225000001</v>
          </cell>
          <cell r="BZ66">
            <v>119.03809074999999</v>
          </cell>
          <cell r="CA66">
            <v>119.12086775</v>
          </cell>
          <cell r="CB66">
            <v>119.24706025</v>
          </cell>
          <cell r="CC66">
            <v>119.29331425000001</v>
          </cell>
          <cell r="CD66">
            <v>119.29331425000001</v>
          </cell>
          <cell r="CE66">
            <v>119.98260925</v>
          </cell>
          <cell r="CF66">
            <v>120.20404975</v>
          </cell>
          <cell r="CG66">
            <v>120.27500725</v>
          </cell>
          <cell r="CH66">
            <v>120.28381350000001</v>
          </cell>
          <cell r="CI66">
            <v>120.28381350000001</v>
          </cell>
          <cell r="CJ66">
            <v>121.01683675000001</v>
          </cell>
          <cell r="CK66">
            <v>121.25815600000001</v>
          </cell>
          <cell r="CL66">
            <v>121.33175600000001</v>
          </cell>
          <cell r="CM66">
            <v>121.445798</v>
          </cell>
          <cell r="CN66">
            <v>121.445798</v>
          </cell>
          <cell r="CO66">
            <v>122.33423175000001</v>
          </cell>
          <cell r="CP66">
            <v>119.68296724999999</v>
          </cell>
          <cell r="CQ66">
            <v>113.74950425</v>
          </cell>
          <cell r="CR66">
            <v>103.75646350000001</v>
          </cell>
          <cell r="CS66">
            <v>103.75646350000001</v>
          </cell>
          <cell r="CT66">
            <v>103.38283175000001</v>
          </cell>
          <cell r="CU66">
            <v>104.123502</v>
          </cell>
          <cell r="CV66">
            <v>104.41862600000002</v>
          </cell>
          <cell r="CW66">
            <v>103.41862600000002</v>
          </cell>
          <cell r="CX66">
            <v>103.41862600000002</v>
          </cell>
          <cell r="CY66">
            <v>99.418626000000017</v>
          </cell>
          <cell r="CZ66">
            <v>95.418626000000017</v>
          </cell>
          <cell r="DA66">
            <v>94.418626000000017</v>
          </cell>
          <cell r="DB66">
            <v>93.418626000000017</v>
          </cell>
          <cell r="DC66">
            <v>93.418626000000017</v>
          </cell>
          <cell r="DD66">
            <v>93.168626000000017</v>
          </cell>
          <cell r="DE66">
            <v>92.918626000000017</v>
          </cell>
          <cell r="DF66">
            <v>92.668626000000017</v>
          </cell>
          <cell r="DG66">
            <v>92.418626000000017</v>
          </cell>
          <cell r="DH66">
            <v>92.418626000000017</v>
          </cell>
          <cell r="DI66">
            <v>92.168626000000017</v>
          </cell>
          <cell r="DJ66">
            <v>91.918626000000017</v>
          </cell>
          <cell r="DK66">
            <v>91.668626000000017</v>
          </cell>
          <cell r="DL66">
            <v>91.418626000000017</v>
          </cell>
          <cell r="DM66">
            <v>91.418626000000017</v>
          </cell>
          <cell r="DN66">
            <v>91.168626000000017</v>
          </cell>
          <cell r="DO66">
            <v>90.918626000000017</v>
          </cell>
          <cell r="DP66">
            <v>90.668626000000017</v>
          </cell>
          <cell r="DQ66">
            <v>90.418626000000017</v>
          </cell>
          <cell r="DR66">
            <v>90.418626000000017</v>
          </cell>
          <cell r="DT66" t="str">
            <v>mstag:periodEndBasicSharesOutstanding</v>
          </cell>
          <cell r="DU66">
            <v>6</v>
          </cell>
          <cell r="DV66" t="str">
            <v>ms_eqr_gcim_Decimal:ms_eqr_gcim_decimal</v>
          </cell>
          <cell r="DW66" t="b">
            <v>0</v>
          </cell>
        </row>
        <row r="68">
          <cell r="B68" t="str">
            <v>Share repurchase</v>
          </cell>
        </row>
        <row r="69">
          <cell r="B69" t="str">
            <v>Authorization</v>
          </cell>
          <cell r="AZ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400</v>
          </cell>
          <cell r="CQ69">
            <v>400</v>
          </cell>
          <cell r="CR69">
            <v>400</v>
          </cell>
          <cell r="CS69">
            <v>400</v>
          </cell>
          <cell r="CT69">
            <v>400</v>
          </cell>
          <cell r="CU69">
            <v>0</v>
          </cell>
          <cell r="CV69">
            <v>0</v>
          </cell>
          <cell r="CW69">
            <v>500</v>
          </cell>
          <cell r="CX69">
            <v>500</v>
          </cell>
          <cell r="CY69">
            <v>500</v>
          </cell>
          <cell r="CZ69">
            <v>500</v>
          </cell>
          <cell r="DA69">
            <v>500</v>
          </cell>
          <cell r="DB69">
            <v>500</v>
          </cell>
          <cell r="DC69">
            <v>500</v>
          </cell>
          <cell r="DD69">
            <v>500</v>
          </cell>
          <cell r="DE69">
            <v>500</v>
          </cell>
          <cell r="DF69">
            <v>500</v>
          </cell>
          <cell r="DG69">
            <v>500</v>
          </cell>
          <cell r="DH69">
            <v>500</v>
          </cell>
          <cell r="DI69">
            <v>500</v>
          </cell>
          <cell r="DJ69">
            <v>500</v>
          </cell>
          <cell r="DK69">
            <v>500</v>
          </cell>
          <cell r="DL69">
            <v>500</v>
          </cell>
          <cell r="DM69">
            <v>500</v>
          </cell>
          <cell r="DN69">
            <v>500</v>
          </cell>
          <cell r="DO69">
            <v>500</v>
          </cell>
          <cell r="DP69">
            <v>500</v>
          </cell>
          <cell r="DQ69">
            <v>500</v>
          </cell>
          <cell r="DR69">
            <v>500</v>
          </cell>
        </row>
        <row r="70">
          <cell r="B70" t="str">
            <v>Number of shares repurchased</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0.65456250000000005</v>
          </cell>
          <cell r="AN70">
            <v>0.609375</v>
          </cell>
          <cell r="AO70">
            <v>1.875</v>
          </cell>
          <cell r="AP70">
            <v>1.40625</v>
          </cell>
          <cell r="AQ70">
            <v>4.5451874999999999</v>
          </cell>
          <cell r="AR70">
            <v>0.69787500000000002</v>
          </cell>
          <cell r="AS70">
            <v>3.8227125000000002</v>
          </cell>
          <cell r="AT70">
            <v>1.5</v>
          </cell>
          <cell r="AV70">
            <v>1.875</v>
          </cell>
          <cell r="AW70">
            <v>1.03125</v>
          </cell>
          <cell r="AX70">
            <v>0.69787500000000002</v>
          </cell>
          <cell r="AY70">
            <v>3.8227125000000002</v>
          </cell>
          <cell r="AZ70">
            <v>7.4268374999999995</v>
          </cell>
          <cell r="BA70">
            <v>1.5</v>
          </cell>
          <cell r="BB70">
            <v>1.6178747499999999</v>
          </cell>
          <cell r="BC70">
            <v>0</v>
          </cell>
          <cell r="BD70">
            <v>0</v>
          </cell>
          <cell r="BE70">
            <v>3.1178747499999999</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11.464429000000001</v>
          </cell>
          <cell r="CQ70">
            <v>24.014543</v>
          </cell>
          <cell r="CR70">
            <v>40.286712999999999</v>
          </cell>
          <cell r="CS70">
            <v>75.765684999999991</v>
          </cell>
          <cell r="CT70">
            <v>5.308179</v>
          </cell>
          <cell r="CU70">
            <v>0</v>
          </cell>
          <cell r="CV70">
            <v>0</v>
          </cell>
          <cell r="CW70">
            <v>1</v>
          </cell>
          <cell r="CX70">
            <v>6.308179</v>
          </cell>
          <cell r="CY70">
            <v>4</v>
          </cell>
          <cell r="CZ70">
            <v>4</v>
          </cell>
          <cell r="DA70">
            <v>1</v>
          </cell>
          <cell r="DB70">
            <v>1</v>
          </cell>
          <cell r="DC70">
            <v>10</v>
          </cell>
          <cell r="DD70">
            <v>0.25</v>
          </cell>
          <cell r="DE70">
            <v>0.25</v>
          </cell>
          <cell r="DF70">
            <v>0.25</v>
          </cell>
          <cell r="DG70">
            <v>0.25</v>
          </cell>
          <cell r="DH70">
            <v>1</v>
          </cell>
          <cell r="DI70">
            <v>0.25</v>
          </cell>
          <cell r="DJ70">
            <v>0.25</v>
          </cell>
          <cell r="DK70">
            <v>0.25</v>
          </cell>
          <cell r="DL70">
            <v>0.25</v>
          </cell>
          <cell r="DM70">
            <v>1</v>
          </cell>
          <cell r="DN70">
            <v>0.25</v>
          </cell>
          <cell r="DO70">
            <v>0.25</v>
          </cell>
          <cell r="DP70">
            <v>0.25</v>
          </cell>
          <cell r="DQ70">
            <v>0.25</v>
          </cell>
          <cell r="DR70">
            <v>1</v>
          </cell>
        </row>
        <row r="71">
          <cell r="B71" t="str">
            <v>Average repurchase price</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144.4</v>
          </cell>
          <cell r="AN71">
            <v>153.14666666666668</v>
          </cell>
          <cell r="AO71">
            <v>155.78666666666666</v>
          </cell>
          <cell r="AP71">
            <v>167.44</v>
          </cell>
          <cell r="AQ71">
            <v>157.4</v>
          </cell>
          <cell r="AR71">
            <v>170.52</v>
          </cell>
          <cell r="AS71">
            <v>99.76</v>
          </cell>
          <cell r="AT71">
            <v>73.12</v>
          </cell>
          <cell r="AV71">
            <v>155.96</v>
          </cell>
          <cell r="AW71">
            <v>166.8</v>
          </cell>
          <cell r="AX71">
            <v>169.4</v>
          </cell>
          <cell r="AY71">
            <v>99.04</v>
          </cell>
          <cell r="AZ71">
            <v>129.43045690712904</v>
          </cell>
          <cell r="BA71">
            <v>73.12</v>
          </cell>
          <cell r="BB71">
            <v>60.56</v>
          </cell>
          <cell r="BC71">
            <v>0</v>
          </cell>
          <cell r="BD71">
            <v>0</v>
          </cell>
          <cell r="BE71">
            <v>66.602577560243574</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6.28</v>
          </cell>
          <cell r="CQ71">
            <v>5.15</v>
          </cell>
          <cell r="CR71">
            <v>4.42</v>
          </cell>
          <cell r="CS71">
            <v>4.9400000000000004</v>
          </cell>
          <cell r="CT71">
            <v>4.93</v>
          </cell>
          <cell r="CU71">
            <v>0</v>
          </cell>
          <cell r="CV71">
            <v>0</v>
          </cell>
          <cell r="CW71">
            <v>30</v>
          </cell>
          <cell r="CX71">
            <v>8.9042055512375278</v>
          </cell>
          <cell r="CY71">
            <v>35</v>
          </cell>
          <cell r="CZ71">
            <v>36.224999999999994</v>
          </cell>
          <cell r="DA71">
            <v>37.492874999999991</v>
          </cell>
          <cell r="DB71">
            <v>38.805125624999988</v>
          </cell>
          <cell r="DC71">
            <v>36.119800062499998</v>
          </cell>
          <cell r="DD71">
            <v>40.163305021874983</v>
          </cell>
          <cell r="DE71">
            <v>41.569020697640603</v>
          </cell>
          <cell r="DF71">
            <v>43.023936422058021</v>
          </cell>
          <cell r="DG71">
            <v>44.529774196830047</v>
          </cell>
          <cell r="DH71">
            <v>42.321509084600919</v>
          </cell>
          <cell r="DI71">
            <v>46.088316293719096</v>
          </cell>
          <cell r="DJ71">
            <v>47.701407363999259</v>
          </cell>
          <cell r="DK71">
            <v>49.370956621739232</v>
          </cell>
          <cell r="DL71">
            <v>51.098940103500098</v>
          </cell>
          <cell r="DM71">
            <v>48.564905095739419</v>
          </cell>
          <cell r="DN71">
            <v>52.8874030071226</v>
          </cell>
          <cell r="DO71">
            <v>54.738462112371884</v>
          </cell>
          <cell r="DP71">
            <v>56.654308286304897</v>
          </cell>
          <cell r="DQ71">
            <v>58.637209076325561</v>
          </cell>
          <cell r="DR71">
            <v>55.729345620531234</v>
          </cell>
        </row>
        <row r="72">
          <cell r="B72" t="str">
            <v>Amount repurchased ($)</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94.518825000000007</v>
          </cell>
          <cell r="AN72">
            <v>93.323750000000004</v>
          </cell>
          <cell r="AO72">
            <v>292.09999999999997</v>
          </cell>
          <cell r="AP72">
            <v>235.46250000000001</v>
          </cell>
          <cell r="AQ72">
            <v>715.41251250000005</v>
          </cell>
          <cell r="AR72">
            <v>119.00164500000001</v>
          </cell>
          <cell r="AS72">
            <v>381.35379900000004</v>
          </cell>
          <cell r="AT72">
            <v>109.68</v>
          </cell>
          <cell r="AV72">
            <v>292.42500000000001</v>
          </cell>
          <cell r="AW72">
            <v>172.01250000000002</v>
          </cell>
          <cell r="AX72">
            <v>118.22002500000001</v>
          </cell>
          <cell r="AY72">
            <v>378.60144600000007</v>
          </cell>
          <cell r="AZ72">
            <v>961.25897099999997</v>
          </cell>
          <cell r="BA72">
            <v>109.68</v>
          </cell>
          <cell r="BB72">
            <v>97.978494859999998</v>
          </cell>
          <cell r="BC72">
            <v>0</v>
          </cell>
          <cell r="BD72">
            <v>0</v>
          </cell>
          <cell r="BE72">
            <v>207.65849486000002</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71.996614120000004</v>
          </cell>
          <cell r="CQ72">
            <v>123.67489645000001</v>
          </cell>
          <cell r="CR72">
            <v>178.06727146</v>
          </cell>
          <cell r="CS72">
            <v>374.28248389999999</v>
          </cell>
          <cell r="CT72">
            <v>26.169322469999997</v>
          </cell>
          <cell r="CU72">
            <v>0</v>
          </cell>
          <cell r="CV72">
            <v>0</v>
          </cell>
          <cell r="CW72">
            <v>30</v>
          </cell>
          <cell r="CX72">
            <v>56.169322469999997</v>
          </cell>
          <cell r="CY72">
            <v>140</v>
          </cell>
          <cell r="CZ72">
            <v>144.89999999999998</v>
          </cell>
          <cell r="DA72">
            <v>37.492874999999991</v>
          </cell>
          <cell r="DB72">
            <v>38.805125624999988</v>
          </cell>
          <cell r="DC72">
            <v>361.19800062499996</v>
          </cell>
          <cell r="DD72">
            <v>10.040826255468746</v>
          </cell>
          <cell r="DE72">
            <v>10.392255174410151</v>
          </cell>
          <cell r="DF72">
            <v>10.755984105514505</v>
          </cell>
          <cell r="DG72">
            <v>11.132443549207512</v>
          </cell>
          <cell r="DH72">
            <v>42.321509084600919</v>
          </cell>
          <cell r="DI72">
            <v>11.522079073429774</v>
          </cell>
          <cell r="DJ72">
            <v>11.925351840999815</v>
          </cell>
          <cell r="DK72">
            <v>12.342739155434808</v>
          </cell>
          <cell r="DL72">
            <v>12.774735025875025</v>
          </cell>
          <cell r="DM72">
            <v>48.564905095739419</v>
          </cell>
          <cell r="DN72">
            <v>13.22185075178065</v>
          </cell>
          <cell r="DO72">
            <v>13.684615528092971</v>
          </cell>
          <cell r="DP72">
            <v>14.163577071576224</v>
          </cell>
          <cell r="DQ72">
            <v>14.65930226908139</v>
          </cell>
          <cell r="DR72">
            <v>55.729345620531234</v>
          </cell>
        </row>
        <row r="74">
          <cell r="B74" t="str">
            <v>Adjusted EBITDA Reconciliation</v>
          </cell>
        </row>
        <row r="75">
          <cell r="B75" t="str">
            <v>Operating income (EBIT)</v>
          </cell>
          <cell r="D75">
            <v>84.868000000000009</v>
          </cell>
          <cell r="E75">
            <v>84.799999999999969</v>
          </cell>
          <cell r="F75">
            <v>88.69999999999996</v>
          </cell>
          <cell r="G75">
            <v>132.63200000000001</v>
          </cell>
          <cell r="H75">
            <v>390.99999999999994</v>
          </cell>
          <cell r="I75">
            <v>173.90000000000003</v>
          </cell>
          <cell r="J75">
            <v>191.3</v>
          </cell>
          <cell r="K75">
            <v>201.80000000000013</v>
          </cell>
          <cell r="L75">
            <v>124.99999999999977</v>
          </cell>
          <cell r="M75">
            <v>692</v>
          </cell>
          <cell r="N75">
            <v>198.59999999999988</v>
          </cell>
          <cell r="O75">
            <v>206.19999999999987</v>
          </cell>
          <cell r="P75">
            <v>31.200000000000088</v>
          </cell>
          <cell r="Q75">
            <v>-22.000000000000682</v>
          </cell>
          <cell r="R75">
            <v>413.99999999999915</v>
          </cell>
          <cell r="S75">
            <v>305</v>
          </cell>
          <cell r="T75">
            <v>330</v>
          </cell>
          <cell r="U75">
            <v>357</v>
          </cell>
          <cell r="V75">
            <v>136</v>
          </cell>
          <cell r="W75">
            <v>1128</v>
          </cell>
          <cell r="X75">
            <v>338</v>
          </cell>
          <cell r="Y75">
            <v>317</v>
          </cell>
          <cell r="Z75">
            <v>316</v>
          </cell>
          <cell r="AA75">
            <v>-32</v>
          </cell>
          <cell r="AB75">
            <v>939</v>
          </cell>
          <cell r="AC75">
            <v>323</v>
          </cell>
          <cell r="AD75">
            <v>337</v>
          </cell>
          <cell r="AE75">
            <v>135</v>
          </cell>
          <cell r="AF75">
            <v>252</v>
          </cell>
          <cell r="AG75">
            <v>1047</v>
          </cell>
          <cell r="AH75">
            <v>380</v>
          </cell>
          <cell r="AI75">
            <v>401</v>
          </cell>
          <cell r="AJ75">
            <v>439</v>
          </cell>
          <cell r="AK75">
            <v>327</v>
          </cell>
          <cell r="AL75">
            <v>1547</v>
          </cell>
          <cell r="AM75">
            <v>477</v>
          </cell>
          <cell r="AN75">
            <v>428</v>
          </cell>
          <cell r="AO75">
            <v>567</v>
          </cell>
          <cell r="AP75">
            <v>622</v>
          </cell>
          <cell r="AQ75">
            <v>2094</v>
          </cell>
          <cell r="AR75">
            <v>628</v>
          </cell>
          <cell r="AS75">
            <v>581</v>
          </cell>
          <cell r="AT75">
            <v>-19</v>
          </cell>
          <cell r="AV75">
            <v>530</v>
          </cell>
          <cell r="AW75">
            <v>559</v>
          </cell>
          <cell r="AX75">
            <v>585</v>
          </cell>
          <cell r="AY75">
            <v>131</v>
          </cell>
          <cell r="AZ75">
            <v>1805</v>
          </cell>
          <cell r="BA75">
            <v>146</v>
          </cell>
          <cell r="BB75">
            <v>-124</v>
          </cell>
          <cell r="BC75">
            <v>-294</v>
          </cell>
          <cell r="BD75">
            <v>-1345</v>
          </cell>
          <cell r="BE75">
            <v>-1617</v>
          </cell>
          <cell r="BF75">
            <v>56</v>
          </cell>
          <cell r="BG75">
            <v>-254</v>
          </cell>
          <cell r="BH75">
            <v>18</v>
          </cell>
          <cell r="BI75">
            <v>-1244</v>
          </cell>
          <cell r="BJ75">
            <v>-1424</v>
          </cell>
          <cell r="BK75">
            <v>98</v>
          </cell>
          <cell r="BL75">
            <v>60</v>
          </cell>
          <cell r="BM75">
            <v>-289</v>
          </cell>
          <cell r="BN75">
            <v>-228</v>
          </cell>
          <cell r="BO75">
            <v>-359</v>
          </cell>
          <cell r="BP75">
            <v>104</v>
          </cell>
          <cell r="BQ75">
            <v>-615</v>
          </cell>
          <cell r="BR75">
            <v>21</v>
          </cell>
          <cell r="BS75">
            <v>-280</v>
          </cell>
          <cell r="BT75">
            <v>-770</v>
          </cell>
          <cell r="BU75">
            <v>98</v>
          </cell>
          <cell r="BV75">
            <v>58</v>
          </cell>
          <cell r="BW75">
            <v>70</v>
          </cell>
          <cell r="BX75">
            <v>28</v>
          </cell>
          <cell r="BY75">
            <v>254</v>
          </cell>
          <cell r="BZ75">
            <v>91</v>
          </cell>
          <cell r="CA75">
            <v>63</v>
          </cell>
          <cell r="CB75">
            <v>66</v>
          </cell>
          <cell r="CC75">
            <v>93</v>
          </cell>
          <cell r="CD75">
            <v>313</v>
          </cell>
          <cell r="CE75">
            <v>173</v>
          </cell>
          <cell r="CF75">
            <v>138</v>
          </cell>
          <cell r="CG75">
            <v>133</v>
          </cell>
          <cell r="CH75">
            <v>91</v>
          </cell>
          <cell r="CI75">
            <v>535</v>
          </cell>
          <cell r="CJ75">
            <v>201</v>
          </cell>
          <cell r="CK75">
            <v>171</v>
          </cell>
          <cell r="CL75">
            <v>97</v>
          </cell>
          <cell r="CM75">
            <v>165</v>
          </cell>
          <cell r="CN75">
            <v>634</v>
          </cell>
          <cell r="CO75">
            <v>254</v>
          </cell>
          <cell r="CP75">
            <v>165</v>
          </cell>
          <cell r="CQ75">
            <v>79</v>
          </cell>
          <cell r="CR75">
            <v>155</v>
          </cell>
          <cell r="CS75">
            <v>653</v>
          </cell>
          <cell r="CT75">
            <v>205</v>
          </cell>
          <cell r="CU75">
            <v>180</v>
          </cell>
          <cell r="CV75">
            <v>153</v>
          </cell>
          <cell r="CW75">
            <v>220.18827972984684</v>
          </cell>
          <cell r="CX75">
            <v>758.18827972984684</v>
          </cell>
          <cell r="CY75">
            <v>169.07111714162244</v>
          </cell>
          <cell r="CZ75">
            <v>240.23016914452631</v>
          </cell>
          <cell r="DA75">
            <v>214.46063047520391</v>
          </cell>
          <cell r="DB75">
            <v>285.22448237406599</v>
          </cell>
          <cell r="DC75">
            <v>908.98639913541865</v>
          </cell>
          <cell r="DD75">
            <v>229.92307117583618</v>
          </cell>
          <cell r="DE75">
            <v>274.2529729459053</v>
          </cell>
          <cell r="DF75">
            <v>240.19787653914068</v>
          </cell>
          <cell r="DG75">
            <v>318.89818792237065</v>
          </cell>
          <cell r="DH75">
            <v>1063.2721085832527</v>
          </cell>
          <cell r="DI75">
            <v>253.00262989713849</v>
          </cell>
          <cell r="DJ75">
            <v>284.10936011616661</v>
          </cell>
          <cell r="DK75">
            <v>253.71107197403194</v>
          </cell>
          <cell r="DL75">
            <v>340.12002085178381</v>
          </cell>
          <cell r="DM75">
            <v>1130.943082839121</v>
          </cell>
          <cell r="DN75">
            <v>277.2794449591043</v>
          </cell>
          <cell r="DO75">
            <v>303.04091667328538</v>
          </cell>
          <cell r="DP75">
            <v>271.92930831416828</v>
          </cell>
          <cell r="DQ75">
            <v>362.22914989932809</v>
          </cell>
          <cell r="DR75">
            <v>1214.4788198458862</v>
          </cell>
        </row>
        <row r="76">
          <cell r="B76" t="str">
            <v>Add: litigation &amp; investigation costs (benefit)</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4</v>
          </cell>
          <cell r="AV76">
            <v>0</v>
          </cell>
          <cell r="AW76">
            <v>0</v>
          </cell>
          <cell r="AX76">
            <v>0</v>
          </cell>
          <cell r="AY76">
            <v>0</v>
          </cell>
          <cell r="AZ76">
            <v>0</v>
          </cell>
          <cell r="BA76">
            <v>6</v>
          </cell>
          <cell r="BB76">
            <v>68</v>
          </cell>
          <cell r="BC76">
            <v>253</v>
          </cell>
          <cell r="BD76">
            <v>-45</v>
          </cell>
          <cell r="BE76">
            <v>282</v>
          </cell>
          <cell r="BF76">
            <v>10</v>
          </cell>
          <cell r="BG76">
            <v>9</v>
          </cell>
          <cell r="BH76">
            <v>10</v>
          </cell>
          <cell r="BI76">
            <v>45</v>
          </cell>
          <cell r="BJ76">
            <v>74</v>
          </cell>
          <cell r="BK76">
            <v>8</v>
          </cell>
          <cell r="BL76">
            <v>11</v>
          </cell>
          <cell r="BM76">
            <v>28</v>
          </cell>
          <cell r="BN76">
            <v>165</v>
          </cell>
          <cell r="BO76">
            <v>212</v>
          </cell>
          <cell r="BP76">
            <v>16</v>
          </cell>
          <cell r="BQ76">
            <v>728</v>
          </cell>
          <cell r="BR76">
            <v>7</v>
          </cell>
          <cell r="BS76">
            <v>15</v>
          </cell>
          <cell r="BT76">
            <v>766</v>
          </cell>
          <cell r="BU76">
            <v>-1</v>
          </cell>
          <cell r="BV76">
            <v>-1</v>
          </cell>
          <cell r="BW76">
            <v>3</v>
          </cell>
          <cell r="BX76">
            <v>12</v>
          </cell>
          <cell r="BY76">
            <v>13</v>
          </cell>
          <cell r="BZ76">
            <v>47</v>
          </cell>
          <cell r="CA76">
            <v>3</v>
          </cell>
          <cell r="CB76">
            <v>-5</v>
          </cell>
          <cell r="CC76">
            <v>-4</v>
          </cell>
          <cell r="CD76">
            <v>41</v>
          </cell>
          <cell r="CE76">
            <v>1</v>
          </cell>
          <cell r="CF76">
            <v>9</v>
          </cell>
          <cell r="CG76">
            <v>3</v>
          </cell>
          <cell r="CH76">
            <v>18</v>
          </cell>
          <cell r="CI76">
            <v>31</v>
          </cell>
          <cell r="CJ76">
            <v>2</v>
          </cell>
          <cell r="CK76">
            <v>2</v>
          </cell>
          <cell r="CL76">
            <v>2</v>
          </cell>
          <cell r="CM76">
            <v>6</v>
          </cell>
          <cell r="CN76">
            <v>12</v>
          </cell>
          <cell r="CO76">
            <v>11</v>
          </cell>
          <cell r="CP76">
            <v>8</v>
          </cell>
          <cell r="CQ76">
            <v>5</v>
          </cell>
          <cell r="CR76">
            <v>31</v>
          </cell>
          <cell r="CS76">
            <v>55</v>
          </cell>
          <cell r="CT76">
            <v>2</v>
          </cell>
          <cell r="CU76">
            <v>1</v>
          </cell>
          <cell r="CV76">
            <v>0</v>
          </cell>
          <cell r="CW76">
            <v>4</v>
          </cell>
          <cell r="CX76">
            <v>7</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row>
        <row r="77">
          <cell r="B77" t="str">
            <v>Add: asset impariment &amp; restructuring</v>
          </cell>
          <cell r="D77">
            <v>0</v>
          </cell>
          <cell r="E77">
            <v>0</v>
          </cell>
          <cell r="F77">
            <v>0</v>
          </cell>
          <cell r="G77">
            <v>37</v>
          </cell>
          <cell r="H77">
            <v>37</v>
          </cell>
          <cell r="I77">
            <v>0</v>
          </cell>
          <cell r="J77">
            <v>0</v>
          </cell>
          <cell r="K77">
            <v>0</v>
          </cell>
          <cell r="L77">
            <v>86</v>
          </cell>
          <cell r="M77">
            <v>86</v>
          </cell>
          <cell r="N77">
            <v>0</v>
          </cell>
          <cell r="O77">
            <v>0</v>
          </cell>
          <cell r="P77">
            <v>272.2</v>
          </cell>
          <cell r="Q77">
            <v>467.8</v>
          </cell>
          <cell r="R77">
            <v>740</v>
          </cell>
          <cell r="S77">
            <v>0</v>
          </cell>
          <cell r="T77">
            <v>0</v>
          </cell>
          <cell r="U77">
            <v>0</v>
          </cell>
          <cell r="V77">
            <v>221</v>
          </cell>
          <cell r="W77">
            <v>221</v>
          </cell>
          <cell r="X77">
            <v>0</v>
          </cell>
          <cell r="Y77">
            <v>0</v>
          </cell>
          <cell r="Z77">
            <v>0</v>
          </cell>
          <cell r="AA77">
            <v>363</v>
          </cell>
          <cell r="AB77">
            <v>363</v>
          </cell>
          <cell r="AC77">
            <v>0</v>
          </cell>
          <cell r="AD77">
            <v>0</v>
          </cell>
          <cell r="AE77">
            <v>232</v>
          </cell>
          <cell r="AF77">
            <v>123</v>
          </cell>
          <cell r="AG77">
            <v>355</v>
          </cell>
          <cell r="AH77">
            <v>0</v>
          </cell>
          <cell r="AI77">
            <v>0</v>
          </cell>
          <cell r="AJ77">
            <v>0</v>
          </cell>
          <cell r="AK77">
            <v>143</v>
          </cell>
          <cell r="AL77">
            <v>143</v>
          </cell>
          <cell r="AM77">
            <v>0</v>
          </cell>
          <cell r="AN77">
            <v>99</v>
          </cell>
          <cell r="AO77">
            <v>0</v>
          </cell>
          <cell r="AP77">
            <v>0</v>
          </cell>
          <cell r="AQ77">
            <v>99</v>
          </cell>
          <cell r="AR77">
            <v>0</v>
          </cell>
          <cell r="AS77">
            <v>64</v>
          </cell>
          <cell r="AT77">
            <v>398</v>
          </cell>
          <cell r="AV77">
            <v>0</v>
          </cell>
          <cell r="AW77">
            <v>0</v>
          </cell>
          <cell r="AX77">
            <v>0</v>
          </cell>
          <cell r="AY77">
            <v>316</v>
          </cell>
          <cell r="AZ77">
            <v>316</v>
          </cell>
          <cell r="BA77">
            <v>196</v>
          </cell>
          <cell r="BB77">
            <v>275</v>
          </cell>
          <cell r="BC77">
            <v>9</v>
          </cell>
          <cell r="BD77">
            <v>1447</v>
          </cell>
          <cell r="BE77">
            <v>1927</v>
          </cell>
          <cell r="BF77">
            <v>60</v>
          </cell>
          <cell r="BG77">
            <v>43</v>
          </cell>
          <cell r="BH77">
            <v>2</v>
          </cell>
          <cell r="BI77">
            <v>1240</v>
          </cell>
          <cell r="BJ77">
            <v>1345</v>
          </cell>
          <cell r="BK77">
            <v>24</v>
          </cell>
          <cell r="BL77">
            <v>-4</v>
          </cell>
          <cell r="BM77">
            <v>205</v>
          </cell>
          <cell r="BN77">
            <v>56</v>
          </cell>
          <cell r="BO77">
            <v>281</v>
          </cell>
          <cell r="BP77">
            <v>1</v>
          </cell>
          <cell r="BQ77">
            <v>27</v>
          </cell>
          <cell r="BR77">
            <v>1</v>
          </cell>
          <cell r="BS77">
            <v>323</v>
          </cell>
          <cell r="BT77">
            <v>352</v>
          </cell>
          <cell r="BU77">
            <v>3</v>
          </cell>
          <cell r="BV77">
            <v>10</v>
          </cell>
          <cell r="BW77">
            <v>13</v>
          </cell>
          <cell r="BX77">
            <v>36</v>
          </cell>
          <cell r="BY77">
            <v>62</v>
          </cell>
          <cell r="BZ77">
            <v>1</v>
          </cell>
          <cell r="CA77">
            <v>2</v>
          </cell>
          <cell r="CB77">
            <v>1</v>
          </cell>
          <cell r="CC77">
            <v>14</v>
          </cell>
          <cell r="CD77">
            <v>18</v>
          </cell>
          <cell r="CE77">
            <v>5</v>
          </cell>
          <cell r="CF77">
            <v>1</v>
          </cell>
          <cell r="CG77">
            <v>7</v>
          </cell>
          <cell r="CH77">
            <v>14</v>
          </cell>
          <cell r="CI77">
            <v>27</v>
          </cell>
          <cell r="CJ77">
            <v>0</v>
          </cell>
          <cell r="CK77">
            <v>-2</v>
          </cell>
          <cell r="CL77">
            <v>3</v>
          </cell>
          <cell r="CM77">
            <v>9</v>
          </cell>
          <cell r="CN77">
            <v>10</v>
          </cell>
          <cell r="CO77">
            <v>8</v>
          </cell>
          <cell r="CP77">
            <v>2</v>
          </cell>
          <cell r="CQ77">
            <v>8</v>
          </cell>
          <cell r="CR77">
            <v>2</v>
          </cell>
          <cell r="CS77">
            <v>20</v>
          </cell>
          <cell r="CT77">
            <v>3</v>
          </cell>
          <cell r="CU77">
            <v>3</v>
          </cell>
          <cell r="CV77">
            <v>6</v>
          </cell>
          <cell r="CW77">
            <v>4</v>
          </cell>
          <cell r="CX77">
            <v>16</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row>
        <row r="78">
          <cell r="B78" t="str">
            <v>Add: Hurricane insurance recoveries</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40</v>
          </cell>
          <cell r="BN78">
            <v>15</v>
          </cell>
          <cell r="BO78">
            <v>55</v>
          </cell>
          <cell r="BP78">
            <v>5</v>
          </cell>
          <cell r="BQ78">
            <v>-13</v>
          </cell>
          <cell r="BR78">
            <v>-4</v>
          </cell>
          <cell r="BS78">
            <v>0</v>
          </cell>
          <cell r="BT78">
            <v>-12</v>
          </cell>
          <cell r="BU78">
            <v>0</v>
          </cell>
          <cell r="BV78">
            <v>0</v>
          </cell>
          <cell r="BW78">
            <v>0</v>
          </cell>
          <cell r="BX78">
            <v>-3</v>
          </cell>
          <cell r="BY78">
            <v>-3</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row>
        <row r="79">
          <cell r="B79" t="str">
            <v>Add: depreciation and amortization</v>
          </cell>
          <cell r="D79">
            <v>37.822000000000003</v>
          </cell>
          <cell r="E79">
            <v>37.200000000000003</v>
          </cell>
          <cell r="F79">
            <v>37.6</v>
          </cell>
          <cell r="G79">
            <v>82.377999999999986</v>
          </cell>
          <cell r="H79">
            <v>195</v>
          </cell>
          <cell r="I79">
            <v>80.2</v>
          </cell>
          <cell r="J79">
            <v>82.5</v>
          </cell>
          <cell r="K79">
            <v>77.8</v>
          </cell>
          <cell r="L79">
            <v>80.5</v>
          </cell>
          <cell r="M79">
            <v>321</v>
          </cell>
          <cell r="N79">
            <v>84.1</v>
          </cell>
          <cell r="O79">
            <v>85.5</v>
          </cell>
          <cell r="P79">
            <v>108.2</v>
          </cell>
          <cell r="Q79">
            <v>165.2</v>
          </cell>
          <cell r="R79">
            <v>443</v>
          </cell>
          <cell r="S79">
            <v>105</v>
          </cell>
          <cell r="T79">
            <v>114</v>
          </cell>
          <cell r="U79">
            <v>121</v>
          </cell>
          <cell r="V79">
            <v>120</v>
          </cell>
          <cell r="W79">
            <v>460</v>
          </cell>
          <cell r="X79">
            <v>127</v>
          </cell>
          <cell r="Y79">
            <v>134</v>
          </cell>
          <cell r="Z79">
            <v>142</v>
          </cell>
          <cell r="AA79">
            <v>153</v>
          </cell>
          <cell r="AB79">
            <v>556</v>
          </cell>
          <cell r="AC79">
            <v>134</v>
          </cell>
          <cell r="AD79">
            <v>132</v>
          </cell>
          <cell r="AE79">
            <v>133</v>
          </cell>
          <cell r="AF79">
            <v>134</v>
          </cell>
          <cell r="AG79">
            <v>533</v>
          </cell>
          <cell r="AH79">
            <v>137</v>
          </cell>
          <cell r="AI79">
            <v>136</v>
          </cell>
          <cell r="AJ79">
            <v>139</v>
          </cell>
          <cell r="AK79">
            <v>142</v>
          </cell>
          <cell r="AL79">
            <v>554</v>
          </cell>
          <cell r="AM79">
            <v>149</v>
          </cell>
          <cell r="AN79">
            <v>151</v>
          </cell>
          <cell r="AO79">
            <v>154</v>
          </cell>
          <cell r="AP79">
            <v>150</v>
          </cell>
          <cell r="AQ79">
            <v>604</v>
          </cell>
          <cell r="AR79">
            <v>128</v>
          </cell>
          <cell r="AS79">
            <v>130</v>
          </cell>
          <cell r="AT79">
            <v>132</v>
          </cell>
          <cell r="AV79">
            <v>144</v>
          </cell>
          <cell r="AW79">
            <v>133</v>
          </cell>
          <cell r="AX79">
            <v>120</v>
          </cell>
          <cell r="AY79">
            <v>121</v>
          </cell>
          <cell r="AZ79">
            <v>518</v>
          </cell>
          <cell r="BA79">
            <v>119</v>
          </cell>
          <cell r="BB79">
            <v>120</v>
          </cell>
          <cell r="BC79">
            <v>112</v>
          </cell>
          <cell r="BD79">
            <v>114</v>
          </cell>
          <cell r="BE79">
            <v>465</v>
          </cell>
          <cell r="BF79">
            <v>96</v>
          </cell>
          <cell r="BG79">
            <v>95</v>
          </cell>
          <cell r="BH79">
            <v>99</v>
          </cell>
          <cell r="BI79">
            <v>100</v>
          </cell>
          <cell r="BJ79">
            <v>390</v>
          </cell>
          <cell r="BK79">
            <v>96</v>
          </cell>
          <cell r="BL79">
            <v>92</v>
          </cell>
          <cell r="BM79">
            <v>105</v>
          </cell>
          <cell r="BN79">
            <v>89</v>
          </cell>
          <cell r="BO79">
            <v>382</v>
          </cell>
          <cell r="BP79">
            <v>90</v>
          </cell>
          <cell r="BQ79">
            <v>82</v>
          </cell>
          <cell r="BR79">
            <v>83</v>
          </cell>
          <cell r="BS79">
            <v>95</v>
          </cell>
          <cell r="BT79">
            <v>350</v>
          </cell>
          <cell r="BU79">
            <v>89</v>
          </cell>
          <cell r="BV79">
            <v>89</v>
          </cell>
          <cell r="BW79">
            <v>91</v>
          </cell>
          <cell r="BX79">
            <v>93</v>
          </cell>
          <cell r="BY79">
            <v>362</v>
          </cell>
          <cell r="BZ79">
            <v>95</v>
          </cell>
          <cell r="CA79">
            <v>95</v>
          </cell>
          <cell r="CB79">
            <v>94</v>
          </cell>
          <cell r="CC79">
            <v>96</v>
          </cell>
          <cell r="CD79">
            <v>380</v>
          </cell>
          <cell r="CE79">
            <v>97</v>
          </cell>
          <cell r="CF79">
            <v>98</v>
          </cell>
          <cell r="CG79">
            <v>97</v>
          </cell>
          <cell r="CH79">
            <v>95</v>
          </cell>
          <cell r="CI79">
            <v>387</v>
          </cell>
          <cell r="CJ79">
            <v>95</v>
          </cell>
          <cell r="CK79">
            <v>97</v>
          </cell>
          <cell r="CL79">
            <v>101</v>
          </cell>
          <cell r="CM79">
            <v>101</v>
          </cell>
          <cell r="CN79">
            <v>394</v>
          </cell>
          <cell r="CO79">
            <v>98</v>
          </cell>
          <cell r="CP79">
            <v>100</v>
          </cell>
          <cell r="CQ79">
            <v>100</v>
          </cell>
          <cell r="CR79">
            <v>100</v>
          </cell>
          <cell r="CS79">
            <v>398</v>
          </cell>
          <cell r="CT79">
            <v>100</v>
          </cell>
          <cell r="CU79">
            <v>104</v>
          </cell>
          <cell r="CV79">
            <v>110</v>
          </cell>
          <cell r="CW79">
            <v>110</v>
          </cell>
          <cell r="CX79">
            <v>424</v>
          </cell>
          <cell r="CY79">
            <v>107.9875</v>
          </cell>
          <cell r="CZ79">
            <v>107.9875</v>
          </cell>
          <cell r="DA79">
            <v>107.9875</v>
          </cell>
          <cell r="DB79">
            <v>107.9875</v>
          </cell>
          <cell r="DC79">
            <v>431.95</v>
          </cell>
          <cell r="DD79">
            <v>109.15062499999999</v>
          </cell>
          <cell r="DE79">
            <v>109.15062499999999</v>
          </cell>
          <cell r="DF79">
            <v>109.15062499999999</v>
          </cell>
          <cell r="DG79">
            <v>109.15062499999999</v>
          </cell>
          <cell r="DH79">
            <v>436.60249999999996</v>
          </cell>
          <cell r="DI79">
            <v>110.19309374999999</v>
          </cell>
          <cell r="DJ79">
            <v>110.19309374999999</v>
          </cell>
          <cell r="DK79">
            <v>110.19309374999999</v>
          </cell>
          <cell r="DL79">
            <v>110.19309374999999</v>
          </cell>
          <cell r="DM79">
            <v>440.77237499999995</v>
          </cell>
          <cell r="DN79">
            <v>111.18343906249999</v>
          </cell>
          <cell r="DO79">
            <v>111.18343906249999</v>
          </cell>
          <cell r="DP79">
            <v>111.18343906249999</v>
          </cell>
          <cell r="DQ79">
            <v>111.18343906249999</v>
          </cell>
          <cell r="DR79">
            <v>444.73375624999994</v>
          </cell>
        </row>
        <row r="80">
          <cell r="B80" t="str">
            <v>Adjusted EBITDA</v>
          </cell>
          <cell r="D80">
            <v>122.69000000000001</v>
          </cell>
          <cell r="E80">
            <v>121.99999999999997</v>
          </cell>
          <cell r="F80">
            <v>126.29999999999995</v>
          </cell>
          <cell r="G80">
            <v>252.01</v>
          </cell>
          <cell r="H80">
            <v>623</v>
          </cell>
          <cell r="I80">
            <v>254.10000000000002</v>
          </cell>
          <cell r="J80">
            <v>273.8</v>
          </cell>
          <cell r="K80">
            <v>279.60000000000014</v>
          </cell>
          <cell r="L80">
            <v>291.49999999999977</v>
          </cell>
          <cell r="M80">
            <v>1099</v>
          </cell>
          <cell r="N80">
            <v>282.69999999999987</v>
          </cell>
          <cell r="O80">
            <v>291.69999999999987</v>
          </cell>
          <cell r="P80">
            <v>411.60000000000008</v>
          </cell>
          <cell r="Q80">
            <v>610.99999999999932</v>
          </cell>
          <cell r="R80">
            <v>1596.9999999999991</v>
          </cell>
          <cell r="S80">
            <v>410</v>
          </cell>
          <cell r="T80">
            <v>444</v>
          </cell>
          <cell r="U80">
            <v>478</v>
          </cell>
          <cell r="V80">
            <v>477</v>
          </cell>
          <cell r="W80">
            <v>1809</v>
          </cell>
          <cell r="X80">
            <v>465</v>
          </cell>
          <cell r="Y80">
            <v>451</v>
          </cell>
          <cell r="Z80">
            <v>458</v>
          </cell>
          <cell r="AA80">
            <v>484</v>
          </cell>
          <cell r="AB80">
            <v>1858</v>
          </cell>
          <cell r="AC80">
            <v>457</v>
          </cell>
          <cell r="AD80">
            <v>469</v>
          </cell>
          <cell r="AE80">
            <v>500</v>
          </cell>
          <cell r="AF80">
            <v>509</v>
          </cell>
          <cell r="AG80">
            <v>1935</v>
          </cell>
          <cell r="AH80">
            <v>517</v>
          </cell>
          <cell r="AI80">
            <v>537</v>
          </cell>
          <cell r="AJ80">
            <v>578</v>
          </cell>
          <cell r="AK80">
            <v>612</v>
          </cell>
          <cell r="AL80">
            <v>2244</v>
          </cell>
          <cell r="AM80">
            <v>626</v>
          </cell>
          <cell r="AN80">
            <v>678</v>
          </cell>
          <cell r="AO80">
            <v>721</v>
          </cell>
          <cell r="AP80">
            <v>772</v>
          </cell>
          <cell r="AQ80">
            <v>2797</v>
          </cell>
          <cell r="AR80">
            <v>756</v>
          </cell>
          <cell r="AS80">
            <v>775</v>
          </cell>
          <cell r="AT80">
            <v>515</v>
          </cell>
          <cell r="AV80">
            <v>674</v>
          </cell>
          <cell r="AW80">
            <v>692</v>
          </cell>
          <cell r="AX80">
            <v>705</v>
          </cell>
          <cell r="AY80">
            <v>568</v>
          </cell>
          <cell r="AZ80">
            <v>2639</v>
          </cell>
          <cell r="BA80">
            <v>467</v>
          </cell>
          <cell r="BB80">
            <v>339</v>
          </cell>
          <cell r="BC80">
            <v>80</v>
          </cell>
          <cell r="BD80">
            <v>171</v>
          </cell>
          <cell r="BE80">
            <v>1057</v>
          </cell>
          <cell r="BF80">
            <v>222</v>
          </cell>
          <cell r="BG80">
            <v>-107</v>
          </cell>
          <cell r="BH80">
            <v>129</v>
          </cell>
          <cell r="BI80">
            <v>141</v>
          </cell>
          <cell r="BJ80">
            <v>385</v>
          </cell>
          <cell r="BK80">
            <v>226</v>
          </cell>
          <cell r="BL80">
            <v>159</v>
          </cell>
          <cell r="BM80">
            <v>89</v>
          </cell>
          <cell r="BN80">
            <v>97</v>
          </cell>
          <cell r="BO80">
            <v>571</v>
          </cell>
          <cell r="BP80">
            <v>216</v>
          </cell>
          <cell r="BQ80">
            <v>209</v>
          </cell>
          <cell r="BR80">
            <v>108</v>
          </cell>
          <cell r="BS80">
            <v>153</v>
          </cell>
          <cell r="BT80">
            <v>686</v>
          </cell>
          <cell r="BU80">
            <v>189</v>
          </cell>
          <cell r="BV80">
            <v>156</v>
          </cell>
          <cell r="BW80">
            <v>177</v>
          </cell>
          <cell r="BX80">
            <v>166</v>
          </cell>
          <cell r="BY80">
            <v>688</v>
          </cell>
          <cell r="BZ80">
            <v>234</v>
          </cell>
          <cell r="CA80">
            <v>163</v>
          </cell>
          <cell r="CB80">
            <v>156</v>
          </cell>
          <cell r="CC80">
            <v>199</v>
          </cell>
          <cell r="CD80">
            <v>752</v>
          </cell>
          <cell r="CE80">
            <v>276</v>
          </cell>
          <cell r="CF80">
            <v>246</v>
          </cell>
          <cell r="CG80">
            <v>240</v>
          </cell>
          <cell r="CH80">
            <v>218</v>
          </cell>
          <cell r="CI80">
            <v>980</v>
          </cell>
          <cell r="CJ80">
            <v>298</v>
          </cell>
          <cell r="CK80">
            <v>268</v>
          </cell>
          <cell r="CL80">
            <v>203</v>
          </cell>
          <cell r="CM80">
            <v>281</v>
          </cell>
          <cell r="CN80">
            <v>1050</v>
          </cell>
          <cell r="CO80">
            <v>371</v>
          </cell>
          <cell r="CP80">
            <v>275</v>
          </cell>
          <cell r="CQ80">
            <v>192</v>
          </cell>
          <cell r="CR80">
            <v>288</v>
          </cell>
          <cell r="CS80">
            <v>1126</v>
          </cell>
          <cell r="CT80">
            <v>310</v>
          </cell>
          <cell r="CU80">
            <v>288</v>
          </cell>
          <cell r="CV80">
            <v>269</v>
          </cell>
          <cell r="CW80">
            <v>338.18827972984684</v>
          </cell>
          <cell r="CX80">
            <v>1205.1882797298467</v>
          </cell>
          <cell r="CY80">
            <v>277.05861714162245</v>
          </cell>
          <cell r="CZ80">
            <v>348.21766914452633</v>
          </cell>
          <cell r="DA80">
            <v>322.44813047520393</v>
          </cell>
          <cell r="DB80">
            <v>393.211982374066</v>
          </cell>
          <cell r="DC80">
            <v>1340.9363991354187</v>
          </cell>
          <cell r="DD80">
            <v>339.07369617583618</v>
          </cell>
          <cell r="DE80">
            <v>383.40359794590529</v>
          </cell>
          <cell r="DF80">
            <v>349.34850153914067</v>
          </cell>
          <cell r="DG80">
            <v>428.04881292237064</v>
          </cell>
          <cell r="DH80">
            <v>1499.8746085832527</v>
          </cell>
          <cell r="DI80">
            <v>363.19572364713849</v>
          </cell>
          <cell r="DJ80">
            <v>394.30245386616662</v>
          </cell>
          <cell r="DK80">
            <v>363.90416572403194</v>
          </cell>
          <cell r="DL80">
            <v>450.31311460178381</v>
          </cell>
          <cell r="DM80">
            <v>1571.715457839121</v>
          </cell>
          <cell r="DN80">
            <v>388.46288402160428</v>
          </cell>
          <cell r="DO80">
            <v>414.22435573578537</v>
          </cell>
          <cell r="DP80">
            <v>383.11274737666827</v>
          </cell>
          <cell r="DQ80">
            <v>473.41258896182808</v>
          </cell>
          <cell r="DR80">
            <v>1659.2125760958861</v>
          </cell>
        </row>
        <row r="81">
          <cell r="B81" t="str">
            <v>y/y change</v>
          </cell>
          <cell r="I81">
            <v>1.0710734371179393</v>
          </cell>
          <cell r="J81">
            <v>1.2442622950819677</v>
          </cell>
          <cell r="K81">
            <v>1.2137767220902633</v>
          </cell>
          <cell r="L81">
            <v>0.15670013094718382</v>
          </cell>
          <cell r="M81">
            <v>0.76404494382022481</v>
          </cell>
          <cell r="N81">
            <v>0.11255411255411185</v>
          </cell>
          <cell r="O81">
            <v>6.5376186997808228E-2</v>
          </cell>
          <cell r="P81">
            <v>0.47210300429184504</v>
          </cell>
          <cell r="Q81">
            <v>1.0960548885077182</v>
          </cell>
          <cell r="R81">
            <v>0.45313921747042674</v>
          </cell>
          <cell r="S81">
            <v>0.45030067209055602</v>
          </cell>
          <cell r="T81">
            <v>0.52211175865615433</v>
          </cell>
          <cell r="U81">
            <v>0.16132167152575283</v>
          </cell>
          <cell r="V81">
            <v>-0.21931260229132488</v>
          </cell>
          <cell r="W81">
            <v>0.13274890419536689</v>
          </cell>
          <cell r="X81">
            <v>0.13414634146341453</v>
          </cell>
          <cell r="Y81">
            <v>1.5765765765765716E-2</v>
          </cell>
          <cell r="Z81">
            <v>-4.1841004184100417E-2</v>
          </cell>
          <cell r="AA81">
            <v>1.467505241090139E-2</v>
          </cell>
          <cell r="AB81">
            <v>2.7086788280818119E-2</v>
          </cell>
          <cell r="AC81">
            <v>-1.7204301075268824E-2</v>
          </cell>
          <cell r="AD81">
            <v>3.9911308203991025E-2</v>
          </cell>
          <cell r="AE81">
            <v>9.1703056768559055E-2</v>
          </cell>
          <cell r="AF81">
            <v>5.1652892561983466E-2</v>
          </cell>
          <cell r="AG81">
            <v>4.1442411194833051E-2</v>
          </cell>
          <cell r="AH81">
            <v>0.13129102844638951</v>
          </cell>
          <cell r="AI81">
            <v>0.14498933901918987</v>
          </cell>
          <cell r="AJ81">
            <v>0.15599999999999992</v>
          </cell>
          <cell r="AK81">
            <v>0.20235756385068759</v>
          </cell>
          <cell r="AL81">
            <v>0.15968992248062008</v>
          </cell>
          <cell r="AM81">
            <v>0.21083172147001927</v>
          </cell>
          <cell r="AN81">
            <v>0.26256983240223453</v>
          </cell>
          <cell r="AO81">
            <v>0.24740484429065734</v>
          </cell>
          <cell r="AP81">
            <v>0.26143790849673199</v>
          </cell>
          <cell r="AQ81">
            <v>0.24643493761140811</v>
          </cell>
          <cell r="AR81">
            <v>0.20766773162939289</v>
          </cell>
          <cell r="AS81">
            <v>0.14306784660766958</v>
          </cell>
          <cell r="AT81">
            <v>-0.2857142857142857</v>
          </cell>
          <cell r="BA81">
            <v>-0.30712166172106825</v>
          </cell>
          <cell r="BB81">
            <v>-0.51011560693641611</v>
          </cell>
          <cell r="BC81">
            <v>-0.88652482269503552</v>
          </cell>
          <cell r="BD81">
            <v>-0.698943661971831</v>
          </cell>
          <cell r="BE81">
            <v>-0.59946949602122013</v>
          </cell>
          <cell r="BF81">
            <v>-0.52462526766595285</v>
          </cell>
          <cell r="BG81">
            <v>-1.3156342182890857</v>
          </cell>
          <cell r="BH81">
            <v>0.61250000000000004</v>
          </cell>
          <cell r="BI81">
            <v>-0.17543859649122806</v>
          </cell>
          <cell r="BJ81">
            <v>-0.63576158940397354</v>
          </cell>
          <cell r="BK81">
            <v>1.8018018018018056E-2</v>
          </cell>
          <cell r="BL81">
            <v>-2.485981308411215</v>
          </cell>
          <cell r="BM81">
            <v>-0.31007751937984496</v>
          </cell>
          <cell r="BN81">
            <v>-0.31205673758865249</v>
          </cell>
          <cell r="BO81">
            <v>0.48311688311688306</v>
          </cell>
          <cell r="BP81">
            <v>-4.4247787610619427E-2</v>
          </cell>
          <cell r="BQ81">
            <v>0.31446540880503138</v>
          </cell>
          <cell r="BR81">
            <v>0.21348314606741581</v>
          </cell>
          <cell r="BS81">
            <v>0.57731958762886593</v>
          </cell>
          <cell r="BT81">
            <v>0.20140105078809101</v>
          </cell>
          <cell r="BU81">
            <v>-0.125</v>
          </cell>
          <cell r="BV81">
            <v>-0.25358851674641147</v>
          </cell>
          <cell r="BW81">
            <v>0.63888888888888884</v>
          </cell>
          <cell r="BX81">
            <v>8.4967320261437829E-2</v>
          </cell>
          <cell r="BY81">
            <v>2.9154518950438302E-3</v>
          </cell>
          <cell r="BZ81">
            <v>0.23809523809523814</v>
          </cell>
          <cell r="CA81">
            <v>4.4871794871794934E-2</v>
          </cell>
          <cell r="CB81">
            <v>-0.11864406779661019</v>
          </cell>
          <cell r="CC81">
            <v>0.1987951807228916</v>
          </cell>
          <cell r="CD81">
            <v>9.3023255813953432E-2</v>
          </cell>
          <cell r="CE81">
            <v>0.17948717948717952</v>
          </cell>
          <cell r="CF81">
            <v>0.50920245398773001</v>
          </cell>
          <cell r="CG81">
            <v>0.53846153846153855</v>
          </cell>
          <cell r="CH81">
            <v>9.5477386934673447E-2</v>
          </cell>
          <cell r="CI81">
            <v>0.30319148936170204</v>
          </cell>
          <cell r="CJ81">
            <v>7.9710144927536142E-2</v>
          </cell>
          <cell r="CK81">
            <v>8.9430894308943021E-2</v>
          </cell>
          <cell r="CL81">
            <v>-0.15416666666666667</v>
          </cell>
          <cell r="CM81">
            <v>0.28899082568807333</v>
          </cell>
          <cell r="CN81">
            <v>7.1428571428571397E-2</v>
          </cell>
          <cell r="CO81">
            <v>0.24496644295302006</v>
          </cell>
          <cell r="CP81">
            <v>2.6119402985074647E-2</v>
          </cell>
          <cell r="CQ81">
            <v>-5.4187192118226646E-2</v>
          </cell>
          <cell r="CR81">
            <v>2.4911032028469782E-2</v>
          </cell>
          <cell r="CS81">
            <v>7.2380952380952435E-2</v>
          </cell>
          <cell r="CT81">
            <v>-0.16442048517520214</v>
          </cell>
          <cell r="CU81">
            <v>4.7272727272727355E-2</v>
          </cell>
          <cell r="CV81">
            <v>0.40104166666666674</v>
          </cell>
          <cell r="CW81">
            <v>0.17426486017307941</v>
          </cell>
          <cell r="CX81">
            <v>7.0327069031835387E-2</v>
          </cell>
          <cell r="CY81">
            <v>-0.10626252534960501</v>
          </cell>
          <cell r="CZ81">
            <v>0.20908912897404974</v>
          </cell>
          <cell r="DA81">
            <v>0.19869193485205927</v>
          </cell>
          <cell r="DB81">
            <v>0.16270138837505965</v>
          </cell>
          <cell r="DC81">
            <v>0.11263644169855436</v>
          </cell>
          <cell r="DD81">
            <v>0.22383378533400333</v>
          </cell>
          <cell r="DE81">
            <v>0.10104578807795983</v>
          </cell>
          <cell r="DF81">
            <v>8.3425421088013874E-2</v>
          </cell>
          <cell r="DG81">
            <v>8.8595546702246786E-2</v>
          </cell>
          <cell r="DH81">
            <v>0.11852777622436883</v>
          </cell>
          <cell r="DI81">
            <v>7.1140957683704098E-2</v>
          </cell>
          <cell r="DJ81">
            <v>2.8426587488099342E-2</v>
          </cell>
          <cell r="DK81">
            <v>4.1665168508703276E-2</v>
          </cell>
          <cell r="DL81">
            <v>5.2013464369660367E-2</v>
          </cell>
          <cell r="DM81">
            <v>4.7897903494564575E-2</v>
          </cell>
          <cell r="DN81">
            <v>6.9568991949404246E-2</v>
          </cell>
          <cell r="DO81">
            <v>5.0524417675525291E-2</v>
          </cell>
          <cell r="DP81">
            <v>5.2784725930296705E-2</v>
          </cell>
          <cell r="DQ81">
            <v>5.1296472634316581E-2</v>
          </cell>
          <cell r="DR81">
            <v>5.5669821035584155E-2</v>
          </cell>
        </row>
        <row r="82">
          <cell r="B82" t="str">
            <v>adjusted EBITDA margin</v>
          </cell>
          <cell r="D82">
            <v>0.18509885567298046</v>
          </cell>
          <cell r="E82">
            <v>0.19098309329993735</v>
          </cell>
          <cell r="F82">
            <v>0.1912187736563209</v>
          </cell>
          <cell r="G82">
            <v>0.1858665870127188</v>
          </cell>
          <cell r="H82">
            <v>0.18776371308016879</v>
          </cell>
          <cell r="I82">
            <v>0.19791261001635641</v>
          </cell>
          <cell r="J82">
            <v>0.19972280983295645</v>
          </cell>
          <cell r="K82">
            <v>0.19526503247433488</v>
          </cell>
          <cell r="L82">
            <v>0.1979895401752359</v>
          </cell>
          <cell r="M82">
            <v>0.19769742759489117</v>
          </cell>
          <cell r="N82">
            <v>0.19651049631586257</v>
          </cell>
          <cell r="O82">
            <v>0.19761533771424694</v>
          </cell>
          <cell r="P82">
            <v>0.18400464929143012</v>
          </cell>
          <cell r="Q82">
            <v>0.17262812906142266</v>
          </cell>
          <cell r="R82">
            <v>0.18375330801979048</v>
          </cell>
          <cell r="S82">
            <v>0.17589017589017589</v>
          </cell>
          <cell r="T82">
            <v>0.18279127212844792</v>
          </cell>
          <cell r="U82">
            <v>0.18642745709828393</v>
          </cell>
          <cell r="V82">
            <v>0.1855309218203034</v>
          </cell>
          <cell r="W82">
            <v>0.18281960586154625</v>
          </cell>
          <cell r="X82">
            <v>0.18213866039952997</v>
          </cell>
          <cell r="Y82">
            <v>0.17596566523605151</v>
          </cell>
          <cell r="Z82">
            <v>0.16229624379872432</v>
          </cell>
          <cell r="AA82">
            <v>0.16451393609789258</v>
          </cell>
          <cell r="AB82">
            <v>0.17077205882352942</v>
          </cell>
          <cell r="AC82">
            <v>0.15906717716672467</v>
          </cell>
          <cell r="AD82">
            <v>0.16870503597122302</v>
          </cell>
          <cell r="AE82">
            <v>0.17543859649122806</v>
          </cell>
          <cell r="AF82">
            <v>0.17485400206114737</v>
          </cell>
          <cell r="AG82">
            <v>0.16952864902751008</v>
          </cell>
          <cell r="AH82">
            <v>0.17870722433460076</v>
          </cell>
          <cell r="AI82">
            <v>0.18421955403087478</v>
          </cell>
          <cell r="AJ82">
            <v>0.19038208168642951</v>
          </cell>
          <cell r="AK82">
            <v>0.19071361794951699</v>
          </cell>
          <cell r="AL82">
            <v>0.18617771509167841</v>
          </cell>
          <cell r="AM82">
            <v>0.18986957840461025</v>
          </cell>
          <cell r="AN82">
            <v>0.19976428992339423</v>
          </cell>
          <cell r="AO82">
            <v>0.20694603903559128</v>
          </cell>
          <cell r="AP82">
            <v>0.20652755484216159</v>
          </cell>
          <cell r="AQ82">
            <v>0.20103500323438511</v>
          </cell>
          <cell r="AR82">
            <v>0.20415879017013233</v>
          </cell>
          <cell r="AS82">
            <v>0.20513499205929062</v>
          </cell>
          <cell r="AT82">
            <v>0.13971785132935433</v>
          </cell>
          <cell r="AV82">
            <v>0.19970370370370372</v>
          </cell>
          <cell r="AW82">
            <v>0.20174927113702623</v>
          </cell>
          <cell r="AX82">
            <v>0.20022720817949446</v>
          </cell>
          <cell r="AY82">
            <v>0.16261093615803035</v>
          </cell>
          <cell r="AZ82">
            <v>0.19096895578551271</v>
          </cell>
          <cell r="BA82">
            <v>0.13528389339513325</v>
          </cell>
          <cell r="BB82">
            <v>0.10032554010062149</v>
          </cell>
          <cell r="BC82">
            <v>2.4264482863208977E-2</v>
          </cell>
          <cell r="BD82">
            <v>5.3756680289217228E-2</v>
          </cell>
          <cell r="BE82">
            <v>7.9419941393042301E-2</v>
          </cell>
          <cell r="BF82">
            <v>8.3177219932559013E-2</v>
          </cell>
          <cell r="BG82">
            <v>-4.1634241245136185E-2</v>
          </cell>
          <cell r="BH82">
            <v>5.2868852459016395E-2</v>
          </cell>
          <cell r="BI82">
            <v>5.8457711442786067E-2</v>
          </cell>
          <cell r="BJ82">
            <v>3.815280943414924E-2</v>
          </cell>
          <cell r="BK82">
            <v>9.0363854458216708E-2</v>
          </cell>
          <cell r="BL82">
            <v>6.5702479338842976E-2</v>
          </cell>
          <cell r="BM82">
            <v>3.7176274018379279E-2</v>
          </cell>
          <cell r="BN82">
            <v>4.219225750326229E-2</v>
          </cell>
          <cell r="BO82">
            <v>5.9392552527563966E-2</v>
          </cell>
          <cell r="BP82">
            <v>8.9478044739022364E-2</v>
          </cell>
          <cell r="BQ82">
            <v>9.5216400911161736E-2</v>
          </cell>
          <cell r="BR82">
            <v>5.1015588096362779E-2</v>
          </cell>
          <cell r="BS82">
            <v>7.0215695273061041E-2</v>
          </cell>
          <cell r="BT82">
            <v>7.7035373385738348E-2</v>
          </cell>
          <cell r="BU82">
            <v>8.2931110136024569E-2</v>
          </cell>
          <cell r="BV82">
            <v>7.0017953321364457E-2</v>
          </cell>
          <cell r="BW82">
            <v>8.0018083182640143E-2</v>
          </cell>
          <cell r="BX82">
            <v>7.3745002221235006E-2</v>
          </cell>
          <cell r="BY82">
            <v>7.6700111482720185E-2</v>
          </cell>
          <cell r="BZ82">
            <v>9.8692534795444958E-2</v>
          </cell>
          <cell r="CA82">
            <v>7.4633699633699632E-2</v>
          </cell>
          <cell r="CB82">
            <v>7.2289156626506021E-2</v>
          </cell>
          <cell r="CC82">
            <v>9.066059225512528E-2</v>
          </cell>
          <cell r="CD82">
            <v>8.4418500224517287E-2</v>
          </cell>
          <cell r="CE82">
            <v>0.12110574813514699</v>
          </cell>
          <cell r="CF82">
            <v>0.11036339165545088</v>
          </cell>
          <cell r="CG82">
            <v>0.10610079575596817</v>
          </cell>
          <cell r="CH82">
            <v>9.6417514374170718E-2</v>
          </cell>
          <cell r="CI82">
            <v>0.10851511460524858</v>
          </cell>
          <cell r="CJ82">
            <v>0.12740487387772553</v>
          </cell>
          <cell r="CK82">
            <v>0.11636995223621363</v>
          </cell>
          <cell r="CL82">
            <v>8.9743589743589744E-2</v>
          </cell>
          <cell r="CM82">
            <v>0.12212081703607128</v>
          </cell>
          <cell r="CN82">
            <v>0.11406844106463879</v>
          </cell>
          <cell r="CO82">
            <v>0.15273775216138327</v>
          </cell>
          <cell r="CP82">
            <v>0.11956521739130435</v>
          </cell>
          <cell r="CQ82">
            <v>8.3879423328964614E-2</v>
          </cell>
          <cell r="CR82">
            <v>0.12239694007649808</v>
          </cell>
          <cell r="CS82">
            <v>0.12015793405186213</v>
          </cell>
          <cell r="CT82">
            <v>0.12444801284624649</v>
          </cell>
          <cell r="CU82">
            <v>0.11731160896130347</v>
          </cell>
          <cell r="CV82">
            <v>0.11083642356819118</v>
          </cell>
          <cell r="CW82">
            <v>0.13391109877106058</v>
          </cell>
          <cell r="CX82">
            <v>0.12175502335327548</v>
          </cell>
          <cell r="CY82">
            <v>0.10419691879598381</v>
          </cell>
          <cell r="CZ82">
            <v>0.12756897977522252</v>
          </cell>
          <cell r="DA82">
            <v>0.11901517569403251</v>
          </cell>
          <cell r="DB82">
            <v>0.14139131675639624</v>
          </cell>
          <cell r="DC82">
            <v>0.12325967363500764</v>
          </cell>
          <cell r="DD82">
            <v>0.12225535832344822</v>
          </cell>
          <cell r="DE82">
            <v>0.13601582414150942</v>
          </cell>
          <cell r="DF82">
            <v>0.1250138000382959</v>
          </cell>
          <cell r="DG82">
            <v>0.14900048356027537</v>
          </cell>
          <cell r="DH82">
            <v>0.13320869921884826</v>
          </cell>
          <cell r="DI82">
            <v>0.12410905151315288</v>
          </cell>
          <cell r="DJ82">
            <v>0.13421678951864144</v>
          </cell>
          <cell r="DK82">
            <v>0.12496547602885999</v>
          </cell>
          <cell r="DL82">
            <v>0.15005114988161702</v>
          </cell>
          <cell r="DM82">
            <v>0.13345262884954742</v>
          </cell>
          <cell r="DN82">
            <v>0.1266116049316672</v>
          </cell>
          <cell r="DO82">
            <v>0.13481189491159967</v>
          </cell>
          <cell r="DP82">
            <v>0.12576782212097914</v>
          </cell>
          <cell r="DQ82">
            <v>0.15099213050843832</v>
          </cell>
          <cell r="DR82">
            <v>0.13465129032971754</v>
          </cell>
        </row>
        <row r="83">
          <cell r="B83" t="str">
            <v>Margins</v>
          </cell>
        </row>
        <row r="84">
          <cell r="B84" t="str">
            <v>EBITDA Margin</v>
          </cell>
          <cell r="D84">
            <v>0.18509885567298046</v>
          </cell>
          <cell r="E84">
            <v>0.19098309329993735</v>
          </cell>
          <cell r="F84">
            <v>0.1912187736563209</v>
          </cell>
          <cell r="G84">
            <v>0.15857773450896659</v>
          </cell>
          <cell r="H84">
            <v>0.17661241711874623</v>
          </cell>
          <cell r="I84">
            <v>0.19791261001635641</v>
          </cell>
          <cell r="J84">
            <v>0.19972280983295645</v>
          </cell>
          <cell r="K84">
            <v>0.19526503247433488</v>
          </cell>
          <cell r="L84">
            <v>0.13957753175303933</v>
          </cell>
          <cell r="M84">
            <v>0.1822270192480662</v>
          </cell>
          <cell r="N84">
            <v>0.19651049631586257</v>
          </cell>
          <cell r="O84">
            <v>0.19761533771424694</v>
          </cell>
          <cell r="P84">
            <v>6.2318387053511594E-2</v>
          </cell>
          <cell r="Q84">
            <v>4.0458834830762083E-2</v>
          </cell>
          <cell r="R84">
            <v>9.8607755149004717E-2</v>
          </cell>
          <cell r="S84">
            <v>0.17589017589017589</v>
          </cell>
          <cell r="T84">
            <v>0.18279127212844792</v>
          </cell>
          <cell r="U84">
            <v>0.18642745709828393</v>
          </cell>
          <cell r="V84">
            <v>9.957215091404123E-2</v>
          </cell>
          <cell r="W84">
            <v>0.16048509348155635</v>
          </cell>
          <cell r="X84">
            <v>0.18213866039952997</v>
          </cell>
          <cell r="Y84">
            <v>0.17596566523605151</v>
          </cell>
          <cell r="Z84">
            <v>0.16229624379872432</v>
          </cell>
          <cell r="AA84">
            <v>4.1128484024473146E-2</v>
          </cell>
          <cell r="AB84">
            <v>0.13740808823529413</v>
          </cell>
          <cell r="AC84">
            <v>0.15906717716672467</v>
          </cell>
          <cell r="AD84">
            <v>0.16870503597122302</v>
          </cell>
          <cell r="AE84">
            <v>9.4035087719298249E-2</v>
          </cell>
          <cell r="AF84">
            <v>0.13260048093438681</v>
          </cell>
          <cell r="AG84">
            <v>0.13842649377956895</v>
          </cell>
          <cell r="AH84">
            <v>0.17870722433460076</v>
          </cell>
          <cell r="AI84">
            <v>0.18421955403087478</v>
          </cell>
          <cell r="AJ84">
            <v>0.19038208168642951</v>
          </cell>
          <cell r="AK84">
            <v>0.14615144904954813</v>
          </cell>
          <cell r="AL84">
            <v>0.17431344893387538</v>
          </cell>
          <cell r="AM84">
            <v>0.18986957840461025</v>
          </cell>
          <cell r="AN84">
            <v>0.17059516794342958</v>
          </cell>
          <cell r="AO84">
            <v>0.20694603903559128</v>
          </cell>
          <cell r="AP84">
            <v>0.20652755484216159</v>
          </cell>
          <cell r="AQ84">
            <v>0.19391935599798749</v>
          </cell>
          <cell r="AR84">
            <v>0.20415879017013233</v>
          </cell>
          <cell r="AS84">
            <v>0.18819481206987823</v>
          </cell>
          <cell r="AT84">
            <v>3.0656538252848618E-2</v>
          </cell>
          <cell r="AV84">
            <v>0.19970370370370372</v>
          </cell>
          <cell r="AW84">
            <v>0.20174927113702623</v>
          </cell>
          <cell r="AX84">
            <v>0.20022720817949446</v>
          </cell>
          <cell r="AY84">
            <v>7.2144288577154311E-2</v>
          </cell>
          <cell r="AZ84">
            <v>0.16810188870395831</v>
          </cell>
          <cell r="BA84">
            <v>7.6767091541135576E-2</v>
          </cell>
          <cell r="BB84">
            <v>-1.1837821840781297E-3</v>
          </cell>
          <cell r="BC84">
            <v>-5.5201698513800426E-2</v>
          </cell>
          <cell r="BD84">
            <v>-0.38698522477208425</v>
          </cell>
          <cell r="BE84">
            <v>-8.6557968292133136E-2</v>
          </cell>
          <cell r="BF84">
            <v>5.6950168602472838E-2</v>
          </cell>
          <cell r="BG84">
            <v>-6.1867704280155644E-2</v>
          </cell>
          <cell r="BH84">
            <v>4.7950819672131148E-2</v>
          </cell>
          <cell r="BI84">
            <v>-0.47429519071310117</v>
          </cell>
          <cell r="BJ84">
            <v>-0.1024675453374294</v>
          </cell>
          <cell r="BK84">
            <v>7.756897241103558E-2</v>
          </cell>
          <cell r="BL84">
            <v>6.2809917355371905E-2</v>
          </cell>
          <cell r="BM84">
            <v>-7.685881370091896E-2</v>
          </cell>
          <cell r="BN84">
            <v>-6.0461070030448018E-2</v>
          </cell>
          <cell r="BO84">
            <v>2.3923444976076554E-3</v>
          </cell>
          <cell r="BP84">
            <v>8.0364540182270086E-2</v>
          </cell>
          <cell r="BQ84">
            <v>-0.24282460136674261</v>
          </cell>
          <cell r="BR84">
            <v>4.9126121870571561E-2</v>
          </cell>
          <cell r="BS84">
            <v>-8.4901330885727391E-2</v>
          </cell>
          <cell r="BT84">
            <v>-4.7164514317798986E-2</v>
          </cell>
          <cell r="BU84">
            <v>8.2053532250987271E-2</v>
          </cell>
          <cell r="BV84">
            <v>6.5978456014362655E-2</v>
          </cell>
          <cell r="BW84">
            <v>7.2784810126582278E-2</v>
          </cell>
          <cell r="BX84">
            <v>5.3753887161261664E-2</v>
          </cell>
          <cell r="BY84">
            <v>6.8673355629877364E-2</v>
          </cell>
          <cell r="BZ84">
            <v>7.8447912273302403E-2</v>
          </cell>
          <cell r="CA84">
            <v>7.2344322344322351E-2</v>
          </cell>
          <cell r="CB84">
            <v>7.4142724745134378E-2</v>
          </cell>
          <cell r="CC84">
            <v>8.6104783599088838E-2</v>
          </cell>
          <cell r="CD84">
            <v>7.7795240233497973E-2</v>
          </cell>
          <cell r="CE84">
            <v>0.1184730144800351</v>
          </cell>
          <cell r="CF84">
            <v>0.10587707492148946</v>
          </cell>
          <cell r="CG84">
            <v>0.10167992926613616</v>
          </cell>
          <cell r="CH84">
            <v>8.2264484741264923E-2</v>
          </cell>
          <cell r="CI84">
            <v>0.10209279149595836</v>
          </cell>
          <cell r="CJ84">
            <v>0.12654980761008977</v>
          </cell>
          <cell r="CK84">
            <v>0.11636995223621363</v>
          </cell>
          <cell r="CL84">
            <v>8.7533156498673742E-2</v>
          </cell>
          <cell r="CM84">
            <v>0.1156019122120817</v>
          </cell>
          <cell r="CN84">
            <v>0.11167843563280826</v>
          </cell>
          <cell r="CO84">
            <v>0.14491560312885962</v>
          </cell>
          <cell r="CP84">
            <v>0.11521739130434783</v>
          </cell>
          <cell r="CQ84">
            <v>7.8200087374399305E-2</v>
          </cell>
          <cell r="CR84">
            <v>0.10837229069273269</v>
          </cell>
          <cell r="CS84">
            <v>0.11215451926155159</v>
          </cell>
          <cell r="CT84">
            <v>0.12244078683259735</v>
          </cell>
          <cell r="CU84">
            <v>0.11568228105906314</v>
          </cell>
          <cell r="CV84">
            <v>0.10836423568191182</v>
          </cell>
          <cell r="CW84">
            <v>0.13074336986270144</v>
          </cell>
          <cell r="CX84">
            <v>0.11943143160896064</v>
          </cell>
          <cell r="CY84">
            <v>0.10419691879598381</v>
          </cell>
          <cell r="CZ84">
            <v>0.12756897977522252</v>
          </cell>
          <cell r="DA84">
            <v>0.11901517569403251</v>
          </cell>
          <cell r="DB84">
            <v>0.14139131675639624</v>
          </cell>
          <cell r="DC84">
            <v>0.12325967363500771</v>
          </cell>
          <cell r="DD84">
            <v>0.12225535832344822</v>
          </cell>
          <cell r="DE84">
            <v>0.13601582414150942</v>
          </cell>
          <cell r="DF84">
            <v>0.1250138000382959</v>
          </cell>
          <cell r="DG84">
            <v>0.14900048356027537</v>
          </cell>
          <cell r="DH84">
            <v>0.13320869921884834</v>
          </cell>
          <cell r="DI84">
            <v>0.12410905151315288</v>
          </cell>
          <cell r="DJ84">
            <v>0.13421678951864144</v>
          </cell>
          <cell r="DK84">
            <v>0.12496547602885999</v>
          </cell>
          <cell r="DL84">
            <v>0.15005114988161702</v>
          </cell>
          <cell r="DM84">
            <v>0.13345262884954734</v>
          </cell>
          <cell r="DN84">
            <v>0.1266116049316672</v>
          </cell>
          <cell r="DO84">
            <v>0.13481189491159967</v>
          </cell>
          <cell r="DP84">
            <v>0.12576782212097914</v>
          </cell>
          <cell r="DQ84">
            <v>0.15099213050843832</v>
          </cell>
          <cell r="DR84">
            <v>0.13465129032971745</v>
          </cell>
        </row>
        <row r="85">
          <cell r="B85" t="str">
            <v>Adjusted EBITDA</v>
          </cell>
          <cell r="D85">
            <v>0.18509885567298046</v>
          </cell>
          <cell r="E85">
            <v>0.19098309329993735</v>
          </cell>
          <cell r="F85">
            <v>0.1912187736563209</v>
          </cell>
          <cell r="G85">
            <v>0.1858665870127188</v>
          </cell>
          <cell r="H85">
            <v>0.18776371308016879</v>
          </cell>
          <cell r="I85">
            <v>0.19791261001635641</v>
          </cell>
          <cell r="J85">
            <v>0.19972280983295645</v>
          </cell>
          <cell r="K85">
            <v>0.19526503247433488</v>
          </cell>
          <cell r="L85">
            <v>0.1979895401752359</v>
          </cell>
          <cell r="M85">
            <v>0.19769742759489117</v>
          </cell>
          <cell r="N85">
            <v>0.19651049631586257</v>
          </cell>
          <cell r="O85">
            <v>0.19761533771424694</v>
          </cell>
          <cell r="P85">
            <v>0.18400464929143012</v>
          </cell>
          <cell r="Q85">
            <v>0.17262812906142266</v>
          </cell>
          <cell r="R85">
            <v>0.18375330801979048</v>
          </cell>
          <cell r="S85">
            <v>0.17589017589017589</v>
          </cell>
          <cell r="T85">
            <v>0.18279127212844792</v>
          </cell>
          <cell r="U85">
            <v>0.18642745709828393</v>
          </cell>
          <cell r="V85">
            <v>0.1855309218203034</v>
          </cell>
          <cell r="W85">
            <v>0.18281960586154625</v>
          </cell>
          <cell r="X85">
            <v>0.18213866039952997</v>
          </cell>
          <cell r="Y85">
            <v>0.17596566523605151</v>
          </cell>
          <cell r="Z85">
            <v>0.16229624379872432</v>
          </cell>
          <cell r="AA85">
            <v>0.16451393609789258</v>
          </cell>
          <cell r="AB85">
            <v>0.17077205882352942</v>
          </cell>
          <cell r="AC85">
            <v>0.15906717716672467</v>
          </cell>
          <cell r="AD85">
            <v>0.16870503597122302</v>
          </cell>
          <cell r="AE85">
            <v>0.17543859649122806</v>
          </cell>
          <cell r="AF85">
            <v>0.17485400206114737</v>
          </cell>
          <cell r="AG85">
            <v>0.16952864902751008</v>
          </cell>
          <cell r="AH85">
            <v>0.17870722433460076</v>
          </cell>
          <cell r="AI85">
            <v>0.18421955403087478</v>
          </cell>
          <cell r="AJ85">
            <v>0.19038208168642951</v>
          </cell>
          <cell r="AK85">
            <v>0.19071361794951699</v>
          </cell>
          <cell r="AL85">
            <v>0.18617771509167841</v>
          </cell>
          <cell r="AM85">
            <v>0.18986957840461025</v>
          </cell>
          <cell r="AN85">
            <v>0.19976428992339423</v>
          </cell>
          <cell r="AO85">
            <v>0.20694603903559128</v>
          </cell>
          <cell r="AP85">
            <v>0.20652755484216159</v>
          </cell>
          <cell r="AQ85">
            <v>0.20103500323438511</v>
          </cell>
          <cell r="AR85">
            <v>0.20415879017013233</v>
          </cell>
          <cell r="AS85">
            <v>0.20513499205929062</v>
          </cell>
          <cell r="AT85">
            <v>0.13971785132935433</v>
          </cell>
          <cell r="AV85">
            <v>0.19970370370370372</v>
          </cell>
          <cell r="AW85">
            <v>0.20174927113702623</v>
          </cell>
          <cell r="AX85">
            <v>0.20022720817949446</v>
          </cell>
          <cell r="AY85">
            <v>0.16261093615803035</v>
          </cell>
          <cell r="AZ85">
            <v>0.19096895578551271</v>
          </cell>
          <cell r="BA85">
            <v>0.13528389339513325</v>
          </cell>
          <cell r="BB85">
            <v>0.10032554010062149</v>
          </cell>
          <cell r="BC85">
            <v>2.4264482863208977E-2</v>
          </cell>
          <cell r="BD85">
            <v>5.3756680289217228E-2</v>
          </cell>
          <cell r="BE85">
            <v>7.9419941393042301E-2</v>
          </cell>
          <cell r="BF85">
            <v>8.3177219932559013E-2</v>
          </cell>
          <cell r="BG85">
            <v>-4.1634241245136185E-2</v>
          </cell>
          <cell r="BH85">
            <v>5.2868852459016395E-2</v>
          </cell>
          <cell r="BI85">
            <v>5.8457711442786067E-2</v>
          </cell>
          <cell r="BJ85">
            <v>3.815280943414924E-2</v>
          </cell>
          <cell r="BK85">
            <v>9.0363854458216708E-2</v>
          </cell>
          <cell r="BL85">
            <v>6.5702479338842976E-2</v>
          </cell>
          <cell r="BM85">
            <v>3.7176274018379279E-2</v>
          </cell>
          <cell r="BN85">
            <v>4.219225750326229E-2</v>
          </cell>
          <cell r="BO85">
            <v>5.9392552527563966E-2</v>
          </cell>
          <cell r="BP85">
            <v>8.9478044739022364E-2</v>
          </cell>
          <cell r="BQ85">
            <v>9.5216400911161736E-2</v>
          </cell>
          <cell r="BR85">
            <v>5.1015588096362779E-2</v>
          </cell>
          <cell r="BS85">
            <v>7.0215695273061041E-2</v>
          </cell>
          <cell r="BT85">
            <v>7.7035373385738348E-2</v>
          </cell>
          <cell r="BU85">
            <v>8.2931110136024569E-2</v>
          </cell>
          <cell r="BV85">
            <v>7.0017953321364457E-2</v>
          </cell>
          <cell r="BW85">
            <v>8.0018083182640143E-2</v>
          </cell>
          <cell r="BX85">
            <v>7.3745002221235006E-2</v>
          </cell>
          <cell r="BY85">
            <v>7.6700111482720185E-2</v>
          </cell>
          <cell r="BZ85">
            <v>9.8692534795444958E-2</v>
          </cell>
          <cell r="CA85">
            <v>7.4633699633699632E-2</v>
          </cell>
          <cell r="CB85">
            <v>7.2289156626506021E-2</v>
          </cell>
          <cell r="CC85">
            <v>9.066059225512528E-2</v>
          </cell>
          <cell r="CD85">
            <v>8.4418500224517287E-2</v>
          </cell>
          <cell r="CE85">
            <v>0.12110574813514699</v>
          </cell>
          <cell r="CF85">
            <v>0.11036339165545088</v>
          </cell>
          <cell r="CG85">
            <v>0.10610079575596817</v>
          </cell>
          <cell r="CH85">
            <v>9.6417514374170718E-2</v>
          </cell>
          <cell r="CI85">
            <v>0.10851511460524858</v>
          </cell>
          <cell r="CJ85">
            <v>0.12740487387772553</v>
          </cell>
          <cell r="CK85">
            <v>0.11636995223621363</v>
          </cell>
          <cell r="CL85">
            <v>8.9743589743589744E-2</v>
          </cell>
          <cell r="CM85">
            <v>0.12212081703607128</v>
          </cell>
          <cell r="CN85">
            <v>0.11406844106463879</v>
          </cell>
          <cell r="CO85">
            <v>0.15273775216138327</v>
          </cell>
          <cell r="CP85">
            <v>0.11956521739130435</v>
          </cell>
          <cell r="CQ85">
            <v>8.3879423328964614E-2</v>
          </cell>
          <cell r="CR85">
            <v>0.12239694007649808</v>
          </cell>
          <cell r="CS85">
            <v>0.12015793405186213</v>
          </cell>
          <cell r="CT85">
            <v>0.12444801284624649</v>
          </cell>
          <cell r="CU85">
            <v>0.11731160896130347</v>
          </cell>
          <cell r="CV85">
            <v>0.11083642356819118</v>
          </cell>
          <cell r="CW85">
            <v>0.13391109877106058</v>
          </cell>
          <cell r="CX85">
            <v>0.12175502335327548</v>
          </cell>
          <cell r="CY85">
            <v>0.10419691879598381</v>
          </cell>
          <cell r="CZ85">
            <v>0.12756897977522252</v>
          </cell>
          <cell r="DA85">
            <v>0.11901517569403251</v>
          </cell>
          <cell r="DB85">
            <v>0.14139131675639624</v>
          </cell>
          <cell r="DC85">
            <v>0.12325967363500764</v>
          </cell>
          <cell r="DD85">
            <v>0.12225535832344822</v>
          </cell>
          <cell r="DE85">
            <v>0.13601582414150942</v>
          </cell>
          <cell r="DF85">
            <v>0.1250138000382959</v>
          </cell>
          <cell r="DG85">
            <v>0.14900048356027537</v>
          </cell>
          <cell r="DH85">
            <v>0.13320869921884826</v>
          </cell>
          <cell r="DI85">
            <v>0.12410905151315288</v>
          </cell>
          <cell r="DJ85">
            <v>0.13421678951864144</v>
          </cell>
          <cell r="DK85">
            <v>0.12496547602885999</v>
          </cell>
          <cell r="DL85">
            <v>0.15005114988161702</v>
          </cell>
          <cell r="DM85">
            <v>0.13345262884954742</v>
          </cell>
          <cell r="DN85">
            <v>0.1266116049316672</v>
          </cell>
          <cell r="DO85">
            <v>0.13481189491159967</v>
          </cell>
          <cell r="DP85">
            <v>0.12576782212097914</v>
          </cell>
          <cell r="DQ85">
            <v>0.15099213050843832</v>
          </cell>
          <cell r="DR85">
            <v>0.13465129032971754</v>
          </cell>
        </row>
        <row r="86">
          <cell r="B86" t="str">
            <v>Operating margin</v>
          </cell>
          <cell r="D86">
            <v>0.12803789781770727</v>
          </cell>
          <cell r="E86">
            <v>0.13274890419536628</v>
          </cell>
          <cell r="F86">
            <v>0.13429220287660856</v>
          </cell>
          <cell r="G86">
            <v>9.7820948250747677E-2</v>
          </cell>
          <cell r="H86">
            <v>0.11784207353827607</v>
          </cell>
          <cell r="I86">
            <v>0.13544668587896255</v>
          </cell>
          <cell r="J86">
            <v>0.13954336567218614</v>
          </cell>
          <cell r="K86">
            <v>0.14093162930372241</v>
          </cell>
          <cell r="L86">
            <v>8.4901175032262313E-2</v>
          </cell>
          <cell r="M86">
            <v>0.12448282065119626</v>
          </cell>
          <cell r="N86">
            <v>0.13805088280272479</v>
          </cell>
          <cell r="O86">
            <v>0.13969243276200791</v>
          </cell>
          <cell r="P86">
            <v>1.3947874290312525E-2</v>
          </cell>
          <cell r="Q86">
            <v>-6.2157427812625544E-3</v>
          </cell>
          <cell r="R86">
            <v>4.7635484984466687E-2</v>
          </cell>
          <cell r="S86">
            <v>0.13084513084513086</v>
          </cell>
          <cell r="T86">
            <v>0.13585837793330588</v>
          </cell>
          <cell r="U86">
            <v>0.1392355694227769</v>
          </cell>
          <cell r="V86">
            <v>5.2897705173084404E-2</v>
          </cell>
          <cell r="W86">
            <v>0.11399696816574027</v>
          </cell>
          <cell r="X86">
            <v>0.13239326282804545</v>
          </cell>
          <cell r="Y86">
            <v>0.12368318376902068</v>
          </cell>
          <cell r="Z86">
            <v>0.11197732104890148</v>
          </cell>
          <cell r="AA86">
            <v>-1.0876954452753228E-2</v>
          </cell>
          <cell r="AB86">
            <v>8.6305147058823528E-2</v>
          </cell>
          <cell r="AC86">
            <v>0.11242603550295859</v>
          </cell>
          <cell r="AD86">
            <v>0.12122302158273382</v>
          </cell>
          <cell r="AE86">
            <v>4.736842105263158E-2</v>
          </cell>
          <cell r="AF86">
            <v>8.6568189625558234E-2</v>
          </cell>
          <cell r="AG86">
            <v>9.1729455055195377E-2</v>
          </cell>
          <cell r="AH86">
            <v>0.13135153819564466</v>
          </cell>
          <cell r="AI86">
            <v>0.13756432246998285</v>
          </cell>
          <cell r="AJ86">
            <v>0.14459815546772067</v>
          </cell>
          <cell r="AK86">
            <v>0.10190090370832035</v>
          </cell>
          <cell r="AL86">
            <v>0.12834978843441466</v>
          </cell>
          <cell r="AM86">
            <v>0.14467697907188354</v>
          </cell>
          <cell r="AN86">
            <v>0.12610489098408956</v>
          </cell>
          <cell r="AO86">
            <v>0.16274397244546498</v>
          </cell>
          <cell r="AP86">
            <v>0.16639914392723382</v>
          </cell>
          <cell r="AQ86">
            <v>0.15050672033350104</v>
          </cell>
          <cell r="AR86">
            <v>0.16959222252227923</v>
          </cell>
          <cell r="AS86">
            <v>0.15378507146638434</v>
          </cell>
          <cell r="AT86">
            <v>-5.1546391752577319E-3</v>
          </cell>
          <cell r="AV86">
            <v>0.15703703703703703</v>
          </cell>
          <cell r="AW86">
            <v>0.16297376093294461</v>
          </cell>
          <cell r="AX86">
            <v>0.1661459812553252</v>
          </cell>
          <cell r="AY86">
            <v>3.7503578585742915E-2</v>
          </cell>
          <cell r="AZ86">
            <v>0.13061726608292931</v>
          </cell>
          <cell r="BA86">
            <v>4.2294322132097335E-2</v>
          </cell>
          <cell r="BB86">
            <v>-3.669724770642202E-2</v>
          </cell>
          <cell r="BC86">
            <v>-8.9171974522292988E-2</v>
          </cell>
          <cell r="BD86">
            <v>-0.42282301163156238</v>
          </cell>
          <cell r="BE86">
            <v>-0.12149673153505147</v>
          </cell>
          <cell r="BF86">
            <v>2.098164106406894E-2</v>
          </cell>
          <cell r="BG86">
            <v>-9.883268482490272E-2</v>
          </cell>
          <cell r="BH86">
            <v>7.3770491803278691E-3</v>
          </cell>
          <cell r="BI86">
            <v>-0.51575456053067992</v>
          </cell>
          <cell r="BJ86">
            <v>-0.14111584580319098</v>
          </cell>
          <cell r="BK86">
            <v>3.9184326269492205E-2</v>
          </cell>
          <cell r="BL86">
            <v>2.4793388429752067E-2</v>
          </cell>
          <cell r="BM86">
            <v>-0.12071846282372597</v>
          </cell>
          <cell r="BN86">
            <v>-9.9173553719008267E-2</v>
          </cell>
          <cell r="BO86">
            <v>-3.7341377158310797E-2</v>
          </cell>
          <cell r="BP86">
            <v>4.3082021541010769E-2</v>
          </cell>
          <cell r="BQ86">
            <v>-0.28018223234624146</v>
          </cell>
          <cell r="BR86">
            <v>9.9196976854038742E-3</v>
          </cell>
          <cell r="BS86">
            <v>-0.12849931161083067</v>
          </cell>
          <cell r="BT86">
            <v>-8.6468276249298148E-2</v>
          </cell>
          <cell r="BU86">
            <v>4.3001316366827559E-2</v>
          </cell>
          <cell r="BV86">
            <v>2.6032315978456014E-2</v>
          </cell>
          <cell r="BW86">
            <v>3.1645569620253167E-2</v>
          </cell>
          <cell r="BX86">
            <v>1.2438916037316748E-2</v>
          </cell>
          <cell r="BY86">
            <v>2.8316610925306577E-2</v>
          </cell>
          <cell r="BZ86">
            <v>3.8380430198228593E-2</v>
          </cell>
          <cell r="CA86">
            <v>2.8846153846153848E-2</v>
          </cell>
          <cell r="CB86">
            <v>3.0583873957367932E-2</v>
          </cell>
          <cell r="CC86">
            <v>4.236902050113895E-2</v>
          </cell>
          <cell r="CD86">
            <v>3.5136955545577012E-2</v>
          </cell>
          <cell r="CE86">
            <v>7.59104870557262E-2</v>
          </cell>
          <cell r="CF86">
            <v>6.1911170928667561E-2</v>
          </cell>
          <cell r="CG86">
            <v>5.8797524314765696E-2</v>
          </cell>
          <cell r="CH86">
            <v>4.0247678018575851E-2</v>
          </cell>
          <cell r="CI86">
            <v>5.9240394197763259E-2</v>
          </cell>
          <cell r="CJ86">
            <v>8.5934159897392046E-2</v>
          </cell>
          <cell r="CK86">
            <v>7.4250976986539291E-2</v>
          </cell>
          <cell r="CL86">
            <v>4.2882404951370467E-2</v>
          </cell>
          <cell r="CM86">
            <v>7.1707953063885263E-2</v>
          </cell>
          <cell r="CN86">
            <v>6.8875611080934276E-2</v>
          </cell>
          <cell r="CO86">
            <v>0.10456978180321119</v>
          </cell>
          <cell r="CP86">
            <v>7.1739130434782611E-2</v>
          </cell>
          <cell r="CQ86">
            <v>3.45128877238969E-2</v>
          </cell>
          <cell r="CR86">
            <v>6.587335316617085E-2</v>
          </cell>
          <cell r="CS86">
            <v>6.9683064774303707E-2</v>
          </cell>
          <cell r="CT86">
            <v>8.2296266559614611E-2</v>
          </cell>
          <cell r="CU86">
            <v>7.3319755600814662E-2</v>
          </cell>
          <cell r="CV86">
            <v>6.3040791100123603E-2</v>
          </cell>
          <cell r="CW86">
            <v>8.71870973727632E-2</v>
          </cell>
          <cell r="CX86">
            <v>7.6596522931155708E-2</v>
          </cell>
          <cell r="CY86">
            <v>6.3584701480506128E-2</v>
          </cell>
          <cell r="CZ86">
            <v>8.8007933842888658E-2</v>
          </cell>
          <cell r="DA86">
            <v>7.9157133204164024E-2</v>
          </cell>
          <cell r="DB86">
            <v>0.10256112972586397</v>
          </cell>
          <cell r="DC86">
            <v>8.3554571990388432E-2</v>
          </cell>
          <cell r="DD86">
            <v>8.2900348126245291E-2</v>
          </cell>
          <cell r="DE86">
            <v>9.7293672616393836E-2</v>
          </cell>
          <cell r="DF86">
            <v>8.5954424235373764E-2</v>
          </cell>
          <cell r="DG86">
            <v>0.11100599457928206</v>
          </cell>
          <cell r="DH86">
            <v>9.4432623693686199E-2</v>
          </cell>
          <cell r="DI86">
            <v>8.6454532315401358E-2</v>
          </cell>
          <cell r="DJ86">
            <v>9.6708112802996182E-2</v>
          </cell>
          <cell r="DK86">
            <v>8.7124929773601326E-2</v>
          </cell>
          <cell r="DL86">
            <v>0.1133331421442185</v>
          </cell>
          <cell r="DM86">
            <v>9.6027131839496613E-2</v>
          </cell>
          <cell r="DN86">
            <v>9.0373616077261118E-2</v>
          </cell>
          <cell r="DO86">
            <v>9.8626552607960022E-2</v>
          </cell>
          <cell r="DP86">
            <v>8.9268647706761239E-2</v>
          </cell>
          <cell r="DQ86">
            <v>0.11553083367618271</v>
          </cell>
          <cell r="DR86">
            <v>9.8559486907427177E-2</v>
          </cell>
        </row>
        <row r="87">
          <cell r="B87" t="str">
            <v>Pretax margin</v>
          </cell>
          <cell r="D87">
            <v>0.16446928722834495</v>
          </cell>
          <cell r="E87">
            <v>0.12210394489668124</v>
          </cell>
          <cell r="F87">
            <v>0.12429977289931862</v>
          </cell>
          <cell r="G87">
            <v>2.7129544608054636E-2</v>
          </cell>
          <cell r="H87">
            <v>9.2194092827004206E-2</v>
          </cell>
          <cell r="I87">
            <v>0.18264662356881378</v>
          </cell>
          <cell r="J87">
            <v>0.22678532351010283</v>
          </cell>
          <cell r="K87">
            <v>9.1137649277184235E-2</v>
          </cell>
          <cell r="L87">
            <v>3.8103647354479207E-2</v>
          </cell>
          <cell r="M87">
            <v>0.13167835941716136</v>
          </cell>
          <cell r="N87">
            <v>9.2450994021965729E-2</v>
          </cell>
          <cell r="O87">
            <v>9.6402682745071383E-2</v>
          </cell>
          <cell r="P87">
            <v>-6.4374804416826817E-2</v>
          </cell>
          <cell r="Q87">
            <v>-5.6874046448550805E-2</v>
          </cell>
          <cell r="R87">
            <v>-8.0543090553446099E-3</v>
          </cell>
          <cell r="S87">
            <v>8.537108537108537E-2</v>
          </cell>
          <cell r="T87">
            <v>9.7159324825030882E-2</v>
          </cell>
          <cell r="U87">
            <v>9.6723868954758194E-2</v>
          </cell>
          <cell r="V87">
            <v>-7.8957604045118632E-2</v>
          </cell>
          <cell r="W87">
            <v>4.8509348155634159E-2</v>
          </cell>
          <cell r="X87">
            <v>8.8523305914610259E-2</v>
          </cell>
          <cell r="Y87">
            <v>7.9594225516972303E-2</v>
          </cell>
          <cell r="Z87">
            <v>7.1580439404677537E-2</v>
          </cell>
          <cell r="AA87">
            <v>-5.1325628823929298E-2</v>
          </cell>
          <cell r="AB87">
            <v>4.4209558823529414E-2</v>
          </cell>
          <cell r="AC87">
            <v>7.4486599373477208E-2</v>
          </cell>
          <cell r="AD87">
            <v>0.10107913669064748</v>
          </cell>
          <cell r="AE87">
            <v>2.5964912280701753E-2</v>
          </cell>
          <cell r="AF87">
            <v>2.4046719340432839E-2</v>
          </cell>
          <cell r="AG87">
            <v>5.5983879446294023E-2</v>
          </cell>
          <cell r="AH87">
            <v>9.0909090909090912E-2</v>
          </cell>
          <cell r="AI87">
            <v>0.10154373927958833</v>
          </cell>
          <cell r="AJ87">
            <v>0.1103425559947299</v>
          </cell>
          <cell r="AK87">
            <v>6.4194453100654414E-2</v>
          </cell>
          <cell r="AL87">
            <v>9.1263585829254132E-2</v>
          </cell>
          <cell r="AM87">
            <v>8.4622383985441307E-2</v>
          </cell>
          <cell r="AN87">
            <v>5.5097230406599883E-2</v>
          </cell>
          <cell r="AO87">
            <v>0.13978185993111367</v>
          </cell>
          <cell r="AP87">
            <v>0.12386302835741038</v>
          </cell>
          <cell r="AQ87">
            <v>0.10177531804786889</v>
          </cell>
          <cell r="AR87">
            <v>0.15311909262759923</v>
          </cell>
          <cell r="AS87">
            <v>0.13896241397564849</v>
          </cell>
          <cell r="AT87">
            <v>-2.1975040694519804E-2</v>
          </cell>
          <cell r="AV87">
            <v>0.1362962962962963</v>
          </cell>
          <cell r="AW87">
            <v>0.11720116618075802</v>
          </cell>
          <cell r="AX87">
            <v>0.14967338824197671</v>
          </cell>
          <cell r="AY87">
            <v>2.290294875465216E-3</v>
          </cell>
          <cell r="AZ87">
            <v>0.1010926984586439</v>
          </cell>
          <cell r="BA87">
            <v>2.2885283893395135E-2</v>
          </cell>
          <cell r="BB87">
            <v>-5.5933708197691626E-2</v>
          </cell>
          <cell r="BC87">
            <v>-0.11070670306339096</v>
          </cell>
          <cell r="BD87">
            <v>-0.44294247092109401</v>
          </cell>
          <cell r="BE87">
            <v>-0.1415583439777594</v>
          </cell>
          <cell r="BF87">
            <v>-6.7440989134507304E-3</v>
          </cell>
          <cell r="BG87">
            <v>-0.12568093385214008</v>
          </cell>
          <cell r="BH87">
            <v>-2.7459016393442622E-2</v>
          </cell>
          <cell r="BI87">
            <v>-0.55223880597014929</v>
          </cell>
          <cell r="BJ87">
            <v>-0.17243087900109008</v>
          </cell>
          <cell r="BK87">
            <v>2.3990403838464614E-3</v>
          </cell>
          <cell r="BL87">
            <v>-1.1157024793388429E-2</v>
          </cell>
          <cell r="BM87">
            <v>-0.15622389306599832</v>
          </cell>
          <cell r="BN87">
            <v>-0.13310134841235319</v>
          </cell>
          <cell r="BO87">
            <v>-7.2914499687955062E-2</v>
          </cell>
          <cell r="BP87">
            <v>8.6992543496271744E-3</v>
          </cell>
          <cell r="BQ87">
            <v>-0.31845102505694761</v>
          </cell>
          <cell r="BR87">
            <v>-3.2120925838450637E-2</v>
          </cell>
          <cell r="BS87">
            <v>-0.16796695731987149</v>
          </cell>
          <cell r="BT87">
            <v>-0.1248736664795059</v>
          </cell>
          <cell r="BU87">
            <v>1.3163668275559457E-3</v>
          </cell>
          <cell r="BV87">
            <v>-1.4362657091561939E-2</v>
          </cell>
          <cell r="BW87">
            <v>-1.1301989150090416E-2</v>
          </cell>
          <cell r="BX87">
            <v>-2.8876055086628164E-2</v>
          </cell>
          <cell r="BY87">
            <v>-1.3266443701226311E-2</v>
          </cell>
          <cell r="BZ87">
            <v>-3.3741037536904259E-3</v>
          </cell>
          <cell r="CA87">
            <v>-1.6025641025641024E-2</v>
          </cell>
          <cell r="CB87">
            <v>5.1899907321594066E-2</v>
          </cell>
          <cell r="CC87">
            <v>-5.92255125284738E-3</v>
          </cell>
          <cell r="CD87">
            <v>6.2864840592725636E-3</v>
          </cell>
          <cell r="CE87">
            <v>8.7318999561211058E-2</v>
          </cell>
          <cell r="CF87">
            <v>3.1404217137729925E-3</v>
          </cell>
          <cell r="CG87">
            <v>3.094606542882405E-3</v>
          </cell>
          <cell r="CH87">
            <v>-4.8651039363113669E-3</v>
          </cell>
          <cell r="CI87">
            <v>2.2367401173734914E-2</v>
          </cell>
          <cell r="CJ87">
            <v>3.976058144506199E-2</v>
          </cell>
          <cell r="CK87">
            <v>2.8224055579678681E-2</v>
          </cell>
          <cell r="CL87">
            <v>-2.7409372236958444E-2</v>
          </cell>
          <cell r="CM87">
            <v>2.6944806605823556E-2</v>
          </cell>
          <cell r="CN87">
            <v>1.7164584464964692E-2</v>
          </cell>
          <cell r="CO87">
            <v>5.6401811445039113E-2</v>
          </cell>
          <cell r="CP87">
            <v>2.9565217391304348E-2</v>
          </cell>
          <cell r="CQ87">
            <v>9.1743119266055051E-3</v>
          </cell>
          <cell r="CR87">
            <v>-2.6349341266468339E-2</v>
          </cell>
          <cell r="CS87">
            <v>1.7500800341479029E-2</v>
          </cell>
          <cell r="CT87">
            <v>4.3356081894821354E-2</v>
          </cell>
          <cell r="CU87">
            <v>3.1771894093686352E-2</v>
          </cell>
          <cell r="CV87">
            <v>2.1013597033374538E-2</v>
          </cell>
          <cell r="CW87">
            <v>4.4330011832997049E-2</v>
          </cell>
          <cell r="CX87">
            <v>3.5253337393333466E-2</v>
          </cell>
          <cell r="CY87">
            <v>2.2285428090050706E-2</v>
          </cell>
          <cell r="CZ87">
            <v>4.7957754708428932E-2</v>
          </cell>
          <cell r="DA87">
            <v>3.9007102958546404E-2</v>
          </cell>
          <cell r="DB87">
            <v>6.3472420188419795E-2</v>
          </cell>
          <cell r="DC87">
            <v>4.3420010564393721E-2</v>
          </cell>
          <cell r="DD87">
            <v>4.3734163237075088E-2</v>
          </cell>
          <cell r="DE87">
            <v>5.8792743916411351E-2</v>
          </cell>
          <cell r="DF87">
            <v>4.7155765582172958E-2</v>
          </cell>
          <cell r="DG87">
            <v>7.3449462309427782E-2</v>
          </cell>
          <cell r="DH87">
            <v>5.5934890810694943E-2</v>
          </cell>
          <cell r="DI87">
            <v>4.9616617096353025E-2</v>
          </cell>
          <cell r="DJ87">
            <v>6.0049705404054111E-2</v>
          </cell>
          <cell r="DK87">
            <v>5.018454431622691E-2</v>
          </cell>
          <cell r="DL87">
            <v>7.8413941821187563E-2</v>
          </cell>
          <cell r="DM87">
            <v>5.9697578740345175E-2</v>
          </cell>
          <cell r="DN87">
            <v>5.6253251169633936E-2</v>
          </cell>
          <cell r="DO87">
            <v>6.4596819269733111E-2</v>
          </cell>
          <cell r="DP87">
            <v>5.4988961033398245E-2</v>
          </cell>
          <cell r="DQ87">
            <v>8.226675556266741E-2</v>
          </cell>
          <cell r="DR87">
            <v>6.4640213353704817E-2</v>
          </cell>
        </row>
        <row r="88">
          <cell r="B88" t="str">
            <v>Net Income - Operating</v>
          </cell>
          <cell r="D88">
            <v>6.0330244868093678E-2</v>
          </cell>
          <cell r="E88">
            <v>7.2323105823418873E-2</v>
          </cell>
          <cell r="F88">
            <v>7.4034822104466241E-2</v>
          </cell>
          <cell r="G88">
            <v>4.7656051408405078E-2</v>
          </cell>
          <cell r="H88">
            <v>6.0188116335141643E-2</v>
          </cell>
          <cell r="I88">
            <v>4.5070207960121525E-2</v>
          </cell>
          <cell r="J88">
            <v>4.8117514041870306E-2</v>
          </cell>
          <cell r="K88">
            <v>4.9374956351700618E-2</v>
          </cell>
          <cell r="L88">
            <v>5.1369435576988219E-2</v>
          </cell>
          <cell r="M88">
            <v>4.8598877495952507E-2</v>
          </cell>
          <cell r="N88">
            <v>5.0326706520227929E-2</v>
          </cell>
          <cell r="O88">
            <v>5.2028995325519863E-2</v>
          </cell>
          <cell r="P88">
            <v>5.3746678861793559E-2</v>
          </cell>
          <cell r="Q88">
            <v>4.9520838010412321E-2</v>
          </cell>
          <cell r="R88">
            <v>5.1167874813024969E-2</v>
          </cell>
          <cell r="S88">
            <v>4.9764049764049766E-2</v>
          </cell>
          <cell r="T88">
            <v>5.2305952736225021E-2</v>
          </cell>
          <cell r="U88">
            <v>5.7722308892355696E-2</v>
          </cell>
          <cell r="V88">
            <v>5.6836433607043726E-2</v>
          </cell>
          <cell r="W88">
            <v>5.4287784739767558E-2</v>
          </cell>
          <cell r="X88">
            <v>5.3662358010184097E-2</v>
          </cell>
          <cell r="Y88">
            <v>4.8770971517752636E-2</v>
          </cell>
          <cell r="Z88">
            <v>4.3940467753366408E-2</v>
          </cell>
          <cell r="AA88">
            <v>4.5041454792658073E-2</v>
          </cell>
          <cell r="AB88">
            <v>4.7657349264705884E-2</v>
          </cell>
          <cell r="AC88">
            <v>4.194790806449044E-2</v>
          </cell>
          <cell r="AD88">
            <v>3.2947759439507222E-2</v>
          </cell>
          <cell r="AE88">
            <v>6.0861139777548451E-2</v>
          </cell>
          <cell r="AF88">
            <v>6.3014304542382632E-2</v>
          </cell>
          <cell r="AG88">
            <v>4.9851060101629575E-2</v>
          </cell>
          <cell r="AH88">
            <v>5.3231939163498096E-2</v>
          </cell>
          <cell r="AI88">
            <v>6.0034305317324184E-2</v>
          </cell>
          <cell r="AJ88">
            <v>6.5217391304347824E-2</v>
          </cell>
          <cell r="AK88">
            <v>7.0115300716734191E-2</v>
          </cell>
          <cell r="AL88">
            <v>6.2391105948726461E-2</v>
          </cell>
          <cell r="AM88">
            <v>6.7940552016985137E-2</v>
          </cell>
          <cell r="AN88">
            <v>7.6016499705362409E-2</v>
          </cell>
          <cell r="AO88">
            <v>8.2663605051664757E-2</v>
          </cell>
          <cell r="AP88">
            <v>8.5874799357945425E-2</v>
          </cell>
          <cell r="AQ88">
            <v>7.8415870049593911E-2</v>
          </cell>
          <cell r="AR88">
            <v>9.2087496624358625E-2</v>
          </cell>
          <cell r="AS88">
            <v>9.3965060878771836E-2</v>
          </cell>
          <cell r="AT88">
            <v>5.1546391752577317E-2</v>
          </cell>
          <cell r="AV88">
            <v>8.4444444444444447E-2</v>
          </cell>
          <cell r="AW88">
            <v>8.3381924198250731E-2</v>
          </cell>
          <cell r="AX88">
            <v>8.888099971598977E-2</v>
          </cell>
          <cell r="AY88">
            <v>5.794446034926997E-2</v>
          </cell>
          <cell r="AZ88">
            <v>7.8612779506476604E-2</v>
          </cell>
          <cell r="BA88">
            <v>-3.8238702201622246E-2</v>
          </cell>
          <cell r="BB88">
            <v>5.7117490381769755E-2</v>
          </cell>
          <cell r="BC88">
            <v>-2.2444646648468305E-2</v>
          </cell>
          <cell r="BD88">
            <v>1.0374096196164728E-2</v>
          </cell>
          <cell r="BE88">
            <v>1.502742505071756E-3</v>
          </cell>
          <cell r="BF88">
            <v>9.619876160746204E-3</v>
          </cell>
          <cell r="BG88">
            <v>-1.1673151750972763E-2</v>
          </cell>
          <cell r="BH88">
            <v>-1.5983606557377048E-2</v>
          </cell>
          <cell r="BI88">
            <v>-1.1194029850746268E-2</v>
          </cell>
          <cell r="BJ88">
            <v>-6.9690368176561612E-3</v>
          </cell>
          <cell r="BK88">
            <v>7.9968012794882047E-3</v>
          </cell>
          <cell r="BL88">
            <v>-5.4429318181818181E-3</v>
          </cell>
          <cell r="BM88">
            <v>-0.12555783834586468</v>
          </cell>
          <cell r="BN88">
            <v>-8.7272805567638098E-2</v>
          </cell>
          <cell r="BO88">
            <v>1.768254628666528E-3</v>
          </cell>
          <cell r="BP88">
            <v>9.5277547638773826E-3</v>
          </cell>
          <cell r="BQ88">
            <v>0.13530751708428246</v>
          </cell>
          <cell r="BR88">
            <v>-1.4170996693434106E-3</v>
          </cell>
          <cell r="BS88">
            <v>5.0481872418540611E-3</v>
          </cell>
          <cell r="BT88">
            <v>3.6833239752947784E-2</v>
          </cell>
          <cell r="BU88">
            <v>4.0807371654234315E-2</v>
          </cell>
          <cell r="BV88">
            <v>-5.8348294434470375E-3</v>
          </cell>
          <cell r="BW88">
            <v>-3.616636528028933E-3</v>
          </cell>
          <cell r="BX88">
            <v>-4.0426477121279433E-2</v>
          </cell>
          <cell r="BY88">
            <v>-2.1181716833890748E-3</v>
          </cell>
          <cell r="BZ88">
            <v>1.5183466891606916E-2</v>
          </cell>
          <cell r="CA88">
            <v>-5.9523809523809521E-3</v>
          </cell>
          <cell r="CB88">
            <v>-3.5681186283595921E-2</v>
          </cell>
          <cell r="CC88">
            <v>4.5558086560364467E-4</v>
          </cell>
          <cell r="CD88">
            <v>-5.9497081275258195E-3</v>
          </cell>
          <cell r="CE88">
            <v>-4.8266783677051337E-3</v>
          </cell>
          <cell r="CF88">
            <v>7.6267384477344104E-3</v>
          </cell>
          <cell r="CG88">
            <v>1.1052166224580018E-2</v>
          </cell>
          <cell r="CH88">
            <v>6.6342326404245913E-3</v>
          </cell>
          <cell r="CI88">
            <v>5.0935666039198316E-3</v>
          </cell>
          <cell r="CJ88">
            <v>2.2231722958529286E-2</v>
          </cell>
          <cell r="CK88">
            <v>1.2592270950933565E-2</v>
          </cell>
          <cell r="CL88">
            <v>4.8629531388152082E-3</v>
          </cell>
          <cell r="CM88">
            <v>1.9991308126901346E-2</v>
          </cell>
          <cell r="CN88">
            <v>1.4991852254209669E-2</v>
          </cell>
          <cell r="CO88">
            <v>3.7875668999588309E-2</v>
          </cell>
          <cell r="CP88">
            <v>1.9130434782608695E-2</v>
          </cell>
          <cell r="CQ88">
            <v>7.4268239405854081E-3</v>
          </cell>
          <cell r="CR88">
            <v>4.1648958776030601E-2</v>
          </cell>
          <cell r="CS88">
            <v>2.6784761498239249E-2</v>
          </cell>
          <cell r="CT88">
            <v>2.4889602569249297E-2</v>
          </cell>
          <cell r="CU88">
            <v>2.6476578411405296E-2</v>
          </cell>
          <cell r="CV88">
            <v>4.3881334981458594E-3</v>
          </cell>
          <cell r="CW88">
            <v>2.902113778585266E-2</v>
          </cell>
          <cell r="CX88">
            <v>2.5083877353458493E-2</v>
          </cell>
          <cell r="CY88">
            <v>5.4143150787981384E-3</v>
          </cell>
          <cell r="CZ88">
            <v>2.1286153057375943E-2</v>
          </cell>
          <cell r="DA88">
            <v>1.5766436759757738E-2</v>
          </cell>
          <cell r="DB88">
            <v>3.0897302899827138E-2</v>
          </cell>
          <cell r="DC88">
            <v>1.8489114551510488E-2</v>
          </cell>
          <cell r="DD88">
            <v>1.8475170263410605E-2</v>
          </cell>
          <cell r="DE88">
            <v>2.779280967569156E-2</v>
          </cell>
          <cell r="DF88">
            <v>2.0623966053594272E-2</v>
          </cell>
          <cell r="DG88">
            <v>3.688507283439809E-2</v>
          </cell>
          <cell r="DH88">
            <v>2.6038280032679349E-2</v>
          </cell>
          <cell r="DI88">
            <v>2.4539522828909269E-2</v>
          </cell>
          <cell r="DJ88">
            <v>3.0939391606378281E-2</v>
          </cell>
          <cell r="DK88">
            <v>2.4874578404176648E-2</v>
          </cell>
          <cell r="DL88">
            <v>4.2263192597865637E-2</v>
          </cell>
          <cell r="DM88">
            <v>3.0735080224353263E-2</v>
          </cell>
          <cell r="DN88">
            <v>2.8777255775521073E-2</v>
          </cell>
          <cell r="DO88">
            <v>3.3887260404438908E-2</v>
          </cell>
          <cell r="DP88">
            <v>2.7981651587764528E-2</v>
          </cell>
          <cell r="DQ88">
            <v>4.4780109674403844E-2</v>
          </cell>
          <cell r="DR88">
            <v>3.392662020237109E-2</v>
          </cell>
        </row>
        <row r="89">
          <cell r="B89" t="str">
            <v>Expenses</v>
          </cell>
        </row>
        <row r="90">
          <cell r="B90" t="str">
            <v>Provision for doubtful accounts</v>
          </cell>
          <cell r="D90">
            <v>3.9401962781084279E-2</v>
          </cell>
          <cell r="E90">
            <v>3.240450845335003E-2</v>
          </cell>
          <cell r="F90">
            <v>3.3459500378501136E-2</v>
          </cell>
          <cell r="G90">
            <v>5.0213701216566542E-2</v>
          </cell>
          <cell r="H90">
            <v>4.1289933694996984E-2</v>
          </cell>
          <cell r="I90">
            <v>5.2418412648960196E-2</v>
          </cell>
          <cell r="J90">
            <v>5.0842512218250785E-2</v>
          </cell>
          <cell r="K90">
            <v>5.0213003701375797E-2</v>
          </cell>
          <cell r="L90">
            <v>5.5083882360931882E-2</v>
          </cell>
          <cell r="M90">
            <v>5.216765605324699E-2</v>
          </cell>
          <cell r="N90">
            <v>5.1786459057416939E-2</v>
          </cell>
          <cell r="O90">
            <v>5.3316170991125268E-2</v>
          </cell>
          <cell r="P90">
            <v>5.7266753095802224E-2</v>
          </cell>
          <cell r="Q90">
            <v>6.0094931344295666E-2</v>
          </cell>
          <cell r="R90">
            <v>5.6840409619146243E-2</v>
          </cell>
          <cell r="S90">
            <v>6.3492063492063489E-2</v>
          </cell>
          <cell r="T90">
            <v>5.5990119390695758E-2</v>
          </cell>
          <cell r="U90">
            <v>6.3572542901716073E-2</v>
          </cell>
          <cell r="V90">
            <v>5.4842473745624273E-2</v>
          </cell>
          <cell r="W90">
            <v>5.9423951490651841E-2</v>
          </cell>
          <cell r="X90">
            <v>6.2279670975323151E-2</v>
          </cell>
          <cell r="Y90">
            <v>7.1790870074131874E-2</v>
          </cell>
          <cell r="Z90">
            <v>6.7328136073706593E-2</v>
          </cell>
          <cell r="AA90">
            <v>7.1380013596193059E-2</v>
          </cell>
          <cell r="AB90">
            <v>6.8290441176470582E-2</v>
          </cell>
          <cell r="AC90">
            <v>7.76192133658197E-2</v>
          </cell>
          <cell r="AD90">
            <v>7.5539568345323743E-2</v>
          </cell>
          <cell r="AE90">
            <v>7.508771929824562E-2</v>
          </cell>
          <cell r="AF90">
            <v>7.007901064926142E-2</v>
          </cell>
          <cell r="AG90">
            <v>7.4557560890134919E-2</v>
          </cell>
          <cell r="AH90">
            <v>7.3625993778085028E-2</v>
          </cell>
          <cell r="AI90">
            <v>7.0668953687821612E-2</v>
          </cell>
          <cell r="AJ90">
            <v>7.2134387351778656E-2</v>
          </cell>
          <cell r="AK90">
            <v>6.575257089435961E-2</v>
          </cell>
          <cell r="AL90">
            <v>7.0438894880942501E-2</v>
          </cell>
          <cell r="AM90">
            <v>7.4613284804367602E-2</v>
          </cell>
          <cell r="AN90">
            <v>7.6016499705362409E-2</v>
          </cell>
          <cell r="AO90">
            <v>6.7738231917336397E-2</v>
          </cell>
          <cell r="AP90">
            <v>6.5810593900481537E-2</v>
          </cell>
          <cell r="AQ90">
            <v>7.0868971465535835E-2</v>
          </cell>
          <cell r="AR90">
            <v>7.4804212800432077E-2</v>
          </cell>
          <cell r="AS90">
            <v>7.7024880889359451E-2</v>
          </cell>
          <cell r="AT90">
            <v>8.247422680412371E-2</v>
          </cell>
          <cell r="AV90">
            <v>6.6666666666666666E-2</v>
          </cell>
          <cell r="AW90">
            <v>6.3848396501457724E-2</v>
          </cell>
          <cell r="AX90">
            <v>7.3842658335700084E-2</v>
          </cell>
          <cell r="AY90">
            <v>7.7583738906384203E-2</v>
          </cell>
          <cell r="AZ90">
            <v>7.0555032925682035E-2</v>
          </cell>
          <cell r="BA90">
            <v>7.9374275782155279E-2</v>
          </cell>
          <cell r="BB90">
            <v>8.5232317253625331E-2</v>
          </cell>
          <cell r="BC90">
            <v>0.15832575068243859</v>
          </cell>
          <cell r="BD90">
            <v>0.11442942470921094</v>
          </cell>
          <cell r="BE90">
            <v>0.10879855736719513</v>
          </cell>
          <cell r="BF90">
            <v>0.10977894342450356</v>
          </cell>
          <cell r="BG90">
            <v>0.19416342412451362</v>
          </cell>
          <cell r="BH90">
            <v>0.10368852459016394</v>
          </cell>
          <cell r="BI90">
            <v>8.0845771144278614E-2</v>
          </cell>
          <cell r="BJ90">
            <v>0.12288177583985729</v>
          </cell>
          <cell r="BK90">
            <v>6.6773290683726505E-2</v>
          </cell>
          <cell r="BL90">
            <v>6.3223140495867775E-2</v>
          </cell>
          <cell r="BM90">
            <v>8.6048454469507096E-2</v>
          </cell>
          <cell r="BN90">
            <v>7.4815137016093949E-2</v>
          </cell>
          <cell r="BO90">
            <v>7.2602454753484508E-2</v>
          </cell>
          <cell r="BP90">
            <v>5.7166528583264292E-2</v>
          </cell>
          <cell r="BQ90">
            <v>5.8314350797266518E-2</v>
          </cell>
          <cell r="BR90">
            <v>7.4161549362305151E-2</v>
          </cell>
          <cell r="BS90">
            <v>5.6906837999082145E-2</v>
          </cell>
          <cell r="BT90">
            <v>6.1426165075800114E-2</v>
          </cell>
          <cell r="BU90">
            <v>6.1869240895129442E-2</v>
          </cell>
          <cell r="BV90">
            <v>6.7773788150807895E-2</v>
          </cell>
          <cell r="BW90">
            <v>7.1880650994575052E-2</v>
          </cell>
          <cell r="BX90">
            <v>5.9529098178587293E-2</v>
          </cell>
          <cell r="BY90">
            <v>6.5217391304347824E-2</v>
          </cell>
          <cell r="BZ90">
            <v>6.2842682412484183E-2</v>
          </cell>
          <cell r="CA90">
            <v>7.0512820512820512E-2</v>
          </cell>
          <cell r="CB90">
            <v>7.6923076923076927E-2</v>
          </cell>
          <cell r="CC90">
            <v>7.5626423690205016E-2</v>
          </cell>
          <cell r="CD90">
            <v>7.1284238886394249E-2</v>
          </cell>
          <cell r="CE90">
            <v>6.8451075032909175E-2</v>
          </cell>
          <cell r="CF90">
            <v>7.4921489457155668E-2</v>
          </cell>
          <cell r="CG90">
            <v>8.532272325375774E-2</v>
          </cell>
          <cell r="CH90">
            <v>8.0053073861123397E-2</v>
          </cell>
          <cell r="CI90">
            <v>7.7178607020263537E-2</v>
          </cell>
          <cell r="CJ90">
            <v>8.0803762291577597E-2</v>
          </cell>
          <cell r="CK90">
            <v>7.5119409465914028E-2</v>
          </cell>
          <cell r="CL90">
            <v>8.267020335985853E-2</v>
          </cell>
          <cell r="CM90">
            <v>8.3007388092133857E-2</v>
          </cell>
          <cell r="CN90">
            <v>8.039109179793591E-2</v>
          </cell>
          <cell r="CO90">
            <v>7.369287772745986E-2</v>
          </cell>
          <cell r="CP90">
            <v>7.3043478260869571E-2</v>
          </cell>
          <cell r="CQ90">
            <v>8.2568807339449546E-2</v>
          </cell>
          <cell r="CR90">
            <v>7.6923076923076927E-2</v>
          </cell>
          <cell r="CS90">
            <v>7.6512645395368686E-2</v>
          </cell>
          <cell r="CT90">
            <v>7.5873143315937377E-2</v>
          </cell>
          <cell r="CU90">
            <v>7.7393075356415472E-2</v>
          </cell>
          <cell r="CV90">
            <v>8.4878450762257932E-2</v>
          </cell>
          <cell r="CW90">
            <v>8.2401127524428089E-2</v>
          </cell>
          <cell r="CX90">
            <v>8.0123652687612429E-2</v>
          </cell>
          <cell r="CY90">
            <v>7.7054552049793071E-2</v>
          </cell>
          <cell r="CZ90">
            <v>7.6507022078941181E-2</v>
          </cell>
          <cell r="DA90">
            <v>8.3630813295141701E-2</v>
          </cell>
          <cell r="DB90">
            <v>8.235371216437698E-2</v>
          </cell>
          <cell r="DC90">
            <v>7.9909567877343921E-2</v>
          </cell>
          <cell r="DD90">
            <v>6.1245607163135596E-2</v>
          </cell>
          <cell r="DE90">
            <v>6.0003348446912338E-2</v>
          </cell>
          <cell r="DF90">
            <v>6.6117164100963688E-2</v>
          </cell>
          <cell r="DG90">
            <v>6.5395929986680895E-2</v>
          </cell>
          <cell r="DH90">
            <v>6.3202590628234842E-2</v>
          </cell>
          <cell r="DI90">
            <v>5.3708221519859566E-2</v>
          </cell>
          <cell r="DJ90">
            <v>5.3423839359143611E-2</v>
          </cell>
          <cell r="DK90">
            <v>5.9094579347081184E-2</v>
          </cell>
          <cell r="DL90">
            <v>5.8548672805782957E-2</v>
          </cell>
          <cell r="DM90">
            <v>5.6202532698828987E-2</v>
          </cell>
          <cell r="DN90">
            <v>4.928169635116602E-2</v>
          </cell>
          <cell r="DO90">
            <v>4.8940483217617396E-2</v>
          </cell>
          <cell r="DP90">
            <v>5.4287478450490763E-2</v>
          </cell>
          <cell r="DQ90">
            <v>5.4014949450804949E-2</v>
          </cell>
          <cell r="DR90">
            <v>5.1638444333331222E-2</v>
          </cell>
        </row>
        <row r="91">
          <cell r="B91" t="str">
            <v>Salaries, wages &amp; benefits</v>
          </cell>
          <cell r="D91">
            <v>0.77549918154593522</v>
          </cell>
          <cell r="E91">
            <v>0.42736380713838451</v>
          </cell>
          <cell r="F91">
            <v>0.41680545041635125</v>
          </cell>
          <cell r="G91">
            <v>0.22470673702765395</v>
          </cell>
          <cell r="H91">
            <v>0.41199517781796263</v>
          </cell>
          <cell r="I91">
            <v>0.3911519588753018</v>
          </cell>
          <cell r="J91">
            <v>0.39733022102268584</v>
          </cell>
          <cell r="K91">
            <v>0.39793281653746765</v>
          </cell>
          <cell r="L91">
            <v>0.39210758676900093</v>
          </cell>
          <cell r="M91">
            <v>0.39467530131318584</v>
          </cell>
          <cell r="N91">
            <v>0.39531488947587939</v>
          </cell>
          <cell r="O91">
            <v>0.39387575367522526</v>
          </cell>
          <cell r="P91">
            <v>0.40726004738700877</v>
          </cell>
          <cell r="Q91">
            <v>0.42744532971690125</v>
          </cell>
          <cell r="R91">
            <v>0.41123000805430904</v>
          </cell>
          <cell r="S91">
            <v>0.4144144144144144</v>
          </cell>
          <cell r="T91">
            <v>0.41457389872375461</v>
          </cell>
          <cell r="U91">
            <v>0.40561622464898595</v>
          </cell>
          <cell r="V91">
            <v>0.40412290937378453</v>
          </cell>
          <cell r="W91">
            <v>0.409499747347145</v>
          </cell>
          <cell r="X91">
            <v>0.39874657265961616</v>
          </cell>
          <cell r="Y91">
            <v>0.4053843152555599</v>
          </cell>
          <cell r="Z91">
            <v>0.41105598866052445</v>
          </cell>
          <cell r="AA91">
            <v>0.40618626784500339</v>
          </cell>
          <cell r="AB91">
            <v>0.40551470588235294</v>
          </cell>
          <cell r="AC91">
            <v>0.40410720501218239</v>
          </cell>
          <cell r="AD91">
            <v>0.39928057553956836</v>
          </cell>
          <cell r="AE91">
            <v>0.39333333333333331</v>
          </cell>
          <cell r="AF91">
            <v>0.38337341119890073</v>
          </cell>
          <cell r="AG91">
            <v>0.3949535657963904</v>
          </cell>
          <cell r="AH91">
            <v>0.38817836156239199</v>
          </cell>
          <cell r="AI91">
            <v>0.3876500857632933</v>
          </cell>
          <cell r="AJ91">
            <v>0.38801054018445325</v>
          </cell>
          <cell r="AK91">
            <v>0.38921782486756001</v>
          </cell>
          <cell r="AL91">
            <v>0.38828507425537212</v>
          </cell>
          <cell r="AM91">
            <v>0.3851986654534425</v>
          </cell>
          <cell r="AN91">
            <v>0.38302887448438422</v>
          </cell>
          <cell r="AO91">
            <v>0.38777267508610791</v>
          </cell>
          <cell r="AP91">
            <v>0.3812199036918138</v>
          </cell>
          <cell r="AQ91">
            <v>0.38424495076547116</v>
          </cell>
          <cell r="AR91">
            <v>0.38428301377261681</v>
          </cell>
          <cell r="AS91">
            <v>0.38300688194812071</v>
          </cell>
          <cell r="AT91">
            <v>0.39365165491047205</v>
          </cell>
          <cell r="AV91">
            <v>0.39674074074074073</v>
          </cell>
          <cell r="AW91">
            <v>0.39446064139941689</v>
          </cell>
          <cell r="AX91">
            <v>0.39079806873047429</v>
          </cell>
          <cell r="AY91">
            <v>0.38763240767248786</v>
          </cell>
          <cell r="AZ91">
            <v>0.39235834720312612</v>
          </cell>
          <cell r="BA91">
            <v>0.42352259559675548</v>
          </cell>
          <cell r="BB91">
            <v>0.43622373483279075</v>
          </cell>
          <cell r="BC91">
            <v>0.43069457082195933</v>
          </cell>
          <cell r="BD91">
            <v>0.44231373781829614</v>
          </cell>
          <cell r="BE91">
            <v>0.4330152528364265</v>
          </cell>
          <cell r="BF91">
            <v>0.42937429748969652</v>
          </cell>
          <cell r="BG91">
            <v>0.44007782101167314</v>
          </cell>
          <cell r="BH91">
            <v>0.44180327868852459</v>
          </cell>
          <cell r="BI91">
            <v>0.44610281923714762</v>
          </cell>
          <cell r="BJ91">
            <v>0.43910415221484489</v>
          </cell>
          <cell r="BK91">
            <v>0.44942023190723712</v>
          </cell>
          <cell r="BL91">
            <v>0.46033057851239667</v>
          </cell>
          <cell r="BM91">
            <v>0.45906432748538012</v>
          </cell>
          <cell r="BN91">
            <v>0.45715528490648105</v>
          </cell>
          <cell r="BO91">
            <v>0.45641772415227794</v>
          </cell>
          <cell r="BP91">
            <v>0.44531897265948633</v>
          </cell>
          <cell r="BQ91">
            <v>0.43872437357630978</v>
          </cell>
          <cell r="BR91">
            <v>0.45016532829475675</v>
          </cell>
          <cell r="BS91">
            <v>0.45250114731528224</v>
          </cell>
          <cell r="BT91">
            <v>0.44660303200449186</v>
          </cell>
          <cell r="BU91">
            <v>0.44712593242650284</v>
          </cell>
          <cell r="BV91">
            <v>0.44569120287253144</v>
          </cell>
          <cell r="BW91">
            <v>0.44439421338155516</v>
          </cell>
          <cell r="BX91">
            <v>0.45446468236339405</v>
          </cell>
          <cell r="BY91">
            <v>0.44793756967670012</v>
          </cell>
          <cell r="BZ91">
            <v>0.43694643610291017</v>
          </cell>
          <cell r="CA91">
            <v>0.44276556776556775</v>
          </cell>
          <cell r="CB91">
            <v>0.44114921223354958</v>
          </cell>
          <cell r="CC91">
            <v>0.4405466970387244</v>
          </cell>
          <cell r="CD91">
            <v>0.44027840143691066</v>
          </cell>
          <cell r="CE91">
            <v>0.42781921895568231</v>
          </cell>
          <cell r="CF91">
            <v>0.42575145805293851</v>
          </cell>
          <cell r="CG91">
            <v>0.4217506631299735</v>
          </cell>
          <cell r="CH91">
            <v>0.43741707209199471</v>
          </cell>
          <cell r="CI91">
            <v>0.42819178385560847</v>
          </cell>
          <cell r="CJ91">
            <v>0.42197520307823855</v>
          </cell>
          <cell r="CK91">
            <v>0.42075553625705603</v>
          </cell>
          <cell r="CL91">
            <v>0.43191865605658708</v>
          </cell>
          <cell r="CM91">
            <v>0.42025206431986095</v>
          </cell>
          <cell r="CN91">
            <v>0.42368278109722979</v>
          </cell>
          <cell r="CO91">
            <v>0.41869081926718815</v>
          </cell>
          <cell r="CP91">
            <v>0.42695652173913046</v>
          </cell>
          <cell r="CQ91">
            <v>0.43774574049803405</v>
          </cell>
          <cell r="CR91">
            <v>0.43093922651933703</v>
          </cell>
          <cell r="CS91">
            <v>0.42844947177462384</v>
          </cell>
          <cell r="CT91">
            <v>0.42633480529907669</v>
          </cell>
          <cell r="CU91">
            <v>0.42932790224032585</v>
          </cell>
          <cell r="CV91">
            <v>0.43263288009888751</v>
          </cell>
          <cell r="CW91">
            <v>0.42547713690944761</v>
          </cell>
          <cell r="CX91">
            <v>0.42840254594356081</v>
          </cell>
          <cell r="CY91">
            <v>0.43487286945152259</v>
          </cell>
          <cell r="CZ91">
            <v>0.42266770470796189</v>
          </cell>
          <cell r="DA91">
            <v>0.42452084734316659</v>
          </cell>
          <cell r="DB91">
            <v>0.41681706462301871</v>
          </cell>
          <cell r="DC91">
            <v>0.42461673372515107</v>
          </cell>
          <cell r="DD91">
            <v>0.43339103238274723</v>
          </cell>
          <cell r="DE91">
            <v>0.42657390712235665</v>
          </cell>
          <cell r="DF91">
            <v>0.43020662051948161</v>
          </cell>
          <cell r="DG91">
            <v>0.42138834056045332</v>
          </cell>
          <cell r="DH91">
            <v>0.42783164897870035</v>
          </cell>
          <cell r="DI91">
            <v>0.43540818077996185</v>
          </cell>
          <cell r="DJ91">
            <v>0.42969695676818875</v>
          </cell>
          <cell r="DK91">
            <v>0.43243636405443225</v>
          </cell>
          <cell r="DL91">
            <v>0.42304328574954536</v>
          </cell>
          <cell r="DM91">
            <v>0.43009794989386818</v>
          </cell>
          <cell r="DN91">
            <v>0.43589690506988787</v>
          </cell>
          <cell r="DO91">
            <v>0.43149222981318625</v>
          </cell>
          <cell r="DP91">
            <v>0.43425808099073393</v>
          </cell>
          <cell r="DQ91">
            <v>0.42464616494652552</v>
          </cell>
          <cell r="DR91">
            <v>0.43153075457479961</v>
          </cell>
        </row>
        <row r="92">
          <cell r="B92" t="str">
            <v>Supplies</v>
          </cell>
          <cell r="D92">
            <v>0</v>
          </cell>
          <cell r="E92">
            <v>0.12288666249217284</v>
          </cell>
          <cell r="F92">
            <v>0.12717638152914459</v>
          </cell>
          <cell r="G92">
            <v>0.19876610134489792</v>
          </cell>
          <cell r="H92">
            <v>0.1301989150090416</v>
          </cell>
          <cell r="I92">
            <v>0.13918529480489134</v>
          </cell>
          <cell r="J92">
            <v>0.13567729228973666</v>
          </cell>
          <cell r="K92">
            <v>0.13967455827920944</v>
          </cell>
          <cell r="L92">
            <v>0.13536643347143923</v>
          </cell>
          <cell r="M92">
            <v>0.13743479042993345</v>
          </cell>
          <cell r="N92">
            <v>0.13276796885861256</v>
          </cell>
          <cell r="O92">
            <v>0.13826976492107582</v>
          </cell>
          <cell r="P92">
            <v>0.14104340828825607</v>
          </cell>
          <cell r="Q92">
            <v>0.13742442221845511</v>
          </cell>
          <cell r="R92">
            <v>0.13772868484639281</v>
          </cell>
          <cell r="S92">
            <v>0.1377091377091377</v>
          </cell>
          <cell r="T92">
            <v>0.13585837793330588</v>
          </cell>
          <cell r="U92">
            <v>0.14235569422776911</v>
          </cell>
          <cell r="V92">
            <v>0.13963438350836249</v>
          </cell>
          <cell r="W92">
            <v>0.13895907023749368</v>
          </cell>
          <cell r="X92">
            <v>0.13709361535448492</v>
          </cell>
          <cell r="Y92">
            <v>0.1369488880218494</v>
          </cell>
          <cell r="Z92">
            <v>0.14280652019844081</v>
          </cell>
          <cell r="AA92">
            <v>0.14309993201903468</v>
          </cell>
          <cell r="AB92">
            <v>0.14016544117647059</v>
          </cell>
          <cell r="AC92">
            <v>0.14166376609815523</v>
          </cell>
          <cell r="AD92">
            <v>0.13920863309352519</v>
          </cell>
          <cell r="AE92">
            <v>0.14070175438596491</v>
          </cell>
          <cell r="AF92">
            <v>0.13740982480247338</v>
          </cell>
          <cell r="AG92">
            <v>0.13974066935342561</v>
          </cell>
          <cell r="AH92">
            <v>0.13964742481852749</v>
          </cell>
          <cell r="AI92">
            <v>0.13893653516295026</v>
          </cell>
          <cell r="AJ92">
            <v>0.13833992094861661</v>
          </cell>
          <cell r="AK92">
            <v>0.13960735431598628</v>
          </cell>
          <cell r="AL92">
            <v>0.13913548494150835</v>
          </cell>
          <cell r="AM92">
            <v>0.14134061267819228</v>
          </cell>
          <cell r="AN92">
            <v>0.13936358279316441</v>
          </cell>
          <cell r="AO92">
            <v>0.1423650975889782</v>
          </cell>
          <cell r="AP92">
            <v>0.1404494382022472</v>
          </cell>
          <cell r="AQ92">
            <v>0.14087544023575074</v>
          </cell>
          <cell r="AR92">
            <v>0.14285714285714285</v>
          </cell>
          <cell r="AS92">
            <v>0.14187400741132875</v>
          </cell>
          <cell r="AT92">
            <v>0.15138361367335865</v>
          </cell>
          <cell r="AV92">
            <v>0.1448888888888889</v>
          </cell>
          <cell r="AW92">
            <v>0.13848396501457727</v>
          </cell>
          <cell r="AX92">
            <v>0.14228912240840672</v>
          </cell>
          <cell r="AY92">
            <v>0.14257085599770972</v>
          </cell>
          <cell r="AZ92">
            <v>0.14205079962370648</v>
          </cell>
          <cell r="BA92">
            <v>0.15266512166859791</v>
          </cell>
          <cell r="BB92">
            <v>0.1553714116602545</v>
          </cell>
          <cell r="BC92">
            <v>0.15802244464664847</v>
          </cell>
          <cell r="BD92">
            <v>0.1675573718956303</v>
          </cell>
          <cell r="BE92">
            <v>0.1582387857840559</v>
          </cell>
          <cell r="BF92">
            <v>0.1682278006744099</v>
          </cell>
          <cell r="BG92">
            <v>0.17003891050583658</v>
          </cell>
          <cell r="BH92">
            <v>0.17336065573770493</v>
          </cell>
          <cell r="BI92">
            <v>0.18407960199004975</v>
          </cell>
          <cell r="BJ92">
            <v>0.17371915568328214</v>
          </cell>
          <cell r="BK92">
            <v>0.18272690923630547</v>
          </cell>
          <cell r="BL92">
            <v>0.18471074380165289</v>
          </cell>
          <cell r="BM92">
            <v>0.18629908103592313</v>
          </cell>
          <cell r="BN92">
            <v>0.18442801217920834</v>
          </cell>
          <cell r="BO92">
            <v>0.18452257125026003</v>
          </cell>
          <cell r="BP92">
            <v>0.18599834299917151</v>
          </cell>
          <cell r="BQ92">
            <v>0.18132118451025056</v>
          </cell>
          <cell r="BR92">
            <v>0.18233349078885214</v>
          </cell>
          <cell r="BS92">
            <v>0.17989903625516293</v>
          </cell>
          <cell r="BT92">
            <v>0.18248175182481752</v>
          </cell>
          <cell r="BU92">
            <v>0.17902588854760859</v>
          </cell>
          <cell r="BV92">
            <v>0.17908438061041293</v>
          </cell>
          <cell r="BW92">
            <v>0.17314647377938516</v>
          </cell>
          <cell r="BX92">
            <v>0.18036428254109285</v>
          </cell>
          <cell r="BY92">
            <v>0.17792642140468226</v>
          </cell>
          <cell r="BZ92">
            <v>0.17714044706874738</v>
          </cell>
          <cell r="CA92">
            <v>0.17948717948717949</v>
          </cell>
          <cell r="CB92">
            <v>0.17608897126969417</v>
          </cell>
          <cell r="CC92">
            <v>0.17676537585421412</v>
          </cell>
          <cell r="CD92">
            <v>0.17736865738661878</v>
          </cell>
          <cell r="CE92">
            <v>0.17332163229486616</v>
          </cell>
          <cell r="CF92">
            <v>0.177209510991476</v>
          </cell>
          <cell r="CG92">
            <v>0.17197170645446508</v>
          </cell>
          <cell r="CH92">
            <v>0.17425917735515259</v>
          </cell>
          <cell r="CI92">
            <v>0.17417783191230207</v>
          </cell>
          <cell r="CJ92">
            <v>0.17015818725951262</v>
          </cell>
          <cell r="CK92">
            <v>0.17151541467650891</v>
          </cell>
          <cell r="CL92">
            <v>0.17241379310344829</v>
          </cell>
          <cell r="CM92">
            <v>0.17122990004345937</v>
          </cell>
          <cell r="CN92">
            <v>0.17131993481803368</v>
          </cell>
          <cell r="CO92">
            <v>0.16303005351996708</v>
          </cell>
          <cell r="CP92">
            <v>0.17043478260869566</v>
          </cell>
          <cell r="CQ92">
            <v>0.16557448667540411</v>
          </cell>
          <cell r="CR92">
            <v>0.1619209519762006</v>
          </cell>
          <cell r="CS92">
            <v>0.16519048127200939</v>
          </cell>
          <cell r="CT92">
            <v>0.16017663588920111</v>
          </cell>
          <cell r="CU92">
            <v>0.15845213849287168</v>
          </cell>
          <cell r="CV92">
            <v>0.15492377420683973</v>
          </cell>
          <cell r="CW92">
            <v>0.15090530805763896</v>
          </cell>
          <cell r="CX92">
            <v>0.15609552137134761</v>
          </cell>
          <cell r="CY92">
            <v>0.15421523123247227</v>
          </cell>
          <cell r="CZ92">
            <v>0.14722948177194622</v>
          </cell>
          <cell r="DA92">
            <v>0.14346398077956191</v>
          </cell>
          <cell r="DB92">
            <v>0.1404713803115788</v>
          </cell>
          <cell r="DC92">
            <v>0.14627155416154408</v>
          </cell>
          <cell r="DD92">
            <v>0.1527511484056267</v>
          </cell>
          <cell r="DE92">
            <v>0.14786108848367494</v>
          </cell>
          <cell r="DF92">
            <v>0.14480157406155947</v>
          </cell>
          <cell r="DG92">
            <v>0.14150348656877959</v>
          </cell>
          <cell r="DH92">
            <v>0.14668419256520818</v>
          </cell>
          <cell r="DI92">
            <v>0.1517976787648099</v>
          </cell>
          <cell r="DJ92">
            <v>0.14788799414190273</v>
          </cell>
          <cell r="DK92">
            <v>0.14486038515432456</v>
          </cell>
          <cell r="DL92">
            <v>0.14134850300460899</v>
          </cell>
          <cell r="DM92">
            <v>0.14644449635825418</v>
          </cell>
          <cell r="DN92">
            <v>0.15173402931040006</v>
          </cell>
          <cell r="DO92">
            <v>0.14770560860025911</v>
          </cell>
          <cell r="DP92">
            <v>0.14472630583464152</v>
          </cell>
          <cell r="DQ92">
            <v>0.14123568489594179</v>
          </cell>
          <cell r="DR92">
            <v>0.14632589850798525</v>
          </cell>
        </row>
        <row r="93">
          <cell r="B93" t="str">
            <v>Other operating expenses, net</v>
          </cell>
          <cell r="D93">
            <v>0</v>
          </cell>
          <cell r="E93">
            <v>0.22636192861615531</v>
          </cell>
          <cell r="F93">
            <v>0.23133989401968208</v>
          </cell>
          <cell r="G93">
            <v>0.34044687339816282</v>
          </cell>
          <cell r="H93">
            <v>0.22875226039783003</v>
          </cell>
          <cell r="I93">
            <v>0.21933172365449022</v>
          </cell>
          <cell r="J93">
            <v>0.21642716463637024</v>
          </cell>
          <cell r="K93">
            <v>0.21691458900761226</v>
          </cell>
          <cell r="L93">
            <v>0.21945255722339202</v>
          </cell>
          <cell r="M93">
            <v>0.21802482460874259</v>
          </cell>
          <cell r="N93">
            <v>0.22362018629222857</v>
          </cell>
          <cell r="O93">
            <v>0.21692297269832667</v>
          </cell>
          <cell r="P93">
            <v>0.21042514193750278</v>
          </cell>
          <cell r="Q93">
            <v>0.20240718765892529</v>
          </cell>
          <cell r="R93">
            <v>0.2104475894603613</v>
          </cell>
          <cell r="S93">
            <v>0.20849420849420849</v>
          </cell>
          <cell r="T93">
            <v>0.2107863318237958</v>
          </cell>
          <cell r="U93">
            <v>0.20202808112324494</v>
          </cell>
          <cell r="V93">
            <v>0.21586931155192532</v>
          </cell>
          <cell r="W93">
            <v>0.20929762506316321</v>
          </cell>
          <cell r="X93">
            <v>0.21974148061104584</v>
          </cell>
          <cell r="Y93">
            <v>0.20991026141240735</v>
          </cell>
          <cell r="Z93">
            <v>0.21651311126860381</v>
          </cell>
          <cell r="AA93">
            <v>0.21481985044187626</v>
          </cell>
          <cell r="AB93">
            <v>0.21525735294117648</v>
          </cell>
          <cell r="AC93">
            <v>0.21754263835711798</v>
          </cell>
          <cell r="AD93">
            <v>0.21726618705035972</v>
          </cell>
          <cell r="AE93">
            <v>0.21543859649122807</v>
          </cell>
          <cell r="AF93">
            <v>0.2342837512882171</v>
          </cell>
          <cell r="AG93">
            <v>0.22121955493253898</v>
          </cell>
          <cell r="AH93">
            <v>0.21984099550639474</v>
          </cell>
          <cell r="AI93">
            <v>0.21852487135506005</v>
          </cell>
          <cell r="AJ93">
            <v>0.21113306982872201</v>
          </cell>
          <cell r="AK93">
            <v>0.21470863197257711</v>
          </cell>
          <cell r="AL93">
            <v>0.21596283083049864</v>
          </cell>
          <cell r="AM93">
            <v>0.20897785865938731</v>
          </cell>
          <cell r="AN93">
            <v>0.20182675309369474</v>
          </cell>
          <cell r="AO93">
            <v>0.19517795637198623</v>
          </cell>
          <cell r="AP93">
            <v>0.20599250936329588</v>
          </cell>
          <cell r="AQ93">
            <v>0.20297563429885718</v>
          </cell>
          <cell r="AR93">
            <v>0.19389684039967595</v>
          </cell>
          <cell r="AS93">
            <v>0.19295923769190049</v>
          </cell>
          <cell r="AT93">
            <v>0.23277265328269126</v>
          </cell>
          <cell r="AV93">
            <v>0.192</v>
          </cell>
          <cell r="AW93">
            <v>0.20145772594752187</v>
          </cell>
          <cell r="AX93">
            <v>0.19284294234592445</v>
          </cell>
          <cell r="AY93">
            <v>0.22960206126538793</v>
          </cell>
          <cell r="AZ93">
            <v>0.20406686446197264</v>
          </cell>
          <cell r="BA93">
            <v>0.20915411355735805</v>
          </cell>
          <cell r="BB93">
            <v>0.22284699615270789</v>
          </cell>
          <cell r="BC93">
            <v>0.22869275098574463</v>
          </cell>
          <cell r="BD93">
            <v>0.22194278528764538</v>
          </cell>
          <cell r="BE93">
            <v>0.22052746261928019</v>
          </cell>
          <cell r="BF93">
            <v>0.20944173847883102</v>
          </cell>
          <cell r="BG93">
            <v>0.23735408560311283</v>
          </cell>
          <cell r="BH93">
            <v>0.22827868852459016</v>
          </cell>
          <cell r="BI93">
            <v>0.23051409618573798</v>
          </cell>
          <cell r="BJ93">
            <v>0.22614210682786642</v>
          </cell>
          <cell r="BK93">
            <v>0.2107157137145142</v>
          </cell>
          <cell r="BL93">
            <v>0.22603305785123967</v>
          </cell>
          <cell r="BM93">
            <v>0.23141186299081035</v>
          </cell>
          <cell r="BN93">
            <v>0.24140930839495434</v>
          </cell>
          <cell r="BO93">
            <v>0.22706469731641357</v>
          </cell>
          <cell r="BP93">
            <v>0.22203811101905552</v>
          </cell>
          <cell r="BQ93">
            <v>0.22642369020501138</v>
          </cell>
          <cell r="BR93">
            <v>0.24232404345772318</v>
          </cell>
          <cell r="BS93">
            <v>0.24047728315741165</v>
          </cell>
          <cell r="BT93">
            <v>0.23245367770915215</v>
          </cell>
          <cell r="BU93">
            <v>0.22904782799473453</v>
          </cell>
          <cell r="BV93">
            <v>0.2374326750448833</v>
          </cell>
          <cell r="BW93">
            <v>0.23056057866184448</v>
          </cell>
          <cell r="BX93">
            <v>0.23189693469569081</v>
          </cell>
          <cell r="BY93">
            <v>0.23221850613154962</v>
          </cell>
          <cell r="BZ93">
            <v>0.22437789962041332</v>
          </cell>
          <cell r="CA93">
            <v>0.23260073260073261</v>
          </cell>
          <cell r="CB93">
            <v>0.23354958294717332</v>
          </cell>
          <cell r="CC93">
            <v>0.21640091116173121</v>
          </cell>
          <cell r="CD93">
            <v>0.22665020206555905</v>
          </cell>
          <cell r="CE93">
            <v>0.20930232558139536</v>
          </cell>
          <cell r="CF93">
            <v>0.21175414984297891</v>
          </cell>
          <cell r="CG93">
            <v>0.21485411140583555</v>
          </cell>
          <cell r="CH93">
            <v>0.2118531623175586</v>
          </cell>
          <cell r="CI93">
            <v>0.21193666260657734</v>
          </cell>
          <cell r="CJ93">
            <v>0.1996579734929457</v>
          </cell>
          <cell r="CK93">
            <v>0.21623968736430743</v>
          </cell>
          <cell r="CL93">
            <v>0.22325375773651635</v>
          </cell>
          <cell r="CM93">
            <v>0.20338983050847459</v>
          </cell>
          <cell r="CN93">
            <v>0.21053775122216187</v>
          </cell>
          <cell r="CO93">
            <v>0.20214079868258542</v>
          </cell>
          <cell r="CP93">
            <v>0.22086956521739132</v>
          </cell>
          <cell r="CQ93">
            <v>0.23023154215814767</v>
          </cell>
          <cell r="CR93">
            <v>0.20994475138121546</v>
          </cell>
          <cell r="CS93">
            <v>0.21555863835236366</v>
          </cell>
          <cell r="CT93">
            <v>0.21316740264953835</v>
          </cell>
          <cell r="CU93">
            <v>0.21751527494908351</v>
          </cell>
          <cell r="CV93">
            <v>0.22208487845076225</v>
          </cell>
          <cell r="CW93">
            <v>0.21601658323541242</v>
          </cell>
          <cell r="CX93">
            <v>0.21715915712468287</v>
          </cell>
          <cell r="CY93">
            <v>0.23671197679448064</v>
          </cell>
          <cell r="CZ93">
            <v>0.23289584383382969</v>
          </cell>
          <cell r="DA93">
            <v>0.23628978292685215</v>
          </cell>
          <cell r="DB93">
            <v>0.22570865839903356</v>
          </cell>
          <cell r="DC93">
            <v>0.2328365153360995</v>
          </cell>
          <cell r="DD93">
            <v>0.23711729546504651</v>
          </cell>
          <cell r="DE93">
            <v>0.23619756047037033</v>
          </cell>
          <cell r="DF93">
            <v>0.24057049865733496</v>
          </cell>
          <cell r="DG93">
            <v>0.22923848941256314</v>
          </cell>
          <cell r="DH93">
            <v>0.23573386039074834</v>
          </cell>
          <cell r="DI93">
            <v>0.2392482920093115</v>
          </cell>
          <cell r="DJ93">
            <v>0.23902930083113286</v>
          </cell>
          <cell r="DK93">
            <v>0.24293572239765412</v>
          </cell>
          <cell r="DL93">
            <v>0.23117357787383763</v>
          </cell>
          <cell r="DM93">
            <v>0.23804783714260269</v>
          </cell>
          <cell r="DN93">
            <v>0.24054988602711946</v>
          </cell>
          <cell r="DO93">
            <v>0.24111798626352379</v>
          </cell>
          <cell r="DP93">
            <v>0.24506379855416258</v>
          </cell>
          <cell r="DQ93">
            <v>0.23309787087778649</v>
          </cell>
          <cell r="DR93">
            <v>0.23991129878178877</v>
          </cell>
        </row>
        <row r="94">
          <cell r="B94" t="str">
            <v>Depreciation and Amortization</v>
          </cell>
          <cell r="D94">
            <v>5.7060957855273181E-2</v>
          </cell>
          <cell r="E94">
            <v>5.823418910457108E-2</v>
          </cell>
          <cell r="F94">
            <v>5.6926570779712339E-2</v>
          </cell>
          <cell r="G94">
            <v>6.0756786258218912E-2</v>
          </cell>
          <cell r="H94">
            <v>5.8770343580470161E-2</v>
          </cell>
          <cell r="I94">
            <v>6.2465924137393873E-2</v>
          </cell>
          <cell r="J94">
            <v>6.0179444160770292E-2</v>
          </cell>
          <cell r="K94">
            <v>5.4333403170612471E-2</v>
          </cell>
          <cell r="L94">
            <v>5.4676356720777024E-2</v>
          </cell>
          <cell r="M94">
            <v>5.7744198596869939E-2</v>
          </cell>
          <cell r="N94">
            <v>5.8459613513137776E-2</v>
          </cell>
          <cell r="O94">
            <v>5.7922904952239014E-2</v>
          </cell>
          <cell r="P94">
            <v>4.8370512763199071E-2</v>
          </cell>
          <cell r="Q94">
            <v>4.6674577612024641E-2</v>
          </cell>
          <cell r="R94">
            <v>5.0972270164538029E-2</v>
          </cell>
          <cell r="S94">
            <v>4.5045045045045043E-2</v>
          </cell>
          <cell r="T94">
            <v>4.693289419514203E-2</v>
          </cell>
          <cell r="U94">
            <v>4.719188767550702E-2</v>
          </cell>
          <cell r="V94">
            <v>4.6674445740956826E-2</v>
          </cell>
          <cell r="W94">
            <v>4.6488125315816066E-2</v>
          </cell>
          <cell r="X94">
            <v>4.974539757148453E-2</v>
          </cell>
          <cell r="Y94">
            <v>5.2282481467030822E-2</v>
          </cell>
          <cell r="Z94">
            <v>5.0318922749822824E-2</v>
          </cell>
          <cell r="AA94">
            <v>5.2005438477226378E-2</v>
          </cell>
          <cell r="AB94">
            <v>5.1102941176470587E-2</v>
          </cell>
          <cell r="AC94">
            <v>4.6641141663766095E-2</v>
          </cell>
          <cell r="AD94">
            <v>4.7482014388489209E-2</v>
          </cell>
          <cell r="AE94">
            <v>4.6666666666666669E-2</v>
          </cell>
          <cell r="AF94">
            <v>4.6032291308828584E-2</v>
          </cell>
          <cell r="AG94">
            <v>4.6697038724373578E-2</v>
          </cell>
          <cell r="AH94">
            <v>4.7355686138956098E-2</v>
          </cell>
          <cell r="AI94">
            <v>4.6655231560891935E-2</v>
          </cell>
          <cell r="AJ94">
            <v>4.5783926218708824E-2</v>
          </cell>
          <cell r="AK94">
            <v>4.4250545341227798E-2</v>
          </cell>
          <cell r="AL94">
            <v>4.5963660499460712E-2</v>
          </cell>
          <cell r="AM94">
            <v>4.5192599332726721E-2</v>
          </cell>
          <cell r="AN94">
            <v>4.4490276959340012E-2</v>
          </cell>
          <cell r="AO94">
            <v>4.4202066590126293E-2</v>
          </cell>
          <cell r="AP94">
            <v>4.0128410914927769E-2</v>
          </cell>
          <cell r="AQ94">
            <v>4.341263566448645E-2</v>
          </cell>
          <cell r="AR94">
            <v>3.456656764785309E-2</v>
          </cell>
          <cell r="AS94">
            <v>3.4409740603493909E-2</v>
          </cell>
          <cell r="AT94">
            <v>3.5811177428106349E-2</v>
          </cell>
          <cell r="AV94">
            <v>4.2666666666666665E-2</v>
          </cell>
          <cell r="AW94">
            <v>3.8775510204081633E-2</v>
          </cell>
          <cell r="AX94">
            <v>3.4081226924169268E-2</v>
          </cell>
          <cell r="AY94">
            <v>3.4640709991411396E-2</v>
          </cell>
          <cell r="AZ94">
            <v>3.7484622621029015E-2</v>
          </cell>
          <cell r="BA94">
            <v>3.4472769409038241E-2</v>
          </cell>
          <cell r="BB94">
            <v>3.5513465522343891E-2</v>
          </cell>
          <cell r="BC94">
            <v>3.3970276008492568E-2</v>
          </cell>
          <cell r="BD94">
            <v>3.5837786859478152E-2</v>
          </cell>
          <cell r="BE94">
            <v>3.4938763242918329E-2</v>
          </cell>
          <cell r="BF94">
            <v>3.5968527538403898E-2</v>
          </cell>
          <cell r="BG94">
            <v>3.6964980544747082E-2</v>
          </cell>
          <cell r="BH94">
            <v>4.0573770491803281E-2</v>
          </cell>
          <cell r="BI94">
            <v>4.1459369817578771E-2</v>
          </cell>
          <cell r="BJ94">
            <v>3.8648300465761572E-2</v>
          </cell>
          <cell r="BK94">
            <v>3.8384646141543383E-2</v>
          </cell>
          <cell r="BL94">
            <v>3.8016528925619832E-2</v>
          </cell>
          <cell r="BM94">
            <v>4.3859649122807015E-2</v>
          </cell>
          <cell r="BN94">
            <v>3.8712483688560242E-2</v>
          </cell>
          <cell r="BO94">
            <v>3.9733721655918451E-2</v>
          </cell>
          <cell r="BP94">
            <v>3.7282518641259324E-2</v>
          </cell>
          <cell r="BQ94">
            <v>3.735763097949886E-2</v>
          </cell>
          <cell r="BR94">
            <v>3.920642418516769E-2</v>
          </cell>
          <cell r="BS94">
            <v>4.3597980725103257E-2</v>
          </cell>
          <cell r="BT94">
            <v>3.9303761931499155E-2</v>
          </cell>
          <cell r="BU94">
            <v>3.9052215884159719E-2</v>
          </cell>
          <cell r="BV94">
            <v>3.9946140035906644E-2</v>
          </cell>
          <cell r="BW94">
            <v>4.1139240506329111E-2</v>
          </cell>
          <cell r="BX94">
            <v>4.1314971123944916E-2</v>
          </cell>
          <cell r="BY94">
            <v>4.0356744704570791E-2</v>
          </cell>
          <cell r="BZ94">
            <v>4.006748207507381E-2</v>
          </cell>
          <cell r="CA94">
            <v>4.3498168498168496E-2</v>
          </cell>
          <cell r="CB94">
            <v>4.3558850787766452E-2</v>
          </cell>
          <cell r="CC94">
            <v>4.3735763097949888E-2</v>
          </cell>
          <cell r="CD94">
            <v>4.2658284687920968E-2</v>
          </cell>
          <cell r="CE94">
            <v>4.256252742430891E-2</v>
          </cell>
          <cell r="CF94">
            <v>4.3965903992821895E-2</v>
          </cell>
          <cell r="CG94">
            <v>4.2882404951370467E-2</v>
          </cell>
          <cell r="CH94">
            <v>4.2016806722689079E-2</v>
          </cell>
          <cell r="CI94">
            <v>4.2852397298195108E-2</v>
          </cell>
          <cell r="CJ94">
            <v>4.0615647712697732E-2</v>
          </cell>
          <cell r="CK94">
            <v>4.211897524967434E-2</v>
          </cell>
          <cell r="CL94">
            <v>4.4650751547303275E-2</v>
          </cell>
          <cell r="CM94">
            <v>4.3893959148196438E-2</v>
          </cell>
          <cell r="CN94">
            <v>4.280282455187398E-2</v>
          </cell>
          <cell r="CO94">
            <v>4.0345821325648415E-2</v>
          </cell>
          <cell r="CP94">
            <v>4.3478260869565216E-2</v>
          </cell>
          <cell r="CQ94">
            <v>4.3687199650502405E-2</v>
          </cell>
          <cell r="CR94">
            <v>4.2498937526561836E-2</v>
          </cell>
          <cell r="CS94">
            <v>4.2471454487247894E-2</v>
          </cell>
          <cell r="CT94">
            <v>4.0144520272982737E-2</v>
          </cell>
          <cell r="CU94">
            <v>4.2362525458248472E-2</v>
          </cell>
          <cell r="CV94">
            <v>4.5323444581788219E-2</v>
          </cell>
          <cell r="CW94">
            <v>4.3556272489938236E-2</v>
          </cell>
          <cell r="CX94">
            <v>4.2834908677804928E-2</v>
          </cell>
          <cell r="CY94">
            <v>4.0612217315477685E-2</v>
          </cell>
          <cell r="CZ94">
            <v>3.9561045932333859E-2</v>
          </cell>
          <cell r="DA94">
            <v>3.9858042489868489E-2</v>
          </cell>
          <cell r="DB94">
            <v>3.8830187030532259E-2</v>
          </cell>
          <cell r="DC94">
            <v>3.9705101644619267E-2</v>
          </cell>
          <cell r="DD94">
            <v>3.9355010197202944E-2</v>
          </cell>
          <cell r="DE94">
            <v>3.8722151525115586E-2</v>
          </cell>
          <cell r="DF94">
            <v>3.9059375802922146E-2</v>
          </cell>
          <cell r="DG94">
            <v>3.7994488980993314E-2</v>
          </cell>
          <cell r="DH94">
            <v>3.8776075525162129E-2</v>
          </cell>
          <cell r="DI94">
            <v>3.7654519197751521E-2</v>
          </cell>
          <cell r="DJ94">
            <v>3.7508676715645256E-2</v>
          </cell>
          <cell r="DK94">
            <v>3.7840546255258664E-2</v>
          </cell>
          <cell r="DL94">
            <v>3.6718007737398521E-2</v>
          </cell>
          <cell r="DM94">
            <v>3.7425497010050726E-2</v>
          </cell>
          <cell r="DN94">
            <v>3.6237988854406093E-2</v>
          </cell>
          <cell r="DO94">
            <v>3.618534230363965E-2</v>
          </cell>
          <cell r="DP94">
            <v>3.6499174414217919E-2</v>
          </cell>
          <cell r="DQ94">
            <v>3.5461296832255601E-2</v>
          </cell>
          <cell r="DR94">
            <v>3.6091803422290278E-2</v>
          </cell>
        </row>
        <row r="95">
          <cell r="B95" t="str">
            <v>Tax rate</v>
          </cell>
          <cell r="D95">
            <v>0.39443751375944808</v>
          </cell>
          <cell r="E95">
            <v>0.38461538461538475</v>
          </cell>
          <cell r="F95">
            <v>0.38976857490864825</v>
          </cell>
          <cell r="G95">
            <v>0.48662461939973917</v>
          </cell>
          <cell r="H95">
            <v>0.40176528277214779</v>
          </cell>
          <cell r="I95">
            <v>0.47164179104477605</v>
          </cell>
          <cell r="J95">
            <v>0.3959472499195883</v>
          </cell>
          <cell r="K95">
            <v>0.42605363984674294</v>
          </cell>
          <cell r="L95">
            <v>0.81461675579323012</v>
          </cell>
          <cell r="M95">
            <v>0.45765027322404372</v>
          </cell>
          <cell r="N95">
            <v>0.42105263157894773</v>
          </cell>
          <cell r="O95">
            <v>0.42164441321152535</v>
          </cell>
          <cell r="P95">
            <v>0.27500000000000019</v>
          </cell>
          <cell r="Q95">
            <v>0.26527570789865784</v>
          </cell>
          <cell r="R95">
            <v>-0.32857142857142857</v>
          </cell>
          <cell r="S95">
            <v>0.38693467336683418</v>
          </cell>
          <cell r="T95">
            <v>0.38559322033898308</v>
          </cell>
          <cell r="U95">
            <v>0.37903225806451613</v>
          </cell>
          <cell r="V95">
            <v>0.32019704433497537</v>
          </cell>
          <cell r="W95">
            <v>0.41041666666666665</v>
          </cell>
          <cell r="X95">
            <v>0.37610619469026546</v>
          </cell>
          <cell r="Y95">
            <v>0.38235294117647056</v>
          </cell>
          <cell r="Z95">
            <v>0.38613861386138615</v>
          </cell>
          <cell r="AA95">
            <v>0.10596026490066225</v>
          </cell>
          <cell r="AB95">
            <v>0.4677754677754678</v>
          </cell>
          <cell r="AC95">
            <v>0.37850467289719625</v>
          </cell>
          <cell r="AD95">
            <v>0.50177935943060503</v>
          </cell>
          <cell r="AE95">
            <v>0.40540540540540543</v>
          </cell>
          <cell r="AF95">
            <v>0.37142857142857144</v>
          </cell>
          <cell r="AG95">
            <v>0.4350547730829421</v>
          </cell>
          <cell r="AH95">
            <v>0.39163498098859317</v>
          </cell>
          <cell r="AI95">
            <v>0.39527027027027029</v>
          </cell>
          <cell r="AJ95">
            <v>0.4</v>
          </cell>
          <cell r="AK95">
            <v>0.43203883495145629</v>
          </cell>
          <cell r="AL95">
            <v>0.40272727272727271</v>
          </cell>
          <cell r="AM95">
            <v>0.41935483870967744</v>
          </cell>
          <cell r="AN95">
            <v>0.45989304812834225</v>
          </cell>
          <cell r="AO95">
            <v>0.40657084188911702</v>
          </cell>
          <cell r="AP95">
            <v>0.41468682505399568</v>
          </cell>
          <cell r="AQ95">
            <v>0.41878531073446329</v>
          </cell>
          <cell r="AR95">
            <v>0.38447971781305113</v>
          </cell>
          <cell r="AS95">
            <v>0.38285714285714284</v>
          </cell>
          <cell r="AT95">
            <v>0.38271604938271603</v>
          </cell>
          <cell r="AV95">
            <v>0.40869565217391307</v>
          </cell>
          <cell r="AW95">
            <v>0.41791044776119401</v>
          </cell>
          <cell r="AX95">
            <v>0.38899430740037949</v>
          </cell>
          <cell r="AY95">
            <v>0.75</v>
          </cell>
          <cell r="AZ95">
            <v>0.40586972083035078</v>
          </cell>
          <cell r="BA95">
            <v>0.70886075949367089</v>
          </cell>
          <cell r="BB95">
            <v>0.36507936507936506</v>
          </cell>
          <cell r="BC95">
            <v>0.37260273972602742</v>
          </cell>
          <cell r="BD95">
            <v>0.22001419446415899</v>
          </cell>
          <cell r="BE95">
            <v>0.24363057324840764</v>
          </cell>
          <cell r="BF95">
            <v>0.22222222222222221</v>
          </cell>
          <cell r="BG95">
            <v>0.34055727554179566</v>
          </cell>
          <cell r="BH95">
            <v>0.23880597014925373</v>
          </cell>
          <cell r="BI95">
            <v>-0.20945945945945946</v>
          </cell>
          <cell r="BJ95">
            <v>-8.5632183908045972E-2</v>
          </cell>
          <cell r="BK95">
            <v>-2.8333333333333335</v>
          </cell>
          <cell r="BL95">
            <v>0.66666666666666663</v>
          </cell>
          <cell r="BM95">
            <v>-1.06951871657754E-2</v>
          </cell>
          <cell r="BN95">
            <v>0.18300653594771241</v>
          </cell>
          <cell r="BO95">
            <v>0.12410841654778887</v>
          </cell>
          <cell r="BP95">
            <v>0.23809523809523808</v>
          </cell>
          <cell r="BQ95">
            <v>0.36051502145922748</v>
          </cell>
          <cell r="BR95">
            <v>0.57352941176470584</v>
          </cell>
          <cell r="BS95">
            <v>-6.8306010928961755E-2</v>
          </cell>
          <cell r="BT95">
            <v>0.23471223021582735</v>
          </cell>
          <cell r="BU95">
            <v>-30.666666666666668</v>
          </cell>
          <cell r="BV95">
            <v>0.125</v>
          </cell>
          <cell r="BW95">
            <v>-0.4</v>
          </cell>
          <cell r="BX95">
            <v>-0.30769230769230771</v>
          </cell>
          <cell r="BY95">
            <v>0.55462184873949583</v>
          </cell>
          <cell r="BZ95">
            <v>-0.125</v>
          </cell>
          <cell r="CA95">
            <v>0.45714285714285713</v>
          </cell>
          <cell r="CB95">
            <v>-3.5714285714285712E-2</v>
          </cell>
          <cell r="CC95">
            <v>0.46153846153846156</v>
          </cell>
          <cell r="CD95">
            <v>-0.44642857142857145</v>
          </cell>
          <cell r="CE95">
            <v>2.5125628140703519E-2</v>
          </cell>
          <cell r="CF95">
            <v>0.5714285714285714</v>
          </cell>
          <cell r="CG95">
            <v>0.42857142857142855</v>
          </cell>
          <cell r="CH95">
            <v>3.1818181818181817</v>
          </cell>
          <cell r="CI95">
            <v>-0.11386138613861387</v>
          </cell>
          <cell r="CJ95">
            <v>3.2258064516129031E-2</v>
          </cell>
          <cell r="CK95">
            <v>0.30769230769230771</v>
          </cell>
          <cell r="CL95">
            <v>16.161290322580644</v>
          </cell>
          <cell r="CM95">
            <v>3.2258064516129031E-2</v>
          </cell>
          <cell r="CN95">
            <v>-6.1835443037974684</v>
          </cell>
          <cell r="CO95">
            <v>0.36496350364963503</v>
          </cell>
          <cell r="CP95">
            <v>0.27941176470588236</v>
          </cell>
          <cell r="CQ95">
            <v>0.19047619047619047</v>
          </cell>
          <cell r="CR95">
            <v>0.19354838709677419</v>
          </cell>
          <cell r="CS95">
            <v>0.37195121951219512</v>
          </cell>
          <cell r="CT95">
            <v>0.3888888888888889</v>
          </cell>
          <cell r="CU95">
            <v>0.38461538461538464</v>
          </cell>
          <cell r="CV95">
            <v>0.35294117647058826</v>
          </cell>
          <cell r="CW95">
            <v>0.39</v>
          </cell>
          <cell r="CX95">
            <v>0.3830363325226705</v>
          </cell>
          <cell r="CY95">
            <v>0.39</v>
          </cell>
          <cell r="CZ95">
            <v>0.39</v>
          </cell>
          <cell r="DA95">
            <v>0.39</v>
          </cell>
          <cell r="DB95">
            <v>0.39</v>
          </cell>
          <cell r="DC95">
            <v>0.3899999999999994</v>
          </cell>
          <cell r="DD95">
            <v>0.39</v>
          </cell>
          <cell r="DE95">
            <v>0.39</v>
          </cell>
          <cell r="DF95">
            <v>0.39</v>
          </cell>
          <cell r="DG95">
            <v>0.39</v>
          </cell>
          <cell r="DH95">
            <v>0.38999999999999957</v>
          </cell>
          <cell r="DI95">
            <v>0.39</v>
          </cell>
          <cell r="DJ95">
            <v>0.39</v>
          </cell>
          <cell r="DK95">
            <v>0.39</v>
          </cell>
          <cell r="DL95">
            <v>0.39</v>
          </cell>
          <cell r="DM95">
            <v>0.39000000000000046</v>
          </cell>
          <cell r="DN95">
            <v>0.39</v>
          </cell>
          <cell r="DO95">
            <v>0.39</v>
          </cell>
          <cell r="DP95">
            <v>0.39</v>
          </cell>
          <cell r="DQ95">
            <v>0.39</v>
          </cell>
          <cell r="DR95">
            <v>0.3900000000000004</v>
          </cell>
        </row>
        <row r="96">
          <cell r="B96" t="str">
            <v>Growth Rates</v>
          </cell>
        </row>
        <row r="97">
          <cell r="B97" t="str">
            <v>Gross Revenue</v>
          </cell>
          <cell r="I97">
            <v>0.9369828086929628</v>
          </cell>
          <cell r="J97">
            <v>1.146055103318723</v>
          </cell>
          <cell r="K97">
            <v>1.1679031037093113</v>
          </cell>
          <cell r="L97">
            <v>8.587506868309136E-2</v>
          </cell>
          <cell r="M97">
            <v>0.67540687160940327</v>
          </cell>
          <cell r="N97">
            <v>0.12049225017524723</v>
          </cell>
          <cell r="O97">
            <v>7.6737909402582183E-2</v>
          </cell>
          <cell r="P97">
            <v>0.56219009707381806</v>
          </cell>
          <cell r="Q97">
            <v>1.4039937512735179</v>
          </cell>
          <cell r="R97">
            <v>0.56341068537506755</v>
          </cell>
          <cell r="S97">
            <v>0.62032531627971643</v>
          </cell>
          <cell r="T97">
            <v>0.64555246934489552</v>
          </cell>
          <cell r="U97">
            <v>0.14622915642183365</v>
          </cell>
          <cell r="V97">
            <v>-0.27360569588065764</v>
          </cell>
          <cell r="W97">
            <v>0.13853411575192731</v>
          </cell>
          <cell r="X97">
            <v>9.5238095238095344E-2</v>
          </cell>
          <cell r="Y97">
            <v>5.5166735282009105E-2</v>
          </cell>
          <cell r="Z97">
            <v>0.10062402496099843</v>
          </cell>
          <cell r="AA97">
            <v>0.14430182808245817</v>
          </cell>
          <cell r="AB97">
            <v>9.9545224861040893E-2</v>
          </cell>
          <cell r="AC97">
            <v>0.12534273403838614</v>
          </cell>
          <cell r="AD97">
            <v>8.4666406554818607E-2</v>
          </cell>
          <cell r="AE97">
            <v>9.9220411055989111E-3</v>
          </cell>
          <cell r="AF97">
            <v>-1.0537049626104689E-2</v>
          </cell>
          <cell r="AG97">
            <v>4.9080882352941169E-2</v>
          </cell>
          <cell r="AH97">
            <v>6.9613644274277853E-3</v>
          </cell>
          <cell r="AI97">
            <v>4.8561151079136611E-2</v>
          </cell>
          <cell r="AJ97">
            <v>6.5263157894736912E-2</v>
          </cell>
          <cell r="AK97">
            <v>0.1023703194778427</v>
          </cell>
          <cell r="AL97">
            <v>5.5983879446294127E-2</v>
          </cell>
          <cell r="AM97">
            <v>0.13964742481852754</v>
          </cell>
          <cell r="AN97">
            <v>0.16432246998284739</v>
          </cell>
          <cell r="AO97">
            <v>0.14756258234519115</v>
          </cell>
          <cell r="AP97">
            <v>0.16484886257401055</v>
          </cell>
          <cell r="AQ97">
            <v>0.15431842694764786</v>
          </cell>
          <cell r="AR97">
            <v>0.12314225053078554</v>
          </cell>
          <cell r="AS97">
            <v>0.11314083677077202</v>
          </cell>
          <cell r="AT97">
            <v>5.7979334098737123E-2</v>
          </cell>
          <cell r="BA97">
            <v>2.2814814814814843E-2</v>
          </cell>
          <cell r="BB97">
            <v>-1.4868804664723068E-2</v>
          </cell>
          <cell r="BC97">
            <v>-6.3618290258449339E-2</v>
          </cell>
          <cell r="BD97">
            <v>-8.932150014314344E-2</v>
          </cell>
          <cell r="BE97">
            <v>-3.6905709530356767E-2</v>
          </cell>
          <cell r="BF97">
            <v>-0.22682502896871382</v>
          </cell>
          <cell r="BG97">
            <v>-0.23941994672980171</v>
          </cell>
          <cell r="BH97">
            <v>-0.25993327267212618</v>
          </cell>
          <cell r="BI97">
            <v>-0.24174787802577802</v>
          </cell>
          <cell r="BJ97">
            <v>-0.24179126906604553</v>
          </cell>
          <cell r="BK97">
            <v>-6.2944923192206792E-2</v>
          </cell>
          <cell r="BL97">
            <v>-5.8365758754863828E-2</v>
          </cell>
          <cell r="BM97">
            <v>-1.885245901639343E-2</v>
          </cell>
          <cell r="BN97">
            <v>-4.6849087893863994E-2</v>
          </cell>
          <cell r="BO97">
            <v>-4.7269844415816054E-2</v>
          </cell>
          <cell r="BP97">
            <v>-3.4786085565773672E-2</v>
          </cell>
          <cell r="BQ97">
            <v>-9.2975206611570216E-2</v>
          </cell>
          <cell r="BR97">
            <v>-0.1157059314954052</v>
          </cell>
          <cell r="BS97">
            <v>-5.2196607220530655E-2</v>
          </cell>
          <cell r="BT97">
            <v>-7.3746619513209932E-2</v>
          </cell>
          <cell r="BU97">
            <v>-5.5923777961888965E-2</v>
          </cell>
          <cell r="BV97">
            <v>1.5034168564920236E-2</v>
          </cell>
          <cell r="BW97">
            <v>4.4874822862541297E-2</v>
          </cell>
          <cell r="BX97">
            <v>3.3042680128499313E-2</v>
          </cell>
          <cell r="BY97">
            <v>7.2992700729928028E-3</v>
          </cell>
          <cell r="BZ97">
            <v>4.0368582711715728E-2</v>
          </cell>
          <cell r="CA97">
            <v>-1.9748653500897717E-2</v>
          </cell>
          <cell r="CB97">
            <v>-2.4412296564195302E-2</v>
          </cell>
          <cell r="CC97">
            <v>-2.4877832074633455E-2</v>
          </cell>
          <cell r="CD97">
            <v>-6.9119286510590516E-3</v>
          </cell>
          <cell r="CE97">
            <v>-3.8802193167439936E-2</v>
          </cell>
          <cell r="CF97">
            <v>2.0604395604395531E-2</v>
          </cell>
          <cell r="CG97">
            <v>4.8192771084337283E-2</v>
          </cell>
          <cell r="CH97">
            <v>3.0068337129840472E-2</v>
          </cell>
          <cell r="CI97">
            <v>1.3807813201616614E-2</v>
          </cell>
          <cell r="CJ97">
            <v>2.6327336551118963E-2</v>
          </cell>
          <cell r="CK97">
            <v>3.3198743831314381E-2</v>
          </cell>
          <cell r="CL97">
            <v>0</v>
          </cell>
          <cell r="CM97">
            <v>1.769128704113232E-2</v>
          </cell>
          <cell r="CN97">
            <v>1.9266969327870642E-2</v>
          </cell>
          <cell r="CO97">
            <v>3.8477982043608305E-2</v>
          </cell>
          <cell r="CP97">
            <v>-1.3026487190620495E-3</v>
          </cell>
          <cell r="CQ97">
            <v>1.1936339522546469E-2</v>
          </cell>
          <cell r="CR97">
            <v>2.2598870056497189E-2</v>
          </cell>
          <cell r="CS97">
            <v>1.8033677349266641E-2</v>
          </cell>
          <cell r="CT97">
            <v>2.5524907369287808E-2</v>
          </cell>
          <cell r="CU97">
            <v>6.7391304347826031E-2</v>
          </cell>
          <cell r="CV97">
            <v>6.0288335517693303E-2</v>
          </cell>
          <cell r="CW97">
            <v>7.3297337140529883E-2</v>
          </cell>
          <cell r="CX97">
            <v>5.6287336921530873E-2</v>
          </cell>
          <cell r="CY97">
            <v>6.7438980074248533E-2</v>
          </cell>
          <cell r="CZ97">
            <v>0.11187054523356843</v>
          </cell>
          <cell r="DA97">
            <v>0.11631753046850379</v>
          </cell>
          <cell r="DB97">
            <v>0.10118940845706792</v>
          </cell>
          <cell r="DC97">
            <v>9.9054313123197568E-2</v>
          </cell>
          <cell r="DD97">
            <v>4.3060290354330455E-2</v>
          </cell>
          <cell r="DE97">
            <v>3.2668726285691951E-2</v>
          </cell>
          <cell r="DF97">
            <v>3.1438663592909366E-2</v>
          </cell>
          <cell r="DG97">
            <v>3.3003075463946763E-2</v>
          </cell>
          <cell r="DH97">
            <v>3.4987725708524042E-2</v>
          </cell>
          <cell r="DI97">
            <v>5.5142392919380168E-2</v>
          </cell>
          <cell r="DJ97">
            <v>4.2211562114631285E-2</v>
          </cell>
          <cell r="DK97">
            <v>4.2067979261174226E-2</v>
          </cell>
          <cell r="DL97">
            <v>4.4647208812917283E-2</v>
          </cell>
          <cell r="DM97">
            <v>4.598251710754897E-2</v>
          </cell>
          <cell r="DN97">
            <v>4.842832685330567E-2</v>
          </cell>
          <cell r="DO97">
            <v>4.5887046864864001E-2</v>
          </cell>
          <cell r="DP97">
            <v>4.6068399794980674E-2</v>
          </cell>
          <cell r="DQ97">
            <v>4.4744809243228989E-2</v>
          </cell>
          <cell r="DR97">
            <v>4.6272282050588975E-2</v>
          </cell>
        </row>
        <row r="98">
          <cell r="B98" t="str">
            <v>Net Revenue</v>
          </cell>
          <cell r="I98">
            <v>0.91073599301417585</v>
          </cell>
          <cell r="J98">
            <v>1.1051609771881576</v>
          </cell>
          <cell r="K98">
            <v>1.1303258145363411</v>
          </cell>
          <cell r="L98">
            <v>8.0307070606670861E-2</v>
          </cell>
          <cell r="M98">
            <v>0.65639735932096821</v>
          </cell>
          <cell r="N98">
            <v>0.12123951997369709</v>
          </cell>
          <cell r="O98">
            <v>7.3931755302797386E-2</v>
          </cell>
          <cell r="P98">
            <v>0.55058823529411782</v>
          </cell>
          <cell r="Q98">
            <v>1.3912449683726282</v>
          </cell>
          <cell r="R98">
            <v>0.55570316948187504</v>
          </cell>
          <cell r="S98">
            <v>0.60032255699728765</v>
          </cell>
          <cell r="T98">
            <v>0.64090453699728078</v>
          </cell>
          <cell r="U98">
            <v>0.13856221547799685</v>
          </cell>
          <cell r="V98">
            <v>-0.26954639733068808</v>
          </cell>
          <cell r="W98">
            <v>0.13541539587654028</v>
          </cell>
          <cell r="X98">
            <v>9.6655978011910282E-2</v>
          </cell>
          <cell r="Y98">
            <v>3.7505451373746279E-2</v>
          </cell>
          <cell r="Z98">
            <v>9.6209912536443065E-2</v>
          </cell>
          <cell r="AA98">
            <v>0.12427983539094645</v>
          </cell>
          <cell r="AB98">
            <v>8.9180186956054674E-2</v>
          </cell>
          <cell r="AC98">
            <v>0.10693400167084377</v>
          </cell>
          <cell r="AD98">
            <v>8.028583438419501E-2</v>
          </cell>
          <cell r="AE98">
            <v>1.5197568389058169E-3</v>
          </cell>
          <cell r="AF98">
            <v>-9.150805270863871E-3</v>
          </cell>
          <cell r="AG98">
            <v>4.2024267534773507E-2</v>
          </cell>
          <cell r="AH98">
            <v>1.132075471698113E-2</v>
          </cell>
          <cell r="AI98">
            <v>5.4085603112840497E-2</v>
          </cell>
          <cell r="AJ98">
            <v>6.866464339908962E-2</v>
          </cell>
          <cell r="AK98">
            <v>0.10749907646841517</v>
          </cell>
          <cell r="AL98">
            <v>6.068351793997917E-2</v>
          </cell>
          <cell r="AM98">
            <v>0.13843283582089549</v>
          </cell>
          <cell r="AN98">
            <v>0.15762273901808777</v>
          </cell>
          <cell r="AO98">
            <v>0.15299964501242447</v>
          </cell>
          <cell r="AP98">
            <v>0.16477651767845236</v>
          </cell>
          <cell r="AQ98">
            <v>0.15378436272759721</v>
          </cell>
          <cell r="AR98">
            <v>0.12291052114060963</v>
          </cell>
          <cell r="AS98">
            <v>0.11192602040816335</v>
          </cell>
          <cell r="AT98">
            <v>4.1256157635467972E-2</v>
          </cell>
          <cell r="BA98">
            <v>8.8888888888889461E-3</v>
          </cell>
          <cell r="BB98">
            <v>-3.7371535347243801E-2</v>
          </cell>
          <cell r="BC98">
            <v>-0.14903403863845444</v>
          </cell>
          <cell r="BD98">
            <v>-0.12569832402234637</v>
          </cell>
          <cell r="BE98">
            <v>-7.6533790096543153E-2</v>
          </cell>
          <cell r="BF98">
            <v>-0.25235997482693517</v>
          </cell>
          <cell r="BG98">
            <v>-0.32999029440310579</v>
          </cell>
          <cell r="BH98">
            <v>-0.21189189189189184</v>
          </cell>
          <cell r="BI98">
            <v>-0.21299254526091582</v>
          </cell>
          <cell r="BJ98">
            <v>-0.25377286906668917</v>
          </cell>
          <cell r="BK98">
            <v>-1.7676767676767624E-2</v>
          </cell>
          <cell r="BL98">
            <v>9.4640270400772497E-2</v>
          </cell>
          <cell r="BM98">
            <v>4.5724737082752931E-4</v>
          </cell>
          <cell r="BN98">
            <v>-4.0595399188091963E-2</v>
          </cell>
          <cell r="BO98">
            <v>7.3438029601176069E-3</v>
          </cell>
          <cell r="BP98">
            <v>-2.4850042844901443E-2</v>
          </cell>
          <cell r="BQ98">
            <v>-8.8222320247022479E-2</v>
          </cell>
          <cell r="BR98">
            <v>-0.1042047531992687</v>
          </cell>
          <cell r="BS98">
            <v>-3.3850493653032387E-2</v>
          </cell>
          <cell r="BT98">
            <v>-6.2584118438761771E-2</v>
          </cell>
          <cell r="BU98">
            <v>-6.0632688927943712E-2</v>
          </cell>
          <cell r="BV98">
            <v>4.8379293662312861E-3</v>
          </cell>
          <cell r="BW98">
            <v>4.7448979591836693E-2</v>
          </cell>
          <cell r="BX98">
            <v>3.0170316301703082E-2</v>
          </cell>
          <cell r="BY98">
            <v>3.2304379038048392E-3</v>
          </cell>
          <cell r="BZ98">
            <v>3.9289055191767952E-2</v>
          </cell>
          <cell r="CA98">
            <v>-2.2628791526239755E-2</v>
          </cell>
          <cell r="CB98">
            <v>-2.9712615684364341E-2</v>
          </cell>
          <cell r="CC98">
            <v>-4.1568256967406736E-2</v>
          </cell>
          <cell r="CD98">
            <v>-1.3357185450208697E-2</v>
          </cell>
          <cell r="CE98">
            <v>-4.4554455445544594E-2</v>
          </cell>
          <cell r="CF98">
            <v>1.5763546798029493E-2</v>
          </cell>
          <cell r="CG98">
            <v>3.8654618473895619E-2</v>
          </cell>
          <cell r="CH98">
            <v>2.5135534746180355E-2</v>
          </cell>
          <cell r="CI98">
            <v>7.3733832950562128E-3</v>
          </cell>
          <cell r="CJ98">
            <v>1.2717852096090443E-2</v>
          </cell>
          <cell r="CK98">
            <v>3.2977691561590694E-2</v>
          </cell>
          <cell r="CL98">
            <v>2.8999516674721448E-3</v>
          </cell>
          <cell r="CM98">
            <v>1.4423076923076872E-2</v>
          </cell>
          <cell r="CN98">
            <v>1.5718742500600014E-2</v>
          </cell>
          <cell r="CO98">
            <v>4.6511627906976827E-2</v>
          </cell>
          <cell r="CP98">
            <v>9.3896713615015948E-4</v>
          </cell>
          <cell r="CQ98">
            <v>1.2048192771084265E-2</v>
          </cell>
          <cell r="CR98">
            <v>2.9383886255924141E-2</v>
          </cell>
          <cell r="CS98">
            <v>2.2327229769639745E-2</v>
          </cell>
          <cell r="CT98">
            <v>2.3111111111111082E-2</v>
          </cell>
          <cell r="CU98">
            <v>6.2382739212007543E-2</v>
          </cell>
          <cell r="CV98">
            <v>5.7619047619047681E-2</v>
          </cell>
          <cell r="CW98">
            <v>6.6927795257115896E-2</v>
          </cell>
          <cell r="CX98">
            <v>5.2157057002363727E-2</v>
          </cell>
          <cell r="CY98">
            <v>6.6074360352619932E-2</v>
          </cell>
          <cell r="CZ98">
            <v>0.1129383635150234</v>
          </cell>
          <cell r="DA98">
            <v>0.11783946990635341</v>
          </cell>
          <cell r="DB98">
            <v>0.10124631054560895</v>
          </cell>
          <cell r="DC98">
            <v>9.931009840867322E-2</v>
          </cell>
          <cell r="DD98">
            <v>6.092665794983132E-2</v>
          </cell>
          <cell r="DE98">
            <v>5.1123471515036822E-2</v>
          </cell>
          <cell r="DF98">
            <v>5.1151520792347416E-2</v>
          </cell>
          <cell r="DG98">
            <v>5.209261069644322E-2</v>
          </cell>
          <cell r="DH98">
            <v>5.3781004915468777E-2</v>
          </cell>
          <cell r="DI98">
            <v>6.3614273514227548E-2</v>
          </cell>
          <cell r="DJ98">
            <v>4.9506524743467395E-2</v>
          </cell>
          <cell r="DK98">
            <v>4.9904091482493751E-2</v>
          </cell>
          <cell r="DL98">
            <v>5.2300682975454871E-2</v>
          </cell>
          <cell r="DM98">
            <v>5.3798442023277104E-2</v>
          </cell>
          <cell r="DN98">
            <v>5.3332622211172298E-2</v>
          </cell>
          <cell r="DO98">
            <v>5.0840778334003911E-2</v>
          </cell>
          <cell r="DP98">
            <v>5.1412780039979067E-2</v>
          </cell>
          <cell r="DQ98">
            <v>4.9775960408286357E-2</v>
          </cell>
          <cell r="DR98">
            <v>5.1331926005033113E-2</v>
          </cell>
        </row>
        <row r="99">
          <cell r="B99" t="str">
            <v>Salaries, wages &amp; benefits</v>
          </cell>
          <cell r="I99">
            <v>-2.301041966585482E-2</v>
          </cell>
          <cell r="J99">
            <v>0.99523809523809548</v>
          </cell>
          <cell r="K99">
            <v>1.0697420995277875</v>
          </cell>
          <cell r="L99">
            <v>0.8948245982564853</v>
          </cell>
          <cell r="M99">
            <v>0.60497439648866136</v>
          </cell>
          <cell r="N99">
            <v>0.13241736360015932</v>
          </cell>
          <cell r="O99">
            <v>6.7376537543601955E-2</v>
          </cell>
          <cell r="P99">
            <v>0.59880659880659892</v>
          </cell>
          <cell r="Q99">
            <v>1.6206478434089733</v>
          </cell>
          <cell r="R99">
            <v>0.62898814949863269</v>
          </cell>
          <cell r="S99">
            <v>0.69861086688939666</v>
          </cell>
          <cell r="T99">
            <v>0.73202614379084974</v>
          </cell>
          <cell r="U99">
            <v>0.141602634467618</v>
          </cell>
          <cell r="V99">
            <v>-0.31323947385815321</v>
          </cell>
          <cell r="W99">
            <v>0.13374370453273654</v>
          </cell>
          <cell r="X99">
            <v>5.3830227743271175E-2</v>
          </cell>
          <cell r="Y99">
            <v>3.1777557100297837E-2</v>
          </cell>
          <cell r="Z99">
            <v>0.11538461538461542</v>
          </cell>
          <cell r="AA99">
            <v>0.15014436958614041</v>
          </cell>
          <cell r="AB99">
            <v>8.8845014807502398E-2</v>
          </cell>
          <cell r="AC99">
            <v>0.14047151277013747</v>
          </cell>
          <cell r="AD99">
            <v>6.8334937439846088E-2</v>
          </cell>
          <cell r="AE99">
            <v>-3.3620689655172398E-2</v>
          </cell>
          <cell r="AF99">
            <v>-6.6108786610878711E-2</v>
          </cell>
          <cell r="AG99">
            <v>2.1758839528558394E-2</v>
          </cell>
          <cell r="AH99">
            <v>-3.2730404823428039E-2</v>
          </cell>
          <cell r="AI99">
            <v>1.8018018018018056E-2</v>
          </cell>
          <cell r="AJ99">
            <v>5.0847457627118731E-2</v>
          </cell>
          <cell r="AK99">
            <v>0.11917562724014341</v>
          </cell>
          <cell r="AL99">
            <v>3.815439219165917E-2</v>
          </cell>
          <cell r="AM99">
            <v>0.13089937666963491</v>
          </cell>
          <cell r="AN99">
            <v>0.15044247787610621</v>
          </cell>
          <cell r="AO99">
            <v>0.14685908319185059</v>
          </cell>
          <cell r="AP99">
            <v>0.14091273018414729</v>
          </cell>
          <cell r="AQ99">
            <v>0.14230769230769225</v>
          </cell>
          <cell r="AR99">
            <v>0.12047244094488185</v>
          </cell>
          <cell r="AS99">
            <v>0.11307692307692307</v>
          </cell>
          <cell r="AT99">
            <v>7.401924500370094E-2</v>
          </cell>
          <cell r="BA99">
            <v>9.1859596713965708E-2</v>
          </cell>
          <cell r="BB99">
            <v>8.9430894308943021E-2</v>
          </cell>
          <cell r="BC99">
            <v>3.1976744186046568E-2</v>
          </cell>
          <cell r="BD99">
            <v>3.9143279172821233E-2</v>
          </cell>
          <cell r="BE99">
            <v>6.2891921800073858E-2</v>
          </cell>
          <cell r="BF99">
            <v>-0.21614227086183313</v>
          </cell>
          <cell r="BG99">
            <v>-0.23270013568521031</v>
          </cell>
          <cell r="BH99">
            <v>-0.24084507042253522</v>
          </cell>
          <cell r="BI99">
            <v>-0.23525230987917556</v>
          </cell>
          <cell r="BJ99">
            <v>-0.23112961998958881</v>
          </cell>
          <cell r="BK99">
            <v>-1.919720767888311E-2</v>
          </cell>
          <cell r="BL99">
            <v>-1.5030946065428874E-2</v>
          </cell>
          <cell r="BM99">
            <v>1.9480519480519431E-2</v>
          </cell>
          <cell r="BN99">
            <v>-2.3234200743494471E-2</v>
          </cell>
          <cell r="BO99">
            <v>-9.7043556759196514E-3</v>
          </cell>
          <cell r="BP99">
            <v>-4.3594306049822062E-2</v>
          </cell>
          <cell r="BQ99">
            <v>-0.13554757630161585</v>
          </cell>
          <cell r="BR99">
            <v>-0.13284804367606917</v>
          </cell>
          <cell r="BS99">
            <v>-6.1845861084681264E-2</v>
          </cell>
          <cell r="BT99">
            <v>-9.3664539653600776E-2</v>
          </cell>
          <cell r="BU99">
            <v>-5.2093023255813997E-2</v>
          </cell>
          <cell r="BV99">
            <v>3.1152647975077885E-2</v>
          </cell>
          <cell r="BW99">
            <v>3.147953830010497E-2</v>
          </cell>
          <cell r="BX99">
            <v>3.7525354969573987E-2</v>
          </cell>
          <cell r="BY99">
            <v>1.0309278350515427E-2</v>
          </cell>
          <cell r="BZ99">
            <v>1.6683022571148287E-2</v>
          </cell>
          <cell r="CA99">
            <v>-2.6183282980866029E-2</v>
          </cell>
          <cell r="CB99">
            <v>-3.153611393692779E-2</v>
          </cell>
          <cell r="CC99">
            <v>-5.474095796676437E-2</v>
          </cell>
          <cell r="CD99">
            <v>-2.3892483822797406E-2</v>
          </cell>
          <cell r="CE99">
            <v>-5.8880308880308929E-2</v>
          </cell>
          <cell r="CF99">
            <v>-1.8614270941054833E-2</v>
          </cell>
          <cell r="CG99">
            <v>2.1008403361344463E-3</v>
          </cell>
          <cell r="CH99">
            <v>2.2750775594622574E-2</v>
          </cell>
          <cell r="CI99">
            <v>-1.4023457419683805E-2</v>
          </cell>
          <cell r="CJ99">
            <v>1.2307692307692353E-2</v>
          </cell>
          <cell r="CK99">
            <v>2.1074815595363505E-2</v>
          </cell>
          <cell r="CL99">
            <v>2.4109014675052443E-2</v>
          </cell>
          <cell r="CM99">
            <v>-2.2244691607684497E-2</v>
          </cell>
          <cell r="CN99">
            <v>8.5337470907680402E-3</v>
          </cell>
          <cell r="CO99">
            <v>3.039513677811545E-2</v>
          </cell>
          <cell r="CP99">
            <v>1.3415892672858698E-2</v>
          </cell>
          <cell r="CQ99">
            <v>2.5588536335721557E-2</v>
          </cell>
          <cell r="CR99">
            <v>4.8603929679420954E-2</v>
          </cell>
          <cell r="CS99">
            <v>2.9487179487179382E-2</v>
          </cell>
          <cell r="CT99">
            <v>4.4247787610619538E-2</v>
          </cell>
          <cell r="CU99">
            <v>7.3319755600814718E-2</v>
          </cell>
          <cell r="CV99">
            <v>4.7904191616766401E-2</v>
          </cell>
          <cell r="CW99">
            <v>5.9693455496085956E-2</v>
          </cell>
          <cell r="CX99">
            <v>5.6171647290916837E-2</v>
          </cell>
          <cell r="CY99">
            <v>8.8816222507696718E-2</v>
          </cell>
          <cell r="CZ99">
            <v>9.4622009969425491E-2</v>
          </cell>
          <cell r="DA99">
            <v>9.5386147789322751E-2</v>
          </cell>
          <cell r="DB99">
            <v>7.8776030507884176E-2</v>
          </cell>
          <cell r="DC99">
            <v>8.934192161965604E-2</v>
          </cell>
          <cell r="DD99">
            <v>3.9506043787594702E-2</v>
          </cell>
          <cell r="DE99">
            <v>4.2212424625914791E-2</v>
          </cell>
          <cell r="DF99">
            <v>4.5253123643984594E-2</v>
          </cell>
          <cell r="DG99">
            <v>4.4332127230181761E-2</v>
          </cell>
          <cell r="DH99">
            <v>4.2823963808293231E-2</v>
          </cell>
          <cell r="DI99">
            <v>6.0053382366967112E-2</v>
          </cell>
          <cell r="DJ99">
            <v>4.9841842344150011E-2</v>
          </cell>
          <cell r="DK99">
            <v>4.7468975500913668E-2</v>
          </cell>
          <cell r="DL99">
            <v>4.8749918133787373E-2</v>
          </cell>
          <cell r="DM99">
            <v>5.1523273948304249E-2</v>
          </cell>
          <cell r="DN99">
            <v>4.960513613755424E-2</v>
          </cell>
          <cell r="DO99">
            <v>5.025676090117126E-2</v>
          </cell>
          <cell r="DP99">
            <v>5.0475153432832931E-2</v>
          </cell>
          <cell r="DQ99">
            <v>4.8703268760963647E-2</v>
          </cell>
          <cell r="DR99">
            <v>4.9757776049388358E-2</v>
          </cell>
        </row>
        <row r="100">
          <cell r="B100" t="str">
            <v>Supplies</v>
          </cell>
          <cell r="I100" t="str">
            <v>nm</v>
          </cell>
          <cell r="J100">
            <v>1.3694267515923566</v>
          </cell>
          <cell r="K100">
            <v>1.3809523809523809</v>
          </cell>
          <cell r="L100">
            <v>-0.26048237476808922</v>
          </cell>
          <cell r="M100">
            <v>0.7685185185185186</v>
          </cell>
          <cell r="N100">
            <v>6.8830442081701193E-2</v>
          </cell>
          <cell r="O100">
            <v>9.7311827956989116E-2</v>
          </cell>
          <cell r="P100">
            <v>0.5774999999999999</v>
          </cell>
          <cell r="Q100">
            <v>1.4405418966382344</v>
          </cell>
          <cell r="R100">
            <v>0.56675392670157065</v>
          </cell>
          <cell r="S100">
            <v>0.68062827225130884</v>
          </cell>
          <cell r="T100">
            <v>0.61685448309652147</v>
          </cell>
          <cell r="U100">
            <v>0.15689381933438984</v>
          </cell>
          <cell r="V100">
            <v>-0.26192434210526316</v>
          </cell>
          <cell r="W100">
            <v>0.14870509607351723</v>
          </cell>
          <cell r="X100">
            <v>9.0342679127725756E-2</v>
          </cell>
          <cell r="Y100">
            <v>6.3636363636363713E-2</v>
          </cell>
          <cell r="Z100">
            <v>0.10410958904109591</v>
          </cell>
          <cell r="AA100">
            <v>0.17270194986072429</v>
          </cell>
          <cell r="AB100">
            <v>0.10909090909090913</v>
          </cell>
          <cell r="AC100">
            <v>0.16285714285714281</v>
          </cell>
          <cell r="AD100">
            <v>0.10256410256410264</v>
          </cell>
          <cell r="AE100">
            <v>-4.9627791563275903E-3</v>
          </cell>
          <cell r="AF100">
            <v>-4.9881235154394354E-2</v>
          </cell>
          <cell r="AG100">
            <v>4.590163934426239E-2</v>
          </cell>
          <cell r="AH100">
            <v>-7.3710073710073765E-3</v>
          </cell>
          <cell r="AI100">
            <v>4.6511627906976827E-2</v>
          </cell>
          <cell r="AJ100">
            <v>4.7381546134663388E-2</v>
          </cell>
          <cell r="AK100">
            <v>0.12000000000000011</v>
          </cell>
          <cell r="AL100">
            <v>5.1410658307210033E-2</v>
          </cell>
          <cell r="AM100">
            <v>0.15346534653465338</v>
          </cell>
          <cell r="AN100">
            <v>0.16790123456790118</v>
          </cell>
          <cell r="AO100">
            <v>0.18095238095238098</v>
          </cell>
          <cell r="AP100">
            <v>0.171875</v>
          </cell>
          <cell r="AQ100">
            <v>0.16875372689326174</v>
          </cell>
          <cell r="AR100">
            <v>0.13519313304721026</v>
          </cell>
          <cell r="AS100">
            <v>0.13319238900634245</v>
          </cell>
          <cell r="AT100">
            <v>0.125</v>
          </cell>
          <cell r="BA100">
            <v>7.7709611451942662E-2</v>
          </cell>
          <cell r="BB100">
            <v>0.10526315789473695</v>
          </cell>
          <cell r="BC100">
            <v>3.9920159680638667E-2</v>
          </cell>
          <cell r="BD100">
            <v>7.0281124497991954E-2</v>
          </cell>
          <cell r="BE100">
            <v>7.2847682119205226E-2</v>
          </cell>
          <cell r="BF100">
            <v>-0.14800759013282727</v>
          </cell>
          <cell r="BG100">
            <v>-0.16761904761904767</v>
          </cell>
          <cell r="BH100">
            <v>-0.18809980806142035</v>
          </cell>
          <cell r="BI100">
            <v>-0.16697936210131337</v>
          </cell>
          <cell r="BJ100">
            <v>-0.16761633428300093</v>
          </cell>
          <cell r="BK100">
            <v>1.7817371937639104E-2</v>
          </cell>
          <cell r="BL100">
            <v>2.2883295194507935E-2</v>
          </cell>
          <cell r="BM100">
            <v>5.4373522458628809E-2</v>
          </cell>
          <cell r="BN100">
            <v>-4.5045045045045029E-2</v>
          </cell>
          <cell r="BO100">
            <v>1.1979463776383259E-2</v>
          </cell>
          <cell r="BP100">
            <v>-1.7505470459518557E-2</v>
          </cell>
          <cell r="BQ100">
            <v>-0.10961968680089484</v>
          </cell>
          <cell r="BR100">
            <v>-0.13452914798206284</v>
          </cell>
          <cell r="BS100">
            <v>-7.547169811320753E-2</v>
          </cell>
          <cell r="BT100">
            <v>-8.399098083427281E-2</v>
          </cell>
          <cell r="BU100">
            <v>-9.1314031180400934E-2</v>
          </cell>
          <cell r="BV100">
            <v>2.5125628140703071E-3</v>
          </cell>
          <cell r="BW100">
            <v>-7.7720207253886286E-3</v>
          </cell>
          <cell r="BX100">
            <v>3.5714285714285809E-2</v>
          </cell>
          <cell r="BY100">
            <v>-1.7846153846153845E-2</v>
          </cell>
          <cell r="BZ100">
            <v>2.9411764705882248E-2</v>
          </cell>
          <cell r="CA100">
            <v>-1.7543859649122862E-2</v>
          </cell>
          <cell r="CB100">
            <v>-7.8328981723237989E-3</v>
          </cell>
          <cell r="CC100">
            <v>-4.4334975369458074E-2</v>
          </cell>
          <cell r="CD100">
            <v>-1.0025062656641603E-2</v>
          </cell>
          <cell r="CE100">
            <v>-5.9523809523809534E-2</v>
          </cell>
          <cell r="CF100">
            <v>7.6530612244898322E-3</v>
          </cell>
          <cell r="CG100">
            <v>2.3684210526315752E-2</v>
          </cell>
          <cell r="CH100">
            <v>1.5463917525773141E-2</v>
          </cell>
          <cell r="CI100">
            <v>-4.4303797468354666E-3</v>
          </cell>
          <cell r="CJ100">
            <v>7.5949367088608E-3</v>
          </cell>
          <cell r="CK100">
            <v>0</v>
          </cell>
          <cell r="CL100">
            <v>2.5706940874035134E-3</v>
          </cell>
          <cell r="CM100">
            <v>0</v>
          </cell>
          <cell r="CN100">
            <v>2.5429116338206992E-3</v>
          </cell>
          <cell r="CO100">
            <v>-5.0251256281407253E-3</v>
          </cell>
          <cell r="CP100">
            <v>-7.5949367088608E-3</v>
          </cell>
          <cell r="CQ100">
            <v>-2.8205128205128216E-2</v>
          </cell>
          <cell r="CR100">
            <v>-3.2994923857868064E-2</v>
          </cell>
          <cell r="CS100">
            <v>-1.8389346861128697E-2</v>
          </cell>
          <cell r="CT100">
            <v>7.575757575757569E-3</v>
          </cell>
          <cell r="CU100">
            <v>-7.6530612244898322E-3</v>
          </cell>
          <cell r="CV100">
            <v>-7.9155672823219003E-3</v>
          </cell>
          <cell r="CW100">
            <v>2.7984841913042402E-4</v>
          </cell>
          <cell r="CX100">
            <v>-1.8691070751364336E-3</v>
          </cell>
          <cell r="CY100">
            <v>2.7711365174218461E-2</v>
          </cell>
          <cell r="CZ100">
            <v>3.3120320932708447E-2</v>
          </cell>
          <cell r="DA100">
            <v>3.3742932967811168E-2</v>
          </cell>
          <cell r="DB100">
            <v>2.5050730033779889E-2</v>
          </cell>
          <cell r="DC100">
            <v>2.9884657010967208E-2</v>
          </cell>
          <cell r="DD100">
            <v>3.3157723362291502E-2</v>
          </cell>
          <cell r="DE100">
            <v>3.7098820657175846E-2</v>
          </cell>
          <cell r="DF100">
            <v>4.1055331272961348E-2</v>
          </cell>
          <cell r="DG100">
            <v>4.0593012542440299E-2</v>
          </cell>
          <cell r="DH100">
            <v>3.7907471009627658E-2</v>
          </cell>
          <cell r="DI100">
            <v>4.8556215015722826E-2</v>
          </cell>
          <cell r="DJ100">
            <v>4.2401208953964487E-2</v>
          </cell>
          <cell r="DK100">
            <v>4.2491214692094603E-2</v>
          </cell>
          <cell r="DL100">
            <v>4.3503045148483688E-2</v>
          </cell>
          <cell r="DM100">
            <v>4.4273280157702377E-2</v>
          </cell>
          <cell r="DN100">
            <v>4.7988716106059703E-2</v>
          </cell>
          <cell r="DO100">
            <v>4.4597187761376E-2</v>
          </cell>
          <cell r="DP100">
            <v>4.5100183817665451E-2</v>
          </cell>
          <cell r="DQ100">
            <v>4.3910940253368835E-2</v>
          </cell>
          <cell r="DR100">
            <v>4.5424960051245078E-2</v>
          </cell>
        </row>
        <row r="101">
          <cell r="B101" t="str">
            <v>Provision for doubtful accounts</v>
          </cell>
          <cell r="I101">
            <v>1.5768656430677335</v>
          </cell>
          <cell r="J101">
            <v>2.3671497584541066</v>
          </cell>
          <cell r="K101">
            <v>2.253393665158371</v>
          </cell>
          <cell r="L101">
            <v>0.19119310253660959</v>
          </cell>
          <cell r="M101">
            <v>1.1167883211678831</v>
          </cell>
          <cell r="N101">
            <v>0.10698365527488862</v>
          </cell>
          <cell r="O101">
            <v>0.12912482065997133</v>
          </cell>
          <cell r="P101">
            <v>0.78164116828929053</v>
          </cell>
          <cell r="Q101">
            <v>1.6226880394574605</v>
          </cell>
          <cell r="R101">
            <v>0.70344827586206904</v>
          </cell>
          <cell r="S101">
            <v>0.98657718120805371</v>
          </cell>
          <cell r="T101">
            <v>0.72808132147395166</v>
          </cell>
          <cell r="U101">
            <v>0.27244340359094465</v>
          </cell>
          <cell r="V101">
            <v>-0.33709449929478152</v>
          </cell>
          <cell r="W101">
            <v>0.19028340080971651</v>
          </cell>
          <cell r="X101">
            <v>7.4324324324324342E-2</v>
          </cell>
          <cell r="Y101">
            <v>0.35294117647058831</v>
          </cell>
          <cell r="Z101">
            <v>0.16564417177914104</v>
          </cell>
          <cell r="AA101">
            <v>0.4893617021276595</v>
          </cell>
          <cell r="AB101">
            <v>0.26360544217687076</v>
          </cell>
          <cell r="AC101">
            <v>0.40251572327044016</v>
          </cell>
          <cell r="AD101">
            <v>0.14130434782608692</v>
          </cell>
          <cell r="AE101">
            <v>0.12631578947368416</v>
          </cell>
          <cell r="AF101">
            <v>-2.8571428571428581E-2</v>
          </cell>
          <cell r="AG101">
            <v>0.14535666218034993</v>
          </cell>
          <cell r="AH101">
            <v>-4.4843049327354279E-2</v>
          </cell>
          <cell r="AI101">
            <v>-1.9047619047619091E-2</v>
          </cell>
          <cell r="AJ101">
            <v>2.3364485981308469E-2</v>
          </cell>
          <cell r="AK101">
            <v>3.4313725490196179E-2</v>
          </cell>
          <cell r="AL101">
            <v>-2.3501762632197609E-3</v>
          </cell>
          <cell r="AM101">
            <v>0.15492957746478875</v>
          </cell>
          <cell r="AN101">
            <v>0.25242718446601953</v>
          </cell>
          <cell r="AO101">
            <v>7.7625570776255648E-2</v>
          </cell>
          <cell r="AP101">
            <v>0.16587677725118488</v>
          </cell>
          <cell r="AQ101">
            <v>0.16136631330977624</v>
          </cell>
          <cell r="AR101">
            <v>0.12601626016260159</v>
          </cell>
          <cell r="AS101">
            <v>0.12790697674418605</v>
          </cell>
          <cell r="AT101">
            <v>0.28813559322033888</v>
          </cell>
          <cell r="BA101">
            <v>0.21777777777777785</v>
          </cell>
          <cell r="BB101">
            <v>0.31506849315068486</v>
          </cell>
          <cell r="BC101">
            <v>1.0076923076923077</v>
          </cell>
          <cell r="BD101">
            <v>0.34317343173431736</v>
          </cell>
          <cell r="BE101">
            <v>0.48512820512820509</v>
          </cell>
          <cell r="BF101">
            <v>6.9343065693430628E-2</v>
          </cell>
          <cell r="BG101">
            <v>0.73263888888888884</v>
          </cell>
          <cell r="BH101">
            <v>-0.51532567049808431</v>
          </cell>
          <cell r="BI101">
            <v>-0.4642857142857143</v>
          </cell>
          <cell r="BJ101">
            <v>-0.14364640883977897</v>
          </cell>
          <cell r="BK101">
            <v>-0.43003412969283272</v>
          </cell>
          <cell r="BL101">
            <v>-0.69338677354709422</v>
          </cell>
          <cell r="BM101">
            <v>-0.18577075098814233</v>
          </cell>
          <cell r="BN101">
            <v>-0.11794871794871797</v>
          </cell>
          <cell r="BO101">
            <v>-0.43709677419354842</v>
          </cell>
          <cell r="BP101">
            <v>-0.17365269461077848</v>
          </cell>
          <cell r="BQ101">
            <v>-0.16339869281045749</v>
          </cell>
          <cell r="BR101">
            <v>-0.23786407766990292</v>
          </cell>
          <cell r="BS101">
            <v>-0.27906976744186052</v>
          </cell>
          <cell r="BT101">
            <v>-0.21633237822349571</v>
          </cell>
          <cell r="BU101">
            <v>2.1739130434782705E-2</v>
          </cell>
          <cell r="BV101">
            <v>0.1796875</v>
          </cell>
          <cell r="BW101">
            <v>1.2738853503184711E-2</v>
          </cell>
          <cell r="BX101">
            <v>8.0645161290322509E-2</v>
          </cell>
          <cell r="BY101">
            <v>6.9469835466179131E-2</v>
          </cell>
          <cell r="BZ101">
            <v>5.6737588652482351E-2</v>
          </cell>
          <cell r="CA101">
            <v>1.9867549668874274E-2</v>
          </cell>
          <cell r="CB101">
            <v>4.4025157232704393E-2</v>
          </cell>
          <cell r="CC101">
            <v>0.23880597014925375</v>
          </cell>
          <cell r="CD101">
            <v>8.5470085470085388E-2</v>
          </cell>
          <cell r="CE101">
            <v>4.6979865771812124E-2</v>
          </cell>
          <cell r="CF101">
            <v>8.4415584415584499E-2</v>
          </cell>
          <cell r="CG101">
            <v>0.16265060240963858</v>
          </cell>
          <cell r="CH101">
            <v>9.0361445783132543E-2</v>
          </cell>
          <cell r="CI101">
            <v>9.7637795275590467E-2</v>
          </cell>
          <cell r="CJ101">
            <v>0.21153846153846145</v>
          </cell>
          <cell r="CK101">
            <v>3.5928143712574911E-2</v>
          </cell>
          <cell r="CL101">
            <v>-3.1088082901554404E-2</v>
          </cell>
          <cell r="CM101">
            <v>5.5248618784530468E-2</v>
          </cell>
          <cell r="CN101">
            <v>6.1692969870875247E-2</v>
          </cell>
          <cell r="CO101">
            <v>-5.2910052910052907E-2</v>
          </cell>
          <cell r="CP101">
            <v>-2.8901734104046284E-2</v>
          </cell>
          <cell r="CQ101">
            <v>1.0695187165775444E-2</v>
          </cell>
          <cell r="CR101">
            <v>-5.2356020942408432E-2</v>
          </cell>
          <cell r="CS101">
            <v>-3.1081081081081097E-2</v>
          </cell>
          <cell r="CT101">
            <v>5.5865921787709549E-2</v>
          </cell>
          <cell r="CU101">
            <v>0.13095238095238093</v>
          </cell>
          <cell r="CV101">
            <v>8.9947089947089998E-2</v>
          </cell>
          <cell r="CW101">
            <v>0.14973183974149662</v>
          </cell>
          <cell r="CX101">
            <v>0.10613872105050315</v>
          </cell>
          <cell r="CY101">
            <v>8.405990387948159E-2</v>
          </cell>
          <cell r="CZ101">
            <v>9.9141027299382012E-2</v>
          </cell>
          <cell r="DA101">
            <v>9.9908659150714785E-2</v>
          </cell>
          <cell r="DB101">
            <v>0.10055576066783134</v>
          </cell>
          <cell r="DC101">
            <v>9.6117716672494913E-2</v>
          </cell>
          <cell r="DD101">
            <v>-0.17093982002223529</v>
          </cell>
          <cell r="DE101">
            <v>-0.19009288651158718</v>
          </cell>
          <cell r="DF101">
            <v>-0.18456132741192999</v>
          </cell>
          <cell r="DG101">
            <v>-0.17970671845090636</v>
          </cell>
          <cell r="DH101">
            <v>-0.18140083508385607</v>
          </cell>
          <cell r="DI101">
            <v>-7.4712065096173008E-2</v>
          </cell>
          <cell r="DJ101">
            <v>-7.2069400894920976E-2</v>
          </cell>
          <cell r="DK101">
            <v>-6.8614485771563039E-2</v>
          </cell>
          <cell r="DL101">
            <v>-6.4732199102928045E-2</v>
          </cell>
          <cell r="DM101">
            <v>-6.9866186879398495E-2</v>
          </cell>
          <cell r="DN101">
            <v>-3.7981057875089541E-2</v>
          </cell>
          <cell r="DO101">
            <v>-4.1884333312097288E-2</v>
          </cell>
          <cell r="DP101">
            <v>-3.9024960680860143E-2</v>
          </cell>
          <cell r="DQ101">
            <v>-3.6155127760812311E-2</v>
          </cell>
          <cell r="DR101">
            <v>-3.8693268794584568E-2</v>
          </cell>
        </row>
        <row r="102">
          <cell r="B102" t="str">
            <v>Other operating expenses, net</v>
          </cell>
          <cell r="I102" t="str">
            <v>nm</v>
          </cell>
          <cell r="J102">
            <v>1.0518672199170123</v>
          </cell>
          <cell r="K102">
            <v>1.0327225130890052</v>
          </cell>
          <cell r="L102">
            <v>-0.30004332755632579</v>
          </cell>
          <cell r="M102">
            <v>0.59683794466403173</v>
          </cell>
          <cell r="N102">
            <v>0.14240056818181812</v>
          </cell>
          <cell r="O102">
            <v>7.9204583754634239E-2</v>
          </cell>
          <cell r="P102">
            <v>0.51545396007726962</v>
          </cell>
          <cell r="Q102">
            <v>1.2172701949860727</v>
          </cell>
          <cell r="R102">
            <v>0.50907590759075916</v>
          </cell>
          <cell r="S102">
            <v>0.51072427727696623</v>
          </cell>
          <cell r="T102">
            <v>0.59900062460961911</v>
          </cell>
          <cell r="U102">
            <v>0.10048863394943708</v>
          </cell>
          <cell r="V102">
            <v>-0.22529313232830828</v>
          </cell>
          <cell r="W102">
            <v>0.13231273920174957</v>
          </cell>
          <cell r="X102">
            <v>0.15432098765432101</v>
          </cell>
          <cell r="Y102">
            <v>5.078125E-2</v>
          </cell>
          <cell r="Z102">
            <v>0.17953667953667951</v>
          </cell>
          <cell r="AA102">
            <v>0.13873873873873865</v>
          </cell>
          <cell r="AB102">
            <v>0.13085465958474174</v>
          </cell>
          <cell r="AC102">
            <v>0.11408199643493755</v>
          </cell>
          <cell r="AD102">
            <v>0.12267657992565062</v>
          </cell>
          <cell r="AE102">
            <v>4.9099836333879043E-3</v>
          </cell>
          <cell r="AF102">
            <v>7.9113924050632889E-2</v>
          </cell>
          <cell r="AG102">
            <v>7.813834329632785E-2</v>
          </cell>
          <cell r="AH102">
            <v>1.760000000000006E-2</v>
          </cell>
          <cell r="AI102">
            <v>5.4635761589403975E-2</v>
          </cell>
          <cell r="AJ102">
            <v>4.3973941368078195E-2</v>
          </cell>
          <cell r="AK102">
            <v>1.0263929618768319E-2</v>
          </cell>
          <cell r="AL102">
            <v>3.0891089108910919E-2</v>
          </cell>
          <cell r="AM102">
            <v>8.3333333333333259E-2</v>
          </cell>
          <cell r="AN102">
            <v>7.5353218210361117E-2</v>
          </cell>
          <cell r="AO102">
            <v>6.0842433697347875E-2</v>
          </cell>
          <cell r="AP102">
            <v>0.11756168359941954</v>
          </cell>
          <cell r="AQ102">
            <v>8.490203611217817E-2</v>
          </cell>
          <cell r="AR102">
            <v>4.2089985486212012E-2</v>
          </cell>
          <cell r="AS102">
            <v>6.4233576642335866E-2</v>
          </cell>
          <cell r="AT102">
            <v>0.2617647058823529</v>
          </cell>
          <cell r="BA102">
            <v>0.11419753086419759</v>
          </cell>
          <cell r="BB102">
            <v>8.9725036179450157E-2</v>
          </cell>
          <cell r="BC102">
            <v>0.11045655375552288</v>
          </cell>
          <cell r="BD102">
            <v>-0.11970074812967579</v>
          </cell>
          <cell r="BE102">
            <v>4.0780141843971718E-2</v>
          </cell>
          <cell r="BF102">
            <v>-0.22576177285318555</v>
          </cell>
          <cell r="BG102">
            <v>-0.18990703851261626</v>
          </cell>
          <cell r="BH102">
            <v>-0.26127320954907163</v>
          </cell>
          <cell r="BI102">
            <v>-0.21246458923512745</v>
          </cell>
          <cell r="BJ102">
            <v>-0.22248722316865421</v>
          </cell>
          <cell r="BK102">
            <v>-5.7245080500894496E-2</v>
          </cell>
          <cell r="BL102">
            <v>-0.10327868852459021</v>
          </cell>
          <cell r="BM102">
            <v>-5.3859964093356805E-3</v>
          </cell>
          <cell r="BN102">
            <v>-1.7985611510791255E-3</v>
          </cell>
          <cell r="BO102">
            <v>-4.3382997370727483E-2</v>
          </cell>
          <cell r="BP102">
            <v>1.7077798861480087E-2</v>
          </cell>
          <cell r="BQ102">
            <v>-9.1407678244972534E-2</v>
          </cell>
          <cell r="BR102">
            <v>-7.4007220216606551E-2</v>
          </cell>
          <cell r="BS102">
            <v>-5.585585585585584E-2</v>
          </cell>
          <cell r="BT102">
            <v>-5.1763628034814491E-2</v>
          </cell>
          <cell r="BU102">
            <v>-2.6119402985074647E-2</v>
          </cell>
          <cell r="BV102">
            <v>6.4386317907444646E-2</v>
          </cell>
          <cell r="BW102">
            <v>-5.8479532163743242E-3</v>
          </cell>
          <cell r="BX102">
            <v>-3.8167938931297218E-3</v>
          </cell>
          <cell r="BY102">
            <v>6.2801932367149149E-3</v>
          </cell>
          <cell r="BZ102">
            <v>1.9157088122605304E-2</v>
          </cell>
          <cell r="CA102">
            <v>-3.9697542533081331E-2</v>
          </cell>
          <cell r="CB102">
            <v>-1.1764705882352899E-2</v>
          </cell>
          <cell r="CC102">
            <v>-9.0038314176245193E-2</v>
          </cell>
          <cell r="CD102">
            <v>-3.0724915986557799E-2</v>
          </cell>
          <cell r="CE102">
            <v>-0.10338345864661658</v>
          </cell>
          <cell r="CF102">
            <v>-7.086614173228345E-2</v>
          </cell>
          <cell r="CG102">
            <v>-3.5714285714285698E-2</v>
          </cell>
          <cell r="CH102">
            <v>8.4210526315788847E-3</v>
          </cell>
          <cell r="CI102">
            <v>-5.2005943536404198E-2</v>
          </cell>
          <cell r="CJ102">
            <v>-2.0964360587002129E-2</v>
          </cell>
          <cell r="CK102">
            <v>5.508474576271194E-2</v>
          </cell>
          <cell r="CL102">
            <v>3.9094650205761416E-2</v>
          </cell>
          <cell r="CM102">
            <v>-2.2964509394572064E-2</v>
          </cell>
          <cell r="CN102">
            <v>1.2539184952978122E-2</v>
          </cell>
          <cell r="CO102">
            <v>5.1391862955032064E-2</v>
          </cell>
          <cell r="CP102">
            <v>2.008032128514059E-2</v>
          </cell>
          <cell r="CQ102">
            <v>4.3564356435643603E-2</v>
          </cell>
          <cell r="CR102">
            <v>5.555555555555558E-2</v>
          </cell>
          <cell r="CS102">
            <v>4.2311661506707843E-2</v>
          </cell>
          <cell r="CT102">
            <v>8.1466395112016254E-2</v>
          </cell>
          <cell r="CU102">
            <v>5.1181102362204633E-2</v>
          </cell>
          <cell r="CV102">
            <v>2.2770398481973375E-2</v>
          </cell>
          <cell r="CW102">
            <v>0.10433827013742736</v>
          </cell>
          <cell r="CX102">
            <v>6.4130250221727358E-2</v>
          </cell>
          <cell r="CY102">
            <v>0.18533878979740348</v>
          </cell>
          <cell r="CZ102">
            <v>0.19049123757753517</v>
          </cell>
          <cell r="DA102">
            <v>0.18771898740653348</v>
          </cell>
          <cell r="DB102">
            <v>0.15059677504113389</v>
          </cell>
          <cell r="DC102">
            <v>0.17839827627342286</v>
          </cell>
          <cell r="DD102">
            <v>4.4846308180431116E-2</v>
          </cell>
          <cell r="DE102">
            <v>4.7308659130717023E-2</v>
          </cell>
          <cell r="DF102">
            <v>5.0124599385728441E-2</v>
          </cell>
          <cell r="DG102">
            <v>4.9158088385062415E-2</v>
          </cell>
          <cell r="DH102">
            <v>4.7866790508025892E-2</v>
          </cell>
          <cell r="DI102">
            <v>6.4625061775773762E-2</v>
          </cell>
          <cell r="DJ102">
            <v>5.4706494488260038E-2</v>
          </cell>
          <cell r="DK102">
            <v>5.2313308332406994E-2</v>
          </cell>
          <cell r="DL102">
            <v>5.3465469503155783E-2</v>
          </cell>
          <cell r="DM102">
            <v>5.6249939969164719E-2</v>
          </cell>
          <cell r="DN102">
            <v>5.4132142027374153E-2</v>
          </cell>
          <cell r="DO102">
            <v>5.5026215289476266E-2</v>
          </cell>
          <cell r="DP102">
            <v>5.5231783416417768E-2</v>
          </cell>
          <cell r="DQ102">
            <v>5.3441283753113744E-2</v>
          </cell>
          <cell r="DR102">
            <v>5.4462603311844493E-2</v>
          </cell>
        </row>
        <row r="103">
          <cell r="B103" t="str">
            <v>EBITDA</v>
          </cell>
          <cell r="I103">
            <v>1.0710734371179393</v>
          </cell>
          <cell r="J103">
            <v>1.2442622950819677</v>
          </cell>
          <cell r="K103">
            <v>1.2137767220902633</v>
          </cell>
          <cell r="L103">
            <v>-4.4230500906935588E-2</v>
          </cell>
          <cell r="M103">
            <v>0.72866894197952226</v>
          </cell>
          <cell r="N103">
            <v>0.11255411255411185</v>
          </cell>
          <cell r="O103">
            <v>6.5376186997808228E-2</v>
          </cell>
          <cell r="P103">
            <v>-0.5014306151645207</v>
          </cell>
          <cell r="Q103">
            <v>-0.30316301703163273</v>
          </cell>
          <cell r="R103">
            <v>-0.15399802566633758</v>
          </cell>
          <cell r="S103">
            <v>0.45030067209055602</v>
          </cell>
          <cell r="T103">
            <v>0.52211175865615433</v>
          </cell>
          <cell r="U103">
            <v>2.4289813486370138</v>
          </cell>
          <cell r="V103">
            <v>0.78770949720671246</v>
          </cell>
          <cell r="W103">
            <v>0.85297549591598609</v>
          </cell>
          <cell r="X103">
            <v>0.13414634146341453</v>
          </cell>
          <cell r="Y103">
            <v>1.5765765765765716E-2</v>
          </cell>
          <cell r="Z103">
            <v>-4.1841004184100417E-2</v>
          </cell>
          <cell r="AA103">
            <v>-0.52734375</v>
          </cell>
          <cell r="AB103">
            <v>-5.8564231738035266E-2</v>
          </cell>
          <cell r="AC103">
            <v>-1.7204301075268824E-2</v>
          </cell>
          <cell r="AD103">
            <v>3.9911308203991025E-2</v>
          </cell>
          <cell r="AE103">
            <v>-0.41484716157205237</v>
          </cell>
          <cell r="AF103">
            <v>2.1900826446280992</v>
          </cell>
          <cell r="AG103">
            <v>5.6856187290969862E-2</v>
          </cell>
          <cell r="AH103">
            <v>0.13129102844638951</v>
          </cell>
          <cell r="AI103">
            <v>0.14498933901918987</v>
          </cell>
          <cell r="AJ103">
            <v>1.1567164179104479</v>
          </cell>
          <cell r="AK103">
            <v>0.21502590673575139</v>
          </cell>
          <cell r="AL103">
            <v>0.32974683544303796</v>
          </cell>
          <cell r="AM103">
            <v>0.21083172147001927</v>
          </cell>
          <cell r="AN103">
            <v>7.8212290502793325E-2</v>
          </cell>
          <cell r="AO103">
            <v>0.24740484429065734</v>
          </cell>
          <cell r="AP103">
            <v>0.64605543710021318</v>
          </cell>
          <cell r="AQ103">
            <v>0.28415040456925267</v>
          </cell>
          <cell r="AR103">
            <v>0.20766773162939289</v>
          </cell>
          <cell r="AS103">
            <v>0.22797927461139889</v>
          </cell>
          <cell r="AT103">
            <v>-0.84327323162274614</v>
          </cell>
          <cell r="BA103">
            <v>-0.60682492581602376</v>
          </cell>
          <cell r="BB103" t="str">
            <v>nm</v>
          </cell>
          <cell r="BC103" t="str">
            <v>nm</v>
          </cell>
          <cell r="BD103" t="str">
            <v>nm</v>
          </cell>
          <cell r="BE103" t="str">
            <v>nm</v>
          </cell>
          <cell r="BF103">
            <v>-0.42641509433962266</v>
          </cell>
          <cell r="BG103" t="str">
            <v>nm</v>
          </cell>
          <cell r="BH103" t="str">
            <v>nm</v>
          </cell>
          <cell r="BI103" t="str">
            <v>nm</v>
          </cell>
          <cell r="BJ103" t="str">
            <v>nm</v>
          </cell>
          <cell r="BK103">
            <v>0.27631578947368429</v>
          </cell>
          <cell r="BL103" t="str">
            <v>nm</v>
          </cell>
          <cell r="BM103" t="str">
            <v>nm</v>
          </cell>
          <cell r="BN103" t="str">
            <v>nm</v>
          </cell>
          <cell r="BO103" t="str">
            <v>nm</v>
          </cell>
          <cell r="BP103">
            <v>0</v>
          </cell>
          <cell r="BQ103" t="str">
            <v>nm</v>
          </cell>
          <cell r="BR103" t="str">
            <v>nm</v>
          </cell>
          <cell r="BS103" t="str">
            <v>nm</v>
          </cell>
          <cell r="BT103" t="str">
            <v>nm</v>
          </cell>
          <cell r="BU103">
            <v>-3.6082474226804107E-2</v>
          </cell>
          <cell r="BV103" t="str">
            <v>nm</v>
          </cell>
          <cell r="BW103">
            <v>0.54807692307692313</v>
          </cell>
          <cell r="BX103" t="str">
            <v>nm</v>
          </cell>
          <cell r="BY103" t="str">
            <v>nm</v>
          </cell>
          <cell r="BZ103">
            <v>-5.3475935828877219E-3</v>
          </cell>
          <cell r="CA103">
            <v>7.4829931972789199E-2</v>
          </cell>
          <cell r="CB103">
            <v>-6.2111801242236142E-3</v>
          </cell>
          <cell r="CC103">
            <v>0.56198347107438007</v>
          </cell>
          <cell r="CD103">
            <v>0.125</v>
          </cell>
          <cell r="CE103">
            <v>0.45161290322580649</v>
          </cell>
          <cell r="CF103">
            <v>0.49367088607594933</v>
          </cell>
          <cell r="CG103">
            <v>0.4375</v>
          </cell>
          <cell r="CH103">
            <v>-1.5873015873015928E-2</v>
          </cell>
          <cell r="CI103">
            <v>0.33044733044733055</v>
          </cell>
          <cell r="CJ103">
            <v>9.6296296296296324E-2</v>
          </cell>
          <cell r="CK103">
            <v>0.13559322033898313</v>
          </cell>
          <cell r="CL103">
            <v>-0.13913043478260867</v>
          </cell>
          <cell r="CM103">
            <v>0.43010752688172049</v>
          </cell>
          <cell r="CN103">
            <v>0.11496746203904551</v>
          </cell>
          <cell r="CO103">
            <v>0.18918918918918926</v>
          </cell>
          <cell r="CP103">
            <v>-1.1194029850746245E-2</v>
          </cell>
          <cell r="CQ103">
            <v>-9.5959595959595911E-2</v>
          </cell>
          <cell r="CR103">
            <v>-4.1353383458646586E-2</v>
          </cell>
          <cell r="CS103">
            <v>2.2373540856031049E-2</v>
          </cell>
          <cell r="CT103">
            <v>-0.13352272727272729</v>
          </cell>
          <cell r="CU103">
            <v>7.1698113207547154E-2</v>
          </cell>
          <cell r="CV103">
            <v>0.46927374301675973</v>
          </cell>
          <cell r="CW103">
            <v>0.2948559989405759</v>
          </cell>
          <cell r="CX103">
            <v>0.12482234037092987</v>
          </cell>
          <cell r="CY103">
            <v>-9.1611091338942741E-2</v>
          </cell>
          <cell r="CZ103">
            <v>0.226118553325797</v>
          </cell>
          <cell r="DA103">
            <v>0.22603851891712523</v>
          </cell>
          <cell r="DB103">
            <v>0.19087201609876603</v>
          </cell>
          <cell r="DC103">
            <v>0.13428327968354514</v>
          </cell>
          <cell r="DD103">
            <v>0.22383378533400333</v>
          </cell>
          <cell r="DE103">
            <v>0.10104578807795983</v>
          </cell>
          <cell r="DF103">
            <v>8.3425421088013874E-2</v>
          </cell>
          <cell r="DG103">
            <v>8.8595546702246786E-2</v>
          </cell>
          <cell r="DH103">
            <v>0.11852777622436905</v>
          </cell>
          <cell r="DI103">
            <v>7.1140957683704098E-2</v>
          </cell>
          <cell r="DJ103">
            <v>2.8426587488099342E-2</v>
          </cell>
          <cell r="DK103">
            <v>4.1665168508703276E-2</v>
          </cell>
          <cell r="DL103">
            <v>5.2013464369660367E-2</v>
          </cell>
          <cell r="DM103">
            <v>4.7897903494563243E-2</v>
          </cell>
          <cell r="DN103">
            <v>6.9568991949404246E-2</v>
          </cell>
          <cell r="DO103">
            <v>5.0524417675525291E-2</v>
          </cell>
          <cell r="DP103">
            <v>5.2784725930296705E-2</v>
          </cell>
          <cell r="DQ103">
            <v>5.1296472634316581E-2</v>
          </cell>
          <cell r="DR103">
            <v>5.5669821035584155E-2</v>
          </cell>
        </row>
        <row r="104">
          <cell r="B104" t="str">
            <v>Adjusted EBITDA</v>
          </cell>
          <cell r="I104">
            <v>1.0710734371179393</v>
          </cell>
          <cell r="J104">
            <v>1.2442622950819677</v>
          </cell>
          <cell r="K104">
            <v>1.2137767220902633</v>
          </cell>
          <cell r="L104">
            <v>0.15670013094718382</v>
          </cell>
          <cell r="M104">
            <v>0.76404494382022481</v>
          </cell>
          <cell r="N104">
            <v>0.11255411255411185</v>
          </cell>
          <cell r="O104">
            <v>6.5376186997808228E-2</v>
          </cell>
          <cell r="P104">
            <v>0.47210300429184504</v>
          </cell>
          <cell r="Q104">
            <v>1.0960548885077182</v>
          </cell>
          <cell r="R104">
            <v>0.45313921747042674</v>
          </cell>
          <cell r="S104">
            <v>0.45030067209055602</v>
          </cell>
          <cell r="T104">
            <v>0.52211175865615433</v>
          </cell>
          <cell r="U104">
            <v>0.16132167152575283</v>
          </cell>
          <cell r="V104">
            <v>-0.21931260229132488</v>
          </cell>
          <cell r="W104">
            <v>0.13274890419536689</v>
          </cell>
          <cell r="X104">
            <v>0.13414634146341453</v>
          </cell>
          <cell r="Y104">
            <v>1.5765765765765716E-2</v>
          </cell>
          <cell r="Z104">
            <v>-4.1841004184100417E-2</v>
          </cell>
          <cell r="AA104">
            <v>1.467505241090139E-2</v>
          </cell>
          <cell r="AB104">
            <v>2.7086788280818119E-2</v>
          </cell>
          <cell r="AC104">
            <v>-1.7204301075268824E-2</v>
          </cell>
          <cell r="AD104">
            <v>3.9911308203991025E-2</v>
          </cell>
          <cell r="AE104">
            <v>9.1703056768559055E-2</v>
          </cell>
          <cell r="AF104">
            <v>5.1652892561983466E-2</v>
          </cell>
          <cell r="AG104">
            <v>4.1442411194833051E-2</v>
          </cell>
          <cell r="AH104">
            <v>0.13129102844638951</v>
          </cell>
          <cell r="AI104">
            <v>0.14498933901918987</v>
          </cell>
          <cell r="AJ104">
            <v>0.15599999999999992</v>
          </cell>
          <cell r="AK104">
            <v>0.20235756385068759</v>
          </cell>
          <cell r="AL104">
            <v>0.15968992248062008</v>
          </cell>
          <cell r="AM104">
            <v>0.21083172147001927</v>
          </cell>
          <cell r="AN104">
            <v>0.26256983240223453</v>
          </cell>
          <cell r="AO104">
            <v>0.24740484429065734</v>
          </cell>
          <cell r="AP104">
            <v>0.26143790849673199</v>
          </cell>
          <cell r="AQ104">
            <v>0.24643493761140811</v>
          </cell>
          <cell r="AR104">
            <v>0.20766773162939289</v>
          </cell>
          <cell r="AS104">
            <v>0.14306784660766958</v>
          </cell>
          <cell r="AT104">
            <v>-0.2857142857142857</v>
          </cell>
          <cell r="BA104">
            <v>-0.30712166172106825</v>
          </cell>
          <cell r="BB104">
            <v>-0.51011560693641611</v>
          </cell>
          <cell r="BC104">
            <v>-0.88652482269503552</v>
          </cell>
          <cell r="BD104">
            <v>-0.698943661971831</v>
          </cell>
          <cell r="BE104">
            <v>-0.59946949602122013</v>
          </cell>
          <cell r="BF104">
            <v>-0.52462526766595285</v>
          </cell>
          <cell r="BG104" t="str">
            <v>nm</v>
          </cell>
          <cell r="BH104">
            <v>0.61250000000000004</v>
          </cell>
          <cell r="BI104">
            <v>-0.17543859649122806</v>
          </cell>
          <cell r="BJ104">
            <v>-0.63576158940397354</v>
          </cell>
          <cell r="BK104">
            <v>1.8018018018018056E-2</v>
          </cell>
          <cell r="BL104" t="str">
            <v>nm</v>
          </cell>
          <cell r="BM104">
            <v>-0.31007751937984496</v>
          </cell>
          <cell r="BN104">
            <v>-0.31205673758865249</v>
          </cell>
          <cell r="BO104">
            <v>0.48311688311688306</v>
          </cell>
          <cell r="BP104">
            <v>-4.4247787610619427E-2</v>
          </cell>
          <cell r="BQ104">
            <v>0.31446540880503138</v>
          </cell>
          <cell r="BR104">
            <v>0.21348314606741581</v>
          </cell>
          <cell r="BS104">
            <v>0.57731958762886593</v>
          </cell>
          <cell r="BT104">
            <v>0.20140105078809101</v>
          </cell>
          <cell r="BU104">
            <v>-0.125</v>
          </cell>
          <cell r="BV104">
            <v>-0.25358851674641147</v>
          </cell>
          <cell r="BW104">
            <v>0.63888888888888884</v>
          </cell>
          <cell r="BX104">
            <v>8.4967320261437829E-2</v>
          </cell>
          <cell r="BY104">
            <v>2.9154518950438302E-3</v>
          </cell>
          <cell r="BZ104">
            <v>0.23809523809523814</v>
          </cell>
          <cell r="CA104">
            <v>4.4871794871794934E-2</v>
          </cell>
          <cell r="CB104">
            <v>-0.11864406779661019</v>
          </cell>
          <cell r="CC104">
            <v>0.1987951807228916</v>
          </cell>
          <cell r="CD104">
            <v>9.3023255813953432E-2</v>
          </cell>
          <cell r="CE104">
            <v>0.17948717948717952</v>
          </cell>
          <cell r="CF104">
            <v>0.50920245398773001</v>
          </cell>
          <cell r="CG104">
            <v>0.53846153846153855</v>
          </cell>
          <cell r="CH104">
            <v>9.5477386934673447E-2</v>
          </cell>
          <cell r="CI104">
            <v>0.30319148936170204</v>
          </cell>
          <cell r="CJ104">
            <v>7.9710144927536142E-2</v>
          </cell>
          <cell r="CK104">
            <v>8.9430894308943021E-2</v>
          </cell>
          <cell r="CL104">
            <v>-0.15416666666666667</v>
          </cell>
          <cell r="CM104">
            <v>0.28899082568807333</v>
          </cell>
          <cell r="CN104">
            <v>7.1428571428571397E-2</v>
          </cell>
          <cell r="CO104">
            <v>0.24496644295302006</v>
          </cell>
          <cell r="CP104">
            <v>2.6119402985074647E-2</v>
          </cell>
          <cell r="CQ104">
            <v>-5.4187192118226646E-2</v>
          </cell>
          <cell r="CR104">
            <v>2.4911032028469782E-2</v>
          </cell>
          <cell r="CS104">
            <v>7.2380952380952435E-2</v>
          </cell>
          <cell r="CT104">
            <v>-0.16442048517520214</v>
          </cell>
          <cell r="CU104">
            <v>4.7272727272727355E-2</v>
          </cell>
          <cell r="CV104">
            <v>0.40104166666666674</v>
          </cell>
          <cell r="CW104">
            <v>0.17426486017307941</v>
          </cell>
          <cell r="CX104">
            <v>7.0327069031835387E-2</v>
          </cell>
          <cell r="CY104">
            <v>-0.10626252534960501</v>
          </cell>
          <cell r="CZ104">
            <v>0.20908912897404974</v>
          </cell>
          <cell r="DA104">
            <v>0.19869193485205927</v>
          </cell>
          <cell r="DB104">
            <v>0.16270138837505965</v>
          </cell>
          <cell r="DC104">
            <v>0.11263644169855436</v>
          </cell>
          <cell r="DD104">
            <v>0.22383378533400333</v>
          </cell>
          <cell r="DE104">
            <v>0.10104578807795983</v>
          </cell>
          <cell r="DF104">
            <v>8.3425421088013874E-2</v>
          </cell>
          <cell r="DG104">
            <v>8.8595546702246786E-2</v>
          </cell>
          <cell r="DH104">
            <v>0.11852777622436883</v>
          </cell>
          <cell r="DI104">
            <v>7.1140957683704098E-2</v>
          </cell>
          <cell r="DJ104">
            <v>2.8426587488099342E-2</v>
          </cell>
          <cell r="DK104">
            <v>4.1665168508703276E-2</v>
          </cell>
          <cell r="DL104">
            <v>5.2013464369660367E-2</v>
          </cell>
          <cell r="DM104">
            <v>4.7897903494564575E-2</v>
          </cell>
          <cell r="DN104">
            <v>6.9568991949404246E-2</v>
          </cell>
          <cell r="DO104">
            <v>5.0524417675525291E-2</v>
          </cell>
          <cell r="DP104">
            <v>5.2784725930296705E-2</v>
          </cell>
          <cell r="DQ104">
            <v>5.1296472634316581E-2</v>
          </cell>
          <cell r="DR104">
            <v>5.5669821035584155E-2</v>
          </cell>
        </row>
        <row r="105">
          <cell r="B105" t="str">
            <v>Pre-tax income</v>
          </cell>
          <cell r="I105">
            <v>1.1510603948044325</v>
          </cell>
          <cell r="J105">
            <v>2.9858974358974373</v>
          </cell>
          <cell r="K105">
            <v>0.58952496954933231</v>
          </cell>
          <cell r="L105">
            <v>0.5251196172248731</v>
          </cell>
          <cell r="M105">
            <v>1.3929388689114091</v>
          </cell>
          <cell r="N105">
            <v>-0.43283582089552297</v>
          </cell>
          <cell r="O105">
            <v>-0.54229655837890034</v>
          </cell>
          <cell r="P105" t="str">
            <v>nm</v>
          </cell>
          <cell r="Q105" t="str">
            <v>nm</v>
          </cell>
          <cell r="R105" t="str">
            <v>nm</v>
          </cell>
          <cell r="S105">
            <v>0.49624060150376059</v>
          </cell>
          <cell r="T105">
            <v>0.65846802529866633</v>
          </cell>
          <cell r="U105" t="str">
            <v>nm</v>
          </cell>
          <cell r="V105" t="str">
            <v>nm</v>
          </cell>
          <cell r="W105" t="str">
            <v>nm</v>
          </cell>
          <cell r="X105">
            <v>0.13567839195979903</v>
          </cell>
          <cell r="Y105">
            <v>-0.13559322033898302</v>
          </cell>
          <cell r="Z105">
            <v>-0.18548387096774188</v>
          </cell>
          <cell r="AA105" t="str">
            <v>nm</v>
          </cell>
          <cell r="AB105">
            <v>2.083333333333437E-3</v>
          </cell>
          <cell r="AC105">
            <v>-5.3097345132743334E-2</v>
          </cell>
          <cell r="AD105">
            <v>0.37745098039215685</v>
          </cell>
          <cell r="AE105">
            <v>-0.63366336633663367</v>
          </cell>
          <cell r="AF105" t="str">
            <v>nm</v>
          </cell>
          <cell r="AG105">
            <v>0.32848232848232839</v>
          </cell>
          <cell r="AH105">
            <v>0.22897196261682251</v>
          </cell>
          <cell r="AI105">
            <v>5.3380782918149405E-2</v>
          </cell>
          <cell r="AJ105">
            <v>3.5270270270270272</v>
          </cell>
          <cell r="AK105">
            <v>1.9428571428571431</v>
          </cell>
          <cell r="AL105">
            <v>0.72143974960876367</v>
          </cell>
          <cell r="AM105">
            <v>6.083650190114076E-2</v>
          </cell>
          <cell r="AN105">
            <v>-0.3682432432432432</v>
          </cell>
          <cell r="AO105">
            <v>0.45373134328358211</v>
          </cell>
          <cell r="AP105">
            <v>1.2475728155339807</v>
          </cell>
          <cell r="AQ105">
            <v>0.28727272727272735</v>
          </cell>
          <cell r="AR105">
            <v>1.032258064516129</v>
          </cell>
          <cell r="AS105">
            <v>1.8074866310160429</v>
          </cell>
          <cell r="AT105" t="str">
            <v>nm</v>
          </cell>
          <cell r="BA105">
            <v>-0.82826086956521738</v>
          </cell>
          <cell r="BB105" t="str">
            <v>nm</v>
          </cell>
          <cell r="BC105" t="str">
            <v>nm</v>
          </cell>
          <cell r="BD105" t="str">
            <v>nm</v>
          </cell>
          <cell r="BE105" t="str">
            <v>nm</v>
          </cell>
          <cell r="BF105" t="str">
            <v>nm</v>
          </cell>
          <cell r="BG105" t="str">
            <v>nm</v>
          </cell>
          <cell r="BH105" t="str">
            <v>nm</v>
          </cell>
          <cell r="BI105" t="str">
            <v>nm</v>
          </cell>
          <cell r="BJ105" t="str">
            <v>nm</v>
          </cell>
          <cell r="BK105" t="str">
            <v>nm</v>
          </cell>
          <cell r="BL105" t="str">
            <v>nm</v>
          </cell>
          <cell r="BM105" t="str">
            <v>nm</v>
          </cell>
          <cell r="BN105" t="str">
            <v>nm</v>
          </cell>
          <cell r="BO105" t="str">
            <v>nm</v>
          </cell>
          <cell r="BP105">
            <v>2.5</v>
          </cell>
          <cell r="BQ105" t="str">
            <v>nm</v>
          </cell>
          <cell r="BR105" t="str">
            <v>nm</v>
          </cell>
          <cell r="BS105" t="str">
            <v>nm</v>
          </cell>
          <cell r="BT105" t="str">
            <v>nm</v>
          </cell>
          <cell r="BU105">
            <v>-0.85714285714285721</v>
          </cell>
          <cell r="BV105" t="str">
            <v>nm</v>
          </cell>
          <cell r="BW105" t="str">
            <v>nm</v>
          </cell>
          <cell r="BX105" t="str">
            <v>nm</v>
          </cell>
          <cell r="BY105" t="str">
            <v>nm</v>
          </cell>
          <cell r="BZ105" t="str">
            <v>nm</v>
          </cell>
          <cell r="CA105" t="str">
            <v>nm</v>
          </cell>
          <cell r="CB105" t="str">
            <v>nm</v>
          </cell>
          <cell r="CC105" t="str">
            <v>nm</v>
          </cell>
          <cell r="CD105" t="str">
            <v>nm</v>
          </cell>
          <cell r="CE105" t="str">
            <v>nm</v>
          </cell>
          <cell r="CF105" t="str">
            <v>nm</v>
          </cell>
          <cell r="CG105">
            <v>-0.9375</v>
          </cell>
          <cell r="CH105" t="str">
            <v>nm</v>
          </cell>
          <cell r="CI105">
            <v>2.6071428571428572</v>
          </cell>
          <cell r="CJ105">
            <v>-0.53266331658291455</v>
          </cell>
          <cell r="CK105">
            <v>8.2857142857142865</v>
          </cell>
          <cell r="CL105" t="str">
            <v>nm</v>
          </cell>
          <cell r="CM105" t="str">
            <v>nm</v>
          </cell>
          <cell r="CN105">
            <v>-0.21782178217821779</v>
          </cell>
          <cell r="CO105">
            <v>0.4731182795698925</v>
          </cell>
          <cell r="CP105">
            <v>4.6153846153846212E-2</v>
          </cell>
          <cell r="CQ105" t="str">
            <v>nm</v>
          </cell>
          <cell r="CR105" t="str">
            <v>nm</v>
          </cell>
          <cell r="CS105">
            <v>3.7974683544303778E-2</v>
          </cell>
          <cell r="CT105">
            <v>-0.21167883211678828</v>
          </cell>
          <cell r="CU105">
            <v>0.14705882352941169</v>
          </cell>
          <cell r="CV105">
            <v>1.4285714285714284</v>
          </cell>
          <cell r="CW105" t="str">
            <v>nm</v>
          </cell>
          <cell r="CX105">
            <v>1.1277686246464196</v>
          </cell>
          <cell r="CY105">
            <v>-0.45132646698402157</v>
          </cell>
          <cell r="CZ105">
            <v>0.67830141692543333</v>
          </cell>
          <cell r="DA105">
            <v>1.0721970054082877</v>
          </cell>
          <cell r="DB105">
            <v>0.57670061320845378</v>
          </cell>
          <cell r="DC105">
            <v>0.35365765102500424</v>
          </cell>
          <cell r="DD105">
            <v>1.0469595118450084</v>
          </cell>
          <cell r="DE105">
            <v>0.26597728238370899</v>
          </cell>
          <cell r="DF105">
            <v>0.24690828448515689</v>
          </cell>
          <cell r="DG105">
            <v>0.1953777756004782</v>
          </cell>
          <cell r="DH105">
            <v>0.33330058365738036</v>
          </cell>
          <cell r="DI105">
            <v>0.19706408483949911</v>
          </cell>
          <cell r="DJ105">
            <v>6.4493559998870298E-2</v>
          </cell>
          <cell r="DK105">
            <v>0.10899920805280283</v>
          </cell>
          <cell r="DL105">
            <v>0.11525534537517901</v>
          </cell>
          <cell r="DM105">
            <v>0.11634478535735515</v>
          </cell>
          <cell r="DN105">
            <v>0.18866431158147412</v>
          </cell>
          <cell r="DO105">
            <v>0.12508422961094645</v>
          </cell>
          <cell r="DP105">
            <v>0.14621374485602212</v>
          </cell>
          <cell r="DQ105">
            <v>9.6077608792714653E-2</v>
          </cell>
          <cell r="DR105">
            <v>0.13289793262772198</v>
          </cell>
        </row>
        <row r="106">
          <cell r="B106" t="str">
            <v>Net Income - Operating</v>
          </cell>
          <cell r="I106">
            <v>0.83344529603957396</v>
          </cell>
          <cell r="J106">
            <v>2.7723389326839754</v>
          </cell>
          <cell r="K106">
            <v>0.39516526887025538</v>
          </cell>
          <cell r="L106" t="str">
            <v>nm</v>
          </cell>
          <cell r="M106">
            <v>1.063230558993097</v>
          </cell>
          <cell r="N106">
            <v>-0.39710376643600165</v>
          </cell>
          <cell r="O106">
            <v>-0.57986870897155429</v>
          </cell>
          <cell r="P106" t="str">
            <v>nm</v>
          </cell>
          <cell r="Q106" t="str">
            <v>nm</v>
          </cell>
          <cell r="R106" t="str">
            <v>nm</v>
          </cell>
          <cell r="S106">
            <v>0.60220994475138356</v>
          </cell>
          <cell r="T106">
            <v>0.79687500000000311</v>
          </cell>
          <cell r="U106" t="str">
            <v>nm</v>
          </cell>
          <cell r="V106" t="str">
            <v>nm</v>
          </cell>
          <cell r="W106" t="str">
            <v>nm</v>
          </cell>
          <cell r="X106">
            <v>0.18103448275862077</v>
          </cell>
          <cell r="Y106">
            <v>-9.4202898550724612E-2</v>
          </cell>
          <cell r="Z106">
            <v>-0.16216216216216217</v>
          </cell>
          <cell r="AA106" t="str">
            <v>nm</v>
          </cell>
          <cell r="AB106">
            <v>-4.5977011494252928E-2</v>
          </cell>
          <cell r="AC106">
            <v>-0.20437956204379559</v>
          </cell>
          <cell r="AD106">
            <v>8.0000000000000071E-2</v>
          </cell>
          <cell r="AE106">
            <v>-0.69354838709677424</v>
          </cell>
          <cell r="AF106" t="str">
            <v>nm</v>
          </cell>
          <cell r="AG106">
            <v>0.21285140562248994</v>
          </cell>
          <cell r="AH106">
            <v>0.41284403669724767</v>
          </cell>
          <cell r="AI106">
            <v>0.29629629629629628</v>
          </cell>
          <cell r="AJ106">
            <v>4.2105263157894735</v>
          </cell>
          <cell r="AK106">
            <v>4.8</v>
          </cell>
          <cell r="AL106">
            <v>1.129139072847682</v>
          </cell>
          <cell r="AM106">
            <v>6.4935064935065512E-3</v>
          </cell>
          <cell r="AN106">
            <v>-0.49142857142857144</v>
          </cell>
          <cell r="AO106">
            <v>0.41414141414141414</v>
          </cell>
          <cell r="AP106">
            <v>1.25</v>
          </cell>
          <cell r="AQ106">
            <v>0.22083981337480552</v>
          </cell>
          <cell r="AR106">
            <v>1.1806451612903226</v>
          </cell>
          <cell r="AS106">
            <v>2.5393258426966292</v>
          </cell>
          <cell r="AT106" t="str">
            <v>nm</v>
          </cell>
          <cell r="BA106" t="str">
            <v>nm</v>
          </cell>
          <cell r="BB106" t="str">
            <v>nm</v>
          </cell>
          <cell r="BC106" t="str">
            <v>nm</v>
          </cell>
          <cell r="BD106" t="str">
            <v>nm</v>
          </cell>
          <cell r="BE106" t="str">
            <v>nm</v>
          </cell>
          <cell r="BF106" t="str">
            <v>nm</v>
          </cell>
          <cell r="BG106" t="str">
            <v>nm</v>
          </cell>
          <cell r="BH106" t="str">
            <v>nm</v>
          </cell>
          <cell r="BI106" t="str">
            <v>nm</v>
          </cell>
          <cell r="BJ106" t="str">
            <v>nm</v>
          </cell>
          <cell r="BK106" t="str">
            <v>nm</v>
          </cell>
          <cell r="BL106" t="str">
            <v>nm</v>
          </cell>
          <cell r="BM106" t="str">
            <v>nm</v>
          </cell>
          <cell r="BN106" t="str">
            <v>nm</v>
          </cell>
          <cell r="BO106" t="str">
            <v>nm</v>
          </cell>
          <cell r="BP106" t="str">
            <v>nm</v>
          </cell>
          <cell r="BQ106" t="str">
            <v>nm</v>
          </cell>
          <cell r="BR106" t="str">
            <v>nm</v>
          </cell>
          <cell r="BS106" t="str">
            <v>nm</v>
          </cell>
          <cell r="BT106" t="str">
            <v>nm</v>
          </cell>
          <cell r="BU106">
            <v>7.1428571428571397E-2</v>
          </cell>
          <cell r="BV106" t="str">
            <v>nm</v>
          </cell>
          <cell r="BW106" t="str">
            <v>nm</v>
          </cell>
          <cell r="BX106" t="str">
            <v>nm</v>
          </cell>
          <cell r="BY106" t="str">
            <v>nm</v>
          </cell>
          <cell r="BZ106" t="str">
            <v>nm</v>
          </cell>
          <cell r="CA106" t="str">
            <v>nm</v>
          </cell>
          <cell r="CB106" t="str">
            <v>nm</v>
          </cell>
          <cell r="CC106" t="str">
            <v>nm</v>
          </cell>
          <cell r="CD106" t="str">
            <v>nm</v>
          </cell>
          <cell r="CE106" t="str">
            <v>nm</v>
          </cell>
          <cell r="CF106" t="str">
            <v>nm</v>
          </cell>
          <cell r="CG106" t="str">
            <v>nm</v>
          </cell>
          <cell r="CH106" t="str">
            <v>nm</v>
          </cell>
          <cell r="CI106">
            <v>6.48</v>
          </cell>
          <cell r="CJ106">
            <v>-0.4719101123595506</v>
          </cell>
          <cell r="CK106" t="str">
            <v>nm</v>
          </cell>
          <cell r="CL106" t="str">
            <v>nm</v>
          </cell>
          <cell r="CM106">
            <v>2.8095238095238093</v>
          </cell>
          <cell r="CN106">
            <v>5.1122994652406417</v>
          </cell>
          <cell r="CO106">
            <v>-0.14893617021276595</v>
          </cell>
          <cell r="CP106">
            <v>0.29032258064516125</v>
          </cell>
          <cell r="CQ106">
            <v>-0.99147121535181237</v>
          </cell>
          <cell r="CR106" t="str">
            <v>nm</v>
          </cell>
          <cell r="CS106">
            <v>-0.94050743657042868</v>
          </cell>
          <cell r="CT106">
            <v>-0.28749999999999998</v>
          </cell>
          <cell r="CU106">
            <v>5.0000000000000044E-2</v>
          </cell>
          <cell r="CV106">
            <v>2.75</v>
          </cell>
          <cell r="CW106" t="str">
            <v>nm</v>
          </cell>
          <cell r="CX106">
            <v>1.92899960602394</v>
          </cell>
          <cell r="CY106">
            <v>-0.41848048499837442</v>
          </cell>
          <cell r="CZ106">
            <v>0.82984717660266938</v>
          </cell>
          <cell r="DA106">
            <v>1.0488682946083943</v>
          </cell>
          <cell r="DB106">
            <v>0.49170660662672683</v>
          </cell>
          <cell r="DC106">
            <v>0.38645128728454958</v>
          </cell>
          <cell r="DD106">
            <v>1.1115476668154245</v>
          </cell>
          <cell r="DE106">
            <v>0.26334802101263954</v>
          </cell>
          <cell r="DF106">
            <v>0.24269009978897116</v>
          </cell>
          <cell r="DG106">
            <v>0.19142398782803682</v>
          </cell>
          <cell r="DH106">
            <v>0.33329916049186448</v>
          </cell>
          <cell r="DI106">
            <v>0.20426065315776909</v>
          </cell>
          <cell r="DJ106">
            <v>6.5979435989041546E-2</v>
          </cell>
          <cell r="DK106">
            <v>0.11252532348899247</v>
          </cell>
          <cell r="DL106">
            <v>0.11728373475544029</v>
          </cell>
          <cell r="DM106">
            <v>0.11930130450007925</v>
          </cell>
          <cell r="DN106">
            <v>0.19471828870629038</v>
          </cell>
          <cell r="DO106">
            <v>0.12804771062512854</v>
          </cell>
          <cell r="DP106">
            <v>0.15079476162738259</v>
          </cell>
          <cell r="DQ106">
            <v>9.7429991096428026E-2</v>
          </cell>
          <cell r="DR106">
            <v>0.13602186097611058</v>
          </cell>
        </row>
        <row r="107">
          <cell r="B107" t="str">
            <v>EPS, diluted  Reported Continuing Operations</v>
          </cell>
          <cell r="I107">
            <v>0.54216346810461813</v>
          </cell>
          <cell r="J107">
            <v>2.3341654806524872</v>
          </cell>
          <cell r="K107">
            <v>0.20749815763497015</v>
          </cell>
          <cell r="L107">
            <v>-0.83576862697743126</v>
          </cell>
          <cell r="M107">
            <v>0.89122158239125238</v>
          </cell>
          <cell r="N107">
            <v>-0.39859498581362141</v>
          </cell>
          <cell r="O107">
            <v>-0.58840959587254005</v>
          </cell>
          <cell r="P107" t="str">
            <v>nm</v>
          </cell>
          <cell r="Q107" t="str">
            <v>nm</v>
          </cell>
          <cell r="R107" t="str">
            <v>nm</v>
          </cell>
          <cell r="S107">
            <v>0.13519482338264277</v>
          </cell>
          <cell r="T107">
            <v>0.27355380486277503</v>
          </cell>
          <cell r="U107" t="str">
            <v>nm</v>
          </cell>
          <cell r="V107" t="str">
            <v>nm</v>
          </cell>
          <cell r="W107" t="str">
            <v>nm</v>
          </cell>
          <cell r="X107">
            <v>0.16723475572720048</v>
          </cell>
          <cell r="Y107">
            <v>-0.10167582922985763</v>
          </cell>
          <cell r="Z107">
            <v>-0.1625075298180797</v>
          </cell>
          <cell r="AA107" t="str">
            <v>nm</v>
          </cell>
          <cell r="AB107">
            <v>-4.9852332230877705E-2</v>
          </cell>
          <cell r="AC107">
            <v>-6.4377984851120118E-2</v>
          </cell>
          <cell r="AD107">
            <v>8.0654034327240387E-2</v>
          </cell>
          <cell r="AE107">
            <v>-0.69638521032453327</v>
          </cell>
          <cell r="AF107" t="str">
            <v>nm</v>
          </cell>
          <cell r="AG107">
            <v>0.35881920533606904</v>
          </cell>
          <cell r="AH107">
            <v>0.17859538754562254</v>
          </cell>
          <cell r="AI107">
            <v>0.24861534382113026</v>
          </cell>
          <cell r="AJ107">
            <v>3.985592320495897</v>
          </cell>
          <cell r="AK107">
            <v>1.9448123620309055</v>
          </cell>
          <cell r="AL107">
            <v>0.82045505381200745</v>
          </cell>
          <cell r="AM107">
            <v>-4.1071583845337267E-2</v>
          </cell>
          <cell r="AN107">
            <v>-0.50579827044139081</v>
          </cell>
          <cell r="AO107">
            <v>0.39303822689823575</v>
          </cell>
          <cell r="AP107">
            <v>1.2088581877285653</v>
          </cell>
          <cell r="AQ107">
            <v>0.19129344050752062</v>
          </cell>
          <cell r="AR107">
            <v>1.1951463410716592</v>
          </cell>
          <cell r="AS107">
            <v>2.6095687656899602</v>
          </cell>
          <cell r="AT107" t="str">
            <v>nm</v>
          </cell>
          <cell r="BA107">
            <v>-0.93891138906278615</v>
          </cell>
          <cell r="BB107" t="str">
            <v>nm</v>
          </cell>
          <cell r="BC107" t="str">
            <v>nm</v>
          </cell>
          <cell r="BD107" t="str">
            <v>nm</v>
          </cell>
          <cell r="BE107" t="str">
            <v>nm</v>
          </cell>
          <cell r="BF107" t="str">
            <v>nm</v>
          </cell>
          <cell r="BG107" t="str">
            <v>nm</v>
          </cell>
          <cell r="BH107" t="str">
            <v>nm</v>
          </cell>
          <cell r="BI107" t="str">
            <v>nm</v>
          </cell>
          <cell r="BJ107" t="str">
            <v>nm</v>
          </cell>
          <cell r="BK107" t="str">
            <v>nm</v>
          </cell>
          <cell r="BL107" t="str">
            <v>nm</v>
          </cell>
          <cell r="BM107" t="str">
            <v>nm</v>
          </cell>
          <cell r="BN107" t="str">
            <v>nm</v>
          </cell>
          <cell r="BO107" t="str">
            <v>nm</v>
          </cell>
          <cell r="BP107">
            <v>-0.25286460822738432</v>
          </cell>
          <cell r="BQ107" t="str">
            <v>nm</v>
          </cell>
          <cell r="BR107" t="str">
            <v>nm</v>
          </cell>
          <cell r="BS107" t="str">
            <v>nm</v>
          </cell>
          <cell r="BT107" t="str">
            <v>nm</v>
          </cell>
          <cell r="BU107">
            <v>5.1531921083811554</v>
          </cell>
          <cell r="BV107" t="str">
            <v>nm</v>
          </cell>
          <cell r="BW107" t="str">
            <v>nm</v>
          </cell>
          <cell r="BX107" t="str">
            <v>nm</v>
          </cell>
          <cell r="BY107" t="str">
            <v>nm</v>
          </cell>
          <cell r="BZ107" t="str">
            <v>nm</v>
          </cell>
          <cell r="CA107" t="str">
            <v>nm</v>
          </cell>
          <cell r="CB107" t="str">
            <v>nm</v>
          </cell>
          <cell r="CC107" t="str">
            <v>nm</v>
          </cell>
          <cell r="CD107" t="str">
            <v>nm</v>
          </cell>
          <cell r="CE107" t="str">
            <v>nm</v>
          </cell>
          <cell r="CF107" t="str">
            <v>nm</v>
          </cell>
          <cell r="CG107">
            <v>-0.98306531682037146</v>
          </cell>
          <cell r="CH107" t="str">
            <v>nm</v>
          </cell>
          <cell r="CI107">
            <v>1.6291658929276642</v>
          </cell>
          <cell r="CJ107">
            <v>-0.62344635119245828</v>
          </cell>
          <cell r="CK107">
            <v>16.001864494805481</v>
          </cell>
          <cell r="CL107">
            <v>413.58809323926056</v>
          </cell>
          <cell r="CM107">
            <v>1.8952027954107429</v>
          </cell>
          <cell r="CN107">
            <v>3.7709335957649017</v>
          </cell>
          <cell r="CO107">
            <v>-4.6296779688213108E-2</v>
          </cell>
          <cell r="CP107">
            <v>0.14013696190498881</v>
          </cell>
          <cell r="CQ107">
            <v>-0.99006356196624368</v>
          </cell>
          <cell r="CR107" t="str">
            <v>nm</v>
          </cell>
          <cell r="CS107">
            <v>-0.92869817577125813</v>
          </cell>
          <cell r="CT107">
            <v>-0.16949085121258545</v>
          </cell>
          <cell r="CU107">
            <v>0.23667408605871287</v>
          </cell>
          <cell r="CV107">
            <v>3.2251493323144871</v>
          </cell>
          <cell r="CW107" t="str">
            <v>nm</v>
          </cell>
          <cell r="CX107">
            <v>1.9869624957724636</v>
          </cell>
          <cell r="CY107">
            <v>-0.33645822721081242</v>
          </cell>
          <cell r="CZ107" t="str">
            <v>nm</v>
          </cell>
          <cell r="DA107">
            <v>0.68762103527887208</v>
          </cell>
          <cell r="DB107">
            <v>0.90520857498161167</v>
          </cell>
          <cell r="DC107">
            <v>0.93784237777059221</v>
          </cell>
          <cell r="DD107">
            <v>1.2954436683801545</v>
          </cell>
          <cell r="DE107">
            <v>0.32275184940525037</v>
          </cell>
          <cell r="DF107">
            <v>0.2711480507914632</v>
          </cell>
          <cell r="DG107">
            <v>0.20912599556289191</v>
          </cell>
          <cell r="DH107">
            <v>0.39069558219495182</v>
          </cell>
          <cell r="DI107">
            <v>0.21768522001741353</v>
          </cell>
          <cell r="DJ107">
            <v>7.6466243134998724E-2</v>
          </cell>
          <cell r="DK107">
            <v>0.12408148609527458</v>
          </cell>
          <cell r="DL107">
            <v>0.12944158716676712</v>
          </cell>
          <cell r="DM107">
            <v>0.13112844751255537</v>
          </cell>
          <cell r="DN107">
            <v>0.20855395217261452</v>
          </cell>
          <cell r="DO107">
            <v>0.14033187584685214</v>
          </cell>
          <cell r="DP107">
            <v>0.16339668551319475</v>
          </cell>
          <cell r="DQ107">
            <v>0.1094868094677266</v>
          </cell>
          <cell r="DR107">
            <v>0.14861176168762524</v>
          </cell>
        </row>
        <row r="108">
          <cell r="B108" t="str">
            <v>EPS, diluted  Operating Non GAAP</v>
          </cell>
          <cell r="I108">
            <v>0.20095427148495304</v>
          </cell>
          <cell r="J108">
            <v>0.14708713114098582</v>
          </cell>
          <cell r="K108">
            <v>0.16520295823088404</v>
          </cell>
          <cell r="L108">
            <v>-0.10660786977264969</v>
          </cell>
          <cell r="M108">
            <v>0.16293111239916969</v>
          </cell>
          <cell r="N108">
            <v>0.19267501284517485</v>
          </cell>
          <cell r="O108">
            <v>0.14059765470867824</v>
          </cell>
          <cell r="P108">
            <v>0.21439899856692946</v>
          </cell>
          <cell r="Q108">
            <v>0.55182674055020309</v>
          </cell>
          <cell r="R108">
            <v>0.16492967869987885</v>
          </cell>
          <cell r="S108">
            <v>0.13519482338264277</v>
          </cell>
          <cell r="T108">
            <v>0.17251077685986949</v>
          </cell>
          <cell r="U108">
            <v>0.20130812080780469</v>
          </cell>
          <cell r="V108">
            <v>-0.14555831752806292</v>
          </cell>
          <cell r="W108">
            <v>0.17714790956789894</v>
          </cell>
          <cell r="X108">
            <v>0.16723475572720048</v>
          </cell>
          <cell r="Y108">
            <v>-2.4261279074586417E-2</v>
          </cell>
          <cell r="Z108">
            <v>-0.1625075298180797</v>
          </cell>
          <cell r="AA108">
            <v>-0.12626537561563456</v>
          </cell>
          <cell r="AB108">
            <v>-3.8668603367305265E-2</v>
          </cell>
          <cell r="AC108">
            <v>-0.11908015025887497</v>
          </cell>
          <cell r="AD108">
            <v>-0.2667980809943381</v>
          </cell>
          <cell r="AE108">
            <v>0.38587566147271635</v>
          </cell>
          <cell r="AF108">
            <v>0.32620543971471427</v>
          </cell>
          <cell r="AG108">
            <v>9.2032578081252758E-2</v>
          </cell>
          <cell r="AH108">
            <v>0.25178220454978439</v>
          </cell>
          <cell r="AI108">
            <v>0.84031325293459735</v>
          </cell>
          <cell r="AJ108">
            <v>9.2233312032071968E-2</v>
          </cell>
          <cell r="AK108">
            <v>0.21441021187310039</v>
          </cell>
          <cell r="AL108">
            <v>0.27219439894457298</v>
          </cell>
          <cell r="AM108">
            <v>0.38580622721706104</v>
          </cell>
          <cell r="AN108">
            <v>0.43262973287776596</v>
          </cell>
          <cell r="AO108">
            <v>0.43283931909532813</v>
          </cell>
          <cell r="AP108">
            <v>0.40057971014492755</v>
          </cell>
          <cell r="AQ108">
            <v>0.41568612842314745</v>
          </cell>
          <cell r="AR108">
            <v>0.53244478890192481</v>
          </cell>
          <cell r="AS108">
            <v>0.40327704136796227</v>
          </cell>
          <cell r="AT108">
            <v>-0.29782367099381946</v>
          </cell>
          <cell r="BA108" t="str">
            <v>nm</v>
          </cell>
          <cell r="BB108">
            <v>-0.2704587214724602</v>
          </cell>
          <cell r="BC108" t="str">
            <v>nm</v>
          </cell>
          <cell r="BD108">
            <v>-0.8287915198162743</v>
          </cell>
          <cell r="BE108">
            <v>-0.98032178756618438</v>
          </cell>
          <cell r="BF108" t="str">
            <v>nm</v>
          </cell>
          <cell r="BG108" t="str">
            <v>nm</v>
          </cell>
          <cell r="BH108" t="str">
            <v>nm</v>
          </cell>
          <cell r="BI108" t="str">
            <v>nm</v>
          </cell>
          <cell r="BJ108" t="str">
            <v>nm</v>
          </cell>
          <cell r="BK108">
            <v>-0.22711033897180199</v>
          </cell>
          <cell r="BL108" t="str">
            <v>nm</v>
          </cell>
          <cell r="BM108" t="str">
            <v>nm</v>
          </cell>
          <cell r="BN108" t="str">
            <v>nm</v>
          </cell>
          <cell r="BO108" t="str">
            <v>nm</v>
          </cell>
          <cell r="BP108">
            <v>0.14560760071801071</v>
          </cell>
          <cell r="BQ108" t="str">
            <v>nm</v>
          </cell>
          <cell r="BR108" t="str">
            <v>nm</v>
          </cell>
          <cell r="BS108" t="str">
            <v>nm</v>
          </cell>
          <cell r="BT108">
            <v>18.214252562871991</v>
          </cell>
          <cell r="BU108">
            <v>3.0129513750311885</v>
          </cell>
          <cell r="BV108" t="str">
            <v>nm</v>
          </cell>
          <cell r="BW108" t="str">
            <v>nm</v>
          </cell>
          <cell r="BX108" t="str">
            <v>nm</v>
          </cell>
          <cell r="BY108" t="str">
            <v>nm</v>
          </cell>
          <cell r="BZ108">
            <v>-0.61350619805220941</v>
          </cell>
          <cell r="CA108" t="str">
            <v>nm</v>
          </cell>
          <cell r="CB108" t="str">
            <v>nm</v>
          </cell>
          <cell r="CC108" t="str">
            <v>nm</v>
          </cell>
          <cell r="CD108" t="str">
            <v>nm</v>
          </cell>
          <cell r="CE108" t="str">
            <v>nm</v>
          </cell>
          <cell r="CF108" t="str">
            <v>nm</v>
          </cell>
          <cell r="CG108" t="str">
            <v>nm</v>
          </cell>
          <cell r="CH108">
            <v>13.29728093779778</v>
          </cell>
          <cell r="CI108" t="str">
            <v>nm</v>
          </cell>
          <cell r="CJ108" t="str">
            <v>nm</v>
          </cell>
          <cell r="CK108">
            <v>1.0002193523300571</v>
          </cell>
          <cell r="CL108">
            <v>-0.39502166651781734</v>
          </cell>
          <cell r="CM108">
            <v>2.0882163151047921</v>
          </cell>
          <cell r="CN108">
            <v>1.8189004203093684</v>
          </cell>
          <cell r="CO108">
            <v>0.68891796579783482</v>
          </cell>
          <cell r="CP108">
            <v>0.51068147452411017</v>
          </cell>
          <cell r="CQ108">
            <v>0.77043945907340361</v>
          </cell>
          <cell r="CR108">
            <v>1.6987071279435328</v>
          </cell>
          <cell r="CS108">
            <v>1.0399726348784535</v>
          </cell>
          <cell r="CT108">
            <v>-0.16404537212253867</v>
          </cell>
          <cell r="CU108">
            <v>0.57778724366879808</v>
          </cell>
          <cell r="CV108">
            <v>-0.40847909347597167</v>
          </cell>
          <cell r="CW108">
            <v>-0.33174743447667399</v>
          </cell>
          <cell r="CX108">
            <v>4.8267949757147433E-2</v>
          </cell>
          <cell r="CY108">
            <v>-0.71551232854492852</v>
          </cell>
          <cell r="CZ108">
            <v>-8.2384955947398364E-2</v>
          </cell>
          <cell r="DA108">
            <v>2.6782027202815568</v>
          </cell>
          <cell r="DB108">
            <v>0.37784184610998506</v>
          </cell>
          <cell r="DC108">
            <v>-0.13568001880189606</v>
          </cell>
          <cell r="DD108">
            <v>2.4519131394879294</v>
          </cell>
          <cell r="DE108">
            <v>0.41095915969430563</v>
          </cell>
          <cell r="DF108">
            <v>0.37904894770008157</v>
          </cell>
          <cell r="DG108">
            <v>0.25494590441744847</v>
          </cell>
          <cell r="DH108">
            <v>0.51302687179659356</v>
          </cell>
          <cell r="DI108">
            <v>0.39249138824213103</v>
          </cell>
          <cell r="DJ108">
            <v>0.16634015413543657</v>
          </cell>
          <cell r="DK108">
            <v>0.25641393855327266</v>
          </cell>
          <cell r="DL108">
            <v>0.20470964109200773</v>
          </cell>
          <cell r="DM108">
            <v>0.23834125923104588</v>
          </cell>
          <cell r="DN108">
            <v>0.23384660145447822</v>
          </cell>
          <cell r="DO108">
            <v>0.15396107796660763</v>
          </cell>
          <cell r="DP108">
            <v>0.18287669850257071</v>
          </cell>
          <cell r="DQ108">
            <v>0.11738135279720052</v>
          </cell>
          <cell r="DR108">
            <v>0.16319798514298123</v>
          </cell>
        </row>
        <row r="114">
          <cell r="B114" t="str">
            <v>Average share price</v>
          </cell>
          <cell r="E114">
            <v>42.517412935323435</v>
          </cell>
          <cell r="F114">
            <v>38.227272727272769</v>
          </cell>
          <cell r="G114">
            <v>43.519607843137294</v>
          </cell>
          <cell r="I114">
            <v>40.387254901960823</v>
          </cell>
          <cell r="J114">
            <v>46.298507462686608</v>
          </cell>
          <cell r="K114">
            <v>54.712121212121239</v>
          </cell>
          <cell r="L114">
            <v>55.442028985507314</v>
          </cell>
          <cell r="M114">
            <v>49.188762626262616</v>
          </cell>
          <cell r="N114">
            <v>55.818627450980472</v>
          </cell>
          <cell r="O114">
            <v>58.21527777777785</v>
          </cell>
          <cell r="P114">
            <v>65.333333333333428</v>
          </cell>
          <cell r="Q114">
            <v>71.184079601990149</v>
          </cell>
          <cell r="R114">
            <v>62.603212468193362</v>
          </cell>
          <cell r="S114">
            <v>76.222636815920481</v>
          </cell>
          <cell r="T114">
            <v>80.060606060606148</v>
          </cell>
          <cell r="U114">
            <v>91.065656565656667</v>
          </cell>
          <cell r="V114">
            <v>99.494949494949566</v>
          </cell>
          <cell r="W114">
            <v>86.718071519795686</v>
          </cell>
          <cell r="X114">
            <v>77.922885572139421</v>
          </cell>
          <cell r="Y114">
            <v>76.870646766169216</v>
          </cell>
          <cell r="Z114">
            <v>62.780303030303138</v>
          </cell>
          <cell r="AA114">
            <v>58.169154228855774</v>
          </cell>
          <cell r="AB114">
            <v>68.924936386768451</v>
          </cell>
          <cell r="AC114">
            <v>49.504901960784373</v>
          </cell>
          <cell r="AD114">
            <v>50.987562189054763</v>
          </cell>
          <cell r="AE114">
            <v>61.065656565656674</v>
          </cell>
          <cell r="AF114">
            <v>63.282608695652279</v>
          </cell>
          <cell r="AG114">
            <v>56.351641414141454</v>
          </cell>
          <cell r="AH114">
            <v>76.27450980392166</v>
          </cell>
          <cell r="AI114">
            <v>99.659203980099605</v>
          </cell>
          <cell r="AJ114">
            <v>114.22413341414153</v>
          </cell>
          <cell r="AK114">
            <v>117.11292650980411</v>
          </cell>
          <cell r="AL114">
            <v>101.64686375665413</v>
          </cell>
          <cell r="AM114">
            <v>141.23244610628041</v>
          </cell>
          <cell r="AN114">
            <v>155.53232445771161</v>
          </cell>
          <cell r="AO114">
            <v>163.8133138585861</v>
          </cell>
          <cell r="AP114">
            <v>183.17841298039241</v>
          </cell>
          <cell r="AQ114">
            <v>161.04880375158444</v>
          </cell>
          <cell r="AV114">
            <v>167.02907127272741</v>
          </cell>
          <cell r="AW114">
            <v>193.07553692929312</v>
          </cell>
          <cell r="AX114">
            <v>190.16713904477618</v>
          </cell>
          <cell r="AY114">
            <v>113.61621223188405</v>
          </cell>
          <cell r="AZ114">
            <v>165.07573687373741</v>
          </cell>
          <cell r="BA114">
            <v>69.873308727272757</v>
          </cell>
          <cell r="BB114">
            <v>61.151033313432833</v>
          </cell>
          <cell r="BC114">
            <v>55.908819294117656</v>
          </cell>
          <cell r="BD114">
            <v>58.19014208695652</v>
          </cell>
          <cell r="BE114">
            <v>61.29680750000005</v>
          </cell>
          <cell r="BF114">
            <v>52.70984137313431</v>
          </cell>
          <cell r="BG114">
            <v>47.616117850746278</v>
          </cell>
          <cell r="BH114">
            <v>44.192351235294112</v>
          </cell>
          <cell r="BI114">
            <v>43.368233411764713</v>
          </cell>
          <cell r="BJ114">
            <v>46.948935696969713</v>
          </cell>
          <cell r="BK114">
            <v>42.480604606060616</v>
          </cell>
          <cell r="BL114">
            <v>48.394028358208956</v>
          </cell>
          <cell r="BM114">
            <v>48.650586647058823</v>
          </cell>
          <cell r="BN114">
            <v>33.904116411764704</v>
          </cell>
          <cell r="BO114">
            <v>43.272850250950555</v>
          </cell>
          <cell r="BP114">
            <v>29.734543454545459</v>
          </cell>
          <cell r="BQ114">
            <v>31.605968537313416</v>
          </cell>
          <cell r="BR114">
            <v>28.491341373134329</v>
          </cell>
          <cell r="BS114">
            <v>29.530586352941171</v>
          </cell>
          <cell r="BT114">
            <v>29.849123619771863</v>
          </cell>
          <cell r="BU114">
            <v>27.913331660606051</v>
          </cell>
          <cell r="BV114">
            <v>27.809089260606072</v>
          </cell>
          <cell r="BW114">
            <v>18.335755860606064</v>
          </cell>
          <cell r="BX114">
            <v>17.184116105882353</v>
          </cell>
          <cell r="BY114">
            <v>22.780074407604562</v>
          </cell>
          <cell r="BZ114">
            <v>18.95343114626866</v>
          </cell>
          <cell r="CA114">
            <v>22.767759397014938</v>
          </cell>
          <cell r="CB114">
            <v>23.547645305882362</v>
          </cell>
          <cell r="CC114">
            <v>9.8388388347826101</v>
          </cell>
          <cell r="CD114">
            <v>18.646639755471689</v>
          </cell>
          <cell r="CE114">
            <v>4.4666652939393936</v>
          </cell>
          <cell r="CF114">
            <v>9.9038789791044817</v>
          </cell>
          <cell r="CG114">
            <v>17.453527900000005</v>
          </cell>
          <cell r="CH114">
            <v>21.504346394202905</v>
          </cell>
          <cell r="CI114">
            <v>13.452422758333332</v>
          </cell>
          <cell r="CJ114">
            <v>22.303028793939404</v>
          </cell>
          <cell r="CK114">
            <v>21.99343111044778</v>
          </cell>
          <cell r="CL114">
            <v>17.39705711176471</v>
          </cell>
          <cell r="CM114">
            <v>19.857645164705882</v>
          </cell>
          <cell r="CN114">
            <v>20.382355718631178</v>
          </cell>
          <cell r="CO114">
            <v>27.90787714545456</v>
          </cell>
          <cell r="CP114">
            <v>26.11701336119404</v>
          </cell>
          <cell r="CQ114">
            <v>20.885292352941182</v>
          </cell>
          <cell r="CR114">
            <v>18.577645223529426</v>
          </cell>
          <cell r="CS114">
            <v>23.319846211406833</v>
          </cell>
          <cell r="CT114">
            <v>21.676968236363638</v>
          </cell>
          <cell r="CU114" t="str">
            <v>Manual Calculation</v>
          </cell>
          <cell r="CV114" t="str">
            <v>Manual Calculation</v>
          </cell>
          <cell r="CW114" t="str">
            <v>Manual Calculation</v>
          </cell>
          <cell r="CX114" t="str">
            <v>Manual Calculation</v>
          </cell>
          <cell r="CY114" t="str">
            <v>Manual Calculation</v>
          </cell>
          <cell r="CZ114" t="str">
            <v>Manual Calculation</v>
          </cell>
          <cell r="DA114" t="str">
            <v>Manual Calculation</v>
          </cell>
          <cell r="DB114" t="str">
            <v>Manual Calculation</v>
          </cell>
          <cell r="DC114" t="str">
            <v>Manual Calculation</v>
          </cell>
          <cell r="DD114" t="str">
            <v>Manual Calculation</v>
          </cell>
          <cell r="DE114" t="str">
            <v>Manual Calculation</v>
          </cell>
          <cell r="DF114" t="str">
            <v>Manual Calculation</v>
          </cell>
          <cell r="DG114" t="str">
            <v>Manual Calculation</v>
          </cell>
          <cell r="DH114" t="str">
            <v>Manual Calculation</v>
          </cell>
          <cell r="DI114" t="str">
            <v>Manual Calculation</v>
          </cell>
          <cell r="DJ114" t="str">
            <v>Manual Calculation</v>
          </cell>
          <cell r="DK114" t="str">
            <v>Manual Calculation</v>
          </cell>
          <cell r="DL114" t="str">
            <v>Manual Calculation</v>
          </cell>
          <cell r="DM114" t="str">
            <v>Manual Calculation</v>
          </cell>
          <cell r="DN114" t="str">
            <v>Manual Calculation</v>
          </cell>
          <cell r="DO114" t="str">
            <v>Manual Calculation</v>
          </cell>
          <cell r="DP114" t="str">
            <v>Manual Calculation</v>
          </cell>
          <cell r="DQ114" t="str">
            <v>Manual Calculation</v>
          </cell>
          <cell r="DR114" t="str">
            <v>Manual Calculation</v>
          </cell>
        </row>
        <row r="118">
          <cell r="B118" t="str">
            <v>Unrecorded goodwill</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T118" t="str">
            <v>mstag:unrecordedGoodwillFromPoolingAndAmortizedOrWrittenOffGoodwill</v>
          </cell>
          <cell r="DU118">
            <v>6</v>
          </cell>
          <cell r="DV118" t="str">
            <v>ISO4217:USD</v>
          </cell>
          <cell r="DW118" t="b">
            <v>0</v>
          </cell>
        </row>
        <row r="119">
          <cell r="B119" t="str">
            <v>Statutory tax rate</v>
          </cell>
          <cell r="D119">
            <v>0.39199999999999996</v>
          </cell>
          <cell r="E119">
            <v>0.39199999999999996</v>
          </cell>
          <cell r="F119">
            <v>0.39199999999999996</v>
          </cell>
          <cell r="G119">
            <v>0.39199999999999996</v>
          </cell>
          <cell r="H119">
            <v>0.39199999999999996</v>
          </cell>
          <cell r="I119">
            <v>0.38899999999999996</v>
          </cell>
          <cell r="J119">
            <v>0.38899999999999996</v>
          </cell>
          <cell r="K119">
            <v>0.38899999999999996</v>
          </cell>
          <cell r="L119">
            <v>0.38899999999999996</v>
          </cell>
          <cell r="M119">
            <v>0.38899999999999996</v>
          </cell>
          <cell r="N119">
            <v>0.35</v>
          </cell>
          <cell r="O119">
            <v>0.35</v>
          </cell>
          <cell r="P119">
            <v>0.35</v>
          </cell>
          <cell r="Q119">
            <v>0.35</v>
          </cell>
          <cell r="R119">
            <v>0.35</v>
          </cell>
          <cell r="S119">
            <v>0.39173106646058731</v>
          </cell>
          <cell r="T119">
            <v>0.39173106646058731</v>
          </cell>
          <cell r="U119">
            <v>0.39173106646058731</v>
          </cell>
          <cell r="V119">
            <v>0.39173106646058731</v>
          </cell>
          <cell r="W119">
            <v>0.39173106646058731</v>
          </cell>
          <cell r="X119">
            <v>0.40907172995780589</v>
          </cell>
          <cell r="Y119">
            <v>0.40907172995780589</v>
          </cell>
          <cell r="Z119">
            <v>0.40907172995780589</v>
          </cell>
          <cell r="AA119">
            <v>0.40907172995780589</v>
          </cell>
          <cell r="AB119">
            <v>0.40907172995780589</v>
          </cell>
          <cell r="AC119">
            <v>0.40177993527508088</v>
          </cell>
          <cell r="AD119">
            <v>0.40177993527508088</v>
          </cell>
          <cell r="AE119">
            <v>0.40177993527508088</v>
          </cell>
          <cell r="AF119">
            <v>0.40177993527508088</v>
          </cell>
          <cell r="AG119">
            <v>0.40177993527508088</v>
          </cell>
          <cell r="AH119">
            <v>0.38852889667250434</v>
          </cell>
          <cell r="AI119">
            <v>0.38852889667250434</v>
          </cell>
          <cell r="AJ119">
            <v>0.38852889667250434</v>
          </cell>
          <cell r="AK119">
            <v>0.38852889667250434</v>
          </cell>
          <cell r="AL119">
            <v>0.38852889667250434</v>
          </cell>
          <cell r="AM119">
            <v>0.3903180011357183</v>
          </cell>
          <cell r="AN119">
            <v>0.3903180011357183</v>
          </cell>
          <cell r="AO119">
            <v>0.3903180011357183</v>
          </cell>
          <cell r="AP119">
            <v>0.3903180011357183</v>
          </cell>
          <cell r="AQ119">
            <v>0.3903180011357183</v>
          </cell>
          <cell r="AV119">
            <v>0.35</v>
          </cell>
          <cell r="AW119">
            <v>0.35</v>
          </cell>
          <cell r="AX119">
            <v>0.35</v>
          </cell>
          <cell r="AY119">
            <v>0.35</v>
          </cell>
          <cell r="AZ119">
            <v>0.35</v>
          </cell>
          <cell r="BA119">
            <v>0.36520912547528517</v>
          </cell>
          <cell r="BB119">
            <v>0.36520912547528517</v>
          </cell>
          <cell r="BC119">
            <v>0.36520912547528517</v>
          </cell>
          <cell r="BD119">
            <v>0.36520912547528517</v>
          </cell>
          <cell r="BE119">
            <v>0.36520912547528517</v>
          </cell>
          <cell r="BF119">
            <v>0.36177929324240543</v>
          </cell>
          <cell r="BG119">
            <v>0.36177929324240543</v>
          </cell>
          <cell r="BH119">
            <v>0.36177929324240543</v>
          </cell>
          <cell r="BI119">
            <v>0.36177929324240543</v>
          </cell>
          <cell r="BJ119">
            <v>0.36177929324240543</v>
          </cell>
          <cell r="BK119">
            <v>0.3740112994350282</v>
          </cell>
          <cell r="BL119">
            <v>0.3740112994350282</v>
          </cell>
          <cell r="BM119">
            <v>0.3740112994350282</v>
          </cell>
          <cell r="BN119">
            <v>0.3740112994350282</v>
          </cell>
          <cell r="BO119">
            <v>0.3740112994350282</v>
          </cell>
          <cell r="BP119">
            <v>0.3729479258605472</v>
          </cell>
          <cell r="BQ119">
            <v>0.3729479258605472</v>
          </cell>
          <cell r="BR119">
            <v>0.3729479258605472</v>
          </cell>
          <cell r="BS119">
            <v>0.3729479258605472</v>
          </cell>
          <cell r="BT119">
            <v>0.3729479258605472</v>
          </cell>
          <cell r="BU119">
            <v>0.38738317757009344</v>
          </cell>
          <cell r="BV119">
            <v>0.38738317757009344</v>
          </cell>
          <cell r="BW119">
            <v>0.38738317757009344</v>
          </cell>
          <cell r="BX119">
            <v>0.38738317757009344</v>
          </cell>
          <cell r="BY119">
            <v>0.38738317757009344</v>
          </cell>
          <cell r="BZ119">
            <v>0.45810810810810809</v>
          </cell>
          <cell r="CA119">
            <v>0.45810810810810809</v>
          </cell>
          <cell r="CB119">
            <v>0.45810810810810809</v>
          </cell>
          <cell r="CC119">
            <v>0.45810810810810809</v>
          </cell>
          <cell r="CD119">
            <v>0.45810810810810809</v>
          </cell>
          <cell r="CE119">
            <v>0.39878048780487801</v>
          </cell>
          <cell r="CF119">
            <v>0.39878048780487801</v>
          </cell>
          <cell r="CG119">
            <v>0.39878048780487801</v>
          </cell>
          <cell r="CH119">
            <v>0.39878048780487801</v>
          </cell>
          <cell r="CI119">
            <v>0.39878048780487801</v>
          </cell>
          <cell r="CJ119">
            <v>0.41329113924050631</v>
          </cell>
          <cell r="CK119">
            <v>0.41329113924050631</v>
          </cell>
          <cell r="CL119">
            <v>0.41329113924050631</v>
          </cell>
          <cell r="CM119">
            <v>0.41329113924050631</v>
          </cell>
          <cell r="CN119">
            <v>0.41329113924050631</v>
          </cell>
          <cell r="CO119">
            <v>0.41211180124223601</v>
          </cell>
          <cell r="CP119">
            <v>0.41211180124223601</v>
          </cell>
          <cell r="CQ119">
            <v>0.41211180124223601</v>
          </cell>
          <cell r="CR119">
            <v>0.41211180124223601</v>
          </cell>
          <cell r="CS119">
            <v>0.41211180124223601</v>
          </cell>
          <cell r="CT119">
            <v>0.41211180124223601</v>
          </cell>
          <cell r="CU119">
            <v>0.41211180124223601</v>
          </cell>
          <cell r="CV119">
            <v>0.41211180124223601</v>
          </cell>
          <cell r="CW119">
            <v>0.35</v>
          </cell>
          <cell r="CX119">
            <v>0.35</v>
          </cell>
          <cell r="CY119">
            <v>0.35</v>
          </cell>
          <cell r="CZ119">
            <v>0.35</v>
          </cell>
          <cell r="DA119">
            <v>0.35</v>
          </cell>
          <cell r="DB119">
            <v>0.35</v>
          </cell>
          <cell r="DC119">
            <v>0.35</v>
          </cell>
          <cell r="DD119">
            <v>0.35</v>
          </cell>
          <cell r="DE119">
            <v>0.35</v>
          </cell>
          <cell r="DF119">
            <v>0.35</v>
          </cell>
          <cell r="DG119">
            <v>0.35</v>
          </cell>
          <cell r="DH119">
            <v>0.35</v>
          </cell>
          <cell r="DI119">
            <v>0.35</v>
          </cell>
          <cell r="DJ119">
            <v>0.35</v>
          </cell>
          <cell r="DK119">
            <v>0.35</v>
          </cell>
          <cell r="DL119">
            <v>0.35</v>
          </cell>
          <cell r="DM119">
            <v>0.35</v>
          </cell>
          <cell r="DN119">
            <v>0.35</v>
          </cell>
          <cell r="DO119">
            <v>0.35</v>
          </cell>
          <cell r="DP119">
            <v>0.35</v>
          </cell>
          <cell r="DQ119">
            <v>0.35</v>
          </cell>
          <cell r="DR119">
            <v>0.35</v>
          </cell>
          <cell r="DT119" t="str">
            <v>mstag:statutoryTaxRate</v>
          </cell>
          <cell r="DU119">
            <v>0</v>
          </cell>
          <cell r="DV119" t="str">
            <v>ms_eqr_gcim_Decimal:ms_eqr_gcim_decimal</v>
          </cell>
          <cell r="DW119" t="b">
            <v>0</v>
          </cell>
        </row>
        <row r="120">
          <cell r="B120" t="str">
            <v>Net income reported for validation</v>
          </cell>
          <cell r="D120">
            <v>66.01600000000002</v>
          </cell>
          <cell r="E120">
            <v>47.999999999999972</v>
          </cell>
          <cell r="F120">
            <v>50.099999999999952</v>
          </cell>
          <cell r="G120">
            <v>9.8839999999999932</v>
          </cell>
          <cell r="H120">
            <v>173.99999999999997</v>
          </cell>
          <cell r="I120">
            <v>123.90000000000003</v>
          </cell>
          <cell r="J120">
            <v>187.79999999999998</v>
          </cell>
          <cell r="K120">
            <v>74.900000000000119</v>
          </cell>
          <cell r="L120">
            <v>-14.600000000000257</v>
          </cell>
          <cell r="M120">
            <v>372</v>
          </cell>
          <cell r="N120">
            <v>76.999999999999886</v>
          </cell>
          <cell r="O120">
            <v>82.299999999999869</v>
          </cell>
          <cell r="P120">
            <v>-104.39999999999992</v>
          </cell>
          <cell r="Q120">
            <v>-281.90000000000066</v>
          </cell>
          <cell r="R120">
            <v>-227</v>
          </cell>
          <cell r="S120">
            <v>122</v>
          </cell>
          <cell r="T120">
            <v>145</v>
          </cell>
          <cell r="U120">
            <v>154</v>
          </cell>
          <cell r="V120">
            <v>-138</v>
          </cell>
          <cell r="W120">
            <v>283</v>
          </cell>
          <cell r="X120">
            <v>141</v>
          </cell>
          <cell r="Y120">
            <v>126</v>
          </cell>
          <cell r="Z120">
            <v>124</v>
          </cell>
          <cell r="AA120">
            <v>-135</v>
          </cell>
          <cell r="AB120">
            <v>256</v>
          </cell>
          <cell r="AC120">
            <v>114</v>
          </cell>
          <cell r="AD120">
            <v>140</v>
          </cell>
          <cell r="AE120">
            <v>44</v>
          </cell>
          <cell r="AF120">
            <v>25</v>
          </cell>
          <cell r="AG120">
            <v>323</v>
          </cell>
          <cell r="AH120">
            <v>160</v>
          </cell>
          <cell r="AI120">
            <v>179</v>
          </cell>
          <cell r="AJ120">
            <v>201</v>
          </cell>
          <cell r="AK120">
            <v>117</v>
          </cell>
          <cell r="AL120">
            <v>657</v>
          </cell>
          <cell r="AM120">
            <v>162</v>
          </cell>
          <cell r="AN120">
            <v>101</v>
          </cell>
          <cell r="AO120">
            <v>289</v>
          </cell>
          <cell r="AP120">
            <v>271</v>
          </cell>
          <cell r="AQ120">
            <v>823</v>
          </cell>
          <cell r="AR120">
            <v>349</v>
          </cell>
          <cell r="AS120">
            <v>324</v>
          </cell>
          <cell r="AT120">
            <v>-50</v>
          </cell>
          <cell r="AV120">
            <v>289</v>
          </cell>
          <cell r="AW120">
            <v>250</v>
          </cell>
          <cell r="AX120">
            <v>339</v>
          </cell>
          <cell r="AY120">
            <v>-26</v>
          </cell>
          <cell r="AZ120">
            <v>852</v>
          </cell>
          <cell r="BA120">
            <v>-12</v>
          </cell>
          <cell r="BB120">
            <v>-186</v>
          </cell>
          <cell r="BC120">
            <v>-302</v>
          </cell>
          <cell r="BD120">
            <v>-965</v>
          </cell>
          <cell r="BE120">
            <v>-1465</v>
          </cell>
          <cell r="BF120">
            <v>-117</v>
          </cell>
          <cell r="BG120">
            <v>-426</v>
          </cell>
          <cell r="BH120">
            <v>-69</v>
          </cell>
          <cell r="BI120">
            <v>-2031</v>
          </cell>
          <cell r="BJ120">
            <v>-2643</v>
          </cell>
          <cell r="BK120">
            <v>-1</v>
          </cell>
          <cell r="BL120">
            <v>-30</v>
          </cell>
          <cell r="BM120">
            <v>-401</v>
          </cell>
          <cell r="BN120">
            <v>-285</v>
          </cell>
          <cell r="BO120">
            <v>-717</v>
          </cell>
          <cell r="BP120">
            <v>71</v>
          </cell>
          <cell r="BQ120">
            <v>-398</v>
          </cell>
          <cell r="BR120">
            <v>-88</v>
          </cell>
          <cell r="BS120">
            <v>-384</v>
          </cell>
          <cell r="BT120">
            <v>-799</v>
          </cell>
          <cell r="BU120">
            <v>77</v>
          </cell>
          <cell r="BV120">
            <v>-29</v>
          </cell>
          <cell r="BW120">
            <v>-59</v>
          </cell>
          <cell r="BX120">
            <v>-74</v>
          </cell>
          <cell r="BY120">
            <v>-85</v>
          </cell>
          <cell r="BZ120">
            <v>-30</v>
          </cell>
          <cell r="CA120">
            <v>-15</v>
          </cell>
          <cell r="CB120">
            <v>106</v>
          </cell>
          <cell r="CC120">
            <v>-30</v>
          </cell>
          <cell r="CD120">
            <v>31</v>
          </cell>
          <cell r="CE120">
            <v>183</v>
          </cell>
          <cell r="CF120">
            <v>-14</v>
          </cell>
          <cell r="CG120">
            <v>-1</v>
          </cell>
          <cell r="CH120">
            <v>29</v>
          </cell>
          <cell r="CI120">
            <v>197</v>
          </cell>
          <cell r="CJ120">
            <v>95</v>
          </cell>
          <cell r="CK120">
            <v>35</v>
          </cell>
          <cell r="CL120">
            <v>940</v>
          </cell>
          <cell r="CM120">
            <v>82</v>
          </cell>
          <cell r="CN120">
            <v>1152</v>
          </cell>
          <cell r="CO120">
            <v>82</v>
          </cell>
          <cell r="CP120">
            <v>63</v>
          </cell>
          <cell r="CQ120">
            <v>15</v>
          </cell>
          <cell r="CR120">
            <v>-66</v>
          </cell>
          <cell r="CS120">
            <v>94</v>
          </cell>
          <cell r="CT120">
            <v>67</v>
          </cell>
          <cell r="CU120">
            <v>-20</v>
          </cell>
          <cell r="CV120">
            <v>32</v>
          </cell>
          <cell r="CW120">
            <v>63.791973209627599</v>
          </cell>
          <cell r="CX120">
            <v>142.79197320962794</v>
          </cell>
          <cell r="CY120">
            <v>36.146612355092657</v>
          </cell>
          <cell r="CZ120">
            <v>79.853581417312114</v>
          </cell>
          <cell r="DA120">
            <v>64.466048838251822</v>
          </cell>
          <cell r="DB120">
            <v>107.67599603683516</v>
          </cell>
          <cell r="DC120">
            <v>288.14223864749249</v>
          </cell>
          <cell r="DD120">
            <v>73.990651981231224</v>
          </cell>
          <cell r="DE120">
            <v>101.09281999129503</v>
          </cell>
          <cell r="DF120">
            <v>80.383250364440926</v>
          </cell>
          <cell r="DG120">
            <v>128.71349262807792</v>
          </cell>
          <cell r="DH120">
            <v>384.18021496504582</v>
          </cell>
          <cell r="DI120">
            <v>88.571552100590424</v>
          </cell>
          <cell r="DJ120">
            <v>107.6126558428586</v>
          </cell>
          <cell r="DK120">
            <v>89.144960994875163</v>
          </cell>
          <cell r="DL120">
            <v>143.54841067537259</v>
          </cell>
          <cell r="DM120">
            <v>428.87757961369601</v>
          </cell>
          <cell r="DN120">
            <v>105.28184300335099</v>
          </cell>
          <cell r="DO120">
            <v>121.07330199535049</v>
          </cell>
          <cell r="DP120">
            <v>102.17917957697989</v>
          </cell>
          <cell r="DQ120">
            <v>157.34019871905699</v>
          </cell>
          <cell r="DR120">
            <v>485.87452329473751</v>
          </cell>
          <cell r="DT120" t="str">
            <v>mstag:netIncomeAsReported</v>
          </cell>
          <cell r="DU120">
            <v>6</v>
          </cell>
          <cell r="DV120" t="str">
            <v>ISO4217:USD</v>
          </cell>
          <cell r="DW120" t="b">
            <v>0</v>
          </cell>
        </row>
        <row r="122">
          <cell r="AV122">
            <v>261</v>
          </cell>
          <cell r="AW122">
            <v>226</v>
          </cell>
          <cell r="AX122">
            <v>311</v>
          </cell>
          <cell r="AY122">
            <v>-3</v>
          </cell>
          <cell r="AZ122">
            <v>795</v>
          </cell>
          <cell r="BA122">
            <v>15</v>
          </cell>
          <cell r="BB122">
            <v>-129</v>
          </cell>
          <cell r="BC122">
            <v>-235</v>
          </cell>
          <cell r="BD122">
            <v>-1088</v>
          </cell>
          <cell r="BE122">
            <v>-1437</v>
          </cell>
          <cell r="BF122">
            <v>-19</v>
          </cell>
          <cell r="BG122">
            <v>-213</v>
          </cell>
          <cell r="BH122">
            <v>-52</v>
          </cell>
          <cell r="BI122">
            <v>-1602</v>
          </cell>
          <cell r="BJ122">
            <v>-1886</v>
          </cell>
          <cell r="BK122">
            <v>20</v>
          </cell>
          <cell r="BL122">
            <v>-12</v>
          </cell>
          <cell r="BM122">
            <v>-378</v>
          </cell>
          <cell r="BN122">
            <v>-251</v>
          </cell>
          <cell r="BO122">
            <v>-621</v>
          </cell>
          <cell r="BP122">
            <v>15</v>
          </cell>
          <cell r="BQ122">
            <v>-447</v>
          </cell>
          <cell r="BR122">
            <v>-30</v>
          </cell>
          <cell r="BS122">
            <v>-393</v>
          </cell>
          <cell r="BT122">
            <v>-855</v>
          </cell>
          <cell r="BU122">
            <v>93</v>
          </cell>
          <cell r="BV122">
            <v>-29</v>
          </cell>
          <cell r="BW122">
            <v>-35</v>
          </cell>
          <cell r="BX122">
            <v>-86</v>
          </cell>
          <cell r="BY122">
            <v>-57</v>
          </cell>
          <cell r="BZ122">
            <v>-10</v>
          </cell>
          <cell r="CA122">
            <v>-19</v>
          </cell>
          <cell r="CB122">
            <v>114</v>
          </cell>
          <cell r="CC122">
            <v>-10</v>
          </cell>
          <cell r="CD122">
            <v>75</v>
          </cell>
          <cell r="CE122">
            <v>189</v>
          </cell>
          <cell r="CF122">
            <v>2</v>
          </cell>
          <cell r="CG122">
            <v>2</v>
          </cell>
          <cell r="CH122">
            <v>16</v>
          </cell>
          <cell r="CI122">
            <v>209</v>
          </cell>
          <cell r="CJ122">
            <v>83</v>
          </cell>
          <cell r="CK122">
            <v>35</v>
          </cell>
          <cell r="CL122">
            <v>932</v>
          </cell>
          <cell r="CM122">
            <v>52</v>
          </cell>
          <cell r="CN122">
            <v>1102</v>
          </cell>
          <cell r="CO122">
            <v>80</v>
          </cell>
          <cell r="CP122">
            <v>40</v>
          </cell>
          <cell r="CQ122">
            <v>8</v>
          </cell>
          <cell r="CR122">
            <v>-60</v>
          </cell>
          <cell r="CS122">
            <v>68</v>
          </cell>
          <cell r="CT122">
            <v>57</v>
          </cell>
          <cell r="CU122">
            <v>42</v>
          </cell>
          <cell r="CV122">
            <v>30</v>
          </cell>
          <cell r="CW122">
            <v>70.171973209627595</v>
          </cell>
          <cell r="CX122">
            <v>199.17197320962794</v>
          </cell>
          <cell r="CY122">
            <v>33.146612355092657</v>
          </cell>
          <cell r="CZ122">
            <v>76.853581417312114</v>
          </cell>
          <cell r="DA122">
            <v>61.466048838251822</v>
          </cell>
          <cell r="DB122">
            <v>104.67599603683516</v>
          </cell>
          <cell r="DC122">
            <v>276.14223864749249</v>
          </cell>
          <cell r="DD122">
            <v>69.990651981231224</v>
          </cell>
          <cell r="DE122">
            <v>97.09281999129503</v>
          </cell>
          <cell r="DF122">
            <v>76.383250364440926</v>
          </cell>
          <cell r="DG122">
            <v>124.71349262807792</v>
          </cell>
          <cell r="DH122">
            <v>368.18021496504582</v>
          </cell>
          <cell r="DI122">
            <v>84.286988269855613</v>
          </cell>
          <cell r="DJ122">
            <v>103.49894949290621</v>
          </cell>
          <cell r="DK122">
            <v>84.978300320840347</v>
          </cell>
          <cell r="DL122">
            <v>139.34035681789396</v>
          </cell>
          <cell r="DM122">
            <v>412.10459490149537</v>
          </cell>
          <cell r="DN122">
            <v>100.69920638596906</v>
          </cell>
          <cell r="DO122">
            <v>116.75175302757864</v>
          </cell>
          <cell r="DP122">
            <v>97.792582861221604</v>
          </cell>
          <cell r="DQ122">
            <v>152.91628654203447</v>
          </cell>
          <cell r="DR122">
            <v>468.15982881680293</v>
          </cell>
          <cell r="DT122" t="str">
            <v>mstag:netIncomeAdjustedForConsensus</v>
          </cell>
          <cell r="DU122">
            <v>6</v>
          </cell>
          <cell r="DV122" t="str">
            <v>ISO4217:USD</v>
          </cell>
          <cell r="DW122" t="b">
            <v>0</v>
          </cell>
        </row>
        <row r="123">
          <cell r="AZ123" t="str">
            <v>2002-FY</v>
          </cell>
          <cell r="BA123" t="str">
            <v>2003-Q1</v>
          </cell>
          <cell r="BB123" t="str">
            <v>2003-Q2</v>
          </cell>
          <cell r="BC123" t="str">
            <v>2003-Q3</v>
          </cell>
          <cell r="BD123" t="str">
            <v>2003-Q4</v>
          </cell>
          <cell r="BE123" t="str">
            <v>2003-FY</v>
          </cell>
          <cell r="BF123" t="str">
            <v>2004-Q1</v>
          </cell>
          <cell r="BG123" t="str">
            <v>2004-Q2</v>
          </cell>
          <cell r="BH123" t="str">
            <v>2004-Q3</v>
          </cell>
          <cell r="BI123" t="str">
            <v>2004-Q4</v>
          </cell>
          <cell r="BJ123" t="str">
            <v>2004-FY</v>
          </cell>
          <cell r="BK123" t="str">
            <v>2005-Q1</v>
          </cell>
          <cell r="BL123" t="str">
            <v>2005-Q2</v>
          </cell>
          <cell r="BM123" t="str">
            <v>2005-Q3</v>
          </cell>
          <cell r="BN123" t="str">
            <v>2005-Q4</v>
          </cell>
          <cell r="BO123" t="str">
            <v>2005-FY</v>
          </cell>
          <cell r="BP123" t="str">
            <v>2006-Q1</v>
          </cell>
          <cell r="BQ123" t="str">
            <v>2006-Q2</v>
          </cell>
          <cell r="BR123" t="str">
            <v>2006-Q3</v>
          </cell>
          <cell r="BS123" t="str">
            <v>2006-Q4</v>
          </cell>
          <cell r="BT123" t="str">
            <v>2006-FY</v>
          </cell>
          <cell r="BU123" t="str">
            <v>2007-Q1</v>
          </cell>
          <cell r="BV123" t="str">
            <v>2007-Q2</v>
          </cell>
          <cell r="BW123" t="str">
            <v>2007-Q3</v>
          </cell>
          <cell r="BX123" t="str">
            <v>2007-Q4</v>
          </cell>
          <cell r="BY123" t="str">
            <v>2007-FY</v>
          </cell>
          <cell r="BZ123" t="str">
            <v>2008-Q1</v>
          </cell>
          <cell r="CA123" t="str">
            <v>2008-Q2</v>
          </cell>
          <cell r="CB123" t="str">
            <v>2008-Q3</v>
          </cell>
          <cell r="CC123" t="str">
            <v>2008-Q4</v>
          </cell>
          <cell r="CD123" t="str">
            <v>2008-FY</v>
          </cell>
          <cell r="CE123" t="str">
            <v>2009-Q1</v>
          </cell>
          <cell r="CF123" t="str">
            <v>2009-Q2</v>
          </cell>
          <cell r="CG123" t="str">
            <v>2009-Q3</v>
          </cell>
          <cell r="CH123" t="str">
            <v>2009-Q4</v>
          </cell>
          <cell r="CI123" t="str">
            <v>2009-FY</v>
          </cell>
          <cell r="CJ123" t="str">
            <v>2010-Q1</v>
          </cell>
          <cell r="CK123" t="str">
            <v>2010-Q2</v>
          </cell>
          <cell r="CL123" t="str">
            <v>2010-Q3</v>
          </cell>
          <cell r="CM123" t="str">
            <v>2010-Q4</v>
          </cell>
          <cell r="CN123" t="str">
            <v>2010-FY</v>
          </cell>
          <cell r="CO123" t="str">
            <v>2011-Q1</v>
          </cell>
          <cell r="CP123" t="str">
            <v>2011-Q2</v>
          </cell>
          <cell r="CQ123" t="str">
            <v>2011-Q3</v>
          </cell>
          <cell r="CR123" t="str">
            <v>2011-Q4</v>
          </cell>
          <cell r="CS123" t="str">
            <v>2011-FY</v>
          </cell>
          <cell r="CT123" t="str">
            <v>2012-Q1</v>
          </cell>
          <cell r="CU123" t="str">
            <v>2012-Q2</v>
          </cell>
          <cell r="CV123" t="str">
            <v>2012-Q3</v>
          </cell>
          <cell r="CW123" t="str">
            <v>2012-Q4</v>
          </cell>
          <cell r="CX123" t="str">
            <v>2012-FY</v>
          </cell>
          <cell r="CY123" t="str">
            <v>2013-Q1</v>
          </cell>
          <cell r="CZ123" t="str">
            <v>2013-Q2</v>
          </cell>
          <cell r="DA123" t="str">
            <v>2013-Q3</v>
          </cell>
          <cell r="DB123" t="str">
            <v>2013-Q4</v>
          </cell>
          <cell r="DC123" t="str">
            <v>2013-FY</v>
          </cell>
          <cell r="DD123" t="str">
            <v>2014-Q1</v>
          </cell>
          <cell r="DE123" t="str">
            <v>2014-Q2</v>
          </cell>
          <cell r="DF123" t="str">
            <v>2014-Q3</v>
          </cell>
          <cell r="DG123" t="str">
            <v>2014-Q4</v>
          </cell>
          <cell r="DH123" t="str">
            <v>2014-FY</v>
          </cell>
          <cell r="DI123" t="str">
            <v>2015-Q1</v>
          </cell>
          <cell r="DJ123" t="str">
            <v>2015-Q2</v>
          </cell>
          <cell r="DK123" t="str">
            <v>2015-Q3</v>
          </cell>
          <cell r="DL123" t="str">
            <v>2015-Q4</v>
          </cell>
          <cell r="DM123" t="str">
            <v>2015-FY</v>
          </cell>
          <cell r="DN123" t="str">
            <v>2016-Q1</v>
          </cell>
          <cell r="DO123" t="str">
            <v>2016-Q2</v>
          </cell>
          <cell r="DP123" t="str">
            <v>2016-Q3</v>
          </cell>
          <cell r="DQ123" t="str">
            <v>2016-Q4</v>
          </cell>
          <cell r="DR123" t="str">
            <v>2016-FY</v>
          </cell>
        </row>
        <row r="126">
          <cell r="H126">
            <v>3318</v>
          </cell>
          <cell r="M126">
            <v>5559</v>
          </cell>
          <cell r="R126">
            <v>8691</v>
          </cell>
          <cell r="W126">
            <v>9895</v>
          </cell>
          <cell r="AB126">
            <v>10880</v>
          </cell>
          <cell r="AG126">
            <v>11414</v>
          </cell>
          <cell r="AL126">
            <v>12053</v>
          </cell>
          <cell r="AQ126">
            <v>13913</v>
          </cell>
          <cell r="AZ126">
            <v>13604</v>
          </cell>
          <cell r="BE126">
            <v>13212</v>
          </cell>
          <cell r="BJ126">
            <v>9919</v>
          </cell>
        </row>
        <row r="127">
          <cell r="H127">
            <v>2.4266666666666667</v>
          </cell>
          <cell r="M127">
            <v>4.3466666666666667</v>
          </cell>
          <cell r="R127">
            <v>-2.2399999999999998</v>
          </cell>
          <cell r="W127">
            <v>2.2399999999999998</v>
          </cell>
          <cell r="AB127">
            <v>2.1066666666666669</v>
          </cell>
          <cell r="AG127">
            <v>2.56</v>
          </cell>
          <cell r="AL127">
            <v>5.253333333333333</v>
          </cell>
          <cell r="AQ127">
            <v>6.24</v>
          </cell>
          <cell r="AZ127">
            <v>6.56</v>
          </cell>
          <cell r="BE127">
            <v>-12.68</v>
          </cell>
          <cell r="BJ127">
            <v>-22.64</v>
          </cell>
        </row>
        <row r="129">
          <cell r="H129">
            <v>3318</v>
          </cell>
          <cell r="M129">
            <v>5559</v>
          </cell>
          <cell r="R129">
            <v>8691</v>
          </cell>
          <cell r="W129">
            <v>9895</v>
          </cell>
          <cell r="AB129">
            <v>10880</v>
          </cell>
          <cell r="AG129">
            <v>11414</v>
          </cell>
          <cell r="AL129">
            <v>12053</v>
          </cell>
          <cell r="AQ129">
            <v>13913</v>
          </cell>
          <cell r="AZ129">
            <v>13819</v>
          </cell>
          <cell r="BE129">
            <v>13309</v>
          </cell>
          <cell r="BJ129">
            <v>10091</v>
          </cell>
        </row>
        <row r="130">
          <cell r="H130">
            <v>2.3912751548428601</v>
          </cell>
          <cell r="M130">
            <v>4.329499652322669</v>
          </cell>
          <cell r="R130">
            <v>-2.2269493752596006</v>
          </cell>
          <cell r="W130">
            <v>2.2299615844261536</v>
          </cell>
          <cell r="AB130">
            <v>2.1187927986572466</v>
          </cell>
          <cell r="AG130">
            <v>2.5572794611083944</v>
          </cell>
          <cell r="AL130">
            <v>5.2411926770023314</v>
          </cell>
          <cell r="AQ130">
            <v>6.2437984565489293</v>
          </cell>
          <cell r="AZ130">
            <v>6.5620381674484349</v>
          </cell>
          <cell r="BE130">
            <v>-12.680097955259084</v>
          </cell>
          <cell r="BJ130">
            <v>-22.649959461720282</v>
          </cell>
        </row>
        <row r="132">
          <cell r="H132">
            <v>0</v>
          </cell>
          <cell r="M132">
            <v>0</v>
          </cell>
          <cell r="R132">
            <v>0</v>
          </cell>
          <cell r="W132">
            <v>0</v>
          </cell>
          <cell r="AB132">
            <v>0</v>
          </cell>
          <cell r="AG132">
            <v>0</v>
          </cell>
          <cell r="AL132">
            <v>0</v>
          </cell>
          <cell r="AQ132">
            <v>0</v>
          </cell>
          <cell r="AZ132">
            <v>-215</v>
          </cell>
          <cell r="BE132">
            <v>-97</v>
          </cell>
          <cell r="BJ132">
            <v>-172</v>
          </cell>
        </row>
        <row r="133">
          <cell r="H133">
            <v>3.5391511823806621E-2</v>
          </cell>
          <cell r="M133">
            <v>1.71670143439977E-2</v>
          </cell>
          <cell r="R133">
            <v>-1.3050624740399197E-2</v>
          </cell>
          <cell r="W133">
            <v>1.0038415573846216E-2</v>
          </cell>
          <cell r="AB133">
            <v>-1.2126131990579658E-2</v>
          </cell>
          <cell r="AG133">
            <v>2.7205388916056172E-3</v>
          </cell>
          <cell r="AL133">
            <v>1.2140656331001587E-2</v>
          </cell>
          <cell r="AQ133">
            <v>-3.7984565489290745E-3</v>
          </cell>
          <cell r="AZ133">
            <v>-2.038167448435324E-3</v>
          </cell>
          <cell r="BE133">
            <v>9.7955259084514523E-5</v>
          </cell>
          <cell r="BJ133">
            <v>9.959461720281837E-3</v>
          </cell>
        </row>
      </sheetData>
      <sheetData sheetId="3" refreshError="1"/>
      <sheetData sheetId="4" refreshError="1">
        <row r="1">
          <cell r="A1" t="str">
            <v>Tenet Health</v>
          </cell>
          <cell r="DW1" t="str">
            <v>ElementName</v>
          </cell>
          <cell r="DX1" t="str">
            <v>ScaleOverride</v>
          </cell>
          <cell r="DY1" t="str">
            <v>UnitOverride</v>
          </cell>
          <cell r="DZ1" t="str">
            <v>ReverseSign</v>
          </cell>
          <cell r="EA1" t="str">
            <v>IsDrivingAssumption</v>
          </cell>
        </row>
        <row r="2">
          <cell r="A2" t="str">
            <v>Andrew Schenker (212) 761-6857</v>
          </cell>
        </row>
        <row r="3">
          <cell r="A3" t="str">
            <v>Balance Sheet &amp; Cash Flow Statement</v>
          </cell>
        </row>
        <row r="4">
          <cell r="B4" t="str">
            <v>Fiscal Year ends December 31</v>
          </cell>
          <cell r="D4">
            <v>34577</v>
          </cell>
          <cell r="E4">
            <v>34668</v>
          </cell>
          <cell r="F4">
            <v>34758</v>
          </cell>
          <cell r="G4">
            <v>34850</v>
          </cell>
          <cell r="I4">
            <v>34942</v>
          </cell>
          <cell r="J4">
            <v>35033</v>
          </cell>
          <cell r="K4">
            <v>35123</v>
          </cell>
          <cell r="L4">
            <v>35216</v>
          </cell>
          <cell r="N4">
            <v>35308</v>
          </cell>
          <cell r="O4">
            <v>35399</v>
          </cell>
          <cell r="P4">
            <v>35489</v>
          </cell>
          <cell r="Q4">
            <v>35581</v>
          </cell>
          <cell r="S4">
            <v>35673</v>
          </cell>
          <cell r="T4">
            <v>35764</v>
          </cell>
          <cell r="U4">
            <v>35854</v>
          </cell>
          <cell r="V4">
            <v>35946</v>
          </cell>
          <cell r="X4">
            <v>36038</v>
          </cell>
          <cell r="Y4">
            <v>36129</v>
          </cell>
          <cell r="Z4">
            <v>36219</v>
          </cell>
          <cell r="AA4">
            <v>36311</v>
          </cell>
          <cell r="AC4">
            <v>36403</v>
          </cell>
          <cell r="AD4">
            <v>36494</v>
          </cell>
          <cell r="AE4">
            <v>36584</v>
          </cell>
          <cell r="AF4">
            <v>36677</v>
          </cell>
          <cell r="AH4">
            <v>36769</v>
          </cell>
          <cell r="AI4">
            <v>36860</v>
          </cell>
          <cell r="AJ4">
            <v>36950</v>
          </cell>
          <cell r="AK4">
            <v>37042</v>
          </cell>
          <cell r="AM4">
            <v>37134</v>
          </cell>
          <cell r="AN4">
            <v>37225</v>
          </cell>
          <cell r="AO4">
            <v>37315</v>
          </cell>
          <cell r="AP4">
            <v>37407</v>
          </cell>
          <cell r="AR4">
            <v>37499</v>
          </cell>
          <cell r="AS4">
            <v>37590</v>
          </cell>
          <cell r="AT4">
            <v>37680</v>
          </cell>
          <cell r="AV4">
            <v>37346</v>
          </cell>
          <cell r="AW4">
            <v>37437</v>
          </cell>
          <cell r="AX4">
            <v>37529</v>
          </cell>
          <cell r="AY4">
            <v>37621</v>
          </cell>
          <cell r="BA4">
            <v>37711</v>
          </cell>
          <cell r="BB4">
            <v>37802</v>
          </cell>
          <cell r="BC4">
            <v>37894</v>
          </cell>
          <cell r="BD4">
            <v>37986</v>
          </cell>
          <cell r="BF4">
            <v>38077</v>
          </cell>
          <cell r="BG4">
            <v>38168</v>
          </cell>
          <cell r="BH4">
            <v>38260</v>
          </cell>
          <cell r="BI4">
            <v>38352</v>
          </cell>
          <cell r="BK4">
            <v>38442</v>
          </cell>
          <cell r="BL4">
            <v>38533</v>
          </cell>
          <cell r="BM4">
            <v>38625</v>
          </cell>
          <cell r="BN4">
            <v>38717</v>
          </cell>
          <cell r="BP4">
            <v>38807</v>
          </cell>
          <cell r="BQ4">
            <v>38898</v>
          </cell>
          <cell r="BR4">
            <v>38990</v>
          </cell>
          <cell r="BS4">
            <v>39082</v>
          </cell>
          <cell r="BU4">
            <v>39172</v>
          </cell>
          <cell r="BV4">
            <v>39263</v>
          </cell>
          <cell r="BW4">
            <v>39355</v>
          </cell>
          <cell r="BX4">
            <v>39447</v>
          </cell>
          <cell r="BZ4">
            <v>39538</v>
          </cell>
          <cell r="CA4">
            <v>39629</v>
          </cell>
          <cell r="CB4">
            <v>39721</v>
          </cell>
          <cell r="CC4">
            <v>39813</v>
          </cell>
          <cell r="CE4">
            <v>39903</v>
          </cell>
          <cell r="CF4">
            <v>39994</v>
          </cell>
          <cell r="CG4">
            <v>40086</v>
          </cell>
          <cell r="CH4">
            <v>40178</v>
          </cell>
          <cell r="CJ4">
            <v>40268</v>
          </cell>
          <cell r="CK4">
            <v>40359</v>
          </cell>
          <cell r="CL4">
            <v>40451</v>
          </cell>
          <cell r="CM4">
            <v>40543</v>
          </cell>
          <cell r="CO4">
            <v>40633</v>
          </cell>
          <cell r="CP4">
            <v>40724</v>
          </cell>
          <cell r="CQ4">
            <v>40816</v>
          </cell>
          <cell r="CR4">
            <v>40908</v>
          </cell>
          <cell r="CT4">
            <v>40999</v>
          </cell>
          <cell r="CU4">
            <v>41090</v>
          </cell>
          <cell r="CV4">
            <v>41182</v>
          </cell>
          <cell r="CW4">
            <v>41274</v>
          </cell>
          <cell r="CY4">
            <v>41364</v>
          </cell>
          <cell r="CZ4">
            <v>41455</v>
          </cell>
          <cell r="DA4">
            <v>41547</v>
          </cell>
          <cell r="DB4">
            <v>41639</v>
          </cell>
          <cell r="DD4">
            <v>41729</v>
          </cell>
          <cell r="DE4">
            <v>41820</v>
          </cell>
          <cell r="DF4">
            <v>41912</v>
          </cell>
          <cell r="DG4">
            <v>42004</v>
          </cell>
          <cell r="DI4">
            <v>42094</v>
          </cell>
          <cell r="DJ4">
            <v>42185</v>
          </cell>
          <cell r="DK4">
            <v>42277</v>
          </cell>
          <cell r="DL4">
            <v>42369</v>
          </cell>
          <cell r="DN4">
            <v>42460</v>
          </cell>
          <cell r="DO4">
            <v>42551</v>
          </cell>
          <cell r="DP4">
            <v>42643</v>
          </cell>
          <cell r="DQ4">
            <v>42735</v>
          </cell>
        </row>
        <row r="5">
          <cell r="B5" t="str">
            <v>($ Millions, except per share data)</v>
          </cell>
          <cell r="D5" t="str">
            <v>F1Q95A</v>
          </cell>
          <cell r="E5" t="str">
            <v>F2Q95A</v>
          </cell>
          <cell r="F5" t="str">
            <v>F3Q95A</v>
          </cell>
          <cell r="G5" t="str">
            <v>F4Q95A</v>
          </cell>
          <cell r="H5" t="str">
            <v>F1995A</v>
          </cell>
          <cell r="I5" t="str">
            <v>F1Q96A</v>
          </cell>
          <cell r="J5" t="str">
            <v>F2Q96A</v>
          </cell>
          <cell r="K5" t="str">
            <v>F3Q96A</v>
          </cell>
          <cell r="L5" t="str">
            <v>F4Q96A</v>
          </cell>
          <cell r="M5" t="str">
            <v>F1996A</v>
          </cell>
          <cell r="N5" t="str">
            <v>F1Q97A</v>
          </cell>
          <cell r="O5" t="str">
            <v>F2Q97A</v>
          </cell>
          <cell r="P5" t="str">
            <v>F3Q97A</v>
          </cell>
          <cell r="Q5" t="str">
            <v>F4Q97A</v>
          </cell>
          <cell r="R5" t="str">
            <v>F1997A</v>
          </cell>
          <cell r="S5" t="str">
            <v>F1Q98A</v>
          </cell>
          <cell r="T5" t="str">
            <v>F2Q98A</v>
          </cell>
          <cell r="U5" t="str">
            <v>F3Q98A</v>
          </cell>
          <cell r="V5" t="str">
            <v>F4Q98A</v>
          </cell>
          <cell r="W5" t="str">
            <v>F1998A</v>
          </cell>
          <cell r="X5" t="str">
            <v>F1Q99A</v>
          </cell>
          <cell r="Y5" t="str">
            <v>F2Q99A</v>
          </cell>
          <cell r="Z5" t="str">
            <v>F3Q99A</v>
          </cell>
          <cell r="AA5" t="str">
            <v>F4Q99A</v>
          </cell>
          <cell r="AB5" t="str">
            <v>F1999A</v>
          </cell>
          <cell r="AC5" t="str">
            <v>F1Q00A</v>
          </cell>
          <cell r="AD5" t="str">
            <v>F2Q00A</v>
          </cell>
          <cell r="AE5" t="str">
            <v>F3Q00A</v>
          </cell>
          <cell r="AF5" t="str">
            <v>F4Q00A</v>
          </cell>
          <cell r="AG5" t="str">
            <v>F2000A</v>
          </cell>
          <cell r="AH5" t="str">
            <v>F1Q01A</v>
          </cell>
          <cell r="AI5" t="str">
            <v>F2Q01A</v>
          </cell>
          <cell r="AJ5" t="str">
            <v>F3Q01A</v>
          </cell>
          <cell r="AK5" t="str">
            <v>F4Q01A</v>
          </cell>
          <cell r="AL5" t="str">
            <v>F2001A</v>
          </cell>
          <cell r="AM5" t="str">
            <v>F1Q02A</v>
          </cell>
          <cell r="AN5" t="str">
            <v>F2Q02A</v>
          </cell>
          <cell r="AO5" t="str">
            <v>F3Q02A</v>
          </cell>
          <cell r="AP5" t="str">
            <v>F4Q02A</v>
          </cell>
          <cell r="AQ5" t="str">
            <v>F2002A</v>
          </cell>
          <cell r="AR5" t="str">
            <v>F1Q03A</v>
          </cell>
          <cell r="AS5" t="str">
            <v>F2Q03A</v>
          </cell>
          <cell r="AT5" t="str">
            <v>F3Q03A</v>
          </cell>
          <cell r="AV5" t="str">
            <v>1Q02A</v>
          </cell>
          <cell r="AW5" t="str">
            <v>2Q02A</v>
          </cell>
          <cell r="AX5" t="str">
            <v>3Q02A</v>
          </cell>
          <cell r="AY5" t="str">
            <v>4Q02A</v>
          </cell>
          <cell r="AZ5" t="str">
            <v>2002A</v>
          </cell>
          <cell r="BA5" t="str">
            <v>1Q03A</v>
          </cell>
          <cell r="BB5" t="str">
            <v>2Q03A</v>
          </cell>
          <cell r="BC5" t="str">
            <v>3Q03A</v>
          </cell>
          <cell r="BD5" t="str">
            <v>4Q03A</v>
          </cell>
          <cell r="BE5" t="str">
            <v>2003A</v>
          </cell>
          <cell r="BF5" t="str">
            <v>1Q04A</v>
          </cell>
          <cell r="BG5" t="str">
            <v>2Q04A</v>
          </cell>
          <cell r="BH5" t="str">
            <v>3Q04A</v>
          </cell>
          <cell r="BI5" t="str">
            <v>4Q04A</v>
          </cell>
          <cell r="BJ5" t="str">
            <v>2004A</v>
          </cell>
          <cell r="BK5" t="str">
            <v>1Q05A</v>
          </cell>
          <cell r="BL5" t="str">
            <v>2Q05A</v>
          </cell>
          <cell r="BM5" t="str">
            <v>3Q05A</v>
          </cell>
          <cell r="BN5" t="str">
            <v>4Q05A</v>
          </cell>
          <cell r="BO5" t="str">
            <v>2005A</v>
          </cell>
          <cell r="BP5" t="str">
            <v>1Q06A</v>
          </cell>
          <cell r="BQ5" t="str">
            <v>2Q06A</v>
          </cell>
          <cell r="BR5" t="str">
            <v>3Q06A</v>
          </cell>
          <cell r="BS5" t="str">
            <v>4Q06A</v>
          </cell>
          <cell r="BT5" t="str">
            <v>2006A</v>
          </cell>
          <cell r="BU5" t="str">
            <v>1Q07A</v>
          </cell>
          <cell r="BV5" t="str">
            <v>2Q07A</v>
          </cell>
          <cell r="BW5" t="str">
            <v>3Q07A</v>
          </cell>
          <cell r="BX5" t="str">
            <v>4Q07A</v>
          </cell>
          <cell r="BY5" t="str">
            <v>2007A</v>
          </cell>
          <cell r="BZ5" t="str">
            <v>1Q08A</v>
          </cell>
          <cell r="CA5" t="str">
            <v>2Q08A</v>
          </cell>
          <cell r="CB5" t="str">
            <v>3Q08A</v>
          </cell>
          <cell r="CC5" t="str">
            <v>4Q08A</v>
          </cell>
          <cell r="CD5" t="str">
            <v>2008A</v>
          </cell>
          <cell r="CE5" t="str">
            <v>1Q09A</v>
          </cell>
          <cell r="CF5" t="str">
            <v>2Q09A</v>
          </cell>
          <cell r="CG5" t="str">
            <v>3Q09A</v>
          </cell>
          <cell r="CH5" t="str">
            <v>4Q09A</v>
          </cell>
          <cell r="CI5" t="str">
            <v>2009A</v>
          </cell>
          <cell r="CJ5" t="str">
            <v>1Q10A</v>
          </cell>
          <cell r="CK5" t="str">
            <v>2Q10A</v>
          </cell>
          <cell r="CL5" t="str">
            <v>3Q10A</v>
          </cell>
          <cell r="CM5" t="str">
            <v>4Q10A</v>
          </cell>
          <cell r="CN5" t="str">
            <v>2010A</v>
          </cell>
          <cell r="CO5" t="str">
            <v>1Q11A</v>
          </cell>
          <cell r="CP5" t="str">
            <v>2Q11A</v>
          </cell>
          <cell r="CQ5" t="str">
            <v>3Q11A</v>
          </cell>
          <cell r="CR5" t="str">
            <v>4Q11A</v>
          </cell>
          <cell r="CS5" t="str">
            <v>2011A</v>
          </cell>
          <cell r="CT5" t="str">
            <v>1Q12A</v>
          </cell>
          <cell r="CU5" t="str">
            <v>2Q12A</v>
          </cell>
          <cell r="CV5" t="str">
            <v>3Q12A</v>
          </cell>
          <cell r="CW5" t="str">
            <v>4Q12E</v>
          </cell>
          <cell r="CX5" t="str">
            <v>2012E</v>
          </cell>
          <cell r="CY5" t="str">
            <v>1Q13E</v>
          </cell>
          <cell r="CZ5" t="str">
            <v>2Q13E</v>
          </cell>
          <cell r="DA5" t="str">
            <v>3Q13E</v>
          </cell>
          <cell r="DB5" t="str">
            <v>4Q13E</v>
          </cell>
          <cell r="DC5" t="str">
            <v>2013E</v>
          </cell>
          <cell r="DD5" t="str">
            <v>1Q14E</v>
          </cell>
          <cell r="DE5" t="str">
            <v>2Q14E</v>
          </cell>
          <cell r="DF5" t="str">
            <v>3Q14E</v>
          </cell>
          <cell r="DG5" t="str">
            <v>4Q14E</v>
          </cell>
          <cell r="DH5" t="str">
            <v>2014E</v>
          </cell>
          <cell r="DI5" t="str">
            <v>1Q15E</v>
          </cell>
          <cell r="DJ5" t="str">
            <v>2Q15E</v>
          </cell>
          <cell r="DK5" t="str">
            <v>3Q15E</v>
          </cell>
          <cell r="DL5" t="str">
            <v>4Q15E</v>
          </cell>
          <cell r="DM5" t="str">
            <v>2015E</v>
          </cell>
          <cell r="DN5" t="str">
            <v>1Q16E</v>
          </cell>
          <cell r="DO5" t="str">
            <v>2Q16E</v>
          </cell>
          <cell r="DP5" t="str">
            <v>3Q16E</v>
          </cell>
          <cell r="DQ5" t="str">
            <v>4Q16E</v>
          </cell>
          <cell r="DR5" t="str">
            <v>2016E</v>
          </cell>
        </row>
        <row r="6">
          <cell r="B6" t="str">
            <v>Cash &amp; equivalents</v>
          </cell>
          <cell r="D6">
            <v>112.304</v>
          </cell>
          <cell r="E6">
            <v>131.80000000000001</v>
          </cell>
          <cell r="F6">
            <v>144.5</v>
          </cell>
          <cell r="G6">
            <v>155</v>
          </cell>
          <cell r="H6">
            <v>155</v>
          </cell>
          <cell r="I6">
            <v>106.4</v>
          </cell>
          <cell r="J6">
            <v>98.8</v>
          </cell>
          <cell r="K6">
            <v>114.2</v>
          </cell>
          <cell r="L6">
            <v>89</v>
          </cell>
          <cell r="M6">
            <v>89</v>
          </cell>
          <cell r="N6">
            <v>104.1</v>
          </cell>
          <cell r="O6">
            <v>56.8</v>
          </cell>
          <cell r="P6">
            <v>61.3</v>
          </cell>
          <cell r="Q6">
            <v>35</v>
          </cell>
          <cell r="R6">
            <v>35</v>
          </cell>
          <cell r="S6">
            <v>103</v>
          </cell>
          <cell r="T6">
            <v>14</v>
          </cell>
          <cell r="U6">
            <v>17</v>
          </cell>
          <cell r="V6">
            <v>23</v>
          </cell>
          <cell r="W6">
            <v>23</v>
          </cell>
          <cell r="X6">
            <v>21</v>
          </cell>
          <cell r="Y6">
            <v>32</v>
          </cell>
          <cell r="Z6">
            <v>61</v>
          </cell>
          <cell r="AA6">
            <v>29</v>
          </cell>
          <cell r="AB6">
            <v>29</v>
          </cell>
          <cell r="AC6">
            <v>24</v>
          </cell>
          <cell r="AD6">
            <v>31</v>
          </cell>
          <cell r="AE6">
            <v>38</v>
          </cell>
          <cell r="AF6">
            <v>135</v>
          </cell>
          <cell r="AG6">
            <v>135</v>
          </cell>
          <cell r="AH6">
            <v>83</v>
          </cell>
          <cell r="AI6">
            <v>82</v>
          </cell>
          <cell r="AJ6">
            <v>57</v>
          </cell>
          <cell r="AK6">
            <v>62</v>
          </cell>
          <cell r="AL6">
            <v>62</v>
          </cell>
          <cell r="AM6">
            <v>66</v>
          </cell>
          <cell r="AN6">
            <v>63</v>
          </cell>
          <cell r="AO6">
            <v>52</v>
          </cell>
          <cell r="AP6">
            <v>38</v>
          </cell>
          <cell r="AQ6">
            <v>38</v>
          </cell>
          <cell r="AR6">
            <v>42</v>
          </cell>
          <cell r="AS6">
            <v>40</v>
          </cell>
          <cell r="AT6">
            <v>118</v>
          </cell>
          <cell r="AY6">
            <v>210</v>
          </cell>
          <cell r="AZ6">
            <v>210</v>
          </cell>
          <cell r="BA6">
            <v>135</v>
          </cell>
          <cell r="BB6">
            <v>221</v>
          </cell>
          <cell r="BC6">
            <v>219</v>
          </cell>
          <cell r="BD6">
            <v>619</v>
          </cell>
          <cell r="BE6">
            <v>619</v>
          </cell>
          <cell r="BF6">
            <v>507</v>
          </cell>
          <cell r="BG6">
            <v>1193</v>
          </cell>
          <cell r="BH6">
            <v>1323</v>
          </cell>
          <cell r="BI6">
            <v>654</v>
          </cell>
          <cell r="BJ6">
            <v>654</v>
          </cell>
          <cell r="BK6">
            <v>1497</v>
          </cell>
          <cell r="BL6">
            <v>1594</v>
          </cell>
          <cell r="BM6">
            <v>1480</v>
          </cell>
          <cell r="BN6">
            <v>1373</v>
          </cell>
          <cell r="BO6">
            <v>1373</v>
          </cell>
          <cell r="BP6">
            <v>975</v>
          </cell>
          <cell r="BQ6">
            <v>568</v>
          </cell>
          <cell r="BR6">
            <v>809</v>
          </cell>
          <cell r="BS6">
            <v>784</v>
          </cell>
          <cell r="BT6">
            <v>784</v>
          </cell>
          <cell r="BU6">
            <v>584</v>
          </cell>
          <cell r="BV6">
            <v>675</v>
          </cell>
          <cell r="BW6">
            <v>655</v>
          </cell>
          <cell r="BX6">
            <v>572</v>
          </cell>
          <cell r="BY6">
            <v>572</v>
          </cell>
          <cell r="BZ6">
            <v>278</v>
          </cell>
          <cell r="CA6">
            <v>352</v>
          </cell>
          <cell r="CB6">
            <v>512</v>
          </cell>
          <cell r="CC6">
            <v>507</v>
          </cell>
          <cell r="CD6">
            <v>507</v>
          </cell>
          <cell r="CE6">
            <v>652</v>
          </cell>
          <cell r="CF6">
            <v>758</v>
          </cell>
          <cell r="CG6">
            <v>731</v>
          </cell>
          <cell r="CH6">
            <v>690</v>
          </cell>
          <cell r="CI6">
            <v>690</v>
          </cell>
          <cell r="CJ6">
            <v>589</v>
          </cell>
          <cell r="CK6">
            <v>711</v>
          </cell>
          <cell r="CL6">
            <v>398</v>
          </cell>
          <cell r="CM6">
            <v>405</v>
          </cell>
          <cell r="CN6">
            <v>405</v>
          </cell>
          <cell r="CO6">
            <v>267</v>
          </cell>
          <cell r="CP6">
            <v>264</v>
          </cell>
          <cell r="CQ6">
            <v>185</v>
          </cell>
          <cell r="CR6">
            <v>113</v>
          </cell>
          <cell r="CS6">
            <v>113</v>
          </cell>
          <cell r="CT6">
            <v>104</v>
          </cell>
          <cell r="CU6">
            <v>82</v>
          </cell>
          <cell r="CV6">
            <v>83</v>
          </cell>
          <cell r="CW6">
            <v>796.82228946500527</v>
          </cell>
          <cell r="CX6">
            <v>796.82228946500527</v>
          </cell>
          <cell r="CY6">
            <v>783.09228910018987</v>
          </cell>
          <cell r="CZ6">
            <v>769.23666195178066</v>
          </cell>
          <cell r="DA6">
            <v>839.28021903822992</v>
          </cell>
          <cell r="DB6">
            <v>884.64004628611724</v>
          </cell>
          <cell r="DC6">
            <v>884.64004628611724</v>
          </cell>
          <cell r="DD6">
            <v>966.5373346218272</v>
          </cell>
          <cell r="DE6">
            <v>1044.4510110641747</v>
          </cell>
          <cell r="DF6">
            <v>1134.5089576312018</v>
          </cell>
          <cell r="DG6">
            <v>1201.8013582555388</v>
          </cell>
          <cell r="DH6">
            <v>1201.8013582555388</v>
          </cell>
          <cell r="DI6">
            <v>1277.0659881994259</v>
          </cell>
          <cell r="DJ6">
            <v>1374.9116760549289</v>
          </cell>
          <cell r="DK6">
            <v>1474.4716766419272</v>
          </cell>
          <cell r="DL6">
            <v>1552.1664041042404</v>
          </cell>
          <cell r="DM6">
            <v>1552.1664041042404</v>
          </cell>
          <cell r="DN6">
            <v>1648.0680635609963</v>
          </cell>
          <cell r="DO6">
            <v>1754.0319682984241</v>
          </cell>
          <cell r="DP6">
            <v>1868.2875538976209</v>
          </cell>
          <cell r="DQ6">
            <v>1958.9258047039511</v>
          </cell>
          <cell r="DR6">
            <v>1958.9258047039511</v>
          </cell>
          <cell r="DW6" t="str">
            <v>mstag:cashAndCashEquivalents</v>
          </cell>
          <cell r="DX6">
            <v>6</v>
          </cell>
          <cell r="DY6" t="str">
            <v>ISO4217:USD</v>
          </cell>
          <cell r="DZ6" t="b">
            <v>0</v>
          </cell>
        </row>
        <row r="7">
          <cell r="B7" t="str">
            <v>Restricted cash</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C7">
            <v>0</v>
          </cell>
          <cell r="AD7">
            <v>0</v>
          </cell>
          <cell r="AE7">
            <v>0</v>
          </cell>
          <cell r="AF7">
            <v>0</v>
          </cell>
          <cell r="AH7">
            <v>0</v>
          </cell>
          <cell r="AI7">
            <v>0</v>
          </cell>
          <cell r="AJ7">
            <v>0</v>
          </cell>
          <cell r="AK7">
            <v>0</v>
          </cell>
          <cell r="AL7">
            <v>0</v>
          </cell>
          <cell r="AM7">
            <v>0</v>
          </cell>
          <cell r="AN7">
            <v>0</v>
          </cell>
          <cell r="AO7">
            <v>0</v>
          </cell>
          <cell r="AP7">
            <v>0</v>
          </cell>
          <cell r="AQ7">
            <v>0</v>
          </cell>
          <cell r="AR7">
            <v>0</v>
          </cell>
          <cell r="AS7">
            <v>0</v>
          </cell>
          <cell r="AT7">
            <v>0</v>
          </cell>
          <cell r="AY7">
            <v>0</v>
          </cell>
          <cell r="AZ7">
            <v>0</v>
          </cell>
          <cell r="BA7">
            <v>0</v>
          </cell>
          <cell r="BB7">
            <v>0</v>
          </cell>
          <cell r="BC7">
            <v>0</v>
          </cell>
          <cell r="BD7">
            <v>0</v>
          </cell>
          <cell r="BE7">
            <v>0</v>
          </cell>
          <cell r="BF7">
            <v>0</v>
          </cell>
          <cell r="BG7">
            <v>0</v>
          </cell>
          <cell r="BH7">
            <v>0</v>
          </cell>
          <cell r="BI7">
            <v>263</v>
          </cell>
          <cell r="BJ7">
            <v>263</v>
          </cell>
          <cell r="BK7">
            <v>263</v>
          </cell>
          <cell r="BL7">
            <v>263</v>
          </cell>
          <cell r="BM7">
            <v>263</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B7">
            <v>48</v>
          </cell>
          <cell r="CC7">
            <v>14</v>
          </cell>
          <cell r="CD7">
            <v>14</v>
          </cell>
          <cell r="CE7">
            <v>6</v>
          </cell>
          <cell r="CF7">
            <v>6</v>
          </cell>
          <cell r="CG7">
            <v>3</v>
          </cell>
          <cell r="CH7">
            <v>2</v>
          </cell>
          <cell r="CI7">
            <v>2</v>
          </cell>
          <cell r="CJ7">
            <v>2</v>
          </cell>
          <cell r="CK7">
            <v>1</v>
          </cell>
          <cell r="CL7">
            <v>1</v>
          </cell>
          <cell r="CM7">
            <v>1</v>
          </cell>
          <cell r="CN7">
            <v>1</v>
          </cell>
          <cell r="CO7">
            <v>2</v>
          </cell>
          <cell r="CP7">
            <v>0</v>
          </cell>
          <cell r="CQ7">
            <v>0</v>
          </cell>
          <cell r="CR7">
            <v>0</v>
          </cell>
          <cell r="CS7">
            <v>0</v>
          </cell>
          <cell r="CT7">
            <v>0</v>
          </cell>
          <cell r="CU7">
            <v>0</v>
          </cell>
          <cell r="CV7">
            <v>0</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N7">
            <v>0</v>
          </cell>
          <cell r="DO7">
            <v>0</v>
          </cell>
          <cell r="DP7">
            <v>0</v>
          </cell>
          <cell r="DQ7">
            <v>0</v>
          </cell>
          <cell r="DR7">
            <v>0</v>
          </cell>
          <cell r="DW7" t="str">
            <v>mstag:shortTermInvestments</v>
          </cell>
          <cell r="DX7">
            <v>6</v>
          </cell>
          <cell r="DY7" t="str">
            <v>ISO4217:USD</v>
          </cell>
          <cell r="DZ7" t="b">
            <v>0</v>
          </cell>
        </row>
        <row r="8">
          <cell r="B8" t="str">
            <v>Investments in securities</v>
          </cell>
          <cell r="D8">
            <v>52.53</v>
          </cell>
          <cell r="E8">
            <v>51.4</v>
          </cell>
          <cell r="F8">
            <v>51.6</v>
          </cell>
          <cell r="G8">
            <v>139</v>
          </cell>
          <cell r="H8">
            <v>139</v>
          </cell>
          <cell r="I8">
            <v>135.6</v>
          </cell>
          <cell r="J8">
            <v>135.19999999999999</v>
          </cell>
          <cell r="K8">
            <v>129.5</v>
          </cell>
          <cell r="L8">
            <v>112</v>
          </cell>
          <cell r="M8">
            <v>112</v>
          </cell>
          <cell r="N8">
            <v>105.2</v>
          </cell>
          <cell r="O8">
            <v>103.1</v>
          </cell>
          <cell r="P8">
            <v>111.8</v>
          </cell>
          <cell r="Q8">
            <v>116</v>
          </cell>
          <cell r="R8">
            <v>116</v>
          </cell>
          <cell r="S8">
            <v>119</v>
          </cell>
          <cell r="T8">
            <v>125</v>
          </cell>
          <cell r="U8">
            <v>132</v>
          </cell>
          <cell r="V8">
            <v>132</v>
          </cell>
          <cell r="W8">
            <v>132</v>
          </cell>
          <cell r="X8">
            <v>135</v>
          </cell>
          <cell r="Y8">
            <v>139</v>
          </cell>
          <cell r="Z8">
            <v>130</v>
          </cell>
          <cell r="AA8">
            <v>130</v>
          </cell>
          <cell r="AB8">
            <v>130</v>
          </cell>
          <cell r="AC8">
            <v>119</v>
          </cell>
          <cell r="AD8">
            <v>123</v>
          </cell>
          <cell r="AE8">
            <v>111</v>
          </cell>
          <cell r="AF8">
            <v>110</v>
          </cell>
          <cell r="AG8">
            <v>110</v>
          </cell>
          <cell r="AH8">
            <v>106</v>
          </cell>
          <cell r="AI8">
            <v>105</v>
          </cell>
          <cell r="AJ8">
            <v>112</v>
          </cell>
          <cell r="AK8">
            <v>104</v>
          </cell>
          <cell r="AL8">
            <v>104</v>
          </cell>
          <cell r="AM8">
            <v>103</v>
          </cell>
          <cell r="AN8">
            <v>103</v>
          </cell>
          <cell r="AO8">
            <v>110</v>
          </cell>
          <cell r="AP8">
            <v>100</v>
          </cell>
          <cell r="AQ8">
            <v>100</v>
          </cell>
          <cell r="AR8">
            <v>102</v>
          </cell>
          <cell r="AS8">
            <v>90</v>
          </cell>
          <cell r="AT8">
            <v>97</v>
          </cell>
          <cell r="AY8">
            <v>85</v>
          </cell>
          <cell r="AZ8">
            <v>85</v>
          </cell>
          <cell r="BA8">
            <v>95</v>
          </cell>
          <cell r="BB8">
            <v>103</v>
          </cell>
          <cell r="BC8">
            <v>103</v>
          </cell>
          <cell r="BD8">
            <v>123</v>
          </cell>
          <cell r="BE8">
            <v>123</v>
          </cell>
          <cell r="BF8">
            <v>134</v>
          </cell>
          <cell r="BG8">
            <v>123</v>
          </cell>
          <cell r="BH8">
            <v>122</v>
          </cell>
          <cell r="BI8">
            <v>117</v>
          </cell>
          <cell r="BJ8">
            <v>117</v>
          </cell>
          <cell r="BK8">
            <v>112</v>
          </cell>
          <cell r="BL8">
            <v>75</v>
          </cell>
          <cell r="BM8">
            <v>65</v>
          </cell>
          <cell r="BN8">
            <v>5</v>
          </cell>
          <cell r="BO8">
            <v>5</v>
          </cell>
          <cell r="BP8">
            <v>10</v>
          </cell>
          <cell r="BQ8">
            <v>11</v>
          </cell>
          <cell r="BR8">
            <v>15</v>
          </cell>
          <cell r="BS8">
            <v>39</v>
          </cell>
          <cell r="BT8">
            <v>39</v>
          </cell>
          <cell r="BU8">
            <v>38</v>
          </cell>
          <cell r="BV8">
            <v>39</v>
          </cell>
          <cell r="BW8">
            <v>34</v>
          </cell>
          <cell r="BX8">
            <v>20</v>
          </cell>
          <cell r="BY8">
            <v>20</v>
          </cell>
          <cell r="BZ8">
            <v>14</v>
          </cell>
          <cell r="CA8">
            <v>8</v>
          </cell>
          <cell r="CB8">
            <v>0</v>
          </cell>
          <cell r="CC8">
            <v>2</v>
          </cell>
          <cell r="CD8">
            <v>2</v>
          </cell>
          <cell r="CE8">
            <v>1</v>
          </cell>
          <cell r="CF8">
            <v>3</v>
          </cell>
          <cell r="CG8">
            <v>16</v>
          </cell>
          <cell r="CH8">
            <v>11</v>
          </cell>
          <cell r="CI8">
            <v>11</v>
          </cell>
          <cell r="CJ8">
            <v>2</v>
          </cell>
          <cell r="CK8">
            <v>1</v>
          </cell>
          <cell r="CL8">
            <v>1</v>
          </cell>
          <cell r="CM8">
            <v>0</v>
          </cell>
          <cell r="CN8">
            <v>0</v>
          </cell>
          <cell r="CO8">
            <v>1</v>
          </cell>
          <cell r="CP8">
            <v>0</v>
          </cell>
          <cell r="CQ8">
            <v>0</v>
          </cell>
          <cell r="CR8">
            <v>0</v>
          </cell>
          <cell r="CS8">
            <v>0</v>
          </cell>
          <cell r="CT8">
            <v>0</v>
          </cell>
          <cell r="CU8">
            <v>0</v>
          </cell>
          <cell r="CV8">
            <v>0</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N8">
            <v>0</v>
          </cell>
          <cell r="DO8">
            <v>0</v>
          </cell>
          <cell r="DP8">
            <v>0</v>
          </cell>
          <cell r="DQ8">
            <v>0</v>
          </cell>
          <cell r="DR8">
            <v>0</v>
          </cell>
          <cell r="DW8" t="str">
            <v>mstag:shortTermInvestments</v>
          </cell>
          <cell r="DX8">
            <v>6</v>
          </cell>
          <cell r="DY8" t="str">
            <v>ISO4217:USD</v>
          </cell>
          <cell r="DZ8" t="b">
            <v>0</v>
          </cell>
        </row>
        <row r="9">
          <cell r="B9" t="str">
            <v>Accounts receivable, gross</v>
          </cell>
          <cell r="D9">
            <v>440.09100000000001</v>
          </cell>
          <cell r="E9">
            <v>478.59999999999997</v>
          </cell>
          <cell r="F9">
            <v>482.40000000000003</v>
          </cell>
          <cell r="G9">
            <v>749</v>
          </cell>
          <cell r="H9">
            <v>749</v>
          </cell>
          <cell r="I9">
            <v>769.59999999999991</v>
          </cell>
          <cell r="J9">
            <v>892.30000000000007</v>
          </cell>
          <cell r="K9">
            <v>958.7</v>
          </cell>
          <cell r="L9">
            <v>994</v>
          </cell>
          <cell r="M9">
            <v>994</v>
          </cell>
          <cell r="N9">
            <v>1039.5999999999999</v>
          </cell>
          <cell r="O9">
            <v>1188.5</v>
          </cell>
          <cell r="P9">
            <v>1576.7</v>
          </cell>
          <cell r="Q9">
            <v>1570</v>
          </cell>
          <cell r="R9">
            <v>1570</v>
          </cell>
          <cell r="S9">
            <v>1583</v>
          </cell>
          <cell r="T9">
            <v>1774</v>
          </cell>
          <cell r="U9">
            <v>1929</v>
          </cell>
          <cell r="V9">
            <v>1933</v>
          </cell>
          <cell r="W9">
            <v>1933</v>
          </cell>
          <cell r="X9">
            <v>2067</v>
          </cell>
          <cell r="Y9">
            <v>2247</v>
          </cell>
          <cell r="Z9">
            <v>2547</v>
          </cell>
          <cell r="AA9">
            <v>2605</v>
          </cell>
          <cell r="AB9">
            <v>2605</v>
          </cell>
          <cell r="AC9">
            <v>2741</v>
          </cell>
          <cell r="AD9">
            <v>2761</v>
          </cell>
          <cell r="AE9">
            <v>2930</v>
          </cell>
          <cell r="AF9">
            <v>2864</v>
          </cell>
          <cell r="AG9">
            <v>2864</v>
          </cell>
          <cell r="AH9">
            <v>2870</v>
          </cell>
          <cell r="AI9">
            <v>2899</v>
          </cell>
          <cell r="AJ9">
            <v>2994</v>
          </cell>
          <cell r="AK9">
            <v>2719</v>
          </cell>
          <cell r="AL9">
            <v>2719</v>
          </cell>
          <cell r="AM9">
            <v>2687</v>
          </cell>
          <cell r="AN9">
            <v>2702</v>
          </cell>
          <cell r="AO9">
            <v>2792</v>
          </cell>
          <cell r="AP9">
            <v>2740</v>
          </cell>
          <cell r="AQ9">
            <v>2740</v>
          </cell>
          <cell r="AR9">
            <v>2808</v>
          </cell>
          <cell r="AS9">
            <v>2934</v>
          </cell>
          <cell r="AT9">
            <v>3004</v>
          </cell>
          <cell r="AY9">
            <v>2940</v>
          </cell>
          <cell r="AZ9">
            <v>2940</v>
          </cell>
          <cell r="BA9">
            <v>3090</v>
          </cell>
          <cell r="BB9">
            <v>3018</v>
          </cell>
          <cell r="BC9">
            <v>2965</v>
          </cell>
          <cell r="BD9">
            <v>2915</v>
          </cell>
          <cell r="BE9">
            <v>2915</v>
          </cell>
          <cell r="BF9">
            <v>2861</v>
          </cell>
          <cell r="BG9">
            <v>2767</v>
          </cell>
          <cell r="BH9">
            <v>2591</v>
          </cell>
          <cell r="BI9">
            <v>2386</v>
          </cell>
          <cell r="BJ9">
            <v>2386</v>
          </cell>
          <cell r="BK9">
            <v>2274</v>
          </cell>
          <cell r="BL9">
            <v>2141</v>
          </cell>
          <cell r="BM9">
            <v>2165</v>
          </cell>
          <cell r="BN9">
            <v>2119</v>
          </cell>
          <cell r="BO9">
            <v>2119</v>
          </cell>
          <cell r="BP9">
            <v>2159</v>
          </cell>
          <cell r="BQ9">
            <v>2003</v>
          </cell>
          <cell r="BR9">
            <v>1952</v>
          </cell>
          <cell r="BS9">
            <v>1911</v>
          </cell>
          <cell r="BT9">
            <v>1911</v>
          </cell>
          <cell r="BU9">
            <v>1910</v>
          </cell>
          <cell r="BV9">
            <v>1846</v>
          </cell>
          <cell r="BW9">
            <v>1832</v>
          </cell>
          <cell r="BX9">
            <v>1826</v>
          </cell>
          <cell r="BY9">
            <v>1826</v>
          </cell>
          <cell r="BZ9">
            <v>1896</v>
          </cell>
          <cell r="CA9">
            <v>1860</v>
          </cell>
          <cell r="CB9">
            <v>1754</v>
          </cell>
          <cell r="CC9">
            <v>1733</v>
          </cell>
          <cell r="CD9">
            <v>1733</v>
          </cell>
          <cell r="CE9">
            <v>1776</v>
          </cell>
          <cell r="CF9">
            <v>1632</v>
          </cell>
          <cell r="CG9">
            <v>1578</v>
          </cell>
          <cell r="CH9">
            <v>1527</v>
          </cell>
          <cell r="CI9">
            <v>1527</v>
          </cell>
          <cell r="CJ9">
            <v>1569</v>
          </cell>
          <cell r="CK9">
            <v>1524</v>
          </cell>
          <cell r="CL9">
            <v>1484</v>
          </cell>
          <cell r="CM9">
            <v>1495</v>
          </cell>
          <cell r="CN9">
            <v>1495</v>
          </cell>
          <cell r="CO9">
            <v>1596</v>
          </cell>
          <cell r="CP9">
            <v>1622</v>
          </cell>
          <cell r="CQ9">
            <v>1598</v>
          </cell>
          <cell r="CR9">
            <v>1675</v>
          </cell>
          <cell r="CS9">
            <v>1675</v>
          </cell>
          <cell r="CT9">
            <v>1797</v>
          </cell>
          <cell r="CU9">
            <v>1757</v>
          </cell>
          <cell r="CV9">
            <v>1740</v>
          </cell>
          <cell r="CW9">
            <v>1830.3887642386819</v>
          </cell>
          <cell r="CX9">
            <v>1830.3887642386819</v>
          </cell>
          <cell r="CY9">
            <v>1891.1636954016903</v>
          </cell>
          <cell r="CZ9">
            <v>1955.7549360780276</v>
          </cell>
          <cell r="DA9">
            <v>1985.4926317057389</v>
          </cell>
          <cell r="DB9">
            <v>2077.4271518124669</v>
          </cell>
          <cell r="DC9">
            <v>2077.4271518124669</v>
          </cell>
          <cell r="DD9">
            <v>2093.1548239732838</v>
          </cell>
          <cell r="DE9">
            <v>2086.6374913563022</v>
          </cell>
          <cell r="DF9">
            <v>2060.5622352016644</v>
          </cell>
          <cell r="DG9">
            <v>2108.1448919637346</v>
          </cell>
          <cell r="DH9">
            <v>2108.1448919637346</v>
          </cell>
          <cell r="DI9">
            <v>2141.4721101096993</v>
          </cell>
          <cell r="DJ9">
            <v>2100.1249852942969</v>
          </cell>
          <cell r="DK9">
            <v>2058.7943754082426</v>
          </cell>
          <cell r="DL9">
            <v>2099.8390966216252</v>
          </cell>
          <cell r="DM9">
            <v>2099.8390966216252</v>
          </cell>
          <cell r="DN9">
            <v>2118.8011303829803</v>
          </cell>
          <cell r="DO9">
            <v>2086.0865664848166</v>
          </cell>
          <cell r="DP9">
            <v>2038.1776819267554</v>
          </cell>
          <cell r="DQ9">
            <v>2074.7395740073925</v>
          </cell>
          <cell r="DR9">
            <v>2074.7395740073925</v>
          </cell>
          <cell r="DW9" t="str">
            <v>mstag:tradeReceivablesGrossCurrent</v>
          </cell>
          <cell r="DX9">
            <v>6</v>
          </cell>
          <cell r="DY9" t="str">
            <v>ISO4217:USD</v>
          </cell>
          <cell r="DZ9" t="b">
            <v>0</v>
          </cell>
        </row>
        <row r="10">
          <cell r="B10" t="str">
            <v>Allowance for bad debt</v>
          </cell>
          <cell r="D10">
            <v>-67.247</v>
          </cell>
          <cell r="E10">
            <v>-67.2</v>
          </cell>
          <cell r="F10">
            <v>-71.3</v>
          </cell>
          <cell r="G10">
            <v>-184</v>
          </cell>
          <cell r="H10">
            <v>-184</v>
          </cell>
          <cell r="I10">
            <v>-167.8</v>
          </cell>
          <cell r="J10">
            <v>-161.1</v>
          </cell>
          <cell r="K10">
            <v>-154.1</v>
          </cell>
          <cell r="L10">
            <v>-156</v>
          </cell>
          <cell r="M10">
            <v>-156</v>
          </cell>
          <cell r="N10">
            <v>-154.80000000000001</v>
          </cell>
          <cell r="O10">
            <v>-182.2</v>
          </cell>
          <cell r="P10">
            <v>-228.4</v>
          </cell>
          <cell r="Q10">
            <v>-224</v>
          </cell>
          <cell r="R10">
            <v>-224</v>
          </cell>
          <cell r="S10">
            <v>-236</v>
          </cell>
          <cell r="T10">
            <v>-215</v>
          </cell>
          <cell r="U10">
            <v>-204</v>
          </cell>
          <cell r="V10">
            <v>-191</v>
          </cell>
          <cell r="W10">
            <v>-191</v>
          </cell>
          <cell r="X10">
            <v>-182</v>
          </cell>
          <cell r="Y10">
            <v>-203</v>
          </cell>
          <cell r="Z10">
            <v>-244</v>
          </cell>
          <cell r="AA10">
            <v>-287</v>
          </cell>
          <cell r="AB10">
            <v>-287</v>
          </cell>
          <cell r="AC10">
            <v>-317</v>
          </cell>
          <cell r="AD10">
            <v>-293</v>
          </cell>
          <cell r="AE10">
            <v>-361</v>
          </cell>
          <cell r="AF10">
            <v>-358</v>
          </cell>
          <cell r="AG10">
            <v>-358</v>
          </cell>
          <cell r="AH10">
            <v>-355</v>
          </cell>
          <cell r="AI10">
            <v>-354</v>
          </cell>
          <cell r="AJ10">
            <v>-347</v>
          </cell>
          <cell r="AK10">
            <v>-333</v>
          </cell>
          <cell r="AL10">
            <v>-333</v>
          </cell>
          <cell r="AM10">
            <v>-339</v>
          </cell>
          <cell r="AN10">
            <v>-325</v>
          </cell>
          <cell r="AO10">
            <v>-315</v>
          </cell>
          <cell r="AP10">
            <v>-315</v>
          </cell>
          <cell r="AQ10">
            <v>-315</v>
          </cell>
          <cell r="AR10">
            <v>-328</v>
          </cell>
          <cell r="AS10">
            <v>-350</v>
          </cell>
          <cell r="AT10">
            <v>-342</v>
          </cell>
          <cell r="AY10">
            <v>-350</v>
          </cell>
          <cell r="AZ10">
            <v>-350</v>
          </cell>
          <cell r="BA10">
            <v>-357</v>
          </cell>
          <cell r="BB10">
            <v>-351</v>
          </cell>
          <cell r="BC10">
            <v>-500</v>
          </cell>
          <cell r="BD10">
            <v>-500</v>
          </cell>
          <cell r="BE10">
            <v>-500</v>
          </cell>
          <cell r="BF10">
            <v>-514</v>
          </cell>
          <cell r="BG10">
            <v>-838</v>
          </cell>
          <cell r="BH10">
            <v>-800</v>
          </cell>
          <cell r="BI10">
            <v>-698</v>
          </cell>
          <cell r="BJ10">
            <v>-698</v>
          </cell>
          <cell r="BK10">
            <v>-683</v>
          </cell>
          <cell r="BL10">
            <v>-642</v>
          </cell>
          <cell r="BM10">
            <v>-642</v>
          </cell>
          <cell r="BN10">
            <v>-594</v>
          </cell>
          <cell r="BO10">
            <v>-594</v>
          </cell>
          <cell r="BP10">
            <v>-575</v>
          </cell>
          <cell r="BQ10">
            <v>-519</v>
          </cell>
          <cell r="BR10">
            <v>-499</v>
          </cell>
          <cell r="BS10">
            <v>-498</v>
          </cell>
          <cell r="BT10">
            <v>-498</v>
          </cell>
          <cell r="BU10">
            <v>-483</v>
          </cell>
          <cell r="BV10">
            <v>-483</v>
          </cell>
          <cell r="BW10">
            <v>-478</v>
          </cell>
          <cell r="BX10">
            <v>-441</v>
          </cell>
          <cell r="BY10">
            <v>-441</v>
          </cell>
          <cell r="BZ10">
            <v>-428</v>
          </cell>
          <cell r="CA10">
            <v>-410</v>
          </cell>
          <cell r="CB10">
            <v>-398</v>
          </cell>
          <cell r="CC10">
            <v>-396</v>
          </cell>
          <cell r="CD10">
            <v>-396</v>
          </cell>
          <cell r="CE10">
            <v>-391</v>
          </cell>
          <cell r="CF10">
            <v>-407</v>
          </cell>
          <cell r="CG10">
            <v>-383</v>
          </cell>
          <cell r="CH10">
            <v>-369</v>
          </cell>
          <cell r="CI10">
            <v>-369</v>
          </cell>
          <cell r="CJ10">
            <v>-361</v>
          </cell>
          <cell r="CK10">
            <v>-364</v>
          </cell>
          <cell r="CL10">
            <v>-355</v>
          </cell>
          <cell r="CM10">
            <v>-352</v>
          </cell>
          <cell r="CN10">
            <v>-352</v>
          </cell>
          <cell r="CO10">
            <v>-359</v>
          </cell>
          <cell r="CP10">
            <v>-364</v>
          </cell>
          <cell r="CQ10">
            <v>-377</v>
          </cell>
          <cell r="CR10">
            <v>-397</v>
          </cell>
          <cell r="CS10">
            <v>-397</v>
          </cell>
          <cell r="CT10">
            <v>-380</v>
          </cell>
          <cell r="CU10">
            <v>-401</v>
          </cell>
          <cell r="CV10">
            <v>-402</v>
          </cell>
          <cell r="CW10">
            <v>-457.85146299321082</v>
          </cell>
          <cell r="CX10">
            <v>-457.85146299321082</v>
          </cell>
          <cell r="CY10">
            <v>-502.57976795554816</v>
          </cell>
          <cell r="CZ10">
            <v>-545.93973979478278</v>
          </cell>
          <cell r="DA10">
            <v>-601.39236667300258</v>
          </cell>
          <cell r="DB10">
            <v>-656.68902529933212</v>
          </cell>
          <cell r="DC10">
            <v>-656.68902529933212</v>
          </cell>
          <cell r="DD10">
            <v>-644.77806942995448</v>
          </cell>
          <cell r="DE10">
            <v>-630.76542831227107</v>
          </cell>
          <cell r="DF10">
            <v>-632.94770755770708</v>
          </cell>
          <cell r="DG10">
            <v>-640.51803784677986</v>
          </cell>
          <cell r="DH10">
            <v>-640.51803784677986</v>
          </cell>
          <cell r="DI10">
            <v>-613.22839547204467</v>
          </cell>
          <cell r="DJ10">
            <v>-582.79828823012599</v>
          </cell>
          <cell r="DK10">
            <v>-571.12298942240773</v>
          </cell>
          <cell r="DL10">
            <v>-566.68679988946599</v>
          </cell>
          <cell r="DM10">
            <v>-566.68679988946599</v>
          </cell>
          <cell r="DN10">
            <v>-534.15431644289993</v>
          </cell>
          <cell r="DO10">
            <v>-499.13422816315295</v>
          </cell>
          <cell r="DP10">
            <v>-481.97165576777252</v>
          </cell>
          <cell r="DQ10">
            <v>-472.98667021713447</v>
          </cell>
          <cell r="DR10">
            <v>-472.98667021713447</v>
          </cell>
          <cell r="DW10" t="str">
            <v>mstag:allowanceForDoubtfulAccountsCurrent</v>
          </cell>
          <cell r="DX10">
            <v>6</v>
          </cell>
          <cell r="DY10" t="str">
            <v>ISO4217:USD</v>
          </cell>
          <cell r="DZ10" t="b">
            <v>1</v>
          </cell>
        </row>
        <row r="11">
          <cell r="B11" t="str">
            <v>Accounts receivable, net</v>
          </cell>
          <cell r="D11">
            <v>372.84399999999999</v>
          </cell>
          <cell r="E11">
            <v>411.4</v>
          </cell>
          <cell r="F11">
            <v>411.1</v>
          </cell>
          <cell r="G11">
            <v>565</v>
          </cell>
          <cell r="H11">
            <v>565</v>
          </cell>
          <cell r="I11">
            <v>601.79999999999995</v>
          </cell>
          <cell r="J11">
            <v>731.2</v>
          </cell>
          <cell r="K11">
            <v>804.6</v>
          </cell>
          <cell r="L11">
            <v>838</v>
          </cell>
          <cell r="M11">
            <v>838</v>
          </cell>
          <cell r="N11">
            <v>884.8</v>
          </cell>
          <cell r="O11">
            <v>1006.3</v>
          </cell>
          <cell r="P11">
            <v>1348.3</v>
          </cell>
          <cell r="Q11">
            <v>1346</v>
          </cell>
          <cell r="R11">
            <v>1346</v>
          </cell>
          <cell r="S11">
            <v>1347</v>
          </cell>
          <cell r="T11">
            <v>1559</v>
          </cell>
          <cell r="U11">
            <v>1725</v>
          </cell>
          <cell r="V11">
            <v>1742</v>
          </cell>
          <cell r="W11">
            <v>1742</v>
          </cell>
          <cell r="X11">
            <v>1885</v>
          </cell>
          <cell r="Y11">
            <v>2044</v>
          </cell>
          <cell r="Z11">
            <v>2303</v>
          </cell>
          <cell r="AA11">
            <v>2318</v>
          </cell>
          <cell r="AB11">
            <v>2318</v>
          </cell>
          <cell r="AC11">
            <v>2424</v>
          </cell>
          <cell r="AD11">
            <v>2468</v>
          </cell>
          <cell r="AE11">
            <v>2569</v>
          </cell>
          <cell r="AF11">
            <v>2506</v>
          </cell>
          <cell r="AG11">
            <v>2506</v>
          </cell>
          <cell r="AH11">
            <v>2515</v>
          </cell>
          <cell r="AI11">
            <v>2545</v>
          </cell>
          <cell r="AJ11">
            <v>2647</v>
          </cell>
          <cell r="AK11">
            <v>2386</v>
          </cell>
          <cell r="AL11">
            <v>2386</v>
          </cell>
          <cell r="AM11">
            <v>2348</v>
          </cell>
          <cell r="AN11">
            <v>2377</v>
          </cell>
          <cell r="AO11">
            <v>2477</v>
          </cell>
          <cell r="AP11">
            <v>2425</v>
          </cell>
          <cell r="AQ11">
            <v>2425</v>
          </cell>
          <cell r="AR11">
            <v>2480</v>
          </cell>
          <cell r="AS11">
            <v>2584</v>
          </cell>
          <cell r="AT11">
            <v>2662</v>
          </cell>
          <cell r="AY11">
            <v>2590</v>
          </cell>
          <cell r="AZ11">
            <v>2590</v>
          </cell>
          <cell r="BA11">
            <v>2733</v>
          </cell>
          <cell r="BB11">
            <v>2667</v>
          </cell>
          <cell r="BC11">
            <v>2465</v>
          </cell>
          <cell r="BD11">
            <v>2415</v>
          </cell>
          <cell r="BE11">
            <v>2415</v>
          </cell>
          <cell r="BF11">
            <v>2347</v>
          </cell>
          <cell r="BG11">
            <v>1929</v>
          </cell>
          <cell r="BH11">
            <v>1791</v>
          </cell>
          <cell r="BI11">
            <v>1688</v>
          </cell>
          <cell r="BJ11">
            <v>1688</v>
          </cell>
          <cell r="BK11">
            <v>1591</v>
          </cell>
          <cell r="BL11">
            <v>1499</v>
          </cell>
          <cell r="BM11">
            <v>1523</v>
          </cell>
          <cell r="BN11">
            <v>1525</v>
          </cell>
          <cell r="BO11">
            <v>1525</v>
          </cell>
          <cell r="BP11">
            <v>1584</v>
          </cell>
          <cell r="BQ11">
            <v>1484</v>
          </cell>
          <cell r="BR11">
            <v>1453</v>
          </cell>
          <cell r="BS11">
            <v>1413</v>
          </cell>
          <cell r="BT11">
            <v>1413</v>
          </cell>
          <cell r="BU11">
            <v>1427</v>
          </cell>
          <cell r="BV11">
            <v>1363</v>
          </cell>
          <cell r="BW11">
            <v>1354</v>
          </cell>
          <cell r="BX11">
            <v>1385</v>
          </cell>
          <cell r="BY11">
            <v>1385</v>
          </cell>
          <cell r="BZ11">
            <v>1468</v>
          </cell>
          <cell r="CA11">
            <v>1450</v>
          </cell>
          <cell r="CB11">
            <v>1356</v>
          </cell>
          <cell r="CC11">
            <v>1337</v>
          </cell>
          <cell r="CD11">
            <v>1337</v>
          </cell>
          <cell r="CE11">
            <v>1385</v>
          </cell>
          <cell r="CF11">
            <v>1225</v>
          </cell>
          <cell r="CG11">
            <v>1195</v>
          </cell>
          <cell r="CH11">
            <v>1158</v>
          </cell>
          <cell r="CI11">
            <v>1158</v>
          </cell>
          <cell r="CJ11">
            <v>1208</v>
          </cell>
          <cell r="CK11">
            <v>1160</v>
          </cell>
          <cell r="CL11">
            <v>1129</v>
          </cell>
          <cell r="CM11">
            <v>1143</v>
          </cell>
          <cell r="CN11">
            <v>1143</v>
          </cell>
          <cell r="CO11">
            <v>1237</v>
          </cell>
          <cell r="CP11">
            <v>1258</v>
          </cell>
          <cell r="CQ11">
            <v>1221</v>
          </cell>
          <cell r="CR11">
            <v>1278</v>
          </cell>
          <cell r="CS11">
            <v>1278</v>
          </cell>
          <cell r="CT11">
            <v>1417</v>
          </cell>
          <cell r="CU11">
            <v>1356</v>
          </cell>
          <cell r="CV11">
            <v>1338</v>
          </cell>
          <cell r="CW11">
            <v>1372.5373012454711</v>
          </cell>
          <cell r="CX11">
            <v>1372.5373012454711</v>
          </cell>
          <cell r="CY11">
            <v>1388.5839274461421</v>
          </cell>
          <cell r="CZ11">
            <v>1409.8151962832449</v>
          </cell>
          <cell r="DA11">
            <v>1384.1002650327364</v>
          </cell>
          <cell r="DB11">
            <v>1420.7381265131351</v>
          </cell>
          <cell r="DC11">
            <v>1420.7381265131351</v>
          </cell>
          <cell r="DD11">
            <v>1448.3767545433295</v>
          </cell>
          <cell r="DE11">
            <v>1455.8720630440314</v>
          </cell>
          <cell r="DF11">
            <v>1427.6145276439572</v>
          </cell>
          <cell r="DG11">
            <v>1467.6268541169547</v>
          </cell>
          <cell r="DH11">
            <v>1467.6268541169547</v>
          </cell>
          <cell r="DI11">
            <v>1528.2437146376544</v>
          </cell>
          <cell r="DJ11">
            <v>1517.326697064171</v>
          </cell>
          <cell r="DK11">
            <v>1487.6713859858346</v>
          </cell>
          <cell r="DL11">
            <v>1533.1522967321594</v>
          </cell>
          <cell r="DM11">
            <v>1533.1522967321594</v>
          </cell>
          <cell r="DN11">
            <v>1584.6468139400804</v>
          </cell>
          <cell r="DO11">
            <v>1586.9523383216638</v>
          </cell>
          <cell r="DP11">
            <v>1556.2060261589829</v>
          </cell>
          <cell r="DQ11">
            <v>1601.7529037902582</v>
          </cell>
          <cell r="DR11">
            <v>1601.7529037902582</v>
          </cell>
        </row>
        <row r="12">
          <cell r="B12" t="str">
            <v>Inventories</v>
          </cell>
          <cell r="D12">
            <v>53.942999999999998</v>
          </cell>
          <cell r="E12">
            <v>54.8</v>
          </cell>
          <cell r="F12">
            <v>55.3</v>
          </cell>
          <cell r="G12">
            <v>116</v>
          </cell>
          <cell r="H12">
            <v>116</v>
          </cell>
          <cell r="I12">
            <v>119.9</v>
          </cell>
          <cell r="J12">
            <v>125.1</v>
          </cell>
          <cell r="K12">
            <v>126.9</v>
          </cell>
          <cell r="L12">
            <v>128</v>
          </cell>
          <cell r="M12">
            <v>128</v>
          </cell>
          <cell r="N12">
            <v>131.9</v>
          </cell>
          <cell r="O12">
            <v>134.69999999999999</v>
          </cell>
          <cell r="P12">
            <v>185.9</v>
          </cell>
          <cell r="Q12">
            <v>193</v>
          </cell>
          <cell r="R12">
            <v>193</v>
          </cell>
          <cell r="S12">
            <v>199</v>
          </cell>
          <cell r="T12">
            <v>204</v>
          </cell>
          <cell r="U12">
            <v>211</v>
          </cell>
          <cell r="V12">
            <v>214</v>
          </cell>
          <cell r="W12">
            <v>214</v>
          </cell>
          <cell r="X12">
            <v>218</v>
          </cell>
          <cell r="Y12">
            <v>237</v>
          </cell>
          <cell r="Z12">
            <v>244</v>
          </cell>
          <cell r="AA12">
            <v>221</v>
          </cell>
          <cell r="AB12">
            <v>221</v>
          </cell>
          <cell r="AC12">
            <v>226</v>
          </cell>
          <cell r="AD12">
            <v>218</v>
          </cell>
          <cell r="AE12">
            <v>218</v>
          </cell>
          <cell r="AF12">
            <v>223</v>
          </cell>
          <cell r="AG12">
            <v>223</v>
          </cell>
          <cell r="AH12">
            <v>226</v>
          </cell>
          <cell r="AI12">
            <v>219</v>
          </cell>
          <cell r="AJ12">
            <v>219</v>
          </cell>
          <cell r="AK12">
            <v>214</v>
          </cell>
          <cell r="AL12">
            <v>214</v>
          </cell>
          <cell r="AM12">
            <v>223</v>
          </cell>
          <cell r="AN12">
            <v>220</v>
          </cell>
          <cell r="AO12">
            <v>227</v>
          </cell>
          <cell r="AP12">
            <v>231</v>
          </cell>
          <cell r="AQ12">
            <v>231</v>
          </cell>
          <cell r="AR12">
            <v>235</v>
          </cell>
          <cell r="AS12">
            <v>236</v>
          </cell>
          <cell r="AT12">
            <v>242</v>
          </cell>
          <cell r="AY12">
            <v>241</v>
          </cell>
          <cell r="AZ12">
            <v>241</v>
          </cell>
          <cell r="BA12">
            <v>221</v>
          </cell>
          <cell r="BB12">
            <v>220</v>
          </cell>
          <cell r="BC12">
            <v>224</v>
          </cell>
          <cell r="BD12">
            <v>224</v>
          </cell>
          <cell r="BE12">
            <v>224</v>
          </cell>
          <cell r="BF12">
            <v>185</v>
          </cell>
          <cell r="BG12">
            <v>187</v>
          </cell>
          <cell r="BH12">
            <v>187</v>
          </cell>
          <cell r="BI12">
            <v>188</v>
          </cell>
          <cell r="BJ12">
            <v>188</v>
          </cell>
          <cell r="BK12">
            <v>190</v>
          </cell>
          <cell r="BL12">
            <v>193</v>
          </cell>
          <cell r="BM12">
            <v>187</v>
          </cell>
          <cell r="BN12">
            <v>190</v>
          </cell>
          <cell r="BO12">
            <v>190</v>
          </cell>
          <cell r="BP12">
            <v>194</v>
          </cell>
          <cell r="BQ12">
            <v>174</v>
          </cell>
          <cell r="BR12">
            <v>177</v>
          </cell>
          <cell r="BS12">
            <v>184</v>
          </cell>
          <cell r="BT12">
            <v>184</v>
          </cell>
          <cell r="BU12">
            <v>180</v>
          </cell>
          <cell r="BV12">
            <v>184</v>
          </cell>
          <cell r="BW12">
            <v>181</v>
          </cell>
          <cell r="BX12">
            <v>183</v>
          </cell>
          <cell r="BY12">
            <v>183</v>
          </cell>
          <cell r="BZ12">
            <v>182</v>
          </cell>
          <cell r="CA12">
            <v>170</v>
          </cell>
          <cell r="CB12">
            <v>165</v>
          </cell>
          <cell r="CC12">
            <v>161</v>
          </cell>
          <cell r="CD12">
            <v>161</v>
          </cell>
          <cell r="CE12">
            <v>158</v>
          </cell>
          <cell r="CF12">
            <v>154</v>
          </cell>
          <cell r="CG12">
            <v>153</v>
          </cell>
          <cell r="CH12">
            <v>153</v>
          </cell>
          <cell r="CI12">
            <v>153</v>
          </cell>
          <cell r="CJ12">
            <v>151</v>
          </cell>
          <cell r="CK12">
            <v>152</v>
          </cell>
          <cell r="CL12">
            <v>152</v>
          </cell>
          <cell r="CM12">
            <v>156</v>
          </cell>
          <cell r="CN12">
            <v>156</v>
          </cell>
          <cell r="CO12">
            <v>156</v>
          </cell>
          <cell r="CP12">
            <v>156</v>
          </cell>
          <cell r="CQ12">
            <v>157</v>
          </cell>
          <cell r="CR12">
            <v>161</v>
          </cell>
          <cell r="CS12">
            <v>161</v>
          </cell>
          <cell r="CT12">
            <v>157</v>
          </cell>
          <cell r="CU12">
            <v>154</v>
          </cell>
          <cell r="CV12">
            <v>154</v>
          </cell>
          <cell r="CW12">
            <v>149.12867827083474</v>
          </cell>
          <cell r="CX12">
            <v>149.12867827083474</v>
          </cell>
          <cell r="CY12">
            <v>157.18845330339673</v>
          </cell>
          <cell r="CZ12">
            <v>152.36254139645513</v>
          </cell>
          <cell r="DA12">
            <v>145.75775354846138</v>
          </cell>
          <cell r="DB12">
            <v>146.49510800838797</v>
          </cell>
          <cell r="DC12">
            <v>146.49510800838797</v>
          </cell>
          <cell r="DD12">
            <v>160.04683463270797</v>
          </cell>
          <cell r="DE12">
            <v>155.72493935699092</v>
          </cell>
          <cell r="DF12">
            <v>149.54272863199617</v>
          </cell>
          <cell r="DG12">
            <v>150.23248452220503</v>
          </cell>
          <cell r="DH12">
            <v>150.23248452220503</v>
          </cell>
          <cell r="DI12">
            <v>165.35018986613548</v>
          </cell>
          <cell r="DJ12">
            <v>159.94069056398058</v>
          </cell>
          <cell r="DK12">
            <v>153.60437816082319</v>
          </cell>
          <cell r="DL12">
            <v>154.46264250445012</v>
          </cell>
          <cell r="DM12">
            <v>154.46264250445012</v>
          </cell>
          <cell r="DN12">
            <v>171.38090095289456</v>
          </cell>
          <cell r="DO12">
            <v>167.07359557174658</v>
          </cell>
          <cell r="DP12">
            <v>160.53196385107455</v>
          </cell>
          <cell r="DQ12">
            <v>161.24524237084049</v>
          </cell>
          <cell r="DR12">
            <v>161.24524237084049</v>
          </cell>
          <cell r="DW12" t="str">
            <v>mstag:inventories</v>
          </cell>
          <cell r="DX12">
            <v>6</v>
          </cell>
          <cell r="DY12" t="str">
            <v>ISO4217:USD</v>
          </cell>
          <cell r="DZ12" t="b">
            <v>0</v>
          </cell>
        </row>
        <row r="13">
          <cell r="B13" t="str">
            <v>Income tax receivable</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Y13">
            <v>0</v>
          </cell>
          <cell r="AZ13">
            <v>0</v>
          </cell>
          <cell r="BA13">
            <v>0</v>
          </cell>
          <cell r="BB13">
            <v>0</v>
          </cell>
          <cell r="BC13">
            <v>0</v>
          </cell>
          <cell r="BD13">
            <v>0</v>
          </cell>
          <cell r="BE13">
            <v>0</v>
          </cell>
          <cell r="BF13">
            <v>61</v>
          </cell>
          <cell r="BG13">
            <v>95</v>
          </cell>
          <cell r="BH13">
            <v>149</v>
          </cell>
          <cell r="BI13">
            <v>530</v>
          </cell>
          <cell r="BJ13">
            <v>530</v>
          </cell>
          <cell r="BK13">
            <v>0</v>
          </cell>
          <cell r="BL13">
            <v>0</v>
          </cell>
          <cell r="BM13">
            <v>0</v>
          </cell>
          <cell r="BN13">
            <v>0</v>
          </cell>
          <cell r="BO13">
            <v>0</v>
          </cell>
          <cell r="BP13">
            <v>0</v>
          </cell>
          <cell r="BQ13">
            <v>172</v>
          </cell>
          <cell r="BR13">
            <v>174</v>
          </cell>
          <cell r="BS13">
            <v>171</v>
          </cell>
          <cell r="BT13">
            <v>171</v>
          </cell>
          <cell r="BU13">
            <v>173</v>
          </cell>
          <cell r="BV13">
            <v>3</v>
          </cell>
          <cell r="BW13">
            <v>5</v>
          </cell>
          <cell r="BX13">
            <v>7</v>
          </cell>
          <cell r="BY13">
            <v>7</v>
          </cell>
          <cell r="BZ13">
            <v>7</v>
          </cell>
          <cell r="CA13">
            <v>29</v>
          </cell>
          <cell r="CB13">
            <v>20</v>
          </cell>
          <cell r="CC13">
            <v>6</v>
          </cell>
          <cell r="CD13">
            <v>6</v>
          </cell>
          <cell r="CE13">
            <v>4.956000000000131</v>
          </cell>
          <cell r="CF13">
            <v>0</v>
          </cell>
          <cell r="CG13">
            <v>0</v>
          </cell>
          <cell r="CH13">
            <v>35</v>
          </cell>
          <cell r="CI13">
            <v>35</v>
          </cell>
          <cell r="CJ13">
            <v>26</v>
          </cell>
          <cell r="CK13">
            <v>13</v>
          </cell>
          <cell r="CL13">
            <v>21</v>
          </cell>
          <cell r="CM13">
            <v>22</v>
          </cell>
          <cell r="CN13">
            <v>22</v>
          </cell>
          <cell r="CO13">
            <v>22</v>
          </cell>
          <cell r="CP13">
            <v>1</v>
          </cell>
          <cell r="CQ13">
            <v>7</v>
          </cell>
          <cell r="CR13">
            <v>7</v>
          </cell>
          <cell r="CS13">
            <v>7</v>
          </cell>
          <cell r="CT13">
            <v>5</v>
          </cell>
          <cell r="CU13">
            <v>13</v>
          </cell>
          <cell r="CV13">
            <v>13</v>
          </cell>
          <cell r="CW13">
            <v>13</v>
          </cell>
          <cell r="CX13">
            <v>13</v>
          </cell>
          <cell r="CY13">
            <v>13</v>
          </cell>
          <cell r="CZ13">
            <v>13</v>
          </cell>
          <cell r="DA13">
            <v>13</v>
          </cell>
          <cell r="DB13">
            <v>13</v>
          </cell>
          <cell r="DC13">
            <v>13</v>
          </cell>
          <cell r="DD13">
            <v>13</v>
          </cell>
          <cell r="DE13">
            <v>13</v>
          </cell>
          <cell r="DF13">
            <v>13</v>
          </cell>
          <cell r="DG13">
            <v>13</v>
          </cell>
          <cell r="DH13">
            <v>13</v>
          </cell>
          <cell r="DI13">
            <v>13</v>
          </cell>
          <cell r="DJ13">
            <v>13</v>
          </cell>
          <cell r="DK13">
            <v>13</v>
          </cell>
          <cell r="DL13">
            <v>13</v>
          </cell>
          <cell r="DM13">
            <v>13</v>
          </cell>
          <cell r="DN13">
            <v>13</v>
          </cell>
          <cell r="DO13">
            <v>13</v>
          </cell>
          <cell r="DP13">
            <v>13</v>
          </cell>
          <cell r="DQ13">
            <v>13</v>
          </cell>
          <cell r="DR13">
            <v>13</v>
          </cell>
          <cell r="DW13" t="str">
            <v>mstag:incomeTaxReceivable</v>
          </cell>
          <cell r="DX13">
            <v>6</v>
          </cell>
          <cell r="DY13" t="str">
            <v>ISO4217:USD</v>
          </cell>
          <cell r="DZ13" t="b">
            <v>0</v>
          </cell>
        </row>
        <row r="14">
          <cell r="B14" t="str">
            <v>Deferred income taxes</v>
          </cell>
          <cell r="D14">
            <v>329</v>
          </cell>
          <cell r="E14">
            <v>304</v>
          </cell>
          <cell r="F14">
            <v>284</v>
          </cell>
          <cell r="G14">
            <v>410</v>
          </cell>
          <cell r="H14">
            <v>410</v>
          </cell>
          <cell r="I14">
            <v>303.10000000000002</v>
          </cell>
          <cell r="J14">
            <v>268.10000000000002</v>
          </cell>
          <cell r="K14">
            <v>260.10000000000002</v>
          </cell>
          <cell r="L14">
            <v>279</v>
          </cell>
          <cell r="M14">
            <v>279</v>
          </cell>
          <cell r="N14">
            <v>269.89999999999998</v>
          </cell>
          <cell r="O14">
            <v>253.6</v>
          </cell>
          <cell r="P14">
            <v>331.7</v>
          </cell>
          <cell r="Q14">
            <v>294</v>
          </cell>
          <cell r="R14">
            <v>294</v>
          </cell>
          <cell r="S14">
            <v>245</v>
          </cell>
          <cell r="T14">
            <v>213</v>
          </cell>
          <cell r="U14">
            <v>158</v>
          </cell>
          <cell r="V14">
            <v>275</v>
          </cell>
          <cell r="W14">
            <v>275</v>
          </cell>
          <cell r="X14">
            <v>277</v>
          </cell>
          <cell r="Y14">
            <v>233</v>
          </cell>
          <cell r="Z14">
            <v>166</v>
          </cell>
          <cell r="AA14">
            <v>196</v>
          </cell>
          <cell r="AB14">
            <v>196</v>
          </cell>
          <cell r="AC14">
            <v>134</v>
          </cell>
          <cell r="AD14">
            <v>126</v>
          </cell>
          <cell r="AE14">
            <v>152</v>
          </cell>
          <cell r="AF14">
            <v>176</v>
          </cell>
          <cell r="AG14">
            <v>176</v>
          </cell>
          <cell r="AH14">
            <v>176</v>
          </cell>
          <cell r="AI14">
            <v>113</v>
          </cell>
          <cell r="AJ14">
            <v>125</v>
          </cell>
          <cell r="AK14">
            <v>155</v>
          </cell>
          <cell r="AL14">
            <v>155</v>
          </cell>
          <cell r="AM14">
            <v>166</v>
          </cell>
          <cell r="AN14">
            <v>160</v>
          </cell>
          <cell r="AO14">
            <v>142</v>
          </cell>
          <cell r="AP14">
            <v>199</v>
          </cell>
          <cell r="AQ14">
            <v>199</v>
          </cell>
          <cell r="AR14">
            <v>156</v>
          </cell>
          <cell r="AS14">
            <v>154</v>
          </cell>
          <cell r="AT14">
            <v>186</v>
          </cell>
          <cell r="AY14">
            <v>245</v>
          </cell>
          <cell r="AZ14">
            <v>245</v>
          </cell>
          <cell r="BA14">
            <v>160</v>
          </cell>
          <cell r="BB14">
            <v>171</v>
          </cell>
          <cell r="BC14">
            <v>361</v>
          </cell>
          <cell r="BD14">
            <v>401</v>
          </cell>
          <cell r="BE14">
            <v>401</v>
          </cell>
          <cell r="BF14">
            <v>341</v>
          </cell>
          <cell r="BG14">
            <v>442</v>
          </cell>
          <cell r="BH14">
            <v>445</v>
          </cell>
          <cell r="BI14">
            <v>118</v>
          </cell>
          <cell r="BJ14">
            <v>118</v>
          </cell>
          <cell r="BK14">
            <v>112</v>
          </cell>
          <cell r="BL14">
            <v>104</v>
          </cell>
          <cell r="BM14">
            <v>195</v>
          </cell>
          <cell r="BN14">
            <v>107</v>
          </cell>
          <cell r="BO14">
            <v>107</v>
          </cell>
          <cell r="BP14">
            <v>33</v>
          </cell>
          <cell r="BQ14">
            <v>113</v>
          </cell>
          <cell r="BR14">
            <v>113</v>
          </cell>
          <cell r="BS14">
            <v>69</v>
          </cell>
          <cell r="BT14">
            <v>69</v>
          </cell>
          <cell r="BU14">
            <v>49</v>
          </cell>
          <cell r="BV14">
            <v>63</v>
          </cell>
          <cell r="BW14">
            <v>71</v>
          </cell>
          <cell r="BX14">
            <v>87</v>
          </cell>
          <cell r="BY14">
            <v>87</v>
          </cell>
          <cell r="BZ14">
            <v>84</v>
          </cell>
          <cell r="CA14">
            <v>118</v>
          </cell>
          <cell r="CB14">
            <v>91</v>
          </cell>
          <cell r="CC14">
            <v>82</v>
          </cell>
          <cell r="CD14">
            <v>82</v>
          </cell>
          <cell r="CE14">
            <v>82.043999999999997</v>
          </cell>
          <cell r="CF14">
            <v>83</v>
          </cell>
          <cell r="CG14">
            <v>80</v>
          </cell>
          <cell r="CH14">
            <v>108</v>
          </cell>
          <cell r="CI14">
            <v>108</v>
          </cell>
          <cell r="CJ14">
            <v>107</v>
          </cell>
          <cell r="CK14">
            <v>107</v>
          </cell>
          <cell r="CL14">
            <v>307</v>
          </cell>
          <cell r="CM14">
            <v>282</v>
          </cell>
          <cell r="CN14">
            <v>282</v>
          </cell>
          <cell r="CO14">
            <v>283</v>
          </cell>
          <cell r="CP14">
            <v>249</v>
          </cell>
          <cell r="CQ14">
            <v>247</v>
          </cell>
          <cell r="CR14">
            <v>418</v>
          </cell>
          <cell r="CS14">
            <v>418</v>
          </cell>
          <cell r="CT14">
            <v>411</v>
          </cell>
          <cell r="CU14">
            <v>409</v>
          </cell>
          <cell r="CV14">
            <v>394</v>
          </cell>
          <cell r="CW14">
            <v>394</v>
          </cell>
          <cell r="CX14">
            <v>394</v>
          </cell>
          <cell r="CY14">
            <v>394</v>
          </cell>
          <cell r="CZ14">
            <v>394</v>
          </cell>
          <cell r="DA14">
            <v>394</v>
          </cell>
          <cell r="DB14">
            <v>394</v>
          </cell>
          <cell r="DC14">
            <v>394</v>
          </cell>
          <cell r="DD14">
            <v>394</v>
          </cell>
          <cell r="DE14">
            <v>394</v>
          </cell>
          <cell r="DF14">
            <v>394</v>
          </cell>
          <cell r="DG14">
            <v>394</v>
          </cell>
          <cell r="DH14">
            <v>394</v>
          </cell>
          <cell r="DI14">
            <v>394</v>
          </cell>
          <cell r="DJ14">
            <v>394</v>
          </cell>
          <cell r="DK14">
            <v>394</v>
          </cell>
          <cell r="DL14">
            <v>394</v>
          </cell>
          <cell r="DM14">
            <v>394</v>
          </cell>
          <cell r="DN14">
            <v>394</v>
          </cell>
          <cell r="DO14">
            <v>394</v>
          </cell>
          <cell r="DP14">
            <v>394</v>
          </cell>
          <cell r="DQ14">
            <v>394</v>
          </cell>
          <cell r="DR14">
            <v>394</v>
          </cell>
          <cell r="DW14" t="str">
            <v>mstag:deferredTaxAssetsCurrent</v>
          </cell>
          <cell r="DX14">
            <v>6</v>
          </cell>
          <cell r="DY14" t="str">
            <v>ISO4217:USD</v>
          </cell>
          <cell r="DZ14" t="b">
            <v>0</v>
          </cell>
        </row>
        <row r="15">
          <cell r="B15" t="str">
            <v>Assets held for sale</v>
          </cell>
          <cell r="D15">
            <v>79.840999999999994</v>
          </cell>
          <cell r="E15">
            <v>26.5</v>
          </cell>
          <cell r="F15">
            <v>16.399999999999999</v>
          </cell>
          <cell r="G15">
            <v>184</v>
          </cell>
          <cell r="H15">
            <v>184</v>
          </cell>
          <cell r="I15">
            <v>124.5</v>
          </cell>
          <cell r="J15">
            <v>37.700000000000003</v>
          </cell>
          <cell r="K15">
            <v>22.7</v>
          </cell>
          <cell r="L15">
            <v>39</v>
          </cell>
          <cell r="M15">
            <v>39</v>
          </cell>
          <cell r="N15">
            <v>0</v>
          </cell>
          <cell r="O15">
            <v>0</v>
          </cell>
          <cell r="P15">
            <v>0</v>
          </cell>
          <cell r="Q15">
            <v>0</v>
          </cell>
          <cell r="R15">
            <v>0</v>
          </cell>
          <cell r="S15">
            <v>0</v>
          </cell>
          <cell r="T15">
            <v>0</v>
          </cell>
          <cell r="U15">
            <v>0</v>
          </cell>
          <cell r="V15">
            <v>0</v>
          </cell>
          <cell r="W15">
            <v>0</v>
          </cell>
          <cell r="X15">
            <v>0</v>
          </cell>
          <cell r="Y15">
            <v>0</v>
          </cell>
          <cell r="Z15">
            <v>0</v>
          </cell>
          <cell r="AA15">
            <v>655</v>
          </cell>
          <cell r="AB15">
            <v>655</v>
          </cell>
          <cell r="AC15">
            <v>632</v>
          </cell>
          <cell r="AD15">
            <v>165</v>
          </cell>
          <cell r="AE15">
            <v>211</v>
          </cell>
          <cell r="AF15">
            <v>132</v>
          </cell>
          <cell r="AG15">
            <v>132</v>
          </cell>
          <cell r="AH15">
            <v>133</v>
          </cell>
          <cell r="AI15">
            <v>0</v>
          </cell>
          <cell r="AJ15">
            <v>0</v>
          </cell>
          <cell r="AK15">
            <v>0</v>
          </cell>
          <cell r="AL15">
            <v>0</v>
          </cell>
          <cell r="AM15">
            <v>0</v>
          </cell>
          <cell r="AN15">
            <v>0</v>
          </cell>
          <cell r="AO15">
            <v>0</v>
          </cell>
          <cell r="AP15">
            <v>0</v>
          </cell>
          <cell r="AQ15">
            <v>0</v>
          </cell>
          <cell r="AR15">
            <v>0</v>
          </cell>
          <cell r="AS15">
            <v>0</v>
          </cell>
          <cell r="AT15">
            <v>0</v>
          </cell>
          <cell r="AY15">
            <v>0</v>
          </cell>
          <cell r="AZ15">
            <v>0</v>
          </cell>
          <cell r="BA15">
            <v>555</v>
          </cell>
          <cell r="BB15">
            <v>565</v>
          </cell>
          <cell r="BC15">
            <v>476</v>
          </cell>
          <cell r="BD15">
            <v>0</v>
          </cell>
          <cell r="BE15">
            <v>0</v>
          </cell>
          <cell r="BF15">
            <v>985</v>
          </cell>
          <cell r="BG15">
            <v>670</v>
          </cell>
          <cell r="BH15">
            <v>565</v>
          </cell>
          <cell r="BI15">
            <v>114</v>
          </cell>
          <cell r="BJ15">
            <v>114</v>
          </cell>
          <cell r="BK15">
            <v>63</v>
          </cell>
          <cell r="BL15">
            <v>74</v>
          </cell>
          <cell r="BM15">
            <v>29</v>
          </cell>
          <cell r="BN15">
            <v>11</v>
          </cell>
          <cell r="BO15">
            <v>11</v>
          </cell>
          <cell r="BP15">
            <v>9</v>
          </cell>
          <cell r="BQ15">
            <v>303</v>
          </cell>
          <cell r="BR15">
            <v>171</v>
          </cell>
          <cell r="BS15">
            <v>119</v>
          </cell>
          <cell r="BT15">
            <v>119</v>
          </cell>
          <cell r="BU15">
            <v>70</v>
          </cell>
          <cell r="BV15">
            <v>66</v>
          </cell>
          <cell r="BW15">
            <v>60</v>
          </cell>
          <cell r="BX15">
            <v>51</v>
          </cell>
          <cell r="BY15">
            <v>51</v>
          </cell>
          <cell r="BZ15">
            <v>19</v>
          </cell>
          <cell r="CA15">
            <v>385</v>
          </cell>
          <cell r="CB15">
            <v>362</v>
          </cell>
          <cell r="CC15">
            <v>310</v>
          </cell>
          <cell r="CD15">
            <v>310</v>
          </cell>
          <cell r="CE15">
            <v>35</v>
          </cell>
          <cell r="CF15">
            <v>39</v>
          </cell>
          <cell r="CG15">
            <v>37</v>
          </cell>
          <cell r="CH15">
            <v>29</v>
          </cell>
          <cell r="CI15">
            <v>29</v>
          </cell>
          <cell r="CJ15">
            <v>31</v>
          </cell>
          <cell r="CK15">
            <v>19</v>
          </cell>
          <cell r="CL15">
            <v>20</v>
          </cell>
          <cell r="CM15">
            <v>14</v>
          </cell>
          <cell r="CN15">
            <v>14</v>
          </cell>
          <cell r="CO15">
            <v>13</v>
          </cell>
          <cell r="CP15">
            <v>11</v>
          </cell>
          <cell r="CQ15">
            <v>2</v>
          </cell>
          <cell r="CR15">
            <v>2</v>
          </cell>
          <cell r="CS15">
            <v>2</v>
          </cell>
          <cell r="CT15">
            <v>2</v>
          </cell>
          <cell r="CU15">
            <v>41</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W15" t="str">
            <v>mstag:assetsOfDiscontinuedOperations</v>
          </cell>
          <cell r="DX15">
            <v>6</v>
          </cell>
          <cell r="DY15" t="str">
            <v>ISO4217:USD</v>
          </cell>
          <cell r="DZ15" t="b">
            <v>0</v>
          </cell>
        </row>
        <row r="16">
          <cell r="B16" t="str">
            <v>Other current assets</v>
          </cell>
          <cell r="D16">
            <v>54.103000000000002</v>
          </cell>
          <cell r="E16">
            <v>56.5</v>
          </cell>
          <cell r="F16">
            <v>53.9</v>
          </cell>
          <cell r="G16">
            <v>55</v>
          </cell>
          <cell r="H16">
            <v>55</v>
          </cell>
          <cell r="I16">
            <v>50.4</v>
          </cell>
          <cell r="J16">
            <v>58.5</v>
          </cell>
          <cell r="K16">
            <v>58.7</v>
          </cell>
          <cell r="L16">
            <v>60</v>
          </cell>
          <cell r="M16">
            <v>60</v>
          </cell>
          <cell r="N16">
            <v>80.3</v>
          </cell>
          <cell r="O16">
            <v>81.3</v>
          </cell>
          <cell r="P16">
            <v>337.4</v>
          </cell>
          <cell r="Q16">
            <v>407</v>
          </cell>
          <cell r="R16">
            <v>407</v>
          </cell>
          <cell r="S16">
            <v>405</v>
          </cell>
          <cell r="T16">
            <v>508</v>
          </cell>
          <cell r="U16">
            <v>478</v>
          </cell>
          <cell r="V16">
            <v>504</v>
          </cell>
          <cell r="W16">
            <v>504</v>
          </cell>
          <cell r="X16">
            <v>450</v>
          </cell>
          <cell r="Y16">
            <v>398</v>
          </cell>
          <cell r="Z16">
            <v>418</v>
          </cell>
          <cell r="AA16">
            <v>413</v>
          </cell>
          <cell r="AB16">
            <v>413</v>
          </cell>
          <cell r="AC16">
            <v>392</v>
          </cell>
          <cell r="AD16">
            <v>387</v>
          </cell>
          <cell r="AE16">
            <v>484</v>
          </cell>
          <cell r="AF16">
            <v>312</v>
          </cell>
          <cell r="AG16">
            <v>312</v>
          </cell>
          <cell r="AH16">
            <v>320</v>
          </cell>
          <cell r="AI16">
            <v>465</v>
          </cell>
          <cell r="AJ16">
            <v>419</v>
          </cell>
          <cell r="AK16">
            <v>305</v>
          </cell>
          <cell r="AL16">
            <v>305</v>
          </cell>
          <cell r="AM16">
            <v>375</v>
          </cell>
          <cell r="AN16">
            <v>347</v>
          </cell>
          <cell r="AO16">
            <v>402</v>
          </cell>
          <cell r="AP16">
            <v>401</v>
          </cell>
          <cell r="AQ16">
            <v>401</v>
          </cell>
          <cell r="AR16">
            <v>377</v>
          </cell>
          <cell r="AS16">
            <v>490</v>
          </cell>
          <cell r="AT16">
            <v>401</v>
          </cell>
          <cell r="AY16">
            <v>421</v>
          </cell>
          <cell r="AZ16">
            <v>421</v>
          </cell>
          <cell r="BA16">
            <v>381</v>
          </cell>
          <cell r="BB16">
            <v>334</v>
          </cell>
          <cell r="BC16">
            <v>375</v>
          </cell>
          <cell r="BD16">
            <v>466</v>
          </cell>
          <cell r="BE16">
            <v>466</v>
          </cell>
          <cell r="BF16">
            <v>304</v>
          </cell>
          <cell r="BG16">
            <v>289</v>
          </cell>
          <cell r="BH16">
            <v>305</v>
          </cell>
          <cell r="BI16">
            <v>320</v>
          </cell>
          <cell r="BJ16">
            <v>320</v>
          </cell>
          <cell r="BK16">
            <v>289</v>
          </cell>
          <cell r="BL16">
            <v>321</v>
          </cell>
          <cell r="BM16">
            <v>284</v>
          </cell>
          <cell r="BN16">
            <v>297</v>
          </cell>
          <cell r="BO16">
            <v>297</v>
          </cell>
          <cell r="BP16">
            <v>273</v>
          </cell>
          <cell r="BQ16">
            <v>524</v>
          </cell>
          <cell r="BR16">
            <v>226</v>
          </cell>
          <cell r="BS16">
            <v>246</v>
          </cell>
          <cell r="BT16">
            <v>246</v>
          </cell>
          <cell r="BU16">
            <v>232</v>
          </cell>
          <cell r="BV16">
            <v>215</v>
          </cell>
          <cell r="BW16">
            <v>233</v>
          </cell>
          <cell r="BX16">
            <v>255</v>
          </cell>
          <cell r="BY16">
            <v>255</v>
          </cell>
          <cell r="BZ16">
            <v>265</v>
          </cell>
          <cell r="CA16">
            <v>266</v>
          </cell>
          <cell r="CB16">
            <v>282</v>
          </cell>
          <cell r="CC16">
            <v>290</v>
          </cell>
          <cell r="CD16">
            <v>290</v>
          </cell>
          <cell r="CE16">
            <v>307</v>
          </cell>
          <cell r="CF16">
            <v>294</v>
          </cell>
          <cell r="CG16">
            <v>324</v>
          </cell>
          <cell r="CH16">
            <v>286</v>
          </cell>
          <cell r="CI16">
            <v>286</v>
          </cell>
          <cell r="CJ16">
            <v>270</v>
          </cell>
          <cell r="CK16">
            <v>271</v>
          </cell>
          <cell r="CL16">
            <v>415</v>
          </cell>
          <cell r="CM16">
            <v>288</v>
          </cell>
          <cell r="CN16">
            <v>288</v>
          </cell>
          <cell r="CO16">
            <v>412</v>
          </cell>
          <cell r="CP16">
            <v>375</v>
          </cell>
          <cell r="CQ16">
            <v>357</v>
          </cell>
          <cell r="CR16">
            <v>378</v>
          </cell>
          <cell r="CS16">
            <v>378</v>
          </cell>
          <cell r="CT16">
            <v>386</v>
          </cell>
          <cell r="CU16">
            <v>509</v>
          </cell>
          <cell r="CV16">
            <v>502</v>
          </cell>
          <cell r="CW16">
            <v>502</v>
          </cell>
          <cell r="CX16">
            <v>502</v>
          </cell>
          <cell r="CY16">
            <v>502</v>
          </cell>
          <cell r="CZ16">
            <v>502</v>
          </cell>
          <cell r="DA16">
            <v>502</v>
          </cell>
          <cell r="DB16">
            <v>502</v>
          </cell>
          <cell r="DC16">
            <v>502</v>
          </cell>
          <cell r="DD16">
            <v>502</v>
          </cell>
          <cell r="DE16">
            <v>502</v>
          </cell>
          <cell r="DF16">
            <v>502</v>
          </cell>
          <cell r="DG16">
            <v>502</v>
          </cell>
          <cell r="DH16">
            <v>502</v>
          </cell>
          <cell r="DI16">
            <v>502</v>
          </cell>
          <cell r="DJ16">
            <v>502</v>
          </cell>
          <cell r="DK16">
            <v>502</v>
          </cell>
          <cell r="DL16">
            <v>502</v>
          </cell>
          <cell r="DM16">
            <v>502</v>
          </cell>
          <cell r="DN16">
            <v>502</v>
          </cell>
          <cell r="DO16">
            <v>502</v>
          </cell>
          <cell r="DP16">
            <v>502</v>
          </cell>
          <cell r="DQ16">
            <v>502</v>
          </cell>
          <cell r="DR16">
            <v>502</v>
          </cell>
          <cell r="DW16" t="str">
            <v>mstag:otherAssetsOperatingCurrent</v>
          </cell>
          <cell r="DX16">
            <v>6</v>
          </cell>
          <cell r="DY16" t="str">
            <v>ISO4217:USD</v>
          </cell>
          <cell r="DZ16" t="b">
            <v>0</v>
          </cell>
        </row>
        <row r="17">
          <cell r="B17" t="str">
            <v>Current Assets</v>
          </cell>
          <cell r="D17">
            <v>1054.5650000000001</v>
          </cell>
          <cell r="E17">
            <v>1036.4000000000001</v>
          </cell>
          <cell r="F17">
            <v>1016.8</v>
          </cell>
          <cell r="G17">
            <v>1624</v>
          </cell>
          <cell r="H17">
            <v>1624</v>
          </cell>
          <cell r="I17">
            <v>1441.7</v>
          </cell>
          <cell r="J17">
            <v>1454.6000000000001</v>
          </cell>
          <cell r="K17">
            <v>1516.7000000000003</v>
          </cell>
          <cell r="L17">
            <v>1545</v>
          </cell>
          <cell r="M17">
            <v>1545</v>
          </cell>
          <cell r="N17">
            <v>1576.2</v>
          </cell>
          <cell r="O17">
            <v>1635.7999999999997</v>
          </cell>
          <cell r="P17">
            <v>2376.4</v>
          </cell>
          <cell r="Q17">
            <v>2391</v>
          </cell>
          <cell r="R17">
            <v>2391</v>
          </cell>
          <cell r="S17">
            <v>2418</v>
          </cell>
          <cell r="T17">
            <v>2623</v>
          </cell>
          <cell r="U17">
            <v>2721</v>
          </cell>
          <cell r="V17">
            <v>2890</v>
          </cell>
          <cell r="W17">
            <v>2890</v>
          </cell>
          <cell r="X17">
            <v>2986</v>
          </cell>
          <cell r="Y17">
            <v>3083</v>
          </cell>
          <cell r="Z17">
            <v>3322</v>
          </cell>
          <cell r="AA17">
            <v>3962</v>
          </cell>
          <cell r="AB17">
            <v>3962</v>
          </cell>
          <cell r="AC17">
            <v>3951</v>
          </cell>
          <cell r="AD17">
            <v>3518</v>
          </cell>
          <cell r="AE17">
            <v>3783</v>
          </cell>
          <cell r="AF17">
            <v>3594</v>
          </cell>
          <cell r="AG17">
            <v>3594</v>
          </cell>
          <cell r="AH17">
            <v>3559</v>
          </cell>
          <cell r="AI17">
            <v>3529</v>
          </cell>
          <cell r="AJ17">
            <v>3579</v>
          </cell>
          <cell r="AK17">
            <v>3226</v>
          </cell>
          <cell r="AL17">
            <v>3226</v>
          </cell>
          <cell r="AM17">
            <v>3281</v>
          </cell>
          <cell r="AN17">
            <v>3270</v>
          </cell>
          <cell r="AO17">
            <v>3410</v>
          </cell>
          <cell r="AP17">
            <v>3394</v>
          </cell>
          <cell r="AQ17">
            <v>3394</v>
          </cell>
          <cell r="AR17">
            <v>3392</v>
          </cell>
          <cell r="AS17">
            <v>3594</v>
          </cell>
          <cell r="AT17">
            <v>3706</v>
          </cell>
          <cell r="AV17">
            <v>0</v>
          </cell>
          <cell r="AW17">
            <v>0</v>
          </cell>
          <cell r="AX17">
            <v>0</v>
          </cell>
          <cell r="AY17">
            <v>3792</v>
          </cell>
          <cell r="AZ17">
            <v>3792</v>
          </cell>
          <cell r="BA17">
            <v>4280</v>
          </cell>
          <cell r="BB17">
            <v>4281</v>
          </cell>
          <cell r="BC17">
            <v>4223</v>
          </cell>
          <cell r="BD17">
            <v>4248</v>
          </cell>
          <cell r="BE17">
            <v>4248</v>
          </cell>
          <cell r="BF17">
            <v>4864</v>
          </cell>
          <cell r="BG17">
            <v>4928</v>
          </cell>
          <cell r="BH17">
            <v>4887</v>
          </cell>
          <cell r="BI17">
            <v>3992</v>
          </cell>
          <cell r="BJ17">
            <v>3992</v>
          </cell>
          <cell r="BK17">
            <v>4117</v>
          </cell>
          <cell r="BL17">
            <v>4123</v>
          </cell>
          <cell r="BM17">
            <v>4026</v>
          </cell>
          <cell r="BN17">
            <v>3508</v>
          </cell>
          <cell r="BO17">
            <v>3508</v>
          </cell>
          <cell r="BP17">
            <v>3078</v>
          </cell>
          <cell r="BQ17">
            <v>3349</v>
          </cell>
          <cell r="BR17">
            <v>3138</v>
          </cell>
          <cell r="BS17">
            <v>3025</v>
          </cell>
          <cell r="BT17">
            <v>3025</v>
          </cell>
          <cell r="BU17">
            <v>2753</v>
          </cell>
          <cell r="BV17">
            <v>2608</v>
          </cell>
          <cell r="BW17">
            <v>2593</v>
          </cell>
          <cell r="BX17">
            <v>2560</v>
          </cell>
          <cell r="BY17">
            <v>2560</v>
          </cell>
          <cell r="BZ17">
            <v>2317</v>
          </cell>
          <cell r="CA17">
            <v>2778</v>
          </cell>
          <cell r="CB17">
            <v>2836</v>
          </cell>
          <cell r="CC17">
            <v>2709</v>
          </cell>
          <cell r="CD17">
            <v>2709</v>
          </cell>
          <cell r="CE17">
            <v>2631</v>
          </cell>
          <cell r="CF17">
            <v>2562</v>
          </cell>
          <cell r="CG17">
            <v>2539</v>
          </cell>
          <cell r="CH17">
            <v>2472</v>
          </cell>
          <cell r="CI17">
            <v>2472</v>
          </cell>
          <cell r="CJ17">
            <v>2386</v>
          </cell>
          <cell r="CK17">
            <v>2435</v>
          </cell>
          <cell r="CL17">
            <v>2444</v>
          </cell>
          <cell r="CM17">
            <v>2311</v>
          </cell>
          <cell r="CN17">
            <v>2311</v>
          </cell>
          <cell r="CO17">
            <v>2393</v>
          </cell>
          <cell r="CP17">
            <v>2314</v>
          </cell>
          <cell r="CQ17">
            <v>2176</v>
          </cell>
          <cell r="CR17">
            <v>2357</v>
          </cell>
          <cell r="CS17">
            <v>2357</v>
          </cell>
          <cell r="CT17">
            <v>2482</v>
          </cell>
          <cell r="CU17">
            <v>2564</v>
          </cell>
          <cell r="CV17">
            <v>2484</v>
          </cell>
          <cell r="CW17">
            <v>3227.4882689813112</v>
          </cell>
          <cell r="CX17">
            <v>3227.4882689813112</v>
          </cell>
          <cell r="CY17">
            <v>3237.8646698497287</v>
          </cell>
          <cell r="CZ17">
            <v>3240.4143996314806</v>
          </cell>
          <cell r="DA17">
            <v>3278.1382376194279</v>
          </cell>
          <cell r="DB17">
            <v>3360.8732808076402</v>
          </cell>
          <cell r="DC17">
            <v>3360.8732808076402</v>
          </cell>
          <cell r="DD17">
            <v>3483.9609237978648</v>
          </cell>
          <cell r="DE17">
            <v>3565.0480134651971</v>
          </cell>
          <cell r="DF17">
            <v>3620.666213907155</v>
          </cell>
          <cell r="DG17">
            <v>3728.6606968946985</v>
          </cell>
          <cell r="DH17">
            <v>3728.6606968946985</v>
          </cell>
          <cell r="DI17">
            <v>3879.659892703216</v>
          </cell>
          <cell r="DJ17">
            <v>3961.1790636830806</v>
          </cell>
          <cell r="DK17">
            <v>4024.7474407885848</v>
          </cell>
          <cell r="DL17">
            <v>4148.7813433408501</v>
          </cell>
          <cell r="DM17">
            <v>4148.7813433408501</v>
          </cell>
          <cell r="DN17">
            <v>4313.0957784539714</v>
          </cell>
          <cell r="DO17">
            <v>4417.0579021918347</v>
          </cell>
          <cell r="DP17">
            <v>4494.0255439076782</v>
          </cell>
          <cell r="DQ17">
            <v>4630.9239508650498</v>
          </cell>
          <cell r="DR17">
            <v>4630.9239508650498</v>
          </cell>
        </row>
        <row r="19">
          <cell r="B19" t="str">
            <v>Investments &amp; other assets</v>
          </cell>
          <cell r="D19">
            <v>375.59799999999996</v>
          </cell>
          <cell r="E19">
            <v>373.9</v>
          </cell>
          <cell r="F19">
            <v>412.9</v>
          </cell>
          <cell r="G19">
            <v>362</v>
          </cell>
          <cell r="H19">
            <v>362</v>
          </cell>
          <cell r="I19">
            <v>370</v>
          </cell>
          <cell r="J19">
            <v>510.2</v>
          </cell>
          <cell r="K19">
            <v>568.20000000000005</v>
          </cell>
          <cell r="L19">
            <v>518</v>
          </cell>
          <cell r="M19">
            <v>518</v>
          </cell>
          <cell r="N19">
            <v>521.4</v>
          </cell>
          <cell r="O19">
            <v>505.9</v>
          </cell>
          <cell r="P19">
            <v>667.6</v>
          </cell>
          <cell r="Q19">
            <v>678</v>
          </cell>
          <cell r="R19">
            <v>678</v>
          </cell>
          <cell r="S19">
            <v>662</v>
          </cell>
          <cell r="T19">
            <v>565</v>
          </cell>
          <cell r="U19">
            <v>642</v>
          </cell>
          <cell r="V19">
            <v>498</v>
          </cell>
          <cell r="W19">
            <v>498</v>
          </cell>
          <cell r="X19">
            <v>469</v>
          </cell>
          <cell r="Y19">
            <v>567</v>
          </cell>
          <cell r="Z19">
            <v>524</v>
          </cell>
          <cell r="AA19">
            <v>569</v>
          </cell>
          <cell r="AB19">
            <v>569</v>
          </cell>
          <cell r="AC19">
            <v>540</v>
          </cell>
          <cell r="AD19">
            <v>546</v>
          </cell>
          <cell r="AE19">
            <v>451</v>
          </cell>
          <cell r="AF19">
            <v>344</v>
          </cell>
          <cell r="AG19">
            <v>344</v>
          </cell>
          <cell r="AH19">
            <v>377</v>
          </cell>
          <cell r="AI19">
            <v>369</v>
          </cell>
          <cell r="AJ19">
            <v>444</v>
          </cell>
          <cell r="AK19">
            <v>395</v>
          </cell>
          <cell r="AL19">
            <v>395</v>
          </cell>
          <cell r="AM19">
            <v>359</v>
          </cell>
          <cell r="AN19">
            <v>360</v>
          </cell>
          <cell r="AO19">
            <v>363</v>
          </cell>
          <cell r="AP19">
            <v>363</v>
          </cell>
          <cell r="AQ19">
            <v>363</v>
          </cell>
          <cell r="AR19">
            <v>307</v>
          </cell>
          <cell r="AS19">
            <v>193</v>
          </cell>
          <cell r="AT19">
            <v>292</v>
          </cell>
          <cell r="AY19">
            <v>185</v>
          </cell>
          <cell r="AZ19">
            <v>185</v>
          </cell>
          <cell r="BA19">
            <v>293</v>
          </cell>
          <cell r="BB19">
            <v>295</v>
          </cell>
          <cell r="BC19">
            <v>299</v>
          </cell>
          <cell r="BD19">
            <v>386</v>
          </cell>
          <cell r="BE19">
            <v>386</v>
          </cell>
          <cell r="BF19">
            <v>360</v>
          </cell>
          <cell r="BG19">
            <v>305</v>
          </cell>
          <cell r="BH19">
            <v>308</v>
          </cell>
          <cell r="BI19">
            <v>296</v>
          </cell>
          <cell r="BJ19">
            <v>296</v>
          </cell>
          <cell r="BK19">
            <v>298</v>
          </cell>
          <cell r="BL19">
            <v>300</v>
          </cell>
          <cell r="BM19">
            <v>302</v>
          </cell>
          <cell r="BN19">
            <v>643</v>
          </cell>
          <cell r="BO19">
            <v>643</v>
          </cell>
          <cell r="BP19">
            <v>627</v>
          </cell>
          <cell r="BQ19">
            <v>628</v>
          </cell>
          <cell r="BR19">
            <v>632</v>
          </cell>
          <cell r="BS19">
            <v>383</v>
          </cell>
          <cell r="BT19">
            <v>383</v>
          </cell>
          <cell r="BU19">
            <v>390</v>
          </cell>
          <cell r="BV19">
            <v>417</v>
          </cell>
          <cell r="BW19">
            <v>369</v>
          </cell>
          <cell r="BX19">
            <v>288</v>
          </cell>
          <cell r="BY19">
            <v>288</v>
          </cell>
          <cell r="BZ19">
            <v>322</v>
          </cell>
          <cell r="CA19">
            <v>271</v>
          </cell>
          <cell r="CB19">
            <v>282</v>
          </cell>
          <cell r="CC19">
            <v>242</v>
          </cell>
          <cell r="CD19">
            <v>242</v>
          </cell>
          <cell r="CE19">
            <v>255</v>
          </cell>
          <cell r="CF19">
            <v>198</v>
          </cell>
          <cell r="CG19">
            <v>181</v>
          </cell>
          <cell r="CH19">
            <v>182</v>
          </cell>
          <cell r="CI19">
            <v>182</v>
          </cell>
          <cell r="CJ19">
            <v>185</v>
          </cell>
          <cell r="CK19">
            <v>180</v>
          </cell>
          <cell r="CL19">
            <v>176</v>
          </cell>
          <cell r="CM19">
            <v>164</v>
          </cell>
          <cell r="CN19">
            <v>164</v>
          </cell>
          <cell r="CO19">
            <v>162</v>
          </cell>
          <cell r="CP19">
            <v>171</v>
          </cell>
          <cell r="CQ19">
            <v>159</v>
          </cell>
          <cell r="CR19">
            <v>156</v>
          </cell>
          <cell r="CS19">
            <v>156</v>
          </cell>
          <cell r="CT19">
            <v>153</v>
          </cell>
          <cell r="CU19">
            <v>120</v>
          </cell>
          <cell r="CV19">
            <v>126</v>
          </cell>
          <cell r="CW19">
            <v>126</v>
          </cell>
          <cell r="CX19">
            <v>126</v>
          </cell>
          <cell r="CY19">
            <v>126</v>
          </cell>
          <cell r="CZ19">
            <v>126</v>
          </cell>
          <cell r="DA19">
            <v>126</v>
          </cell>
          <cell r="DB19">
            <v>126</v>
          </cell>
          <cell r="DC19">
            <v>126</v>
          </cell>
          <cell r="DD19">
            <v>126</v>
          </cell>
          <cell r="DE19">
            <v>126</v>
          </cell>
          <cell r="DF19">
            <v>126</v>
          </cell>
          <cell r="DG19">
            <v>126</v>
          </cell>
          <cell r="DH19">
            <v>126</v>
          </cell>
          <cell r="DI19">
            <v>126</v>
          </cell>
          <cell r="DJ19">
            <v>126</v>
          </cell>
          <cell r="DK19">
            <v>126</v>
          </cell>
          <cell r="DL19">
            <v>126</v>
          </cell>
          <cell r="DM19">
            <v>126</v>
          </cell>
          <cell r="DN19">
            <v>126</v>
          </cell>
          <cell r="DO19">
            <v>126</v>
          </cell>
          <cell r="DP19">
            <v>126</v>
          </cell>
          <cell r="DQ19">
            <v>126</v>
          </cell>
          <cell r="DR19">
            <v>126</v>
          </cell>
          <cell r="DW19" t="str">
            <v>mstag:longTermInvestmentsNonOperating</v>
          </cell>
          <cell r="DX19">
            <v>6</v>
          </cell>
          <cell r="DY19" t="str">
            <v>ISO4217:USD</v>
          </cell>
          <cell r="DZ19" t="b">
            <v>0</v>
          </cell>
        </row>
        <row r="20">
          <cell r="B20" t="str">
            <v>Deferred income taxes</v>
          </cell>
          <cell r="D20">
            <v>0</v>
          </cell>
          <cell r="E20">
            <v>0</v>
          </cell>
          <cell r="F20">
            <v>0</v>
          </cell>
          <cell r="G20">
            <v>0</v>
          </cell>
          <cell r="I20">
            <v>0</v>
          </cell>
          <cell r="J20">
            <v>0</v>
          </cell>
          <cell r="K20">
            <v>0</v>
          </cell>
          <cell r="L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Y20">
            <v>0</v>
          </cell>
          <cell r="AZ20">
            <v>0</v>
          </cell>
          <cell r="BA20">
            <v>0</v>
          </cell>
          <cell r="BB20">
            <v>0</v>
          </cell>
          <cell r="BC20">
            <v>0</v>
          </cell>
          <cell r="BD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636</v>
          </cell>
          <cell r="CM20">
            <v>627</v>
          </cell>
          <cell r="CN20">
            <v>627</v>
          </cell>
          <cell r="CO20">
            <v>589</v>
          </cell>
          <cell r="CP20">
            <v>543</v>
          </cell>
          <cell r="CQ20">
            <v>533</v>
          </cell>
          <cell r="CR20">
            <v>374</v>
          </cell>
          <cell r="CS20">
            <v>374</v>
          </cell>
          <cell r="CT20">
            <v>342</v>
          </cell>
          <cell r="CU20">
            <v>345</v>
          </cell>
          <cell r="CV20">
            <v>338</v>
          </cell>
          <cell r="CW20">
            <v>338</v>
          </cell>
          <cell r="CX20">
            <v>338</v>
          </cell>
          <cell r="CY20">
            <v>338</v>
          </cell>
          <cell r="CZ20">
            <v>338</v>
          </cell>
          <cell r="DA20">
            <v>338</v>
          </cell>
          <cell r="DB20">
            <v>338</v>
          </cell>
          <cell r="DC20">
            <v>338</v>
          </cell>
          <cell r="DD20">
            <v>338</v>
          </cell>
          <cell r="DE20">
            <v>338</v>
          </cell>
          <cell r="DF20">
            <v>338</v>
          </cell>
          <cell r="DG20">
            <v>338</v>
          </cell>
          <cell r="DH20">
            <v>338</v>
          </cell>
          <cell r="DI20">
            <v>338</v>
          </cell>
          <cell r="DJ20">
            <v>338</v>
          </cell>
          <cell r="DK20">
            <v>338</v>
          </cell>
          <cell r="DL20">
            <v>338</v>
          </cell>
          <cell r="DM20">
            <v>338</v>
          </cell>
          <cell r="DN20">
            <v>338</v>
          </cell>
          <cell r="DO20">
            <v>338</v>
          </cell>
          <cell r="DP20">
            <v>338</v>
          </cell>
          <cell r="DQ20">
            <v>338</v>
          </cell>
          <cell r="DR20">
            <v>338</v>
          </cell>
          <cell r="DW20" t="str">
            <v>mstag:deferredTaxAssetsNonCurrent</v>
          </cell>
          <cell r="DX20">
            <v>6</v>
          </cell>
          <cell r="DY20" t="str">
            <v>ISO4217:USD</v>
          </cell>
          <cell r="DZ20" t="b">
            <v>0</v>
          </cell>
        </row>
        <row r="21">
          <cell r="B21" t="str">
            <v>Property &amp; equipment, net</v>
          </cell>
          <cell r="D21">
            <v>1794.4960000000001</v>
          </cell>
          <cell r="E21">
            <v>1780.9</v>
          </cell>
          <cell r="F21">
            <v>1786.7</v>
          </cell>
          <cell r="G21">
            <v>3319</v>
          </cell>
          <cell r="H21">
            <v>3319</v>
          </cell>
          <cell r="I21">
            <v>3418</v>
          </cell>
          <cell r="J21">
            <v>3563.5</v>
          </cell>
          <cell r="K21">
            <v>3590</v>
          </cell>
          <cell r="L21">
            <v>3648</v>
          </cell>
          <cell r="M21">
            <v>3648</v>
          </cell>
          <cell r="N21">
            <v>3689</v>
          </cell>
          <cell r="O21">
            <v>3738.1</v>
          </cell>
          <cell r="P21">
            <v>5283.3</v>
          </cell>
          <cell r="Q21">
            <v>5490</v>
          </cell>
          <cell r="R21">
            <v>5490</v>
          </cell>
          <cell r="S21">
            <v>5657</v>
          </cell>
          <cell r="T21">
            <v>5677</v>
          </cell>
          <cell r="U21">
            <v>5835</v>
          </cell>
          <cell r="V21">
            <v>5987</v>
          </cell>
          <cell r="W21">
            <v>5987</v>
          </cell>
          <cell r="X21">
            <v>6103</v>
          </cell>
          <cell r="Y21">
            <v>6422</v>
          </cell>
          <cell r="Z21">
            <v>6432</v>
          </cell>
          <cell r="AA21">
            <v>5839</v>
          </cell>
          <cell r="AB21">
            <v>5839</v>
          </cell>
          <cell r="AC21">
            <v>5818</v>
          </cell>
          <cell r="AD21">
            <v>5843</v>
          </cell>
          <cell r="AE21">
            <v>5793</v>
          </cell>
          <cell r="AF21">
            <v>5894</v>
          </cell>
          <cell r="AG21">
            <v>5894</v>
          </cell>
          <cell r="AH21">
            <v>5842</v>
          </cell>
          <cell r="AI21">
            <v>5863</v>
          </cell>
          <cell r="AJ21">
            <v>5892</v>
          </cell>
          <cell r="AK21">
            <v>5976</v>
          </cell>
          <cell r="AL21">
            <v>5976</v>
          </cell>
          <cell r="AM21">
            <v>6221</v>
          </cell>
          <cell r="AN21">
            <v>6308</v>
          </cell>
          <cell r="AO21">
            <v>6391</v>
          </cell>
          <cell r="AP21">
            <v>6585</v>
          </cell>
          <cell r="AQ21">
            <v>6585</v>
          </cell>
          <cell r="AR21">
            <v>6564</v>
          </cell>
          <cell r="AS21">
            <v>6679</v>
          </cell>
          <cell r="AT21">
            <v>6412</v>
          </cell>
          <cell r="AY21">
            <v>6359</v>
          </cell>
          <cell r="AZ21">
            <v>6359</v>
          </cell>
          <cell r="BA21">
            <v>6051</v>
          </cell>
          <cell r="BB21">
            <v>5899</v>
          </cell>
          <cell r="BC21">
            <v>5914</v>
          </cell>
          <cell r="BD21">
            <v>5557</v>
          </cell>
          <cell r="BE21">
            <v>5557</v>
          </cell>
          <cell r="BF21">
            <v>4868</v>
          </cell>
          <cell r="BG21">
            <v>4823</v>
          </cell>
          <cell r="BH21">
            <v>4837</v>
          </cell>
          <cell r="BI21">
            <v>4820</v>
          </cell>
          <cell r="BJ21">
            <v>4820</v>
          </cell>
          <cell r="BK21">
            <v>4817</v>
          </cell>
          <cell r="BL21">
            <v>4849</v>
          </cell>
          <cell r="BM21">
            <v>4593</v>
          </cell>
          <cell r="BN21">
            <v>4620</v>
          </cell>
          <cell r="BO21">
            <v>4620</v>
          </cell>
          <cell r="BP21">
            <v>4601</v>
          </cell>
          <cell r="BQ21">
            <v>4276</v>
          </cell>
          <cell r="BR21">
            <v>4317</v>
          </cell>
          <cell r="BS21">
            <v>4299</v>
          </cell>
          <cell r="BT21">
            <v>4299</v>
          </cell>
          <cell r="BU21">
            <v>4275</v>
          </cell>
          <cell r="BV21">
            <v>4354</v>
          </cell>
          <cell r="BW21">
            <v>4403</v>
          </cell>
          <cell r="BX21">
            <v>4645</v>
          </cell>
          <cell r="BY21">
            <v>4645</v>
          </cell>
          <cell r="BZ21">
            <v>4622</v>
          </cell>
          <cell r="CA21">
            <v>4274</v>
          </cell>
          <cell r="CB21">
            <v>4239</v>
          </cell>
          <cell r="CC21">
            <v>4291</v>
          </cell>
          <cell r="CD21">
            <v>4291</v>
          </cell>
          <cell r="CE21">
            <v>4236</v>
          </cell>
          <cell r="CF21">
            <v>4182</v>
          </cell>
          <cell r="CG21">
            <v>4172</v>
          </cell>
          <cell r="CH21">
            <v>4313</v>
          </cell>
          <cell r="CI21">
            <v>4313</v>
          </cell>
          <cell r="CJ21">
            <v>4249</v>
          </cell>
          <cell r="CK21">
            <v>4211</v>
          </cell>
          <cell r="CL21">
            <v>4239</v>
          </cell>
          <cell r="CM21">
            <v>4304</v>
          </cell>
          <cell r="CN21">
            <v>4304</v>
          </cell>
          <cell r="CO21">
            <v>4262</v>
          </cell>
          <cell r="CP21">
            <v>4238</v>
          </cell>
          <cell r="CQ21">
            <v>4201</v>
          </cell>
          <cell r="CR21">
            <v>4350</v>
          </cell>
          <cell r="CS21">
            <v>4350</v>
          </cell>
          <cell r="CT21">
            <v>4324</v>
          </cell>
          <cell r="CU21">
            <v>4181</v>
          </cell>
          <cell r="CV21">
            <v>4173</v>
          </cell>
          <cell r="CW21">
            <v>4208</v>
          </cell>
          <cell r="CX21">
            <v>4208</v>
          </cell>
          <cell r="CY21">
            <v>4380.0124999999998</v>
          </cell>
          <cell r="CZ21">
            <v>4402.0249999999996</v>
          </cell>
          <cell r="DA21">
            <v>4424.0374999999995</v>
          </cell>
          <cell r="DB21">
            <v>4451.0499999999993</v>
          </cell>
          <cell r="DC21">
            <v>4451.0499999999993</v>
          </cell>
          <cell r="DD21">
            <v>4471.8993749999991</v>
          </cell>
          <cell r="DE21">
            <v>4492.7487499999988</v>
          </cell>
          <cell r="DF21">
            <v>4513.5981249999986</v>
          </cell>
          <cell r="DG21">
            <v>4534.4474999999984</v>
          </cell>
          <cell r="DH21">
            <v>4534.4474999999984</v>
          </cell>
          <cell r="DI21">
            <v>4554.2544062499983</v>
          </cell>
          <cell r="DJ21">
            <v>4574.0613124999982</v>
          </cell>
          <cell r="DK21">
            <v>4593.8682187499981</v>
          </cell>
          <cell r="DL21">
            <v>4613.6751249999979</v>
          </cell>
          <cell r="DM21">
            <v>4613.6751249999979</v>
          </cell>
          <cell r="DN21">
            <v>4632.491685937498</v>
          </cell>
          <cell r="DO21">
            <v>4651.3082468749981</v>
          </cell>
          <cell r="DP21">
            <v>4670.1248078124981</v>
          </cell>
          <cell r="DQ21">
            <v>4688.9413687499982</v>
          </cell>
          <cell r="DR21">
            <v>4688.9413687499982</v>
          </cell>
          <cell r="DW21" t="str">
            <v>mstag:propertyPlantAndEquipmentNet</v>
          </cell>
          <cell r="DX21">
            <v>6</v>
          </cell>
          <cell r="DY21" t="str">
            <v>ISO4217:USD</v>
          </cell>
          <cell r="DZ21" t="b">
            <v>0</v>
          </cell>
        </row>
        <row r="22">
          <cell r="B22" t="str">
            <v>Goodwill</v>
          </cell>
          <cell r="D22">
            <v>0</v>
          </cell>
          <cell r="E22">
            <v>0</v>
          </cell>
          <cell r="F22">
            <v>0</v>
          </cell>
          <cell r="G22">
            <v>2511</v>
          </cell>
          <cell r="H22">
            <v>2511</v>
          </cell>
          <cell r="I22">
            <v>2655</v>
          </cell>
          <cell r="J22">
            <v>2612.1999999999998</v>
          </cell>
          <cell r="K22">
            <v>2647.9</v>
          </cell>
          <cell r="L22">
            <v>2574</v>
          </cell>
          <cell r="M22">
            <v>2574</v>
          </cell>
          <cell r="N22">
            <v>2638.9</v>
          </cell>
          <cell r="O22">
            <v>2692.7</v>
          </cell>
          <cell r="P22">
            <v>3259.5</v>
          </cell>
          <cell r="Q22">
            <v>3072</v>
          </cell>
          <cell r="R22">
            <v>3072</v>
          </cell>
          <cell r="S22">
            <v>3161</v>
          </cell>
          <cell r="T22">
            <v>3318</v>
          </cell>
          <cell r="U22">
            <v>3517</v>
          </cell>
          <cell r="V22">
            <v>3317</v>
          </cell>
          <cell r="W22">
            <v>3317</v>
          </cell>
          <cell r="X22">
            <v>3412</v>
          </cell>
          <cell r="Y22">
            <v>3557</v>
          </cell>
          <cell r="Z22">
            <v>3607</v>
          </cell>
          <cell r="AA22">
            <v>3283</v>
          </cell>
          <cell r="AB22">
            <v>3283</v>
          </cell>
          <cell r="AC22">
            <v>3384</v>
          </cell>
          <cell r="AD22">
            <v>3368</v>
          </cell>
          <cell r="AE22">
            <v>3365</v>
          </cell>
          <cell r="AF22">
            <v>3235</v>
          </cell>
          <cell r="AG22">
            <v>3235</v>
          </cell>
          <cell r="AH22">
            <v>3313</v>
          </cell>
          <cell r="AI22">
            <v>3360</v>
          </cell>
          <cell r="AJ22">
            <v>3334</v>
          </cell>
          <cell r="AK22">
            <v>3265</v>
          </cell>
          <cell r="AL22">
            <v>3265</v>
          </cell>
          <cell r="AM22">
            <v>3345</v>
          </cell>
          <cell r="AN22">
            <v>3319</v>
          </cell>
          <cell r="AO22">
            <v>3300</v>
          </cell>
          <cell r="AP22">
            <v>3289</v>
          </cell>
          <cell r="AQ22">
            <v>3289</v>
          </cell>
          <cell r="AR22">
            <v>3472</v>
          </cell>
          <cell r="AS22">
            <v>3268</v>
          </cell>
          <cell r="AT22">
            <v>3260</v>
          </cell>
          <cell r="AY22">
            <v>3260</v>
          </cell>
          <cell r="AZ22">
            <v>3260</v>
          </cell>
          <cell r="BA22">
            <v>2880</v>
          </cell>
          <cell r="BB22">
            <v>2880</v>
          </cell>
          <cell r="BC22">
            <v>2885</v>
          </cell>
          <cell r="BD22">
            <v>1949</v>
          </cell>
          <cell r="BE22">
            <v>1949</v>
          </cell>
          <cell r="BF22">
            <v>1913</v>
          </cell>
          <cell r="BG22">
            <v>1913</v>
          </cell>
          <cell r="BH22">
            <v>1913</v>
          </cell>
          <cell r="BI22">
            <v>800</v>
          </cell>
          <cell r="BJ22">
            <v>800</v>
          </cell>
          <cell r="BK22">
            <v>800</v>
          </cell>
          <cell r="BL22">
            <v>800</v>
          </cell>
          <cell r="BM22">
            <v>800</v>
          </cell>
          <cell r="BN22">
            <v>800</v>
          </cell>
          <cell r="BO22">
            <v>800</v>
          </cell>
          <cell r="BP22">
            <v>800</v>
          </cell>
          <cell r="BQ22">
            <v>753</v>
          </cell>
          <cell r="BR22">
            <v>753</v>
          </cell>
          <cell r="BS22">
            <v>601</v>
          </cell>
          <cell r="BT22">
            <v>601</v>
          </cell>
          <cell r="BU22">
            <v>601</v>
          </cell>
          <cell r="BV22">
            <v>603</v>
          </cell>
          <cell r="BW22">
            <v>600</v>
          </cell>
          <cell r="BX22">
            <v>607</v>
          </cell>
          <cell r="BY22">
            <v>607</v>
          </cell>
          <cell r="BZ22">
            <v>607</v>
          </cell>
          <cell r="CA22">
            <v>610</v>
          </cell>
          <cell r="CB22">
            <v>609</v>
          </cell>
          <cell r="CC22">
            <v>609</v>
          </cell>
          <cell r="CD22">
            <v>609</v>
          </cell>
          <cell r="CE22">
            <v>609</v>
          </cell>
          <cell r="CF22">
            <v>607</v>
          </cell>
          <cell r="CG22">
            <v>607</v>
          </cell>
          <cell r="CH22">
            <v>607</v>
          </cell>
          <cell r="CI22">
            <v>607</v>
          </cell>
          <cell r="CJ22">
            <v>607</v>
          </cell>
          <cell r="CK22">
            <v>609</v>
          </cell>
          <cell r="CL22">
            <v>637</v>
          </cell>
          <cell r="CM22">
            <v>652</v>
          </cell>
          <cell r="CN22">
            <v>652</v>
          </cell>
          <cell r="CO22">
            <v>677</v>
          </cell>
          <cell r="CP22">
            <v>715</v>
          </cell>
          <cell r="CQ22">
            <v>724</v>
          </cell>
          <cell r="CR22">
            <v>736</v>
          </cell>
          <cell r="CS22">
            <v>736</v>
          </cell>
          <cell r="CT22">
            <v>738</v>
          </cell>
          <cell r="CU22">
            <v>749</v>
          </cell>
          <cell r="CV22">
            <v>771</v>
          </cell>
          <cell r="CW22">
            <v>771</v>
          </cell>
          <cell r="CX22">
            <v>771</v>
          </cell>
          <cell r="CY22">
            <v>771</v>
          </cell>
          <cell r="CZ22">
            <v>771</v>
          </cell>
          <cell r="DA22">
            <v>771</v>
          </cell>
          <cell r="DB22">
            <v>771</v>
          </cell>
          <cell r="DC22">
            <v>771</v>
          </cell>
          <cell r="DD22">
            <v>771</v>
          </cell>
          <cell r="DE22">
            <v>771</v>
          </cell>
          <cell r="DF22">
            <v>771</v>
          </cell>
          <cell r="DG22">
            <v>771</v>
          </cell>
          <cell r="DH22">
            <v>771</v>
          </cell>
          <cell r="DI22">
            <v>771</v>
          </cell>
          <cell r="DJ22">
            <v>771</v>
          </cell>
          <cell r="DK22">
            <v>771</v>
          </cell>
          <cell r="DL22">
            <v>771</v>
          </cell>
          <cell r="DM22">
            <v>771</v>
          </cell>
          <cell r="DN22">
            <v>771</v>
          </cell>
          <cell r="DO22">
            <v>771</v>
          </cell>
          <cell r="DP22">
            <v>771</v>
          </cell>
          <cell r="DQ22">
            <v>771</v>
          </cell>
          <cell r="DR22">
            <v>771</v>
          </cell>
          <cell r="DW22" t="str">
            <v>mstag:goodwill</v>
          </cell>
          <cell r="DX22">
            <v>6</v>
          </cell>
          <cell r="DY22" t="str">
            <v>ISO4217:USD</v>
          </cell>
          <cell r="DZ22" t="b">
            <v>0</v>
          </cell>
        </row>
        <row r="23">
          <cell r="B23" t="str">
            <v>Intangible assets, net</v>
          </cell>
          <cell r="D23">
            <v>111.687</v>
          </cell>
          <cell r="E23">
            <v>112.2</v>
          </cell>
          <cell r="F23">
            <v>114.3</v>
          </cell>
          <cell r="G23">
            <v>102</v>
          </cell>
          <cell r="H23">
            <v>102</v>
          </cell>
          <cell r="I23">
            <v>0</v>
          </cell>
          <cell r="J23">
            <v>0</v>
          </cell>
          <cell r="K23">
            <v>0</v>
          </cell>
          <cell r="L23">
            <v>47</v>
          </cell>
          <cell r="M23">
            <v>47</v>
          </cell>
          <cell r="N23">
            <v>0</v>
          </cell>
          <cell r="O23">
            <v>0</v>
          </cell>
          <cell r="P23">
            <v>0</v>
          </cell>
          <cell r="Q23">
            <v>74</v>
          </cell>
          <cell r="R23">
            <v>74</v>
          </cell>
          <cell r="S23">
            <v>0</v>
          </cell>
          <cell r="T23">
            <v>0</v>
          </cell>
          <cell r="U23">
            <v>0</v>
          </cell>
          <cell r="V23">
            <v>82</v>
          </cell>
          <cell r="W23">
            <v>82</v>
          </cell>
          <cell r="X23">
            <v>0</v>
          </cell>
          <cell r="Y23">
            <v>0</v>
          </cell>
          <cell r="Z23">
            <v>0</v>
          </cell>
          <cell r="AA23">
            <v>118</v>
          </cell>
          <cell r="AB23">
            <v>118</v>
          </cell>
          <cell r="AC23">
            <v>0</v>
          </cell>
          <cell r="AD23">
            <v>0</v>
          </cell>
          <cell r="AE23">
            <v>0</v>
          </cell>
          <cell r="AF23">
            <v>94</v>
          </cell>
          <cell r="AG23">
            <v>94</v>
          </cell>
          <cell r="AH23">
            <v>0</v>
          </cell>
          <cell r="AI23">
            <v>0</v>
          </cell>
          <cell r="AJ23">
            <v>0</v>
          </cell>
          <cell r="AK23">
            <v>133</v>
          </cell>
          <cell r="AL23">
            <v>133</v>
          </cell>
          <cell r="AM23">
            <v>170</v>
          </cell>
          <cell r="AN23">
            <v>166</v>
          </cell>
          <cell r="AO23">
            <v>176</v>
          </cell>
          <cell r="AP23">
            <v>183</v>
          </cell>
          <cell r="AQ23">
            <v>183</v>
          </cell>
          <cell r="AR23">
            <v>0</v>
          </cell>
          <cell r="AS23">
            <v>189</v>
          </cell>
          <cell r="AT23">
            <v>185</v>
          </cell>
          <cell r="AY23">
            <v>184</v>
          </cell>
          <cell r="AZ23">
            <v>184</v>
          </cell>
          <cell r="BA23">
            <v>180</v>
          </cell>
          <cell r="BB23">
            <v>160</v>
          </cell>
          <cell r="BC23">
            <v>156</v>
          </cell>
          <cell r="BD23">
            <v>158</v>
          </cell>
          <cell r="BE23">
            <v>158</v>
          </cell>
          <cell r="BF23">
            <v>126</v>
          </cell>
          <cell r="BG23">
            <v>181</v>
          </cell>
          <cell r="BH23">
            <v>181</v>
          </cell>
          <cell r="BI23">
            <v>170</v>
          </cell>
          <cell r="BJ23">
            <v>170</v>
          </cell>
          <cell r="BK23">
            <v>178</v>
          </cell>
          <cell r="BL23">
            <v>180</v>
          </cell>
          <cell r="BM23">
            <v>246</v>
          </cell>
          <cell r="BN23">
            <v>241</v>
          </cell>
          <cell r="BO23">
            <v>241</v>
          </cell>
          <cell r="BP23">
            <v>231</v>
          </cell>
          <cell r="BQ23">
            <v>194</v>
          </cell>
          <cell r="BR23">
            <v>202</v>
          </cell>
          <cell r="BS23">
            <v>231</v>
          </cell>
          <cell r="BT23">
            <v>231</v>
          </cell>
          <cell r="BU23">
            <v>256</v>
          </cell>
          <cell r="BV23">
            <v>271</v>
          </cell>
          <cell r="BW23">
            <v>270</v>
          </cell>
          <cell r="BX23">
            <v>293</v>
          </cell>
          <cell r="BY23">
            <v>293</v>
          </cell>
          <cell r="BZ23">
            <v>306</v>
          </cell>
          <cell r="CA23">
            <v>310</v>
          </cell>
          <cell r="CB23">
            <v>328</v>
          </cell>
          <cell r="CC23">
            <v>323</v>
          </cell>
          <cell r="CD23">
            <v>323</v>
          </cell>
          <cell r="CE23">
            <v>361</v>
          </cell>
          <cell r="CF23">
            <v>379</v>
          </cell>
          <cell r="CG23">
            <v>377</v>
          </cell>
          <cell r="CH23">
            <v>379</v>
          </cell>
          <cell r="CI23">
            <v>379</v>
          </cell>
          <cell r="CJ23">
            <v>388</v>
          </cell>
          <cell r="CK23">
            <v>399</v>
          </cell>
          <cell r="CL23">
            <v>403</v>
          </cell>
          <cell r="CM23">
            <v>442</v>
          </cell>
          <cell r="CN23">
            <v>442</v>
          </cell>
          <cell r="CO23">
            <v>441</v>
          </cell>
          <cell r="CP23">
            <v>454</v>
          </cell>
          <cell r="CQ23">
            <v>500</v>
          </cell>
          <cell r="CR23">
            <v>489</v>
          </cell>
          <cell r="CS23">
            <v>489</v>
          </cell>
          <cell r="CT23">
            <v>506</v>
          </cell>
          <cell r="CU23">
            <v>526</v>
          </cell>
          <cell r="CV23">
            <v>578</v>
          </cell>
          <cell r="CW23">
            <v>578</v>
          </cell>
          <cell r="CX23">
            <v>578</v>
          </cell>
          <cell r="CY23">
            <v>578</v>
          </cell>
          <cell r="CZ23">
            <v>578</v>
          </cell>
          <cell r="DA23">
            <v>578</v>
          </cell>
          <cell r="DB23">
            <v>578</v>
          </cell>
          <cell r="DC23">
            <v>578</v>
          </cell>
          <cell r="DD23">
            <v>578</v>
          </cell>
          <cell r="DE23">
            <v>578</v>
          </cell>
          <cell r="DF23">
            <v>578</v>
          </cell>
          <cell r="DG23">
            <v>578</v>
          </cell>
          <cell r="DH23">
            <v>578</v>
          </cell>
          <cell r="DI23">
            <v>578</v>
          </cell>
          <cell r="DJ23">
            <v>578</v>
          </cell>
          <cell r="DK23">
            <v>578</v>
          </cell>
          <cell r="DL23">
            <v>578</v>
          </cell>
          <cell r="DM23">
            <v>578</v>
          </cell>
          <cell r="DN23">
            <v>578</v>
          </cell>
          <cell r="DO23">
            <v>578</v>
          </cell>
          <cell r="DP23">
            <v>578</v>
          </cell>
          <cell r="DQ23">
            <v>578</v>
          </cell>
          <cell r="DR23">
            <v>578</v>
          </cell>
          <cell r="DW23" t="str">
            <v>mstag:otherIntangibleAssets</v>
          </cell>
          <cell r="DX23">
            <v>6</v>
          </cell>
          <cell r="DY23" t="str">
            <v>ISO4217:USD</v>
          </cell>
          <cell r="DZ23" t="b">
            <v>0</v>
          </cell>
        </row>
        <row r="24">
          <cell r="B24" t="str">
            <v>Total Assets</v>
          </cell>
          <cell r="D24">
            <v>3336.346</v>
          </cell>
          <cell r="E24">
            <v>3303.4</v>
          </cell>
          <cell r="F24">
            <v>3330.7</v>
          </cell>
          <cell r="G24">
            <v>7918</v>
          </cell>
          <cell r="H24">
            <v>7918</v>
          </cell>
          <cell r="I24">
            <v>7884.7</v>
          </cell>
          <cell r="J24">
            <v>8140.5</v>
          </cell>
          <cell r="K24">
            <v>8322.8000000000011</v>
          </cell>
          <cell r="L24">
            <v>8332</v>
          </cell>
          <cell r="M24">
            <v>8332</v>
          </cell>
          <cell r="N24">
            <v>8425.5</v>
          </cell>
          <cell r="O24">
            <v>8572.5</v>
          </cell>
          <cell r="P24">
            <v>11586.8</v>
          </cell>
          <cell r="Q24">
            <v>11705</v>
          </cell>
          <cell r="R24">
            <v>11705</v>
          </cell>
          <cell r="S24">
            <v>11898</v>
          </cell>
          <cell r="T24">
            <v>12183</v>
          </cell>
          <cell r="U24">
            <v>12715</v>
          </cell>
          <cell r="V24">
            <v>12774</v>
          </cell>
          <cell r="W24">
            <v>12774</v>
          </cell>
          <cell r="X24">
            <v>12970</v>
          </cell>
          <cell r="Y24">
            <v>13629</v>
          </cell>
          <cell r="Z24">
            <v>13885</v>
          </cell>
          <cell r="AA24">
            <v>13771</v>
          </cell>
          <cell r="AB24">
            <v>13771</v>
          </cell>
          <cell r="AC24">
            <v>13693</v>
          </cell>
          <cell r="AD24">
            <v>13275</v>
          </cell>
          <cell r="AE24">
            <v>13392</v>
          </cell>
          <cell r="AF24">
            <v>13161</v>
          </cell>
          <cell r="AG24">
            <v>13161</v>
          </cell>
          <cell r="AH24">
            <v>13091</v>
          </cell>
          <cell r="AI24">
            <v>13121</v>
          </cell>
          <cell r="AJ24">
            <v>13249</v>
          </cell>
          <cell r="AK24">
            <v>12995</v>
          </cell>
          <cell r="AL24">
            <v>12995</v>
          </cell>
          <cell r="AM24">
            <v>13376</v>
          </cell>
          <cell r="AN24">
            <v>13423</v>
          </cell>
          <cell r="AO24">
            <v>13640</v>
          </cell>
          <cell r="AP24">
            <v>13814</v>
          </cell>
          <cell r="AQ24">
            <v>13814</v>
          </cell>
          <cell r="AR24">
            <v>13735</v>
          </cell>
          <cell r="AS24">
            <v>13923</v>
          </cell>
          <cell r="AT24">
            <v>13855</v>
          </cell>
          <cell r="AV24">
            <v>0</v>
          </cell>
          <cell r="AW24">
            <v>0</v>
          </cell>
          <cell r="AX24">
            <v>0</v>
          </cell>
          <cell r="AY24">
            <v>13780</v>
          </cell>
          <cell r="AZ24">
            <v>13780</v>
          </cell>
          <cell r="BA24">
            <v>13684</v>
          </cell>
          <cell r="BB24">
            <v>13515</v>
          </cell>
          <cell r="BC24">
            <v>13477</v>
          </cell>
          <cell r="BD24">
            <v>12298</v>
          </cell>
          <cell r="BE24">
            <v>12298</v>
          </cell>
          <cell r="BF24">
            <v>12131</v>
          </cell>
          <cell r="BG24">
            <v>12150</v>
          </cell>
          <cell r="BH24">
            <v>12126</v>
          </cell>
          <cell r="BI24">
            <v>10078</v>
          </cell>
          <cell r="BJ24">
            <v>10078</v>
          </cell>
          <cell r="BK24">
            <v>10210</v>
          </cell>
          <cell r="BL24">
            <v>10252</v>
          </cell>
          <cell r="BM24">
            <v>9967</v>
          </cell>
          <cell r="BN24">
            <v>9812</v>
          </cell>
          <cell r="BO24">
            <v>9812</v>
          </cell>
          <cell r="BP24">
            <v>9337</v>
          </cell>
          <cell r="BQ24">
            <v>9200</v>
          </cell>
          <cell r="BR24">
            <v>9042</v>
          </cell>
          <cell r="BS24">
            <v>8539</v>
          </cell>
          <cell r="BT24">
            <v>8539</v>
          </cell>
          <cell r="BU24">
            <v>8275</v>
          </cell>
          <cell r="BV24">
            <v>8253</v>
          </cell>
          <cell r="BW24">
            <v>8235</v>
          </cell>
          <cell r="BX24">
            <v>8393</v>
          </cell>
          <cell r="BY24">
            <v>8393</v>
          </cell>
          <cell r="BZ24">
            <v>8174</v>
          </cell>
          <cell r="CA24">
            <v>8243</v>
          </cell>
          <cell r="CB24">
            <v>8294</v>
          </cell>
          <cell r="CC24">
            <v>8174</v>
          </cell>
          <cell r="CD24">
            <v>8174</v>
          </cell>
          <cell r="CE24">
            <v>8092</v>
          </cell>
          <cell r="CF24">
            <v>7928</v>
          </cell>
          <cell r="CG24">
            <v>7876</v>
          </cell>
          <cell r="CH24">
            <v>7953</v>
          </cell>
          <cell r="CI24">
            <v>7953</v>
          </cell>
          <cell r="CJ24">
            <v>7815</v>
          </cell>
          <cell r="CK24">
            <v>7834</v>
          </cell>
          <cell r="CL24">
            <v>8535</v>
          </cell>
          <cell r="CM24">
            <v>8500</v>
          </cell>
          <cell r="CN24">
            <v>8500</v>
          </cell>
          <cell r="CO24">
            <v>8524</v>
          </cell>
          <cell r="CP24">
            <v>8435</v>
          </cell>
          <cell r="CQ24">
            <v>8293</v>
          </cell>
          <cell r="CR24">
            <v>8462</v>
          </cell>
          <cell r="CS24">
            <v>8462</v>
          </cell>
          <cell r="CT24">
            <v>8545</v>
          </cell>
          <cell r="CU24">
            <v>8485</v>
          </cell>
          <cell r="CV24">
            <v>8470</v>
          </cell>
          <cell r="CW24">
            <v>9248.4882689813112</v>
          </cell>
          <cell r="CX24">
            <v>9248.4882689813112</v>
          </cell>
          <cell r="CY24">
            <v>9430.8771698497294</v>
          </cell>
          <cell r="CZ24">
            <v>9455.4393996314793</v>
          </cell>
          <cell r="DA24">
            <v>9515.1757376194273</v>
          </cell>
          <cell r="DB24">
            <v>9624.9232808076395</v>
          </cell>
          <cell r="DC24">
            <v>9624.9232808076395</v>
          </cell>
          <cell r="DD24">
            <v>9768.8602987978629</v>
          </cell>
          <cell r="DE24">
            <v>9870.7967634651959</v>
          </cell>
          <cell r="DF24">
            <v>9947.2643389071527</v>
          </cell>
          <cell r="DG24">
            <v>10076.108196894696</v>
          </cell>
          <cell r="DH24">
            <v>10076.108196894696</v>
          </cell>
          <cell r="DI24">
            <v>10246.914298953214</v>
          </cell>
          <cell r="DJ24">
            <v>10348.240376183079</v>
          </cell>
          <cell r="DK24">
            <v>10431.615659538584</v>
          </cell>
          <cell r="DL24">
            <v>10575.456468340848</v>
          </cell>
          <cell r="DM24">
            <v>10575.456468340848</v>
          </cell>
          <cell r="DN24">
            <v>10758.587464391469</v>
          </cell>
          <cell r="DO24">
            <v>10881.366149066833</v>
          </cell>
          <cell r="DP24">
            <v>10977.150351720176</v>
          </cell>
          <cell r="DQ24">
            <v>11132.865319615048</v>
          </cell>
          <cell r="DR24">
            <v>11132.865319615048</v>
          </cell>
        </row>
        <row r="26">
          <cell r="B26" t="str">
            <v>Current portion of L/T debt</v>
          </cell>
          <cell r="D26">
            <v>606.03899999999999</v>
          </cell>
          <cell r="E26">
            <v>608</v>
          </cell>
          <cell r="F26">
            <v>126.7</v>
          </cell>
          <cell r="G26">
            <v>287</v>
          </cell>
          <cell r="H26">
            <v>287</v>
          </cell>
          <cell r="I26">
            <v>278.70000000000005</v>
          </cell>
          <cell r="J26">
            <v>275.5</v>
          </cell>
          <cell r="K26">
            <v>92.1</v>
          </cell>
          <cell r="L26">
            <v>60</v>
          </cell>
          <cell r="M26">
            <v>60</v>
          </cell>
          <cell r="N26">
            <v>58.5</v>
          </cell>
          <cell r="O26">
            <v>44.4</v>
          </cell>
          <cell r="P26">
            <v>50.6</v>
          </cell>
          <cell r="Q26">
            <v>28</v>
          </cell>
          <cell r="R26">
            <v>28</v>
          </cell>
          <cell r="S26">
            <v>22</v>
          </cell>
          <cell r="T26">
            <v>16</v>
          </cell>
          <cell r="U26">
            <v>13</v>
          </cell>
          <cell r="V26">
            <v>10</v>
          </cell>
          <cell r="W26">
            <v>10</v>
          </cell>
          <cell r="X26">
            <v>11</v>
          </cell>
          <cell r="Y26">
            <v>10</v>
          </cell>
          <cell r="Z26">
            <v>35</v>
          </cell>
          <cell r="AA26">
            <v>45</v>
          </cell>
          <cell r="AB26">
            <v>45</v>
          </cell>
          <cell r="AC26">
            <v>44</v>
          </cell>
          <cell r="AD26">
            <v>36</v>
          </cell>
          <cell r="AE26">
            <v>11</v>
          </cell>
          <cell r="AF26">
            <v>9</v>
          </cell>
          <cell r="AG26">
            <v>9</v>
          </cell>
          <cell r="AH26">
            <v>10</v>
          </cell>
          <cell r="AI26">
            <v>9</v>
          </cell>
          <cell r="AJ26">
            <v>14</v>
          </cell>
          <cell r="AK26">
            <v>25</v>
          </cell>
          <cell r="AL26">
            <v>25</v>
          </cell>
          <cell r="AM26">
            <v>30</v>
          </cell>
          <cell r="AN26">
            <v>35</v>
          </cell>
          <cell r="AO26">
            <v>9</v>
          </cell>
          <cell r="AP26">
            <v>99</v>
          </cell>
          <cell r="AQ26">
            <v>99</v>
          </cell>
          <cell r="AR26">
            <v>44</v>
          </cell>
          <cell r="AS26">
            <v>31</v>
          </cell>
          <cell r="AT26">
            <v>41</v>
          </cell>
          <cell r="AY26">
            <v>47</v>
          </cell>
          <cell r="AZ26">
            <v>47</v>
          </cell>
          <cell r="BA26">
            <v>41</v>
          </cell>
          <cell r="BB26">
            <v>23</v>
          </cell>
          <cell r="BC26">
            <v>23</v>
          </cell>
          <cell r="BD26">
            <v>18</v>
          </cell>
          <cell r="BE26">
            <v>18</v>
          </cell>
          <cell r="BF26">
            <v>39</v>
          </cell>
          <cell r="BG26">
            <v>26</v>
          </cell>
          <cell r="BH26">
            <v>26</v>
          </cell>
          <cell r="BI26">
            <v>41</v>
          </cell>
          <cell r="BJ26">
            <v>41</v>
          </cell>
          <cell r="BK26">
            <v>19</v>
          </cell>
          <cell r="BL26">
            <v>20</v>
          </cell>
          <cell r="BM26">
            <v>20</v>
          </cell>
          <cell r="BN26">
            <v>19</v>
          </cell>
          <cell r="BO26">
            <v>19</v>
          </cell>
          <cell r="BP26">
            <v>19</v>
          </cell>
          <cell r="BQ26">
            <v>19</v>
          </cell>
          <cell r="BR26">
            <v>38</v>
          </cell>
          <cell r="BS26">
            <v>22</v>
          </cell>
          <cell r="BT26">
            <v>22</v>
          </cell>
          <cell r="BU26">
            <v>22</v>
          </cell>
          <cell r="BV26">
            <v>22</v>
          </cell>
          <cell r="BW26">
            <v>1</v>
          </cell>
          <cell r="BX26">
            <v>1</v>
          </cell>
          <cell r="BY26">
            <v>1</v>
          </cell>
          <cell r="BZ26">
            <v>2</v>
          </cell>
          <cell r="CA26">
            <v>2</v>
          </cell>
          <cell r="CB26">
            <v>2</v>
          </cell>
          <cell r="CC26">
            <v>2</v>
          </cell>
          <cell r="CD26">
            <v>2</v>
          </cell>
          <cell r="CE26">
            <v>2</v>
          </cell>
          <cell r="CF26">
            <v>2</v>
          </cell>
          <cell r="CG26">
            <v>2</v>
          </cell>
          <cell r="CH26">
            <v>2</v>
          </cell>
          <cell r="CI26">
            <v>2</v>
          </cell>
          <cell r="CJ26">
            <v>2</v>
          </cell>
          <cell r="CK26">
            <v>2</v>
          </cell>
          <cell r="CL26">
            <v>2</v>
          </cell>
          <cell r="CM26">
            <v>67</v>
          </cell>
          <cell r="CN26">
            <v>67</v>
          </cell>
          <cell r="CO26">
            <v>68</v>
          </cell>
          <cell r="CP26">
            <v>128</v>
          </cell>
          <cell r="CQ26">
            <v>129</v>
          </cell>
          <cell r="CR26">
            <v>66</v>
          </cell>
          <cell r="CS26">
            <v>66</v>
          </cell>
          <cell r="CT26">
            <v>288</v>
          </cell>
          <cell r="CU26">
            <v>237</v>
          </cell>
          <cell r="CV26">
            <v>243</v>
          </cell>
          <cell r="CW26">
            <v>51.709000000000003</v>
          </cell>
          <cell r="CX26">
            <v>51.709000000000003</v>
          </cell>
          <cell r="CY26">
            <v>51.709000000000003</v>
          </cell>
          <cell r="CZ26">
            <v>51.709000000000003</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W26" t="str">
            <v>mstag:shortTermBorrowings</v>
          </cell>
          <cell r="DX26">
            <v>6</v>
          </cell>
          <cell r="DY26" t="str">
            <v>ISO4217:USD</v>
          </cell>
          <cell r="DZ26" t="b">
            <v>0</v>
          </cell>
        </row>
        <row r="27">
          <cell r="B27" t="str">
            <v>Accounts payable</v>
          </cell>
          <cell r="D27">
            <v>144.31800000000001</v>
          </cell>
          <cell r="E27">
            <v>139</v>
          </cell>
          <cell r="F27">
            <v>129.5</v>
          </cell>
          <cell r="G27">
            <v>359</v>
          </cell>
          <cell r="H27">
            <v>359</v>
          </cell>
          <cell r="I27">
            <v>258.2</v>
          </cell>
          <cell r="J27">
            <v>268.10000000000002</v>
          </cell>
          <cell r="K27">
            <v>287.10000000000002</v>
          </cell>
          <cell r="L27">
            <v>380</v>
          </cell>
          <cell r="M27">
            <v>380</v>
          </cell>
          <cell r="N27">
            <v>320.5</v>
          </cell>
          <cell r="O27">
            <v>266.7</v>
          </cell>
          <cell r="P27">
            <v>416.8</v>
          </cell>
          <cell r="Q27">
            <v>540</v>
          </cell>
          <cell r="R27">
            <v>540</v>
          </cell>
          <cell r="S27">
            <v>514</v>
          </cell>
          <cell r="T27">
            <v>476</v>
          </cell>
          <cell r="U27">
            <v>536</v>
          </cell>
          <cell r="V27">
            <v>657</v>
          </cell>
          <cell r="W27">
            <v>657</v>
          </cell>
          <cell r="X27">
            <v>525</v>
          </cell>
          <cell r="Y27">
            <v>554</v>
          </cell>
          <cell r="Z27">
            <v>642</v>
          </cell>
          <cell r="AA27">
            <v>713</v>
          </cell>
          <cell r="AB27">
            <v>713</v>
          </cell>
          <cell r="AC27">
            <v>600</v>
          </cell>
          <cell r="AD27">
            <v>605</v>
          </cell>
          <cell r="AE27">
            <v>608</v>
          </cell>
          <cell r="AF27">
            <v>671</v>
          </cell>
          <cell r="AG27">
            <v>671</v>
          </cell>
          <cell r="AH27">
            <v>601</v>
          </cell>
          <cell r="AI27">
            <v>696</v>
          </cell>
          <cell r="AJ27">
            <v>684</v>
          </cell>
          <cell r="AK27">
            <v>775</v>
          </cell>
          <cell r="AL27">
            <v>775</v>
          </cell>
          <cell r="AM27">
            <v>801</v>
          </cell>
          <cell r="AN27">
            <v>803</v>
          </cell>
          <cell r="AO27">
            <v>818</v>
          </cell>
          <cell r="AP27">
            <v>968</v>
          </cell>
          <cell r="AQ27">
            <v>968</v>
          </cell>
          <cell r="AR27">
            <v>955</v>
          </cell>
          <cell r="AS27">
            <v>858</v>
          </cell>
          <cell r="AT27">
            <v>966</v>
          </cell>
          <cell r="AY27">
            <v>898</v>
          </cell>
          <cell r="AZ27">
            <v>898</v>
          </cell>
          <cell r="BA27">
            <v>928</v>
          </cell>
          <cell r="BB27">
            <v>911</v>
          </cell>
          <cell r="BC27">
            <v>870</v>
          </cell>
          <cell r="BD27">
            <v>987</v>
          </cell>
          <cell r="BE27">
            <v>987</v>
          </cell>
          <cell r="BF27">
            <v>889</v>
          </cell>
          <cell r="BG27">
            <v>853</v>
          </cell>
          <cell r="BH27">
            <v>839</v>
          </cell>
          <cell r="BI27">
            <v>937</v>
          </cell>
          <cell r="BJ27">
            <v>937</v>
          </cell>
          <cell r="BK27">
            <v>774</v>
          </cell>
          <cell r="BL27">
            <v>744</v>
          </cell>
          <cell r="BM27">
            <v>806</v>
          </cell>
          <cell r="BN27">
            <v>857</v>
          </cell>
          <cell r="BO27">
            <v>857</v>
          </cell>
          <cell r="BP27">
            <v>776</v>
          </cell>
          <cell r="BQ27">
            <v>761</v>
          </cell>
          <cell r="BR27">
            <v>749</v>
          </cell>
          <cell r="BS27">
            <v>775</v>
          </cell>
          <cell r="BT27">
            <v>775</v>
          </cell>
          <cell r="BU27">
            <v>664</v>
          </cell>
          <cell r="BV27">
            <v>642</v>
          </cell>
          <cell r="BW27">
            <v>637</v>
          </cell>
          <cell r="BX27">
            <v>780</v>
          </cell>
          <cell r="BY27">
            <v>780</v>
          </cell>
          <cell r="BZ27">
            <v>633</v>
          </cell>
          <cell r="CA27">
            <v>643</v>
          </cell>
          <cell r="CB27">
            <v>632</v>
          </cell>
          <cell r="CC27">
            <v>686</v>
          </cell>
          <cell r="CD27">
            <v>686</v>
          </cell>
          <cell r="CE27">
            <v>650</v>
          </cell>
          <cell r="CF27">
            <v>618</v>
          </cell>
          <cell r="CG27">
            <v>638</v>
          </cell>
          <cell r="CH27">
            <v>739</v>
          </cell>
          <cell r="CI27">
            <v>739</v>
          </cell>
          <cell r="CJ27">
            <v>615</v>
          </cell>
          <cell r="CK27">
            <v>615</v>
          </cell>
          <cell r="CL27">
            <v>601</v>
          </cell>
          <cell r="CM27">
            <v>720</v>
          </cell>
          <cell r="CN27">
            <v>720</v>
          </cell>
          <cell r="CO27">
            <v>638</v>
          </cell>
          <cell r="CP27">
            <v>614</v>
          </cell>
          <cell r="CQ27">
            <v>629</v>
          </cell>
          <cell r="CR27">
            <v>760</v>
          </cell>
          <cell r="CS27">
            <v>760</v>
          </cell>
          <cell r="CT27">
            <v>640</v>
          </cell>
          <cell r="CU27">
            <v>644</v>
          </cell>
          <cell r="CV27">
            <v>629</v>
          </cell>
          <cell r="CW27">
            <v>694.98729577168342</v>
          </cell>
          <cell r="CX27">
            <v>694.98729577168342</v>
          </cell>
          <cell r="CY27">
            <v>750.72958428500829</v>
          </cell>
          <cell r="CZ27">
            <v>741.14723264944814</v>
          </cell>
          <cell r="DA27">
            <v>726.9175217991434</v>
          </cell>
          <cell r="DB27">
            <v>719.48906895052073</v>
          </cell>
          <cell r="DC27">
            <v>719.48906895052073</v>
          </cell>
          <cell r="DD27">
            <v>780.93543495951394</v>
          </cell>
          <cell r="DE27">
            <v>773.27907963555128</v>
          </cell>
          <cell r="DF27">
            <v>760.86340471306858</v>
          </cell>
          <cell r="DG27">
            <v>752.49377007253406</v>
          </cell>
          <cell r="DH27">
            <v>752.49377007253406</v>
          </cell>
          <cell r="DI27">
            <v>826.48682027756388</v>
          </cell>
          <cell r="DJ27">
            <v>811.91906764252292</v>
          </cell>
          <cell r="DK27">
            <v>797.85864323648195</v>
          </cell>
          <cell r="DL27">
            <v>789.86490324138697</v>
          </cell>
          <cell r="DM27">
            <v>789.86490324138697</v>
          </cell>
          <cell r="DN27">
            <v>859.70307827596025</v>
          </cell>
          <cell r="DO27">
            <v>853.35943296045764</v>
          </cell>
          <cell r="DP27">
            <v>838.90619383307956</v>
          </cell>
          <cell r="DQ27">
            <v>829.22001907522599</v>
          </cell>
          <cell r="DR27">
            <v>829.22001907522599</v>
          </cell>
          <cell r="DW27" t="str">
            <v>mstag:tradeAndOtherPayablesCurrent</v>
          </cell>
          <cell r="DX27">
            <v>6</v>
          </cell>
          <cell r="DY27" t="str">
            <v>ISO4217:USD</v>
          </cell>
          <cell r="DZ27" t="b">
            <v>0</v>
          </cell>
        </row>
        <row r="28">
          <cell r="B28" t="str">
            <v>Accrued compensation &amp; benefits</v>
          </cell>
          <cell r="D28">
            <v>72.344999999999999</v>
          </cell>
          <cell r="E28">
            <v>82.5</v>
          </cell>
          <cell r="F28">
            <v>78</v>
          </cell>
          <cell r="G28">
            <v>162</v>
          </cell>
          <cell r="H28">
            <v>162</v>
          </cell>
          <cell r="I28">
            <v>161.19999999999999</v>
          </cell>
          <cell r="J28">
            <v>160.80000000000001</v>
          </cell>
          <cell r="K28">
            <v>155.30000000000001</v>
          </cell>
          <cell r="L28">
            <v>120</v>
          </cell>
          <cell r="M28">
            <v>120</v>
          </cell>
          <cell r="N28">
            <v>137.80000000000001</v>
          </cell>
          <cell r="O28">
            <v>136.19999999999999</v>
          </cell>
          <cell r="P28">
            <v>229.3</v>
          </cell>
          <cell r="Q28">
            <v>309</v>
          </cell>
          <cell r="R28">
            <v>309</v>
          </cell>
          <cell r="S28">
            <v>319</v>
          </cell>
          <cell r="T28">
            <v>329</v>
          </cell>
          <cell r="U28">
            <v>358</v>
          </cell>
          <cell r="V28">
            <v>355</v>
          </cell>
          <cell r="W28">
            <v>355</v>
          </cell>
          <cell r="X28">
            <v>313</v>
          </cell>
          <cell r="Y28">
            <v>344</v>
          </cell>
          <cell r="Z28">
            <v>377</v>
          </cell>
          <cell r="AA28">
            <v>390</v>
          </cell>
          <cell r="AB28">
            <v>390</v>
          </cell>
          <cell r="AC28">
            <v>341</v>
          </cell>
          <cell r="AD28">
            <v>327</v>
          </cell>
          <cell r="AE28">
            <v>383</v>
          </cell>
          <cell r="AF28">
            <v>383</v>
          </cell>
          <cell r="AG28">
            <v>383</v>
          </cell>
          <cell r="AH28">
            <v>350</v>
          </cell>
          <cell r="AI28">
            <v>363</v>
          </cell>
          <cell r="AJ28">
            <v>445</v>
          </cell>
          <cell r="AK28">
            <v>476</v>
          </cell>
          <cell r="AL28">
            <v>476</v>
          </cell>
          <cell r="AM28">
            <v>409</v>
          </cell>
          <cell r="AN28">
            <v>461</v>
          </cell>
          <cell r="AO28">
            <v>591</v>
          </cell>
          <cell r="AP28">
            <v>591</v>
          </cell>
          <cell r="AQ28">
            <v>591</v>
          </cell>
          <cell r="AR28">
            <v>542</v>
          </cell>
          <cell r="AS28">
            <v>573</v>
          </cell>
          <cell r="AT28">
            <v>561</v>
          </cell>
          <cell r="AY28">
            <v>555</v>
          </cell>
          <cell r="AZ28">
            <v>555</v>
          </cell>
          <cell r="BA28">
            <v>588</v>
          </cell>
          <cell r="BB28">
            <v>565</v>
          </cell>
          <cell r="BC28">
            <v>480</v>
          </cell>
          <cell r="BD28">
            <v>464</v>
          </cell>
          <cell r="BE28">
            <v>464</v>
          </cell>
          <cell r="BF28">
            <v>488</v>
          </cell>
          <cell r="BG28">
            <v>480</v>
          </cell>
          <cell r="BH28">
            <v>448</v>
          </cell>
          <cell r="BI28">
            <v>390</v>
          </cell>
          <cell r="BJ28">
            <v>390</v>
          </cell>
          <cell r="BK28">
            <v>347</v>
          </cell>
          <cell r="BL28">
            <v>412</v>
          </cell>
          <cell r="BM28">
            <v>391</v>
          </cell>
          <cell r="BN28">
            <v>441</v>
          </cell>
          <cell r="BO28">
            <v>441</v>
          </cell>
          <cell r="BP28">
            <v>329</v>
          </cell>
          <cell r="BQ28">
            <v>335</v>
          </cell>
          <cell r="BR28">
            <v>356</v>
          </cell>
          <cell r="BS28">
            <v>390</v>
          </cell>
          <cell r="BT28">
            <v>390</v>
          </cell>
          <cell r="BU28">
            <v>324</v>
          </cell>
          <cell r="BV28">
            <v>333</v>
          </cell>
          <cell r="BW28">
            <v>362</v>
          </cell>
          <cell r="BX28">
            <v>393</v>
          </cell>
          <cell r="BY28">
            <v>393</v>
          </cell>
          <cell r="BZ28">
            <v>328</v>
          </cell>
          <cell r="CA28">
            <v>338</v>
          </cell>
          <cell r="CB28">
            <v>391</v>
          </cell>
          <cell r="CC28">
            <v>414</v>
          </cell>
          <cell r="CD28">
            <v>414</v>
          </cell>
          <cell r="CE28">
            <v>328</v>
          </cell>
          <cell r="CF28">
            <v>330</v>
          </cell>
          <cell r="CG28">
            <v>380</v>
          </cell>
          <cell r="CH28">
            <v>370</v>
          </cell>
          <cell r="CI28">
            <v>370</v>
          </cell>
          <cell r="CJ28">
            <v>347</v>
          </cell>
          <cell r="CK28">
            <v>343</v>
          </cell>
          <cell r="CL28">
            <v>385</v>
          </cell>
          <cell r="CM28">
            <v>363</v>
          </cell>
          <cell r="CN28">
            <v>363</v>
          </cell>
          <cell r="CO28">
            <v>368</v>
          </cell>
          <cell r="CP28">
            <v>357</v>
          </cell>
          <cell r="CQ28">
            <v>349</v>
          </cell>
          <cell r="CR28">
            <v>376</v>
          </cell>
          <cell r="CS28">
            <v>376</v>
          </cell>
          <cell r="CT28">
            <v>338</v>
          </cell>
          <cell r="CU28">
            <v>363</v>
          </cell>
          <cell r="CV28">
            <v>379</v>
          </cell>
          <cell r="CW28">
            <v>379</v>
          </cell>
          <cell r="CX28">
            <v>379</v>
          </cell>
          <cell r="CY28">
            <v>379</v>
          </cell>
          <cell r="CZ28">
            <v>379</v>
          </cell>
          <cell r="DA28">
            <v>379</v>
          </cell>
          <cell r="DB28">
            <v>379</v>
          </cell>
          <cell r="DC28">
            <v>379</v>
          </cell>
          <cell r="DD28">
            <v>379</v>
          </cell>
          <cell r="DE28">
            <v>379</v>
          </cell>
          <cell r="DF28">
            <v>379</v>
          </cell>
          <cell r="DG28">
            <v>379</v>
          </cell>
          <cell r="DH28">
            <v>379</v>
          </cell>
          <cell r="DI28">
            <v>379</v>
          </cell>
          <cell r="DJ28">
            <v>379</v>
          </cell>
          <cell r="DK28">
            <v>379</v>
          </cell>
          <cell r="DL28">
            <v>379</v>
          </cell>
          <cell r="DM28">
            <v>379</v>
          </cell>
          <cell r="DN28">
            <v>379</v>
          </cell>
          <cell r="DO28">
            <v>379</v>
          </cell>
          <cell r="DP28">
            <v>379</v>
          </cell>
          <cell r="DQ28">
            <v>379</v>
          </cell>
          <cell r="DR28">
            <v>379</v>
          </cell>
          <cell r="DW28" t="str">
            <v>mstag:payrollAndBenefitsRelatedLiabilities</v>
          </cell>
          <cell r="DX28">
            <v>6</v>
          </cell>
          <cell r="DY28" t="str">
            <v>ISO4217:USD</v>
          </cell>
          <cell r="DZ28" t="b">
            <v>0</v>
          </cell>
        </row>
        <row r="29">
          <cell r="B29" t="str">
            <v>Professional &amp; general liability reserves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Y29">
            <v>0</v>
          </cell>
          <cell r="AZ29">
            <v>0</v>
          </cell>
          <cell r="BA29">
            <v>0</v>
          </cell>
          <cell r="BB29">
            <v>0</v>
          </cell>
          <cell r="BC29">
            <v>0</v>
          </cell>
          <cell r="BD29">
            <v>115</v>
          </cell>
          <cell r="BE29">
            <v>115</v>
          </cell>
          <cell r="BF29">
            <v>126</v>
          </cell>
          <cell r="BG29">
            <v>116</v>
          </cell>
          <cell r="BH29">
            <v>108</v>
          </cell>
          <cell r="BI29">
            <v>137</v>
          </cell>
          <cell r="BJ29">
            <v>137</v>
          </cell>
          <cell r="BK29">
            <v>111</v>
          </cell>
          <cell r="BL29">
            <v>132</v>
          </cell>
          <cell r="BM29">
            <v>132</v>
          </cell>
          <cell r="BN29">
            <v>145</v>
          </cell>
          <cell r="BO29">
            <v>145</v>
          </cell>
          <cell r="BP29">
            <v>150</v>
          </cell>
          <cell r="BQ29">
            <v>136</v>
          </cell>
          <cell r="BR29">
            <v>145</v>
          </cell>
          <cell r="BS29">
            <v>145</v>
          </cell>
          <cell r="BT29">
            <v>145</v>
          </cell>
          <cell r="BU29">
            <v>145</v>
          </cell>
          <cell r="BV29">
            <v>140</v>
          </cell>
          <cell r="BW29">
            <v>148</v>
          </cell>
          <cell r="BX29">
            <v>161</v>
          </cell>
          <cell r="BY29">
            <v>161</v>
          </cell>
          <cell r="BZ29">
            <v>161</v>
          </cell>
          <cell r="CA29">
            <v>150</v>
          </cell>
          <cell r="CB29">
            <v>150</v>
          </cell>
          <cell r="CC29">
            <v>127</v>
          </cell>
          <cell r="CD29">
            <v>127</v>
          </cell>
          <cell r="CE29">
            <v>116</v>
          </cell>
          <cell r="CF29">
            <v>113</v>
          </cell>
          <cell r="CG29">
            <v>114</v>
          </cell>
          <cell r="CH29">
            <v>106</v>
          </cell>
          <cell r="CI29">
            <v>106</v>
          </cell>
          <cell r="CJ29">
            <v>106</v>
          </cell>
          <cell r="CK29">
            <v>104</v>
          </cell>
          <cell r="CL29">
            <v>91</v>
          </cell>
          <cell r="CM29">
            <v>84</v>
          </cell>
          <cell r="CN29">
            <v>84</v>
          </cell>
          <cell r="CO29">
            <v>104</v>
          </cell>
          <cell r="CP29">
            <v>96</v>
          </cell>
          <cell r="CQ29">
            <v>79</v>
          </cell>
          <cell r="CR29">
            <v>75</v>
          </cell>
          <cell r="CS29">
            <v>75</v>
          </cell>
          <cell r="CT29">
            <v>63</v>
          </cell>
          <cell r="CU29">
            <v>73</v>
          </cell>
          <cell r="CV29">
            <v>72</v>
          </cell>
          <cell r="CW29">
            <v>72</v>
          </cell>
          <cell r="CX29">
            <v>72</v>
          </cell>
          <cell r="CY29">
            <v>75</v>
          </cell>
          <cell r="CZ29">
            <v>75</v>
          </cell>
          <cell r="DA29">
            <v>75</v>
          </cell>
          <cell r="DB29">
            <v>75</v>
          </cell>
          <cell r="DC29">
            <v>75</v>
          </cell>
          <cell r="DD29">
            <v>75</v>
          </cell>
          <cell r="DE29">
            <v>75</v>
          </cell>
          <cell r="DF29">
            <v>75</v>
          </cell>
          <cell r="DG29">
            <v>75</v>
          </cell>
          <cell r="DH29">
            <v>75</v>
          </cell>
          <cell r="DI29">
            <v>75</v>
          </cell>
          <cell r="DJ29">
            <v>75</v>
          </cell>
          <cell r="DK29">
            <v>75</v>
          </cell>
          <cell r="DL29">
            <v>75</v>
          </cell>
          <cell r="DM29">
            <v>75</v>
          </cell>
          <cell r="DN29">
            <v>75</v>
          </cell>
          <cell r="DO29">
            <v>75</v>
          </cell>
          <cell r="DP29">
            <v>75</v>
          </cell>
          <cell r="DQ29">
            <v>75</v>
          </cell>
          <cell r="DR29">
            <v>75</v>
          </cell>
          <cell r="DW29" t="str">
            <v>mstag:provisionsAndReserves</v>
          </cell>
          <cell r="DX29">
            <v>6</v>
          </cell>
          <cell r="DY29" t="str">
            <v>ISO4217:USD</v>
          </cell>
          <cell r="DZ29" t="b">
            <v>0</v>
          </cell>
        </row>
        <row r="30">
          <cell r="B30" t="str">
            <v>Accrued interest payable</v>
          </cell>
          <cell r="D30">
            <v>0</v>
          </cell>
          <cell r="E30">
            <v>0</v>
          </cell>
          <cell r="F30">
            <v>0</v>
          </cell>
          <cell r="G30">
            <v>0</v>
          </cell>
          <cell r="H30">
            <v>0</v>
          </cell>
          <cell r="I30">
            <v>0</v>
          </cell>
          <cell r="J30">
            <v>0</v>
          </cell>
          <cell r="K30">
            <v>0</v>
          </cell>
          <cell r="L30">
            <v>68</v>
          </cell>
          <cell r="M30">
            <v>68</v>
          </cell>
          <cell r="N30">
            <v>83.4</v>
          </cell>
          <cell r="O30">
            <v>71</v>
          </cell>
          <cell r="P30">
            <v>99.7</v>
          </cell>
          <cell r="Q30">
            <v>144</v>
          </cell>
          <cell r="R30">
            <v>144</v>
          </cell>
          <cell r="S30">
            <v>126</v>
          </cell>
          <cell r="T30">
            <v>157</v>
          </cell>
          <cell r="U30">
            <v>109</v>
          </cell>
          <cell r="V30">
            <v>106</v>
          </cell>
          <cell r="W30">
            <v>106</v>
          </cell>
          <cell r="X30">
            <v>80</v>
          </cell>
          <cell r="Y30">
            <v>163</v>
          </cell>
          <cell r="Z30">
            <v>80</v>
          </cell>
          <cell r="AA30">
            <v>163</v>
          </cell>
          <cell r="AB30">
            <v>163</v>
          </cell>
          <cell r="AC30">
            <v>73</v>
          </cell>
          <cell r="AD30">
            <v>154</v>
          </cell>
          <cell r="AE30">
            <v>74</v>
          </cell>
          <cell r="AF30">
            <v>155</v>
          </cell>
          <cell r="AG30">
            <v>155</v>
          </cell>
          <cell r="AH30">
            <v>74</v>
          </cell>
          <cell r="AI30">
            <v>154</v>
          </cell>
          <cell r="AJ30">
            <v>79</v>
          </cell>
          <cell r="AK30">
            <v>132</v>
          </cell>
          <cell r="AL30">
            <v>132</v>
          </cell>
          <cell r="AM30">
            <v>43</v>
          </cell>
          <cell r="AN30">
            <v>52</v>
          </cell>
          <cell r="AO30">
            <v>60</v>
          </cell>
          <cell r="AP30">
            <v>59</v>
          </cell>
          <cell r="AQ30">
            <v>59</v>
          </cell>
          <cell r="AR30">
            <v>0</v>
          </cell>
          <cell r="AS30">
            <v>0</v>
          </cell>
          <cell r="AT30">
            <v>0</v>
          </cell>
          <cell r="AY30">
            <v>24</v>
          </cell>
          <cell r="AZ30">
            <v>24</v>
          </cell>
          <cell r="BA30">
            <v>0</v>
          </cell>
          <cell r="BB30">
            <v>0</v>
          </cell>
          <cell r="BC30">
            <v>0</v>
          </cell>
          <cell r="BD30">
            <v>53</v>
          </cell>
          <cell r="BE30">
            <v>53</v>
          </cell>
          <cell r="BF30">
            <v>70</v>
          </cell>
          <cell r="BG30">
            <v>50</v>
          </cell>
          <cell r="BH30">
            <v>89</v>
          </cell>
          <cell r="BI30">
            <v>96</v>
          </cell>
          <cell r="BJ30">
            <v>96</v>
          </cell>
          <cell r="BK30">
            <v>96</v>
          </cell>
          <cell r="BL30">
            <v>125</v>
          </cell>
          <cell r="BM30">
            <v>96</v>
          </cell>
          <cell r="BN30">
            <v>124</v>
          </cell>
          <cell r="BO30">
            <v>124</v>
          </cell>
          <cell r="BP30">
            <v>96</v>
          </cell>
          <cell r="BQ30">
            <v>125</v>
          </cell>
          <cell r="BR30">
            <v>98</v>
          </cell>
          <cell r="BS30">
            <v>130</v>
          </cell>
          <cell r="BT30">
            <v>130</v>
          </cell>
          <cell r="BU30">
            <v>105</v>
          </cell>
          <cell r="BV30">
            <v>136</v>
          </cell>
          <cell r="BW30">
            <v>110</v>
          </cell>
          <cell r="BX30">
            <v>126</v>
          </cell>
          <cell r="BY30">
            <v>126</v>
          </cell>
          <cell r="BZ30">
            <v>97</v>
          </cell>
          <cell r="CA30">
            <v>125</v>
          </cell>
          <cell r="CB30">
            <v>97</v>
          </cell>
          <cell r="CC30">
            <v>125</v>
          </cell>
          <cell r="CD30">
            <v>125</v>
          </cell>
          <cell r="CE30">
            <v>77</v>
          </cell>
          <cell r="CF30">
            <v>104</v>
          </cell>
          <cell r="CG30">
            <v>123</v>
          </cell>
          <cell r="CH30">
            <v>127</v>
          </cell>
          <cell r="CI30">
            <v>127</v>
          </cell>
          <cell r="CJ30">
            <v>114</v>
          </cell>
          <cell r="CK30">
            <v>123</v>
          </cell>
          <cell r="CL30">
            <v>110</v>
          </cell>
          <cell r="CM30">
            <v>115</v>
          </cell>
          <cell r="CN30">
            <v>115</v>
          </cell>
          <cell r="CO30">
            <v>116</v>
          </cell>
          <cell r="CP30">
            <v>117</v>
          </cell>
          <cell r="CQ30">
            <v>111</v>
          </cell>
          <cell r="CR30">
            <v>112</v>
          </cell>
          <cell r="CS30">
            <v>112</v>
          </cell>
          <cell r="CT30">
            <v>103</v>
          </cell>
          <cell r="CU30">
            <v>121</v>
          </cell>
          <cell r="CV30">
            <v>110</v>
          </cell>
          <cell r="CW30">
            <v>110</v>
          </cell>
          <cell r="CX30">
            <v>110</v>
          </cell>
          <cell r="CY30">
            <v>110</v>
          </cell>
          <cell r="CZ30">
            <v>110</v>
          </cell>
          <cell r="DA30">
            <v>110</v>
          </cell>
          <cell r="DB30">
            <v>110</v>
          </cell>
          <cell r="DC30">
            <v>110</v>
          </cell>
          <cell r="DD30">
            <v>110</v>
          </cell>
          <cell r="DE30">
            <v>110</v>
          </cell>
          <cell r="DF30">
            <v>110</v>
          </cell>
          <cell r="DG30">
            <v>110</v>
          </cell>
          <cell r="DH30">
            <v>110</v>
          </cell>
          <cell r="DI30">
            <v>110</v>
          </cell>
          <cell r="DJ30">
            <v>110</v>
          </cell>
          <cell r="DK30">
            <v>110</v>
          </cell>
          <cell r="DL30">
            <v>110</v>
          </cell>
          <cell r="DM30">
            <v>110</v>
          </cell>
          <cell r="DN30">
            <v>110</v>
          </cell>
          <cell r="DO30">
            <v>110</v>
          </cell>
          <cell r="DP30">
            <v>110</v>
          </cell>
          <cell r="DQ30">
            <v>110</v>
          </cell>
          <cell r="DR30">
            <v>110</v>
          </cell>
          <cell r="DW30" t="str">
            <v>mstag:otherAccruedExpenses</v>
          </cell>
          <cell r="DX30">
            <v>6</v>
          </cell>
          <cell r="DY30" t="str">
            <v>ISO4217:USD</v>
          </cell>
          <cell r="DZ30" t="b">
            <v>0</v>
          </cell>
        </row>
        <row r="31">
          <cell r="B31" t="str">
            <v>Accrued legal settlement costs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Y31">
            <v>0</v>
          </cell>
          <cell r="AZ31">
            <v>0</v>
          </cell>
          <cell r="BA31">
            <v>0</v>
          </cell>
          <cell r="BB31">
            <v>0</v>
          </cell>
          <cell r="BC31">
            <v>253</v>
          </cell>
          <cell r="BD31">
            <v>203</v>
          </cell>
          <cell r="BE31">
            <v>203</v>
          </cell>
          <cell r="BF31">
            <v>52</v>
          </cell>
          <cell r="BG31">
            <v>19</v>
          </cell>
          <cell r="BH31">
            <v>11</v>
          </cell>
          <cell r="BI31">
            <v>40</v>
          </cell>
          <cell r="BJ31">
            <v>40</v>
          </cell>
          <cell r="BK31">
            <v>45</v>
          </cell>
          <cell r="BL31">
            <v>128</v>
          </cell>
          <cell r="BM31">
            <v>130</v>
          </cell>
          <cell r="BN31">
            <v>313</v>
          </cell>
          <cell r="BO31">
            <v>313</v>
          </cell>
          <cell r="BP31">
            <v>90</v>
          </cell>
          <cell r="BQ31">
            <v>58</v>
          </cell>
          <cell r="BR31">
            <v>47</v>
          </cell>
          <cell r="BS31">
            <v>71</v>
          </cell>
          <cell r="BT31">
            <v>71</v>
          </cell>
          <cell r="BU31">
            <v>88</v>
          </cell>
          <cell r="BV31">
            <v>93</v>
          </cell>
          <cell r="BW31">
            <v>113</v>
          </cell>
          <cell r="BX31">
            <v>119</v>
          </cell>
          <cell r="BY31">
            <v>119</v>
          </cell>
          <cell r="BZ31">
            <v>167</v>
          </cell>
          <cell r="CA31">
            <v>167</v>
          </cell>
          <cell r="CB31">
            <v>167</v>
          </cell>
          <cell r="CC31">
            <v>168</v>
          </cell>
          <cell r="CD31">
            <v>168</v>
          </cell>
          <cell r="CE31">
            <v>168</v>
          </cell>
          <cell r="CF31">
            <v>174</v>
          </cell>
          <cell r="CG31">
            <v>96</v>
          </cell>
          <cell r="CH31">
            <v>76</v>
          </cell>
          <cell r="CI31">
            <v>76</v>
          </cell>
          <cell r="CJ31">
            <v>55</v>
          </cell>
          <cell r="CK31">
            <v>31</v>
          </cell>
          <cell r="CL31">
            <v>8</v>
          </cell>
          <cell r="CM31">
            <v>8</v>
          </cell>
          <cell r="CN31">
            <v>8</v>
          </cell>
          <cell r="CO31">
            <v>13</v>
          </cell>
          <cell r="CP31">
            <v>10</v>
          </cell>
          <cell r="CQ31">
            <v>10</v>
          </cell>
          <cell r="CR31">
            <v>64</v>
          </cell>
          <cell r="CS31">
            <v>64</v>
          </cell>
          <cell r="CT31">
            <v>56</v>
          </cell>
          <cell r="CU31">
            <v>7</v>
          </cell>
          <cell r="CV31">
            <v>7</v>
          </cell>
          <cell r="CW31">
            <v>7</v>
          </cell>
          <cell r="CX31">
            <v>7</v>
          </cell>
          <cell r="CY31">
            <v>7</v>
          </cell>
          <cell r="CZ31">
            <v>7</v>
          </cell>
          <cell r="DA31">
            <v>7</v>
          </cell>
          <cell r="DB31">
            <v>7</v>
          </cell>
          <cell r="DC31">
            <v>7</v>
          </cell>
          <cell r="DD31">
            <v>7</v>
          </cell>
          <cell r="DE31">
            <v>7</v>
          </cell>
          <cell r="DF31">
            <v>7</v>
          </cell>
          <cell r="DG31">
            <v>7</v>
          </cell>
          <cell r="DH31">
            <v>7</v>
          </cell>
          <cell r="DI31">
            <v>7</v>
          </cell>
          <cell r="DJ31">
            <v>7</v>
          </cell>
          <cell r="DK31">
            <v>7</v>
          </cell>
          <cell r="DL31">
            <v>7</v>
          </cell>
          <cell r="DM31">
            <v>7</v>
          </cell>
          <cell r="DN31">
            <v>7</v>
          </cell>
          <cell r="DO31">
            <v>7</v>
          </cell>
          <cell r="DP31">
            <v>7</v>
          </cell>
          <cell r="DQ31">
            <v>7</v>
          </cell>
          <cell r="DR31">
            <v>7</v>
          </cell>
          <cell r="DW31" t="str">
            <v>mstag:otherAccruedExpenses</v>
          </cell>
          <cell r="DX31">
            <v>6</v>
          </cell>
          <cell r="DY31" t="str">
            <v>ISO4217:USD</v>
          </cell>
          <cell r="DZ31" t="b">
            <v>0</v>
          </cell>
        </row>
        <row r="32">
          <cell r="B32" t="str">
            <v>Income taxes payable</v>
          </cell>
          <cell r="D32">
            <v>23.882000000000001</v>
          </cell>
          <cell r="E32">
            <v>22.5</v>
          </cell>
          <cell r="F32">
            <v>26.4</v>
          </cell>
          <cell r="G32">
            <v>2</v>
          </cell>
          <cell r="H32">
            <v>2</v>
          </cell>
          <cell r="I32">
            <v>2.1</v>
          </cell>
          <cell r="J32">
            <v>0</v>
          </cell>
          <cell r="K32">
            <v>0</v>
          </cell>
          <cell r="L32">
            <v>33</v>
          </cell>
          <cell r="M32">
            <v>33</v>
          </cell>
          <cell r="N32">
            <v>49.3</v>
          </cell>
          <cell r="O32">
            <v>16</v>
          </cell>
          <cell r="P32">
            <v>25.9</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152</v>
          </cell>
          <cell r="AS32">
            <v>77</v>
          </cell>
          <cell r="AT32">
            <v>89</v>
          </cell>
          <cell r="AY32">
            <v>213</v>
          </cell>
          <cell r="AZ32">
            <v>213</v>
          </cell>
          <cell r="BA32">
            <v>39</v>
          </cell>
          <cell r="BB32">
            <v>36</v>
          </cell>
          <cell r="BC32">
            <v>1</v>
          </cell>
          <cell r="BD32">
            <v>36</v>
          </cell>
          <cell r="BE32">
            <v>36</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W32" t="str">
            <v>mstag:incomeTaxPayable</v>
          </cell>
          <cell r="DX32">
            <v>6</v>
          </cell>
          <cell r="DY32" t="str">
            <v>ISO4217:USD</v>
          </cell>
          <cell r="DZ32" t="b">
            <v>0</v>
          </cell>
        </row>
        <row r="33">
          <cell r="B33" t="str">
            <v>Other current liabilities</v>
          </cell>
          <cell r="D33">
            <v>331.67599999999999</v>
          </cell>
          <cell r="E33">
            <v>280.39999999999998</v>
          </cell>
          <cell r="F33">
            <v>264.3</v>
          </cell>
          <cell r="G33">
            <v>546</v>
          </cell>
          <cell r="H33">
            <v>546</v>
          </cell>
          <cell r="I33">
            <v>557</v>
          </cell>
          <cell r="J33">
            <v>474.29999999999995</v>
          </cell>
          <cell r="K33">
            <v>492.8</v>
          </cell>
          <cell r="L33">
            <v>473</v>
          </cell>
          <cell r="M33">
            <v>473</v>
          </cell>
          <cell r="N33">
            <v>373.2</v>
          </cell>
          <cell r="O33">
            <v>410.6</v>
          </cell>
          <cell r="P33">
            <v>733.8</v>
          </cell>
          <cell r="Q33">
            <v>848</v>
          </cell>
          <cell r="R33">
            <v>848</v>
          </cell>
          <cell r="S33">
            <v>655</v>
          </cell>
          <cell r="T33">
            <v>656</v>
          </cell>
          <cell r="U33">
            <v>624</v>
          </cell>
          <cell r="V33">
            <v>580</v>
          </cell>
          <cell r="W33">
            <v>580</v>
          </cell>
          <cell r="X33">
            <v>719</v>
          </cell>
          <cell r="Y33">
            <v>749</v>
          </cell>
          <cell r="Z33">
            <v>711</v>
          </cell>
          <cell r="AA33">
            <v>711</v>
          </cell>
          <cell r="AB33">
            <v>711</v>
          </cell>
          <cell r="AC33">
            <v>709</v>
          </cell>
          <cell r="AD33">
            <v>803</v>
          </cell>
          <cell r="AE33">
            <v>724</v>
          </cell>
          <cell r="AF33">
            <v>694</v>
          </cell>
          <cell r="AG33">
            <v>694</v>
          </cell>
          <cell r="AH33">
            <v>801</v>
          </cell>
          <cell r="AI33">
            <v>710</v>
          </cell>
          <cell r="AJ33">
            <v>678</v>
          </cell>
          <cell r="AK33">
            <v>758</v>
          </cell>
          <cell r="AL33">
            <v>758</v>
          </cell>
          <cell r="AM33">
            <v>813</v>
          </cell>
          <cell r="AN33">
            <v>875</v>
          </cell>
          <cell r="AO33">
            <v>802</v>
          </cell>
          <cell r="AP33">
            <v>867</v>
          </cell>
          <cell r="AQ33">
            <v>867</v>
          </cell>
          <cell r="AR33">
            <v>766</v>
          </cell>
          <cell r="AS33">
            <v>777</v>
          </cell>
          <cell r="AT33">
            <v>643</v>
          </cell>
          <cell r="AY33">
            <v>644</v>
          </cell>
          <cell r="AZ33">
            <v>644</v>
          </cell>
          <cell r="BA33">
            <v>715</v>
          </cell>
          <cell r="BB33">
            <v>749</v>
          </cell>
          <cell r="BC33">
            <v>746</v>
          </cell>
          <cell r="BD33">
            <v>518</v>
          </cell>
          <cell r="BE33">
            <v>518</v>
          </cell>
          <cell r="BF33">
            <v>534</v>
          </cell>
          <cell r="BG33">
            <v>529</v>
          </cell>
          <cell r="BH33">
            <v>580</v>
          </cell>
          <cell r="BI33">
            <v>489</v>
          </cell>
          <cell r="BJ33">
            <v>489</v>
          </cell>
          <cell r="BK33">
            <v>451</v>
          </cell>
          <cell r="BL33">
            <v>415</v>
          </cell>
          <cell r="BM33">
            <v>407</v>
          </cell>
          <cell r="BN33">
            <v>393</v>
          </cell>
          <cell r="BO33">
            <v>393</v>
          </cell>
          <cell r="BP33">
            <v>349</v>
          </cell>
          <cell r="BQ33">
            <v>349</v>
          </cell>
          <cell r="BR33">
            <v>474</v>
          </cell>
          <cell r="BS33">
            <v>392</v>
          </cell>
          <cell r="BT33">
            <v>392</v>
          </cell>
          <cell r="BU33">
            <v>485</v>
          </cell>
          <cell r="BV33">
            <v>477</v>
          </cell>
          <cell r="BW33">
            <v>502</v>
          </cell>
          <cell r="BX33">
            <v>468</v>
          </cell>
          <cell r="BY33">
            <v>468</v>
          </cell>
          <cell r="BZ33">
            <v>485</v>
          </cell>
          <cell r="CA33">
            <v>548</v>
          </cell>
          <cell r="CB33">
            <v>536</v>
          </cell>
          <cell r="CC33">
            <v>427</v>
          </cell>
          <cell r="CD33">
            <v>427</v>
          </cell>
          <cell r="CE33">
            <v>494</v>
          </cell>
          <cell r="CF33">
            <v>364</v>
          </cell>
          <cell r="CG33">
            <v>419</v>
          </cell>
          <cell r="CH33">
            <v>363</v>
          </cell>
          <cell r="CI33">
            <v>363</v>
          </cell>
          <cell r="CJ33">
            <v>340</v>
          </cell>
          <cell r="CK33">
            <v>340</v>
          </cell>
          <cell r="CL33">
            <v>499</v>
          </cell>
          <cell r="CM33">
            <v>368</v>
          </cell>
          <cell r="CN33">
            <v>368</v>
          </cell>
          <cell r="CO33">
            <v>350</v>
          </cell>
          <cell r="CP33">
            <v>340</v>
          </cell>
          <cell r="CQ33">
            <v>372</v>
          </cell>
          <cell r="CR33">
            <v>362</v>
          </cell>
          <cell r="CS33">
            <v>362</v>
          </cell>
          <cell r="CT33">
            <v>352</v>
          </cell>
          <cell r="CU33">
            <v>427</v>
          </cell>
          <cell r="CV33">
            <v>389</v>
          </cell>
          <cell r="CW33">
            <v>389</v>
          </cell>
          <cell r="CX33">
            <v>389</v>
          </cell>
          <cell r="CY33">
            <v>389</v>
          </cell>
          <cell r="CZ33">
            <v>389</v>
          </cell>
          <cell r="DA33">
            <v>389</v>
          </cell>
          <cell r="DB33">
            <v>389</v>
          </cell>
          <cell r="DC33">
            <v>389</v>
          </cell>
          <cell r="DD33">
            <v>389</v>
          </cell>
          <cell r="DE33">
            <v>389</v>
          </cell>
          <cell r="DF33">
            <v>389</v>
          </cell>
          <cell r="DG33">
            <v>389</v>
          </cell>
          <cell r="DH33">
            <v>389</v>
          </cell>
          <cell r="DI33">
            <v>389</v>
          </cell>
          <cell r="DJ33">
            <v>389</v>
          </cell>
          <cell r="DK33">
            <v>389</v>
          </cell>
          <cell r="DL33">
            <v>389</v>
          </cell>
          <cell r="DM33">
            <v>389</v>
          </cell>
          <cell r="DN33">
            <v>389</v>
          </cell>
          <cell r="DO33">
            <v>389</v>
          </cell>
          <cell r="DP33">
            <v>389</v>
          </cell>
          <cell r="DQ33">
            <v>389</v>
          </cell>
          <cell r="DR33">
            <v>389</v>
          </cell>
          <cell r="DW33" t="str">
            <v>mstag:otherLiabilitiesOperatingCurrent</v>
          </cell>
          <cell r="DX33">
            <v>6</v>
          </cell>
          <cell r="DY33" t="str">
            <v>ISO4217:USD</v>
          </cell>
          <cell r="DZ33" t="b">
            <v>0</v>
          </cell>
        </row>
        <row r="34">
          <cell r="B34" t="str">
            <v>Current Liabilities</v>
          </cell>
          <cell r="D34">
            <v>1178.26</v>
          </cell>
          <cell r="E34">
            <v>1132.4000000000001</v>
          </cell>
          <cell r="F34">
            <v>624.9</v>
          </cell>
          <cell r="G34">
            <v>1356</v>
          </cell>
          <cell r="H34">
            <v>1356</v>
          </cell>
          <cell r="I34">
            <v>1257.2000000000003</v>
          </cell>
          <cell r="J34">
            <v>1178.7</v>
          </cell>
          <cell r="K34">
            <v>1027.3</v>
          </cell>
          <cell r="L34">
            <v>1134</v>
          </cell>
          <cell r="M34">
            <v>1134</v>
          </cell>
          <cell r="N34">
            <v>1022.6999999999998</v>
          </cell>
          <cell r="O34">
            <v>944.9</v>
          </cell>
          <cell r="P34">
            <v>1556.1</v>
          </cell>
          <cell r="Q34">
            <v>1869</v>
          </cell>
          <cell r="R34">
            <v>1869</v>
          </cell>
          <cell r="S34">
            <v>1636</v>
          </cell>
          <cell r="T34">
            <v>1634</v>
          </cell>
          <cell r="U34">
            <v>1640</v>
          </cell>
          <cell r="V34">
            <v>1708</v>
          </cell>
          <cell r="W34">
            <v>1708</v>
          </cell>
          <cell r="X34">
            <v>1648</v>
          </cell>
          <cell r="Y34">
            <v>1820</v>
          </cell>
          <cell r="Z34">
            <v>1845</v>
          </cell>
          <cell r="AA34">
            <v>2022</v>
          </cell>
          <cell r="AB34">
            <v>2022</v>
          </cell>
          <cell r="AC34">
            <v>1767</v>
          </cell>
          <cell r="AD34">
            <v>1925</v>
          </cell>
          <cell r="AE34">
            <v>1800</v>
          </cell>
          <cell r="AF34">
            <v>1912</v>
          </cell>
          <cell r="AG34">
            <v>1912</v>
          </cell>
          <cell r="AH34">
            <v>1836</v>
          </cell>
          <cell r="AI34">
            <v>1932</v>
          </cell>
          <cell r="AJ34">
            <v>1900</v>
          </cell>
          <cell r="AK34">
            <v>2166</v>
          </cell>
          <cell r="AL34">
            <v>2166</v>
          </cell>
          <cell r="AM34">
            <v>2096</v>
          </cell>
          <cell r="AN34">
            <v>2226</v>
          </cell>
          <cell r="AO34">
            <v>2280</v>
          </cell>
          <cell r="AP34">
            <v>2584</v>
          </cell>
          <cell r="AQ34">
            <v>2584</v>
          </cell>
          <cell r="AR34">
            <v>2459</v>
          </cell>
          <cell r="AS34">
            <v>2316</v>
          </cell>
          <cell r="AT34">
            <v>2300</v>
          </cell>
          <cell r="AV34">
            <v>0</v>
          </cell>
          <cell r="AW34">
            <v>0</v>
          </cell>
          <cell r="AX34">
            <v>0</v>
          </cell>
          <cell r="AY34">
            <v>2381</v>
          </cell>
          <cell r="AZ34">
            <v>2381</v>
          </cell>
          <cell r="BA34">
            <v>2311</v>
          </cell>
          <cell r="BB34">
            <v>2284</v>
          </cell>
          <cell r="BC34">
            <v>2373</v>
          </cell>
          <cell r="BD34">
            <v>2394</v>
          </cell>
          <cell r="BE34">
            <v>2394</v>
          </cell>
          <cell r="BF34">
            <v>2198</v>
          </cell>
          <cell r="BG34">
            <v>2073</v>
          </cell>
          <cell r="BH34">
            <v>2101</v>
          </cell>
          <cell r="BI34">
            <v>2130</v>
          </cell>
          <cell r="BJ34">
            <v>2130</v>
          </cell>
          <cell r="BK34">
            <v>1843</v>
          </cell>
          <cell r="BL34">
            <v>1976</v>
          </cell>
          <cell r="BM34">
            <v>1982</v>
          </cell>
          <cell r="BN34">
            <v>2292</v>
          </cell>
          <cell r="BO34">
            <v>2292</v>
          </cell>
          <cell r="BP34">
            <v>1809</v>
          </cell>
          <cell r="BQ34">
            <v>1783</v>
          </cell>
          <cell r="BR34">
            <v>1907</v>
          </cell>
          <cell r="BS34">
            <v>1925</v>
          </cell>
          <cell r="BT34">
            <v>1925</v>
          </cell>
          <cell r="BU34">
            <v>1833</v>
          </cell>
          <cell r="BV34">
            <v>1843</v>
          </cell>
          <cell r="BW34">
            <v>1873</v>
          </cell>
          <cell r="BX34">
            <v>2048</v>
          </cell>
          <cell r="BY34">
            <v>2048</v>
          </cell>
          <cell r="BZ34">
            <v>1873</v>
          </cell>
          <cell r="CA34">
            <v>1973</v>
          </cell>
          <cell r="CB34">
            <v>1975</v>
          </cell>
          <cell r="CC34">
            <v>1949</v>
          </cell>
          <cell r="CD34">
            <v>1949</v>
          </cell>
          <cell r="CE34">
            <v>1835</v>
          </cell>
          <cell r="CF34">
            <v>1705</v>
          </cell>
          <cell r="CG34">
            <v>1772</v>
          </cell>
          <cell r="CH34">
            <v>1783</v>
          </cell>
          <cell r="CI34">
            <v>1783</v>
          </cell>
          <cell r="CJ34">
            <v>1579</v>
          </cell>
          <cell r="CK34">
            <v>1558</v>
          </cell>
          <cell r="CL34">
            <v>1696</v>
          </cell>
          <cell r="CM34">
            <v>1725</v>
          </cell>
          <cell r="CN34">
            <v>1725</v>
          </cell>
          <cell r="CO34">
            <v>1657</v>
          </cell>
          <cell r="CP34">
            <v>1662</v>
          </cell>
          <cell r="CQ34">
            <v>1679</v>
          </cell>
          <cell r="CR34">
            <v>1815</v>
          </cell>
          <cell r="CS34">
            <v>1815</v>
          </cell>
          <cell r="CT34">
            <v>1840</v>
          </cell>
          <cell r="CU34">
            <v>1872</v>
          </cell>
          <cell r="CV34">
            <v>1829</v>
          </cell>
          <cell r="CW34">
            <v>1703.6962957716835</v>
          </cell>
          <cell r="CX34">
            <v>1703.6962957716835</v>
          </cell>
          <cell r="CY34">
            <v>1762.4385842850083</v>
          </cell>
          <cell r="CZ34">
            <v>1752.8562326494482</v>
          </cell>
          <cell r="DA34">
            <v>1686.9175217991433</v>
          </cell>
          <cell r="DB34">
            <v>1679.4890689505207</v>
          </cell>
          <cell r="DC34">
            <v>1679.4890689505207</v>
          </cell>
          <cell r="DD34">
            <v>1740.9354349595139</v>
          </cell>
          <cell r="DE34">
            <v>1733.2790796355512</v>
          </cell>
          <cell r="DF34">
            <v>1720.8634047130686</v>
          </cell>
          <cell r="DG34">
            <v>1712.4937700725341</v>
          </cell>
          <cell r="DH34">
            <v>1712.4937700725341</v>
          </cell>
          <cell r="DI34">
            <v>1786.4868202775638</v>
          </cell>
          <cell r="DJ34">
            <v>1771.9190676425228</v>
          </cell>
          <cell r="DK34">
            <v>1757.8586432364818</v>
          </cell>
          <cell r="DL34">
            <v>1749.8649032413869</v>
          </cell>
          <cell r="DM34">
            <v>1749.8649032413869</v>
          </cell>
          <cell r="DN34">
            <v>1819.7030782759603</v>
          </cell>
          <cell r="DO34">
            <v>1813.3594329604575</v>
          </cell>
          <cell r="DP34">
            <v>1798.9061938330797</v>
          </cell>
          <cell r="DQ34">
            <v>1789.220019075226</v>
          </cell>
          <cell r="DR34">
            <v>1789.220019075226</v>
          </cell>
        </row>
        <row r="36">
          <cell r="B36" t="str">
            <v>Long-term debt</v>
          </cell>
          <cell r="D36">
            <v>243.85599999999999</v>
          </cell>
          <cell r="E36">
            <v>236.3</v>
          </cell>
          <cell r="F36">
            <v>725.6</v>
          </cell>
          <cell r="G36">
            <v>3273</v>
          </cell>
          <cell r="H36">
            <v>3273</v>
          </cell>
          <cell r="I36">
            <v>3226.1</v>
          </cell>
          <cell r="J36">
            <v>3254.9</v>
          </cell>
          <cell r="K36">
            <v>3270</v>
          </cell>
          <cell r="L36">
            <v>3191</v>
          </cell>
          <cell r="M36">
            <v>3191</v>
          </cell>
          <cell r="N36">
            <v>3183.4</v>
          </cell>
          <cell r="O36">
            <v>3332.5</v>
          </cell>
          <cell r="P36">
            <v>4855.5</v>
          </cell>
          <cell r="Q36">
            <v>5022</v>
          </cell>
          <cell r="R36">
            <v>5022</v>
          </cell>
          <cell r="S36">
            <v>5293</v>
          </cell>
          <cell r="T36">
            <v>5520</v>
          </cell>
          <cell r="U36">
            <v>5755</v>
          </cell>
          <cell r="V36">
            <v>5829</v>
          </cell>
          <cell r="W36">
            <v>5829</v>
          </cell>
          <cell r="X36">
            <v>6025</v>
          </cell>
          <cell r="Y36">
            <v>6309</v>
          </cell>
          <cell r="Z36">
            <v>6496</v>
          </cell>
          <cell r="AA36">
            <v>6391</v>
          </cell>
          <cell r="AB36">
            <v>6391</v>
          </cell>
          <cell r="AC36">
            <v>6525</v>
          </cell>
          <cell r="AD36">
            <v>5780</v>
          </cell>
          <cell r="AE36">
            <v>5997</v>
          </cell>
          <cell r="AF36">
            <v>5668</v>
          </cell>
          <cell r="AG36">
            <v>5668</v>
          </cell>
          <cell r="AH36">
            <v>5424</v>
          </cell>
          <cell r="AI36">
            <v>5047</v>
          </cell>
          <cell r="AJ36">
            <v>4856</v>
          </cell>
          <cell r="AK36">
            <v>4202</v>
          </cell>
          <cell r="AL36">
            <v>4202</v>
          </cell>
          <cell r="AM36">
            <v>4362</v>
          </cell>
          <cell r="AN36">
            <v>4321</v>
          </cell>
          <cell r="AO36">
            <v>4288</v>
          </cell>
          <cell r="AP36">
            <v>3919</v>
          </cell>
          <cell r="AQ36">
            <v>3919</v>
          </cell>
          <cell r="AR36">
            <v>3551</v>
          </cell>
          <cell r="AS36">
            <v>3888</v>
          </cell>
          <cell r="AT36">
            <v>4024</v>
          </cell>
          <cell r="AY36">
            <v>3872</v>
          </cell>
          <cell r="AZ36">
            <v>3872</v>
          </cell>
          <cell r="BA36">
            <v>4025</v>
          </cell>
          <cell r="BB36">
            <v>4026</v>
          </cell>
          <cell r="BC36">
            <v>4032</v>
          </cell>
          <cell r="BD36">
            <v>4039</v>
          </cell>
          <cell r="BE36">
            <v>4039</v>
          </cell>
          <cell r="BF36">
            <v>4009</v>
          </cell>
          <cell r="BG36">
            <v>4488</v>
          </cell>
          <cell r="BH36">
            <v>4487</v>
          </cell>
          <cell r="BI36">
            <v>4395</v>
          </cell>
          <cell r="BJ36">
            <v>4395</v>
          </cell>
          <cell r="BK36">
            <v>4782</v>
          </cell>
          <cell r="BL36">
            <v>4784</v>
          </cell>
          <cell r="BM36">
            <v>4783</v>
          </cell>
          <cell r="BN36">
            <v>4784</v>
          </cell>
          <cell r="BO36">
            <v>4784</v>
          </cell>
          <cell r="BP36">
            <v>4785</v>
          </cell>
          <cell r="BQ36">
            <v>4787</v>
          </cell>
          <cell r="BR36">
            <v>4759</v>
          </cell>
          <cell r="BS36">
            <v>4760</v>
          </cell>
          <cell r="BT36">
            <v>4760</v>
          </cell>
          <cell r="BU36">
            <v>4762</v>
          </cell>
          <cell r="BV36">
            <v>4764</v>
          </cell>
          <cell r="BW36">
            <v>4766</v>
          </cell>
          <cell r="BX36">
            <v>4771</v>
          </cell>
          <cell r="BY36">
            <v>4771</v>
          </cell>
          <cell r="BZ36">
            <v>4773</v>
          </cell>
          <cell r="CA36">
            <v>4775</v>
          </cell>
          <cell r="CB36">
            <v>4777</v>
          </cell>
          <cell r="CC36">
            <v>4778</v>
          </cell>
          <cell r="CD36">
            <v>4778</v>
          </cell>
          <cell r="CE36">
            <v>4639</v>
          </cell>
          <cell r="CF36">
            <v>4624</v>
          </cell>
          <cell r="CG36">
            <v>4267</v>
          </cell>
          <cell r="CH36">
            <v>4272</v>
          </cell>
          <cell r="CI36">
            <v>4272</v>
          </cell>
          <cell r="CJ36">
            <v>4271</v>
          </cell>
          <cell r="CK36">
            <v>4272</v>
          </cell>
          <cell r="CL36">
            <v>4057</v>
          </cell>
          <cell r="CM36">
            <v>3997</v>
          </cell>
          <cell r="CN36">
            <v>3997</v>
          </cell>
          <cell r="CO36">
            <v>4014</v>
          </cell>
          <cell r="CP36">
            <v>3989</v>
          </cell>
          <cell r="CQ36">
            <v>3966</v>
          </cell>
          <cell r="CR36">
            <v>4294</v>
          </cell>
          <cell r="CS36">
            <v>4294</v>
          </cell>
          <cell r="CT36">
            <v>4295</v>
          </cell>
          <cell r="CU36">
            <v>4511</v>
          </cell>
          <cell r="CV36">
            <v>4508</v>
          </cell>
          <cell r="CW36">
            <v>5342</v>
          </cell>
          <cell r="CX36">
            <v>5342</v>
          </cell>
          <cell r="CY36">
            <v>5345.5</v>
          </cell>
          <cell r="CZ36">
            <v>5293.7910000000002</v>
          </cell>
          <cell r="DA36">
            <v>5349</v>
          </cell>
          <cell r="DB36">
            <v>5352.5</v>
          </cell>
          <cell r="DC36">
            <v>5352.5</v>
          </cell>
          <cell r="DD36">
            <v>5356</v>
          </cell>
          <cell r="DE36">
            <v>5359.5</v>
          </cell>
          <cell r="DF36">
            <v>5363</v>
          </cell>
          <cell r="DG36">
            <v>5366.5</v>
          </cell>
          <cell r="DH36">
            <v>5366.5</v>
          </cell>
          <cell r="DI36">
            <v>5370</v>
          </cell>
          <cell r="DJ36">
            <v>5373.5</v>
          </cell>
          <cell r="DK36">
            <v>5377</v>
          </cell>
          <cell r="DL36">
            <v>5380.5</v>
          </cell>
          <cell r="DM36">
            <v>5380.5</v>
          </cell>
          <cell r="DN36">
            <v>5384</v>
          </cell>
          <cell r="DO36">
            <v>5387.5</v>
          </cell>
          <cell r="DP36">
            <v>5391</v>
          </cell>
          <cell r="DQ36">
            <v>5394.5</v>
          </cell>
          <cell r="DR36">
            <v>5394.5</v>
          </cell>
          <cell r="DW36" t="str">
            <v>mstag:longTermDebt</v>
          </cell>
          <cell r="DX36">
            <v>6</v>
          </cell>
          <cell r="DY36" t="str">
            <v>ISO4217:USD</v>
          </cell>
          <cell r="DZ36" t="b">
            <v>0</v>
          </cell>
        </row>
        <row r="37">
          <cell r="B37" t="str">
            <v>Professional &amp; general liability reserves</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Y37">
            <v>0</v>
          </cell>
          <cell r="AZ37">
            <v>0</v>
          </cell>
          <cell r="BA37">
            <v>0</v>
          </cell>
          <cell r="BB37">
            <v>0</v>
          </cell>
          <cell r="BC37">
            <v>0</v>
          </cell>
          <cell r="BD37">
            <v>511</v>
          </cell>
          <cell r="BE37">
            <v>511</v>
          </cell>
          <cell r="BF37">
            <v>529</v>
          </cell>
          <cell r="BG37">
            <v>603</v>
          </cell>
          <cell r="BH37">
            <v>624</v>
          </cell>
          <cell r="BI37">
            <v>591</v>
          </cell>
          <cell r="BJ37">
            <v>591</v>
          </cell>
          <cell r="BK37">
            <v>609</v>
          </cell>
          <cell r="BL37">
            <v>600</v>
          </cell>
          <cell r="BM37">
            <v>606</v>
          </cell>
          <cell r="BN37">
            <v>594</v>
          </cell>
          <cell r="BO37">
            <v>594</v>
          </cell>
          <cell r="BP37">
            <v>590</v>
          </cell>
          <cell r="BQ37">
            <v>593</v>
          </cell>
          <cell r="BR37">
            <v>583</v>
          </cell>
          <cell r="BS37">
            <v>586</v>
          </cell>
          <cell r="BT37">
            <v>586</v>
          </cell>
          <cell r="BU37">
            <v>588</v>
          </cell>
          <cell r="BV37">
            <v>577</v>
          </cell>
          <cell r="BW37">
            <v>565</v>
          </cell>
          <cell r="BX37">
            <v>555</v>
          </cell>
          <cell r="BY37">
            <v>555</v>
          </cell>
          <cell r="BZ37">
            <v>553</v>
          </cell>
          <cell r="CA37">
            <v>547</v>
          </cell>
          <cell r="CB37">
            <v>548</v>
          </cell>
          <cell r="CC37">
            <v>536</v>
          </cell>
          <cell r="CD37">
            <v>536</v>
          </cell>
          <cell r="CE37">
            <v>527</v>
          </cell>
          <cell r="CF37">
            <v>509</v>
          </cell>
          <cell r="CG37">
            <v>486</v>
          </cell>
          <cell r="CH37">
            <v>466</v>
          </cell>
          <cell r="CI37">
            <v>466</v>
          </cell>
          <cell r="CJ37">
            <v>441</v>
          </cell>
          <cell r="CK37">
            <v>427</v>
          </cell>
          <cell r="CL37">
            <v>425</v>
          </cell>
          <cell r="CM37">
            <v>383</v>
          </cell>
          <cell r="CN37">
            <v>383</v>
          </cell>
          <cell r="CO37">
            <v>373</v>
          </cell>
          <cell r="CP37">
            <v>369</v>
          </cell>
          <cell r="CQ37">
            <v>347</v>
          </cell>
          <cell r="CR37">
            <v>337</v>
          </cell>
          <cell r="CS37">
            <v>337</v>
          </cell>
          <cell r="CT37">
            <v>335</v>
          </cell>
          <cell r="CU37">
            <v>336</v>
          </cell>
          <cell r="CV37">
            <v>322</v>
          </cell>
          <cell r="CW37">
            <v>322</v>
          </cell>
          <cell r="CX37">
            <v>322</v>
          </cell>
          <cell r="CY37">
            <v>400</v>
          </cell>
          <cell r="CZ37">
            <v>400</v>
          </cell>
          <cell r="DA37">
            <v>400</v>
          </cell>
          <cell r="DB37">
            <v>400</v>
          </cell>
          <cell r="DC37">
            <v>400</v>
          </cell>
          <cell r="DD37">
            <v>400</v>
          </cell>
          <cell r="DE37">
            <v>400</v>
          </cell>
          <cell r="DF37">
            <v>400</v>
          </cell>
          <cell r="DG37">
            <v>400</v>
          </cell>
          <cell r="DH37">
            <v>400</v>
          </cell>
          <cell r="DI37">
            <v>400</v>
          </cell>
          <cell r="DJ37">
            <v>400</v>
          </cell>
          <cell r="DK37">
            <v>400</v>
          </cell>
          <cell r="DL37">
            <v>400</v>
          </cell>
          <cell r="DM37">
            <v>400</v>
          </cell>
          <cell r="DN37">
            <v>400</v>
          </cell>
          <cell r="DO37">
            <v>400</v>
          </cell>
          <cell r="DP37">
            <v>400</v>
          </cell>
          <cell r="DQ37">
            <v>400</v>
          </cell>
          <cell r="DR37">
            <v>400</v>
          </cell>
          <cell r="DW37" t="str">
            <v>mstag:provisionsAndReserves</v>
          </cell>
          <cell r="DX37">
            <v>6</v>
          </cell>
          <cell r="DY37" t="str">
            <v>ISO4217:USD</v>
          </cell>
          <cell r="DZ37" t="b">
            <v>0</v>
          </cell>
        </row>
        <row r="38">
          <cell r="B38" t="str">
            <v>Accrued legal settlement costs</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275</v>
          </cell>
          <cell r="BR38">
            <v>275</v>
          </cell>
          <cell r="BS38">
            <v>251</v>
          </cell>
          <cell r="BT38">
            <v>251</v>
          </cell>
          <cell r="BU38">
            <v>229</v>
          </cell>
          <cell r="BV38">
            <v>207</v>
          </cell>
          <cell r="BW38">
            <v>185</v>
          </cell>
          <cell r="BX38">
            <v>163</v>
          </cell>
          <cell r="BY38">
            <v>163</v>
          </cell>
          <cell r="BZ38">
            <v>140</v>
          </cell>
          <cell r="CA38">
            <v>118</v>
          </cell>
          <cell r="CB38">
            <v>95</v>
          </cell>
          <cell r="CC38">
            <v>72</v>
          </cell>
          <cell r="CD38">
            <v>72</v>
          </cell>
          <cell r="CE38">
            <v>49</v>
          </cell>
          <cell r="CF38">
            <v>25</v>
          </cell>
          <cell r="CG38">
            <v>0</v>
          </cell>
          <cell r="CH38">
            <v>19</v>
          </cell>
          <cell r="CI38">
            <v>19</v>
          </cell>
          <cell r="CJ38">
            <v>19</v>
          </cell>
          <cell r="CK38">
            <v>19</v>
          </cell>
          <cell r="CL38">
            <v>22</v>
          </cell>
          <cell r="CM38">
            <v>22</v>
          </cell>
          <cell r="CN38">
            <v>22</v>
          </cell>
          <cell r="CO38">
            <v>22</v>
          </cell>
          <cell r="CP38">
            <v>22</v>
          </cell>
          <cell r="CQ38">
            <v>22</v>
          </cell>
          <cell r="CR38">
            <v>2</v>
          </cell>
          <cell r="CS38">
            <v>2</v>
          </cell>
          <cell r="CT38">
            <v>2</v>
          </cell>
          <cell r="CU38">
            <v>2</v>
          </cell>
          <cell r="CV38">
            <v>2</v>
          </cell>
          <cell r="CW38">
            <v>2</v>
          </cell>
          <cell r="CX38">
            <v>2</v>
          </cell>
          <cell r="CY38">
            <v>2</v>
          </cell>
          <cell r="CZ38">
            <v>2</v>
          </cell>
          <cell r="DA38">
            <v>2</v>
          </cell>
          <cell r="DB38">
            <v>2</v>
          </cell>
          <cell r="DC38">
            <v>2</v>
          </cell>
          <cell r="DD38">
            <v>2</v>
          </cell>
          <cell r="DE38">
            <v>2</v>
          </cell>
          <cell r="DF38">
            <v>2</v>
          </cell>
          <cell r="DG38">
            <v>2</v>
          </cell>
          <cell r="DH38">
            <v>2</v>
          </cell>
          <cell r="DI38">
            <v>2</v>
          </cell>
          <cell r="DJ38">
            <v>2</v>
          </cell>
          <cell r="DK38">
            <v>2</v>
          </cell>
          <cell r="DL38">
            <v>2</v>
          </cell>
          <cell r="DM38">
            <v>2</v>
          </cell>
          <cell r="DN38">
            <v>2</v>
          </cell>
          <cell r="DO38">
            <v>2</v>
          </cell>
          <cell r="DP38">
            <v>2</v>
          </cell>
          <cell r="DQ38">
            <v>2</v>
          </cell>
          <cell r="DR38">
            <v>2</v>
          </cell>
          <cell r="DW38" t="str">
            <v>mstag:otherAccruedExpenses</v>
          </cell>
          <cell r="DX38">
            <v>6</v>
          </cell>
          <cell r="DY38" t="str">
            <v>ISO4217:USD</v>
          </cell>
          <cell r="DZ38" t="b">
            <v>0</v>
          </cell>
        </row>
        <row r="39">
          <cell r="B39" t="str">
            <v>Deferred income taxes</v>
          </cell>
          <cell r="D39">
            <v>126</v>
          </cell>
          <cell r="E39">
            <v>126</v>
          </cell>
          <cell r="F39">
            <v>136.1</v>
          </cell>
          <cell r="G39">
            <v>301</v>
          </cell>
          <cell r="H39">
            <v>301</v>
          </cell>
          <cell r="I39">
            <v>307</v>
          </cell>
          <cell r="J39">
            <v>384.1</v>
          </cell>
          <cell r="K39">
            <v>394.5</v>
          </cell>
          <cell r="L39">
            <v>394</v>
          </cell>
          <cell r="M39">
            <v>394</v>
          </cell>
          <cell r="N39">
            <v>429.9</v>
          </cell>
          <cell r="O39">
            <v>424.5</v>
          </cell>
          <cell r="P39">
            <v>451.3</v>
          </cell>
          <cell r="Q39">
            <v>308</v>
          </cell>
          <cell r="R39">
            <v>308</v>
          </cell>
          <cell r="S39">
            <v>325</v>
          </cell>
          <cell r="T39">
            <v>309</v>
          </cell>
          <cell r="U39">
            <v>334</v>
          </cell>
          <cell r="V39">
            <v>423</v>
          </cell>
          <cell r="W39">
            <v>423</v>
          </cell>
          <cell r="X39">
            <v>408</v>
          </cell>
          <cell r="Y39">
            <v>435</v>
          </cell>
          <cell r="Z39">
            <v>437</v>
          </cell>
          <cell r="AA39">
            <v>440</v>
          </cell>
          <cell r="AB39">
            <v>440</v>
          </cell>
          <cell r="AC39">
            <v>401</v>
          </cell>
          <cell r="AD39">
            <v>427</v>
          </cell>
          <cell r="AE39">
            <v>443</v>
          </cell>
          <cell r="AF39">
            <v>491</v>
          </cell>
          <cell r="AG39">
            <v>491</v>
          </cell>
          <cell r="AH39">
            <v>500</v>
          </cell>
          <cell r="AI39">
            <v>497</v>
          </cell>
          <cell r="AJ39">
            <v>529</v>
          </cell>
          <cell r="AK39">
            <v>554</v>
          </cell>
          <cell r="AL39">
            <v>554</v>
          </cell>
          <cell r="AM39">
            <v>589</v>
          </cell>
          <cell r="AN39">
            <v>546</v>
          </cell>
          <cell r="AO39">
            <v>551</v>
          </cell>
          <cell r="AP39">
            <v>689</v>
          </cell>
          <cell r="AQ39">
            <v>689</v>
          </cell>
          <cell r="AR39">
            <v>704</v>
          </cell>
          <cell r="AS39">
            <v>682</v>
          </cell>
          <cell r="AT39">
            <v>471</v>
          </cell>
          <cell r="AY39">
            <v>526</v>
          </cell>
          <cell r="AZ39">
            <v>526</v>
          </cell>
          <cell r="BA39">
            <v>322</v>
          </cell>
          <cell r="BB39">
            <v>171</v>
          </cell>
          <cell r="BC39">
            <v>252</v>
          </cell>
          <cell r="BD39">
            <v>4</v>
          </cell>
          <cell r="BE39">
            <v>4</v>
          </cell>
          <cell r="BF39">
            <v>114</v>
          </cell>
          <cell r="BG39">
            <v>108</v>
          </cell>
          <cell r="BH39">
            <v>85</v>
          </cell>
          <cell r="BI39">
            <v>311</v>
          </cell>
          <cell r="BJ39">
            <v>311</v>
          </cell>
          <cell r="BK39">
            <v>284</v>
          </cell>
          <cell r="BL39">
            <v>273</v>
          </cell>
          <cell r="BM39">
            <v>347</v>
          </cell>
          <cell r="BN39">
            <v>212</v>
          </cell>
          <cell r="BO39">
            <v>212</v>
          </cell>
          <cell r="BP39">
            <v>136</v>
          </cell>
          <cell r="BQ39">
            <v>141</v>
          </cell>
          <cell r="BR39">
            <v>161</v>
          </cell>
          <cell r="BS39">
            <v>107</v>
          </cell>
          <cell r="BT39">
            <v>107</v>
          </cell>
          <cell r="BU39">
            <v>78</v>
          </cell>
          <cell r="BV39">
            <v>82</v>
          </cell>
          <cell r="BW39">
            <v>99</v>
          </cell>
          <cell r="BX39">
            <v>119</v>
          </cell>
          <cell r="BY39">
            <v>119</v>
          </cell>
          <cell r="BZ39">
            <v>139</v>
          </cell>
          <cell r="CA39">
            <v>147</v>
          </cell>
          <cell r="CB39">
            <v>114</v>
          </cell>
          <cell r="CC39">
            <v>101</v>
          </cell>
          <cell r="CD39">
            <v>101</v>
          </cell>
          <cell r="CE39">
            <v>106</v>
          </cell>
          <cell r="CF39">
            <v>114</v>
          </cell>
          <cell r="CG39">
            <v>116</v>
          </cell>
          <cell r="CH39">
            <v>148</v>
          </cell>
          <cell r="CI39">
            <v>148</v>
          </cell>
          <cell r="CJ39">
            <v>153</v>
          </cell>
          <cell r="CK39">
            <v>160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W39" t="str">
            <v>mstag:deferredTaxLiabilitiesNonCurrent</v>
          </cell>
          <cell r="DX39">
            <v>6</v>
          </cell>
          <cell r="DY39" t="str">
            <v>ISO4217:USD</v>
          </cell>
          <cell r="DZ39" t="b">
            <v>0</v>
          </cell>
        </row>
        <row r="40">
          <cell r="B40" t="str">
            <v>Other long-term liabilities</v>
          </cell>
          <cell r="D40">
            <v>400.06599999999997</v>
          </cell>
          <cell r="E40">
            <v>374.1</v>
          </cell>
          <cell r="F40">
            <v>359.1</v>
          </cell>
          <cell r="G40">
            <v>1002</v>
          </cell>
          <cell r="H40">
            <v>1002</v>
          </cell>
          <cell r="I40">
            <v>988.5</v>
          </cell>
          <cell r="J40">
            <v>967.8</v>
          </cell>
          <cell r="K40">
            <v>975.2</v>
          </cell>
          <cell r="L40">
            <v>977</v>
          </cell>
          <cell r="M40">
            <v>977</v>
          </cell>
          <cell r="N40">
            <v>1025.7</v>
          </cell>
          <cell r="O40">
            <v>1024.4000000000001</v>
          </cell>
          <cell r="P40">
            <v>1249.0999999999999</v>
          </cell>
          <cell r="Q40">
            <v>1282</v>
          </cell>
          <cell r="R40">
            <v>1282</v>
          </cell>
          <cell r="S40">
            <v>1263</v>
          </cell>
          <cell r="T40">
            <v>1260</v>
          </cell>
          <cell r="U40">
            <v>1293</v>
          </cell>
          <cell r="V40">
            <v>1256</v>
          </cell>
          <cell r="W40">
            <v>1256</v>
          </cell>
          <cell r="X40">
            <v>1226</v>
          </cell>
          <cell r="Y40">
            <v>1201</v>
          </cell>
          <cell r="Z40">
            <v>1134</v>
          </cell>
          <cell r="AA40">
            <v>1048</v>
          </cell>
          <cell r="AB40">
            <v>1048</v>
          </cell>
          <cell r="AC40">
            <v>1048</v>
          </cell>
          <cell r="AD40">
            <v>1054</v>
          </cell>
          <cell r="AE40">
            <v>1049</v>
          </cell>
          <cell r="AF40">
            <v>1024</v>
          </cell>
          <cell r="AG40">
            <v>1024</v>
          </cell>
          <cell r="AH40">
            <v>1038</v>
          </cell>
          <cell r="AI40">
            <v>1061</v>
          </cell>
          <cell r="AJ40">
            <v>1024</v>
          </cell>
          <cell r="AK40">
            <v>994</v>
          </cell>
          <cell r="AL40">
            <v>994</v>
          </cell>
          <cell r="AM40">
            <v>1045</v>
          </cell>
          <cell r="AN40">
            <v>1029</v>
          </cell>
          <cell r="AO40">
            <v>1056</v>
          </cell>
          <cell r="AP40">
            <v>1003</v>
          </cell>
          <cell r="AQ40">
            <v>1003</v>
          </cell>
          <cell r="AR40">
            <v>1140</v>
          </cell>
          <cell r="AS40">
            <v>1144</v>
          </cell>
          <cell r="AT40">
            <v>1298</v>
          </cell>
          <cell r="AY40">
            <v>1278</v>
          </cell>
          <cell r="AZ40">
            <v>1278</v>
          </cell>
          <cell r="BA40">
            <v>1283</v>
          </cell>
          <cell r="BB40">
            <v>1503</v>
          </cell>
          <cell r="BC40">
            <v>1548</v>
          </cell>
          <cell r="BD40">
            <v>989</v>
          </cell>
          <cell r="BE40">
            <v>989</v>
          </cell>
          <cell r="BF40">
            <v>1013</v>
          </cell>
          <cell r="BG40">
            <v>991</v>
          </cell>
          <cell r="BH40">
            <v>980</v>
          </cell>
          <cell r="BI40">
            <v>919</v>
          </cell>
          <cell r="BJ40">
            <v>919</v>
          </cell>
          <cell r="BK40">
            <v>969</v>
          </cell>
          <cell r="BL40">
            <v>910</v>
          </cell>
          <cell r="BM40">
            <v>925</v>
          </cell>
          <cell r="BN40">
            <v>909</v>
          </cell>
          <cell r="BO40">
            <v>909</v>
          </cell>
          <cell r="BP40">
            <v>918</v>
          </cell>
          <cell r="BQ40">
            <v>914</v>
          </cell>
          <cell r="BR40">
            <v>726</v>
          </cell>
          <cell r="BS40">
            <v>646</v>
          </cell>
          <cell r="BT40">
            <v>646</v>
          </cell>
          <cell r="BU40">
            <v>618</v>
          </cell>
          <cell r="BV40">
            <v>631</v>
          </cell>
          <cell r="BW40">
            <v>646</v>
          </cell>
          <cell r="BX40">
            <v>683</v>
          </cell>
          <cell r="BY40">
            <v>683</v>
          </cell>
          <cell r="BZ40">
            <v>664</v>
          </cell>
          <cell r="CA40">
            <v>654</v>
          </cell>
          <cell r="CB40">
            <v>649</v>
          </cell>
          <cell r="CC40">
            <v>635</v>
          </cell>
          <cell r="CD40">
            <v>635</v>
          </cell>
          <cell r="CE40">
            <v>598</v>
          </cell>
          <cell r="CF40">
            <v>618</v>
          </cell>
          <cell r="CG40">
            <v>562</v>
          </cell>
          <cell r="CH40">
            <v>568</v>
          </cell>
          <cell r="CI40">
            <v>568</v>
          </cell>
          <cell r="CJ40">
            <v>561</v>
          </cell>
          <cell r="CK40">
            <v>572</v>
          </cell>
          <cell r="CL40">
            <v>571</v>
          </cell>
          <cell r="CM40">
            <v>554</v>
          </cell>
          <cell r="CN40">
            <v>554</v>
          </cell>
          <cell r="CO40">
            <v>550</v>
          </cell>
          <cell r="CP40">
            <v>503</v>
          </cell>
          <cell r="CQ40">
            <v>502</v>
          </cell>
          <cell r="CR40">
            <v>506</v>
          </cell>
          <cell r="CS40">
            <v>506</v>
          </cell>
          <cell r="CT40">
            <v>526</v>
          </cell>
          <cell r="CU40">
            <v>519</v>
          </cell>
          <cell r="CV40">
            <v>524</v>
          </cell>
          <cell r="CW40">
            <v>524</v>
          </cell>
          <cell r="CX40">
            <v>524</v>
          </cell>
          <cell r="CY40">
            <v>524</v>
          </cell>
          <cell r="CZ40">
            <v>524</v>
          </cell>
          <cell r="DA40">
            <v>524</v>
          </cell>
          <cell r="DB40">
            <v>524</v>
          </cell>
          <cell r="DC40">
            <v>524</v>
          </cell>
          <cell r="DD40">
            <v>524</v>
          </cell>
          <cell r="DE40">
            <v>524</v>
          </cell>
          <cell r="DF40">
            <v>524</v>
          </cell>
          <cell r="DG40">
            <v>524</v>
          </cell>
          <cell r="DH40">
            <v>524</v>
          </cell>
          <cell r="DI40">
            <v>524</v>
          </cell>
          <cell r="DJ40">
            <v>524</v>
          </cell>
          <cell r="DK40">
            <v>524</v>
          </cell>
          <cell r="DL40">
            <v>524</v>
          </cell>
          <cell r="DM40">
            <v>524</v>
          </cell>
          <cell r="DN40">
            <v>524</v>
          </cell>
          <cell r="DO40">
            <v>524</v>
          </cell>
          <cell r="DP40">
            <v>524</v>
          </cell>
          <cell r="DQ40">
            <v>524</v>
          </cell>
          <cell r="DR40">
            <v>524</v>
          </cell>
          <cell r="DW40" t="str">
            <v>mstag:otherLiabilitiesOperatingNonCurrent</v>
          </cell>
          <cell r="DX40">
            <v>6</v>
          </cell>
          <cell r="DY40" t="str">
            <v>ISO4217:USD</v>
          </cell>
          <cell r="DZ40" t="b">
            <v>0</v>
          </cell>
        </row>
        <row r="41">
          <cell r="B41" t="str">
            <v>Total Liabilities</v>
          </cell>
          <cell r="D41">
            <v>1948.182</v>
          </cell>
          <cell r="E41">
            <v>1868.8000000000002</v>
          </cell>
          <cell r="F41">
            <v>1845.6999999999998</v>
          </cell>
          <cell r="G41">
            <v>5932</v>
          </cell>
          <cell r="H41">
            <v>5932</v>
          </cell>
          <cell r="I41">
            <v>5778.8</v>
          </cell>
          <cell r="J41">
            <v>5785.5000000000009</v>
          </cell>
          <cell r="K41">
            <v>5667</v>
          </cell>
          <cell r="L41">
            <v>5696</v>
          </cell>
          <cell r="M41">
            <v>5696</v>
          </cell>
          <cell r="N41">
            <v>5661.7</v>
          </cell>
          <cell r="O41">
            <v>5726.2999999999993</v>
          </cell>
          <cell r="P41">
            <v>8112</v>
          </cell>
          <cell r="Q41">
            <v>8481</v>
          </cell>
          <cell r="R41">
            <v>8481</v>
          </cell>
          <cell r="S41">
            <v>8517</v>
          </cell>
          <cell r="T41">
            <v>8723</v>
          </cell>
          <cell r="U41">
            <v>9022</v>
          </cell>
          <cell r="V41">
            <v>9216</v>
          </cell>
          <cell r="W41">
            <v>9216</v>
          </cell>
          <cell r="X41">
            <v>9307</v>
          </cell>
          <cell r="Y41">
            <v>9765</v>
          </cell>
          <cell r="Z41">
            <v>9912</v>
          </cell>
          <cell r="AA41">
            <v>9901</v>
          </cell>
          <cell r="AB41">
            <v>9901</v>
          </cell>
          <cell r="AC41">
            <v>9741</v>
          </cell>
          <cell r="AD41">
            <v>9186</v>
          </cell>
          <cell r="AE41">
            <v>9289</v>
          </cell>
          <cell r="AF41">
            <v>9095</v>
          </cell>
          <cell r="AG41">
            <v>9095</v>
          </cell>
          <cell r="AH41">
            <v>8798</v>
          </cell>
          <cell r="AI41">
            <v>8537</v>
          </cell>
          <cell r="AJ41">
            <v>8309</v>
          </cell>
          <cell r="AK41">
            <v>7916</v>
          </cell>
          <cell r="AL41">
            <v>7916</v>
          </cell>
          <cell r="AM41">
            <v>8092</v>
          </cell>
          <cell r="AN41">
            <v>8122</v>
          </cell>
          <cell r="AO41">
            <v>8175</v>
          </cell>
          <cell r="AP41">
            <v>8195</v>
          </cell>
          <cell r="AQ41">
            <v>8195</v>
          </cell>
          <cell r="AR41">
            <v>7854</v>
          </cell>
          <cell r="AS41">
            <v>8030</v>
          </cell>
          <cell r="AT41">
            <v>8093</v>
          </cell>
          <cell r="AV41">
            <v>0</v>
          </cell>
          <cell r="AW41">
            <v>0</v>
          </cell>
          <cell r="AX41">
            <v>0</v>
          </cell>
          <cell r="AY41">
            <v>8057</v>
          </cell>
          <cell r="AZ41">
            <v>8057</v>
          </cell>
          <cell r="BA41">
            <v>7941</v>
          </cell>
          <cell r="BB41">
            <v>7984</v>
          </cell>
          <cell r="BC41">
            <v>8205</v>
          </cell>
          <cell r="BD41">
            <v>7937</v>
          </cell>
          <cell r="BE41">
            <v>7937</v>
          </cell>
          <cell r="BF41">
            <v>7863</v>
          </cell>
          <cell r="BG41">
            <v>8263</v>
          </cell>
          <cell r="BH41">
            <v>8277</v>
          </cell>
          <cell r="BI41">
            <v>8346</v>
          </cell>
          <cell r="BJ41">
            <v>8346</v>
          </cell>
          <cell r="BK41">
            <v>8487</v>
          </cell>
          <cell r="BL41">
            <v>8543</v>
          </cell>
          <cell r="BM41">
            <v>8643</v>
          </cell>
          <cell r="BN41">
            <v>8791</v>
          </cell>
          <cell r="BO41">
            <v>8791</v>
          </cell>
          <cell r="BP41">
            <v>8238</v>
          </cell>
          <cell r="BQ41">
            <v>8493</v>
          </cell>
          <cell r="BR41">
            <v>8411</v>
          </cell>
          <cell r="BS41">
            <v>8275</v>
          </cell>
          <cell r="BT41">
            <v>8275</v>
          </cell>
          <cell r="BU41">
            <v>8108</v>
          </cell>
          <cell r="BV41">
            <v>8104</v>
          </cell>
          <cell r="BW41">
            <v>8134</v>
          </cell>
          <cell r="BX41">
            <v>8339</v>
          </cell>
          <cell r="BY41">
            <v>8339</v>
          </cell>
          <cell r="BZ41">
            <v>8142</v>
          </cell>
          <cell r="CA41">
            <v>8214</v>
          </cell>
          <cell r="CB41">
            <v>8158</v>
          </cell>
          <cell r="CC41">
            <v>8071</v>
          </cell>
          <cell r="CD41">
            <v>8071</v>
          </cell>
          <cell r="CE41">
            <v>7754</v>
          </cell>
          <cell r="CF41">
            <v>7595</v>
          </cell>
          <cell r="CG41">
            <v>7203</v>
          </cell>
          <cell r="CH41">
            <v>7256</v>
          </cell>
          <cell r="CI41">
            <v>7256</v>
          </cell>
          <cell r="CJ41">
            <v>7024</v>
          </cell>
          <cell r="CK41">
            <v>7008</v>
          </cell>
          <cell r="CL41">
            <v>6771</v>
          </cell>
          <cell r="CM41">
            <v>6681</v>
          </cell>
          <cell r="CN41">
            <v>6681</v>
          </cell>
          <cell r="CO41">
            <v>6616</v>
          </cell>
          <cell r="CP41">
            <v>6545</v>
          </cell>
          <cell r="CQ41">
            <v>6516</v>
          </cell>
          <cell r="CR41">
            <v>6954</v>
          </cell>
          <cell r="CS41">
            <v>6954</v>
          </cell>
          <cell r="CT41">
            <v>6998</v>
          </cell>
          <cell r="CU41">
            <v>7240</v>
          </cell>
          <cell r="CV41">
            <v>7185</v>
          </cell>
          <cell r="CW41">
            <v>7893.6962957716833</v>
          </cell>
          <cell r="CX41">
            <v>7893.6962957716833</v>
          </cell>
          <cell r="CY41">
            <v>8033.9385842850079</v>
          </cell>
          <cell r="CZ41">
            <v>7972.6472326494486</v>
          </cell>
          <cell r="DA41">
            <v>7961.9175217991433</v>
          </cell>
          <cell r="DB41">
            <v>7957.989068950521</v>
          </cell>
          <cell r="DC41">
            <v>7957.989068950521</v>
          </cell>
          <cell r="DD41">
            <v>8022.9354349595142</v>
          </cell>
          <cell r="DE41">
            <v>8018.7790796355512</v>
          </cell>
          <cell r="DF41">
            <v>8009.863404713069</v>
          </cell>
          <cell r="DG41">
            <v>8004.9937700725341</v>
          </cell>
          <cell r="DH41">
            <v>8004.9937700725341</v>
          </cell>
          <cell r="DI41">
            <v>8082.4868202775633</v>
          </cell>
          <cell r="DJ41">
            <v>8071.4190676425224</v>
          </cell>
          <cell r="DK41">
            <v>8060.8586432364818</v>
          </cell>
          <cell r="DL41">
            <v>8056.3649032413869</v>
          </cell>
          <cell r="DM41">
            <v>8056.3649032413869</v>
          </cell>
          <cell r="DN41">
            <v>8129.7030782759603</v>
          </cell>
          <cell r="DO41">
            <v>8126.8594329604575</v>
          </cell>
          <cell r="DP41">
            <v>8115.9061938330797</v>
          </cell>
          <cell r="DQ41">
            <v>8109.7200190752264</v>
          </cell>
          <cell r="DR41">
            <v>8109.7200190752264</v>
          </cell>
        </row>
        <row r="43">
          <cell r="B43" t="str">
            <v xml:space="preserve">Redeemable noncontrolling interests in equity of consolidated subsidiaries </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16</v>
          </cell>
          <cell r="CQ43">
            <v>16</v>
          </cell>
          <cell r="CR43">
            <v>16</v>
          </cell>
          <cell r="CS43">
            <v>16</v>
          </cell>
          <cell r="CT43">
            <v>16</v>
          </cell>
          <cell r="CU43">
            <v>16</v>
          </cell>
          <cell r="CV43">
            <v>16</v>
          </cell>
          <cell r="CW43">
            <v>16</v>
          </cell>
          <cell r="CX43">
            <v>16</v>
          </cell>
          <cell r="CY43">
            <v>16</v>
          </cell>
          <cell r="CZ43">
            <v>16</v>
          </cell>
          <cell r="DA43">
            <v>16</v>
          </cell>
          <cell r="DB43">
            <v>16</v>
          </cell>
          <cell r="DC43">
            <v>16</v>
          </cell>
          <cell r="DD43">
            <v>16</v>
          </cell>
          <cell r="DE43">
            <v>16</v>
          </cell>
          <cell r="DF43">
            <v>16</v>
          </cell>
          <cell r="DG43">
            <v>16</v>
          </cell>
          <cell r="DH43">
            <v>16</v>
          </cell>
          <cell r="DI43">
            <v>16</v>
          </cell>
          <cell r="DJ43">
            <v>16</v>
          </cell>
          <cell r="DK43">
            <v>16</v>
          </cell>
          <cell r="DL43">
            <v>16</v>
          </cell>
          <cell r="DM43">
            <v>16</v>
          </cell>
          <cell r="DN43">
            <v>16</v>
          </cell>
          <cell r="DO43">
            <v>16</v>
          </cell>
          <cell r="DP43">
            <v>16</v>
          </cell>
          <cell r="DQ43">
            <v>16</v>
          </cell>
          <cell r="DR43">
            <v>16</v>
          </cell>
          <cell r="DW43" t="str">
            <v>mstag:minorityInterestsInEquity</v>
          </cell>
          <cell r="DX43">
            <v>6</v>
          </cell>
          <cell r="DY43" t="str">
            <v>ISO4217:USD</v>
          </cell>
          <cell r="DZ43" t="b">
            <v>0</v>
          </cell>
        </row>
        <row r="45">
          <cell r="B45" t="str">
            <v>Preferred Equity</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334</v>
          </cell>
          <cell r="CH45">
            <v>334</v>
          </cell>
          <cell r="CI45">
            <v>334</v>
          </cell>
          <cell r="CJ45">
            <v>334</v>
          </cell>
          <cell r="CK45">
            <v>334</v>
          </cell>
          <cell r="CL45">
            <v>334</v>
          </cell>
          <cell r="CM45">
            <v>334</v>
          </cell>
          <cell r="CN45">
            <v>334</v>
          </cell>
          <cell r="CO45">
            <v>334</v>
          </cell>
          <cell r="CP45">
            <v>334</v>
          </cell>
          <cell r="CQ45">
            <v>334</v>
          </cell>
          <cell r="CR45">
            <v>334</v>
          </cell>
          <cell r="CS45">
            <v>334</v>
          </cell>
          <cell r="CT45">
            <v>334</v>
          </cell>
          <cell r="CU45">
            <v>45</v>
          </cell>
          <cell r="CV45">
            <v>45</v>
          </cell>
          <cell r="CW45">
            <v>45</v>
          </cell>
          <cell r="CX45">
            <v>45</v>
          </cell>
          <cell r="CY45">
            <v>45</v>
          </cell>
          <cell r="CZ45">
            <v>45</v>
          </cell>
          <cell r="DA45">
            <v>45</v>
          </cell>
          <cell r="DB45">
            <v>45</v>
          </cell>
          <cell r="DC45">
            <v>45</v>
          </cell>
          <cell r="DD45">
            <v>45</v>
          </cell>
          <cell r="DE45">
            <v>45</v>
          </cell>
          <cell r="DF45">
            <v>45</v>
          </cell>
          <cell r="DG45">
            <v>45</v>
          </cell>
          <cell r="DH45">
            <v>45</v>
          </cell>
          <cell r="DI45">
            <v>45</v>
          </cell>
          <cell r="DJ45">
            <v>45</v>
          </cell>
          <cell r="DK45">
            <v>45</v>
          </cell>
          <cell r="DL45">
            <v>45</v>
          </cell>
          <cell r="DM45">
            <v>45</v>
          </cell>
          <cell r="DN45">
            <v>45</v>
          </cell>
          <cell r="DO45">
            <v>45</v>
          </cell>
          <cell r="DP45">
            <v>45</v>
          </cell>
          <cell r="DQ45">
            <v>45</v>
          </cell>
          <cell r="DR45">
            <v>45</v>
          </cell>
          <cell r="DW45" t="str">
            <v>mstag:preferredEquity</v>
          </cell>
          <cell r="DX45">
            <v>6</v>
          </cell>
          <cell r="DY45" t="str">
            <v>ISO4217:USD</v>
          </cell>
          <cell r="DZ45" t="b">
            <v>0</v>
          </cell>
        </row>
        <row r="46">
          <cell r="B46" t="str">
            <v>Common stock</v>
          </cell>
          <cell r="D46">
            <v>13.919</v>
          </cell>
          <cell r="E46">
            <v>13.9</v>
          </cell>
          <cell r="F46">
            <v>13.9</v>
          </cell>
          <cell r="G46">
            <v>16</v>
          </cell>
          <cell r="H46">
            <v>16</v>
          </cell>
          <cell r="I46">
            <v>16.399999999999999</v>
          </cell>
          <cell r="J46">
            <v>16.399999999999999</v>
          </cell>
          <cell r="K46">
            <v>16.399999999999999</v>
          </cell>
          <cell r="L46">
            <v>16</v>
          </cell>
          <cell r="M46">
            <v>16</v>
          </cell>
          <cell r="N46">
            <v>16.399999999999999</v>
          </cell>
          <cell r="O46">
            <v>16.5</v>
          </cell>
          <cell r="P46">
            <v>22.8</v>
          </cell>
          <cell r="Q46">
            <v>23</v>
          </cell>
          <cell r="R46">
            <v>23</v>
          </cell>
          <cell r="S46">
            <v>23</v>
          </cell>
          <cell r="T46">
            <v>23</v>
          </cell>
          <cell r="U46">
            <v>23</v>
          </cell>
          <cell r="V46">
            <v>23</v>
          </cell>
          <cell r="W46">
            <v>23</v>
          </cell>
          <cell r="X46">
            <v>24</v>
          </cell>
          <cell r="Y46">
            <v>24</v>
          </cell>
          <cell r="Z46">
            <v>24</v>
          </cell>
          <cell r="AA46">
            <v>24</v>
          </cell>
          <cell r="AB46">
            <v>24</v>
          </cell>
          <cell r="AC46">
            <v>24</v>
          </cell>
          <cell r="AD46">
            <v>24</v>
          </cell>
          <cell r="AE46">
            <v>24</v>
          </cell>
          <cell r="AF46">
            <v>24</v>
          </cell>
          <cell r="AG46">
            <v>24</v>
          </cell>
          <cell r="AH46">
            <v>24</v>
          </cell>
          <cell r="AI46">
            <v>24</v>
          </cell>
          <cell r="AJ46">
            <v>25</v>
          </cell>
          <cell r="AK46">
            <v>25</v>
          </cell>
          <cell r="AL46">
            <v>25</v>
          </cell>
          <cell r="AM46">
            <v>25</v>
          </cell>
          <cell r="AN46">
            <v>25</v>
          </cell>
          <cell r="AO46">
            <v>25</v>
          </cell>
          <cell r="AP46">
            <v>26</v>
          </cell>
          <cell r="AQ46">
            <v>26</v>
          </cell>
          <cell r="AR46">
            <v>0</v>
          </cell>
          <cell r="AS46">
            <v>0</v>
          </cell>
          <cell r="AT46">
            <v>0</v>
          </cell>
          <cell r="AY46">
            <v>26</v>
          </cell>
          <cell r="AZ46">
            <v>26</v>
          </cell>
          <cell r="BA46">
            <v>0</v>
          </cell>
          <cell r="BB46">
            <v>0</v>
          </cell>
          <cell r="BC46">
            <v>0</v>
          </cell>
          <cell r="BD46">
            <v>26</v>
          </cell>
          <cell r="BE46">
            <v>26</v>
          </cell>
          <cell r="BF46">
            <v>0</v>
          </cell>
          <cell r="BG46">
            <v>0</v>
          </cell>
          <cell r="BH46">
            <v>0</v>
          </cell>
          <cell r="BI46">
            <v>26</v>
          </cell>
          <cell r="BJ46">
            <v>26</v>
          </cell>
          <cell r="BK46">
            <v>26</v>
          </cell>
          <cell r="BL46">
            <v>26</v>
          </cell>
          <cell r="BM46">
            <v>26</v>
          </cell>
          <cell r="BN46">
            <v>26</v>
          </cell>
          <cell r="BO46">
            <v>26</v>
          </cell>
          <cell r="BP46">
            <v>26</v>
          </cell>
          <cell r="BQ46">
            <v>26</v>
          </cell>
          <cell r="BR46">
            <v>26</v>
          </cell>
          <cell r="BS46">
            <v>26</v>
          </cell>
          <cell r="BT46">
            <v>26</v>
          </cell>
          <cell r="BU46">
            <v>26</v>
          </cell>
          <cell r="BV46">
            <v>26</v>
          </cell>
          <cell r="BW46">
            <v>26</v>
          </cell>
          <cell r="BX46">
            <v>26</v>
          </cell>
          <cell r="BY46">
            <v>26</v>
          </cell>
          <cell r="BZ46">
            <v>27</v>
          </cell>
          <cell r="CA46">
            <v>26</v>
          </cell>
          <cell r="CB46">
            <v>26</v>
          </cell>
          <cell r="CC46">
            <v>26</v>
          </cell>
          <cell r="CD46">
            <v>26</v>
          </cell>
          <cell r="CE46">
            <v>26</v>
          </cell>
          <cell r="CF46">
            <v>26</v>
          </cell>
          <cell r="CG46">
            <v>26</v>
          </cell>
          <cell r="CH46">
            <v>27</v>
          </cell>
          <cell r="CI46">
            <v>27</v>
          </cell>
          <cell r="CJ46">
            <v>27</v>
          </cell>
          <cell r="CK46">
            <v>27</v>
          </cell>
          <cell r="CL46">
            <v>27</v>
          </cell>
          <cell r="CM46">
            <v>27</v>
          </cell>
          <cell r="CN46">
            <v>27</v>
          </cell>
          <cell r="CO46">
            <v>27</v>
          </cell>
          <cell r="CP46">
            <v>27</v>
          </cell>
          <cell r="CQ46">
            <v>27</v>
          </cell>
          <cell r="CR46">
            <v>27</v>
          </cell>
          <cell r="CS46">
            <v>27</v>
          </cell>
          <cell r="CT46">
            <v>27</v>
          </cell>
          <cell r="CU46">
            <v>27</v>
          </cell>
          <cell r="CV46">
            <v>7</v>
          </cell>
          <cell r="CW46">
            <v>7</v>
          </cell>
          <cell r="CX46">
            <v>7</v>
          </cell>
          <cell r="CY46">
            <v>7</v>
          </cell>
          <cell r="CZ46">
            <v>7</v>
          </cell>
          <cell r="DA46">
            <v>7</v>
          </cell>
          <cell r="DB46">
            <v>7</v>
          </cell>
          <cell r="DC46">
            <v>7</v>
          </cell>
          <cell r="DD46">
            <v>7</v>
          </cell>
          <cell r="DE46">
            <v>7</v>
          </cell>
          <cell r="DF46">
            <v>7</v>
          </cell>
          <cell r="DG46">
            <v>7</v>
          </cell>
          <cell r="DH46">
            <v>7</v>
          </cell>
          <cell r="DI46">
            <v>7</v>
          </cell>
          <cell r="DJ46">
            <v>7</v>
          </cell>
          <cell r="DK46">
            <v>7</v>
          </cell>
          <cell r="DL46">
            <v>7</v>
          </cell>
          <cell r="DM46">
            <v>7</v>
          </cell>
          <cell r="DN46">
            <v>7</v>
          </cell>
          <cell r="DO46">
            <v>7</v>
          </cell>
          <cell r="DP46">
            <v>7</v>
          </cell>
          <cell r="DQ46">
            <v>7</v>
          </cell>
          <cell r="DR46">
            <v>7</v>
          </cell>
          <cell r="DW46" t="str">
            <v>mstag:commonStock</v>
          </cell>
          <cell r="DX46">
            <v>6</v>
          </cell>
          <cell r="DY46" t="str">
            <v>ISO4217:USD</v>
          </cell>
          <cell r="DZ46" t="b">
            <v>0</v>
          </cell>
        </row>
        <row r="47">
          <cell r="B47" t="str">
            <v>Additional paid in capital</v>
          </cell>
          <cell r="D47">
            <v>1653.62</v>
          </cell>
          <cell r="E47">
            <v>1698.8</v>
          </cell>
          <cell r="F47">
            <v>1747.3</v>
          </cell>
          <cell r="G47">
            <v>1502</v>
          </cell>
          <cell r="H47">
            <v>1502</v>
          </cell>
          <cell r="I47">
            <v>2359.5</v>
          </cell>
          <cell r="J47">
            <v>2557.9</v>
          </cell>
          <cell r="K47">
            <v>2697.9</v>
          </cell>
          <cell r="L47">
            <v>1542</v>
          </cell>
          <cell r="M47">
            <v>1542</v>
          </cell>
          <cell r="N47">
            <v>2786.1</v>
          </cell>
          <cell r="O47">
            <v>2868.4</v>
          </cell>
          <cell r="P47">
            <v>3490.7</v>
          </cell>
          <cell r="Q47">
            <v>2311</v>
          </cell>
          <cell r="R47">
            <v>2311</v>
          </cell>
          <cell r="S47">
            <v>3428</v>
          </cell>
          <cell r="T47">
            <v>3507</v>
          </cell>
          <cell r="U47">
            <v>3740</v>
          </cell>
          <cell r="V47">
            <v>2475</v>
          </cell>
          <cell r="W47">
            <v>2475</v>
          </cell>
          <cell r="X47">
            <v>3709</v>
          </cell>
          <cell r="Y47">
            <v>3910</v>
          </cell>
          <cell r="Z47">
            <v>4019</v>
          </cell>
          <cell r="AA47">
            <v>2510</v>
          </cell>
          <cell r="AB47">
            <v>2510</v>
          </cell>
          <cell r="AC47">
            <v>3998</v>
          </cell>
          <cell r="AD47">
            <v>4135</v>
          </cell>
          <cell r="AE47">
            <v>4149</v>
          </cell>
          <cell r="AF47">
            <v>2555</v>
          </cell>
          <cell r="AG47">
            <v>2555</v>
          </cell>
          <cell r="AH47">
            <v>4339</v>
          </cell>
          <cell r="AI47">
            <v>4630</v>
          </cell>
          <cell r="AJ47">
            <v>4985</v>
          </cell>
          <cell r="AK47">
            <v>2898</v>
          </cell>
          <cell r="AL47">
            <v>2898</v>
          </cell>
          <cell r="AM47">
            <v>3025</v>
          </cell>
          <cell r="AN47">
            <v>3063</v>
          </cell>
          <cell r="AO47">
            <v>3239</v>
          </cell>
          <cell r="AP47">
            <v>3367</v>
          </cell>
          <cell r="AQ47">
            <v>3367</v>
          </cell>
          <cell r="AR47">
            <v>3434</v>
          </cell>
          <cell r="AS47">
            <v>3486</v>
          </cell>
          <cell r="AT47">
            <v>3519</v>
          </cell>
          <cell r="AY47">
            <v>3483</v>
          </cell>
          <cell r="AZ47">
            <v>3483</v>
          </cell>
          <cell r="BA47">
            <v>3987</v>
          </cell>
          <cell r="BB47">
            <v>4066</v>
          </cell>
          <cell r="BC47">
            <v>4112</v>
          </cell>
          <cell r="BD47">
            <v>4124</v>
          </cell>
          <cell r="BE47">
            <v>4124</v>
          </cell>
          <cell r="BF47">
            <v>4180</v>
          </cell>
          <cell r="BG47">
            <v>4230</v>
          </cell>
          <cell r="BH47">
            <v>4260</v>
          </cell>
          <cell r="BI47">
            <v>4131</v>
          </cell>
          <cell r="BJ47">
            <v>4131</v>
          </cell>
          <cell r="BK47">
            <v>4278</v>
          </cell>
          <cell r="BL47">
            <v>4294</v>
          </cell>
          <cell r="BM47">
            <v>4311</v>
          </cell>
          <cell r="BN47">
            <v>4320</v>
          </cell>
          <cell r="BO47">
            <v>4320</v>
          </cell>
          <cell r="BP47">
            <v>4329</v>
          </cell>
          <cell r="BQ47">
            <v>4335</v>
          </cell>
          <cell r="BR47">
            <v>4347</v>
          </cell>
          <cell r="BS47">
            <v>4372</v>
          </cell>
          <cell r="BT47">
            <v>4372</v>
          </cell>
          <cell r="BU47">
            <v>4379</v>
          </cell>
          <cell r="BV47">
            <v>4391</v>
          </cell>
          <cell r="BW47">
            <v>4401</v>
          </cell>
          <cell r="BX47">
            <v>4412</v>
          </cell>
          <cell r="BY47">
            <v>4412</v>
          </cell>
          <cell r="BZ47">
            <v>4420</v>
          </cell>
          <cell r="CA47">
            <v>4431</v>
          </cell>
          <cell r="CB47">
            <v>4437</v>
          </cell>
          <cell r="CC47">
            <v>4445</v>
          </cell>
          <cell r="CD47">
            <v>4445</v>
          </cell>
          <cell r="CE47">
            <v>4450</v>
          </cell>
          <cell r="CF47">
            <v>4457</v>
          </cell>
          <cell r="CG47">
            <v>4464</v>
          </cell>
          <cell r="CH47">
            <v>4461</v>
          </cell>
          <cell r="CI47">
            <v>4461</v>
          </cell>
          <cell r="CJ47">
            <v>4459</v>
          </cell>
          <cell r="CK47">
            <v>4461</v>
          </cell>
          <cell r="CL47">
            <v>4461</v>
          </cell>
          <cell r="CM47">
            <v>4449</v>
          </cell>
          <cell r="CN47">
            <v>4449</v>
          </cell>
          <cell r="CO47">
            <v>4448</v>
          </cell>
          <cell r="CP47">
            <v>4425</v>
          </cell>
          <cell r="CQ47">
            <v>4425</v>
          </cell>
          <cell r="CR47">
            <v>4407</v>
          </cell>
          <cell r="CS47">
            <v>4407</v>
          </cell>
          <cell r="CT47">
            <v>4403</v>
          </cell>
          <cell r="CU47">
            <v>4410</v>
          </cell>
          <cell r="CV47">
            <v>4437</v>
          </cell>
          <cell r="CW47">
            <v>4446</v>
          </cell>
          <cell r="CX47">
            <v>4446</v>
          </cell>
          <cell r="CY47">
            <v>4455</v>
          </cell>
          <cell r="CZ47">
            <v>4464</v>
          </cell>
          <cell r="DA47">
            <v>4473</v>
          </cell>
          <cell r="DB47">
            <v>4482</v>
          </cell>
          <cell r="DC47">
            <v>4482</v>
          </cell>
          <cell r="DD47">
            <v>4491</v>
          </cell>
          <cell r="DE47">
            <v>4500</v>
          </cell>
          <cell r="DF47">
            <v>4509</v>
          </cell>
          <cell r="DG47">
            <v>4518</v>
          </cell>
          <cell r="DH47">
            <v>4518</v>
          </cell>
          <cell r="DI47">
            <v>4527</v>
          </cell>
          <cell r="DJ47">
            <v>4536</v>
          </cell>
          <cell r="DK47">
            <v>4545</v>
          </cell>
          <cell r="DL47">
            <v>4554</v>
          </cell>
          <cell r="DM47">
            <v>4554</v>
          </cell>
          <cell r="DN47">
            <v>4563</v>
          </cell>
          <cell r="DO47">
            <v>4572</v>
          </cell>
          <cell r="DP47">
            <v>4581</v>
          </cell>
          <cell r="DQ47">
            <v>4590</v>
          </cell>
          <cell r="DR47">
            <v>4590</v>
          </cell>
          <cell r="DW47" t="str">
            <v>mstag:additionalPaidInCapital</v>
          </cell>
          <cell r="DX47">
            <v>6</v>
          </cell>
          <cell r="DY47" t="str">
            <v>ISO4217:USD</v>
          </cell>
          <cell r="DZ47" t="b">
            <v>0</v>
          </cell>
        </row>
        <row r="48">
          <cell r="B48" t="str">
            <v>Accumulated other comprehensive loss</v>
          </cell>
          <cell r="D48">
            <v>0</v>
          </cell>
          <cell r="E48">
            <v>0</v>
          </cell>
          <cell r="F48">
            <v>0</v>
          </cell>
          <cell r="G48">
            <v>0</v>
          </cell>
          <cell r="H48">
            <v>0</v>
          </cell>
          <cell r="I48">
            <v>0</v>
          </cell>
          <cell r="J48">
            <v>0</v>
          </cell>
          <cell r="K48">
            <v>0</v>
          </cell>
          <cell r="L48">
            <v>28</v>
          </cell>
          <cell r="M48">
            <v>28</v>
          </cell>
          <cell r="N48">
            <v>0</v>
          </cell>
          <cell r="O48">
            <v>0</v>
          </cell>
          <cell r="P48">
            <v>0</v>
          </cell>
          <cell r="Q48">
            <v>110</v>
          </cell>
          <cell r="R48">
            <v>110</v>
          </cell>
          <cell r="S48">
            <v>0</v>
          </cell>
          <cell r="T48">
            <v>0</v>
          </cell>
          <cell r="U48">
            <v>0</v>
          </cell>
          <cell r="V48">
            <v>50</v>
          </cell>
          <cell r="W48">
            <v>50</v>
          </cell>
          <cell r="X48">
            <v>0</v>
          </cell>
          <cell r="Y48">
            <v>0</v>
          </cell>
          <cell r="Z48">
            <v>0</v>
          </cell>
          <cell r="AA48">
            <v>77</v>
          </cell>
          <cell r="AB48">
            <v>77</v>
          </cell>
          <cell r="AC48">
            <v>0</v>
          </cell>
          <cell r="AD48">
            <v>0</v>
          </cell>
          <cell r="AE48">
            <v>0</v>
          </cell>
          <cell r="AF48">
            <v>-70</v>
          </cell>
          <cell r="AG48">
            <v>-70</v>
          </cell>
          <cell r="AH48">
            <v>0</v>
          </cell>
          <cell r="AI48">
            <v>0</v>
          </cell>
          <cell r="AJ48">
            <v>0</v>
          </cell>
          <cell r="AK48">
            <v>-44</v>
          </cell>
          <cell r="AL48">
            <v>-44</v>
          </cell>
          <cell r="AM48">
            <v>-28</v>
          </cell>
          <cell r="AN48">
            <v>-44</v>
          </cell>
          <cell r="AO48">
            <v>-43</v>
          </cell>
          <cell r="AP48">
            <v>-44</v>
          </cell>
          <cell r="AQ48">
            <v>-44</v>
          </cell>
          <cell r="AR48">
            <v>-42</v>
          </cell>
          <cell r="AS48">
            <v>-16</v>
          </cell>
          <cell r="AT48">
            <v>-15</v>
          </cell>
          <cell r="AY48">
            <v>-15</v>
          </cell>
          <cell r="AZ48">
            <v>-15</v>
          </cell>
          <cell r="BA48">
            <v>-14</v>
          </cell>
          <cell r="BB48">
            <v>-12</v>
          </cell>
          <cell r="BC48">
            <v>-11</v>
          </cell>
          <cell r="BD48">
            <v>-8</v>
          </cell>
          <cell r="BE48">
            <v>-8</v>
          </cell>
          <cell r="BF48">
            <v>-9</v>
          </cell>
          <cell r="BG48">
            <v>-14</v>
          </cell>
          <cell r="BH48">
            <v>-13</v>
          </cell>
          <cell r="BI48">
            <v>-13</v>
          </cell>
          <cell r="BJ48">
            <v>-13</v>
          </cell>
          <cell r="BK48">
            <v>-13</v>
          </cell>
          <cell r="BL48">
            <v>-12</v>
          </cell>
          <cell r="BM48">
            <v>-12</v>
          </cell>
          <cell r="BN48">
            <v>-39</v>
          </cell>
          <cell r="BO48">
            <v>-39</v>
          </cell>
          <cell r="BP48">
            <v>-40</v>
          </cell>
          <cell r="BQ48">
            <v>-40</v>
          </cell>
          <cell r="BR48">
            <v>-39</v>
          </cell>
          <cell r="BS48">
            <v>-45</v>
          </cell>
          <cell r="BT48">
            <v>-45</v>
          </cell>
          <cell r="BU48">
            <v>-46</v>
          </cell>
          <cell r="BV48">
            <v>-46</v>
          </cell>
          <cell r="BW48">
            <v>-45</v>
          </cell>
          <cell r="BX48">
            <v>-28</v>
          </cell>
          <cell r="BY48">
            <v>-28</v>
          </cell>
          <cell r="BZ48">
            <v>-28</v>
          </cell>
          <cell r="CA48">
            <v>-26</v>
          </cell>
          <cell r="CB48">
            <v>-29</v>
          </cell>
          <cell r="CC48">
            <v>-37</v>
          </cell>
          <cell r="CD48">
            <v>-37</v>
          </cell>
          <cell r="CE48">
            <v>-34</v>
          </cell>
          <cell r="CF48">
            <v>-31</v>
          </cell>
          <cell r="CG48">
            <v>-27</v>
          </cell>
          <cell r="CH48">
            <v>-32</v>
          </cell>
          <cell r="CI48">
            <v>-32</v>
          </cell>
          <cell r="CJ48">
            <v>-31</v>
          </cell>
          <cell r="CK48">
            <v>-31</v>
          </cell>
          <cell r="CL48">
            <v>-30</v>
          </cell>
          <cell r="CM48">
            <v>-43</v>
          </cell>
          <cell r="CN48">
            <v>-43</v>
          </cell>
          <cell r="CO48">
            <v>-43</v>
          </cell>
          <cell r="CP48">
            <v>-43</v>
          </cell>
          <cell r="CQ48">
            <v>-43</v>
          </cell>
          <cell r="CR48">
            <v>-52</v>
          </cell>
          <cell r="CS48">
            <v>-52</v>
          </cell>
          <cell r="CT48">
            <v>-49</v>
          </cell>
          <cell r="CU48">
            <v>-49</v>
          </cell>
          <cell r="CV48">
            <v>-49</v>
          </cell>
          <cell r="CW48">
            <v>-49</v>
          </cell>
          <cell r="CX48">
            <v>-49</v>
          </cell>
          <cell r="CY48">
            <v>-49</v>
          </cell>
          <cell r="CZ48">
            <v>-49</v>
          </cell>
          <cell r="DA48">
            <v>-49</v>
          </cell>
          <cell r="DB48">
            <v>-49</v>
          </cell>
          <cell r="DC48">
            <v>-49</v>
          </cell>
          <cell r="DD48">
            <v>-49</v>
          </cell>
          <cell r="DE48">
            <v>-49</v>
          </cell>
          <cell r="DF48">
            <v>-49</v>
          </cell>
          <cell r="DG48">
            <v>-49</v>
          </cell>
          <cell r="DH48">
            <v>-49</v>
          </cell>
          <cell r="DI48">
            <v>-49</v>
          </cell>
          <cell r="DJ48">
            <v>-49</v>
          </cell>
          <cell r="DK48">
            <v>-49</v>
          </cell>
          <cell r="DL48">
            <v>-49</v>
          </cell>
          <cell r="DM48">
            <v>-49</v>
          </cell>
          <cell r="DN48">
            <v>-49</v>
          </cell>
          <cell r="DO48">
            <v>-49</v>
          </cell>
          <cell r="DP48">
            <v>-49</v>
          </cell>
          <cell r="DQ48">
            <v>-49</v>
          </cell>
          <cell r="DR48">
            <v>-49</v>
          </cell>
          <cell r="DW48" t="str">
            <v>mstag:accumulatedOtherComprehensiveIncomeLossAndReserves</v>
          </cell>
          <cell r="DX48">
            <v>6</v>
          </cell>
          <cell r="DY48" t="str">
            <v>ISO4217:USD</v>
          </cell>
          <cell r="DZ48" t="b">
            <v>0</v>
          </cell>
        </row>
        <row r="49">
          <cell r="B49" t="str">
            <v>Accumulated deficit</v>
          </cell>
          <cell r="D49">
            <v>0</v>
          </cell>
          <cell r="E49">
            <v>0</v>
          </cell>
          <cell r="F49">
            <v>0</v>
          </cell>
          <cell r="G49">
            <v>740</v>
          </cell>
          <cell r="H49">
            <v>740</v>
          </cell>
          <cell r="I49">
            <v>0</v>
          </cell>
          <cell r="J49">
            <v>0</v>
          </cell>
          <cell r="K49">
            <v>0</v>
          </cell>
          <cell r="L49">
            <v>1090</v>
          </cell>
          <cell r="M49">
            <v>1090</v>
          </cell>
          <cell r="N49">
            <v>0</v>
          </cell>
          <cell r="O49">
            <v>0</v>
          </cell>
          <cell r="P49">
            <v>0</v>
          </cell>
          <cell r="Q49">
            <v>819</v>
          </cell>
          <cell r="R49">
            <v>819</v>
          </cell>
          <cell r="S49">
            <v>0</v>
          </cell>
          <cell r="T49">
            <v>0</v>
          </cell>
          <cell r="U49">
            <v>0</v>
          </cell>
          <cell r="V49">
            <v>1080</v>
          </cell>
          <cell r="W49">
            <v>1080</v>
          </cell>
          <cell r="X49">
            <v>0</v>
          </cell>
          <cell r="Y49">
            <v>0</v>
          </cell>
          <cell r="Z49">
            <v>0</v>
          </cell>
          <cell r="AA49">
            <v>1329</v>
          </cell>
          <cell r="AB49">
            <v>1329</v>
          </cell>
          <cell r="AC49">
            <v>0</v>
          </cell>
          <cell r="AD49">
            <v>0</v>
          </cell>
          <cell r="AE49">
            <v>0</v>
          </cell>
          <cell r="AF49">
            <v>1627</v>
          </cell>
          <cell r="AG49">
            <v>1627</v>
          </cell>
          <cell r="AH49">
            <v>0</v>
          </cell>
          <cell r="AI49">
            <v>0</v>
          </cell>
          <cell r="AJ49">
            <v>0</v>
          </cell>
          <cell r="AK49">
            <v>2270</v>
          </cell>
          <cell r="AL49">
            <v>2270</v>
          </cell>
          <cell r="AM49">
            <v>2426</v>
          </cell>
          <cell r="AN49">
            <v>2514</v>
          </cell>
          <cell r="AO49">
            <v>2794</v>
          </cell>
          <cell r="AP49">
            <v>3055</v>
          </cell>
          <cell r="AQ49">
            <v>3055</v>
          </cell>
          <cell r="AR49">
            <v>3393</v>
          </cell>
          <cell r="AS49">
            <v>3708</v>
          </cell>
          <cell r="AT49">
            <v>3653</v>
          </cell>
          <cell r="AY49">
            <v>3514</v>
          </cell>
          <cell r="AZ49">
            <v>3514</v>
          </cell>
          <cell r="BA49">
            <v>3165</v>
          </cell>
          <cell r="BB49">
            <v>2970</v>
          </cell>
          <cell r="BC49">
            <v>2662</v>
          </cell>
          <cell r="BD49">
            <v>1710</v>
          </cell>
          <cell r="BE49">
            <v>1710</v>
          </cell>
          <cell r="BF49">
            <v>1588</v>
          </cell>
          <cell r="BG49">
            <v>1162</v>
          </cell>
          <cell r="BH49">
            <v>1092</v>
          </cell>
          <cell r="BI49">
            <v>-930</v>
          </cell>
          <cell r="BJ49">
            <v>-930</v>
          </cell>
          <cell r="BK49">
            <v>-1087</v>
          </cell>
          <cell r="BL49">
            <v>-1120</v>
          </cell>
          <cell r="BM49">
            <v>-1521</v>
          </cell>
          <cell r="BN49">
            <v>-1807</v>
          </cell>
          <cell r="BO49">
            <v>-1807</v>
          </cell>
          <cell r="BP49">
            <v>-1737</v>
          </cell>
          <cell r="BQ49">
            <v>-2135</v>
          </cell>
          <cell r="BR49">
            <v>-2224</v>
          </cell>
          <cell r="BS49">
            <v>-2610</v>
          </cell>
          <cell r="BT49">
            <v>-2610</v>
          </cell>
          <cell r="BU49">
            <v>-2713</v>
          </cell>
          <cell r="BV49">
            <v>-2743</v>
          </cell>
          <cell r="BW49">
            <v>-2802</v>
          </cell>
          <cell r="BX49">
            <v>-2877</v>
          </cell>
          <cell r="BY49">
            <v>-2877</v>
          </cell>
          <cell r="BZ49">
            <v>-2908</v>
          </cell>
          <cell r="CA49">
            <v>-2923</v>
          </cell>
          <cell r="CB49">
            <v>-2819</v>
          </cell>
          <cell r="CC49">
            <v>-2852</v>
          </cell>
          <cell r="CD49">
            <v>-2852</v>
          </cell>
          <cell r="CE49">
            <v>-2674</v>
          </cell>
          <cell r="CF49">
            <v>-2689</v>
          </cell>
          <cell r="CG49">
            <v>-2692</v>
          </cell>
          <cell r="CH49">
            <v>-2665</v>
          </cell>
          <cell r="CI49">
            <v>-2665</v>
          </cell>
          <cell r="CJ49">
            <v>-2571</v>
          </cell>
          <cell r="CK49">
            <v>-2540</v>
          </cell>
          <cell r="CL49">
            <v>-1602</v>
          </cell>
          <cell r="CM49">
            <v>-1522</v>
          </cell>
          <cell r="CN49">
            <v>-1522</v>
          </cell>
          <cell r="CO49">
            <v>-1443</v>
          </cell>
          <cell r="CP49">
            <v>-1382</v>
          </cell>
          <cell r="CQ49">
            <v>-1370</v>
          </cell>
          <cell r="CR49">
            <v>-1440</v>
          </cell>
          <cell r="CS49">
            <v>-1440</v>
          </cell>
          <cell r="CT49">
            <v>-1376</v>
          </cell>
          <cell r="CU49">
            <v>-1378</v>
          </cell>
          <cell r="CV49">
            <v>-1337</v>
          </cell>
          <cell r="CW49">
            <v>-1276.2080267903725</v>
          </cell>
          <cell r="CX49">
            <v>-1276.2080267903725</v>
          </cell>
          <cell r="CY49">
            <v>-1243.0614144352799</v>
          </cell>
          <cell r="CZ49">
            <v>-1166.2078330179677</v>
          </cell>
          <cell r="DA49">
            <v>-1104.741784179716</v>
          </cell>
          <cell r="DB49">
            <v>-1000.0657881428808</v>
          </cell>
          <cell r="DC49">
            <v>-1000.0657881428808</v>
          </cell>
          <cell r="DD49">
            <v>-930.07513616164965</v>
          </cell>
          <cell r="DE49">
            <v>-832.98231617035458</v>
          </cell>
          <cell r="DF49">
            <v>-756.5990658059136</v>
          </cell>
          <cell r="DG49">
            <v>-631.88557317783568</v>
          </cell>
          <cell r="DH49">
            <v>-631.88557317783568</v>
          </cell>
          <cell r="DI49">
            <v>-547.57252132434837</v>
          </cell>
          <cell r="DJ49">
            <v>-444.1786914594428</v>
          </cell>
          <cell r="DK49">
            <v>-359.24298369789727</v>
          </cell>
          <cell r="DL49">
            <v>-219.90843490053732</v>
          </cell>
          <cell r="DM49">
            <v>-219.90843490053732</v>
          </cell>
          <cell r="DN49">
            <v>-119.11561388448922</v>
          </cell>
          <cell r="DO49">
            <v>-2.493283893623456</v>
          </cell>
          <cell r="DP49">
            <v>95.244157887098694</v>
          </cell>
          <cell r="DQ49">
            <v>248.14530053982378</v>
          </cell>
          <cell r="DR49">
            <v>248.14530053982378</v>
          </cell>
          <cell r="DW49" t="str">
            <v>mstag:retainedEarnings</v>
          </cell>
          <cell r="DX49">
            <v>6</v>
          </cell>
          <cell r="DY49" t="str">
            <v>ISO4217:USD</v>
          </cell>
          <cell r="DZ49" t="b">
            <v>0</v>
          </cell>
        </row>
        <row r="50">
          <cell r="B50" t="str">
            <v>Common stock in treasury</v>
          </cell>
          <cell r="D50">
            <v>-279.375</v>
          </cell>
          <cell r="E50">
            <v>-278.10000000000002</v>
          </cell>
          <cell r="F50">
            <v>-276.2</v>
          </cell>
          <cell r="G50">
            <v>-272</v>
          </cell>
          <cell r="H50">
            <v>-272</v>
          </cell>
          <cell r="I50">
            <v>-270</v>
          </cell>
          <cell r="J50">
            <v>-219.3</v>
          </cell>
          <cell r="K50">
            <v>-58.5</v>
          </cell>
          <cell r="L50">
            <v>-40</v>
          </cell>
          <cell r="M50">
            <v>-40</v>
          </cell>
          <cell r="N50">
            <v>-38.700000000000003</v>
          </cell>
          <cell r="O50">
            <v>-38.700000000000003</v>
          </cell>
          <cell r="P50">
            <v>-38.700000000000003</v>
          </cell>
          <cell r="Q50">
            <v>-39</v>
          </cell>
          <cell r="R50">
            <v>-39</v>
          </cell>
          <cell r="S50">
            <v>-70</v>
          </cell>
          <cell r="T50">
            <v>-70</v>
          </cell>
          <cell r="U50">
            <v>-70</v>
          </cell>
          <cell r="V50">
            <v>-70</v>
          </cell>
          <cell r="W50">
            <v>-70</v>
          </cell>
          <cell r="X50">
            <v>-70</v>
          </cell>
          <cell r="Y50">
            <v>-70</v>
          </cell>
          <cell r="Z50">
            <v>-70</v>
          </cell>
          <cell r="AA50">
            <v>-70</v>
          </cell>
          <cell r="AB50">
            <v>-70</v>
          </cell>
          <cell r="AC50">
            <v>-70</v>
          </cell>
          <cell r="AD50">
            <v>-70</v>
          </cell>
          <cell r="AE50">
            <v>-70</v>
          </cell>
          <cell r="AF50">
            <v>-70</v>
          </cell>
          <cell r="AG50">
            <v>-70</v>
          </cell>
          <cell r="AH50">
            <v>-70</v>
          </cell>
          <cell r="AI50">
            <v>-70</v>
          </cell>
          <cell r="AJ50">
            <v>-70</v>
          </cell>
          <cell r="AK50">
            <v>-70</v>
          </cell>
          <cell r="AL50">
            <v>-70</v>
          </cell>
          <cell r="AM50">
            <v>-164</v>
          </cell>
          <cell r="AN50">
            <v>-257</v>
          </cell>
          <cell r="AO50">
            <v>-550</v>
          </cell>
          <cell r="AP50">
            <v>-785</v>
          </cell>
          <cell r="AQ50">
            <v>-785</v>
          </cell>
          <cell r="AR50">
            <v>-904</v>
          </cell>
          <cell r="AS50">
            <v>-1285</v>
          </cell>
          <cell r="AT50">
            <v>-1395</v>
          </cell>
          <cell r="AY50">
            <v>-1285</v>
          </cell>
          <cell r="AZ50">
            <v>-1285</v>
          </cell>
          <cell r="BA50">
            <v>-1395</v>
          </cell>
          <cell r="BB50">
            <v>-1493</v>
          </cell>
          <cell r="BC50">
            <v>-1491</v>
          </cell>
          <cell r="BD50">
            <v>-1491</v>
          </cell>
          <cell r="BE50">
            <v>-1491</v>
          </cell>
          <cell r="BF50">
            <v>-1491</v>
          </cell>
          <cell r="BG50">
            <v>-1491</v>
          </cell>
          <cell r="BH50">
            <v>-1490</v>
          </cell>
          <cell r="BI50">
            <v>-1482</v>
          </cell>
          <cell r="BJ50">
            <v>-1482</v>
          </cell>
          <cell r="BK50">
            <v>-1481</v>
          </cell>
          <cell r="BL50">
            <v>-1479</v>
          </cell>
          <cell r="BM50">
            <v>-1480</v>
          </cell>
          <cell r="BN50">
            <v>-1479</v>
          </cell>
          <cell r="BO50">
            <v>-1479</v>
          </cell>
          <cell r="BP50">
            <v>-1479</v>
          </cell>
          <cell r="BQ50">
            <v>-1479</v>
          </cell>
          <cell r="BR50">
            <v>-1479</v>
          </cell>
          <cell r="BS50">
            <v>-1479</v>
          </cell>
          <cell r="BT50">
            <v>-1479</v>
          </cell>
          <cell r="BU50">
            <v>-1479</v>
          </cell>
          <cell r="BV50">
            <v>-1479</v>
          </cell>
          <cell r="BW50">
            <v>-1479</v>
          </cell>
          <cell r="BX50">
            <v>-1479</v>
          </cell>
          <cell r="BY50">
            <v>-1479</v>
          </cell>
          <cell r="BZ50">
            <v>-1479</v>
          </cell>
          <cell r="CA50">
            <v>-1479</v>
          </cell>
          <cell r="CB50">
            <v>-1479</v>
          </cell>
          <cell r="CC50">
            <v>-1479</v>
          </cell>
          <cell r="CD50">
            <v>-1479</v>
          </cell>
          <cell r="CE50">
            <v>-1477</v>
          </cell>
          <cell r="CF50">
            <v>-1477</v>
          </cell>
          <cell r="CG50">
            <v>-1479</v>
          </cell>
          <cell r="CH50">
            <v>-1479</v>
          </cell>
          <cell r="CI50">
            <v>-1479</v>
          </cell>
          <cell r="CJ50">
            <v>-1479</v>
          </cell>
          <cell r="CK50">
            <v>-1479</v>
          </cell>
          <cell r="CL50">
            <v>-1479</v>
          </cell>
          <cell r="CM50">
            <v>-1479</v>
          </cell>
          <cell r="CN50">
            <v>-1479</v>
          </cell>
          <cell r="CO50">
            <v>-1479</v>
          </cell>
          <cell r="CP50">
            <v>-1551</v>
          </cell>
          <cell r="CQ50">
            <v>-1675</v>
          </cell>
          <cell r="CR50">
            <v>-1853</v>
          </cell>
          <cell r="CS50">
            <v>-1853</v>
          </cell>
          <cell r="CT50">
            <v>-1879</v>
          </cell>
          <cell r="CU50">
            <v>-1879</v>
          </cell>
          <cell r="CV50">
            <v>-1879</v>
          </cell>
          <cell r="CW50">
            <v>-1879</v>
          </cell>
          <cell r="CX50">
            <v>-1879</v>
          </cell>
          <cell r="CY50">
            <v>-1879</v>
          </cell>
          <cell r="CZ50">
            <v>-1879</v>
          </cell>
          <cell r="DA50">
            <v>-1879</v>
          </cell>
          <cell r="DB50">
            <v>-1879</v>
          </cell>
          <cell r="DC50">
            <v>-1879</v>
          </cell>
          <cell r="DD50">
            <v>-1879</v>
          </cell>
          <cell r="DE50">
            <v>-1879</v>
          </cell>
          <cell r="DF50">
            <v>-1879</v>
          </cell>
          <cell r="DG50">
            <v>-1879</v>
          </cell>
          <cell r="DH50">
            <v>-1879</v>
          </cell>
          <cell r="DI50">
            <v>-1879</v>
          </cell>
          <cell r="DJ50">
            <v>-1879</v>
          </cell>
          <cell r="DK50">
            <v>-1879</v>
          </cell>
          <cell r="DL50">
            <v>-1879</v>
          </cell>
          <cell r="DM50">
            <v>-1879</v>
          </cell>
          <cell r="DN50">
            <v>-1879</v>
          </cell>
          <cell r="DO50">
            <v>-1879</v>
          </cell>
          <cell r="DP50">
            <v>-1879</v>
          </cell>
          <cell r="DQ50">
            <v>-1879</v>
          </cell>
          <cell r="DR50">
            <v>-1879</v>
          </cell>
          <cell r="DW50" t="str">
            <v>mstag:treasuryStockAndInvestmentInOwnShares</v>
          </cell>
          <cell r="DX50">
            <v>6</v>
          </cell>
          <cell r="DY50" t="str">
            <v>ISO4217:USD</v>
          </cell>
          <cell r="DZ50" t="b">
            <v>1</v>
          </cell>
        </row>
        <row r="51">
          <cell r="B51" t="str">
            <v>Total Shareholders' Equity</v>
          </cell>
          <cell r="D51">
            <v>1388.164</v>
          </cell>
          <cell r="E51">
            <v>1434.6</v>
          </cell>
          <cell r="F51">
            <v>1485</v>
          </cell>
          <cell r="G51">
            <v>1986</v>
          </cell>
          <cell r="H51">
            <v>1986</v>
          </cell>
          <cell r="I51">
            <v>2105.9</v>
          </cell>
          <cell r="J51">
            <v>2355</v>
          </cell>
          <cell r="K51">
            <v>2655.8</v>
          </cell>
          <cell r="L51">
            <v>2636</v>
          </cell>
          <cell r="M51">
            <v>2636</v>
          </cell>
          <cell r="N51">
            <v>2763.8</v>
          </cell>
          <cell r="O51">
            <v>2846.2000000000003</v>
          </cell>
          <cell r="P51">
            <v>3474.8</v>
          </cell>
          <cell r="Q51">
            <v>3224</v>
          </cell>
          <cell r="R51">
            <v>3224</v>
          </cell>
          <cell r="S51">
            <v>3381</v>
          </cell>
          <cell r="T51">
            <v>3460</v>
          </cell>
          <cell r="U51">
            <v>3693</v>
          </cell>
          <cell r="V51">
            <v>3558</v>
          </cell>
          <cell r="W51">
            <v>3558</v>
          </cell>
          <cell r="X51">
            <v>3663</v>
          </cell>
          <cell r="Y51">
            <v>3864</v>
          </cell>
          <cell r="Z51">
            <v>3973</v>
          </cell>
          <cell r="AA51">
            <v>3870</v>
          </cell>
          <cell r="AB51">
            <v>3870</v>
          </cell>
          <cell r="AC51">
            <v>3952</v>
          </cell>
          <cell r="AD51">
            <v>4089</v>
          </cell>
          <cell r="AE51">
            <v>4103</v>
          </cell>
          <cell r="AF51">
            <v>4066</v>
          </cell>
          <cell r="AG51">
            <v>4066</v>
          </cell>
          <cell r="AH51">
            <v>4293</v>
          </cell>
          <cell r="AI51">
            <v>4584</v>
          </cell>
          <cell r="AJ51">
            <v>4940</v>
          </cell>
          <cell r="AK51">
            <v>5079</v>
          </cell>
          <cell r="AL51">
            <v>5079</v>
          </cell>
          <cell r="AM51">
            <v>5284</v>
          </cell>
          <cell r="AN51">
            <v>5301</v>
          </cell>
          <cell r="AO51">
            <v>5465</v>
          </cell>
          <cell r="AP51">
            <v>5619</v>
          </cell>
          <cell r="AQ51">
            <v>5619</v>
          </cell>
          <cell r="AR51">
            <v>5881</v>
          </cell>
          <cell r="AS51">
            <v>5893</v>
          </cell>
          <cell r="AT51">
            <v>5762</v>
          </cell>
          <cell r="AV51">
            <v>0</v>
          </cell>
          <cell r="AW51">
            <v>0</v>
          </cell>
          <cell r="AX51">
            <v>0</v>
          </cell>
          <cell r="AY51">
            <v>5723</v>
          </cell>
          <cell r="AZ51">
            <v>5723</v>
          </cell>
          <cell r="BA51">
            <v>5743</v>
          </cell>
          <cell r="BB51">
            <v>5531</v>
          </cell>
          <cell r="BC51">
            <v>5272</v>
          </cell>
          <cell r="BD51">
            <v>4361</v>
          </cell>
          <cell r="BE51">
            <v>4361</v>
          </cell>
          <cell r="BF51">
            <v>4268</v>
          </cell>
          <cell r="BG51">
            <v>3887</v>
          </cell>
          <cell r="BH51">
            <v>3849</v>
          </cell>
          <cell r="BI51">
            <v>1732</v>
          </cell>
          <cell r="BJ51">
            <v>1732</v>
          </cell>
          <cell r="BK51">
            <v>1723</v>
          </cell>
          <cell r="BL51">
            <v>1709</v>
          </cell>
          <cell r="BM51">
            <v>1324</v>
          </cell>
          <cell r="BN51">
            <v>1021</v>
          </cell>
          <cell r="BO51">
            <v>1021</v>
          </cell>
          <cell r="BP51">
            <v>1099</v>
          </cell>
          <cell r="BQ51">
            <v>707</v>
          </cell>
          <cell r="BR51">
            <v>631</v>
          </cell>
          <cell r="BS51">
            <v>264</v>
          </cell>
          <cell r="BT51">
            <v>264</v>
          </cell>
          <cell r="BU51">
            <v>167</v>
          </cell>
          <cell r="BV51">
            <v>149</v>
          </cell>
          <cell r="BW51">
            <v>101</v>
          </cell>
          <cell r="BX51">
            <v>54</v>
          </cell>
          <cell r="BY51">
            <v>54</v>
          </cell>
          <cell r="BZ51">
            <v>32</v>
          </cell>
          <cell r="CA51">
            <v>29</v>
          </cell>
          <cell r="CB51">
            <v>136</v>
          </cell>
          <cell r="CC51">
            <v>103</v>
          </cell>
          <cell r="CD51">
            <v>103</v>
          </cell>
          <cell r="CE51">
            <v>291</v>
          </cell>
          <cell r="CF51">
            <v>286</v>
          </cell>
          <cell r="CG51">
            <v>626</v>
          </cell>
          <cell r="CH51">
            <v>646</v>
          </cell>
          <cell r="CI51">
            <v>646</v>
          </cell>
          <cell r="CJ51">
            <v>739</v>
          </cell>
          <cell r="CK51">
            <v>772</v>
          </cell>
          <cell r="CL51">
            <v>1711</v>
          </cell>
          <cell r="CM51">
            <v>1766</v>
          </cell>
          <cell r="CN51">
            <v>1766</v>
          </cell>
          <cell r="CO51">
            <v>1844</v>
          </cell>
          <cell r="CP51">
            <v>1810</v>
          </cell>
          <cell r="CQ51">
            <v>1698</v>
          </cell>
          <cell r="CR51">
            <v>1423</v>
          </cell>
          <cell r="CS51">
            <v>1423</v>
          </cell>
          <cell r="CT51">
            <v>1460</v>
          </cell>
          <cell r="CU51">
            <v>1176</v>
          </cell>
          <cell r="CV51">
            <v>1224</v>
          </cell>
          <cell r="CW51">
            <v>1293.7919732096275</v>
          </cell>
          <cell r="CX51">
            <v>1293.7919732096275</v>
          </cell>
          <cell r="CY51">
            <v>1335.9385855647201</v>
          </cell>
          <cell r="CZ51">
            <v>1421.7921669820325</v>
          </cell>
          <cell r="DA51">
            <v>1492.258215820284</v>
          </cell>
          <cell r="DB51">
            <v>1605.9342118571194</v>
          </cell>
          <cell r="DC51">
            <v>1605.9342118571194</v>
          </cell>
          <cell r="DD51">
            <v>1684.9248638383506</v>
          </cell>
          <cell r="DE51">
            <v>1791.0176838296456</v>
          </cell>
          <cell r="DF51">
            <v>1876.4009341940864</v>
          </cell>
          <cell r="DG51">
            <v>2010.1144268221642</v>
          </cell>
          <cell r="DH51">
            <v>2010.1144268221642</v>
          </cell>
          <cell r="DI51">
            <v>2103.4274786756514</v>
          </cell>
          <cell r="DJ51">
            <v>2215.8213085405573</v>
          </cell>
          <cell r="DK51">
            <v>2309.7570163021028</v>
          </cell>
          <cell r="DL51">
            <v>2458.091565099463</v>
          </cell>
          <cell r="DM51">
            <v>2458.091565099463</v>
          </cell>
          <cell r="DN51">
            <v>2567.884386115511</v>
          </cell>
          <cell r="DO51">
            <v>2693.5067161063762</v>
          </cell>
          <cell r="DP51">
            <v>2800.2441578870985</v>
          </cell>
          <cell r="DQ51">
            <v>2962.1453005398234</v>
          </cell>
          <cell r="DR51">
            <v>2962.1453005398234</v>
          </cell>
        </row>
        <row r="52">
          <cell r="B52" t="str">
            <v>Noncontrolling interest</v>
          </cell>
          <cell r="D52">
            <v>0</v>
          </cell>
          <cell r="E52">
            <v>0</v>
          </cell>
          <cell r="F52">
            <v>0</v>
          </cell>
          <cell r="G52">
            <v>0</v>
          </cell>
          <cell r="I52">
            <v>0</v>
          </cell>
          <cell r="J52">
            <v>0</v>
          </cell>
          <cell r="K52">
            <v>0</v>
          </cell>
          <cell r="L52">
            <v>0</v>
          </cell>
          <cell r="N52">
            <v>0</v>
          </cell>
          <cell r="O52">
            <v>0</v>
          </cell>
          <cell r="P52">
            <v>0</v>
          </cell>
          <cell r="Q52">
            <v>0</v>
          </cell>
          <cell r="S52">
            <v>0</v>
          </cell>
          <cell r="T52">
            <v>0</v>
          </cell>
          <cell r="U52">
            <v>0</v>
          </cell>
          <cell r="V52">
            <v>0</v>
          </cell>
          <cell r="X52">
            <v>0</v>
          </cell>
          <cell r="Y52">
            <v>0</v>
          </cell>
          <cell r="Z52">
            <v>0</v>
          </cell>
          <cell r="AA52">
            <v>0</v>
          </cell>
          <cell r="AC52">
            <v>0</v>
          </cell>
          <cell r="AD52">
            <v>0</v>
          </cell>
          <cell r="AE52">
            <v>0</v>
          </cell>
          <cell r="AF52">
            <v>0</v>
          </cell>
          <cell r="AH52">
            <v>0</v>
          </cell>
          <cell r="AI52">
            <v>0</v>
          </cell>
          <cell r="AJ52">
            <v>0</v>
          </cell>
          <cell r="AK52">
            <v>0</v>
          </cell>
          <cell r="AM52">
            <v>0</v>
          </cell>
          <cell r="AN52">
            <v>0</v>
          </cell>
          <cell r="AO52">
            <v>0</v>
          </cell>
          <cell r="AP52">
            <v>0</v>
          </cell>
          <cell r="AR52">
            <v>0</v>
          </cell>
          <cell r="AS52">
            <v>0</v>
          </cell>
          <cell r="AT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47</v>
          </cell>
          <cell r="CF52">
            <v>47</v>
          </cell>
          <cell r="CG52">
            <v>47</v>
          </cell>
          <cell r="CH52">
            <v>51</v>
          </cell>
          <cell r="CI52">
            <v>51</v>
          </cell>
          <cell r="CJ52">
            <v>52</v>
          </cell>
          <cell r="CK52">
            <v>54</v>
          </cell>
          <cell r="CL52">
            <v>53</v>
          </cell>
          <cell r="CM52">
            <v>53</v>
          </cell>
          <cell r="CN52">
            <v>53</v>
          </cell>
          <cell r="CO52">
            <v>64</v>
          </cell>
          <cell r="CP52">
            <v>64</v>
          </cell>
          <cell r="CQ52">
            <v>63</v>
          </cell>
          <cell r="CR52">
            <v>69</v>
          </cell>
          <cell r="CS52">
            <v>69</v>
          </cell>
          <cell r="CT52">
            <v>71</v>
          </cell>
          <cell r="CU52">
            <v>53</v>
          </cell>
          <cell r="CV52">
            <v>45</v>
          </cell>
          <cell r="CW52">
            <v>45</v>
          </cell>
          <cell r="CX52">
            <v>45</v>
          </cell>
          <cell r="CY52">
            <v>45</v>
          </cell>
          <cell r="CZ52">
            <v>45</v>
          </cell>
          <cell r="DA52">
            <v>45</v>
          </cell>
          <cell r="DB52">
            <v>45</v>
          </cell>
          <cell r="DC52">
            <v>45</v>
          </cell>
          <cell r="DD52">
            <v>45</v>
          </cell>
          <cell r="DE52">
            <v>45</v>
          </cell>
          <cell r="DF52">
            <v>45</v>
          </cell>
          <cell r="DG52">
            <v>45</v>
          </cell>
          <cell r="DH52">
            <v>45</v>
          </cell>
          <cell r="DI52">
            <v>45</v>
          </cell>
          <cell r="DJ52">
            <v>45</v>
          </cell>
          <cell r="DK52">
            <v>45</v>
          </cell>
          <cell r="DL52">
            <v>45</v>
          </cell>
          <cell r="DM52">
            <v>45</v>
          </cell>
          <cell r="DN52">
            <v>45</v>
          </cell>
          <cell r="DO52">
            <v>45</v>
          </cell>
          <cell r="DP52">
            <v>45</v>
          </cell>
          <cell r="DQ52">
            <v>45</v>
          </cell>
          <cell r="DR52">
            <v>45</v>
          </cell>
          <cell r="DW52" t="str">
            <v>mstag:minorityInterestsInEquity</v>
          </cell>
          <cell r="DX52">
            <v>6</v>
          </cell>
          <cell r="DY52" t="str">
            <v>ISO4217:USD</v>
          </cell>
          <cell r="DZ52" t="b">
            <v>0</v>
          </cell>
        </row>
        <row r="53">
          <cell r="B53" t="str">
            <v>Total Liabilities and Equity</v>
          </cell>
          <cell r="D53">
            <v>3336.346</v>
          </cell>
          <cell r="E53">
            <v>3303.4</v>
          </cell>
          <cell r="F53">
            <v>3330.7</v>
          </cell>
          <cell r="G53">
            <v>7918</v>
          </cell>
          <cell r="H53">
            <v>7918</v>
          </cell>
          <cell r="I53">
            <v>7884.7000000000007</v>
          </cell>
          <cell r="J53">
            <v>8140.5000000000009</v>
          </cell>
          <cell r="K53">
            <v>8322.7999999999993</v>
          </cell>
          <cell r="L53">
            <v>8332</v>
          </cell>
          <cell r="M53">
            <v>8332</v>
          </cell>
          <cell r="N53">
            <v>8425.5</v>
          </cell>
          <cell r="O53">
            <v>8572.5</v>
          </cell>
          <cell r="P53">
            <v>11586.8</v>
          </cell>
          <cell r="Q53">
            <v>11705</v>
          </cell>
          <cell r="R53">
            <v>11705</v>
          </cell>
          <cell r="S53">
            <v>11898</v>
          </cell>
          <cell r="T53">
            <v>12183</v>
          </cell>
          <cell r="U53">
            <v>12715</v>
          </cell>
          <cell r="V53">
            <v>12774</v>
          </cell>
          <cell r="W53">
            <v>12774</v>
          </cell>
          <cell r="X53">
            <v>12970</v>
          </cell>
          <cell r="Y53">
            <v>13629</v>
          </cell>
          <cell r="Z53">
            <v>13885</v>
          </cell>
          <cell r="AA53">
            <v>13771</v>
          </cell>
          <cell r="AB53">
            <v>13771</v>
          </cell>
          <cell r="AC53">
            <v>13693</v>
          </cell>
          <cell r="AD53">
            <v>13275</v>
          </cell>
          <cell r="AE53">
            <v>13392</v>
          </cell>
          <cell r="AF53">
            <v>13161</v>
          </cell>
          <cell r="AG53">
            <v>13161</v>
          </cell>
          <cell r="AH53">
            <v>13091</v>
          </cell>
          <cell r="AI53">
            <v>13121</v>
          </cell>
          <cell r="AJ53">
            <v>13249</v>
          </cell>
          <cell r="AK53">
            <v>12995</v>
          </cell>
          <cell r="AL53">
            <v>12995</v>
          </cell>
          <cell r="AM53">
            <v>13376</v>
          </cell>
          <cell r="AN53">
            <v>13423</v>
          </cell>
          <cell r="AO53">
            <v>13640</v>
          </cell>
          <cell r="AP53">
            <v>13814</v>
          </cell>
          <cell r="AQ53">
            <v>13814</v>
          </cell>
          <cell r="AR53">
            <v>13735</v>
          </cell>
          <cell r="AS53">
            <v>13923</v>
          </cell>
          <cell r="AT53">
            <v>13855</v>
          </cell>
          <cell r="AV53">
            <v>0</v>
          </cell>
          <cell r="AW53">
            <v>0</v>
          </cell>
          <cell r="AX53">
            <v>0</v>
          </cell>
          <cell r="AY53">
            <v>13780</v>
          </cell>
          <cell r="AZ53">
            <v>13780</v>
          </cell>
          <cell r="BA53">
            <v>13684</v>
          </cell>
          <cell r="BB53">
            <v>13515</v>
          </cell>
          <cell r="BC53">
            <v>13477</v>
          </cell>
          <cell r="BD53">
            <v>12298</v>
          </cell>
          <cell r="BE53">
            <v>12298</v>
          </cell>
          <cell r="BF53">
            <v>12131</v>
          </cell>
          <cell r="BG53">
            <v>12150</v>
          </cell>
          <cell r="BH53">
            <v>12126</v>
          </cell>
          <cell r="BI53">
            <v>10078</v>
          </cell>
          <cell r="BJ53">
            <v>10078</v>
          </cell>
          <cell r="BK53">
            <v>10210</v>
          </cell>
          <cell r="BL53">
            <v>10252</v>
          </cell>
          <cell r="BM53">
            <v>9967</v>
          </cell>
          <cell r="BN53">
            <v>9812</v>
          </cell>
          <cell r="BO53">
            <v>9812</v>
          </cell>
          <cell r="BP53">
            <v>9337</v>
          </cell>
          <cell r="BQ53">
            <v>9200</v>
          </cell>
          <cell r="BR53">
            <v>9042</v>
          </cell>
          <cell r="BS53">
            <v>8539</v>
          </cell>
          <cell r="BT53">
            <v>8539</v>
          </cell>
          <cell r="BU53">
            <v>8275</v>
          </cell>
          <cell r="BV53">
            <v>8253</v>
          </cell>
          <cell r="BW53">
            <v>8235</v>
          </cell>
          <cell r="BX53">
            <v>8393</v>
          </cell>
          <cell r="BY53">
            <v>8393</v>
          </cell>
          <cell r="BZ53">
            <v>8174</v>
          </cell>
          <cell r="CA53">
            <v>8243</v>
          </cell>
          <cell r="CB53">
            <v>8294</v>
          </cell>
          <cell r="CC53">
            <v>8174</v>
          </cell>
          <cell r="CD53">
            <v>8174</v>
          </cell>
          <cell r="CE53">
            <v>8092</v>
          </cell>
          <cell r="CF53">
            <v>7928</v>
          </cell>
          <cell r="CG53">
            <v>7876</v>
          </cell>
          <cell r="CH53">
            <v>7953</v>
          </cell>
          <cell r="CI53">
            <v>7953</v>
          </cell>
          <cell r="CJ53">
            <v>7815</v>
          </cell>
          <cell r="CK53">
            <v>7834</v>
          </cell>
          <cell r="CL53">
            <v>8535</v>
          </cell>
          <cell r="CM53">
            <v>8500</v>
          </cell>
          <cell r="CN53">
            <v>8500</v>
          </cell>
          <cell r="CO53">
            <v>8524</v>
          </cell>
          <cell r="CP53">
            <v>8435</v>
          </cell>
          <cell r="CQ53">
            <v>8293</v>
          </cell>
          <cell r="CR53">
            <v>8462</v>
          </cell>
          <cell r="CS53">
            <v>8462</v>
          </cell>
          <cell r="CT53">
            <v>8545</v>
          </cell>
          <cell r="CU53">
            <v>8485</v>
          </cell>
          <cell r="CV53">
            <v>8470</v>
          </cell>
          <cell r="CW53">
            <v>9248.4882689813112</v>
          </cell>
          <cell r="CX53">
            <v>9248.4882689813112</v>
          </cell>
          <cell r="CY53">
            <v>9430.8771698497276</v>
          </cell>
          <cell r="CZ53">
            <v>9455.4393996314811</v>
          </cell>
          <cell r="DA53">
            <v>9515.1757376194273</v>
          </cell>
          <cell r="DB53">
            <v>9624.9232808076413</v>
          </cell>
          <cell r="DC53">
            <v>9624.9232808076413</v>
          </cell>
          <cell r="DD53">
            <v>9768.8602987978647</v>
          </cell>
          <cell r="DE53">
            <v>9870.7967634651977</v>
          </cell>
          <cell r="DF53">
            <v>9947.2643389071563</v>
          </cell>
          <cell r="DG53">
            <v>10076.108196894698</v>
          </cell>
          <cell r="DH53">
            <v>10076.108196894698</v>
          </cell>
          <cell r="DI53">
            <v>10246.914298953216</v>
          </cell>
          <cell r="DJ53">
            <v>10348.240376183079</v>
          </cell>
          <cell r="DK53">
            <v>10431.615659538584</v>
          </cell>
          <cell r="DL53">
            <v>10575.45646834085</v>
          </cell>
          <cell r="DM53">
            <v>10575.45646834085</v>
          </cell>
          <cell r="DN53">
            <v>10758.587464391472</v>
          </cell>
          <cell r="DO53">
            <v>10881.366149066835</v>
          </cell>
          <cell r="DP53">
            <v>10977.150351720178</v>
          </cell>
          <cell r="DQ53">
            <v>11132.86531961505</v>
          </cell>
          <cell r="DR53">
            <v>11132.86531961505</v>
          </cell>
        </row>
        <row r="55">
          <cell r="B55" t="str">
            <v>Leverage and Liquidty Ratios</v>
          </cell>
        </row>
        <row r="56">
          <cell r="B56" t="str">
            <v>Total Debt / Total Capitalization</v>
          </cell>
          <cell r="D56">
            <v>0.37974646780982979</v>
          </cell>
          <cell r="E56">
            <v>0.37048576067400946</v>
          </cell>
          <cell r="F56">
            <v>0.36465152098575282</v>
          </cell>
          <cell r="G56">
            <v>0.64190407500901547</v>
          </cell>
          <cell r="H56">
            <v>0.64190407500901547</v>
          </cell>
          <cell r="I56">
            <v>0.6246635892134671</v>
          </cell>
          <cell r="J56">
            <v>0.5998572739321032</v>
          </cell>
          <cell r="K56">
            <v>0.55868326160288473</v>
          </cell>
          <cell r="L56">
            <v>0.55223373534907427</v>
          </cell>
          <cell r="M56">
            <v>0.55223373534907427</v>
          </cell>
          <cell r="N56">
            <v>0.53980385300631062</v>
          </cell>
          <cell r="O56">
            <v>0.54263952049621567</v>
          </cell>
          <cell r="P56">
            <v>0.58539059050937248</v>
          </cell>
          <cell r="Q56">
            <v>0.61034566110708244</v>
          </cell>
          <cell r="R56">
            <v>0.61034566110708244</v>
          </cell>
          <cell r="S56">
            <v>0.61120055197792089</v>
          </cell>
          <cell r="T56">
            <v>0.61538461538461542</v>
          </cell>
          <cell r="U56">
            <v>0.60966071239826658</v>
          </cell>
          <cell r="V56">
            <v>0.62136852186868152</v>
          </cell>
          <cell r="W56">
            <v>0.62136852186868152</v>
          </cell>
          <cell r="X56">
            <v>0.62233219919579341</v>
          </cell>
          <cell r="Y56">
            <v>0.62054404399489349</v>
          </cell>
          <cell r="Z56">
            <v>0.62176313785224679</v>
          </cell>
          <cell r="AA56">
            <v>0.6244905880069862</v>
          </cell>
          <cell r="AB56">
            <v>0.6244905880069862</v>
          </cell>
          <cell r="AC56">
            <v>0.62437030700503759</v>
          </cell>
          <cell r="AD56">
            <v>0.58717819283190309</v>
          </cell>
          <cell r="AE56">
            <v>0.5942043319157353</v>
          </cell>
          <cell r="AF56">
            <v>0.58267474083957715</v>
          </cell>
          <cell r="AG56">
            <v>0.58267474083957715</v>
          </cell>
          <cell r="AH56">
            <v>0.55865117713580759</v>
          </cell>
          <cell r="AI56">
            <v>0.5244813278008299</v>
          </cell>
          <cell r="AJ56">
            <v>0.49643221202854232</v>
          </cell>
          <cell r="AK56">
            <v>0.45422308188265637</v>
          </cell>
          <cell r="AL56">
            <v>0.45422308188265637</v>
          </cell>
          <cell r="AM56">
            <v>0.45390657296403475</v>
          </cell>
          <cell r="AN56">
            <v>0.451071761416589</v>
          </cell>
          <cell r="AO56">
            <v>0.44017619340299119</v>
          </cell>
          <cell r="AP56">
            <v>0.41693473072532944</v>
          </cell>
          <cell r="AQ56">
            <v>0.41693473072532944</v>
          </cell>
          <cell r="AR56">
            <v>0.37937948501477414</v>
          </cell>
          <cell r="AS56">
            <v>0.39940888707704852</v>
          </cell>
          <cell r="AT56">
            <v>0.41365625318001426</v>
          </cell>
          <cell r="AY56">
            <v>0.40645094378759594</v>
          </cell>
          <cell r="AZ56">
            <v>0.40645094378759594</v>
          </cell>
          <cell r="BA56">
            <v>0.41451728004893468</v>
          </cell>
          <cell r="BB56">
            <v>0.42265135699373696</v>
          </cell>
          <cell r="BC56">
            <v>0.43475930095421894</v>
          </cell>
          <cell r="BD56">
            <v>0.48194345450225706</v>
          </cell>
          <cell r="BE56">
            <v>0.48194345450225706</v>
          </cell>
          <cell r="BF56">
            <v>0.48677248677248675</v>
          </cell>
          <cell r="BG56">
            <v>0.53731698607308653</v>
          </cell>
          <cell r="BH56">
            <v>0.53970342023439366</v>
          </cell>
          <cell r="BI56">
            <v>0.7191958495460441</v>
          </cell>
          <cell r="BJ56">
            <v>0.7191958495460441</v>
          </cell>
          <cell r="BK56">
            <v>0.7358982219497241</v>
          </cell>
          <cell r="BL56">
            <v>0.73760171963764776</v>
          </cell>
          <cell r="BM56">
            <v>0.78390729557695449</v>
          </cell>
          <cell r="BN56">
            <v>0.82469093406593408</v>
          </cell>
          <cell r="BO56">
            <v>0.82469093406593408</v>
          </cell>
          <cell r="BP56">
            <v>0.81382347958665091</v>
          </cell>
          <cell r="BQ56">
            <v>0.87175766370397245</v>
          </cell>
          <cell r="BR56">
            <v>0.88375092114959475</v>
          </cell>
          <cell r="BS56">
            <v>0.94768133174791913</v>
          </cell>
          <cell r="BT56">
            <v>0.94768133174791913</v>
          </cell>
          <cell r="BU56">
            <v>0.96626944051706731</v>
          </cell>
          <cell r="BV56">
            <v>0.96980749746707196</v>
          </cell>
          <cell r="BW56">
            <v>0.97925225965488905</v>
          </cell>
          <cell r="BX56">
            <v>0.98881060920016572</v>
          </cell>
          <cell r="BY56">
            <v>0.98881060920016572</v>
          </cell>
          <cell r="BZ56">
            <v>0.99334304139796126</v>
          </cell>
          <cell r="CA56">
            <v>0.99396587598834785</v>
          </cell>
          <cell r="CB56">
            <v>0.97232960325534079</v>
          </cell>
          <cell r="CC56">
            <v>0.97890640999385625</v>
          </cell>
          <cell r="CD56">
            <v>0.97890640999385625</v>
          </cell>
          <cell r="CE56">
            <v>0.94099756690997571</v>
          </cell>
          <cell r="CF56">
            <v>0.9417752442996743</v>
          </cell>
          <cell r="CG56">
            <v>0.87211440245148109</v>
          </cell>
          <cell r="CH56">
            <v>0.86869918699186988</v>
          </cell>
          <cell r="CI56">
            <v>0.86869918699186988</v>
          </cell>
          <cell r="CJ56">
            <v>0.85255387071029531</v>
          </cell>
          <cell r="CK56">
            <v>0.84700753071739987</v>
          </cell>
          <cell r="CL56">
            <v>0.7034662045060659</v>
          </cell>
          <cell r="CM56">
            <v>0.69708404802744428</v>
          </cell>
          <cell r="CN56">
            <v>0.69708404802744428</v>
          </cell>
          <cell r="CO56">
            <v>0.68882888963887956</v>
          </cell>
          <cell r="CP56">
            <v>0.69461785051459424</v>
          </cell>
          <cell r="CQ56">
            <v>0.70688762299326768</v>
          </cell>
          <cell r="CR56">
            <v>0.75393394431955729</v>
          </cell>
          <cell r="CS56">
            <v>0.75393394431955729</v>
          </cell>
          <cell r="CT56">
            <v>0.7583981466159192</v>
          </cell>
          <cell r="CU56">
            <v>0.80148548278190412</v>
          </cell>
          <cell r="CV56">
            <v>0.79514644351464436</v>
          </cell>
          <cell r="CW56">
            <v>0.80653580786117185</v>
          </cell>
          <cell r="CX56">
            <v>0.80653580786117185</v>
          </cell>
          <cell r="CY56">
            <v>0.8015878059128162</v>
          </cell>
          <cell r="CZ56">
            <v>0.78990235209305282</v>
          </cell>
          <cell r="DA56">
            <v>0.78187371843830356</v>
          </cell>
          <cell r="DB56">
            <v>0.76921040524883899</v>
          </cell>
          <cell r="DC56">
            <v>0.76921040524883899</v>
          </cell>
          <cell r="DD56">
            <v>0.76069551991784556</v>
          </cell>
          <cell r="DE56">
            <v>0.74952615138902512</v>
          </cell>
          <cell r="DF56">
            <v>0.74080715362355143</v>
          </cell>
          <cell r="DG56">
            <v>0.72750176293433855</v>
          </cell>
          <cell r="DH56">
            <v>0.72750176293433855</v>
          </cell>
          <cell r="DI56">
            <v>0.71854580984729177</v>
          </cell>
          <cell r="DJ56">
            <v>0.70803432633073426</v>
          </cell>
          <cell r="DK56">
            <v>0.69951476137419699</v>
          </cell>
          <cell r="DL56">
            <v>0.68641157729867353</v>
          </cell>
          <cell r="DM56">
            <v>0.68641157729867353</v>
          </cell>
          <cell r="DN56">
            <v>0.67707221817771923</v>
          </cell>
          <cell r="DO56">
            <v>0.66668673709453707</v>
          </cell>
          <cell r="DP56">
            <v>0.65814177871980184</v>
          </cell>
          <cell r="DQ56">
            <v>0.64553415946127635</v>
          </cell>
          <cell r="DR56">
            <v>0.64553415946127635</v>
          </cell>
        </row>
        <row r="57">
          <cell r="B57" t="str">
            <v>Total Debt / Total Capitalization</v>
          </cell>
          <cell r="D57">
            <v>0.32956727235519706</v>
          </cell>
          <cell r="E57">
            <v>0.31265084031769719</v>
          </cell>
          <cell r="F57">
            <v>0.30282804945877723</v>
          </cell>
          <cell r="G57">
            <v>0.61395600432744324</v>
          </cell>
          <cell r="H57">
            <v>0.61395600432744324</v>
          </cell>
          <cell r="I57">
            <v>0.60569982355142848</v>
          </cell>
          <cell r="J57">
            <v>0.58306996975566661</v>
          </cell>
          <cell r="K57">
            <v>0.53970654214925473</v>
          </cell>
          <cell r="L57">
            <v>0.53711567861389498</v>
          </cell>
          <cell r="M57">
            <v>0.53711567861389498</v>
          </cell>
          <cell r="N57">
            <v>0.52247031986279702</v>
          </cell>
          <cell r="O57">
            <v>0.53351223666661307</v>
          </cell>
          <cell r="P57">
            <v>0.57807634024985377</v>
          </cell>
          <cell r="Q57">
            <v>0.60611554266376599</v>
          </cell>
          <cell r="R57">
            <v>0.60611554266376599</v>
          </cell>
          <cell r="S57">
            <v>0.59935602575896962</v>
          </cell>
          <cell r="T57">
            <v>0.61382836816362829</v>
          </cell>
          <cell r="U57">
            <v>0.60786386217101784</v>
          </cell>
          <cell r="V57">
            <v>0.61892093221240818</v>
          </cell>
          <cell r="W57">
            <v>0.61892093221240818</v>
          </cell>
          <cell r="X57">
            <v>0.62016702752861119</v>
          </cell>
          <cell r="Y57">
            <v>0.61740155160561716</v>
          </cell>
          <cell r="Z57">
            <v>0.61595582635186596</v>
          </cell>
          <cell r="AA57">
            <v>0.62167669318843388</v>
          </cell>
          <cell r="AB57">
            <v>0.62167669318843388</v>
          </cell>
          <cell r="AC57">
            <v>0.62208915502328677</v>
          </cell>
          <cell r="AD57">
            <v>0.58404846037354874</v>
          </cell>
          <cell r="AE57">
            <v>0.59044604885767971</v>
          </cell>
          <cell r="AF57">
            <v>0.56881863902288821</v>
          </cell>
          <cell r="AG57">
            <v>0.56881863902288821</v>
          </cell>
          <cell r="AH57">
            <v>0.55011822761385831</v>
          </cell>
          <cell r="AI57">
            <v>0.51597510373443989</v>
          </cell>
          <cell r="AJ57">
            <v>0.49062181447502551</v>
          </cell>
          <cell r="AK57">
            <v>0.44756071351816035</v>
          </cell>
          <cell r="AL57">
            <v>0.44756071351816035</v>
          </cell>
          <cell r="AM57">
            <v>0.44708557255064074</v>
          </cell>
          <cell r="AN57">
            <v>0.4445479962721342</v>
          </cell>
          <cell r="AO57">
            <v>0.4348494161032575</v>
          </cell>
          <cell r="AP57">
            <v>0.41299159489467674</v>
          </cell>
          <cell r="AQ57">
            <v>0.41299159489467674</v>
          </cell>
          <cell r="AR57">
            <v>0.37494723512030392</v>
          </cell>
          <cell r="AS57">
            <v>0.39533224622910723</v>
          </cell>
          <cell r="AT57">
            <v>0.40164851938536683</v>
          </cell>
          <cell r="AY57">
            <v>0.38467123003526238</v>
          </cell>
          <cell r="AZ57">
            <v>0.38467123003526238</v>
          </cell>
          <cell r="BA57">
            <v>0.40075440921602612</v>
          </cell>
          <cell r="BB57">
            <v>0.39958246346555326</v>
          </cell>
          <cell r="BC57">
            <v>0.41127908223437332</v>
          </cell>
          <cell r="BD57">
            <v>0.40841054882394867</v>
          </cell>
          <cell r="BE57">
            <v>0.40841054882394867</v>
          </cell>
          <cell r="BF57">
            <v>0.4258056758056758</v>
          </cell>
          <cell r="BG57">
            <v>0.39531008213307939</v>
          </cell>
          <cell r="BH57">
            <v>0.38148768237263814</v>
          </cell>
          <cell r="BI57">
            <v>0.61316472114137488</v>
          </cell>
          <cell r="BJ57">
            <v>0.61316472114137488</v>
          </cell>
          <cell r="BK57">
            <v>0.50643776824034337</v>
          </cell>
          <cell r="BL57">
            <v>0.49286043298019344</v>
          </cell>
          <cell r="BM57">
            <v>0.54235351721886726</v>
          </cell>
          <cell r="BN57">
            <v>0.58894230769230771</v>
          </cell>
          <cell r="BO57">
            <v>0.58894230769230771</v>
          </cell>
          <cell r="BP57">
            <v>0.64865322717262408</v>
          </cell>
          <cell r="BQ57">
            <v>0.76872846000362782</v>
          </cell>
          <cell r="BR57">
            <v>0.73470891672807659</v>
          </cell>
          <cell r="BS57">
            <v>0.79231074118113354</v>
          </cell>
          <cell r="BT57">
            <v>0.79231074118113354</v>
          </cell>
          <cell r="BU57">
            <v>0.84831347202585339</v>
          </cell>
          <cell r="BV57">
            <v>0.83302938196555221</v>
          </cell>
          <cell r="BW57">
            <v>0.84470008216926873</v>
          </cell>
          <cell r="BX57">
            <v>0.87028595109821794</v>
          </cell>
          <cell r="BY57">
            <v>0.87028595109821794</v>
          </cell>
          <cell r="BZ57">
            <v>0.93551071354275017</v>
          </cell>
          <cell r="CA57">
            <v>0.92072409488139828</v>
          </cell>
          <cell r="CB57">
            <v>0.8681586978636826</v>
          </cell>
          <cell r="CC57">
            <v>0.87507679705099328</v>
          </cell>
          <cell r="CD57">
            <v>0.87507679705099328</v>
          </cell>
          <cell r="CE57">
            <v>0.8087996755879967</v>
          </cell>
          <cell r="CF57">
            <v>0.78745928338762217</v>
          </cell>
          <cell r="CG57">
            <v>0.72277834525025542</v>
          </cell>
          <cell r="CH57">
            <v>0.72845528455284558</v>
          </cell>
          <cell r="CI57">
            <v>0.72845528455284558</v>
          </cell>
          <cell r="CJ57">
            <v>0.73503591380686351</v>
          </cell>
          <cell r="CK57">
            <v>0.70610384462940945</v>
          </cell>
          <cell r="CL57">
            <v>0.63448873483535528</v>
          </cell>
          <cell r="CM57">
            <v>0.62761578044596911</v>
          </cell>
          <cell r="CN57">
            <v>0.62761578044596911</v>
          </cell>
          <cell r="CO57">
            <v>0.64377320283496453</v>
          </cell>
          <cell r="CP57">
            <v>0.65007592373882239</v>
          </cell>
          <cell r="CQ57">
            <v>0.67495252891420676</v>
          </cell>
          <cell r="CR57">
            <v>0.73439391319384406</v>
          </cell>
          <cell r="CS57">
            <v>0.73439391319384406</v>
          </cell>
          <cell r="CT57">
            <v>0.7411881515803409</v>
          </cell>
          <cell r="CU57">
            <v>0.78764348413234297</v>
          </cell>
          <cell r="CV57">
            <v>0.781255230125523</v>
          </cell>
          <cell r="CW57">
            <v>0.68738482864530259</v>
          </cell>
          <cell r="CX57">
            <v>0.68738482864530259</v>
          </cell>
          <cell r="CY57">
            <v>0.68528376249943967</v>
          </cell>
          <cell r="CZ57">
            <v>0.67623256468459336</v>
          </cell>
          <cell r="DA57">
            <v>0.65919449883255776</v>
          </cell>
          <cell r="DB57">
            <v>0.64207834947992792</v>
          </cell>
          <cell r="DC57">
            <v>0.64207834947992792</v>
          </cell>
          <cell r="DD57">
            <v>0.62342131896934672</v>
          </cell>
          <cell r="DE57">
            <v>0.60345966260512596</v>
          </cell>
          <cell r="DF57">
            <v>0.5840940543016806</v>
          </cell>
          <cell r="DG57">
            <v>0.56458131071635909</v>
          </cell>
          <cell r="DH57">
            <v>0.56458131071635909</v>
          </cell>
          <cell r="DI57">
            <v>0.54766491325153976</v>
          </cell>
          <cell r="DJ57">
            <v>0.52687034339227479</v>
          </cell>
          <cell r="DK57">
            <v>0.50769502861630422</v>
          </cell>
          <cell r="DL57">
            <v>0.48839559557370332</v>
          </cell>
          <cell r="DM57">
            <v>0.48839559557370332</v>
          </cell>
          <cell r="DN57">
            <v>0.46981718483761853</v>
          </cell>
          <cell r="DO57">
            <v>0.44963061649975566</v>
          </cell>
          <cell r="DP57">
            <v>0.43005828885108582</v>
          </cell>
          <cell r="DQ57">
            <v>0.41111882480809819</v>
          </cell>
          <cell r="DR57">
            <v>0.41111882480809819</v>
          </cell>
        </row>
        <row r="59">
          <cell r="B59" t="str">
            <v>Total Debt / Equity</v>
          </cell>
          <cell r="G59">
            <v>1.7925478348439075</v>
          </cell>
          <cell r="H59">
            <v>1.7925478348439075</v>
          </cell>
          <cell r="I59">
            <v>1.6642765563417066</v>
          </cell>
          <cell r="J59">
            <v>1.499108280254777</v>
          </cell>
          <cell r="K59">
            <v>1.2659462308908802</v>
          </cell>
          <cell r="L59">
            <v>1.2333080424886191</v>
          </cell>
          <cell r="M59">
            <v>1.2333080424886191</v>
          </cell>
          <cell r="N59">
            <v>1.1729864679065054</v>
          </cell>
          <cell r="O59">
            <v>1.1864591385004566</v>
          </cell>
          <cell r="P59">
            <v>1.4119085990560609</v>
          </cell>
          <cell r="Q59">
            <v>1.5663771712158809</v>
          </cell>
          <cell r="R59">
            <v>1.5663771712158809</v>
          </cell>
          <cell r="S59">
            <v>1.5720201123927833</v>
          </cell>
          <cell r="T59">
            <v>1.6</v>
          </cell>
          <cell r="U59">
            <v>1.561873815326293</v>
          </cell>
          <cell r="V59">
            <v>1.6410905002810567</v>
          </cell>
          <cell r="W59">
            <v>1.6410905002810567</v>
          </cell>
          <cell r="X59">
            <v>1.6478296478296479</v>
          </cell>
          <cell r="Y59">
            <v>1.635351966873706</v>
          </cell>
          <cell r="Z59">
            <v>1.6438459602315632</v>
          </cell>
          <cell r="AA59">
            <v>1.6630490956072352</v>
          </cell>
          <cell r="AB59">
            <v>1.6630490956072352</v>
          </cell>
          <cell r="AC59">
            <v>1.6621963562753037</v>
          </cell>
          <cell r="AD59">
            <v>1.4223526534605038</v>
          </cell>
          <cell r="AE59">
            <v>1.4642944187180111</v>
          </cell>
          <cell r="AF59">
            <v>1.3962124938514511</v>
          </cell>
          <cell r="AG59">
            <v>1.3962124938514511</v>
          </cell>
          <cell r="AH59">
            <v>1.2657815047752154</v>
          </cell>
          <cell r="AI59">
            <v>1.1029668411867364</v>
          </cell>
          <cell r="AJ59">
            <v>0.98582995951417007</v>
          </cell>
          <cell r="AK59">
            <v>0.8322504430005907</v>
          </cell>
          <cell r="AL59">
            <v>0.8322504430005907</v>
          </cell>
          <cell r="AM59">
            <v>0.83118849356548075</v>
          </cell>
          <cell r="AN59">
            <v>0.82173174872665533</v>
          </cell>
          <cell r="AO59">
            <v>0.78627630375114366</v>
          </cell>
          <cell r="AP59">
            <v>0.7150738565581064</v>
          </cell>
          <cell r="AQ59">
            <v>0.7150738565581064</v>
          </cell>
          <cell r="AR59">
            <v>0.6112905968372726</v>
          </cell>
          <cell r="AS59">
            <v>0.66502630239266924</v>
          </cell>
          <cell r="AT59">
            <v>0.70548420687261371</v>
          </cell>
          <cell r="AY59">
            <v>0.68478070941813729</v>
          </cell>
          <cell r="AZ59">
            <v>0.68478070941813729</v>
          </cell>
          <cell r="BA59">
            <v>0.70799233849904231</v>
          </cell>
          <cell r="BB59">
            <v>0.73205568613270655</v>
          </cell>
          <cell r="BC59">
            <v>0.76915781487101664</v>
          </cell>
          <cell r="BD59">
            <v>0.93029121761063971</v>
          </cell>
          <cell r="BE59">
            <v>0.93029121761063971</v>
          </cell>
          <cell r="BF59">
            <v>0.94845360824742264</v>
          </cell>
          <cell r="BG59">
            <v>1.161306920504245</v>
          </cell>
          <cell r="BH59">
            <v>1.1725123408677578</v>
          </cell>
          <cell r="BI59">
            <v>2.5612009237875291</v>
          </cell>
          <cell r="BJ59">
            <v>2.5612009237875291</v>
          </cell>
          <cell r="BK59">
            <v>2.7864190365641321</v>
          </cell>
          <cell r="BL59">
            <v>2.8110005851375073</v>
          </cell>
          <cell r="BM59">
            <v>3.6276435045317221</v>
          </cell>
          <cell r="BN59">
            <v>4.7042115572967678</v>
          </cell>
          <cell r="BO59">
            <v>4.7042115572967678</v>
          </cell>
          <cell r="BP59">
            <v>4.3712465878070974</v>
          </cell>
          <cell r="BQ59">
            <v>6.7977369165487973</v>
          </cell>
          <cell r="BR59">
            <v>7.6022187004754356</v>
          </cell>
          <cell r="BS59">
            <v>18.113636363636363</v>
          </cell>
          <cell r="BT59">
            <v>18.113636363636363</v>
          </cell>
          <cell r="BU59">
            <v>28.646706586826348</v>
          </cell>
          <cell r="BV59">
            <v>32.120805369127517</v>
          </cell>
          <cell r="BW59">
            <v>47.198019801980195</v>
          </cell>
          <cell r="BX59">
            <v>88.370370370370367</v>
          </cell>
          <cell r="BY59">
            <v>88.370370370370367</v>
          </cell>
          <cell r="BZ59">
            <v>149.21875</v>
          </cell>
          <cell r="CA59">
            <v>164.72413793103448</v>
          </cell>
          <cell r="CB59">
            <v>35.139705882352942</v>
          </cell>
          <cell r="CC59">
            <v>46.407766990291265</v>
          </cell>
          <cell r="CD59">
            <v>46.407766990291265</v>
          </cell>
          <cell r="CE59">
            <v>15.948453608247423</v>
          </cell>
          <cell r="CF59">
            <v>16.174825174825173</v>
          </cell>
          <cell r="CG59">
            <v>6.819488817891374</v>
          </cell>
          <cell r="CH59">
            <v>6.6160990712074303</v>
          </cell>
          <cell r="CI59">
            <v>6.6160990712074303</v>
          </cell>
          <cell r="CJ59">
            <v>5.7821380243572396</v>
          </cell>
          <cell r="CK59">
            <v>5.5362694300518136</v>
          </cell>
          <cell r="CL59">
            <v>2.3722969023962595</v>
          </cell>
          <cell r="CM59">
            <v>2.3012457531143826</v>
          </cell>
          <cell r="CN59">
            <v>2.3012457531143826</v>
          </cell>
          <cell r="CO59">
            <v>2.2136659436008679</v>
          </cell>
          <cell r="CP59">
            <v>2.2745856353591161</v>
          </cell>
          <cell r="CQ59">
            <v>2.4116607773851588</v>
          </cell>
          <cell r="CR59">
            <v>3.0639494026704148</v>
          </cell>
          <cell r="CS59">
            <v>3.0639494026704148</v>
          </cell>
          <cell r="CT59">
            <v>3.1390410958904109</v>
          </cell>
          <cell r="CU59">
            <v>4.0374149659863949</v>
          </cell>
          <cell r="CV59">
            <v>3.8815359477124183</v>
          </cell>
          <cell r="CW59">
            <v>4.1689151824147856</v>
          </cell>
          <cell r="CX59">
            <v>4.1689151824147856</v>
          </cell>
          <cell r="CY59">
            <v>4.0400128107075544</v>
          </cell>
          <cell r="CZ59">
            <v>3.7596915527721797</v>
          </cell>
          <cell r="DA59">
            <v>3.5845002850660745</v>
          </cell>
          <cell r="DB59">
            <v>3.3329509767466203</v>
          </cell>
          <cell r="DC59">
            <v>3.3329509767466203</v>
          </cell>
          <cell r="DD59">
            <v>3.1787767602875419</v>
          </cell>
          <cell r="DE59">
            <v>2.9924327651193496</v>
          </cell>
          <cell r="DF59">
            <v>2.8581311713657862</v>
          </cell>
          <cell r="DG59">
            <v>2.6697485120207918</v>
          </cell>
          <cell r="DH59">
            <v>2.6697485120207918</v>
          </cell>
          <cell r="DI59">
            <v>2.5529760614238195</v>
          </cell>
          <cell r="DJ59">
            <v>2.4250601703705232</v>
          </cell>
          <cell r="DK59">
            <v>2.3279504995761511</v>
          </cell>
          <cell r="DL59">
            <v>2.1888932358719053</v>
          </cell>
          <cell r="DM59">
            <v>2.1888932358719053</v>
          </cell>
          <cell r="DN59">
            <v>2.0966676027593603</v>
          </cell>
          <cell r="DO59">
            <v>2.0001806447276844</v>
          </cell>
          <cell r="DP59">
            <v>1.9251892678057527</v>
          </cell>
          <cell r="DQ59">
            <v>1.8211463154818579</v>
          </cell>
          <cell r="DR59">
            <v>1.8211463154818579</v>
          </cell>
        </row>
        <row r="60">
          <cell r="B60" t="str">
            <v>Net Debt / Equity</v>
          </cell>
          <cell r="G60">
            <v>1.7145015105740182</v>
          </cell>
          <cell r="H60">
            <v>1.7145015105740182</v>
          </cell>
          <cell r="I60">
            <v>1.6137518400683792</v>
          </cell>
          <cell r="J60">
            <v>1.4571549893842888</v>
          </cell>
          <cell r="K60">
            <v>1.2229460049702536</v>
          </cell>
          <cell r="L60">
            <v>1.199544764795144</v>
          </cell>
          <cell r="M60">
            <v>1.199544764795144</v>
          </cell>
          <cell r="N60">
            <v>1.1353209349446414</v>
          </cell>
          <cell r="O60">
            <v>1.1665027053615344</v>
          </cell>
          <cell r="P60">
            <v>1.3942672959594797</v>
          </cell>
          <cell r="Q60">
            <v>1.5555210918114144</v>
          </cell>
          <cell r="R60">
            <v>1.5555210918114144</v>
          </cell>
          <cell r="S60">
            <v>1.541555752735877</v>
          </cell>
          <cell r="T60">
            <v>1.5959537572254334</v>
          </cell>
          <cell r="U60">
            <v>1.5572705117790415</v>
          </cell>
          <cell r="V60">
            <v>1.6346261944912872</v>
          </cell>
          <cell r="W60">
            <v>1.6346261944912872</v>
          </cell>
          <cell r="X60">
            <v>1.6420966420966421</v>
          </cell>
          <cell r="Y60">
            <v>1.6270703933747412</v>
          </cell>
          <cell r="Z60">
            <v>1.628492323181475</v>
          </cell>
          <cell r="AA60">
            <v>1.6555555555555554</v>
          </cell>
          <cell r="AB60">
            <v>1.6555555555555554</v>
          </cell>
          <cell r="AC60">
            <v>1.6561234817813766</v>
          </cell>
          <cell r="AD60">
            <v>1.4147713377353877</v>
          </cell>
          <cell r="AE60">
            <v>1.4550329027540825</v>
          </cell>
          <cell r="AF60">
            <v>1.3630103295622233</v>
          </cell>
          <cell r="AG60">
            <v>1.3630103295622233</v>
          </cell>
          <cell r="AH60">
            <v>1.2464477055672025</v>
          </cell>
          <cell r="AI60">
            <v>1.0850785340314135</v>
          </cell>
          <cell r="AJ60">
            <v>0.97429149797570846</v>
          </cell>
          <cell r="AK60">
            <v>0.82004331561330968</v>
          </cell>
          <cell r="AL60">
            <v>0.82004331561330968</v>
          </cell>
          <cell r="AM60">
            <v>0.81869795609386831</v>
          </cell>
          <cell r="AN60">
            <v>0.80984719864176569</v>
          </cell>
          <cell r="AO60">
            <v>0.77676120768526991</v>
          </cell>
          <cell r="AP60">
            <v>0.70831108738209647</v>
          </cell>
          <cell r="AQ60">
            <v>0.70831108738209647</v>
          </cell>
          <cell r="AR60">
            <v>0.60414895425947968</v>
          </cell>
          <cell r="AS60">
            <v>0.65823858815543868</v>
          </cell>
          <cell r="AT60">
            <v>0.685005206525512</v>
          </cell>
          <cell r="AY60">
            <v>0.64808666783155688</v>
          </cell>
          <cell r="AZ60">
            <v>0.64808666783155688</v>
          </cell>
          <cell r="BA60">
            <v>0.6844854605606826</v>
          </cell>
          <cell r="BB60">
            <v>0.69209907792442593</v>
          </cell>
          <cell r="BC60">
            <v>0.72761760242792106</v>
          </cell>
          <cell r="BD60">
            <v>0.78835129557440953</v>
          </cell>
          <cell r="BE60">
            <v>0.78835129557440953</v>
          </cell>
          <cell r="BF60">
            <v>0.82966260543580128</v>
          </cell>
          <cell r="BG60">
            <v>0.85438641625932599</v>
          </cell>
          <cell r="BH60">
            <v>0.82878669784359571</v>
          </cell>
          <cell r="BI60">
            <v>2.0317551963048497</v>
          </cell>
          <cell r="BJ60">
            <v>2.0317551963048497</v>
          </cell>
          <cell r="BK60">
            <v>1.7649448636099825</v>
          </cell>
          <cell r="BL60">
            <v>1.7244002340550029</v>
          </cell>
          <cell r="BM60">
            <v>2.3111782477341389</v>
          </cell>
          <cell r="BN60">
            <v>3.3594515181194908</v>
          </cell>
          <cell r="BO60">
            <v>3.3594515181194908</v>
          </cell>
          <cell r="BP60">
            <v>3.484076433121019</v>
          </cell>
          <cell r="BQ60">
            <v>5.9943422913719946</v>
          </cell>
          <cell r="BR60">
            <v>6.3201267828843104</v>
          </cell>
          <cell r="BS60">
            <v>15.143939393939394</v>
          </cell>
          <cell r="BT60">
            <v>15.143939393939394</v>
          </cell>
          <cell r="BU60">
            <v>25.149700598802394</v>
          </cell>
          <cell r="BV60">
            <v>27.590604026845636</v>
          </cell>
          <cell r="BW60">
            <v>40.712871287128714</v>
          </cell>
          <cell r="BX60">
            <v>77.777777777777771</v>
          </cell>
          <cell r="BY60">
            <v>77.777777777777771</v>
          </cell>
          <cell r="BZ60">
            <v>140.53125</v>
          </cell>
          <cell r="CA60">
            <v>152.58620689655172</v>
          </cell>
          <cell r="CB60">
            <v>31.022058823529413</v>
          </cell>
          <cell r="CC60">
            <v>41.349514563106794</v>
          </cell>
          <cell r="CD60">
            <v>41.349514563106794</v>
          </cell>
          <cell r="CE60">
            <v>13.687285223367697</v>
          </cell>
          <cell r="CF60">
            <v>13.503496503496503</v>
          </cell>
          <cell r="CG60">
            <v>5.6469648562300323</v>
          </cell>
          <cell r="CH60">
            <v>5.5448916408668731</v>
          </cell>
          <cell r="CI60">
            <v>5.5448916408668731</v>
          </cell>
          <cell r="CJ60">
            <v>4.9824086603518269</v>
          </cell>
          <cell r="CK60">
            <v>4.6139896373056999</v>
          </cell>
          <cell r="CL60">
            <v>2.1390999415546466</v>
          </cell>
          <cell r="CM60">
            <v>2.0713476783691958</v>
          </cell>
          <cell r="CN60">
            <v>2.0713476783691958</v>
          </cell>
          <cell r="CO60">
            <v>2.0677874186550977</v>
          </cell>
          <cell r="CP60">
            <v>2.1287292817679559</v>
          </cell>
          <cell r="CQ60">
            <v>2.3027090694935217</v>
          </cell>
          <cell r="CR60">
            <v>2.9845397048489106</v>
          </cell>
          <cell r="CS60">
            <v>2.9845397048489106</v>
          </cell>
          <cell r="CT60">
            <v>3.0678082191780822</v>
          </cell>
          <cell r="CU60">
            <v>3.9676870748299318</v>
          </cell>
          <cell r="CV60">
            <v>3.8137254901960786</v>
          </cell>
          <cell r="CW60">
            <v>3.5530338769462908</v>
          </cell>
          <cell r="CX60">
            <v>3.5530338769462908</v>
          </cell>
          <cell r="CY60">
            <v>3.4538389419670494</v>
          </cell>
          <cell r="CZ60">
            <v>3.2186584258387256</v>
          </cell>
          <cell r="DA60">
            <v>3.0220773678118489</v>
          </cell>
          <cell r="DB60">
            <v>2.7820940115269117</v>
          </cell>
          <cell r="DC60">
            <v>2.7820940115269117</v>
          </cell>
          <cell r="DD60">
            <v>2.6051385195769132</v>
          </cell>
          <cell r="DE60">
            <v>2.4092721294125732</v>
          </cell>
          <cell r="DF60">
            <v>2.2535114779107341</v>
          </cell>
          <cell r="DG60">
            <v>2.071871424916107</v>
          </cell>
          <cell r="DH60">
            <v>2.071871424916107</v>
          </cell>
          <cell r="DI60">
            <v>1.9458403264644735</v>
          </cell>
          <cell r="DJ60">
            <v>1.8045626281023206</v>
          </cell>
          <cell r="DK60">
            <v>1.6895839241159578</v>
          </cell>
          <cell r="DL60">
            <v>1.5574414111546133</v>
          </cell>
          <cell r="DM60">
            <v>1.5574414111546133</v>
          </cell>
          <cell r="DN60">
            <v>1.4548676555062594</v>
          </cell>
          <cell r="DO60">
            <v>1.3489730728995433</v>
          </cell>
          <cell r="DP60">
            <v>1.2580018910781028</v>
          </cell>
          <cell r="DQ60">
            <v>1.1598263578325976</v>
          </cell>
          <cell r="DR60">
            <v>1.1598263578325976</v>
          </cell>
        </row>
        <row r="62">
          <cell r="B62" t="str">
            <v>Total Debt / LTM Adj. EBITDA</v>
          </cell>
          <cell r="G62">
            <v>5.7142857142857144</v>
          </cell>
          <cell r="H62">
            <v>5.7142857142857144</v>
          </cell>
          <cell r="I62">
            <v>4.6457496586736662</v>
          </cell>
          <cell r="J62">
            <v>3.8957857450259872</v>
          </cell>
          <cell r="K62">
            <v>3.1732593368632664</v>
          </cell>
          <cell r="L62">
            <v>2.9581437670609647</v>
          </cell>
          <cell r="M62">
            <v>2.9581437670609647</v>
          </cell>
          <cell r="N62">
            <v>2.8750443419652369</v>
          </cell>
          <cell r="O62">
            <v>2.9479703186381507</v>
          </cell>
          <cell r="P62">
            <v>3.840391389432487</v>
          </cell>
          <cell r="Q62">
            <v>3.1621790857858501</v>
          </cell>
          <cell r="R62">
            <v>3.1621790857858501</v>
          </cell>
          <cell r="S62">
            <v>3.0824102534361781</v>
          </cell>
          <cell r="T62">
            <v>2.9500159863583084</v>
          </cell>
          <cell r="U62">
            <v>2.9686052496139999</v>
          </cell>
          <cell r="V62">
            <v>3.2277501381978992</v>
          </cell>
          <cell r="W62">
            <v>3.2277501381978992</v>
          </cell>
          <cell r="X62">
            <v>3.2381974248927037</v>
          </cell>
          <cell r="Y62">
            <v>3.377338321753073</v>
          </cell>
          <cell r="Z62">
            <v>3.528363047001621</v>
          </cell>
          <cell r="AA62">
            <v>3.4639397201291713</v>
          </cell>
          <cell r="AB62">
            <v>3.4639397201291713</v>
          </cell>
          <cell r="AC62">
            <v>3.5508108108108107</v>
          </cell>
          <cell r="AD62">
            <v>3.1134903640256959</v>
          </cell>
          <cell r="AE62">
            <v>3.1455497382198954</v>
          </cell>
          <cell r="AF62">
            <v>2.9338501291989663</v>
          </cell>
          <cell r="AG62">
            <v>2.9338501291989663</v>
          </cell>
          <cell r="AH62">
            <v>2.7238095238095239</v>
          </cell>
          <cell r="AI62">
            <v>2.4507998061076104</v>
          </cell>
          <cell r="AJ62">
            <v>2.2746380196170013</v>
          </cell>
          <cell r="AK62">
            <v>1.8836898395721926</v>
          </cell>
          <cell r="AL62">
            <v>1.8836898395721926</v>
          </cell>
          <cell r="AM62">
            <v>1.8665533361665958</v>
          </cell>
          <cell r="AN62">
            <v>1.7465918203688853</v>
          </cell>
          <cell r="AO62">
            <v>1.6295032233598787</v>
          </cell>
          <cell r="AP62">
            <v>1.4365391490883088</v>
          </cell>
          <cell r="AQ62">
            <v>1.4365391490883088</v>
          </cell>
          <cell r="AR62">
            <v>1.2282200204988043</v>
          </cell>
          <cell r="AS62">
            <v>1.2959656084656084</v>
          </cell>
          <cell r="AT62">
            <v>1.442512420156139</v>
          </cell>
          <cell r="AY62">
            <v>1.4850322091701402</v>
          </cell>
          <cell r="AZ62">
            <v>1.4850322091701402</v>
          </cell>
          <cell r="BA62">
            <v>1.671875</v>
          </cell>
          <cell r="BB62">
            <v>1.9475709475709475</v>
          </cell>
          <cell r="BC62">
            <v>2.7888583218707015</v>
          </cell>
          <cell r="BD62">
            <v>3.838221381267739</v>
          </cell>
          <cell r="BE62">
            <v>3.838221381267739</v>
          </cell>
          <cell r="BF62">
            <v>4.985221674876847</v>
          </cell>
          <cell r="BG62">
            <v>12.333333333333334</v>
          </cell>
          <cell r="BH62">
            <v>10.874698795180723</v>
          </cell>
          <cell r="BI62">
            <v>11.522077922077923</v>
          </cell>
          <cell r="BJ62">
            <v>11.522077922077923</v>
          </cell>
          <cell r="BK62">
            <v>12.341902313624679</v>
          </cell>
          <cell r="BL62">
            <v>7.334351145038168</v>
          </cell>
          <cell r="BM62">
            <v>7.8097560975609754</v>
          </cell>
          <cell r="BN62">
            <v>8.4115586690017512</v>
          </cell>
          <cell r="BO62">
            <v>8.4115586690017512</v>
          </cell>
          <cell r="BP62">
            <v>8.5632798573975037</v>
          </cell>
          <cell r="BQ62">
            <v>7.8657937806873974</v>
          </cell>
          <cell r="BR62">
            <v>7.6142857142857139</v>
          </cell>
          <cell r="BS62">
            <v>6.9708454810495626</v>
          </cell>
          <cell r="BT62">
            <v>6.9708454810495626</v>
          </cell>
          <cell r="BU62">
            <v>7.25948406676783</v>
          </cell>
          <cell r="BV62">
            <v>7.8976897689768979</v>
          </cell>
          <cell r="BW62">
            <v>7.0622222222222222</v>
          </cell>
          <cell r="BX62">
            <v>6.9360465116279073</v>
          </cell>
          <cell r="BY62">
            <v>6.9360465116279073</v>
          </cell>
          <cell r="BZ62">
            <v>6.5143246930422922</v>
          </cell>
          <cell r="CA62">
            <v>6.4554054054054051</v>
          </cell>
          <cell r="CB62">
            <v>6.6467315716272601</v>
          </cell>
          <cell r="CC62">
            <v>6.3563829787234045</v>
          </cell>
          <cell r="CD62">
            <v>6.3563829787234045</v>
          </cell>
          <cell r="CE62">
            <v>5.8450881612090679</v>
          </cell>
          <cell r="CF62">
            <v>5.2748004561003423</v>
          </cell>
          <cell r="CG62">
            <v>4.4422476586888662</v>
          </cell>
          <cell r="CH62">
            <v>4.3612244897959185</v>
          </cell>
          <cell r="CI62">
            <v>4.3612244897959185</v>
          </cell>
          <cell r="CJ62">
            <v>4.264471057884232</v>
          </cell>
          <cell r="CK62">
            <v>4.173828125</v>
          </cell>
          <cell r="CL62">
            <v>4.1124620060790278</v>
          </cell>
          <cell r="CM62">
            <v>3.8704761904761904</v>
          </cell>
          <cell r="CN62">
            <v>3.8704761904761904</v>
          </cell>
          <cell r="CO62">
            <v>3.6349065004452359</v>
          </cell>
          <cell r="CP62">
            <v>3.6433628318584073</v>
          </cell>
          <cell r="CQ62">
            <v>3.6595174262734584</v>
          </cell>
          <cell r="CR62">
            <v>3.8721136767317939</v>
          </cell>
          <cell r="CS62">
            <v>3.8721136767317939</v>
          </cell>
          <cell r="CT62">
            <v>4.3032863849765262</v>
          </cell>
          <cell r="CU62">
            <v>4.404452690166976</v>
          </cell>
          <cell r="CV62">
            <v>4.1134199134199134</v>
          </cell>
          <cell r="CW62">
            <v>4.4754077771226299</v>
          </cell>
          <cell r="CX62">
            <v>4.4754077771226299</v>
          </cell>
          <cell r="CY62">
            <v>4.6041572081822073</v>
          </cell>
          <cell r="CZ62">
            <v>4.3372443698560845</v>
          </cell>
          <cell r="DA62">
            <v>4.1596914118629726</v>
          </cell>
          <cell r="DB62">
            <v>3.9916136242189224</v>
          </cell>
          <cell r="DC62">
            <v>3.9916136242189224</v>
          </cell>
          <cell r="DD62">
            <v>3.8176658874815343</v>
          </cell>
          <cell r="DE62">
            <v>3.7266953588865461</v>
          </cell>
          <cell r="DF62">
            <v>3.6606564556945282</v>
          </cell>
          <cell r="DG62">
            <v>3.5779657641308251</v>
          </cell>
          <cell r="DH62">
            <v>3.5779657641308251</v>
          </cell>
          <cell r="DI62">
            <v>3.5236298249990154</v>
          </cell>
          <cell r="DJ62">
            <v>3.5008898182940036</v>
          </cell>
          <cell r="DK62">
            <v>3.4702610525179876</v>
          </cell>
          <cell r="DL62">
            <v>3.4233295684432608</v>
          </cell>
          <cell r="DM62">
            <v>3.4233295684432608</v>
          </cell>
          <cell r="DN62">
            <v>3.3713579212418971</v>
          </cell>
          <cell r="DO62">
            <v>3.3319840059094901</v>
          </cell>
          <cell r="DP62">
            <v>3.2950044799961531</v>
          </cell>
          <cell r="DQ62">
            <v>3.2512410270498404</v>
          </cell>
          <cell r="DR62">
            <v>3.2512410270498404</v>
          </cell>
        </row>
        <row r="63">
          <cell r="B63" t="str">
            <v>Net Debt / LTM Adj. EBITDA</v>
          </cell>
          <cell r="G63">
            <v>5.4654895666131624</v>
          </cell>
          <cell r="H63">
            <v>5.4654895666131624</v>
          </cell>
          <cell r="I63">
            <v>4.5047122917246591</v>
          </cell>
          <cell r="J63">
            <v>3.7867602432107343</v>
          </cell>
          <cell r="K63">
            <v>3.0654736623533516</v>
          </cell>
          <cell r="L63">
            <v>2.8771610555050047</v>
          </cell>
          <cell r="M63">
            <v>2.8771610555050047</v>
          </cell>
          <cell r="N63">
            <v>2.7827243703440945</v>
          </cell>
          <cell r="O63">
            <v>2.8983849847228296</v>
          </cell>
          <cell r="P63">
            <v>3.7924070450097864</v>
          </cell>
          <cell r="Q63">
            <v>3.1402629931120871</v>
          </cell>
          <cell r="R63">
            <v>3.1402629931120871</v>
          </cell>
          <cell r="S63">
            <v>3.0226758684683652</v>
          </cell>
          <cell r="T63">
            <v>2.9425556858147721</v>
          </cell>
          <cell r="U63">
            <v>2.959855892949049</v>
          </cell>
          <cell r="V63">
            <v>3.2150359314538419</v>
          </cell>
          <cell r="W63">
            <v>3.2150359314538419</v>
          </cell>
          <cell r="X63">
            <v>3.226931330472103</v>
          </cell>
          <cell r="Y63">
            <v>3.360235168359166</v>
          </cell>
          <cell r="Z63">
            <v>3.4954078876283092</v>
          </cell>
          <cell r="AA63">
            <v>3.4483315392895588</v>
          </cell>
          <cell r="AB63">
            <v>3.4483315392895588</v>
          </cell>
          <cell r="AC63">
            <v>3.5378378378378379</v>
          </cell>
          <cell r="AD63">
            <v>3.0968950749464668</v>
          </cell>
          <cell r="AE63">
            <v>3.1256544502617802</v>
          </cell>
          <cell r="AF63">
            <v>2.8640826873385015</v>
          </cell>
          <cell r="AG63">
            <v>2.8640826873385015</v>
          </cell>
          <cell r="AH63">
            <v>2.6822055137844614</v>
          </cell>
          <cell r="AI63">
            <v>2.411051866214251</v>
          </cell>
          <cell r="AJ63">
            <v>2.2480149462867818</v>
          </cell>
          <cell r="AK63">
            <v>1.856060606060606</v>
          </cell>
          <cell r="AL63">
            <v>1.856060606060606</v>
          </cell>
          <cell r="AM63">
            <v>1.8385040373990651</v>
          </cell>
          <cell r="AN63">
            <v>1.7213311948676824</v>
          </cell>
          <cell r="AO63">
            <v>1.6097838452787259</v>
          </cell>
          <cell r="AP63">
            <v>1.4229531641043975</v>
          </cell>
          <cell r="AQ63">
            <v>1.4229531641043975</v>
          </cell>
          <cell r="AR63">
            <v>1.2138708575333106</v>
          </cell>
          <cell r="AS63">
            <v>1.2827380952380953</v>
          </cell>
          <cell r="AT63">
            <v>1.4006387508871541</v>
          </cell>
          <cell r="AY63">
            <v>1.405456612353164</v>
          </cell>
          <cell r="AZ63">
            <v>1.405456612353164</v>
          </cell>
          <cell r="BA63">
            <v>1.6163651315789473</v>
          </cell>
          <cell r="BB63">
            <v>1.8412698412698412</v>
          </cell>
          <cell r="BC63">
            <v>2.6382393397524071</v>
          </cell>
          <cell r="BD63">
            <v>3.2526017029328287</v>
          </cell>
          <cell r="BE63">
            <v>3.2526017029328287</v>
          </cell>
          <cell r="BF63">
            <v>4.360837438423645</v>
          </cell>
          <cell r="BG63">
            <v>9.0737704918032787</v>
          </cell>
          <cell r="BH63">
            <v>7.6867469879518069</v>
          </cell>
          <cell r="BI63">
            <v>9.1402597402597401</v>
          </cell>
          <cell r="BJ63">
            <v>9.1402597402597401</v>
          </cell>
          <cell r="BK63">
            <v>7.8174807197943448</v>
          </cell>
          <cell r="BL63">
            <v>4.4992366412213745</v>
          </cell>
          <cell r="BM63">
            <v>4.975609756097561</v>
          </cell>
          <cell r="BN63">
            <v>6.0070052539404557</v>
          </cell>
          <cell r="BO63">
            <v>6.0070052539404557</v>
          </cell>
          <cell r="BP63">
            <v>6.8253119429590017</v>
          </cell>
          <cell r="BQ63">
            <v>6.9361702127659575</v>
          </cell>
          <cell r="BR63">
            <v>6.3301587301587299</v>
          </cell>
          <cell r="BS63">
            <v>5.8279883381924202</v>
          </cell>
          <cell r="BT63">
            <v>5.8279883381924202</v>
          </cell>
          <cell r="BU63">
            <v>6.3732928679817906</v>
          </cell>
          <cell r="BV63">
            <v>6.7838283828382835</v>
          </cell>
          <cell r="BW63">
            <v>6.0918518518518523</v>
          </cell>
          <cell r="BX63">
            <v>6.1046511627906979</v>
          </cell>
          <cell r="BY63">
            <v>6.1046511627906979</v>
          </cell>
          <cell r="BZ63">
            <v>6.1350613915416101</v>
          </cell>
          <cell r="CA63">
            <v>5.9797297297297298</v>
          </cell>
          <cell r="CB63">
            <v>5.8678720445062584</v>
          </cell>
          <cell r="CC63">
            <v>5.6635638297872344</v>
          </cell>
          <cell r="CD63">
            <v>5.6635638297872344</v>
          </cell>
          <cell r="CE63">
            <v>5.0163727959697733</v>
          </cell>
          <cell r="CF63">
            <v>4.4036488027366021</v>
          </cell>
          <cell r="CG63">
            <v>3.6784599375650364</v>
          </cell>
          <cell r="CH63">
            <v>3.6551020408163266</v>
          </cell>
          <cell r="CI63">
            <v>3.6551020408163266</v>
          </cell>
          <cell r="CJ63">
            <v>3.6746506986027945</v>
          </cell>
          <cell r="CK63">
            <v>3.478515625</v>
          </cell>
          <cell r="CL63">
            <v>3.7082066869300911</v>
          </cell>
          <cell r="CM63">
            <v>3.4838095238095237</v>
          </cell>
          <cell r="CN63">
            <v>3.4838095238095237</v>
          </cell>
          <cell r="CO63">
            <v>3.3953695458593054</v>
          </cell>
          <cell r="CP63">
            <v>3.4097345132743362</v>
          </cell>
          <cell r="CQ63">
            <v>3.4941912421805181</v>
          </cell>
          <cell r="CR63">
            <v>3.7717584369449377</v>
          </cell>
          <cell r="CS63">
            <v>3.7717584369449377</v>
          </cell>
          <cell r="CT63">
            <v>4.2056338028169016</v>
          </cell>
          <cell r="CU63">
            <v>4.3283858998144709</v>
          </cell>
          <cell r="CV63">
            <v>4.0415584415584416</v>
          </cell>
          <cell r="CW63">
            <v>3.814247771780046</v>
          </cell>
          <cell r="CX63">
            <v>3.814247771780046</v>
          </cell>
          <cell r="CY63">
            <v>3.9361304544410523</v>
          </cell>
          <cell r="CZ63">
            <v>3.7130993167951458</v>
          </cell>
          <cell r="DA63">
            <v>3.5070186282997273</v>
          </cell>
          <cell r="DB63">
            <v>3.3318954997377781</v>
          </cell>
          <cell r="DC63">
            <v>3.3318954997377781</v>
          </cell>
          <cell r="DD63">
            <v>3.1287344813271138</v>
          </cell>
          <cell r="DE63">
            <v>3.0004427727279079</v>
          </cell>
          <cell r="DF63">
            <v>2.8862675801032678</v>
          </cell>
          <cell r="DG63">
            <v>2.7766978772167765</v>
          </cell>
          <cell r="DH63">
            <v>2.7766978772167765</v>
          </cell>
          <cell r="DI63">
            <v>2.6856581668032358</v>
          </cell>
          <cell r="DJ63">
            <v>2.6051208990134147</v>
          </cell>
          <cell r="DK63">
            <v>2.5186520451734875</v>
          </cell>
          <cell r="DL63">
            <v>2.4357676046268315</v>
          </cell>
          <cell r="DM63">
            <v>2.4357676046268315</v>
          </cell>
          <cell r="DN63">
            <v>2.3393691915182422</v>
          </cell>
          <cell r="DO63">
            <v>2.2471753814595057</v>
          </cell>
          <cell r="DP63">
            <v>2.1530983661000827</v>
          </cell>
          <cell r="DQ63">
            <v>2.0706052044156555</v>
          </cell>
          <cell r="DR63">
            <v>2.0706052044156555</v>
          </cell>
        </row>
        <row r="64">
          <cell r="B64" t="str">
            <v>EBITDA / Interest Expense</v>
          </cell>
          <cell r="G64">
            <v>1.8293399107352595</v>
          </cell>
          <cell r="H64">
            <v>4.5144927536231885</v>
          </cell>
          <cell r="I64">
            <v>2.446206225680934</v>
          </cell>
          <cell r="J64">
            <v>2.7866236162361626</v>
          </cell>
          <cell r="K64">
            <v>3.3317924528301894</v>
          </cell>
          <cell r="L64">
            <v>3.7078272604588385</v>
          </cell>
          <cell r="M64">
            <v>3.5224358974358974</v>
          </cell>
          <cell r="N64">
            <v>3.9704225352112665</v>
          </cell>
          <cell r="O64">
            <v>4.0852353780313821</v>
          </cell>
          <cell r="P64">
            <v>3.0129716981132066</v>
          </cell>
          <cell r="Q64">
            <v>2.3499117127722173</v>
          </cell>
          <cell r="R64">
            <v>3.829736211031173</v>
          </cell>
          <cell r="S64">
            <v>3.8488839285714271</v>
          </cell>
          <cell r="T64">
            <v>3.9758474576271174</v>
          </cell>
          <cell r="U64">
            <v>4.2609649122807003</v>
          </cell>
          <cell r="V64">
            <v>3.7687499999999998</v>
          </cell>
          <cell r="W64">
            <v>3.8987068965517242</v>
          </cell>
          <cell r="X64">
            <v>3.9159663865546217</v>
          </cell>
          <cell r="Y64">
            <v>3.9306722689075628</v>
          </cell>
          <cell r="Z64">
            <v>3.793032786885246</v>
          </cell>
          <cell r="AA64">
            <v>3.7160000000000002</v>
          </cell>
          <cell r="AB64">
            <v>3.8309278350515465</v>
          </cell>
          <cell r="AC64">
            <v>3.7298387096774195</v>
          </cell>
          <cell r="AD64">
            <v>3.8916666666666666</v>
          </cell>
          <cell r="AE64">
            <v>4.0811965811965809</v>
          </cell>
          <cell r="AF64">
            <v>4.0995762711864403</v>
          </cell>
          <cell r="AG64">
            <v>4.0396659707724423</v>
          </cell>
          <cell r="AH64">
            <v>4.0548780487804876</v>
          </cell>
          <cell r="AI64">
            <v>4.3707627118644066</v>
          </cell>
          <cell r="AJ64">
            <v>4.7367256637168138</v>
          </cell>
          <cell r="AK64">
            <v>5.5</v>
          </cell>
          <cell r="AL64">
            <v>4.9210526315789478</v>
          </cell>
          <cell r="AM64">
            <v>6.0644329896907214</v>
          </cell>
          <cell r="AN64">
            <v>7.25</v>
          </cell>
          <cell r="AO64">
            <v>8.7899999999999991</v>
          </cell>
          <cell r="AP64">
            <v>10.134057971014492</v>
          </cell>
          <cell r="AQ64">
            <v>8.5535168195718647</v>
          </cell>
          <cell r="AR64">
            <v>11.43359375</v>
          </cell>
          <cell r="AS64">
            <v>12.193548387096774</v>
          </cell>
          <cell r="AT64">
            <v>10.514925373134329</v>
          </cell>
          <cell r="AV64">
            <v>9.3150684931506849</v>
          </cell>
          <cell r="AW64">
            <v>9.764705882352942</v>
          </cell>
          <cell r="AX64">
            <v>10.42741935483871</v>
          </cell>
          <cell r="AY64">
            <v>10.641129032258064</v>
          </cell>
          <cell r="AZ64">
            <v>9.9584905660377352</v>
          </cell>
          <cell r="BA64">
            <v>8.3287671232876708</v>
          </cell>
          <cell r="BB64">
            <v>7.1198630136986303</v>
          </cell>
          <cell r="BC64">
            <v>4.9121621621621623</v>
          </cell>
          <cell r="BD64">
            <v>3.4769736842105261</v>
          </cell>
          <cell r="BE64">
            <v>3.5709459459459461</v>
          </cell>
          <cell r="BF64">
            <v>2.6363636363636362</v>
          </cell>
          <cell r="BG64">
            <v>1.2534246575342465</v>
          </cell>
          <cell r="BH64">
            <v>1.1401098901098901</v>
          </cell>
          <cell r="BI64">
            <v>1.0576923076923077</v>
          </cell>
          <cell r="BJ64">
            <v>1.1596385542168675</v>
          </cell>
          <cell r="BK64">
            <v>0.96287128712871284</v>
          </cell>
          <cell r="BL64">
            <v>1.6053921568627452</v>
          </cell>
          <cell r="BM64">
            <v>1.5073529411764706</v>
          </cell>
          <cell r="BN64">
            <v>1.4275</v>
          </cell>
          <cell r="BO64">
            <v>1.4098765432098765</v>
          </cell>
          <cell r="BP64">
            <v>1.375</v>
          </cell>
          <cell r="BQ64">
            <v>1.5123762376237624</v>
          </cell>
          <cell r="BR64">
            <v>1.5144230769230769</v>
          </cell>
          <cell r="BS64">
            <v>1.6813725490196079</v>
          </cell>
          <cell r="BT64">
            <v>1.6772616136919316</v>
          </cell>
          <cell r="BU64">
            <v>1.554245283018868</v>
          </cell>
          <cell r="BV64">
            <v>1.4428571428571428</v>
          </cell>
          <cell r="BW64">
            <v>1.6071428571428572</v>
          </cell>
          <cell r="BX64">
            <v>1.6538461538461537</v>
          </cell>
          <cell r="BY64">
            <v>1.638095238095238</v>
          </cell>
          <cell r="BZ64">
            <v>1.7620192307692308</v>
          </cell>
          <cell r="CA64">
            <v>1.8137254901960784</v>
          </cell>
          <cell r="CB64">
            <v>1.695754716981132</v>
          </cell>
          <cell r="CC64">
            <v>1.7735849056603774</v>
          </cell>
          <cell r="CD64">
            <v>1.799043062200957</v>
          </cell>
          <cell r="CE64">
            <v>1.8045454545454545</v>
          </cell>
          <cell r="CF64">
            <v>1.8270833333333334</v>
          </cell>
          <cell r="CG64">
            <v>2.1450892857142856</v>
          </cell>
          <cell r="CH64">
            <v>2.378640776699029</v>
          </cell>
          <cell r="CI64">
            <v>2.202247191011236</v>
          </cell>
          <cell r="CJ64">
            <v>2.2981651376146788</v>
          </cell>
          <cell r="CK64">
            <v>2.3925233644859811</v>
          </cell>
          <cell r="CL64">
            <v>2.30607476635514</v>
          </cell>
          <cell r="CM64">
            <v>2.5990099009900991</v>
          </cell>
          <cell r="CN64">
            <v>2.4764150943396226</v>
          </cell>
          <cell r="CO64">
            <v>2.3792372881355934</v>
          </cell>
          <cell r="CP64">
            <v>2.8826530612244898</v>
          </cell>
          <cell r="CQ64">
            <v>4.7415254237288131</v>
          </cell>
          <cell r="CR64">
            <v>2.8149999999999999</v>
          </cell>
          <cell r="CS64">
            <v>3.0026666666666668</v>
          </cell>
          <cell r="CT64">
            <v>2.7168367346938775</v>
          </cell>
          <cell r="CU64">
            <v>2.642156862745098</v>
          </cell>
          <cell r="CV64">
            <v>2.8033980582524274</v>
          </cell>
          <cell r="CW64">
            <v>2.7696789379246534</v>
          </cell>
          <cell r="CX64">
            <v>2.9267478713120552</v>
          </cell>
          <cell r="CY64">
            <v>2.6449179122879873</v>
          </cell>
          <cell r="CZ64">
            <v>2.7936180974763238</v>
          </cell>
          <cell r="DA64">
            <v>2.9282814312575973</v>
          </cell>
          <cell r="DB64">
            <v>3.0535814513691952</v>
          </cell>
          <cell r="DC64">
            <v>3.0430009416814476</v>
          </cell>
          <cell r="DD64">
            <v>3.1948022394439812</v>
          </cell>
          <cell r="DE64">
            <v>3.2749276649349763</v>
          </cell>
          <cell r="DF64">
            <v>3.3361852116528876</v>
          </cell>
          <cell r="DG64">
            <v>3.4289853123326681</v>
          </cell>
          <cell r="DH64">
            <v>3.418873150246684</v>
          </cell>
          <cell r="DI64">
            <v>3.4841326409356306</v>
          </cell>
          <cell r="DJ64">
            <v>3.5090494017487943</v>
          </cell>
          <cell r="DK64">
            <v>3.5423262893070047</v>
          </cell>
          <cell r="DL64">
            <v>3.6830265286003132</v>
          </cell>
          <cell r="DM64">
            <v>3.6152634702613939</v>
          </cell>
          <cell r="DN64">
            <v>3.7422354786029426</v>
          </cell>
          <cell r="DO64">
            <v>3.7889187969606146</v>
          </cell>
          <cell r="DP64">
            <v>3.8339305803916366</v>
          </cell>
          <cell r="DQ64">
            <v>3.8880599563168019</v>
          </cell>
          <cell r="DR64">
            <v>3.8880599563168019</v>
          </cell>
        </row>
        <row r="65">
          <cell r="B65" t="str">
            <v>LTM Adj.EBITDA</v>
          </cell>
          <cell r="G65">
            <v>623</v>
          </cell>
          <cell r="H65">
            <v>623</v>
          </cell>
          <cell r="I65">
            <v>754.41</v>
          </cell>
          <cell r="J65">
            <v>906.21</v>
          </cell>
          <cell r="K65">
            <v>1059.5100000000002</v>
          </cell>
          <cell r="L65">
            <v>1099</v>
          </cell>
          <cell r="M65">
            <v>1099</v>
          </cell>
          <cell r="N65">
            <v>1127.5999999999997</v>
          </cell>
          <cell r="O65">
            <v>1145.4999999999995</v>
          </cell>
          <cell r="P65">
            <v>1277.4999999999995</v>
          </cell>
          <cell r="Q65">
            <v>1596.9999999999991</v>
          </cell>
          <cell r="R65">
            <v>1596.9999999999991</v>
          </cell>
          <cell r="S65">
            <v>1724.2999999999993</v>
          </cell>
          <cell r="T65">
            <v>1876.5999999999995</v>
          </cell>
          <cell r="U65">
            <v>1942.9999999999993</v>
          </cell>
          <cell r="V65">
            <v>1809</v>
          </cell>
          <cell r="W65">
            <v>1809</v>
          </cell>
          <cell r="X65">
            <v>1864</v>
          </cell>
          <cell r="Y65">
            <v>1871</v>
          </cell>
          <cell r="Z65">
            <v>1851</v>
          </cell>
          <cell r="AA65">
            <v>1858</v>
          </cell>
          <cell r="AB65">
            <v>1858</v>
          </cell>
          <cell r="AC65">
            <v>1850</v>
          </cell>
          <cell r="AD65">
            <v>1868</v>
          </cell>
          <cell r="AE65">
            <v>1910</v>
          </cell>
          <cell r="AF65">
            <v>1935</v>
          </cell>
          <cell r="AG65">
            <v>1935</v>
          </cell>
          <cell r="AH65">
            <v>1995</v>
          </cell>
          <cell r="AI65">
            <v>2063</v>
          </cell>
          <cell r="AJ65">
            <v>2141</v>
          </cell>
          <cell r="AK65">
            <v>2244</v>
          </cell>
          <cell r="AL65">
            <v>2244</v>
          </cell>
          <cell r="AM65">
            <v>2353</v>
          </cell>
          <cell r="AN65">
            <v>2494</v>
          </cell>
          <cell r="AO65">
            <v>2637</v>
          </cell>
          <cell r="AP65">
            <v>2797</v>
          </cell>
          <cell r="AQ65">
            <v>2797</v>
          </cell>
          <cell r="AR65">
            <v>2927</v>
          </cell>
          <cell r="AS65">
            <v>3024</v>
          </cell>
          <cell r="AT65">
            <v>2818</v>
          </cell>
          <cell r="AV65">
            <v>2720</v>
          </cell>
          <cell r="AW65">
            <v>2656</v>
          </cell>
          <cell r="AX65">
            <v>2586</v>
          </cell>
          <cell r="AY65">
            <v>2639</v>
          </cell>
          <cell r="AZ65">
            <v>2639</v>
          </cell>
          <cell r="BA65">
            <v>2432</v>
          </cell>
          <cell r="BB65">
            <v>2079</v>
          </cell>
          <cell r="BC65">
            <v>1454</v>
          </cell>
          <cell r="BD65">
            <v>1057</v>
          </cell>
          <cell r="BE65">
            <v>1057</v>
          </cell>
          <cell r="BF65">
            <v>812</v>
          </cell>
          <cell r="BG65">
            <v>366</v>
          </cell>
          <cell r="BH65">
            <v>415</v>
          </cell>
          <cell r="BI65">
            <v>385</v>
          </cell>
          <cell r="BJ65">
            <v>385</v>
          </cell>
          <cell r="BK65">
            <v>389</v>
          </cell>
          <cell r="BL65">
            <v>655</v>
          </cell>
          <cell r="BM65">
            <v>615</v>
          </cell>
          <cell r="BN65">
            <v>571</v>
          </cell>
          <cell r="BO65">
            <v>571</v>
          </cell>
          <cell r="BP65">
            <v>561</v>
          </cell>
          <cell r="BQ65">
            <v>611</v>
          </cell>
          <cell r="BR65">
            <v>630</v>
          </cell>
          <cell r="BS65">
            <v>686</v>
          </cell>
          <cell r="BT65">
            <v>686</v>
          </cell>
          <cell r="BU65">
            <v>659</v>
          </cell>
          <cell r="BV65">
            <v>606</v>
          </cell>
          <cell r="BW65">
            <v>675</v>
          </cell>
          <cell r="BX65">
            <v>688</v>
          </cell>
          <cell r="BY65">
            <v>688</v>
          </cell>
          <cell r="BZ65">
            <v>733</v>
          </cell>
          <cell r="CA65">
            <v>740</v>
          </cell>
          <cell r="CB65">
            <v>719</v>
          </cell>
          <cell r="CC65">
            <v>752</v>
          </cell>
          <cell r="CD65">
            <v>752</v>
          </cell>
          <cell r="CE65">
            <v>794</v>
          </cell>
          <cell r="CF65">
            <v>877</v>
          </cell>
          <cell r="CG65">
            <v>961</v>
          </cell>
          <cell r="CH65">
            <v>980</v>
          </cell>
          <cell r="CI65">
            <v>980</v>
          </cell>
          <cell r="CJ65">
            <v>1002</v>
          </cell>
          <cell r="CK65">
            <v>1024</v>
          </cell>
          <cell r="CL65">
            <v>987</v>
          </cell>
          <cell r="CM65">
            <v>1050</v>
          </cell>
          <cell r="CN65">
            <v>1050</v>
          </cell>
          <cell r="CO65">
            <v>1123</v>
          </cell>
          <cell r="CP65">
            <v>1130</v>
          </cell>
          <cell r="CQ65">
            <v>1119</v>
          </cell>
          <cell r="CR65">
            <v>1126</v>
          </cell>
          <cell r="CS65">
            <v>1126</v>
          </cell>
          <cell r="CT65">
            <v>1065</v>
          </cell>
          <cell r="CU65">
            <v>1078</v>
          </cell>
          <cell r="CV65">
            <v>1155</v>
          </cell>
          <cell r="CW65">
            <v>1205.1882797298467</v>
          </cell>
          <cell r="CX65">
            <v>1205.1882797298467</v>
          </cell>
          <cell r="CY65">
            <v>1172.2468968714693</v>
          </cell>
          <cell r="CZ65">
            <v>1232.4645660159956</v>
          </cell>
          <cell r="DA65">
            <v>1285.9126964911995</v>
          </cell>
          <cell r="DB65">
            <v>1340.9363991354187</v>
          </cell>
          <cell r="DC65">
            <v>1340.9363991354187</v>
          </cell>
          <cell r="DD65">
            <v>1402.9514781696323</v>
          </cell>
          <cell r="DE65">
            <v>1438.1374069710114</v>
          </cell>
          <cell r="DF65">
            <v>1465.0377780349481</v>
          </cell>
          <cell r="DG65">
            <v>1499.8746085832527</v>
          </cell>
          <cell r="DH65">
            <v>1499.8746085832527</v>
          </cell>
          <cell r="DI65">
            <v>1523.996636054555</v>
          </cell>
          <cell r="DJ65">
            <v>1534.8954919748164</v>
          </cell>
          <cell r="DK65">
            <v>1549.4511561597078</v>
          </cell>
          <cell r="DL65">
            <v>1571.715457839121</v>
          </cell>
          <cell r="DM65">
            <v>1571.715457839121</v>
          </cell>
          <cell r="DN65">
            <v>1596.9826182135866</v>
          </cell>
          <cell r="DO65">
            <v>1616.9045200832054</v>
          </cell>
          <cell r="DP65">
            <v>1636.1131017358416</v>
          </cell>
          <cell r="DQ65">
            <v>1659.2125760958861</v>
          </cell>
          <cell r="DR65">
            <v>1659.2125760958861</v>
          </cell>
        </row>
        <row r="66">
          <cell r="B66" t="str">
            <v>Interest Expense (annualized)</v>
          </cell>
          <cell r="G66">
            <v>340.56</v>
          </cell>
          <cell r="H66">
            <v>138</v>
          </cell>
          <cell r="I66">
            <v>308.39999999999998</v>
          </cell>
          <cell r="J66">
            <v>325.2</v>
          </cell>
          <cell r="K66">
            <v>318</v>
          </cell>
          <cell r="L66">
            <v>296.40000000000009</v>
          </cell>
          <cell r="M66">
            <v>312</v>
          </cell>
          <cell r="N66">
            <v>284</v>
          </cell>
          <cell r="O66">
            <v>280.39999999999998</v>
          </cell>
          <cell r="P66">
            <v>424</v>
          </cell>
          <cell r="Q66">
            <v>679.6</v>
          </cell>
          <cell r="R66">
            <v>417</v>
          </cell>
          <cell r="S66">
            <v>448</v>
          </cell>
          <cell r="T66">
            <v>472</v>
          </cell>
          <cell r="U66">
            <v>456</v>
          </cell>
          <cell r="V66">
            <v>480</v>
          </cell>
          <cell r="W66">
            <v>464</v>
          </cell>
          <cell r="X66">
            <v>476</v>
          </cell>
          <cell r="Y66">
            <v>476</v>
          </cell>
          <cell r="Z66">
            <v>488</v>
          </cell>
          <cell r="AA66">
            <v>500</v>
          </cell>
          <cell r="AB66">
            <v>485</v>
          </cell>
          <cell r="AC66">
            <v>496</v>
          </cell>
          <cell r="AD66">
            <v>480</v>
          </cell>
          <cell r="AE66">
            <v>468</v>
          </cell>
          <cell r="AF66">
            <v>472</v>
          </cell>
          <cell r="AG66">
            <v>479</v>
          </cell>
          <cell r="AH66">
            <v>492</v>
          </cell>
          <cell r="AI66">
            <v>472</v>
          </cell>
          <cell r="AJ66">
            <v>452</v>
          </cell>
          <cell r="AK66">
            <v>408</v>
          </cell>
          <cell r="AL66">
            <v>456</v>
          </cell>
          <cell r="AM66">
            <v>388</v>
          </cell>
          <cell r="AN66">
            <v>344</v>
          </cell>
          <cell r="AO66">
            <v>300</v>
          </cell>
          <cell r="AP66">
            <v>276</v>
          </cell>
          <cell r="AQ66">
            <v>327</v>
          </cell>
          <cell r="AR66">
            <v>256</v>
          </cell>
          <cell r="AS66">
            <v>248</v>
          </cell>
          <cell r="AT66">
            <v>268</v>
          </cell>
          <cell r="AV66">
            <v>292</v>
          </cell>
          <cell r="AW66">
            <v>272</v>
          </cell>
          <cell r="AX66">
            <v>248</v>
          </cell>
          <cell r="AY66">
            <v>248</v>
          </cell>
          <cell r="AZ66">
            <v>265</v>
          </cell>
          <cell r="BA66">
            <v>292</v>
          </cell>
          <cell r="BB66">
            <v>292</v>
          </cell>
          <cell r="BC66">
            <v>296</v>
          </cell>
          <cell r="BD66">
            <v>304</v>
          </cell>
          <cell r="BE66">
            <v>296</v>
          </cell>
          <cell r="BF66">
            <v>308</v>
          </cell>
          <cell r="BG66">
            <v>292</v>
          </cell>
          <cell r="BH66">
            <v>364</v>
          </cell>
          <cell r="BI66">
            <v>364</v>
          </cell>
          <cell r="BJ66">
            <v>332</v>
          </cell>
          <cell r="BK66">
            <v>404</v>
          </cell>
          <cell r="BL66">
            <v>408</v>
          </cell>
          <cell r="BM66">
            <v>408</v>
          </cell>
          <cell r="BN66">
            <v>400</v>
          </cell>
          <cell r="BO66">
            <v>405</v>
          </cell>
          <cell r="BP66">
            <v>408</v>
          </cell>
          <cell r="BQ66">
            <v>404</v>
          </cell>
          <cell r="BR66">
            <v>416</v>
          </cell>
          <cell r="BS66">
            <v>408</v>
          </cell>
          <cell r="BT66">
            <v>409</v>
          </cell>
          <cell r="BU66">
            <v>424</v>
          </cell>
          <cell r="BV66">
            <v>420</v>
          </cell>
          <cell r="BW66">
            <v>420</v>
          </cell>
          <cell r="BX66">
            <v>416</v>
          </cell>
          <cell r="BY66">
            <v>420</v>
          </cell>
          <cell r="BZ66">
            <v>416</v>
          </cell>
          <cell r="CA66">
            <v>408</v>
          </cell>
          <cell r="CB66">
            <v>424</v>
          </cell>
          <cell r="CC66">
            <v>424</v>
          </cell>
          <cell r="CD66">
            <v>418</v>
          </cell>
          <cell r="CE66">
            <v>440</v>
          </cell>
          <cell r="CF66">
            <v>480</v>
          </cell>
          <cell r="CG66">
            <v>448</v>
          </cell>
          <cell r="CH66">
            <v>412</v>
          </cell>
          <cell r="CI66">
            <v>445</v>
          </cell>
          <cell r="CJ66">
            <v>436</v>
          </cell>
          <cell r="CK66">
            <v>428</v>
          </cell>
          <cell r="CL66">
            <v>428</v>
          </cell>
          <cell r="CM66">
            <v>404</v>
          </cell>
          <cell r="CN66">
            <v>424</v>
          </cell>
          <cell r="CO66">
            <v>472</v>
          </cell>
          <cell r="CP66">
            <v>392</v>
          </cell>
          <cell r="CQ66">
            <v>236</v>
          </cell>
          <cell r="CR66">
            <v>400</v>
          </cell>
          <cell r="CS66">
            <v>375</v>
          </cell>
          <cell r="CT66">
            <v>392</v>
          </cell>
          <cell r="CU66">
            <v>408</v>
          </cell>
          <cell r="CV66">
            <v>412</v>
          </cell>
          <cell r="CW66">
            <v>435.13645687499996</v>
          </cell>
          <cell r="CX66">
            <v>411.78411421875001</v>
          </cell>
          <cell r="CY66">
            <v>443.20728875000003</v>
          </cell>
          <cell r="CZ66">
            <v>441.17145687499999</v>
          </cell>
          <cell r="DA66">
            <v>439.135625</v>
          </cell>
          <cell r="DB66">
            <v>439.135625</v>
          </cell>
          <cell r="DC66">
            <v>440.66249890624999</v>
          </cell>
          <cell r="DD66">
            <v>439.135625</v>
          </cell>
          <cell r="DE66">
            <v>439.135625</v>
          </cell>
          <cell r="DF66">
            <v>439.135625</v>
          </cell>
          <cell r="DG66">
            <v>437.41062500000004</v>
          </cell>
          <cell r="DH66">
            <v>438.70437500000003</v>
          </cell>
          <cell r="DI66">
            <v>437.41062500000004</v>
          </cell>
          <cell r="DJ66">
            <v>437.41062500000004</v>
          </cell>
          <cell r="DK66">
            <v>437.41062500000004</v>
          </cell>
          <cell r="DL66">
            <v>426.74562499999996</v>
          </cell>
          <cell r="DM66">
            <v>434.74437500000005</v>
          </cell>
          <cell r="DN66">
            <v>426.74562499999996</v>
          </cell>
          <cell r="DO66">
            <v>426.74562499999996</v>
          </cell>
          <cell r="DP66">
            <v>426.74562499999996</v>
          </cell>
          <cell r="DQ66">
            <v>426.74562499999996</v>
          </cell>
          <cell r="DR66">
            <v>426.74562499999996</v>
          </cell>
        </row>
        <row r="67">
          <cell r="B67" t="str">
            <v xml:space="preserve">Net Debt </v>
          </cell>
          <cell r="G67">
            <v>3405</v>
          </cell>
          <cell r="H67">
            <v>3405</v>
          </cell>
          <cell r="I67">
            <v>3398.4</v>
          </cell>
          <cell r="J67">
            <v>3431.6</v>
          </cell>
          <cell r="K67">
            <v>3247.9</v>
          </cell>
          <cell r="L67">
            <v>3162</v>
          </cell>
          <cell r="M67">
            <v>3162</v>
          </cell>
          <cell r="N67">
            <v>3137.8</v>
          </cell>
          <cell r="O67">
            <v>3320.1</v>
          </cell>
          <cell r="P67">
            <v>4844.8</v>
          </cell>
          <cell r="Q67">
            <v>5015</v>
          </cell>
          <cell r="R67">
            <v>5015</v>
          </cell>
          <cell r="S67">
            <v>5212</v>
          </cell>
          <cell r="T67">
            <v>5522</v>
          </cell>
          <cell r="U67">
            <v>5751</v>
          </cell>
          <cell r="V67">
            <v>5816</v>
          </cell>
          <cell r="W67">
            <v>5816</v>
          </cell>
          <cell r="X67">
            <v>6015</v>
          </cell>
          <cell r="Y67">
            <v>6287</v>
          </cell>
          <cell r="Z67">
            <v>6470</v>
          </cell>
          <cell r="AA67">
            <v>6407</v>
          </cell>
          <cell r="AB67">
            <v>6407</v>
          </cell>
          <cell r="AC67">
            <v>6545</v>
          </cell>
          <cell r="AD67">
            <v>5785</v>
          </cell>
          <cell r="AE67">
            <v>5970</v>
          </cell>
          <cell r="AF67">
            <v>5542</v>
          </cell>
          <cell r="AG67">
            <v>5542</v>
          </cell>
          <cell r="AH67">
            <v>5351</v>
          </cell>
          <cell r="AI67">
            <v>4974</v>
          </cell>
          <cell r="AJ67">
            <v>4813</v>
          </cell>
          <cell r="AK67">
            <v>4165</v>
          </cell>
          <cell r="AL67">
            <v>4165</v>
          </cell>
          <cell r="AM67">
            <v>4326</v>
          </cell>
          <cell r="AN67">
            <v>4293</v>
          </cell>
          <cell r="AO67">
            <v>4245</v>
          </cell>
          <cell r="AP67">
            <v>3980</v>
          </cell>
          <cell r="AQ67">
            <v>3980</v>
          </cell>
          <cell r="AR67">
            <v>3553</v>
          </cell>
          <cell r="AS67">
            <v>3879</v>
          </cell>
          <cell r="AT67">
            <v>3947</v>
          </cell>
          <cell r="AY67">
            <v>3709</v>
          </cell>
          <cell r="AZ67">
            <v>3709</v>
          </cell>
          <cell r="BA67">
            <v>3931</v>
          </cell>
          <cell r="BB67">
            <v>3828</v>
          </cell>
          <cell r="BC67">
            <v>3836</v>
          </cell>
          <cell r="BD67">
            <v>3438</v>
          </cell>
          <cell r="BE67">
            <v>3438</v>
          </cell>
          <cell r="BF67">
            <v>3541</v>
          </cell>
          <cell r="BG67">
            <v>3321</v>
          </cell>
          <cell r="BH67">
            <v>3190</v>
          </cell>
          <cell r="BI67">
            <v>3519</v>
          </cell>
          <cell r="BJ67">
            <v>3519</v>
          </cell>
          <cell r="BK67">
            <v>3041</v>
          </cell>
          <cell r="BL67">
            <v>2947</v>
          </cell>
          <cell r="BM67">
            <v>3060</v>
          </cell>
          <cell r="BN67">
            <v>3430</v>
          </cell>
          <cell r="BO67">
            <v>3430</v>
          </cell>
          <cell r="BP67">
            <v>3829</v>
          </cell>
          <cell r="BQ67">
            <v>4238</v>
          </cell>
          <cell r="BR67">
            <v>3988</v>
          </cell>
          <cell r="BS67">
            <v>3998</v>
          </cell>
          <cell r="BT67">
            <v>3998</v>
          </cell>
          <cell r="BU67">
            <v>4200</v>
          </cell>
          <cell r="BV67">
            <v>4111</v>
          </cell>
          <cell r="BW67">
            <v>4112</v>
          </cell>
          <cell r="BX67">
            <v>4200</v>
          </cell>
          <cell r="BY67">
            <v>4200</v>
          </cell>
          <cell r="BZ67">
            <v>4497</v>
          </cell>
          <cell r="CA67">
            <v>4425</v>
          </cell>
          <cell r="CB67">
            <v>4219</v>
          </cell>
          <cell r="CC67">
            <v>4259</v>
          </cell>
          <cell r="CD67">
            <v>4259</v>
          </cell>
          <cell r="CE67">
            <v>3983</v>
          </cell>
          <cell r="CF67">
            <v>3862</v>
          </cell>
          <cell r="CG67">
            <v>3535</v>
          </cell>
          <cell r="CH67">
            <v>3582</v>
          </cell>
          <cell r="CI67">
            <v>3582</v>
          </cell>
          <cell r="CJ67">
            <v>3682</v>
          </cell>
          <cell r="CK67">
            <v>3562</v>
          </cell>
          <cell r="CL67">
            <v>3660</v>
          </cell>
          <cell r="CM67">
            <v>3658</v>
          </cell>
          <cell r="CN67">
            <v>3658</v>
          </cell>
          <cell r="CO67">
            <v>3813</v>
          </cell>
          <cell r="CP67">
            <v>3853</v>
          </cell>
          <cell r="CQ67">
            <v>3910</v>
          </cell>
          <cell r="CR67">
            <v>4247</v>
          </cell>
          <cell r="CS67">
            <v>4247</v>
          </cell>
          <cell r="CT67">
            <v>4479</v>
          </cell>
          <cell r="CU67">
            <v>4666</v>
          </cell>
          <cell r="CV67">
            <v>4668</v>
          </cell>
          <cell r="CW67">
            <v>4596.8867105349946</v>
          </cell>
          <cell r="CX67">
            <v>4596.8867105349946</v>
          </cell>
          <cell r="CY67">
            <v>4614.1167108998097</v>
          </cell>
          <cell r="CZ67">
            <v>4576.2633380482193</v>
          </cell>
          <cell r="DA67">
            <v>4509.7197809617701</v>
          </cell>
          <cell r="DB67">
            <v>4467.8599537138825</v>
          </cell>
          <cell r="DC67">
            <v>4467.8599537138825</v>
          </cell>
          <cell r="DD67">
            <v>4389.4626653781725</v>
          </cell>
          <cell r="DE67">
            <v>4315.048988935825</v>
          </cell>
          <cell r="DF67">
            <v>4228.4910423687979</v>
          </cell>
          <cell r="DG67">
            <v>4164.6986417444614</v>
          </cell>
          <cell r="DH67">
            <v>4164.6986417444614</v>
          </cell>
          <cell r="DI67">
            <v>4092.9340118005739</v>
          </cell>
          <cell r="DJ67">
            <v>3998.5883239450714</v>
          </cell>
          <cell r="DK67">
            <v>3902.5283233580731</v>
          </cell>
          <cell r="DL67">
            <v>3828.3335958957596</v>
          </cell>
          <cell r="DM67">
            <v>3828.3335958957596</v>
          </cell>
          <cell r="DN67">
            <v>3735.9319364390039</v>
          </cell>
          <cell r="DO67">
            <v>3633.4680317015759</v>
          </cell>
          <cell r="DP67">
            <v>3522.7124461023791</v>
          </cell>
          <cell r="DQ67">
            <v>3435.5741952960489</v>
          </cell>
          <cell r="DR67">
            <v>3435.5741952960489</v>
          </cell>
        </row>
        <row r="68">
          <cell r="B68" t="str">
            <v>Total Debt</v>
          </cell>
          <cell r="G68">
            <v>3560</v>
          </cell>
          <cell r="H68">
            <v>3560</v>
          </cell>
          <cell r="I68">
            <v>3504.8</v>
          </cell>
          <cell r="J68">
            <v>3530.4</v>
          </cell>
          <cell r="K68">
            <v>3362.1</v>
          </cell>
          <cell r="L68">
            <v>3251</v>
          </cell>
          <cell r="M68">
            <v>3251</v>
          </cell>
          <cell r="N68">
            <v>3241.9</v>
          </cell>
          <cell r="O68">
            <v>3376.9</v>
          </cell>
          <cell r="P68">
            <v>4906.1000000000004</v>
          </cell>
          <cell r="Q68">
            <v>5050</v>
          </cell>
          <cell r="R68">
            <v>5050</v>
          </cell>
          <cell r="S68">
            <v>5315</v>
          </cell>
          <cell r="T68">
            <v>5536</v>
          </cell>
          <cell r="U68">
            <v>5768</v>
          </cell>
          <cell r="V68">
            <v>5839</v>
          </cell>
          <cell r="W68">
            <v>5839</v>
          </cell>
          <cell r="X68">
            <v>6036</v>
          </cell>
          <cell r="Y68">
            <v>6319</v>
          </cell>
          <cell r="Z68">
            <v>6531</v>
          </cell>
          <cell r="AA68">
            <v>6436</v>
          </cell>
          <cell r="AB68">
            <v>6436</v>
          </cell>
          <cell r="AC68">
            <v>6569</v>
          </cell>
          <cell r="AD68">
            <v>5816</v>
          </cell>
          <cell r="AE68">
            <v>6008</v>
          </cell>
          <cell r="AF68">
            <v>5677</v>
          </cell>
          <cell r="AG68">
            <v>5677</v>
          </cell>
          <cell r="AH68">
            <v>5434</v>
          </cell>
          <cell r="AI68">
            <v>5056</v>
          </cell>
          <cell r="AJ68">
            <v>4870</v>
          </cell>
          <cell r="AK68">
            <v>4227</v>
          </cell>
          <cell r="AL68">
            <v>4227</v>
          </cell>
          <cell r="AM68">
            <v>4392</v>
          </cell>
          <cell r="AN68">
            <v>4356</v>
          </cell>
          <cell r="AO68">
            <v>4297</v>
          </cell>
          <cell r="AP68">
            <v>4018</v>
          </cell>
          <cell r="AQ68">
            <v>4018</v>
          </cell>
          <cell r="AR68">
            <v>3595</v>
          </cell>
          <cell r="AS68">
            <v>3919</v>
          </cell>
          <cell r="AT68">
            <v>4065</v>
          </cell>
          <cell r="AY68">
            <v>3919</v>
          </cell>
          <cell r="AZ68">
            <v>3919</v>
          </cell>
          <cell r="BA68">
            <v>4066</v>
          </cell>
          <cell r="BB68">
            <v>4049</v>
          </cell>
          <cell r="BC68">
            <v>4055</v>
          </cell>
          <cell r="BD68">
            <v>4057</v>
          </cell>
          <cell r="BE68">
            <v>4057</v>
          </cell>
          <cell r="BF68">
            <v>4048</v>
          </cell>
          <cell r="BG68">
            <v>4514</v>
          </cell>
          <cell r="BH68">
            <v>4513</v>
          </cell>
          <cell r="BI68">
            <v>4436</v>
          </cell>
          <cell r="BJ68">
            <v>4436</v>
          </cell>
          <cell r="BK68">
            <v>4801</v>
          </cell>
          <cell r="BL68">
            <v>4804</v>
          </cell>
          <cell r="BM68">
            <v>4803</v>
          </cell>
          <cell r="BN68">
            <v>4803</v>
          </cell>
          <cell r="BO68">
            <v>4803</v>
          </cell>
          <cell r="BP68">
            <v>4804</v>
          </cell>
          <cell r="BQ68">
            <v>4806</v>
          </cell>
          <cell r="BR68">
            <v>4797</v>
          </cell>
          <cell r="BS68">
            <v>4782</v>
          </cell>
          <cell r="BT68">
            <v>4782</v>
          </cell>
          <cell r="BU68">
            <v>4784</v>
          </cell>
          <cell r="BV68">
            <v>4786</v>
          </cell>
          <cell r="BW68">
            <v>4767</v>
          </cell>
          <cell r="BX68">
            <v>4772</v>
          </cell>
          <cell r="BY68">
            <v>4772</v>
          </cell>
          <cell r="BZ68">
            <v>4775</v>
          </cell>
          <cell r="CA68">
            <v>4777</v>
          </cell>
          <cell r="CB68">
            <v>4779</v>
          </cell>
          <cell r="CC68">
            <v>4780</v>
          </cell>
          <cell r="CD68">
            <v>4780</v>
          </cell>
          <cell r="CE68">
            <v>4641</v>
          </cell>
          <cell r="CF68">
            <v>4626</v>
          </cell>
          <cell r="CG68">
            <v>4269</v>
          </cell>
          <cell r="CH68">
            <v>4274</v>
          </cell>
          <cell r="CI68">
            <v>4274</v>
          </cell>
          <cell r="CJ68">
            <v>4273</v>
          </cell>
          <cell r="CK68">
            <v>4274</v>
          </cell>
          <cell r="CL68">
            <v>4059</v>
          </cell>
          <cell r="CM68">
            <v>4064</v>
          </cell>
          <cell r="CN68">
            <v>4064</v>
          </cell>
          <cell r="CO68">
            <v>4082</v>
          </cell>
          <cell r="CP68">
            <v>4117</v>
          </cell>
          <cell r="CQ68">
            <v>4095</v>
          </cell>
          <cell r="CR68">
            <v>4360</v>
          </cell>
          <cell r="CS68">
            <v>4360</v>
          </cell>
          <cell r="CT68">
            <v>4583</v>
          </cell>
          <cell r="CU68">
            <v>4748</v>
          </cell>
          <cell r="CV68">
            <v>4751</v>
          </cell>
          <cell r="CW68">
            <v>5393.7089999999998</v>
          </cell>
          <cell r="CX68">
            <v>5393.7089999999998</v>
          </cell>
          <cell r="CY68">
            <v>5397.2089999999998</v>
          </cell>
          <cell r="CZ68">
            <v>5345.5</v>
          </cell>
          <cell r="DA68">
            <v>5349</v>
          </cell>
          <cell r="DB68">
            <v>5352.5</v>
          </cell>
          <cell r="DC68">
            <v>5352.5</v>
          </cell>
          <cell r="DD68">
            <v>5356</v>
          </cell>
          <cell r="DE68">
            <v>5359.5</v>
          </cell>
          <cell r="DF68">
            <v>5363</v>
          </cell>
          <cell r="DG68">
            <v>5366.5</v>
          </cell>
          <cell r="DH68">
            <v>5366.5</v>
          </cell>
          <cell r="DI68">
            <v>5370</v>
          </cell>
          <cell r="DJ68">
            <v>5373.5</v>
          </cell>
          <cell r="DK68">
            <v>5377</v>
          </cell>
          <cell r="DL68">
            <v>5380.5</v>
          </cell>
          <cell r="DM68">
            <v>5380.5</v>
          </cell>
          <cell r="DN68">
            <v>5384</v>
          </cell>
          <cell r="DO68">
            <v>5387.5</v>
          </cell>
          <cell r="DP68">
            <v>5391</v>
          </cell>
          <cell r="DQ68">
            <v>5394.5</v>
          </cell>
          <cell r="DR68">
            <v>5394.5</v>
          </cell>
        </row>
        <row r="70">
          <cell r="B70" t="str">
            <v>A = L + SE?</v>
          </cell>
          <cell r="D70" t="str">
            <v>ok</v>
          </cell>
          <cell r="E70" t="str">
            <v>ok</v>
          </cell>
          <cell r="F70" t="str">
            <v>ok</v>
          </cell>
          <cell r="G70" t="str">
            <v>ok</v>
          </cell>
          <cell r="H70" t="str">
            <v>ok</v>
          </cell>
          <cell r="I70" t="str">
            <v>ok</v>
          </cell>
          <cell r="J70" t="str">
            <v>ok</v>
          </cell>
          <cell r="K70" t="str">
            <v>ok</v>
          </cell>
          <cell r="L70" t="str">
            <v>ok</v>
          </cell>
          <cell r="M70" t="str">
            <v>ok</v>
          </cell>
          <cell r="N70" t="str">
            <v>ok</v>
          </cell>
          <cell r="O70" t="str">
            <v>ok</v>
          </cell>
          <cell r="P70" t="str">
            <v>ok</v>
          </cell>
          <cell r="Q70" t="str">
            <v>ok</v>
          </cell>
          <cell r="R70" t="str">
            <v>ok</v>
          </cell>
          <cell r="S70" t="str">
            <v>ok</v>
          </cell>
          <cell r="T70" t="str">
            <v>ok</v>
          </cell>
          <cell r="U70" t="str">
            <v>ok</v>
          </cell>
          <cell r="V70" t="str">
            <v>ok</v>
          </cell>
          <cell r="W70" t="str">
            <v>ok</v>
          </cell>
          <cell r="X70" t="str">
            <v>ok</v>
          </cell>
          <cell r="Y70" t="str">
            <v>ok</v>
          </cell>
          <cell r="Z70" t="str">
            <v>ok</v>
          </cell>
          <cell r="AA70" t="str">
            <v>ok</v>
          </cell>
          <cell r="AB70" t="str">
            <v>ok</v>
          </cell>
          <cell r="AC70" t="str">
            <v>ok</v>
          </cell>
          <cell r="AD70" t="str">
            <v>ok</v>
          </cell>
          <cell r="AE70" t="str">
            <v>ok</v>
          </cell>
          <cell r="AF70" t="str">
            <v>ok</v>
          </cell>
          <cell r="AG70" t="str">
            <v>ok</v>
          </cell>
          <cell r="AH70" t="str">
            <v>ok</v>
          </cell>
          <cell r="AI70" t="str">
            <v>ok</v>
          </cell>
          <cell r="AJ70" t="str">
            <v>ok</v>
          </cell>
          <cell r="AK70" t="str">
            <v>ok</v>
          </cell>
          <cell r="AL70" t="str">
            <v>ok</v>
          </cell>
          <cell r="AM70" t="str">
            <v>ok</v>
          </cell>
          <cell r="AN70" t="str">
            <v>ok</v>
          </cell>
          <cell r="AO70" t="str">
            <v>ok</v>
          </cell>
          <cell r="AP70" t="str">
            <v>ok</v>
          </cell>
          <cell r="AQ70" t="str">
            <v>ok</v>
          </cell>
          <cell r="AR70" t="str">
            <v>ok</v>
          </cell>
          <cell r="AS70" t="str">
            <v>ok</v>
          </cell>
          <cell r="AT70" t="str">
            <v>ok</v>
          </cell>
          <cell r="AV70" t="str">
            <v>ok</v>
          </cell>
          <cell r="AW70" t="str">
            <v>ok</v>
          </cell>
          <cell r="AX70" t="str">
            <v>ok</v>
          </cell>
          <cell r="AY70" t="str">
            <v>ok</v>
          </cell>
          <cell r="AZ70" t="str">
            <v>ok</v>
          </cell>
          <cell r="BA70" t="str">
            <v>ok</v>
          </cell>
          <cell r="BB70" t="str">
            <v>ok</v>
          </cell>
          <cell r="BC70" t="str">
            <v>ok</v>
          </cell>
          <cell r="BD70" t="str">
            <v>ok</v>
          </cell>
          <cell r="BE70" t="str">
            <v>ok</v>
          </cell>
          <cell r="BF70" t="str">
            <v>ok</v>
          </cell>
          <cell r="BG70" t="str">
            <v>ok</v>
          </cell>
          <cell r="BH70" t="str">
            <v>ok</v>
          </cell>
          <cell r="BI70" t="str">
            <v>ok</v>
          </cell>
          <cell r="BJ70" t="str">
            <v>ok</v>
          </cell>
          <cell r="BK70" t="str">
            <v>ok</v>
          </cell>
          <cell r="BL70" t="str">
            <v>ok</v>
          </cell>
          <cell r="BM70" t="str">
            <v>ok</v>
          </cell>
          <cell r="BN70" t="str">
            <v>ok</v>
          </cell>
          <cell r="BO70" t="str">
            <v>ok</v>
          </cell>
          <cell r="BP70" t="str">
            <v>ok</v>
          </cell>
          <cell r="BQ70" t="str">
            <v>ok</v>
          </cell>
          <cell r="BR70" t="str">
            <v>ok</v>
          </cell>
          <cell r="BS70" t="str">
            <v>ok</v>
          </cell>
          <cell r="BT70" t="str">
            <v>ok</v>
          </cell>
          <cell r="BU70" t="str">
            <v>ok</v>
          </cell>
          <cell r="BV70" t="str">
            <v>ok</v>
          </cell>
          <cell r="BW70" t="str">
            <v>ok</v>
          </cell>
          <cell r="BX70" t="str">
            <v>ok</v>
          </cell>
          <cell r="BY70" t="str">
            <v>ok</v>
          </cell>
          <cell r="BZ70" t="str">
            <v>ok</v>
          </cell>
          <cell r="CA70" t="str">
            <v>ok</v>
          </cell>
          <cell r="CB70" t="str">
            <v>ok</v>
          </cell>
          <cell r="CC70" t="str">
            <v>ok</v>
          </cell>
          <cell r="CD70" t="str">
            <v>ok</v>
          </cell>
          <cell r="CE70" t="str">
            <v>ok</v>
          </cell>
          <cell r="CF70" t="str">
            <v>ok</v>
          </cell>
          <cell r="CG70" t="str">
            <v>ok</v>
          </cell>
          <cell r="CH70" t="str">
            <v>ok</v>
          </cell>
          <cell r="CI70" t="str">
            <v>ok</v>
          </cell>
          <cell r="CJ70" t="str">
            <v>ok</v>
          </cell>
          <cell r="CK70" t="str">
            <v>ok</v>
          </cell>
          <cell r="CL70" t="str">
            <v>ok</v>
          </cell>
          <cell r="CM70" t="str">
            <v>ok</v>
          </cell>
          <cell r="CN70" t="str">
            <v>ok</v>
          </cell>
          <cell r="CO70" t="str">
            <v>ok</v>
          </cell>
          <cell r="CP70" t="str">
            <v>ok</v>
          </cell>
          <cell r="CQ70" t="str">
            <v>ok</v>
          </cell>
          <cell r="CR70" t="str">
            <v>ok</v>
          </cell>
          <cell r="CS70" t="str">
            <v>ok</v>
          </cell>
          <cell r="CT70" t="str">
            <v>ok</v>
          </cell>
          <cell r="CU70" t="str">
            <v>ok</v>
          </cell>
          <cell r="CV70" t="str">
            <v>ok</v>
          </cell>
          <cell r="CW70" t="str">
            <v>ok</v>
          </cell>
          <cell r="CX70" t="str">
            <v>ok</v>
          </cell>
          <cell r="CY70" t="str">
            <v>ok</v>
          </cell>
          <cell r="CZ70" t="str">
            <v>ok</v>
          </cell>
          <cell r="DA70" t="str">
            <v>ok</v>
          </cell>
          <cell r="DB70" t="str">
            <v>ok</v>
          </cell>
          <cell r="DC70" t="str">
            <v>ok</v>
          </cell>
          <cell r="DD70" t="str">
            <v>ok</v>
          </cell>
          <cell r="DE70" t="str">
            <v>ok</v>
          </cell>
          <cell r="DF70" t="str">
            <v>ok</v>
          </cell>
          <cell r="DG70" t="str">
            <v>ok</v>
          </cell>
          <cell r="DH70" t="str">
            <v>ok</v>
          </cell>
          <cell r="DI70" t="str">
            <v>ok</v>
          </cell>
          <cell r="DJ70" t="str">
            <v>ok</v>
          </cell>
          <cell r="DK70" t="str">
            <v>ok</v>
          </cell>
          <cell r="DL70" t="str">
            <v>ok</v>
          </cell>
          <cell r="DM70" t="str">
            <v>ok</v>
          </cell>
          <cell r="DN70" t="str">
            <v>ok</v>
          </cell>
          <cell r="DO70" t="str">
            <v>ok</v>
          </cell>
          <cell r="DP70" t="str">
            <v>ok</v>
          </cell>
          <cell r="DQ70" t="str">
            <v>ok</v>
          </cell>
          <cell r="DR70" t="str">
            <v>ok</v>
          </cell>
        </row>
        <row r="72">
          <cell r="B72" t="str">
            <v>Balance Sheet Drivers</v>
          </cell>
        </row>
        <row r="73">
          <cell r="B73" t="str">
            <v>Accounts receivable analysis</v>
          </cell>
        </row>
        <row r="74">
          <cell r="B74" t="str">
            <v>Y/Y increase in sales</v>
          </cell>
          <cell r="I74">
            <v>0.9369828086929628</v>
          </cell>
          <cell r="J74">
            <v>1.146055103318723</v>
          </cell>
          <cell r="K74">
            <v>1.1679031037093113</v>
          </cell>
          <cell r="L74">
            <v>8.587506868309136E-2</v>
          </cell>
          <cell r="M74">
            <v>0.67540687160940327</v>
          </cell>
          <cell r="N74">
            <v>0.12049225017524723</v>
          </cell>
          <cell r="O74">
            <v>7.6737909402582183E-2</v>
          </cell>
          <cell r="P74">
            <v>0.56219009707381806</v>
          </cell>
          <cell r="Q74">
            <v>1.4039937512735179</v>
          </cell>
          <cell r="R74">
            <v>0.56341068537506755</v>
          </cell>
          <cell r="S74">
            <v>0.62032531627971643</v>
          </cell>
          <cell r="T74">
            <v>0.64555246934489552</v>
          </cell>
          <cell r="U74">
            <v>0.14622915642183365</v>
          </cell>
          <cell r="V74">
            <v>-0.27360569588065764</v>
          </cell>
          <cell r="W74">
            <v>0.13853411575192731</v>
          </cell>
          <cell r="X74">
            <v>9.5238095238095344E-2</v>
          </cell>
          <cell r="Y74">
            <v>5.5166735282009105E-2</v>
          </cell>
          <cell r="Z74">
            <v>0.10062402496099843</v>
          </cell>
          <cell r="AA74">
            <v>0.14430182808245817</v>
          </cell>
          <cell r="AB74">
            <v>9.9545224861040893E-2</v>
          </cell>
          <cell r="AC74">
            <v>0.12534273403838614</v>
          </cell>
          <cell r="AD74">
            <v>8.4666406554818607E-2</v>
          </cell>
          <cell r="AE74">
            <v>9.9220411055989111E-3</v>
          </cell>
          <cell r="AF74">
            <v>-1.0537049626104689E-2</v>
          </cell>
          <cell r="AG74">
            <v>4.9080882352941169E-2</v>
          </cell>
          <cell r="AH74">
            <v>6.9613644274277853E-3</v>
          </cell>
          <cell r="AI74">
            <v>4.8561151079136611E-2</v>
          </cell>
          <cell r="AJ74">
            <v>6.5263157894736912E-2</v>
          </cell>
          <cell r="AK74">
            <v>0.1023703194778427</v>
          </cell>
          <cell r="AL74">
            <v>5.5983879446294127E-2</v>
          </cell>
          <cell r="AM74">
            <v>0.13964742481852754</v>
          </cell>
          <cell r="AN74">
            <v>0.16432246998284739</v>
          </cell>
          <cell r="AO74">
            <v>0.14756258234519115</v>
          </cell>
          <cell r="AP74">
            <v>0.16484886257401055</v>
          </cell>
          <cell r="AQ74">
            <v>0.15431842694764786</v>
          </cell>
          <cell r="AR74">
            <v>0.62032531627971643</v>
          </cell>
          <cell r="AS74">
            <v>0.64555246934489552</v>
          </cell>
          <cell r="AT74">
            <v>0.14622915642183365</v>
          </cell>
          <cell r="BA74">
            <v>2.2814814814814843E-2</v>
          </cell>
          <cell r="BB74">
            <v>-1.4868804664723068E-2</v>
          </cell>
          <cell r="BC74">
            <v>-6.3618290258449339E-2</v>
          </cell>
          <cell r="BD74">
            <v>-8.932150014314344E-2</v>
          </cell>
          <cell r="BE74">
            <v>-3.6905709530356767E-2</v>
          </cell>
          <cell r="BF74">
            <v>-0.22682502896871382</v>
          </cell>
          <cell r="BG74">
            <v>-0.23941994672980171</v>
          </cell>
          <cell r="BH74">
            <v>-0.25993327267212618</v>
          </cell>
          <cell r="BI74">
            <v>-0.24174787802577802</v>
          </cell>
          <cell r="BJ74">
            <v>-0.24179126906604553</v>
          </cell>
          <cell r="BK74">
            <v>-6.2944923192206792E-2</v>
          </cell>
          <cell r="BL74">
            <v>-5.8365758754863828E-2</v>
          </cell>
          <cell r="BM74">
            <v>-1.885245901639343E-2</v>
          </cell>
          <cell r="BN74">
            <v>-4.6849087893863994E-2</v>
          </cell>
          <cell r="BO74">
            <v>-4.7269844415816054E-2</v>
          </cell>
          <cell r="BP74">
            <v>-3.4786085565773672E-2</v>
          </cell>
          <cell r="BQ74">
            <v>-9.2975206611570216E-2</v>
          </cell>
          <cell r="BR74">
            <v>-0.1157059314954052</v>
          </cell>
          <cell r="BS74">
            <v>-5.2196607220530655E-2</v>
          </cell>
          <cell r="BT74">
            <v>-7.3746619513209932E-2</v>
          </cell>
          <cell r="BU74">
            <v>-5.5923777961888965E-2</v>
          </cell>
          <cell r="BV74">
            <v>1.5034168564920236E-2</v>
          </cell>
          <cell r="BW74">
            <v>4.4874822862541297E-2</v>
          </cell>
          <cell r="BX74">
            <v>3.3042680128499313E-2</v>
          </cell>
          <cell r="BY74">
            <v>7.2992700729928028E-3</v>
          </cell>
          <cell r="BZ74">
            <v>4.0368582711715728E-2</v>
          </cell>
          <cell r="CA74">
            <v>-1.9748653500897717E-2</v>
          </cell>
          <cell r="CB74">
            <v>-2.4412296564195302E-2</v>
          </cell>
          <cell r="CC74">
            <v>-2.4877832074633455E-2</v>
          </cell>
          <cell r="CD74">
            <v>-6.9119286510590516E-3</v>
          </cell>
          <cell r="CE74">
            <v>-3.8802193167439936E-2</v>
          </cell>
          <cell r="CF74">
            <v>2.0604395604395531E-2</v>
          </cell>
          <cell r="CG74">
            <v>4.8192771084337283E-2</v>
          </cell>
          <cell r="CH74">
            <v>3.0068337129840472E-2</v>
          </cell>
          <cell r="CI74">
            <v>1.3807813201616614E-2</v>
          </cell>
          <cell r="CJ74">
            <v>2.6327336551118963E-2</v>
          </cell>
          <cell r="CK74">
            <v>3.3198743831314381E-2</v>
          </cell>
          <cell r="CL74">
            <v>0</v>
          </cell>
          <cell r="CM74">
            <v>1.769128704113232E-2</v>
          </cell>
          <cell r="CN74">
            <v>1.9266969327870642E-2</v>
          </cell>
          <cell r="CO74">
            <v>3.8477982043608305E-2</v>
          </cell>
          <cell r="CP74">
            <v>-1.3026487190620495E-3</v>
          </cell>
          <cell r="CQ74">
            <v>1.1936339522546469E-2</v>
          </cell>
          <cell r="CR74">
            <v>2.2598870056497189E-2</v>
          </cell>
          <cell r="CS74">
            <v>1.8033677349266641E-2</v>
          </cell>
          <cell r="CT74">
            <v>2.5524907369287808E-2</v>
          </cell>
          <cell r="CU74">
            <v>6.7391304347826031E-2</v>
          </cell>
          <cell r="CV74">
            <v>6.0288335517693303E-2</v>
          </cell>
          <cell r="CW74">
            <v>7.3297337140529883E-2</v>
          </cell>
          <cell r="CX74">
            <v>5.6287336921530873E-2</v>
          </cell>
          <cell r="CY74">
            <v>6.7438980074248533E-2</v>
          </cell>
          <cell r="CZ74">
            <v>0.11187054523356843</v>
          </cell>
          <cell r="DA74">
            <v>0.11631753046850379</v>
          </cell>
          <cell r="DB74">
            <v>0.10118940845706792</v>
          </cell>
          <cell r="DC74">
            <v>9.9054313123197568E-2</v>
          </cell>
          <cell r="DD74">
            <v>4.3060290354330455E-2</v>
          </cell>
          <cell r="DE74">
            <v>3.2668726285691951E-2</v>
          </cell>
          <cell r="DF74">
            <v>3.1438663592909366E-2</v>
          </cell>
          <cell r="DG74">
            <v>3.3003075463946763E-2</v>
          </cell>
          <cell r="DH74">
            <v>3.4987725708524042E-2</v>
          </cell>
          <cell r="DI74">
            <v>5.5142392919380168E-2</v>
          </cell>
          <cell r="DJ74">
            <v>4.2211562114631285E-2</v>
          </cell>
          <cell r="DK74">
            <v>4.2067979261174226E-2</v>
          </cell>
          <cell r="DL74">
            <v>4.4647208812917283E-2</v>
          </cell>
          <cell r="DM74">
            <v>4.598251710754897E-2</v>
          </cell>
          <cell r="DN74">
            <v>4.842832685330567E-2</v>
          </cell>
          <cell r="DO74">
            <v>4.5887046864864001E-2</v>
          </cell>
          <cell r="DP74">
            <v>4.6068399794980674E-2</v>
          </cell>
          <cell r="DQ74">
            <v>4.4744809243228989E-2</v>
          </cell>
          <cell r="DR74">
            <v>4.6272282050588975E-2</v>
          </cell>
        </row>
        <row r="75">
          <cell r="B75" t="str">
            <v>Y/Y increase in gross A/R</v>
          </cell>
          <cell r="I75">
            <v>0.74872924008898134</v>
          </cell>
          <cell r="J75">
            <v>0.86439615545340609</v>
          </cell>
          <cell r="K75">
            <v>0.98735489220563832</v>
          </cell>
          <cell r="L75">
            <v>0.32710280373831768</v>
          </cell>
          <cell r="M75">
            <v>0.32710280373831768</v>
          </cell>
          <cell r="N75">
            <v>0.35083160083160081</v>
          </cell>
          <cell r="O75">
            <v>0.33195113750980609</v>
          </cell>
          <cell r="P75">
            <v>0.64462292688015022</v>
          </cell>
          <cell r="Q75">
            <v>0.57947686116700203</v>
          </cell>
          <cell r="R75">
            <v>0.57947686116700203</v>
          </cell>
          <cell r="S75">
            <v>0.52270103886110064</v>
          </cell>
          <cell r="T75">
            <v>0.49263777871266301</v>
          </cell>
          <cell r="U75">
            <v>0.22344136487600674</v>
          </cell>
          <cell r="V75">
            <v>0.23121019108280261</v>
          </cell>
          <cell r="W75">
            <v>0.23121019108280261</v>
          </cell>
          <cell r="X75">
            <v>0.30574857864813643</v>
          </cell>
          <cell r="Y75">
            <v>0.26662908680947006</v>
          </cell>
          <cell r="Z75">
            <v>0.32037325038880238</v>
          </cell>
          <cell r="AA75">
            <v>0.34764614588722198</v>
          </cell>
          <cell r="AB75">
            <v>0.34764614588722198</v>
          </cell>
          <cell r="AC75">
            <v>0.32607643928398655</v>
          </cell>
          <cell r="AD75">
            <v>0.22874944370271466</v>
          </cell>
          <cell r="AE75">
            <v>0.15037298782881825</v>
          </cell>
          <cell r="AF75">
            <v>9.9424184261036386E-2</v>
          </cell>
          <cell r="AG75">
            <v>9.9424184261036386E-2</v>
          </cell>
          <cell r="AH75">
            <v>4.7063115651222232E-2</v>
          </cell>
          <cell r="AI75">
            <v>4.9981890619340774E-2</v>
          </cell>
          <cell r="AJ75">
            <v>2.1843003412969297E-2</v>
          </cell>
          <cell r="AK75">
            <v>-5.0628491620111737E-2</v>
          </cell>
          <cell r="AL75">
            <v>-5.0628491620111737E-2</v>
          </cell>
          <cell r="AM75">
            <v>-6.3763066202090601E-2</v>
          </cell>
          <cell r="AN75">
            <v>-6.7954467057606105E-2</v>
          </cell>
          <cell r="AO75">
            <v>-6.7468269873079523E-2</v>
          </cell>
          <cell r="AP75">
            <v>7.7234277307833832E-3</v>
          </cell>
          <cell r="AQ75">
            <v>7.7234277307833832E-3</v>
          </cell>
          <cell r="AR75">
            <v>4.5031633792333547E-2</v>
          </cell>
          <cell r="AS75">
            <v>8.5862324204293072E-2</v>
          </cell>
          <cell r="AT75">
            <v>7.5931232091690504E-2</v>
          </cell>
          <cell r="BD75">
            <v>-8.5034013605441716E-3</v>
          </cell>
          <cell r="BE75">
            <v>-8.5034013605441716E-3</v>
          </cell>
          <cell r="BF75">
            <v>-7.4110032362459499E-2</v>
          </cell>
          <cell r="BG75">
            <v>-8.3167660702451962E-2</v>
          </cell>
          <cell r="BH75">
            <v>-0.12613827993254634</v>
          </cell>
          <cell r="BI75">
            <v>-0.18147512864493998</v>
          </cell>
          <cell r="BJ75">
            <v>-0.18147512864493998</v>
          </cell>
          <cell r="BK75">
            <v>-0.20517301642782249</v>
          </cell>
          <cell r="BL75">
            <v>-0.22623780267437654</v>
          </cell>
          <cell r="BM75">
            <v>-0.16441528367425706</v>
          </cell>
          <cell r="BN75">
            <v>-0.11190276613579209</v>
          </cell>
          <cell r="BO75">
            <v>-0.11190276613579209</v>
          </cell>
          <cell r="BP75">
            <v>-5.0571679859278795E-2</v>
          </cell>
          <cell r="BQ75">
            <v>-6.4455861746847254E-2</v>
          </cell>
          <cell r="BR75">
            <v>-9.8383371824480315E-2</v>
          </cell>
          <cell r="BS75">
            <v>-9.8159509202453976E-2</v>
          </cell>
          <cell r="BT75">
            <v>-9.8159509202453976E-2</v>
          </cell>
          <cell r="BU75">
            <v>-0.11533117183881425</v>
          </cell>
          <cell r="BV75">
            <v>-7.8382426360459334E-2</v>
          </cell>
          <cell r="BW75">
            <v>-6.1475409836065587E-2</v>
          </cell>
          <cell r="BX75">
            <v>-4.447933019361594E-2</v>
          </cell>
          <cell r="BY75">
            <v>-4.447933019361594E-2</v>
          </cell>
          <cell r="BZ75">
            <v>-7.3298429319371694E-3</v>
          </cell>
          <cell r="CA75">
            <v>7.5839653304441423E-3</v>
          </cell>
          <cell r="CB75">
            <v>-4.2576419213973815E-2</v>
          </cell>
          <cell r="CC75">
            <v>-5.0930996714129262E-2</v>
          </cell>
          <cell r="CD75">
            <v>-5.0930996714129262E-2</v>
          </cell>
          <cell r="CE75">
            <v>-6.3291139240506333E-2</v>
          </cell>
          <cell r="CF75">
            <v>-0.1225806451612903</v>
          </cell>
          <cell r="CG75">
            <v>-0.10034207525655647</v>
          </cell>
          <cell r="CH75">
            <v>-0.11886901327178301</v>
          </cell>
          <cell r="CI75">
            <v>-0.11886901327178301</v>
          </cell>
          <cell r="CJ75">
            <v>-0.11655405405405406</v>
          </cell>
          <cell r="CK75">
            <v>-6.6176470588235281E-2</v>
          </cell>
          <cell r="CL75">
            <v>-5.9569074778200282E-2</v>
          </cell>
          <cell r="CM75">
            <v>-2.095612311722328E-2</v>
          </cell>
          <cell r="CN75">
            <v>-2.095612311722328E-2</v>
          </cell>
          <cell r="CO75">
            <v>1.7208413001912115E-2</v>
          </cell>
          <cell r="CP75">
            <v>6.4304461942257252E-2</v>
          </cell>
          <cell r="CQ75">
            <v>7.6819407008086316E-2</v>
          </cell>
          <cell r="CR75">
            <v>0.12040133779264206</v>
          </cell>
          <cell r="CS75">
            <v>0.12040133779264206</v>
          </cell>
          <cell r="CT75">
            <v>0.12593984962406024</v>
          </cell>
          <cell r="CU75">
            <v>8.323057953144275E-2</v>
          </cell>
          <cell r="CV75">
            <v>8.8861076345431833E-2</v>
          </cell>
          <cell r="CW75">
            <v>9.2769411485780218E-2</v>
          </cell>
          <cell r="CX75">
            <v>9.2769411485780218E-2</v>
          </cell>
          <cell r="CY75">
            <v>5.2400498275843255E-2</v>
          </cell>
          <cell r="CZ75">
            <v>0.11312176213888891</v>
          </cell>
          <cell r="DA75">
            <v>0.1410877193711142</v>
          </cell>
          <cell r="DB75">
            <v>0.13496498252191591</v>
          </cell>
          <cell r="DC75">
            <v>0.13496498252191591</v>
          </cell>
          <cell r="DD75">
            <v>0.10680785014154459</v>
          </cell>
          <cell r="DE75">
            <v>6.6921756332488203E-2</v>
          </cell>
          <cell r="DF75">
            <v>3.780905670318857E-2</v>
          </cell>
          <cell r="DG75">
            <v>1.4786434327898279E-2</v>
          </cell>
          <cell r="DH75">
            <v>1.4786434327898279E-2</v>
          </cell>
          <cell r="DI75">
            <v>2.3083474563385886E-2</v>
          </cell>
          <cell r="DJ75">
            <v>6.4637456165075324E-3</v>
          </cell>
          <cell r="DK75">
            <v>-8.5795020563828039E-4</v>
          </cell>
          <cell r="DL75">
            <v>-3.9398598140816254E-3</v>
          </cell>
          <cell r="DM75">
            <v>-3.9398598140816254E-3</v>
          </cell>
          <cell r="DN75">
            <v>-1.0586633194843542E-2</v>
          </cell>
          <cell r="DO75">
            <v>-6.6845634939737275E-3</v>
          </cell>
          <cell r="DP75">
            <v>-1.0013964351053284E-2</v>
          </cell>
          <cell r="DQ75">
            <v>-1.1953069477854128E-2</v>
          </cell>
          <cell r="DR75">
            <v>-1.1953069477854128E-2</v>
          </cell>
        </row>
        <row r="76">
          <cell r="B76" t="str">
            <v>Ratio</v>
          </cell>
          <cell r="I76">
            <v>1.2514307689941544</v>
          </cell>
          <cell r="J76">
            <v>1.3258447484852323</v>
          </cell>
          <cell r="K76">
            <v>1.1828605022661596</v>
          </cell>
          <cell r="L76">
            <v>0.26253235283116505</v>
          </cell>
          <cell r="M76">
            <v>2.0648152932058905</v>
          </cell>
          <cell r="N76">
            <v>0.34344753975877879</v>
          </cell>
          <cell r="O76">
            <v>0.23117230438867012</v>
          </cell>
          <cell r="P76">
            <v>0.87212240463538737</v>
          </cell>
          <cell r="Q76">
            <v>2.422864216607425</v>
          </cell>
          <cell r="R76">
            <v>0.97227468969239084</v>
          </cell>
          <cell r="S76">
            <v>1.1867688605159974</v>
          </cell>
          <cell r="T76">
            <v>1.3103998459716624</v>
          </cell>
          <cell r="U76">
            <v>0.6544408485106592</v>
          </cell>
          <cell r="V76">
            <v>-1.1833634780513289</v>
          </cell>
          <cell r="W76">
            <v>0.59916959154414828</v>
          </cell>
          <cell r="X76">
            <v>0.31149153876426638</v>
          </cell>
          <cell r="Y76">
            <v>0.20690441520144645</v>
          </cell>
          <cell r="Z76">
            <v>0.31408372839767967</v>
          </cell>
          <cell r="AA76">
            <v>0.41508249060028513</v>
          </cell>
          <cell r="AB76">
            <v>0.28634065425058336</v>
          </cell>
          <cell r="AC76">
            <v>0.38439678228092594</v>
          </cell>
          <cell r="AD76">
            <v>0.37012726756552039</v>
          </cell>
          <cell r="AE76">
            <v>6.5982868657860114E-2</v>
          </cell>
          <cell r="AF76">
            <v>-0.10598075010039666</v>
          </cell>
          <cell r="AG76">
            <v>0.49365134567340485</v>
          </cell>
          <cell r="AH76">
            <v>0.14791550306650805</v>
          </cell>
          <cell r="AI76">
            <v>0.97157491398185725</v>
          </cell>
          <cell r="AJ76">
            <v>2.9878289473684223</v>
          </cell>
          <cell r="AK76">
            <v>-2.0219903102382171</v>
          </cell>
          <cell r="AL76">
            <v>-1.1057781429943887</v>
          </cell>
          <cell r="AM76">
            <v>-2.19009895753647</v>
          </cell>
          <cell r="AN76">
            <v>-2.4181260938084992</v>
          </cell>
          <cell r="AO76">
            <v>-2.1871404531757528</v>
          </cell>
          <cell r="AP76">
            <v>21.344002730415919</v>
          </cell>
          <cell r="AQ76">
            <v>19.98056204145972</v>
          </cell>
          <cell r="AR76">
            <v>13.775323345814833</v>
          </cell>
          <cell r="AS76">
            <v>7.5184602248702959</v>
          </cell>
          <cell r="AT76">
            <v>1.9258103996686782</v>
          </cell>
          <cell r="BD76">
            <v>10.504208416833725</v>
          </cell>
          <cell r="BE76">
            <v>4.340111440769979</v>
          </cell>
          <cell r="BF76">
            <v>3.0606521376127778</v>
          </cell>
          <cell r="BG76">
            <v>2.8787625467352251</v>
          </cell>
          <cell r="BH76">
            <v>2.0607009451145837</v>
          </cell>
          <cell r="BI76">
            <v>1.332126775888739</v>
          </cell>
          <cell r="BJ76">
            <v>1.3323658777457896</v>
          </cell>
          <cell r="BK76">
            <v>0.30678948083969948</v>
          </cell>
          <cell r="BL76">
            <v>0.25798411257940612</v>
          </cell>
          <cell r="BM76">
            <v>0.11466366505041167</v>
          </cell>
          <cell r="BN76">
            <v>0.4186588903174514</v>
          </cell>
          <cell r="BO76">
            <v>0.42241890927392184</v>
          </cell>
          <cell r="BP76">
            <v>0.68785703110060303</v>
          </cell>
          <cell r="BQ76">
            <v>1.4424631692418253</v>
          </cell>
          <cell r="BR76">
            <v>1.1760720267021239</v>
          </cell>
          <cell r="BS76">
            <v>0.53175293605915608</v>
          </cell>
          <cell r="BT76">
            <v>0.75129368629082627</v>
          </cell>
          <cell r="BU76">
            <v>0.48489733582216182</v>
          </cell>
          <cell r="BV76">
            <v>-0.19180534799703963</v>
          </cell>
          <cell r="BW76">
            <v>-0.72996378523067162</v>
          </cell>
          <cell r="BX76">
            <v>-0.74287719677131936</v>
          </cell>
          <cell r="BY76">
            <v>-0.16410476599399101</v>
          </cell>
          <cell r="BZ76">
            <v>-5.5074280699555054</v>
          </cell>
          <cell r="CA76">
            <v>-2.6040010259041058</v>
          </cell>
          <cell r="CB76">
            <v>0.57337599109750992</v>
          </cell>
          <cell r="CC76">
            <v>0.48846152008903948</v>
          </cell>
          <cell r="CD76">
            <v>0.13571163136380457</v>
          </cell>
          <cell r="CE76">
            <v>0.61307465204555089</v>
          </cell>
          <cell r="CF76">
            <v>-0.16808849045691093</v>
          </cell>
          <cell r="CG76">
            <v>-0.48028477546549753</v>
          </cell>
          <cell r="CH76">
            <v>-0.25295353517482305</v>
          </cell>
          <cell r="CI76">
            <v>-0.11615990426408543</v>
          </cell>
          <cell r="CJ76">
            <v>-0.22588091649655689</v>
          </cell>
          <cell r="CK76">
            <v>-0.50166990678430634</v>
          </cell>
          <cell r="CL76">
            <v>0</v>
          </cell>
          <cell r="CM76">
            <v>-0.84420610349403424</v>
          </cell>
          <cell r="CN76">
            <v>-0.91939569261432874</v>
          </cell>
          <cell r="CO76">
            <v>2.2359982898674513</v>
          </cell>
          <cell r="CP76">
            <v>-2.0257516814801656E-2</v>
          </cell>
          <cell r="CQ76">
            <v>0.15538182325841179</v>
          </cell>
          <cell r="CR76">
            <v>0.18769617074701844</v>
          </cell>
          <cell r="CS76">
            <v>0.14977970909529803</v>
          </cell>
          <cell r="CT76">
            <v>0.20267538388747916</v>
          </cell>
          <cell r="CU76">
            <v>0.80969404186795335</v>
          </cell>
          <cell r="CV76">
            <v>0.67845605744559045</v>
          </cell>
          <cell r="CW76">
            <v>0.79010242672246522</v>
          </cell>
          <cell r="CX76">
            <v>0.60674457259178205</v>
          </cell>
          <cell r="CY76">
            <v>1.2869911984279365</v>
          </cell>
          <cell r="CZ76">
            <v>0.98893920248710177</v>
          </cell>
          <cell r="DA76">
            <v>0.82443412500378288</v>
          </cell>
          <cell r="DB76">
            <v>0.74974564932527266</v>
          </cell>
          <cell r="DC76">
            <v>0.73392602490140668</v>
          </cell>
          <cell r="DD76">
            <v>0.40315660597293007</v>
          </cell>
          <cell r="DE76">
            <v>0.4881630141830634</v>
          </cell>
          <cell r="DF76">
            <v>0.83151145080691824</v>
          </cell>
          <cell r="DG76">
            <v>2.2319833661099935</v>
          </cell>
          <cell r="DH76">
            <v>2.3662043825204711</v>
          </cell>
          <cell r="DI76">
            <v>2.3888255109932581</v>
          </cell>
          <cell r="DJ76">
            <v>6.5305110409711453</v>
          </cell>
          <cell r="DK76">
            <v>-49.033124515515844</v>
          </cell>
          <cell r="DL76">
            <v>-11.332182087632088</v>
          </cell>
          <cell r="DM76">
            <v>-11.671104881244974</v>
          </cell>
          <cell r="DN76">
            <v>-4.5744785865343642</v>
          </cell>
          <cell r="DO76">
            <v>-6.8646287683903555</v>
          </cell>
          <cell r="DP76">
            <v>-4.6004157973794992</v>
          </cell>
          <cell r="DQ76">
            <v>-3.7433739782178352</v>
          </cell>
          <cell r="DR76">
            <v>-3.871163146530626</v>
          </cell>
        </row>
        <row r="78">
          <cell r="B78" t="str">
            <v>Allowance for doubtful accts - opening</v>
          </cell>
          <cell r="D78">
            <v>-77.162000000000006</v>
          </cell>
          <cell r="E78">
            <v>-67.247</v>
          </cell>
          <cell r="F78">
            <v>-67.2</v>
          </cell>
          <cell r="G78">
            <v>-71.3</v>
          </cell>
          <cell r="H78">
            <v>-77.162000000000006</v>
          </cell>
          <cell r="I78">
            <v>-184</v>
          </cell>
          <cell r="J78">
            <v>-167.8</v>
          </cell>
          <cell r="K78">
            <v>-161.1</v>
          </cell>
          <cell r="L78">
            <v>-154.1</v>
          </cell>
          <cell r="M78">
            <v>-184</v>
          </cell>
          <cell r="N78">
            <v>-156</v>
          </cell>
          <cell r="O78">
            <v>-154.80000000000001</v>
          </cell>
          <cell r="P78">
            <v>-182.2</v>
          </cell>
          <cell r="Q78">
            <v>-228.4</v>
          </cell>
          <cell r="R78">
            <v>-156</v>
          </cell>
          <cell r="S78">
            <v>-224</v>
          </cell>
          <cell r="T78">
            <v>-236</v>
          </cell>
          <cell r="U78">
            <v>-215</v>
          </cell>
          <cell r="V78">
            <v>-204</v>
          </cell>
          <cell r="W78">
            <v>-224</v>
          </cell>
          <cell r="X78">
            <v>-191</v>
          </cell>
          <cell r="Y78">
            <v>-182</v>
          </cell>
          <cell r="Z78">
            <v>-203</v>
          </cell>
          <cell r="AA78">
            <v>-244</v>
          </cell>
          <cell r="AB78">
            <v>-191</v>
          </cell>
          <cell r="AC78">
            <v>-287</v>
          </cell>
          <cell r="AD78">
            <v>-317</v>
          </cell>
          <cell r="AE78">
            <v>-293</v>
          </cell>
          <cell r="AF78">
            <v>-361</v>
          </cell>
          <cell r="AG78">
            <v>-287</v>
          </cell>
          <cell r="AH78">
            <v>-358</v>
          </cell>
          <cell r="AI78">
            <v>-355</v>
          </cell>
          <cell r="AJ78">
            <v>-354</v>
          </cell>
          <cell r="AK78">
            <v>-347</v>
          </cell>
          <cell r="AL78">
            <v>-358</v>
          </cell>
          <cell r="AM78">
            <v>-333</v>
          </cell>
          <cell r="AN78">
            <v>-339</v>
          </cell>
          <cell r="AO78">
            <v>-325</v>
          </cell>
          <cell r="AP78">
            <v>-315</v>
          </cell>
          <cell r="AQ78">
            <v>-333</v>
          </cell>
          <cell r="AR78">
            <v>-315</v>
          </cell>
          <cell r="AS78">
            <v>-328</v>
          </cell>
          <cell r="AT78">
            <v>-350</v>
          </cell>
          <cell r="BA78">
            <v>-350</v>
          </cell>
          <cell r="BB78">
            <v>-357</v>
          </cell>
          <cell r="BC78">
            <v>-351</v>
          </cell>
          <cell r="BD78">
            <v>-500</v>
          </cell>
          <cell r="BE78">
            <v>-350</v>
          </cell>
          <cell r="BF78">
            <v>-500</v>
          </cell>
          <cell r="BG78">
            <v>-514</v>
          </cell>
          <cell r="BH78">
            <v>-838</v>
          </cell>
          <cell r="BI78">
            <v>-800</v>
          </cell>
          <cell r="BJ78">
            <v>-500</v>
          </cell>
          <cell r="BK78">
            <v>-698</v>
          </cell>
          <cell r="BL78">
            <v>-683</v>
          </cell>
          <cell r="BM78">
            <v>-642</v>
          </cell>
          <cell r="BN78">
            <v>-642</v>
          </cell>
          <cell r="BO78">
            <v>-698</v>
          </cell>
          <cell r="BP78">
            <v>-594</v>
          </cell>
          <cell r="BQ78">
            <v>-575</v>
          </cell>
          <cell r="BR78">
            <v>-519</v>
          </cell>
          <cell r="BS78">
            <v>-499</v>
          </cell>
          <cell r="BT78">
            <v>-594</v>
          </cell>
          <cell r="BU78">
            <v>-498</v>
          </cell>
          <cell r="BV78">
            <v>-483</v>
          </cell>
          <cell r="BW78">
            <v>-483</v>
          </cell>
          <cell r="BX78">
            <v>-478</v>
          </cell>
          <cell r="BY78">
            <v>-498</v>
          </cell>
          <cell r="BZ78">
            <v>-441</v>
          </cell>
          <cell r="CA78">
            <v>-428</v>
          </cell>
          <cell r="CB78">
            <v>-410</v>
          </cell>
          <cell r="CC78">
            <v>-398</v>
          </cell>
          <cell r="CD78">
            <v>-441</v>
          </cell>
          <cell r="CE78">
            <v>-396</v>
          </cell>
          <cell r="CF78">
            <v>-391</v>
          </cell>
          <cell r="CG78">
            <v>-407</v>
          </cell>
          <cell r="CH78">
            <v>-383</v>
          </cell>
          <cell r="CI78">
            <v>-396</v>
          </cell>
          <cell r="CJ78">
            <v>-369</v>
          </cell>
          <cell r="CK78">
            <v>-361</v>
          </cell>
          <cell r="CL78">
            <v>-364</v>
          </cell>
          <cell r="CM78">
            <v>-355</v>
          </cell>
          <cell r="CN78">
            <v>-369</v>
          </cell>
          <cell r="CO78">
            <v>-352</v>
          </cell>
          <cell r="CP78">
            <v>-359</v>
          </cell>
          <cell r="CQ78">
            <v>-364</v>
          </cell>
          <cell r="CR78">
            <v>-377</v>
          </cell>
          <cell r="CS78">
            <v>-352</v>
          </cell>
          <cell r="CT78">
            <v>-397</v>
          </cell>
          <cell r="CU78">
            <v>-380</v>
          </cell>
          <cell r="CV78">
            <v>-401</v>
          </cell>
          <cell r="CW78">
            <v>-402</v>
          </cell>
          <cell r="CX78">
            <v>-397</v>
          </cell>
          <cell r="CY78">
            <v>-457.85146299321082</v>
          </cell>
          <cell r="CZ78">
            <v>-502.57976795554816</v>
          </cell>
          <cell r="DA78">
            <v>-545.93973979478278</v>
          </cell>
          <cell r="DB78">
            <v>-601.39236667300258</v>
          </cell>
          <cell r="DC78">
            <v>-457.85146299321082</v>
          </cell>
          <cell r="DD78">
            <v>-656.68902529933212</v>
          </cell>
          <cell r="DE78">
            <v>-644.77806942995448</v>
          </cell>
          <cell r="DF78">
            <v>-630.76542831227107</v>
          </cell>
          <cell r="DG78">
            <v>-632.94770755770708</v>
          </cell>
          <cell r="DH78">
            <v>-656.68902529933212</v>
          </cell>
          <cell r="DI78">
            <v>-640.51803784678009</v>
          </cell>
          <cell r="DJ78">
            <v>-613.22839547204467</v>
          </cell>
          <cell r="DK78">
            <v>-582.79828823012599</v>
          </cell>
          <cell r="DL78">
            <v>-571.12298942240773</v>
          </cell>
          <cell r="DM78">
            <v>-640.51803784678009</v>
          </cell>
          <cell r="DN78">
            <v>-566.68679988946599</v>
          </cell>
          <cell r="DO78">
            <v>-534.15431644289993</v>
          </cell>
          <cell r="DP78">
            <v>-499.13422816315295</v>
          </cell>
          <cell r="DQ78">
            <v>-481.97165576777252</v>
          </cell>
          <cell r="DR78">
            <v>-566.68679988946599</v>
          </cell>
        </row>
        <row r="79">
          <cell r="B79" t="str">
            <v>Bad debt expense</v>
          </cell>
          <cell r="D79">
            <v>-26.117000000000001</v>
          </cell>
          <cell r="E79">
            <v>-20.7</v>
          </cell>
          <cell r="F79">
            <v>-22.1</v>
          </cell>
          <cell r="G79">
            <v>-68.082999999999998</v>
          </cell>
          <cell r="H79">
            <v>-137</v>
          </cell>
          <cell r="I79">
            <v>-67.3</v>
          </cell>
          <cell r="J79">
            <v>-69.7</v>
          </cell>
          <cell r="K79">
            <v>-71.900000000000006</v>
          </cell>
          <cell r="L79">
            <v>-81.099999999999994</v>
          </cell>
          <cell r="M79">
            <v>-290</v>
          </cell>
          <cell r="N79">
            <v>-74.5</v>
          </cell>
          <cell r="O79">
            <v>-78.7</v>
          </cell>
          <cell r="P79">
            <v>-128.1</v>
          </cell>
          <cell r="Q79">
            <v>-212.70000000000005</v>
          </cell>
          <cell r="R79">
            <v>-494</v>
          </cell>
          <cell r="S79">
            <v>-148</v>
          </cell>
          <cell r="T79">
            <v>-136</v>
          </cell>
          <cell r="U79">
            <v>-163</v>
          </cell>
          <cell r="V79">
            <v>-141</v>
          </cell>
          <cell r="W79">
            <v>-588</v>
          </cell>
          <cell r="X79">
            <v>-159</v>
          </cell>
          <cell r="Y79">
            <v>-184</v>
          </cell>
          <cell r="Z79">
            <v>-190</v>
          </cell>
          <cell r="AA79">
            <v>-210</v>
          </cell>
          <cell r="AB79">
            <v>-743</v>
          </cell>
          <cell r="AC79">
            <v>-223</v>
          </cell>
          <cell r="AD79">
            <v>-210</v>
          </cell>
          <cell r="AE79">
            <v>-214</v>
          </cell>
          <cell r="AF79">
            <v>-204</v>
          </cell>
          <cell r="AG79">
            <v>-851</v>
          </cell>
          <cell r="AH79">
            <v>-213</v>
          </cell>
          <cell r="AI79">
            <v>-206</v>
          </cell>
          <cell r="AJ79">
            <v>-219</v>
          </cell>
          <cell r="AK79">
            <v>-211</v>
          </cell>
          <cell r="AL79">
            <v>-849</v>
          </cell>
          <cell r="AM79">
            <v>-246</v>
          </cell>
          <cell r="AN79">
            <v>-258</v>
          </cell>
          <cell r="AO79">
            <v>-236</v>
          </cell>
          <cell r="AP79">
            <v>-246</v>
          </cell>
          <cell r="AQ79">
            <v>-986</v>
          </cell>
          <cell r="AR79">
            <v>-277</v>
          </cell>
          <cell r="AS79">
            <v>-291</v>
          </cell>
          <cell r="AT79">
            <v>-304</v>
          </cell>
          <cell r="BA79">
            <v>-300</v>
          </cell>
          <cell r="BB79">
            <v>-316</v>
          </cell>
          <cell r="BC79">
            <v>-552</v>
          </cell>
          <cell r="BD79">
            <v>-407</v>
          </cell>
          <cell r="BE79">
            <v>-1575</v>
          </cell>
          <cell r="BF79">
            <v>-293</v>
          </cell>
          <cell r="BG79">
            <v>-497</v>
          </cell>
          <cell r="BH79">
            <v>-228</v>
          </cell>
          <cell r="BI79">
            <v>-187</v>
          </cell>
          <cell r="BJ79">
            <v>-1205</v>
          </cell>
          <cell r="BK79">
            <v>-167</v>
          </cell>
          <cell r="BL79">
            <v>-153</v>
          </cell>
          <cell r="BM79">
            <v>-206</v>
          </cell>
          <cell r="BN79">
            <v>-172</v>
          </cell>
          <cell r="BO79">
            <v>-698</v>
          </cell>
          <cell r="BP79">
            <v>-138</v>
          </cell>
          <cell r="BQ79">
            <v>-128</v>
          </cell>
          <cell r="BR79">
            <v>-157</v>
          </cell>
          <cell r="BS79">
            <v>-124</v>
          </cell>
          <cell r="BT79">
            <v>-547</v>
          </cell>
          <cell r="BU79">
            <v>-141</v>
          </cell>
          <cell r="BV79">
            <v>-151</v>
          </cell>
          <cell r="BW79">
            <v>-159</v>
          </cell>
          <cell r="BX79">
            <v>-134</v>
          </cell>
          <cell r="BY79">
            <v>-585</v>
          </cell>
          <cell r="BZ79">
            <v>-149</v>
          </cell>
          <cell r="CA79">
            <v>-154</v>
          </cell>
          <cell r="CB79">
            <v>-166</v>
          </cell>
          <cell r="CC79">
            <v>-166</v>
          </cell>
          <cell r="CD79">
            <v>-635</v>
          </cell>
          <cell r="CE79">
            <v>-156</v>
          </cell>
          <cell r="CF79">
            <v>-167</v>
          </cell>
          <cell r="CG79">
            <v>-193</v>
          </cell>
          <cell r="CH79">
            <v>-181</v>
          </cell>
          <cell r="CI79">
            <v>-697</v>
          </cell>
          <cell r="CJ79">
            <v>-189</v>
          </cell>
          <cell r="CK79">
            <v>-173</v>
          </cell>
          <cell r="CL79">
            <v>-187</v>
          </cell>
          <cell r="CM79">
            <v>-191</v>
          </cell>
          <cell r="CN79">
            <v>-740</v>
          </cell>
          <cell r="CO79">
            <v>-179</v>
          </cell>
          <cell r="CP79">
            <v>-168</v>
          </cell>
          <cell r="CQ79">
            <v>-189</v>
          </cell>
          <cell r="CR79">
            <v>-181</v>
          </cell>
          <cell r="CS79">
            <v>-717</v>
          </cell>
          <cell r="CT79">
            <v>-189</v>
          </cell>
          <cell r="CU79">
            <v>-190</v>
          </cell>
          <cell r="CV79">
            <v>-206</v>
          </cell>
          <cell r="CW79">
            <v>-208.10146299321087</v>
          </cell>
          <cell r="CX79">
            <v>-793.10146299321082</v>
          </cell>
          <cell r="CY79">
            <v>-204.88732183322202</v>
          </cell>
          <cell r="CZ79">
            <v>-208.83679518688257</v>
          </cell>
          <cell r="DA79">
            <v>-226.58118378504724</v>
          </cell>
          <cell r="DB79">
            <v>-229.02726390058174</v>
          </cell>
          <cell r="DC79">
            <v>-869.33256470573349</v>
          </cell>
          <cell r="DD79">
            <v>-169.86391991421326</v>
          </cell>
          <cell r="DE79">
            <v>-169.13840597997893</v>
          </cell>
          <cell r="DF79">
            <v>-184.76305973911246</v>
          </cell>
          <cell r="DG79">
            <v>-187.86952586921848</v>
          </cell>
          <cell r="DH79">
            <v>-711.6349115025231</v>
          </cell>
          <cell r="DI79">
            <v>-157.17303567209143</v>
          </cell>
          <cell r="DJ79">
            <v>-156.94870239267993</v>
          </cell>
          <cell r="DK79">
            <v>-172.08563740553268</v>
          </cell>
          <cell r="DL79">
            <v>-175.70831831527954</v>
          </cell>
          <cell r="DM79">
            <v>-661.91569378558358</v>
          </cell>
          <cell r="DN79">
            <v>-151.20343750782621</v>
          </cell>
          <cell r="DO79">
            <v>-150.37501062876376</v>
          </cell>
          <cell r="DP79">
            <v>-165.37000217204101</v>
          </cell>
          <cell r="DQ79">
            <v>-169.35556161795313</v>
          </cell>
          <cell r="DR79">
            <v>-636.30401192658405</v>
          </cell>
        </row>
        <row r="80">
          <cell r="B80" t="str">
            <v>% of revenues</v>
          </cell>
          <cell r="D80">
            <v>3.9401962781084279E-2</v>
          </cell>
          <cell r="E80">
            <v>3.240450845335003E-2</v>
          </cell>
          <cell r="F80">
            <v>3.3459500378501136E-2</v>
          </cell>
          <cell r="G80">
            <v>5.0213701216566542E-2</v>
          </cell>
          <cell r="H80">
            <v>4.1289933694996984E-2</v>
          </cell>
          <cell r="I80">
            <v>5.2418412648960196E-2</v>
          </cell>
          <cell r="J80">
            <v>5.0842512218250785E-2</v>
          </cell>
          <cell r="K80">
            <v>5.0213003701375797E-2</v>
          </cell>
          <cell r="L80">
            <v>5.5083882360931882E-2</v>
          </cell>
          <cell r="M80">
            <v>5.216765605324699E-2</v>
          </cell>
          <cell r="N80">
            <v>5.1786459057416939E-2</v>
          </cell>
          <cell r="O80">
            <v>5.3316170991125268E-2</v>
          </cell>
          <cell r="P80">
            <v>5.7266753095802224E-2</v>
          </cell>
          <cell r="Q80">
            <v>6.0094931344295666E-2</v>
          </cell>
          <cell r="R80">
            <v>5.6840409619146243E-2</v>
          </cell>
          <cell r="S80">
            <v>6.3492063492063489E-2</v>
          </cell>
          <cell r="T80">
            <v>5.5990119390695758E-2</v>
          </cell>
          <cell r="U80">
            <v>6.3572542901716073E-2</v>
          </cell>
          <cell r="V80">
            <v>5.4842473745624273E-2</v>
          </cell>
          <cell r="W80">
            <v>5.9423951490651841E-2</v>
          </cell>
          <cell r="X80">
            <v>6.2279670975323151E-2</v>
          </cell>
          <cell r="Y80">
            <v>7.1790870074131874E-2</v>
          </cell>
          <cell r="Z80">
            <v>6.7328136073706593E-2</v>
          </cell>
          <cell r="AA80">
            <v>7.1380013596193059E-2</v>
          </cell>
          <cell r="AB80">
            <v>6.8290441176470582E-2</v>
          </cell>
          <cell r="AC80">
            <v>7.76192133658197E-2</v>
          </cell>
          <cell r="AD80">
            <v>7.5539568345323743E-2</v>
          </cell>
          <cell r="AE80">
            <v>7.508771929824562E-2</v>
          </cell>
          <cell r="AF80">
            <v>7.007901064926142E-2</v>
          </cell>
          <cell r="AG80">
            <v>7.4557560890134919E-2</v>
          </cell>
          <cell r="AH80">
            <v>7.3625993778085028E-2</v>
          </cell>
          <cell r="AI80">
            <v>7.0668953687821612E-2</v>
          </cell>
          <cell r="AJ80">
            <v>7.2134387351778656E-2</v>
          </cell>
          <cell r="AK80">
            <v>6.575257089435961E-2</v>
          </cell>
          <cell r="AL80">
            <v>7.0438894880942501E-2</v>
          </cell>
          <cell r="AM80">
            <v>7.4613284804367602E-2</v>
          </cell>
          <cell r="AN80">
            <v>7.6016499705362409E-2</v>
          </cell>
          <cell r="AO80">
            <v>6.7738231917336397E-2</v>
          </cell>
          <cell r="AP80">
            <v>6.5810593900481537E-2</v>
          </cell>
          <cell r="AQ80">
            <v>7.0868971465535835E-2</v>
          </cell>
          <cell r="AR80">
            <v>0.11883311883311884</v>
          </cell>
          <cell r="AS80">
            <v>0.1198023878139152</v>
          </cell>
          <cell r="AT80">
            <v>0.11856474258970359</v>
          </cell>
          <cell r="BA80">
            <v>8.6906141367323289E-2</v>
          </cell>
          <cell r="BB80">
            <v>9.3518792542172241E-2</v>
          </cell>
          <cell r="BC80">
            <v>0.16742493175614195</v>
          </cell>
          <cell r="BD80">
            <v>0.12794718641936498</v>
          </cell>
          <cell r="BE80">
            <v>0.11834097227440078</v>
          </cell>
          <cell r="BF80">
            <v>0.10977894342450356</v>
          </cell>
          <cell r="BG80">
            <v>0.19338521400778211</v>
          </cell>
          <cell r="BH80">
            <v>9.3442622950819676E-2</v>
          </cell>
          <cell r="BI80">
            <v>7.7529021558872299E-2</v>
          </cell>
          <cell r="BJ80">
            <v>0.11941333861857101</v>
          </cell>
          <cell r="BK80">
            <v>6.6773290683726505E-2</v>
          </cell>
          <cell r="BL80">
            <v>6.3223140495867775E-2</v>
          </cell>
          <cell r="BM80">
            <v>8.6048454469507096E-2</v>
          </cell>
          <cell r="BN80">
            <v>7.4815137016093949E-2</v>
          </cell>
          <cell r="BO80">
            <v>7.2602454753484508E-2</v>
          </cell>
          <cell r="BP80">
            <v>5.7166528583264292E-2</v>
          </cell>
          <cell r="BQ80">
            <v>5.8314350797266518E-2</v>
          </cell>
          <cell r="BR80">
            <v>7.4161549362305151E-2</v>
          </cell>
          <cell r="BS80">
            <v>5.6906837999082145E-2</v>
          </cell>
          <cell r="BT80">
            <v>6.1426165075800114E-2</v>
          </cell>
          <cell r="BU80">
            <v>6.1869240895129442E-2</v>
          </cell>
          <cell r="BV80">
            <v>6.7773788150807895E-2</v>
          </cell>
          <cell r="BW80">
            <v>7.1880650994575052E-2</v>
          </cell>
          <cell r="BX80">
            <v>5.9529098178587293E-2</v>
          </cell>
          <cell r="BY80">
            <v>6.5217391304347824E-2</v>
          </cell>
          <cell r="BZ80">
            <v>6.2842682412484183E-2</v>
          </cell>
          <cell r="CA80">
            <v>7.0512820512820512E-2</v>
          </cell>
          <cell r="CB80">
            <v>7.6923076923076927E-2</v>
          </cell>
          <cell r="CC80">
            <v>7.5626423690205016E-2</v>
          </cell>
          <cell r="CD80">
            <v>7.1284238886394249E-2</v>
          </cell>
          <cell r="CE80">
            <v>6.8451075032909175E-2</v>
          </cell>
          <cell r="CF80">
            <v>7.4921489457155668E-2</v>
          </cell>
          <cell r="CG80">
            <v>8.532272325375774E-2</v>
          </cell>
          <cell r="CH80">
            <v>8.0053073861123397E-2</v>
          </cell>
          <cell r="CI80">
            <v>7.7178607020263537E-2</v>
          </cell>
          <cell r="CJ80">
            <v>8.0803762291577597E-2</v>
          </cell>
          <cell r="CK80">
            <v>7.5119409465914028E-2</v>
          </cell>
          <cell r="CL80">
            <v>8.267020335985853E-2</v>
          </cell>
          <cell r="CM80">
            <v>8.3007388092133857E-2</v>
          </cell>
          <cell r="CN80">
            <v>8.039109179793591E-2</v>
          </cell>
          <cell r="CO80">
            <v>7.369287772745986E-2</v>
          </cell>
          <cell r="CP80">
            <v>7.3043478260869571E-2</v>
          </cell>
          <cell r="CQ80">
            <v>8.2568807339449546E-2</v>
          </cell>
          <cell r="CR80">
            <v>7.6923076923076927E-2</v>
          </cell>
          <cell r="CS80">
            <v>7.6512645395368686E-2</v>
          </cell>
          <cell r="CT80">
            <v>7.5873143315937377E-2</v>
          </cell>
          <cell r="CU80">
            <v>7.7393075356415472E-2</v>
          </cell>
          <cell r="CV80">
            <v>8.4878450762257932E-2</v>
          </cell>
          <cell r="CW80">
            <v>8.2401127524428089E-2</v>
          </cell>
          <cell r="CX80">
            <v>8.0123652687612429E-2</v>
          </cell>
          <cell r="CY80">
            <v>7.7054552049793071E-2</v>
          </cell>
          <cell r="CZ80">
            <v>7.6507022078941181E-2</v>
          </cell>
          <cell r="DA80">
            <v>8.3630813295141701E-2</v>
          </cell>
          <cell r="DB80">
            <v>8.235371216437698E-2</v>
          </cell>
          <cell r="DC80">
            <v>7.9909567877343921E-2</v>
          </cell>
          <cell r="DD80">
            <v>6.1245607163135596E-2</v>
          </cell>
          <cell r="DE80">
            <v>6.0003348446912338E-2</v>
          </cell>
          <cell r="DF80">
            <v>6.6117164100963688E-2</v>
          </cell>
          <cell r="DG80">
            <v>6.5395929986680895E-2</v>
          </cell>
          <cell r="DH80">
            <v>6.3202590628234842E-2</v>
          </cell>
          <cell r="DI80">
            <v>5.3708221519859566E-2</v>
          </cell>
          <cell r="DJ80">
            <v>5.3423839359143611E-2</v>
          </cell>
          <cell r="DK80">
            <v>5.9094579347081184E-2</v>
          </cell>
          <cell r="DL80">
            <v>5.8548672805782957E-2</v>
          </cell>
          <cell r="DM80">
            <v>5.6202532698828987E-2</v>
          </cell>
          <cell r="DN80">
            <v>4.928169635116602E-2</v>
          </cell>
          <cell r="DO80">
            <v>4.8940483217617396E-2</v>
          </cell>
          <cell r="DP80">
            <v>5.4287478450490763E-2</v>
          </cell>
          <cell r="DQ80">
            <v>5.4014949450804949E-2</v>
          </cell>
          <cell r="DR80">
            <v>5.1638444333331222E-2</v>
          </cell>
        </row>
        <row r="81">
          <cell r="B81" t="str">
            <v>Transfers from acquisitions (Dispositions)</v>
          </cell>
        </row>
        <row r="82">
          <cell r="B82" t="str">
            <v>Write-offs</v>
          </cell>
          <cell r="D82">
            <v>36.032000000000011</v>
          </cell>
          <cell r="E82">
            <v>20.747</v>
          </cell>
          <cell r="F82">
            <v>18.000000000000007</v>
          </cell>
          <cell r="G82">
            <v>-44.617000000000004</v>
          </cell>
          <cell r="H82">
            <v>30.16200000000002</v>
          </cell>
          <cell r="I82">
            <v>83.499999999999986</v>
          </cell>
          <cell r="J82">
            <v>76.40000000000002</v>
          </cell>
          <cell r="K82">
            <v>78.900000000000006</v>
          </cell>
          <cell r="L82">
            <v>79.199999999999989</v>
          </cell>
          <cell r="M82">
            <v>318</v>
          </cell>
          <cell r="N82">
            <v>75.699999999999989</v>
          </cell>
          <cell r="O82">
            <v>51.300000000000026</v>
          </cell>
          <cell r="P82">
            <v>81.899999999999977</v>
          </cell>
          <cell r="Q82">
            <v>217.10000000000005</v>
          </cell>
          <cell r="R82">
            <v>426</v>
          </cell>
          <cell r="S82">
            <v>136</v>
          </cell>
          <cell r="T82">
            <v>157</v>
          </cell>
          <cell r="U82">
            <v>174</v>
          </cell>
          <cell r="V82">
            <v>154</v>
          </cell>
          <cell r="W82">
            <v>621</v>
          </cell>
          <cell r="X82">
            <v>168</v>
          </cell>
          <cell r="Y82">
            <v>163</v>
          </cell>
          <cell r="Z82">
            <v>149</v>
          </cell>
          <cell r="AA82">
            <v>167</v>
          </cell>
          <cell r="AB82">
            <v>647</v>
          </cell>
          <cell r="AC82">
            <v>193</v>
          </cell>
          <cell r="AD82">
            <v>234</v>
          </cell>
          <cell r="AE82">
            <v>146</v>
          </cell>
          <cell r="AF82">
            <v>207</v>
          </cell>
          <cell r="AG82">
            <v>780</v>
          </cell>
          <cell r="AH82">
            <v>216</v>
          </cell>
          <cell r="AI82">
            <v>207</v>
          </cell>
          <cell r="AJ82">
            <v>226</v>
          </cell>
          <cell r="AK82">
            <v>225</v>
          </cell>
          <cell r="AL82">
            <v>874</v>
          </cell>
          <cell r="AM82">
            <v>240</v>
          </cell>
          <cell r="AN82">
            <v>272</v>
          </cell>
          <cell r="AO82">
            <v>246</v>
          </cell>
          <cell r="AP82">
            <v>246</v>
          </cell>
          <cell r="AQ82">
            <v>1004</v>
          </cell>
          <cell r="AR82">
            <v>264</v>
          </cell>
          <cell r="AS82">
            <v>269</v>
          </cell>
          <cell r="AT82">
            <v>312</v>
          </cell>
          <cell r="BA82">
            <v>293</v>
          </cell>
          <cell r="BB82">
            <v>322</v>
          </cell>
          <cell r="BC82">
            <v>403</v>
          </cell>
          <cell r="BD82">
            <v>407</v>
          </cell>
          <cell r="BE82">
            <v>1425</v>
          </cell>
          <cell r="BF82">
            <v>279</v>
          </cell>
          <cell r="BG82">
            <v>173</v>
          </cell>
          <cell r="BH82">
            <v>266</v>
          </cell>
          <cell r="BI82">
            <v>289</v>
          </cell>
          <cell r="BJ82">
            <v>1007</v>
          </cell>
          <cell r="BK82">
            <v>182</v>
          </cell>
          <cell r="BL82">
            <v>194</v>
          </cell>
          <cell r="BM82">
            <v>206</v>
          </cell>
          <cell r="BN82">
            <v>220</v>
          </cell>
          <cell r="BO82">
            <v>802</v>
          </cell>
          <cell r="BP82">
            <v>157</v>
          </cell>
          <cell r="BQ82">
            <v>184</v>
          </cell>
          <cell r="BR82">
            <v>177</v>
          </cell>
          <cell r="BS82">
            <v>125</v>
          </cell>
          <cell r="BT82">
            <v>643</v>
          </cell>
          <cell r="BU82">
            <v>156</v>
          </cell>
          <cell r="BV82">
            <v>151</v>
          </cell>
          <cell r="BW82">
            <v>164</v>
          </cell>
          <cell r="BX82">
            <v>171</v>
          </cell>
          <cell r="BY82">
            <v>642</v>
          </cell>
          <cell r="BZ82">
            <v>162</v>
          </cell>
          <cell r="CA82">
            <v>172</v>
          </cell>
          <cell r="CB82">
            <v>178</v>
          </cell>
          <cell r="CC82">
            <v>168</v>
          </cell>
          <cell r="CD82">
            <v>680</v>
          </cell>
          <cell r="CE82">
            <v>161</v>
          </cell>
          <cell r="CF82">
            <v>151</v>
          </cell>
          <cell r="CG82">
            <v>217</v>
          </cell>
          <cell r="CH82">
            <v>195</v>
          </cell>
          <cell r="CI82">
            <v>724</v>
          </cell>
          <cell r="CJ82">
            <v>197</v>
          </cell>
          <cell r="CK82">
            <v>170</v>
          </cell>
          <cell r="CL82">
            <v>196</v>
          </cell>
          <cell r="CM82">
            <v>194</v>
          </cell>
          <cell r="CN82">
            <v>757</v>
          </cell>
          <cell r="CO82">
            <v>172</v>
          </cell>
          <cell r="CP82">
            <v>163</v>
          </cell>
          <cell r="CQ82">
            <v>176</v>
          </cell>
          <cell r="CR82">
            <v>161</v>
          </cell>
          <cell r="CS82">
            <v>672</v>
          </cell>
          <cell r="CT82">
            <v>206</v>
          </cell>
          <cell r="CU82">
            <v>169</v>
          </cell>
          <cell r="CV82">
            <v>205</v>
          </cell>
          <cell r="CW82">
            <v>152.25</v>
          </cell>
          <cell r="CX82">
            <v>732.25</v>
          </cell>
          <cell r="CY82">
            <v>160.15901687088467</v>
          </cell>
          <cell r="CZ82">
            <v>165.47682334764789</v>
          </cell>
          <cell r="DA82">
            <v>171.12855690682741</v>
          </cell>
          <cell r="DB82">
            <v>173.73060527425213</v>
          </cell>
          <cell r="DC82">
            <v>670.49500239961208</v>
          </cell>
          <cell r="DD82">
            <v>181.77487578359086</v>
          </cell>
          <cell r="DE82">
            <v>183.15104709766231</v>
          </cell>
          <cell r="DF82">
            <v>182.58078049367643</v>
          </cell>
          <cell r="DG82">
            <v>180.29919558014564</v>
          </cell>
          <cell r="DH82">
            <v>727.80589895507524</v>
          </cell>
          <cell r="DI82">
            <v>184.46267804682677</v>
          </cell>
          <cell r="DJ82">
            <v>187.37880963459867</v>
          </cell>
          <cell r="DK82">
            <v>183.76093621325097</v>
          </cell>
          <cell r="DL82">
            <v>180.14450784822122</v>
          </cell>
          <cell r="DM82">
            <v>735.74693174289757</v>
          </cell>
          <cell r="DN82">
            <v>183.73592095439218</v>
          </cell>
          <cell r="DO82">
            <v>185.39509890851076</v>
          </cell>
          <cell r="DP82">
            <v>182.53257456742145</v>
          </cell>
          <cell r="DQ82">
            <v>178.34054716859109</v>
          </cell>
          <cell r="DR82">
            <v>730.00414159891545</v>
          </cell>
        </row>
        <row r="83">
          <cell r="B83" t="str">
            <v>% of beg. gross receivables (annualized)</v>
          </cell>
          <cell r="E83">
            <v>0.1885700911856866</v>
          </cell>
          <cell r="F83">
            <v>0.15043877977434189</v>
          </cell>
          <cell r="G83">
            <v>-0.36995854063018241</v>
          </cell>
          <cell r="H83" t="str">
            <v>nm</v>
          </cell>
          <cell r="I83">
            <v>0.44592790387182901</v>
          </cell>
          <cell r="J83">
            <v>0.39708939708939722</v>
          </cell>
          <cell r="K83">
            <v>0.35369270424745042</v>
          </cell>
          <cell r="L83">
            <v>0.33044748096380511</v>
          </cell>
          <cell r="M83">
            <v>0.42456608811748997</v>
          </cell>
          <cell r="N83">
            <v>0.30462776659959756</v>
          </cell>
          <cell r="O83">
            <v>0.19738360908041566</v>
          </cell>
          <cell r="P83">
            <v>0.27564156499789644</v>
          </cell>
          <cell r="Q83">
            <v>0.55077059681613505</v>
          </cell>
          <cell r="R83">
            <v>0.42857142857142855</v>
          </cell>
          <cell r="S83">
            <v>0.34649681528662418</v>
          </cell>
          <cell r="T83">
            <v>0.39671509791535059</v>
          </cell>
          <cell r="U83">
            <v>0.39233370913190529</v>
          </cell>
          <cell r="V83">
            <v>0.31933644375324</v>
          </cell>
          <cell r="W83">
            <v>0.39554140127388537</v>
          </cell>
          <cell r="X83">
            <v>0.34764614588722192</v>
          </cell>
          <cell r="Y83">
            <v>0.31543299467827768</v>
          </cell>
          <cell r="Z83">
            <v>0.26524254561637739</v>
          </cell>
          <cell r="AA83">
            <v>0.26226933647428347</v>
          </cell>
          <cell r="AB83">
            <v>0.33471288153129852</v>
          </cell>
          <cell r="AC83">
            <v>0.29635316698656428</v>
          </cell>
          <cell r="AD83">
            <v>0.34148121123677488</v>
          </cell>
          <cell r="AE83">
            <v>0.21151756609923941</v>
          </cell>
          <cell r="AF83">
            <v>0.28259385665529008</v>
          </cell>
          <cell r="AG83">
            <v>0.29942418426103645</v>
          </cell>
          <cell r="AH83">
            <v>0.3016759776536313</v>
          </cell>
          <cell r="AI83">
            <v>0.28850174216027874</v>
          </cell>
          <cell r="AJ83">
            <v>0.31183166609175578</v>
          </cell>
          <cell r="AK83">
            <v>0.30060120240480964</v>
          </cell>
          <cell r="AL83">
            <v>0.30516759776536312</v>
          </cell>
          <cell r="AM83">
            <v>0.35307098197866865</v>
          </cell>
          <cell r="AN83">
            <v>0.40491254186825454</v>
          </cell>
          <cell r="AO83">
            <v>0.36417468541820874</v>
          </cell>
          <cell r="AP83">
            <v>0.3524355300859599</v>
          </cell>
          <cell r="AQ83">
            <v>0.3692534019860243</v>
          </cell>
          <cell r="AR83">
            <v>0.38540145985401458</v>
          </cell>
          <cell r="AS83">
            <v>0.38319088319088318</v>
          </cell>
          <cell r="AT83">
            <v>0.42535787321063395</v>
          </cell>
          <cell r="BA83">
            <v>0.39863945578231291</v>
          </cell>
          <cell r="BB83">
            <v>0.41682847896440128</v>
          </cell>
          <cell r="BC83">
            <v>0.534128561961564</v>
          </cell>
          <cell r="BD83">
            <v>0.54907251264755486</v>
          </cell>
          <cell r="BE83">
            <v>0.48469387755102039</v>
          </cell>
          <cell r="BF83">
            <v>0.38284734133790738</v>
          </cell>
          <cell r="BG83">
            <v>0.24187347081440055</v>
          </cell>
          <cell r="BH83">
            <v>0.38453198409830142</v>
          </cell>
          <cell r="BI83">
            <v>0.44615978386723271</v>
          </cell>
          <cell r="BJ83">
            <v>0.34545454545454546</v>
          </cell>
          <cell r="BK83">
            <v>0.30511316010058676</v>
          </cell>
          <cell r="BL83">
            <v>0.34124890061565522</v>
          </cell>
          <cell r="BM83">
            <v>0.38486688463334889</v>
          </cell>
          <cell r="BN83">
            <v>0.40646651270207851</v>
          </cell>
          <cell r="BO83">
            <v>0.33612740989103101</v>
          </cell>
          <cell r="BP83">
            <v>0.29636621047663991</v>
          </cell>
          <cell r="BQ83">
            <v>0.34089856415006947</v>
          </cell>
          <cell r="BR83">
            <v>0.35346979530703942</v>
          </cell>
          <cell r="BS83">
            <v>0.25614754098360654</v>
          </cell>
          <cell r="BT83">
            <v>0.3034450212364323</v>
          </cell>
          <cell r="BU83">
            <v>0.32653061224489793</v>
          </cell>
          <cell r="BV83">
            <v>0.31623036649214659</v>
          </cell>
          <cell r="BW83">
            <v>0.35536294691224268</v>
          </cell>
          <cell r="BX83">
            <v>0.37336244541484714</v>
          </cell>
          <cell r="BY83">
            <v>0.33594976452119307</v>
          </cell>
          <cell r="BZ83">
            <v>0.35487404162102959</v>
          </cell>
          <cell r="CA83">
            <v>0.3628691983122363</v>
          </cell>
          <cell r="CB83">
            <v>0.3827956989247312</v>
          </cell>
          <cell r="CC83">
            <v>0.38312428734321552</v>
          </cell>
          <cell r="CD83">
            <v>0.3723986856516977</v>
          </cell>
          <cell r="CE83">
            <v>0.37160992498557416</v>
          </cell>
          <cell r="CF83">
            <v>0.34009009009009011</v>
          </cell>
          <cell r="CG83">
            <v>0.53186274509803921</v>
          </cell>
          <cell r="CH83">
            <v>0.49429657794676807</v>
          </cell>
          <cell r="CI83">
            <v>0.41777264858626662</v>
          </cell>
          <cell r="CJ83">
            <v>0.51604453176162413</v>
          </cell>
          <cell r="CK83">
            <v>0.43339706819630336</v>
          </cell>
          <cell r="CL83">
            <v>0.51443569553805779</v>
          </cell>
          <cell r="CM83">
            <v>0.52291105121293802</v>
          </cell>
          <cell r="CN83">
            <v>0.49574328749181401</v>
          </cell>
          <cell r="CO83">
            <v>0.46020066889632105</v>
          </cell>
          <cell r="CP83">
            <v>0.40852130325814534</v>
          </cell>
          <cell r="CQ83">
            <v>0.43403205918618987</v>
          </cell>
          <cell r="CR83">
            <v>0.40300375469336669</v>
          </cell>
          <cell r="CS83">
            <v>0.44949832775919735</v>
          </cell>
          <cell r="CT83">
            <v>0.49194029850746268</v>
          </cell>
          <cell r="CU83">
            <v>0.37618252643294381</v>
          </cell>
          <cell r="CV83">
            <v>0.46670461013090497</v>
          </cell>
          <cell r="CW83">
            <v>0.35</v>
          </cell>
          <cell r="CX83">
            <v>0.43716417910447763</v>
          </cell>
          <cell r="CY83">
            <v>0.35</v>
          </cell>
          <cell r="CZ83">
            <v>0.35</v>
          </cell>
          <cell r="DA83">
            <v>0.35</v>
          </cell>
          <cell r="DB83">
            <v>0.35</v>
          </cell>
          <cell r="DC83">
            <v>0.36631289237534886</v>
          </cell>
          <cell r="DD83">
            <v>0.35</v>
          </cell>
          <cell r="DE83">
            <v>0.35</v>
          </cell>
          <cell r="DF83">
            <v>0.35</v>
          </cell>
          <cell r="DG83">
            <v>0.35</v>
          </cell>
          <cell r="DH83">
            <v>0.35034003397909547</v>
          </cell>
          <cell r="DI83">
            <v>0.35</v>
          </cell>
          <cell r="DJ83">
            <v>0.35</v>
          </cell>
          <cell r="DK83">
            <v>0.35</v>
          </cell>
          <cell r="DL83">
            <v>0.35</v>
          </cell>
          <cell r="DM83">
            <v>0.34900207027874169</v>
          </cell>
          <cell r="DN83">
            <v>0.35</v>
          </cell>
          <cell r="DO83">
            <v>0.35</v>
          </cell>
          <cell r="DP83">
            <v>0.35</v>
          </cell>
          <cell r="DQ83">
            <v>0.35</v>
          </cell>
          <cell r="DR83">
            <v>0.34764765680065657</v>
          </cell>
        </row>
        <row r="84">
          <cell r="B84" t="str">
            <v>Allowance for doubtful accts - closing</v>
          </cell>
          <cell r="D84">
            <v>-67.247</v>
          </cell>
          <cell r="E84">
            <v>-67.2</v>
          </cell>
          <cell r="F84">
            <v>-71.3</v>
          </cell>
          <cell r="G84">
            <v>-184</v>
          </cell>
          <cell r="H84">
            <v>-184</v>
          </cell>
          <cell r="I84">
            <v>-167.8</v>
          </cell>
          <cell r="J84">
            <v>-161.1</v>
          </cell>
          <cell r="K84">
            <v>-154.1</v>
          </cell>
          <cell r="L84">
            <v>-156</v>
          </cell>
          <cell r="M84">
            <v>-156</v>
          </cell>
          <cell r="N84">
            <v>-154.80000000000001</v>
          </cell>
          <cell r="O84">
            <v>-182.2</v>
          </cell>
          <cell r="P84">
            <v>-228.4</v>
          </cell>
          <cell r="Q84">
            <v>-224</v>
          </cell>
          <cell r="R84">
            <v>-224</v>
          </cell>
          <cell r="S84">
            <v>-236</v>
          </cell>
          <cell r="T84">
            <v>-215</v>
          </cell>
          <cell r="U84">
            <v>-204</v>
          </cell>
          <cell r="V84">
            <v>-191</v>
          </cell>
          <cell r="W84">
            <v>-191</v>
          </cell>
          <cell r="X84">
            <v>-182</v>
          </cell>
          <cell r="Y84">
            <v>-203</v>
          </cell>
          <cell r="Z84">
            <v>-244</v>
          </cell>
          <cell r="AA84">
            <v>-287</v>
          </cell>
          <cell r="AB84">
            <v>-287</v>
          </cell>
          <cell r="AC84">
            <v>-317</v>
          </cell>
          <cell r="AD84">
            <v>-293</v>
          </cell>
          <cell r="AE84">
            <v>-361</v>
          </cell>
          <cell r="AF84">
            <v>-358</v>
          </cell>
          <cell r="AG84">
            <v>-358</v>
          </cell>
          <cell r="AH84">
            <v>-355</v>
          </cell>
          <cell r="AI84">
            <v>-354</v>
          </cell>
          <cell r="AJ84">
            <v>-347</v>
          </cell>
          <cell r="AK84">
            <v>-333</v>
          </cell>
          <cell r="AL84">
            <v>-333</v>
          </cell>
          <cell r="AM84">
            <v>-339</v>
          </cell>
          <cell r="AN84">
            <v>-325</v>
          </cell>
          <cell r="AO84">
            <v>-315</v>
          </cell>
          <cell r="AP84">
            <v>-315</v>
          </cell>
          <cell r="AQ84">
            <v>-315</v>
          </cell>
          <cell r="AR84">
            <v>-328</v>
          </cell>
          <cell r="AS84">
            <v>-350</v>
          </cell>
          <cell r="AT84">
            <v>-342</v>
          </cell>
          <cell r="AZ84">
            <v>-350</v>
          </cell>
          <cell r="BA84">
            <v>-357</v>
          </cell>
          <cell r="BB84">
            <v>-351</v>
          </cell>
          <cell r="BC84">
            <v>-500</v>
          </cell>
          <cell r="BD84">
            <v>-500</v>
          </cell>
          <cell r="BE84">
            <v>-500</v>
          </cell>
          <cell r="BF84">
            <v>-514</v>
          </cell>
          <cell r="BG84">
            <v>-838</v>
          </cell>
          <cell r="BH84">
            <v>-800</v>
          </cell>
          <cell r="BI84">
            <v>-698</v>
          </cell>
          <cell r="BJ84">
            <v>-698</v>
          </cell>
          <cell r="BK84">
            <v>-683</v>
          </cell>
          <cell r="BL84">
            <v>-642</v>
          </cell>
          <cell r="BM84">
            <v>-642</v>
          </cell>
          <cell r="BN84">
            <v>-594</v>
          </cell>
          <cell r="BO84">
            <v>-594</v>
          </cell>
          <cell r="BP84">
            <v>-575</v>
          </cell>
          <cell r="BQ84">
            <v>-519</v>
          </cell>
          <cell r="BR84">
            <v>-499</v>
          </cell>
          <cell r="BS84">
            <v>-498</v>
          </cell>
          <cell r="BT84">
            <v>-498</v>
          </cell>
          <cell r="BU84">
            <v>-483</v>
          </cell>
          <cell r="BV84">
            <v>-483</v>
          </cell>
          <cell r="BW84">
            <v>-478</v>
          </cell>
          <cell r="BX84">
            <v>-441</v>
          </cell>
          <cell r="BY84">
            <v>-441</v>
          </cell>
          <cell r="BZ84">
            <v>-428</v>
          </cell>
          <cell r="CA84">
            <v>-410</v>
          </cell>
          <cell r="CB84">
            <v>-398</v>
          </cell>
          <cell r="CC84">
            <v>-396</v>
          </cell>
          <cell r="CD84">
            <v>-396</v>
          </cell>
          <cell r="CE84">
            <v>-391</v>
          </cell>
          <cell r="CF84">
            <v>-407</v>
          </cell>
          <cell r="CG84">
            <v>-383</v>
          </cell>
          <cell r="CH84">
            <v>-369</v>
          </cell>
          <cell r="CI84">
            <v>-369</v>
          </cell>
          <cell r="CJ84">
            <v>-361</v>
          </cell>
          <cell r="CK84">
            <v>-364</v>
          </cell>
          <cell r="CL84">
            <v>-355</v>
          </cell>
          <cell r="CM84">
            <v>-352</v>
          </cell>
          <cell r="CN84">
            <v>-352</v>
          </cell>
          <cell r="CO84">
            <v>-359</v>
          </cell>
          <cell r="CP84">
            <v>-364</v>
          </cell>
          <cell r="CQ84">
            <v>-377</v>
          </cell>
          <cell r="CR84">
            <v>-397</v>
          </cell>
          <cell r="CS84">
            <v>-397</v>
          </cell>
          <cell r="CT84">
            <v>-380</v>
          </cell>
          <cell r="CU84">
            <v>-401</v>
          </cell>
          <cell r="CV84">
            <v>-402</v>
          </cell>
          <cell r="CW84">
            <v>-457.85146299321082</v>
          </cell>
          <cell r="CX84">
            <v>-457.85146299321082</v>
          </cell>
          <cell r="CY84">
            <v>-502.57976795554816</v>
          </cell>
          <cell r="CZ84">
            <v>-545.93973979478278</v>
          </cell>
          <cell r="DA84">
            <v>-601.39236667300258</v>
          </cell>
          <cell r="DB84">
            <v>-656.68902529933212</v>
          </cell>
          <cell r="DC84">
            <v>-656.68902529933212</v>
          </cell>
          <cell r="DD84">
            <v>-644.77806942995448</v>
          </cell>
          <cell r="DE84">
            <v>-630.76542831227107</v>
          </cell>
          <cell r="DF84">
            <v>-632.94770755770708</v>
          </cell>
          <cell r="DG84">
            <v>-640.51803784677986</v>
          </cell>
          <cell r="DH84">
            <v>-640.51803784678009</v>
          </cell>
          <cell r="DI84">
            <v>-613.22839547204467</v>
          </cell>
          <cell r="DJ84">
            <v>-582.79828823012599</v>
          </cell>
          <cell r="DK84">
            <v>-571.12298942240773</v>
          </cell>
          <cell r="DL84">
            <v>-566.68679988946599</v>
          </cell>
          <cell r="DM84">
            <v>-566.68679988946599</v>
          </cell>
          <cell r="DN84">
            <v>-534.15431644289993</v>
          </cell>
          <cell r="DO84">
            <v>-499.13422816315295</v>
          </cell>
          <cell r="DP84">
            <v>-481.97165576777252</v>
          </cell>
          <cell r="DQ84">
            <v>-472.98667021713447</v>
          </cell>
          <cell r="DR84">
            <v>-472.9866702171347</v>
          </cell>
        </row>
        <row r="85">
          <cell r="B85" t="str">
            <v>as a % of gross receivables</v>
          </cell>
          <cell r="D85">
            <v>0.15280248857622628</v>
          </cell>
          <cell r="E85">
            <v>0.14040952778938573</v>
          </cell>
          <cell r="F85">
            <v>0.1478026533996683</v>
          </cell>
          <cell r="G85">
            <v>0.24566088117489987</v>
          </cell>
          <cell r="H85">
            <v>0.24566088117489987</v>
          </cell>
          <cell r="I85">
            <v>0.21803534303534308</v>
          </cell>
          <cell r="J85">
            <v>0.18054465986775747</v>
          </cell>
          <cell r="K85">
            <v>0.16073850005215395</v>
          </cell>
          <cell r="L85">
            <v>0.15694164989939638</v>
          </cell>
          <cell r="M85">
            <v>0.15694164989939638</v>
          </cell>
          <cell r="N85">
            <v>0.1489034243939977</v>
          </cell>
          <cell r="O85">
            <v>0.15330248212031972</v>
          </cell>
          <cell r="P85">
            <v>0.14485951671212025</v>
          </cell>
          <cell r="Q85">
            <v>0.14267515923566879</v>
          </cell>
          <cell r="R85">
            <v>0.14267515923566879</v>
          </cell>
          <cell r="S85">
            <v>0.14908401768793431</v>
          </cell>
          <cell r="T85">
            <v>0.12119503945885006</v>
          </cell>
          <cell r="U85">
            <v>0.10575427682737169</v>
          </cell>
          <cell r="V85">
            <v>9.8810139679255046E-2</v>
          </cell>
          <cell r="W85">
            <v>9.8810139679255046E-2</v>
          </cell>
          <cell r="X85">
            <v>8.8050314465408799E-2</v>
          </cell>
          <cell r="Y85">
            <v>9.0342679127725853E-2</v>
          </cell>
          <cell r="Z85">
            <v>9.5798979191205336E-2</v>
          </cell>
          <cell r="AA85">
            <v>0.11017274472168906</v>
          </cell>
          <cell r="AB85">
            <v>0.11017274472168906</v>
          </cell>
          <cell r="AC85">
            <v>0.11565122218168551</v>
          </cell>
          <cell r="AD85">
            <v>0.10612097066280334</v>
          </cell>
          <cell r="AE85">
            <v>0.12320819112627987</v>
          </cell>
          <cell r="AF85">
            <v>0.125</v>
          </cell>
          <cell r="AG85">
            <v>0.125</v>
          </cell>
          <cell r="AH85">
            <v>0.12369337979094076</v>
          </cell>
          <cell r="AI85">
            <v>0.12211107278371852</v>
          </cell>
          <cell r="AJ85">
            <v>0.11589846359385438</v>
          </cell>
          <cell r="AK85">
            <v>0.12247149687385069</v>
          </cell>
          <cell r="AL85">
            <v>0.12247149687385069</v>
          </cell>
          <cell r="AM85">
            <v>0.12616300707108299</v>
          </cell>
          <cell r="AN85">
            <v>0.12028127313101407</v>
          </cell>
          <cell r="AO85">
            <v>0.11282234957020057</v>
          </cell>
          <cell r="AP85">
            <v>0.11496350364963503</v>
          </cell>
          <cell r="AQ85">
            <v>0.11496350364963503</v>
          </cell>
          <cell r="AR85">
            <v>0.11680911680911681</v>
          </cell>
          <cell r="AS85">
            <v>0.11929107021131562</v>
          </cell>
          <cell r="AT85">
            <v>0.11384820239680427</v>
          </cell>
          <cell r="AZ85">
            <v>0.11904761904761904</v>
          </cell>
          <cell r="BA85">
            <v>0.11553398058252427</v>
          </cell>
          <cell r="BB85">
            <v>0.11630218687872763</v>
          </cell>
          <cell r="BC85">
            <v>0.16863406408094436</v>
          </cell>
          <cell r="BD85">
            <v>0.17152658662092624</v>
          </cell>
          <cell r="BE85">
            <v>0.17152658662092624</v>
          </cell>
          <cell r="BF85">
            <v>0.17965746242572528</v>
          </cell>
          <cell r="BG85">
            <v>0.30285507770148173</v>
          </cell>
          <cell r="BH85">
            <v>0.30876109610189117</v>
          </cell>
          <cell r="BI85">
            <v>0.29253981559094722</v>
          </cell>
          <cell r="BJ85">
            <v>0.29253981559094722</v>
          </cell>
          <cell r="BK85">
            <v>0.30035180299032543</v>
          </cell>
          <cell r="BL85">
            <v>0.29985987856141988</v>
          </cell>
          <cell r="BM85">
            <v>0.29653579676674363</v>
          </cell>
          <cell r="BN85">
            <v>0.28032090608777727</v>
          </cell>
          <cell r="BO85">
            <v>0.28032090608777727</v>
          </cell>
          <cell r="BP85">
            <v>0.26632700324224179</v>
          </cell>
          <cell r="BQ85">
            <v>0.25911133300049927</v>
          </cell>
          <cell r="BR85">
            <v>0.25563524590163933</v>
          </cell>
          <cell r="BS85">
            <v>0.26059654631083201</v>
          </cell>
          <cell r="BT85">
            <v>0.26059654631083201</v>
          </cell>
          <cell r="BU85">
            <v>0.25287958115183246</v>
          </cell>
          <cell r="BV85">
            <v>0.26164680390032502</v>
          </cell>
          <cell r="BW85">
            <v>0.26091703056768561</v>
          </cell>
          <cell r="BX85">
            <v>0.24151150054764511</v>
          </cell>
          <cell r="BY85">
            <v>0.24151150054764511</v>
          </cell>
          <cell r="BZ85">
            <v>0.22573839662447256</v>
          </cell>
          <cell r="CA85">
            <v>0.22043010752688172</v>
          </cell>
          <cell r="CB85">
            <v>0.22690992018244013</v>
          </cell>
          <cell r="CC85">
            <v>0.22850548182342759</v>
          </cell>
          <cell r="CD85">
            <v>0.22850548182342759</v>
          </cell>
          <cell r="CE85">
            <v>0.22015765765765766</v>
          </cell>
          <cell r="CF85">
            <v>0.24938725490196079</v>
          </cell>
          <cell r="CG85">
            <v>0.24271229404309252</v>
          </cell>
          <cell r="CH85">
            <v>0.24165029469548133</v>
          </cell>
          <cell r="CI85">
            <v>0.24165029469548133</v>
          </cell>
          <cell r="CJ85">
            <v>0.23008285532186107</v>
          </cell>
          <cell r="CK85">
            <v>0.23884514435695539</v>
          </cell>
          <cell r="CL85">
            <v>0.23921832884097036</v>
          </cell>
          <cell r="CM85">
            <v>0.23545150501672241</v>
          </cell>
          <cell r="CN85">
            <v>0.23545150501672241</v>
          </cell>
          <cell r="CO85">
            <v>0.22493734335839599</v>
          </cell>
          <cell r="CP85">
            <v>0.22441430332922319</v>
          </cell>
          <cell r="CQ85">
            <v>0.23591989987484355</v>
          </cell>
          <cell r="CR85">
            <v>0.23701492537313432</v>
          </cell>
          <cell r="CS85">
            <v>0.23701492537313432</v>
          </cell>
          <cell r="CT85">
            <v>0.21146355036171396</v>
          </cell>
          <cell r="CU85">
            <v>0.22822993739328401</v>
          </cell>
          <cell r="CV85">
            <v>0.23103448275862068</v>
          </cell>
          <cell r="CW85">
            <v>0.25013891690033735</v>
          </cell>
          <cell r="CX85">
            <v>0.25013891690033735</v>
          </cell>
          <cell r="CY85">
            <v>0.26575159473373788</v>
          </cell>
          <cell r="CZ85">
            <v>0.27914527005596251</v>
          </cell>
          <cell r="DA85">
            <v>0.30289327548717504</v>
          </cell>
          <cell r="DB85">
            <v>0.31610688477157856</v>
          </cell>
          <cell r="DC85">
            <v>0.31610688477157856</v>
          </cell>
          <cell r="DD85">
            <v>0.308041269592289</v>
          </cell>
          <cell r="DE85">
            <v>0.30228797811079167</v>
          </cell>
          <cell r="DF85">
            <v>0.30717233226190876</v>
          </cell>
          <cell r="DG85">
            <v>0.3038301780339861</v>
          </cell>
          <cell r="DH85">
            <v>0.30383017803398621</v>
          </cell>
          <cell r="DI85">
            <v>0.28635833853592957</v>
          </cell>
          <cell r="DJ85">
            <v>0.27750647809585327</v>
          </cell>
          <cell r="DK85">
            <v>0.27740652308181996</v>
          </cell>
          <cell r="DL85">
            <v>0.26987153482435544</v>
          </cell>
          <cell r="DM85">
            <v>0.26987153482435544</v>
          </cell>
          <cell r="DN85">
            <v>0.25210214813617254</v>
          </cell>
          <cell r="DO85">
            <v>0.23926822413905127</v>
          </cell>
          <cell r="DP85">
            <v>0.23647185426549716</v>
          </cell>
          <cell r="DQ85">
            <v>0.22797399545599509</v>
          </cell>
          <cell r="DR85">
            <v>0.2279739954559952</v>
          </cell>
        </row>
        <row r="87">
          <cell r="B87" t="str">
            <v>Accounts receivable turnover (Annualized)</v>
          </cell>
          <cell r="D87">
            <v>7.1111242235358496</v>
          </cell>
          <cell r="E87">
            <v>6.5163393025639982</v>
          </cell>
          <cell r="F87">
            <v>6.4956973995271863</v>
          </cell>
          <cell r="G87">
            <v>10.991720823329754</v>
          </cell>
          <cell r="H87">
            <v>7.5394354739755407</v>
          </cell>
          <cell r="I87">
            <v>8.755037933552936</v>
          </cell>
          <cell r="J87">
            <v>8.2726626711622977</v>
          </cell>
          <cell r="K87">
            <v>7.5830967573902841</v>
          </cell>
          <cell r="L87">
            <v>7.0549286536293749</v>
          </cell>
          <cell r="M87">
            <v>7.850364345026267</v>
          </cell>
          <cell r="N87">
            <v>6.6258290346352249</v>
          </cell>
          <cell r="O87">
            <v>6.261562983576626</v>
          </cell>
          <cell r="P87">
            <v>7.7056588993648374</v>
          </cell>
          <cell r="Q87">
            <v>10.423623785479489</v>
          </cell>
          <cell r="R87">
            <v>8.012501382896339</v>
          </cell>
          <cell r="S87">
            <v>6.8681686820904435</v>
          </cell>
          <cell r="T87">
            <v>6.7052252633808029</v>
          </cell>
          <cell r="U87">
            <v>6.3327919880904044</v>
          </cell>
          <cell r="V87">
            <v>5.884143665115813</v>
          </cell>
          <cell r="W87">
            <v>6.4095090037569635</v>
          </cell>
          <cell r="X87">
            <v>5.5851943755169557</v>
          </cell>
          <cell r="Y87">
            <v>5.2329675923465686</v>
          </cell>
          <cell r="Z87">
            <v>5.2655982414436515</v>
          </cell>
          <cell r="AA87">
            <v>5.0517486333656372</v>
          </cell>
          <cell r="AB87">
            <v>5.2856587640886126</v>
          </cell>
          <cell r="AC87">
            <v>4.8602157016328249</v>
          </cell>
          <cell r="AD87">
            <v>4.558687428679252</v>
          </cell>
          <cell r="AE87">
            <v>4.5893719806763276</v>
          </cell>
          <cell r="AF87">
            <v>4.502420679061391</v>
          </cell>
          <cell r="AG87">
            <v>4.6455026455026456</v>
          </cell>
          <cell r="AH87">
            <v>4.5718633911484803</v>
          </cell>
          <cell r="AI87">
            <v>4.6213569039655997</v>
          </cell>
          <cell r="AJ87">
            <v>4.7429378531073443</v>
          </cell>
          <cell r="AK87">
            <v>5.0591530680119909</v>
          </cell>
          <cell r="AL87">
            <v>4.783316136201285</v>
          </cell>
          <cell r="AM87">
            <v>5.5261889017468455</v>
          </cell>
          <cell r="AN87">
            <v>5.7622419908134193</v>
          </cell>
          <cell r="AO87">
            <v>5.8218193471592725</v>
          </cell>
          <cell r="AP87">
            <v>6.0506359427385457</v>
          </cell>
          <cell r="AQ87">
            <v>5.7908099558811292</v>
          </cell>
          <cell r="AR87">
            <v>5.9903160040774717</v>
          </cell>
          <cell r="AS87">
            <v>5.9848011388295745</v>
          </cell>
          <cell r="AT87">
            <v>5.6991146693777264</v>
          </cell>
          <cell r="BA87">
            <v>5.2601081261611036</v>
          </cell>
          <cell r="BB87">
            <v>5.0196784696784693</v>
          </cell>
          <cell r="BC87">
            <v>5.0976185231624251</v>
          </cell>
          <cell r="BD87">
            <v>5.1722425160370635</v>
          </cell>
          <cell r="BE87">
            <v>5.1705516705516708</v>
          </cell>
          <cell r="BF87">
            <v>4.5084667537418479</v>
          </cell>
          <cell r="BG87">
            <v>4.8346508496181091</v>
          </cell>
          <cell r="BH87">
            <v>5.2187938288920055</v>
          </cell>
          <cell r="BI87">
            <v>5.5162777909694185</v>
          </cell>
          <cell r="BJ87">
            <v>4.9611602753195676</v>
          </cell>
          <cell r="BK87">
            <v>6.1866083833146961</v>
          </cell>
          <cell r="BL87">
            <v>6.282584729186671</v>
          </cell>
          <cell r="BM87">
            <v>6.2858602135067478</v>
          </cell>
          <cell r="BN87">
            <v>5.9849295332648635</v>
          </cell>
          <cell r="BO87">
            <v>6.1423460260669565</v>
          </cell>
          <cell r="BP87">
            <v>6.297916443300811</v>
          </cell>
          <cell r="BQ87">
            <v>5.7393226069888392</v>
          </cell>
          <cell r="BR87">
            <v>5.7194194016372819</v>
          </cell>
          <cell r="BS87">
            <v>6.0327603992839585</v>
          </cell>
          <cell r="BT87">
            <v>5.9692988336238102</v>
          </cell>
          <cell r="BU87">
            <v>6.5088810641627539</v>
          </cell>
          <cell r="BV87">
            <v>6.4060813738233096</v>
          </cell>
          <cell r="BW87">
            <v>6.4599702357139428</v>
          </cell>
          <cell r="BX87">
            <v>6.5210644951346888</v>
          </cell>
          <cell r="BY87">
            <v>6.4606741573033704</v>
          </cell>
          <cell r="BZ87">
            <v>6.6849701297650821</v>
          </cell>
          <cell r="CA87">
            <v>6.0205620287868404</v>
          </cell>
          <cell r="CB87">
            <v>6.119092627599243</v>
          </cell>
          <cell r="CC87">
            <v>6.4851708939440416</v>
          </cell>
          <cell r="CD87">
            <v>6.3664951400800458</v>
          </cell>
          <cell r="CE87">
            <v>6.7910441668707646</v>
          </cell>
          <cell r="CF87">
            <v>6.8509536440570917</v>
          </cell>
          <cell r="CG87">
            <v>7.4167265540783323</v>
          </cell>
          <cell r="CH87">
            <v>7.6245403647517511</v>
          </cell>
          <cell r="CI87">
            <v>7.1674603174603178</v>
          </cell>
          <cell r="CJ87">
            <v>7.8526030169242089</v>
          </cell>
          <cell r="CK87">
            <v>7.9631962864721482</v>
          </cell>
          <cell r="CL87">
            <v>7.9488389109254056</v>
          </cell>
          <cell r="CM87">
            <v>8.0360628444580531</v>
          </cell>
          <cell r="CN87">
            <v>7.9380820972749229</v>
          </cell>
          <cell r="CO87">
            <v>7.9635767537950235</v>
          </cell>
          <cell r="CP87">
            <v>7.3332867450514509</v>
          </cell>
          <cell r="CQ87">
            <v>7.4376402093793397</v>
          </cell>
          <cell r="CR87">
            <v>7.4712058736538101</v>
          </cell>
          <cell r="CS87">
            <v>7.6348378686654712</v>
          </cell>
          <cell r="CT87">
            <v>7.0703932623480963</v>
          </cell>
          <cell r="CU87">
            <v>7.2816784984926572</v>
          </cell>
          <cell r="CV87">
            <v>1.7744687073503607</v>
          </cell>
          <cell r="CW87">
            <v>7.4132704541644499</v>
          </cell>
          <cell r="CX87">
            <v>7.3196879594736357</v>
          </cell>
          <cell r="CY87">
            <v>7.7659574468085104</v>
          </cell>
          <cell r="CZ87">
            <v>7.7659574468085113</v>
          </cell>
          <cell r="DA87">
            <v>7.7659574468085113</v>
          </cell>
          <cell r="DB87">
            <v>7.8673993245496465</v>
          </cell>
          <cell r="DC87">
            <v>7.7976675939053468</v>
          </cell>
          <cell r="DD87">
            <v>7.7659574468085104</v>
          </cell>
          <cell r="DE87">
            <v>7.7659574468085104</v>
          </cell>
          <cell r="DF87">
            <v>7.7659574468085113</v>
          </cell>
          <cell r="DG87">
            <v>7.8732832216798663</v>
          </cell>
          <cell r="DH87">
            <v>7.7972496289675819</v>
          </cell>
          <cell r="DI87">
            <v>7.7659574468085104</v>
          </cell>
          <cell r="DJ87">
            <v>7.7659574468085104</v>
          </cell>
          <cell r="DK87">
            <v>7.7659574468085095</v>
          </cell>
          <cell r="DL87">
            <v>7.8828801323391859</v>
          </cell>
          <cell r="DM87">
            <v>7.8160975696515456</v>
          </cell>
          <cell r="DN87">
            <v>7.7872340425531918</v>
          </cell>
          <cell r="DO87">
            <v>7.7872340425531918</v>
          </cell>
          <cell r="DP87">
            <v>7.787234042553191</v>
          </cell>
          <cell r="DQ87">
            <v>7.8995484215207394</v>
          </cell>
          <cell r="DR87">
            <v>7.8359063480702984</v>
          </cell>
        </row>
        <row r="88">
          <cell r="B88" t="str">
            <v>Ending receivables collection period (DSOs)</v>
          </cell>
          <cell r="D88">
            <v>51.187405613765108</v>
          </cell>
          <cell r="E88">
            <v>58.605823418910454</v>
          </cell>
          <cell r="F88">
            <v>56.016654049962156</v>
          </cell>
          <cell r="G88">
            <v>38.337150085001092</v>
          </cell>
          <cell r="H88">
            <v>61.983122362869196</v>
          </cell>
          <cell r="I88">
            <v>43.122984656125858</v>
          </cell>
          <cell r="J88">
            <v>48.536873586694867</v>
          </cell>
          <cell r="K88">
            <v>50.571967316153362</v>
          </cell>
          <cell r="L88">
            <v>52.93350539971474</v>
          </cell>
          <cell r="M88">
            <v>55.173232595790608</v>
          </cell>
          <cell r="N88">
            <v>56.583901014875572</v>
          </cell>
          <cell r="O88">
            <v>62.037328094302552</v>
          </cell>
          <cell r="P88">
            <v>54.247842997004781</v>
          </cell>
          <cell r="Q88">
            <v>34.986720913149128</v>
          </cell>
          <cell r="R88">
            <v>56.528592797146473</v>
          </cell>
          <cell r="S88">
            <v>53.163449163449165</v>
          </cell>
          <cell r="T88">
            <v>58.406340057636889</v>
          </cell>
          <cell r="U88">
            <v>60.549921996879881</v>
          </cell>
          <cell r="V88">
            <v>62.335278101905871</v>
          </cell>
          <cell r="W88">
            <v>64.257705912076801</v>
          </cell>
          <cell r="X88">
            <v>67.927927927927925</v>
          </cell>
          <cell r="Y88">
            <v>72.572766289504486</v>
          </cell>
          <cell r="Z88">
            <v>73.447909284195603</v>
          </cell>
          <cell r="AA88">
            <v>72.48674371176071</v>
          </cell>
          <cell r="AB88">
            <v>77.763786764705884</v>
          </cell>
          <cell r="AC88">
            <v>76.778280542986423</v>
          </cell>
          <cell r="AD88">
            <v>80.787050359712225</v>
          </cell>
          <cell r="AE88">
            <v>81.126315789473693</v>
          </cell>
          <cell r="AF88">
            <v>80.061147372037098</v>
          </cell>
          <cell r="AG88">
            <v>80.137550376730331</v>
          </cell>
          <cell r="AH88">
            <v>79.979260283442798</v>
          </cell>
          <cell r="AI88">
            <v>79.449399656946824</v>
          </cell>
          <cell r="AJ88">
            <v>78.468379446640313</v>
          </cell>
          <cell r="AK88">
            <v>68.405110626363353</v>
          </cell>
          <cell r="AL88">
            <v>72.255040238944659</v>
          </cell>
          <cell r="AM88">
            <v>65.518956627236889</v>
          </cell>
          <cell r="AN88">
            <v>63.732174425456684</v>
          </cell>
          <cell r="AO88">
            <v>63.986796785304243</v>
          </cell>
          <cell r="AP88">
            <v>59.68432316746923</v>
          </cell>
          <cell r="AQ88">
            <v>63.61855818299432</v>
          </cell>
          <cell r="AR88">
            <v>61.614906832298139</v>
          </cell>
          <cell r="AS88">
            <v>62.240338803599791</v>
          </cell>
          <cell r="AT88">
            <v>64.99728703201302</v>
          </cell>
          <cell r="AZ88">
            <v>80.992522093813733</v>
          </cell>
          <cell r="BA88">
            <v>71.254345307068363</v>
          </cell>
          <cell r="BB88">
            <v>71.82509618230246</v>
          </cell>
          <cell r="BC88">
            <v>68.783742796481647</v>
          </cell>
          <cell r="BD88">
            <v>69.845960389814522</v>
          </cell>
          <cell r="BE88">
            <v>66.231497482906306</v>
          </cell>
          <cell r="BF88">
            <v>80.021356313225937</v>
          </cell>
          <cell r="BG88">
            <v>68.303112840466923</v>
          </cell>
          <cell r="BH88">
            <v>67.529508196721309</v>
          </cell>
          <cell r="BI88">
            <v>64.384742951907128</v>
          </cell>
          <cell r="BJ88">
            <v>61.223664651669807</v>
          </cell>
          <cell r="BK88">
            <v>57.253098760495796</v>
          </cell>
          <cell r="BL88">
            <v>56.367355371900821</v>
          </cell>
          <cell r="BM88">
            <v>58.527986633249796</v>
          </cell>
          <cell r="BN88">
            <v>61.026533275337101</v>
          </cell>
          <cell r="BP88">
            <v>59.055509527754758</v>
          </cell>
          <cell r="BQ88">
            <v>61.523462414578589</v>
          </cell>
          <cell r="BR88">
            <v>63.144071799716578</v>
          </cell>
          <cell r="BS88">
            <v>59.658558972005508</v>
          </cell>
          <cell r="BU88">
            <v>56.353663887670031</v>
          </cell>
          <cell r="BV88">
            <v>55.670107719928183</v>
          </cell>
          <cell r="BW88">
            <v>56.31464737793852</v>
          </cell>
          <cell r="BX88">
            <v>56.605952909817866</v>
          </cell>
          <cell r="BZ88">
            <v>56.342471530999575</v>
          </cell>
          <cell r="CA88">
            <v>60.416666666666664</v>
          </cell>
          <cell r="CB88">
            <v>57.809082483781282</v>
          </cell>
          <cell r="CC88">
            <v>56.038268792710703</v>
          </cell>
          <cell r="CD88">
            <v>54.93286933093848</v>
          </cell>
          <cell r="CE88">
            <v>54.695041684949537</v>
          </cell>
          <cell r="CF88">
            <v>50.0112157918349</v>
          </cell>
          <cell r="CG88">
            <v>48.603006189213083</v>
          </cell>
          <cell r="CH88">
            <v>47.118973905351616</v>
          </cell>
          <cell r="CI88">
            <v>46.802126010408593</v>
          </cell>
          <cell r="CJ88">
            <v>46.481402308678923</v>
          </cell>
          <cell r="CK88">
            <v>45.835866261398174</v>
          </cell>
          <cell r="CL88">
            <v>45.918656056587089</v>
          </cell>
          <cell r="CM88">
            <v>45.700130378096482</v>
          </cell>
          <cell r="CN88">
            <v>45.322650733297124</v>
          </cell>
          <cell r="CO88">
            <v>45.833676410045285</v>
          </cell>
          <cell r="CP88">
            <v>49.773043478260874</v>
          </cell>
          <cell r="CQ88">
            <v>49.074705111402366</v>
          </cell>
          <cell r="CR88">
            <v>49.968550786230345</v>
          </cell>
          <cell r="CS88">
            <v>49.778038629815384</v>
          </cell>
          <cell r="CT88">
            <v>51.765154556403047</v>
          </cell>
          <cell r="CU88">
            <v>50.263136456211811</v>
          </cell>
          <cell r="CV88">
            <v>50.71940667490729</v>
          </cell>
          <cell r="CW88">
            <v>50</v>
          </cell>
          <cell r="CX88">
            <v>50.750138310842907</v>
          </cell>
          <cell r="CY88">
            <v>47</v>
          </cell>
          <cell r="CZ88">
            <v>47</v>
          </cell>
          <cell r="DA88">
            <v>47</v>
          </cell>
          <cell r="DB88">
            <v>47</v>
          </cell>
          <cell r="DC88">
            <v>47.667210045399564</v>
          </cell>
          <cell r="DD88">
            <v>47</v>
          </cell>
          <cell r="DE88">
            <v>47</v>
          </cell>
          <cell r="DF88">
            <v>47</v>
          </cell>
          <cell r="DG88">
            <v>47</v>
          </cell>
          <cell r="DH88">
            <v>47.575805347812313</v>
          </cell>
          <cell r="DI88">
            <v>47</v>
          </cell>
          <cell r="DJ88">
            <v>47</v>
          </cell>
          <cell r="DK88">
            <v>47</v>
          </cell>
          <cell r="DL88">
            <v>47</v>
          </cell>
          <cell r="DM88">
            <v>47.515069755710456</v>
          </cell>
          <cell r="DN88">
            <v>47</v>
          </cell>
          <cell r="DO88">
            <v>47</v>
          </cell>
          <cell r="DP88">
            <v>47</v>
          </cell>
          <cell r="DQ88">
            <v>47</v>
          </cell>
          <cell r="DR88">
            <v>47.57568982508085</v>
          </cell>
        </row>
        <row r="89">
          <cell r="B89" t="str">
            <v>Inventory Analysis</v>
          </cell>
        </row>
        <row r="90">
          <cell r="B90" t="str">
            <v>Y/Y increase in sales</v>
          </cell>
          <cell r="I90">
            <v>0.9369828086929628</v>
          </cell>
          <cell r="J90">
            <v>1.146055103318723</v>
          </cell>
          <cell r="K90">
            <v>1.1679031037093113</v>
          </cell>
          <cell r="L90">
            <v>8.587506868309136E-2</v>
          </cell>
          <cell r="M90">
            <v>0.67540687160940327</v>
          </cell>
          <cell r="N90">
            <v>0.12049225017524723</v>
          </cell>
          <cell r="O90">
            <v>7.6737909402582183E-2</v>
          </cell>
          <cell r="P90">
            <v>0.56219009707381806</v>
          </cell>
          <cell r="Q90">
            <v>1.4039937512735179</v>
          </cell>
          <cell r="R90">
            <v>0.56341068537506755</v>
          </cell>
          <cell r="S90">
            <v>0.62032531627971643</v>
          </cell>
          <cell r="T90">
            <v>0.64555246934489552</v>
          </cell>
          <cell r="U90">
            <v>0.14622915642183365</v>
          </cell>
          <cell r="V90">
            <v>-0.27360569588065764</v>
          </cell>
          <cell r="W90">
            <v>0.13853411575192731</v>
          </cell>
          <cell r="X90">
            <v>9.5238095238095344E-2</v>
          </cell>
          <cell r="Y90">
            <v>5.5166735282009105E-2</v>
          </cell>
          <cell r="Z90">
            <v>0.10062402496099843</v>
          </cell>
          <cell r="AA90">
            <v>0.14430182808245817</v>
          </cell>
          <cell r="AB90">
            <v>9.9545224861040893E-2</v>
          </cell>
          <cell r="AC90">
            <v>0.12534273403838614</v>
          </cell>
          <cell r="AD90">
            <v>8.4666406554818607E-2</v>
          </cell>
          <cell r="AE90">
            <v>9.9220411055989111E-3</v>
          </cell>
          <cell r="AF90">
            <v>-1.0537049626104689E-2</v>
          </cell>
          <cell r="AG90">
            <v>4.9080882352941169E-2</v>
          </cell>
          <cell r="AH90">
            <v>6.9613644274277853E-3</v>
          </cell>
          <cell r="AI90">
            <v>4.8561151079136611E-2</v>
          </cell>
          <cell r="AJ90">
            <v>6.5263157894736912E-2</v>
          </cell>
          <cell r="AK90">
            <v>0.1023703194778427</v>
          </cell>
          <cell r="AL90">
            <v>5.5983879446294127E-2</v>
          </cell>
          <cell r="AM90">
            <v>0.13964742481852754</v>
          </cell>
          <cell r="AN90">
            <v>0.16432246998284739</v>
          </cell>
          <cell r="AO90">
            <v>0.14756258234519115</v>
          </cell>
          <cell r="AP90">
            <v>0.16484886257401055</v>
          </cell>
          <cell r="AQ90">
            <v>0.15431842694764786</v>
          </cell>
          <cell r="AR90">
            <v>0.12314225053078554</v>
          </cell>
          <cell r="AS90">
            <v>0.11314083677077202</v>
          </cell>
          <cell r="AT90">
            <v>5.7979334098737123E-2</v>
          </cell>
          <cell r="BA90">
            <v>2.2814814814814843E-2</v>
          </cell>
          <cell r="BB90">
            <v>-1.4868804664723068E-2</v>
          </cell>
          <cell r="BC90">
            <v>-6.3618290258449339E-2</v>
          </cell>
          <cell r="BD90">
            <v>-8.932150014314344E-2</v>
          </cell>
          <cell r="BE90">
            <v>-3.6905709530356767E-2</v>
          </cell>
          <cell r="BF90">
            <v>-0.22682502896871382</v>
          </cell>
          <cell r="BG90">
            <v>-0.23941994672980171</v>
          </cell>
          <cell r="BH90">
            <v>-0.25993327267212618</v>
          </cell>
          <cell r="BI90">
            <v>-0.24174787802577802</v>
          </cell>
          <cell r="BJ90">
            <v>-0.24179126906604553</v>
          </cell>
          <cell r="BK90">
            <v>-6.2944923192206792E-2</v>
          </cell>
          <cell r="BL90">
            <v>-5.8365758754863828E-2</v>
          </cell>
          <cell r="BM90">
            <v>-1.885245901639343E-2</v>
          </cell>
          <cell r="BN90">
            <v>-4.6849087893863994E-2</v>
          </cell>
          <cell r="BO90">
            <v>-4.7269844415816054E-2</v>
          </cell>
          <cell r="BP90">
            <v>-3.4786085565773672E-2</v>
          </cell>
          <cell r="BQ90">
            <v>-9.2975206611570216E-2</v>
          </cell>
          <cell r="BR90">
            <v>-0.1157059314954052</v>
          </cell>
          <cell r="BS90">
            <v>-5.2196607220530655E-2</v>
          </cell>
          <cell r="BT90">
            <v>-7.3746619513209932E-2</v>
          </cell>
          <cell r="BU90">
            <v>-5.5923777961888965E-2</v>
          </cell>
          <cell r="BV90">
            <v>1.5034168564920236E-2</v>
          </cell>
          <cell r="BW90">
            <v>4.4874822862541297E-2</v>
          </cell>
          <cell r="BX90">
            <v>3.3042680128499313E-2</v>
          </cell>
          <cell r="BY90">
            <v>7.2992700729928028E-3</v>
          </cell>
          <cell r="BZ90">
            <v>4.0368582711715728E-2</v>
          </cell>
          <cell r="CA90">
            <v>-1.9748653500897717E-2</v>
          </cell>
          <cell r="CB90">
            <v>-2.4412296564195302E-2</v>
          </cell>
          <cell r="CC90">
            <v>-2.4877832074633455E-2</v>
          </cell>
          <cell r="CD90">
            <v>-6.9119286510590516E-3</v>
          </cell>
          <cell r="CE90">
            <v>-3.8802193167439936E-2</v>
          </cell>
          <cell r="CF90">
            <v>2.0604395604395531E-2</v>
          </cell>
          <cell r="CG90">
            <v>4.8192771084337283E-2</v>
          </cell>
          <cell r="CH90">
            <v>3.0068337129840472E-2</v>
          </cell>
          <cell r="CI90">
            <v>1.3807813201616614E-2</v>
          </cell>
          <cell r="CJ90">
            <v>2.6327336551118963E-2</v>
          </cell>
          <cell r="CK90">
            <v>3.3198743831314381E-2</v>
          </cell>
          <cell r="CL90">
            <v>0</v>
          </cell>
          <cell r="CM90">
            <v>1.769128704113232E-2</v>
          </cell>
          <cell r="CN90">
            <v>1.9266969327870642E-2</v>
          </cell>
          <cell r="CO90">
            <v>3.8477982043608305E-2</v>
          </cell>
          <cell r="CP90">
            <v>-1.3026487190620495E-3</v>
          </cell>
          <cell r="CQ90">
            <v>1.1936339522546469E-2</v>
          </cell>
          <cell r="CR90">
            <v>2.2598870056497189E-2</v>
          </cell>
          <cell r="CS90">
            <v>1.8033677349266641E-2</v>
          </cell>
          <cell r="CT90">
            <v>2.5524907369287808E-2</v>
          </cell>
          <cell r="CU90">
            <v>6.7391304347826031E-2</v>
          </cell>
          <cell r="CV90">
            <v>6.0288335517693303E-2</v>
          </cell>
          <cell r="CW90">
            <v>7.3297337140529883E-2</v>
          </cell>
          <cell r="CX90">
            <v>5.6287336921530873E-2</v>
          </cell>
          <cell r="CY90">
            <v>6.7438980074248533E-2</v>
          </cell>
          <cell r="CZ90">
            <v>0.11187054523356843</v>
          </cell>
          <cell r="DA90">
            <v>0.11631753046850379</v>
          </cell>
          <cell r="DB90">
            <v>0.10118940845706792</v>
          </cell>
          <cell r="DC90">
            <v>9.9054313123197568E-2</v>
          </cell>
          <cell r="DD90">
            <v>4.3060290354330455E-2</v>
          </cell>
          <cell r="DE90">
            <v>3.2668726285691951E-2</v>
          </cell>
          <cell r="DF90">
            <v>3.1438663592909366E-2</v>
          </cell>
          <cell r="DG90">
            <v>3.3003075463946763E-2</v>
          </cell>
          <cell r="DH90">
            <v>3.4987725708524042E-2</v>
          </cell>
          <cell r="DI90">
            <v>5.5142392919380168E-2</v>
          </cell>
          <cell r="DJ90">
            <v>4.2211562114631285E-2</v>
          </cell>
          <cell r="DK90">
            <v>4.2067979261174226E-2</v>
          </cell>
          <cell r="DL90">
            <v>4.4647208812917283E-2</v>
          </cell>
          <cell r="DM90">
            <v>4.598251710754897E-2</v>
          </cell>
          <cell r="DN90">
            <v>4.842832685330567E-2</v>
          </cell>
          <cell r="DO90">
            <v>4.5887046864864001E-2</v>
          </cell>
          <cell r="DP90">
            <v>4.6068399794980674E-2</v>
          </cell>
          <cell r="DQ90">
            <v>4.4744809243228989E-2</v>
          </cell>
          <cell r="DR90">
            <v>4.6272282050588975E-2</v>
          </cell>
        </row>
        <row r="91">
          <cell r="B91" t="str">
            <v>Y/Y increase in inventories</v>
          </cell>
          <cell r="I91">
            <v>1.2227165711955212</v>
          </cell>
          <cell r="J91">
            <v>1.2828467153284673</v>
          </cell>
          <cell r="K91">
            <v>1.2947558770343583</v>
          </cell>
          <cell r="L91">
            <v>0.10344827586206895</v>
          </cell>
          <cell r="M91">
            <v>0.10344827586206895</v>
          </cell>
          <cell r="N91">
            <v>0.1000834028356965</v>
          </cell>
          <cell r="O91">
            <v>7.6738609112709799E-2</v>
          </cell>
          <cell r="P91">
            <v>0.46493301812450749</v>
          </cell>
          <cell r="Q91">
            <v>0.5078125</v>
          </cell>
          <cell r="R91">
            <v>0.5078125</v>
          </cell>
          <cell r="S91">
            <v>0.50871872630780879</v>
          </cell>
          <cell r="T91">
            <v>0.51447661469933204</v>
          </cell>
          <cell r="U91">
            <v>0.1350188273265196</v>
          </cell>
          <cell r="V91">
            <v>0.10880829015544036</v>
          </cell>
          <cell r="W91">
            <v>0.10880829015544036</v>
          </cell>
          <cell r="X91">
            <v>9.5477386934673447E-2</v>
          </cell>
          <cell r="Y91">
            <v>0.16176470588235303</v>
          </cell>
          <cell r="Z91">
            <v>0.15639810426540279</v>
          </cell>
          <cell r="AA91">
            <v>3.2710280373831724E-2</v>
          </cell>
          <cell r="AB91">
            <v>3.2710280373831724E-2</v>
          </cell>
          <cell r="AC91">
            <v>3.669724770642202E-2</v>
          </cell>
          <cell r="AD91">
            <v>-8.0168776371308037E-2</v>
          </cell>
          <cell r="AE91">
            <v>-0.10655737704918034</v>
          </cell>
          <cell r="AF91">
            <v>9.0497737556560764E-3</v>
          </cell>
          <cell r="AG91">
            <v>9.0497737556560764E-3</v>
          </cell>
          <cell r="AH91">
            <v>0</v>
          </cell>
          <cell r="AI91">
            <v>4.5871559633028358E-3</v>
          </cell>
          <cell r="AJ91">
            <v>4.5871559633028358E-3</v>
          </cell>
          <cell r="AK91">
            <v>-4.035874439461884E-2</v>
          </cell>
          <cell r="AL91">
            <v>-4.035874439461884E-2</v>
          </cell>
          <cell r="AM91">
            <v>-1.3274336283185861E-2</v>
          </cell>
          <cell r="AN91">
            <v>4.5662100456620447E-3</v>
          </cell>
          <cell r="AO91">
            <v>3.6529680365296802E-2</v>
          </cell>
          <cell r="AP91">
            <v>7.9439252336448662E-2</v>
          </cell>
          <cell r="AQ91">
            <v>7.9439252336448662E-2</v>
          </cell>
          <cell r="AR91">
            <v>5.3811659192825045E-2</v>
          </cell>
          <cell r="AS91">
            <v>7.2727272727272751E-2</v>
          </cell>
          <cell r="AT91">
            <v>6.6079295154185091E-2</v>
          </cell>
          <cell r="BA91" t="str">
            <v>nm</v>
          </cell>
          <cell r="BB91" t="str">
            <v>nm</v>
          </cell>
          <cell r="BC91" t="str">
            <v>nm</v>
          </cell>
          <cell r="BD91">
            <v>-7.0539419087136901E-2</v>
          </cell>
          <cell r="BE91">
            <v>-7.0539419087136901E-2</v>
          </cell>
          <cell r="BF91">
            <v>-0.16289592760180993</v>
          </cell>
          <cell r="BG91">
            <v>-0.15000000000000002</v>
          </cell>
          <cell r="BH91">
            <v>-0.1651785714285714</v>
          </cell>
          <cell r="BI91">
            <v>-0.1607142857142857</v>
          </cell>
          <cell r="BJ91">
            <v>-0.1607142857142857</v>
          </cell>
          <cell r="BK91">
            <v>2.7027027027026973E-2</v>
          </cell>
          <cell r="BL91">
            <v>3.2085561497326109E-2</v>
          </cell>
          <cell r="BM91">
            <v>0</v>
          </cell>
          <cell r="BN91">
            <v>1.0638297872340496E-2</v>
          </cell>
          <cell r="BO91">
            <v>1.0638297872340496E-2</v>
          </cell>
          <cell r="BP91">
            <v>2.1052631578947434E-2</v>
          </cell>
          <cell r="BQ91">
            <v>-9.8445595854922296E-2</v>
          </cell>
          <cell r="BR91">
            <v>-5.3475935828876997E-2</v>
          </cell>
          <cell r="BS91">
            <v>-3.157894736842104E-2</v>
          </cell>
          <cell r="BT91">
            <v>-3.157894736842104E-2</v>
          </cell>
          <cell r="BU91">
            <v>-7.2164948453608213E-2</v>
          </cell>
          <cell r="BV91">
            <v>5.7471264367816133E-2</v>
          </cell>
          <cell r="BW91">
            <v>2.2598870056497189E-2</v>
          </cell>
          <cell r="BX91">
            <v>-5.4347826086956763E-3</v>
          </cell>
          <cell r="BY91">
            <v>-5.4347826086956763E-3</v>
          </cell>
          <cell r="BZ91">
            <v>1.1111111111111072E-2</v>
          </cell>
          <cell r="CA91">
            <v>-7.6086956521739135E-2</v>
          </cell>
          <cell r="CB91">
            <v>-8.8397790055248615E-2</v>
          </cell>
          <cell r="CC91">
            <v>-0.1202185792349727</v>
          </cell>
          <cell r="CD91">
            <v>-0.1202185792349727</v>
          </cell>
          <cell r="CE91">
            <v>-0.13186813186813184</v>
          </cell>
          <cell r="CF91">
            <v>-9.4117647058823528E-2</v>
          </cell>
          <cell r="CG91">
            <v>-7.2727272727272751E-2</v>
          </cell>
          <cell r="CH91">
            <v>-4.9689440993788803E-2</v>
          </cell>
          <cell r="CI91">
            <v>-4.9689440993788803E-2</v>
          </cell>
          <cell r="CJ91">
            <v>-4.4303797468354444E-2</v>
          </cell>
          <cell r="CK91">
            <v>-1.2987012987012991E-2</v>
          </cell>
          <cell r="CL91">
            <v>-6.5359477124182774E-3</v>
          </cell>
          <cell r="CM91">
            <v>1.9607843137254832E-2</v>
          </cell>
          <cell r="CN91">
            <v>1.9607843137254832E-2</v>
          </cell>
          <cell r="CO91">
            <v>3.3112582781456901E-2</v>
          </cell>
          <cell r="CP91">
            <v>2.6315789473684292E-2</v>
          </cell>
          <cell r="CQ91">
            <v>3.289473684210531E-2</v>
          </cell>
          <cell r="CR91">
            <v>3.2051282051282159E-2</v>
          </cell>
          <cell r="CS91">
            <v>3.2051282051282159E-2</v>
          </cell>
          <cell r="CT91">
            <v>6.4102564102563875E-3</v>
          </cell>
          <cell r="CU91">
            <v>-1.2820512820512775E-2</v>
          </cell>
          <cell r="CV91">
            <v>-1.9108280254777066E-2</v>
          </cell>
          <cell r="CW91">
            <v>-7.3734917572454983E-2</v>
          </cell>
          <cell r="CX91">
            <v>-7.3734917572454983E-2</v>
          </cell>
          <cell r="CY91">
            <v>1.2003395120809834E-3</v>
          </cell>
          <cell r="CZ91">
            <v>-1.0632848074966672E-2</v>
          </cell>
          <cell r="DA91">
            <v>-5.3521080854146863E-2</v>
          </cell>
          <cell r="DB91">
            <v>-1.7659717050961254E-2</v>
          </cell>
          <cell r="DC91">
            <v>-1.7659717050961254E-2</v>
          </cell>
          <cell r="DD91">
            <v>1.8184423023707375E-2</v>
          </cell>
          <cell r="DE91">
            <v>2.2068402966491929E-2</v>
          </cell>
          <cell r="DF91">
            <v>2.5967572848715426E-2</v>
          </cell>
          <cell r="DG91">
            <v>2.551195438965137E-2</v>
          </cell>
          <cell r="DH91">
            <v>2.551195438965137E-2</v>
          </cell>
          <cell r="DI91">
            <v>3.3136270677256441E-2</v>
          </cell>
          <cell r="DJ91">
            <v>2.7071779410523966E-2</v>
          </cell>
          <cell r="DK91">
            <v>2.716046153485796E-2</v>
          </cell>
          <cell r="DL91">
            <v>2.8157412131594395E-2</v>
          </cell>
          <cell r="DM91">
            <v>2.8157412131594395E-2</v>
          </cell>
          <cell r="DN91">
            <v>3.6472356588410637E-2</v>
          </cell>
          <cell r="DO91">
            <v>4.4597187761376222E-2</v>
          </cell>
          <cell r="DP91">
            <v>4.5100183817665673E-2</v>
          </cell>
          <cell r="DQ91">
            <v>4.3910940253368835E-2</v>
          </cell>
          <cell r="DR91">
            <v>4.3910940253368835E-2</v>
          </cell>
        </row>
        <row r="92">
          <cell r="B92" t="str">
            <v>Ratio</v>
          </cell>
          <cell r="I92">
            <v>0.76631234970244999</v>
          </cell>
          <cell r="J92">
            <v>0.89336870073778107</v>
          </cell>
          <cell r="K92">
            <v>0.90202572116096225</v>
          </cell>
          <cell r="L92">
            <v>0.83012566393654996</v>
          </cell>
          <cell r="M92">
            <v>6.528933092224233</v>
          </cell>
          <cell r="N92">
            <v>1.2039183996676774</v>
          </cell>
          <cell r="O92">
            <v>0.99999088190239949</v>
          </cell>
          <cell r="P92">
            <v>1.2091851409943646</v>
          </cell>
          <cell r="Q92">
            <v>2.764787694815543</v>
          </cell>
          <cell r="R92">
            <v>1.1094856573539791</v>
          </cell>
          <cell r="S92">
            <v>1.2193876187376247</v>
          </cell>
          <cell r="T92">
            <v>1.2547751460426753</v>
          </cell>
          <cell r="U92">
            <v>1.0830278955704735</v>
          </cell>
          <cell r="V92">
            <v>-2.5145666335698547</v>
          </cell>
          <cell r="W92">
            <v>1.2731944923867613</v>
          </cell>
          <cell r="X92">
            <v>0.99749373433583988</v>
          </cell>
          <cell r="Y92">
            <v>0.34103072719787425</v>
          </cell>
          <cell r="Z92">
            <v>0.64338391717486898</v>
          </cell>
          <cell r="AA92">
            <v>4.4115130299494423</v>
          </cell>
          <cell r="AB92">
            <v>3.0432397314661119</v>
          </cell>
          <cell r="AC92">
            <v>3.4155895025460219</v>
          </cell>
          <cell r="AD92">
            <v>-1.0561020186048424</v>
          </cell>
          <cell r="AE92">
            <v>-9.3114539606389768E-2</v>
          </cell>
          <cell r="AF92">
            <v>-1.1643439836845721</v>
          </cell>
          <cell r="AG92">
            <v>5.4234375000000181</v>
          </cell>
          <cell r="AH92" t="str">
            <v>nm</v>
          </cell>
          <cell r="AI92">
            <v>10.586330935251588</v>
          </cell>
          <cell r="AJ92">
            <v>14.227368421052388</v>
          </cell>
          <cell r="AK92">
            <v>-2.536509027062102</v>
          </cell>
          <cell r="AL92">
            <v>-1.3871561240581765</v>
          </cell>
          <cell r="AM92">
            <v>-10.520106002995725</v>
          </cell>
          <cell r="AN92">
            <v>35.986620926244015</v>
          </cell>
          <cell r="AO92">
            <v>4.0395256916996081</v>
          </cell>
          <cell r="AP92">
            <v>2.0751562700493076</v>
          </cell>
          <cell r="AQ92">
            <v>1.9425966686350951</v>
          </cell>
          <cell r="AR92">
            <v>2.288393489030434</v>
          </cell>
          <cell r="AS92">
            <v>1.5556865055981148</v>
          </cell>
          <cell r="AT92">
            <v>0.87742058936088752</v>
          </cell>
          <cell r="BA92" t="str">
            <v>nm</v>
          </cell>
          <cell r="BB92" t="str">
            <v>nm</v>
          </cell>
          <cell r="BC92" t="str">
            <v>nm</v>
          </cell>
          <cell r="BD92">
            <v>1.2662636196763282</v>
          </cell>
          <cell r="BE92">
            <v>0.52319270569505794</v>
          </cell>
          <cell r="BF92">
            <v>1.3924536500579379</v>
          </cell>
          <cell r="BG92">
            <v>1.5961329781986779</v>
          </cell>
          <cell r="BH92">
            <v>1.5736500832042237</v>
          </cell>
          <cell r="BI92">
            <v>1.5042090188270634</v>
          </cell>
          <cell r="BJ92">
            <v>1.5044790075220613</v>
          </cell>
          <cell r="BK92">
            <v>-2.328962158111656</v>
          </cell>
          <cell r="BL92">
            <v>-1.8190661478599279</v>
          </cell>
          <cell r="BM92" t="str">
            <v>nm</v>
          </cell>
          <cell r="BN92">
            <v>-4.4038142620231859</v>
          </cell>
          <cell r="BO92">
            <v>-4.4433653750866791</v>
          </cell>
          <cell r="BP92">
            <v>-1.6523390643742444</v>
          </cell>
          <cell r="BQ92">
            <v>0.94443236189647628</v>
          </cell>
          <cell r="BR92">
            <v>2.1637009189640777</v>
          </cell>
          <cell r="BS92">
            <v>1.6528925619834713</v>
          </cell>
          <cell r="BT92">
            <v>2.3353096179183153</v>
          </cell>
          <cell r="BU92">
            <v>0.77494378032903322</v>
          </cell>
          <cell r="BV92">
            <v>0.26159453302961194</v>
          </cell>
          <cell r="BW92">
            <v>1.9857109116674512</v>
          </cell>
          <cell r="BX92">
            <v>-6.079853143643847</v>
          </cell>
          <cell r="BY92">
            <v>-1.3430656934306697</v>
          </cell>
          <cell r="BZ92">
            <v>3.6331724440544284</v>
          </cell>
          <cell r="CA92">
            <v>0.25955373172608426</v>
          </cell>
          <cell r="CB92">
            <v>0.27616410488245935</v>
          </cell>
          <cell r="CC92">
            <v>0.20693833043899643</v>
          </cell>
          <cell r="CD92">
            <v>5.7494679233809375E-2</v>
          </cell>
          <cell r="CE92">
            <v>0.29424996485308624</v>
          </cell>
          <cell r="CF92">
            <v>-0.21892170329670252</v>
          </cell>
          <cell r="CG92">
            <v>-0.66265060240963747</v>
          </cell>
          <cell r="CH92">
            <v>-0.60512528473803973</v>
          </cell>
          <cell r="CI92">
            <v>-0.27788224068253448</v>
          </cell>
          <cell r="CJ92">
            <v>-0.59424559643954211</v>
          </cell>
          <cell r="CK92">
            <v>-2.5563032750112065</v>
          </cell>
          <cell r="CL92">
            <v>0</v>
          </cell>
          <cell r="CM92">
            <v>0.90225563909775153</v>
          </cell>
          <cell r="CN92">
            <v>0.98261543572140619</v>
          </cell>
          <cell r="CO92">
            <v>1.1620350577169727</v>
          </cell>
          <cell r="CP92">
            <v>-4.9500651324357728E-2</v>
          </cell>
          <cell r="CQ92">
            <v>0.36286472148541216</v>
          </cell>
          <cell r="CR92">
            <v>0.70508474576270996</v>
          </cell>
          <cell r="CS92">
            <v>0.56265073329711734</v>
          </cell>
          <cell r="CT92">
            <v>3.9818855496089123</v>
          </cell>
          <cell r="CU92">
            <v>-5.2565217391304495</v>
          </cell>
          <cell r="CV92">
            <v>-3.1550895587592835</v>
          </cell>
          <cell r="CW92">
            <v>-0.99406549235651998</v>
          </cell>
          <cell r="CX92">
            <v>-0.76337424350167071</v>
          </cell>
          <cell r="CY92">
            <v>56.183254317215727</v>
          </cell>
          <cell r="CZ92">
            <v>-10.521221073114889</v>
          </cell>
          <cell r="DA92">
            <v>-2.1733030912713978</v>
          </cell>
          <cell r="DB92">
            <v>-5.7299563840724153</v>
          </cell>
          <cell r="DC92">
            <v>-5.60905437144622</v>
          </cell>
          <cell r="DD92">
            <v>2.3679767182160218</v>
          </cell>
          <cell r="DE92">
            <v>1.4803393945314154</v>
          </cell>
          <cell r="DF92">
            <v>1.210689338432513</v>
          </cell>
          <cell r="DG92">
            <v>1.2936317994255304</v>
          </cell>
          <cell r="DH92">
            <v>1.3714247514771509</v>
          </cell>
          <cell r="DI92">
            <v>1.6641098045238973</v>
          </cell>
          <cell r="DJ92">
            <v>1.5592459392684705</v>
          </cell>
          <cell r="DK92">
            <v>1.5488683506789396</v>
          </cell>
          <cell r="DL92">
            <v>1.5856289848036245</v>
          </cell>
          <cell r="DM92">
            <v>1.6330519613325432</v>
          </cell>
          <cell r="DN92">
            <v>1.3278090966212512</v>
          </cell>
          <cell r="DO92">
            <v>1.0289224313961085</v>
          </cell>
          <cell r="DP92">
            <v>1.0214681159888255</v>
          </cell>
          <cell r="DQ92">
            <v>1.018990005339186</v>
          </cell>
          <cell r="DR92">
            <v>1.053775705634975</v>
          </cell>
        </row>
        <row r="94">
          <cell r="B94" t="str">
            <v>Inventory turnover</v>
          </cell>
          <cell r="E94">
            <v>5.7750843732470143</v>
          </cell>
          <cell r="F94">
            <v>6.1713593702694522</v>
          </cell>
          <cell r="G94">
            <v>12.449300743673696</v>
          </cell>
          <cell r="H94">
            <v>6.1704809618522871</v>
          </cell>
          <cell r="I94">
            <v>6.0272591555006718</v>
          </cell>
          <cell r="J94">
            <v>6.106840098676833</v>
          </cell>
          <cell r="K94">
            <v>6.455026455026454</v>
          </cell>
          <cell r="L94">
            <v>6.1541148331413948</v>
          </cell>
          <cell r="M94">
            <v>6.2023055690858913</v>
          </cell>
          <cell r="N94">
            <v>5.8312561687605609</v>
          </cell>
          <cell r="O94">
            <v>6.1413567677633685</v>
          </cell>
          <cell r="P94">
            <v>7.9820822069730353</v>
          </cell>
          <cell r="Q94">
            <v>10.186007550460717</v>
          </cell>
          <cell r="R94">
            <v>7.7375565610859738</v>
          </cell>
          <cell r="S94">
            <v>6.4976153504880214</v>
          </cell>
          <cell r="T94">
            <v>6.5688653777983799</v>
          </cell>
          <cell r="U94">
            <v>7.1338688085676027</v>
          </cell>
          <cell r="V94">
            <v>6.7025575447570338</v>
          </cell>
          <cell r="W94">
            <v>6.7335945151811956</v>
          </cell>
          <cell r="X94">
            <v>6.4286433172302742</v>
          </cell>
          <cell r="Y94">
            <v>6.188383045525903</v>
          </cell>
          <cell r="Z94">
            <v>6.7957957957957955</v>
          </cell>
          <cell r="AA94">
            <v>7.1839644693782141</v>
          </cell>
          <cell r="AB94">
            <v>6.7239858906525569</v>
          </cell>
          <cell r="AC94">
            <v>7.304127639698109</v>
          </cell>
          <cell r="AD94">
            <v>6.9921294921294921</v>
          </cell>
          <cell r="AE94">
            <v>7.4599898063200811</v>
          </cell>
          <cell r="AF94">
            <v>7.1196937556384565</v>
          </cell>
          <cell r="AG94">
            <v>7.2106690777576858</v>
          </cell>
          <cell r="AH94">
            <v>7.1395371356637938</v>
          </cell>
          <cell r="AI94">
            <v>7.3009013458451664</v>
          </cell>
          <cell r="AJ94">
            <v>7.7777777777777768</v>
          </cell>
          <cell r="AK94">
            <v>8.2096596043779506</v>
          </cell>
          <cell r="AL94">
            <v>7.6158038147138969</v>
          </cell>
          <cell r="AM94">
            <v>8.4613471296388418</v>
          </cell>
          <cell r="AN94">
            <v>8.5652270979584753</v>
          </cell>
          <cell r="AO94">
            <v>9.0002485707183695</v>
          </cell>
          <cell r="AP94">
            <v>9.095547750142396</v>
          </cell>
          <cell r="AQ94">
            <v>8.7892376681614355</v>
          </cell>
          <cell r="AR94">
            <v>9.0075107296137329</v>
          </cell>
          <cell r="AS94">
            <v>9.1290450526119304</v>
          </cell>
          <cell r="AT94">
            <v>9.468619246861925</v>
          </cell>
          <cell r="BA94">
            <v>9.2522847522847531</v>
          </cell>
          <cell r="BB94">
            <v>9.549973835688121</v>
          </cell>
          <cell r="BC94">
            <v>9.3108597728162934</v>
          </cell>
          <cell r="BD94">
            <v>9.4402659161490678</v>
          </cell>
          <cell r="BE94">
            <v>9.3185840707964598</v>
          </cell>
          <cell r="BF94">
            <v>8.8306510115801071</v>
          </cell>
          <cell r="BG94">
            <v>9.4494859978730954</v>
          </cell>
          <cell r="BH94">
            <v>8.998953731690305</v>
          </cell>
          <cell r="BI94">
            <v>9.4205217391304341</v>
          </cell>
          <cell r="BJ94">
            <v>9.0267765190525235</v>
          </cell>
          <cell r="BK94">
            <v>9.8062904174015291</v>
          </cell>
          <cell r="BL94">
            <v>9.3624652110291784</v>
          </cell>
          <cell r="BM94">
            <v>9.3129290617848977</v>
          </cell>
          <cell r="BN94">
            <v>8.9239995386921915</v>
          </cell>
          <cell r="BO94">
            <v>9.3565400843881861</v>
          </cell>
          <cell r="BP94">
            <v>9.484085648148147</v>
          </cell>
          <cell r="BQ94">
            <v>8.6759436215957955</v>
          </cell>
          <cell r="BR94">
            <v>8.7260002477393783</v>
          </cell>
          <cell r="BS94">
            <v>8.6161628327110691</v>
          </cell>
          <cell r="BT94">
            <v>8.8411316648531013</v>
          </cell>
          <cell r="BU94">
            <v>9.0915750915750912</v>
          </cell>
          <cell r="BV94">
            <v>8.7933220625528321</v>
          </cell>
          <cell r="BW94">
            <v>8.3260869565217401</v>
          </cell>
          <cell r="BX94">
            <v>8.8503344481605364</v>
          </cell>
          <cell r="BY94">
            <v>8.75</v>
          </cell>
          <cell r="BZ94">
            <v>9.2560590094836659</v>
          </cell>
          <cell r="CA94">
            <v>8.9580419580419566</v>
          </cell>
          <cell r="CB94">
            <v>9.025308241401687</v>
          </cell>
          <cell r="CC94">
            <v>9.4697252600693513</v>
          </cell>
          <cell r="CD94">
            <v>9.175377468060395</v>
          </cell>
          <cell r="CE94">
            <v>10.043538836642284</v>
          </cell>
          <cell r="CF94">
            <v>10.156029867568328</v>
          </cell>
          <cell r="CG94">
            <v>10.054170797337488</v>
          </cell>
          <cell r="CH94">
            <v>10.216680875248651</v>
          </cell>
          <cell r="CI94">
            <v>10.096277278562258</v>
          </cell>
          <cell r="CJ94">
            <v>10.619152046783624</v>
          </cell>
          <cell r="CK94">
            <v>10.457694121060456</v>
          </cell>
          <cell r="CL94">
            <v>10.179490846681922</v>
          </cell>
          <cell r="CM94">
            <v>10.15033879164314</v>
          </cell>
          <cell r="CN94">
            <v>10.320680628272251</v>
          </cell>
          <cell r="CO94">
            <v>10.294871794871794</v>
          </cell>
          <cell r="CP94">
            <v>10.078895463510849</v>
          </cell>
          <cell r="CQ94">
            <v>9.6079316571746087</v>
          </cell>
          <cell r="CR94">
            <v>9.5067678424938489</v>
          </cell>
          <cell r="CS94">
            <v>9.8473282442748094</v>
          </cell>
          <cell r="CT94">
            <v>10.09288824383164</v>
          </cell>
          <cell r="CU94">
            <v>10.061411257552736</v>
          </cell>
          <cell r="CV94">
            <v>2.3884810841332582</v>
          </cell>
          <cell r="CW94">
            <v>10.003286861994194</v>
          </cell>
          <cell r="CX94">
            <v>9.9667749727343935</v>
          </cell>
          <cell r="CY94">
            <v>10.858082050669822</v>
          </cell>
          <cell r="CZ94">
            <v>10.414772057069337</v>
          </cell>
          <cell r="DA94">
            <v>10.345319054534228</v>
          </cell>
          <cell r="DB94">
            <v>10.606402771369369</v>
          </cell>
          <cell r="DC94">
            <v>10.595369960232986</v>
          </cell>
          <cell r="DD94">
            <v>11.209884217326683</v>
          </cell>
          <cell r="DE94">
            <v>10.588362628666017</v>
          </cell>
          <cell r="DF94">
            <v>10.517885405917767</v>
          </cell>
          <cell r="DG94">
            <v>10.759995066977925</v>
          </cell>
          <cell r="DH94">
            <v>10.836691801318706</v>
          </cell>
          <cell r="DI94">
            <v>11.417462628759333</v>
          </cell>
          <cell r="DJ94">
            <v>10.714332799600014</v>
          </cell>
          <cell r="DK94">
            <v>10.675338942256781</v>
          </cell>
          <cell r="DL94">
            <v>10.925876946462827</v>
          </cell>
          <cell r="DM94">
            <v>11.005271260469911</v>
          </cell>
          <cell r="DN94">
            <v>11.49263398710157</v>
          </cell>
          <cell r="DO94">
            <v>10.786332527760093</v>
          </cell>
          <cell r="DP94">
            <v>10.707215153182933</v>
          </cell>
          <cell r="DQ94">
            <v>10.94959123873868</v>
          </cell>
          <cell r="DR94">
            <v>11.0659324115513</v>
          </cell>
        </row>
        <row r="95">
          <cell r="B95" t="str">
            <v>Ending days of inventory in stock (DIOs)</v>
          </cell>
          <cell r="D95" t="str">
            <v>nm</v>
          </cell>
          <cell r="E95">
            <v>63.526114649681524</v>
          </cell>
          <cell r="F95">
            <v>59.25</v>
          </cell>
          <cell r="G95">
            <v>39.599257884972168</v>
          </cell>
          <cell r="H95">
            <v>97.740740740740748</v>
          </cell>
          <cell r="I95">
            <v>61.728035814213769</v>
          </cell>
          <cell r="J95">
            <v>61.204838709677425</v>
          </cell>
          <cell r="K95">
            <v>57.105000000000004</v>
          </cell>
          <cell r="L95">
            <v>59.729051680883103</v>
          </cell>
          <cell r="M95">
            <v>61.319371727748695</v>
          </cell>
          <cell r="N95">
            <v>63.532984293193721</v>
          </cell>
          <cell r="O95">
            <v>60.057324840764323</v>
          </cell>
          <cell r="P95">
            <v>53.030110935023778</v>
          </cell>
          <cell r="Q95">
            <v>36.504934210526315</v>
          </cell>
          <cell r="R95">
            <v>58.85129490392648</v>
          </cell>
          <cell r="S95">
            <v>57.034267912772584</v>
          </cell>
          <cell r="T95">
            <v>56.25454545454545</v>
          </cell>
          <cell r="U95">
            <v>52.027397260273972</v>
          </cell>
          <cell r="V95">
            <v>54.841225626740943</v>
          </cell>
          <cell r="W95">
            <v>56.807272727272725</v>
          </cell>
          <cell r="X95">
            <v>57.302857142857142</v>
          </cell>
          <cell r="Y95">
            <v>61.44444444444445</v>
          </cell>
          <cell r="Z95">
            <v>54.49131513647643</v>
          </cell>
          <cell r="AA95">
            <v>48.294536817102134</v>
          </cell>
          <cell r="AB95">
            <v>52.895081967213116</v>
          </cell>
          <cell r="AC95">
            <v>50.530712530712535</v>
          </cell>
          <cell r="AD95">
            <v>51.260981912144707</v>
          </cell>
          <cell r="AE95">
            <v>48.927680798004985</v>
          </cell>
          <cell r="AF95">
            <v>51.847499999999997</v>
          </cell>
          <cell r="AG95">
            <v>51.031347962382441</v>
          </cell>
          <cell r="AH95">
            <v>51.46534653465347</v>
          </cell>
          <cell r="AI95">
            <v>49.207407407407409</v>
          </cell>
          <cell r="AJ95">
            <v>46.928571428571431</v>
          </cell>
          <cell r="AK95">
            <v>43.946428571428577</v>
          </cell>
          <cell r="AL95">
            <v>46.577221228384019</v>
          </cell>
          <cell r="AM95">
            <v>44.025751072961377</v>
          </cell>
          <cell r="AN95">
            <v>42.325581395348834</v>
          </cell>
          <cell r="AO95">
            <v>41.189516129032256</v>
          </cell>
          <cell r="AP95">
            <v>40.479999999999997</v>
          </cell>
          <cell r="AQ95">
            <v>43.017857142857139</v>
          </cell>
          <cell r="AR95">
            <v>40.869565217391305</v>
          </cell>
          <cell r="AS95">
            <v>40.067164179104481</v>
          </cell>
          <cell r="AT95">
            <v>39.032258064516128</v>
          </cell>
          <cell r="AZ95">
            <v>52.665083135391924</v>
          </cell>
          <cell r="BA95">
            <v>37.741935483870968</v>
          </cell>
          <cell r="BB95">
            <v>38.133333333333333</v>
          </cell>
          <cell r="BC95">
            <v>39.554702495201532</v>
          </cell>
          <cell r="BD95">
            <v>38.664165103189497</v>
          </cell>
          <cell r="BE95">
            <v>38.822412155745489</v>
          </cell>
          <cell r="BF95">
            <v>37.494432071269486</v>
          </cell>
          <cell r="BG95">
            <v>38.940503432494282</v>
          </cell>
          <cell r="BH95">
            <v>40.671394799054376</v>
          </cell>
          <cell r="BI95">
            <v>38.954954954954957</v>
          </cell>
          <cell r="BJ95">
            <v>39.251568739304048</v>
          </cell>
          <cell r="BK95">
            <v>37.417943107221006</v>
          </cell>
          <cell r="BL95">
            <v>39.290827740492169</v>
          </cell>
          <cell r="BM95">
            <v>38.573991031390136</v>
          </cell>
          <cell r="BN95">
            <v>41.226415094339622</v>
          </cell>
          <cell r="BP95">
            <v>38.886414253897549</v>
          </cell>
          <cell r="BQ95">
            <v>39.78391959798995</v>
          </cell>
          <cell r="BR95">
            <v>42.186528497409327</v>
          </cell>
          <cell r="BS95">
            <v>43.183673469387756</v>
          </cell>
          <cell r="BU95">
            <v>39.705882352941174</v>
          </cell>
          <cell r="BV95">
            <v>41.964912280701753</v>
          </cell>
          <cell r="BW95">
            <v>43.477806788511749</v>
          </cell>
          <cell r="BX95">
            <v>41.467980295566505</v>
          </cell>
          <cell r="BZ95">
            <v>39.433333333333337</v>
          </cell>
          <cell r="CA95">
            <v>39.464285714285715</v>
          </cell>
          <cell r="CB95">
            <v>39.94736842105263</v>
          </cell>
          <cell r="CC95">
            <v>38.175257731958766</v>
          </cell>
          <cell r="CE95">
            <v>36</v>
          </cell>
          <cell r="CF95">
            <v>35.478481012658229</v>
          </cell>
          <cell r="CG95">
            <v>36.185089974293057</v>
          </cell>
          <cell r="CH95">
            <v>35.725888324873097</v>
          </cell>
          <cell r="CJ95">
            <v>34.145728643216081</v>
          </cell>
          <cell r="CK95">
            <v>35.017721518987344</v>
          </cell>
          <cell r="CL95">
            <v>35.856410256410257</v>
          </cell>
          <cell r="CM95">
            <v>36.426395939086298</v>
          </cell>
          <cell r="CN95">
            <v>35.361564089424995</v>
          </cell>
          <cell r="CO95">
            <v>35.454545454545453</v>
          </cell>
          <cell r="CP95">
            <v>36.214285714285715</v>
          </cell>
          <cell r="CQ95">
            <v>38.110817941952504</v>
          </cell>
          <cell r="CR95">
            <v>38.876640419947506</v>
          </cell>
          <cell r="CS95">
            <v>37.961886304909562</v>
          </cell>
          <cell r="CT95">
            <v>35.807017543859644</v>
          </cell>
          <cell r="CU95">
            <v>36.025706940874038</v>
          </cell>
          <cell r="CV95">
            <v>37.680851063829785</v>
          </cell>
          <cell r="CW95">
            <v>36</v>
          </cell>
          <cell r="CX95">
            <v>35.325132557988525</v>
          </cell>
          <cell r="CY95">
            <v>34.5</v>
          </cell>
          <cell r="CZ95">
            <v>34.5</v>
          </cell>
          <cell r="DA95">
            <v>34.5</v>
          </cell>
          <cell r="DB95">
            <v>34.5</v>
          </cell>
          <cell r="DC95">
            <v>33.602295344060352</v>
          </cell>
          <cell r="DD95">
            <v>34</v>
          </cell>
          <cell r="DE95">
            <v>34</v>
          </cell>
          <cell r="DF95">
            <v>34</v>
          </cell>
          <cell r="DG95">
            <v>34</v>
          </cell>
          <cell r="DH95">
            <v>33.200990004190821</v>
          </cell>
          <cell r="DI95">
            <v>33.5</v>
          </cell>
          <cell r="DJ95">
            <v>33.5</v>
          </cell>
          <cell r="DK95">
            <v>33.5</v>
          </cell>
          <cell r="DL95">
            <v>33.5</v>
          </cell>
          <cell r="DM95">
            <v>32.688611890711876</v>
          </cell>
          <cell r="DN95">
            <v>33.5</v>
          </cell>
          <cell r="DO95">
            <v>33.5</v>
          </cell>
          <cell r="DP95">
            <v>33.5</v>
          </cell>
          <cell r="DQ95">
            <v>33.5</v>
          </cell>
          <cell r="DR95">
            <v>32.730699277092157</v>
          </cell>
        </row>
        <row r="97">
          <cell r="B97" t="str">
            <v>Accounts Payable Analysis</v>
          </cell>
        </row>
        <row r="98">
          <cell r="B98" t="str">
            <v>Accounts payable turnover</v>
          </cell>
          <cell r="E98">
            <v>6.2996350390727027</v>
          </cell>
          <cell r="F98">
            <v>7.1338878543347821</v>
          </cell>
          <cell r="G98">
            <v>11.842837434916115</v>
          </cell>
          <cell r="H98">
            <v>5.2660994076854104</v>
          </cell>
          <cell r="I98">
            <v>5.9338738764124086</v>
          </cell>
          <cell r="J98">
            <v>7.3775747338354218</v>
          </cell>
          <cell r="K98">
            <v>7.4799711815561958</v>
          </cell>
          <cell r="L98">
            <v>6.1636839280274272</v>
          </cell>
          <cell r="M98">
            <v>6.3643390878639519</v>
          </cell>
          <cell r="N98">
            <v>5.807513266921144</v>
          </cell>
          <cell r="O98">
            <v>7.1626755397191344</v>
          </cell>
          <cell r="P98">
            <v>9.3298545070308059</v>
          </cell>
          <cell r="Q98">
            <v>9.9748709466337093</v>
          </cell>
          <cell r="R98">
            <v>7.8638253638253639</v>
          </cell>
          <cell r="S98">
            <v>6.0753031928058743</v>
          </cell>
          <cell r="T98">
            <v>6.8227328227328226</v>
          </cell>
          <cell r="U98">
            <v>7.0771848924022827</v>
          </cell>
          <cell r="V98">
            <v>6.0791209592186313</v>
          </cell>
          <cell r="W98">
            <v>6.3275798751377152</v>
          </cell>
          <cell r="X98">
            <v>6.1155558007798136</v>
          </cell>
          <cell r="Y98">
            <v>6.6093961645398158</v>
          </cell>
          <cell r="Z98">
            <v>6.8768115942028984</v>
          </cell>
          <cell r="AA98">
            <v>6.1662923150970643</v>
          </cell>
          <cell r="AB98">
            <v>6.2552571983176959</v>
          </cell>
          <cell r="AC98">
            <v>6.3051647514709206</v>
          </cell>
          <cell r="AD98">
            <v>6.5973279832200991</v>
          </cell>
          <cell r="AE98">
            <v>6.787121003938811</v>
          </cell>
          <cell r="AF98">
            <v>6.6404364969272027</v>
          </cell>
          <cell r="AG98">
            <v>6.443540819518299</v>
          </cell>
          <cell r="AH98">
            <v>6.4875581077385842</v>
          </cell>
          <cell r="AI98">
            <v>6.4447965296076326</v>
          </cell>
          <cell r="AJ98">
            <v>6.2361513687600647</v>
          </cell>
          <cell r="AK98">
            <v>6.1835831570164199</v>
          </cell>
          <cell r="AL98">
            <v>6.2445287423402398</v>
          </cell>
          <cell r="AM98">
            <v>5.8151484219819025</v>
          </cell>
          <cell r="AN98">
            <v>5.7914280233482236</v>
          </cell>
          <cell r="AO98">
            <v>5.8844334772774003</v>
          </cell>
          <cell r="AP98">
            <v>5.7533838064170597</v>
          </cell>
          <cell r="AQ98">
            <v>5.7430972388955581</v>
          </cell>
          <cell r="AR98">
            <v>5.145436252232698</v>
          </cell>
          <cell r="AS98">
            <v>5.5972433523453926</v>
          </cell>
          <cell r="AT98">
            <v>6.2967836257309937</v>
          </cell>
          <cell r="BA98">
            <v>5.548071072167458</v>
          </cell>
          <cell r="BB98">
            <v>5.5748167004284461</v>
          </cell>
          <cell r="BC98">
            <v>5.6804311207675218</v>
          </cell>
          <cell r="BD98">
            <v>5.2941279763995217</v>
          </cell>
          <cell r="BE98">
            <v>5.4865041358293425</v>
          </cell>
          <cell r="BF98">
            <v>4.3221256355584714</v>
          </cell>
          <cell r="BG98">
            <v>4.8346854064420084</v>
          </cell>
          <cell r="BH98">
            <v>4.608387295713845</v>
          </cell>
          <cell r="BI98">
            <v>4.4800235017626324</v>
          </cell>
          <cell r="BJ98">
            <v>4.4783573806881245</v>
          </cell>
          <cell r="BK98">
            <v>4.66471848821352</v>
          </cell>
          <cell r="BL98">
            <v>5.2528630789500355</v>
          </cell>
          <cell r="BM98">
            <v>5.1192145862552598</v>
          </cell>
          <cell r="BN98">
            <v>4.6711678736698996</v>
          </cell>
          <cell r="BO98">
            <v>4.7722613065326636</v>
          </cell>
          <cell r="BP98">
            <v>4.8924950670204801</v>
          </cell>
          <cell r="BQ98">
            <v>4.6712233764933835</v>
          </cell>
          <cell r="BR98">
            <v>4.7240858047797296</v>
          </cell>
          <cell r="BS98">
            <v>4.7692000456464685</v>
          </cell>
          <cell r="BT98">
            <v>4.7240571063285746</v>
          </cell>
          <cell r="BU98">
            <v>5.2420662497104464</v>
          </cell>
          <cell r="BV98">
            <v>5.7001497736566646</v>
          </cell>
          <cell r="BW98">
            <v>5.5400788659618589</v>
          </cell>
          <cell r="BX98">
            <v>5.1965266484612318</v>
          </cell>
          <cell r="BY98">
            <v>5.1598877980364657</v>
          </cell>
          <cell r="BZ98">
            <v>5.4195655724318144</v>
          </cell>
          <cell r="CA98">
            <v>5.6736367081194672</v>
          </cell>
          <cell r="CB98">
            <v>5.5165217391304351</v>
          </cell>
          <cell r="CC98">
            <v>5.2097710628752392</v>
          </cell>
          <cell r="CD98">
            <v>5.3187192118226605</v>
          </cell>
          <cell r="CE98">
            <v>5.2940785096473721</v>
          </cell>
          <cell r="CF98">
            <v>5.4850591049329216</v>
          </cell>
          <cell r="CG98">
            <v>5.5278143173636112</v>
          </cell>
          <cell r="CH98">
            <v>5.030548451264564</v>
          </cell>
          <cell r="CI98">
            <v>5.14054054054054</v>
          </cell>
          <cell r="CJ98">
            <v>5.1817659609387823</v>
          </cell>
          <cell r="CK98">
            <v>5.8240864826230681</v>
          </cell>
          <cell r="CL98">
            <v>5.8401566075514877</v>
          </cell>
          <cell r="CM98">
            <v>5.1777309679755135</v>
          </cell>
          <cell r="CN98">
            <v>5.2593516209476308</v>
          </cell>
          <cell r="CO98">
            <v>5.2979054164621173</v>
          </cell>
          <cell r="CP98">
            <v>5.7665976196327637</v>
          </cell>
          <cell r="CQ98">
            <v>5.7835181363461476</v>
          </cell>
          <cell r="CR98">
            <v>4.998513162425267</v>
          </cell>
          <cell r="CS98">
            <v>5.1948556175685514</v>
          </cell>
          <cell r="CT98">
            <v>5.3434850863422287</v>
          </cell>
          <cell r="CU98">
            <v>5.7823765020026698</v>
          </cell>
          <cell r="CV98">
            <v>1.4062980293042797</v>
          </cell>
          <cell r="CW98">
            <v>5.5687155960751697</v>
          </cell>
          <cell r="CX98">
            <v>5.4560760513524995</v>
          </cell>
          <cell r="CY98">
            <v>5.8318961562416192</v>
          </cell>
          <cell r="CZ98">
            <v>5.5793168989734863</v>
          </cell>
          <cell r="DA98">
            <v>5.5609556134294635</v>
          </cell>
          <cell r="DB98">
            <v>5.5865451313079797</v>
          </cell>
          <cell r="DC98">
            <v>5.6850821679793118</v>
          </cell>
          <cell r="DD98">
            <v>5.8453495202892078</v>
          </cell>
          <cell r="DE98">
            <v>5.5877221662874268</v>
          </cell>
          <cell r="DF98">
            <v>5.5699398208752404</v>
          </cell>
          <cell r="DG98">
            <v>5.5843286833284527</v>
          </cell>
          <cell r="DH98">
            <v>5.6911333897957528</v>
          </cell>
          <cell r="DI98">
            <v>5.878528721338812</v>
          </cell>
          <cell r="DJ98">
            <v>5.565455880001843</v>
          </cell>
          <cell r="DK98">
            <v>5.5663376629005059</v>
          </cell>
          <cell r="DL98">
            <v>5.5871127385283339</v>
          </cell>
          <cell r="DM98">
            <v>5.6977714195192677</v>
          </cell>
          <cell r="DN98">
            <v>5.8691605256560466</v>
          </cell>
          <cell r="DO98">
            <v>5.6099179176273282</v>
          </cell>
          <cell r="DP98">
            <v>5.5826781670054455</v>
          </cell>
          <cell r="DQ98">
            <v>5.5980734944584354</v>
          </cell>
          <cell r="DR98">
            <v>5.7108806803435854</v>
          </cell>
        </row>
        <row r="99">
          <cell r="B99" t="str">
            <v>Ending payable payment period (DPOs)</v>
          </cell>
          <cell r="D99" t="str">
            <v>nm</v>
          </cell>
          <cell r="E99">
            <v>56.696548632900047</v>
          </cell>
          <cell r="F99">
            <v>49.21875</v>
          </cell>
          <cell r="G99">
            <v>45.175762549582814</v>
          </cell>
          <cell r="I99">
            <v>51.606343688898534</v>
          </cell>
          <cell r="J99">
            <v>50.542987362751191</v>
          </cell>
          <cell r="K99">
            <v>50.605170387779083</v>
          </cell>
          <cell r="L99">
            <v>67.649310872894347</v>
          </cell>
          <cell r="M99">
            <v>70.384615384615387</v>
          </cell>
          <cell r="N99">
            <v>57.511215135556853</v>
          </cell>
          <cell r="O99">
            <v>46.289719626168221</v>
          </cell>
          <cell r="P99">
            <v>47.71305011447469</v>
          </cell>
          <cell r="Q99">
            <v>41.303624875290978</v>
          </cell>
          <cell r="R99">
            <v>65.135492399206868</v>
          </cell>
          <cell r="S99">
            <v>58.597273853779427</v>
          </cell>
          <cell r="T99">
            <v>51.444180522565318</v>
          </cell>
          <cell r="U99">
            <v>54.631936579841444</v>
          </cell>
          <cell r="V99">
            <v>66.131291028446398</v>
          </cell>
          <cell r="W99">
            <v>69.589378990133497</v>
          </cell>
          <cell r="X99">
            <v>53.018660812294179</v>
          </cell>
          <cell r="Y99">
            <v>56.70866141732283</v>
          </cell>
          <cell r="Z99">
            <v>56.982248520710058</v>
          </cell>
          <cell r="AA99">
            <v>62.294396961063626</v>
          </cell>
          <cell r="AB99">
            <v>67.298939746573581</v>
          </cell>
          <cell r="AC99">
            <v>52.906976744186046</v>
          </cell>
          <cell r="AD99">
            <v>55.554994954591322</v>
          </cell>
          <cell r="AE99">
            <v>53.911330049261089</v>
          </cell>
          <cell r="AF99">
            <v>57.673752310536038</v>
          </cell>
          <cell r="AG99">
            <v>59.445388349514559</v>
          </cell>
          <cell r="AH99">
            <v>53.16538461538461</v>
          </cell>
          <cell r="AI99">
            <v>60.783109404990405</v>
          </cell>
          <cell r="AJ99">
            <v>58.02073515551367</v>
          </cell>
          <cell r="AK99">
            <v>62.708883025505713</v>
          </cell>
          <cell r="AL99">
            <v>66.092289719626166</v>
          </cell>
          <cell r="AM99">
            <v>63.802597402597407</v>
          </cell>
          <cell r="AN99">
            <v>63.102763385146801</v>
          </cell>
          <cell r="AO99">
            <v>62.602040816326536</v>
          </cell>
          <cell r="AP99">
            <v>68.769111969111975</v>
          </cell>
          <cell r="AQ99">
            <v>73.854515050167223</v>
          </cell>
          <cell r="AR99">
            <v>70.457097032878906</v>
          </cell>
          <cell r="AS99">
            <v>61.721739130434777</v>
          </cell>
          <cell r="AT99">
            <v>61.398305084745758</v>
          </cell>
          <cell r="AZ99">
            <v>78.457739791073124</v>
          </cell>
          <cell r="BA99">
            <v>66.869495596477179</v>
          </cell>
          <cell r="BB99">
            <v>64.867762128325509</v>
          </cell>
          <cell r="BC99">
            <v>62.776470588235298</v>
          </cell>
          <cell r="BD99">
            <v>73.288135593220332</v>
          </cell>
          <cell r="BE99">
            <v>71.464987105732988</v>
          </cell>
          <cell r="BF99">
            <v>80.256944444444443</v>
          </cell>
          <cell r="BG99">
            <v>74.138490926456541</v>
          </cell>
          <cell r="BH99">
            <v>78.763265306122449</v>
          </cell>
          <cell r="BI99">
            <v>86.204000000000008</v>
          </cell>
          <cell r="BJ99">
            <v>84.991821561338284</v>
          </cell>
          <cell r="BK99">
            <v>70.792682926829272</v>
          </cell>
          <cell r="BL99">
            <v>68.112676056338032</v>
          </cell>
          <cell r="BM99">
            <v>74.152000000000001</v>
          </cell>
          <cell r="BN99">
            <v>80.535240040858014</v>
          </cell>
          <cell r="BP99">
            <v>70.903553299492387</v>
          </cell>
          <cell r="BQ99">
            <v>77.375418994413408</v>
          </cell>
          <cell r="BR99">
            <v>76.649610678531701</v>
          </cell>
          <cell r="BS99">
            <v>77.838427947598248</v>
          </cell>
          <cell r="BU99">
            <v>64.258064516129039</v>
          </cell>
          <cell r="BV99">
            <v>62.954741379310342</v>
          </cell>
          <cell r="BW99">
            <v>65.625979843225082</v>
          </cell>
          <cell r="BX99">
            <v>77.327586206896555</v>
          </cell>
          <cell r="BZ99">
            <v>60.507352941176471</v>
          </cell>
          <cell r="CA99">
            <v>65.01444444444445</v>
          </cell>
          <cell r="CB99">
            <v>65.773755656108605</v>
          </cell>
          <cell r="CC99">
            <v>73.130938586326778</v>
          </cell>
          <cell r="CE99">
            <v>67.087155963302749</v>
          </cell>
          <cell r="CF99">
            <v>64.865051903114193</v>
          </cell>
          <cell r="CG99">
            <v>67.081142857142851</v>
          </cell>
          <cell r="CH99">
            <v>77.878579610538367</v>
          </cell>
          <cell r="CJ99">
            <v>63.988439306358387</v>
          </cell>
          <cell r="CK99">
            <v>62.670772676371783</v>
          </cell>
          <cell r="CL99">
            <v>61.778770949720673</v>
          </cell>
          <cell r="CM99">
            <v>76.844547563805108</v>
          </cell>
          <cell r="CN99">
            <v>66.32063262406399</v>
          </cell>
          <cell r="CO99">
            <v>64.73506200676438</v>
          </cell>
          <cell r="CP99">
            <v>62.082222222222221</v>
          </cell>
          <cell r="CQ99">
            <v>63.871964679911699</v>
          </cell>
          <cell r="CR99">
            <v>79.90857142857142</v>
          </cell>
          <cell r="CS99">
            <v>77.746636771300444</v>
          </cell>
          <cell r="CT99">
            <v>62.623655913978503</v>
          </cell>
          <cell r="CU99">
            <v>63.492957746478872</v>
          </cell>
          <cell r="CV99">
            <v>63.243715846994533</v>
          </cell>
          <cell r="CW99">
            <v>69</v>
          </cell>
          <cell r="CY99">
            <v>65</v>
          </cell>
          <cell r="CZ99">
            <v>65</v>
          </cell>
          <cell r="DA99">
            <v>65</v>
          </cell>
          <cell r="DB99">
            <v>65</v>
          </cell>
          <cell r="DD99">
            <v>65</v>
          </cell>
          <cell r="DE99">
            <v>65</v>
          </cell>
          <cell r="DF99">
            <v>65</v>
          </cell>
          <cell r="DG99">
            <v>65</v>
          </cell>
          <cell r="DI99">
            <v>65</v>
          </cell>
          <cell r="DJ99">
            <v>65</v>
          </cell>
          <cell r="DK99">
            <v>65</v>
          </cell>
          <cell r="DL99">
            <v>65</v>
          </cell>
          <cell r="DN99">
            <v>65</v>
          </cell>
          <cell r="DO99">
            <v>65</v>
          </cell>
          <cell r="DP99">
            <v>65</v>
          </cell>
          <cell r="DQ99">
            <v>65</v>
          </cell>
        </row>
        <row r="101">
          <cell r="B101" t="str">
            <v>BOP shareholders' equity</v>
          </cell>
          <cell r="D101">
            <v>1320</v>
          </cell>
          <cell r="E101">
            <v>1388.164</v>
          </cell>
          <cell r="F101">
            <v>1434.6</v>
          </cell>
          <cell r="G101">
            <v>1485</v>
          </cell>
          <cell r="H101">
            <v>1320</v>
          </cell>
          <cell r="I101">
            <v>1986</v>
          </cell>
          <cell r="J101">
            <v>2105.9</v>
          </cell>
          <cell r="K101">
            <v>2355</v>
          </cell>
          <cell r="L101">
            <v>2655.8</v>
          </cell>
          <cell r="M101">
            <v>1986</v>
          </cell>
          <cell r="N101">
            <v>2636</v>
          </cell>
          <cell r="O101">
            <v>2763.8</v>
          </cell>
          <cell r="P101">
            <v>2846.2000000000003</v>
          </cell>
          <cell r="Q101">
            <v>3474.8</v>
          </cell>
          <cell r="R101">
            <v>2636</v>
          </cell>
          <cell r="S101">
            <v>3224</v>
          </cell>
          <cell r="T101">
            <v>3381</v>
          </cell>
          <cell r="U101">
            <v>3460</v>
          </cell>
          <cell r="V101">
            <v>3693</v>
          </cell>
          <cell r="W101">
            <v>3224</v>
          </cell>
          <cell r="X101">
            <v>3558</v>
          </cell>
          <cell r="Y101">
            <v>3663</v>
          </cell>
          <cell r="Z101">
            <v>3864</v>
          </cell>
          <cell r="AA101">
            <v>3973</v>
          </cell>
          <cell r="AB101">
            <v>3558</v>
          </cell>
          <cell r="AC101">
            <v>3870</v>
          </cell>
          <cell r="AD101">
            <v>3952</v>
          </cell>
          <cell r="AE101">
            <v>4089</v>
          </cell>
          <cell r="AF101">
            <v>4103</v>
          </cell>
          <cell r="AG101">
            <v>3870</v>
          </cell>
          <cell r="AH101">
            <v>4066</v>
          </cell>
          <cell r="AI101">
            <v>4293</v>
          </cell>
          <cell r="AJ101">
            <v>4584</v>
          </cell>
          <cell r="AK101">
            <v>4940</v>
          </cell>
          <cell r="AL101">
            <v>4066</v>
          </cell>
          <cell r="AM101">
            <v>5079</v>
          </cell>
          <cell r="AN101">
            <v>5284</v>
          </cell>
          <cell r="AO101">
            <v>5301</v>
          </cell>
          <cell r="AP101">
            <v>5465</v>
          </cell>
          <cell r="AQ101">
            <v>5079</v>
          </cell>
          <cell r="AR101">
            <v>5619</v>
          </cell>
          <cell r="AS101">
            <v>5881</v>
          </cell>
          <cell r="AT101">
            <v>5893</v>
          </cell>
          <cell r="BA101">
            <v>5723</v>
          </cell>
          <cell r="BB101">
            <v>5743</v>
          </cell>
          <cell r="BC101">
            <v>5531</v>
          </cell>
          <cell r="BD101">
            <v>5272</v>
          </cell>
          <cell r="BE101">
            <v>5723</v>
          </cell>
          <cell r="BF101">
            <v>4361</v>
          </cell>
          <cell r="BG101">
            <v>4268</v>
          </cell>
          <cell r="BH101">
            <v>3887</v>
          </cell>
          <cell r="BI101">
            <v>3849</v>
          </cell>
          <cell r="BJ101">
            <v>4361</v>
          </cell>
          <cell r="BK101">
            <v>1732</v>
          </cell>
          <cell r="BL101">
            <v>1723</v>
          </cell>
          <cell r="BM101">
            <v>1709</v>
          </cell>
          <cell r="BN101">
            <v>1324</v>
          </cell>
          <cell r="BO101">
            <v>1732</v>
          </cell>
          <cell r="BP101">
            <v>1021</v>
          </cell>
          <cell r="BQ101">
            <v>1099</v>
          </cell>
          <cell r="BR101">
            <v>707</v>
          </cell>
          <cell r="BS101">
            <v>631</v>
          </cell>
          <cell r="BT101">
            <v>1021</v>
          </cell>
          <cell r="BU101">
            <v>264</v>
          </cell>
          <cell r="BV101">
            <v>167</v>
          </cell>
          <cell r="BW101">
            <v>149</v>
          </cell>
          <cell r="BX101">
            <v>101</v>
          </cell>
          <cell r="BY101">
            <v>264</v>
          </cell>
          <cell r="BZ101">
            <v>54</v>
          </cell>
          <cell r="CA101">
            <v>32</v>
          </cell>
          <cell r="CB101">
            <v>29</v>
          </cell>
          <cell r="CC101">
            <v>136</v>
          </cell>
          <cell r="CD101">
            <v>54</v>
          </cell>
          <cell r="CE101">
            <v>103</v>
          </cell>
          <cell r="CF101">
            <v>291</v>
          </cell>
          <cell r="CG101">
            <v>286</v>
          </cell>
          <cell r="CH101">
            <v>626</v>
          </cell>
          <cell r="CI101">
            <v>103</v>
          </cell>
          <cell r="CJ101">
            <v>646</v>
          </cell>
          <cell r="CK101">
            <v>739</v>
          </cell>
          <cell r="CL101">
            <v>772</v>
          </cell>
          <cell r="CM101">
            <v>1711</v>
          </cell>
          <cell r="CN101">
            <v>646</v>
          </cell>
          <cell r="CO101">
            <v>1766</v>
          </cell>
          <cell r="CP101">
            <v>1844</v>
          </cell>
          <cell r="CQ101">
            <v>1810</v>
          </cell>
          <cell r="CR101">
            <v>1698</v>
          </cell>
          <cell r="CS101">
            <v>1766</v>
          </cell>
          <cell r="CT101">
            <v>1423</v>
          </cell>
          <cell r="CU101">
            <v>1460</v>
          </cell>
          <cell r="CV101">
            <v>1176</v>
          </cell>
          <cell r="CW101">
            <v>1224</v>
          </cell>
          <cell r="CX101">
            <v>1423</v>
          </cell>
          <cell r="CY101">
            <v>1293.7919732096275</v>
          </cell>
          <cell r="CZ101">
            <v>1335.9385855647201</v>
          </cell>
          <cell r="DA101">
            <v>1421.7921669820325</v>
          </cell>
          <cell r="DB101">
            <v>1492.258215820284</v>
          </cell>
          <cell r="DC101">
            <v>1293.7919732096275</v>
          </cell>
          <cell r="DD101">
            <v>1605.9342118571194</v>
          </cell>
          <cell r="DE101">
            <v>1684.9248638383506</v>
          </cell>
          <cell r="DF101">
            <v>1791.0176838296456</v>
          </cell>
          <cell r="DG101">
            <v>1876.4009341940864</v>
          </cell>
          <cell r="DH101">
            <v>1605.934211857119</v>
          </cell>
          <cell r="DI101">
            <v>2010.1144268221642</v>
          </cell>
          <cell r="DJ101">
            <v>2103.4274786756514</v>
          </cell>
          <cell r="DK101">
            <v>2215.8213085405573</v>
          </cell>
          <cell r="DL101">
            <v>2309.7570163021028</v>
          </cell>
          <cell r="DM101">
            <v>2010.114426822164</v>
          </cell>
          <cell r="DN101">
            <v>2458.091565099463</v>
          </cell>
          <cell r="DO101">
            <v>2567.884386115511</v>
          </cell>
          <cell r="DP101">
            <v>2693.5067161063762</v>
          </cell>
          <cell r="DQ101">
            <v>2800.2441578870985</v>
          </cell>
          <cell r="DR101">
            <v>2458.0915650994625</v>
          </cell>
        </row>
        <row r="102">
          <cell r="B102" t="str">
            <v>Net income</v>
          </cell>
          <cell r="D102">
            <v>64.02800000000002</v>
          </cell>
          <cell r="E102">
            <v>46.199999999999974</v>
          </cell>
          <cell r="F102">
            <v>48.899999999999949</v>
          </cell>
          <cell r="G102">
            <v>5.8719999999999937</v>
          </cell>
          <cell r="H102">
            <v>164.99999999999991</v>
          </cell>
          <cell r="I102">
            <v>118.30000000000004</v>
          </cell>
          <cell r="J102">
            <v>182.79999999999998</v>
          </cell>
          <cell r="K102">
            <v>70.700000000000117</v>
          </cell>
          <cell r="L102">
            <v>-21.800000000000257</v>
          </cell>
          <cell r="M102">
            <v>350</v>
          </cell>
          <cell r="N102">
            <v>72.399999999999892</v>
          </cell>
          <cell r="O102">
            <v>76.799999999999869</v>
          </cell>
          <cell r="P102">
            <v>-113.29999999999993</v>
          </cell>
          <cell r="Q102">
            <v>-289.90000000000066</v>
          </cell>
          <cell r="R102">
            <v>-254</v>
          </cell>
          <cell r="S102">
            <v>116</v>
          </cell>
          <cell r="T102">
            <v>138</v>
          </cell>
          <cell r="U102">
            <v>148</v>
          </cell>
          <cell r="V102">
            <v>-141</v>
          </cell>
          <cell r="W102">
            <v>261</v>
          </cell>
          <cell r="X102">
            <v>137</v>
          </cell>
          <cell r="Y102">
            <v>125</v>
          </cell>
          <cell r="Z102">
            <v>124</v>
          </cell>
          <cell r="AA102">
            <v>-137</v>
          </cell>
          <cell r="AB102">
            <v>249</v>
          </cell>
          <cell r="AC102">
            <v>109</v>
          </cell>
          <cell r="AD102">
            <v>135</v>
          </cell>
          <cell r="AE102">
            <v>38</v>
          </cell>
          <cell r="AF102">
            <v>20</v>
          </cell>
          <cell r="AG102">
            <v>302</v>
          </cell>
          <cell r="AH102">
            <v>154</v>
          </cell>
          <cell r="AI102">
            <v>175</v>
          </cell>
          <cell r="AJ102">
            <v>198</v>
          </cell>
          <cell r="AK102">
            <v>116</v>
          </cell>
          <cell r="AL102">
            <v>643</v>
          </cell>
          <cell r="AM102">
            <v>155</v>
          </cell>
          <cell r="AN102">
            <v>89</v>
          </cell>
          <cell r="AO102">
            <v>280</v>
          </cell>
          <cell r="AP102">
            <v>261</v>
          </cell>
          <cell r="AQ102">
            <v>785</v>
          </cell>
          <cell r="AR102">
            <v>338</v>
          </cell>
          <cell r="AS102">
            <v>315</v>
          </cell>
          <cell r="AT102">
            <v>-55</v>
          </cell>
          <cell r="BA102">
            <v>-20</v>
          </cell>
          <cell r="BB102">
            <v>-195</v>
          </cell>
          <cell r="BC102">
            <v>-308</v>
          </cell>
          <cell r="BD102">
            <v>-954</v>
          </cell>
          <cell r="BE102">
            <v>-1477</v>
          </cell>
          <cell r="BF102">
            <v>-122</v>
          </cell>
          <cell r="BG102">
            <v>-426</v>
          </cell>
          <cell r="BH102">
            <v>-70</v>
          </cell>
          <cell r="BI102">
            <v>-2022</v>
          </cell>
          <cell r="BJ102">
            <v>-2640</v>
          </cell>
          <cell r="BK102">
            <v>-4</v>
          </cell>
          <cell r="BL102">
            <v>-33</v>
          </cell>
          <cell r="BM102">
            <v>-401</v>
          </cell>
          <cell r="BN102">
            <v>-286</v>
          </cell>
          <cell r="BO102">
            <v>-724</v>
          </cell>
          <cell r="BP102">
            <v>70</v>
          </cell>
          <cell r="BQ102">
            <v>-398</v>
          </cell>
          <cell r="BR102">
            <v>-89</v>
          </cell>
          <cell r="BS102">
            <v>-386</v>
          </cell>
          <cell r="BT102">
            <v>-803</v>
          </cell>
          <cell r="BU102">
            <v>75</v>
          </cell>
          <cell r="BV102">
            <v>-30</v>
          </cell>
          <cell r="BW102">
            <v>-59</v>
          </cell>
          <cell r="BX102">
            <v>-75</v>
          </cell>
          <cell r="BY102">
            <v>-89</v>
          </cell>
          <cell r="BZ102">
            <v>-31</v>
          </cell>
          <cell r="CA102">
            <v>-15</v>
          </cell>
          <cell r="CB102">
            <v>104</v>
          </cell>
          <cell r="CC102">
            <v>-33</v>
          </cell>
          <cell r="CD102">
            <v>25</v>
          </cell>
          <cell r="CE102">
            <v>178</v>
          </cell>
          <cell r="CF102">
            <v>-15</v>
          </cell>
          <cell r="CG102">
            <v>-3</v>
          </cell>
          <cell r="CH102">
            <v>21</v>
          </cell>
          <cell r="CI102">
            <v>181</v>
          </cell>
          <cell r="CJ102">
            <v>88</v>
          </cell>
          <cell r="CK102">
            <v>25</v>
          </cell>
          <cell r="CL102">
            <v>932</v>
          </cell>
          <cell r="CM102">
            <v>74</v>
          </cell>
          <cell r="CN102">
            <v>1119</v>
          </cell>
          <cell r="CO102">
            <v>73</v>
          </cell>
          <cell r="CP102">
            <v>55</v>
          </cell>
          <cell r="CQ102">
            <v>6</v>
          </cell>
          <cell r="CR102">
            <v>-76</v>
          </cell>
          <cell r="CS102">
            <v>58</v>
          </cell>
          <cell r="CT102">
            <v>58</v>
          </cell>
          <cell r="CU102">
            <v>-6</v>
          </cell>
          <cell r="CV102">
            <v>40</v>
          </cell>
          <cell r="CW102">
            <v>60.791973209627599</v>
          </cell>
          <cell r="CX102">
            <v>152.79197320962794</v>
          </cell>
          <cell r="CY102">
            <v>33.146612355092657</v>
          </cell>
          <cell r="CZ102">
            <v>76.853581417312114</v>
          </cell>
          <cell r="DA102">
            <v>61.466048838251822</v>
          </cell>
          <cell r="DB102">
            <v>104.67599603683516</v>
          </cell>
          <cell r="DC102">
            <v>276.14223864749249</v>
          </cell>
          <cell r="DD102">
            <v>69.990651981231224</v>
          </cell>
          <cell r="DE102">
            <v>97.09281999129503</v>
          </cell>
          <cell r="DF102">
            <v>76.383250364440926</v>
          </cell>
          <cell r="DG102">
            <v>124.71349262807792</v>
          </cell>
          <cell r="DH102">
            <v>368.18021496504582</v>
          </cell>
          <cell r="DI102">
            <v>84.313051853487323</v>
          </cell>
          <cell r="DJ102">
            <v>103.39382986490556</v>
          </cell>
          <cell r="DK102">
            <v>84.93570776154553</v>
          </cell>
          <cell r="DL102">
            <v>139.33454879735996</v>
          </cell>
          <cell r="DM102">
            <v>411.97713827729763</v>
          </cell>
          <cell r="DN102">
            <v>100.79282101604809</v>
          </cell>
          <cell r="DO102">
            <v>116.62232999086577</v>
          </cell>
          <cell r="DP102">
            <v>97.73744178072215</v>
          </cell>
          <cell r="DQ102">
            <v>152.90114265272507</v>
          </cell>
          <cell r="DR102">
            <v>468.05373544036024</v>
          </cell>
        </row>
        <row r="103">
          <cell r="B103" t="str">
            <v>Preferred stock</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334</v>
          </cell>
          <cell r="CH103">
            <v>0</v>
          </cell>
          <cell r="CI103">
            <v>334</v>
          </cell>
          <cell r="CJ103">
            <v>0</v>
          </cell>
          <cell r="CK103">
            <v>0</v>
          </cell>
          <cell r="CL103">
            <v>0</v>
          </cell>
          <cell r="CM103">
            <v>0</v>
          </cell>
          <cell r="CN103">
            <v>0</v>
          </cell>
          <cell r="CO103">
            <v>0</v>
          </cell>
          <cell r="CP103">
            <v>0</v>
          </cell>
          <cell r="CQ103">
            <v>0</v>
          </cell>
          <cell r="CR103">
            <v>0</v>
          </cell>
          <cell r="CS103">
            <v>0</v>
          </cell>
          <cell r="CT103">
            <v>0</v>
          </cell>
          <cell r="CU103">
            <v>-289</v>
          </cell>
          <cell r="CV103">
            <v>0</v>
          </cell>
          <cell r="CW103">
            <v>0</v>
          </cell>
          <cell r="CX103">
            <v>-289</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row>
        <row r="104">
          <cell r="B104" t="str">
            <v>Common Stock</v>
          </cell>
          <cell r="D104">
            <v>-8.0999999999999517E-2</v>
          </cell>
          <cell r="E104">
            <v>-1.9000000000000128E-2</v>
          </cell>
          <cell r="F104">
            <v>0</v>
          </cell>
          <cell r="G104">
            <v>2.0999999999999996</v>
          </cell>
          <cell r="H104">
            <v>2</v>
          </cell>
          <cell r="I104">
            <v>0.39999999999999858</v>
          </cell>
          <cell r="J104">
            <v>0</v>
          </cell>
          <cell r="K104">
            <v>0</v>
          </cell>
          <cell r="L104">
            <v>-0.39999999999999858</v>
          </cell>
          <cell r="M104">
            <v>0</v>
          </cell>
          <cell r="N104">
            <v>0.39999999999999858</v>
          </cell>
          <cell r="O104">
            <v>0.10000000000000142</v>
          </cell>
          <cell r="P104">
            <v>6.3000000000000007</v>
          </cell>
          <cell r="Q104">
            <v>0.19999999999999929</v>
          </cell>
          <cell r="R104">
            <v>7</v>
          </cell>
          <cell r="S104">
            <v>0</v>
          </cell>
          <cell r="T104">
            <v>0</v>
          </cell>
          <cell r="U104">
            <v>0</v>
          </cell>
          <cell r="V104">
            <v>0</v>
          </cell>
          <cell r="W104">
            <v>0</v>
          </cell>
          <cell r="X104">
            <v>1</v>
          </cell>
          <cell r="Y104">
            <v>0</v>
          </cell>
          <cell r="Z104">
            <v>0</v>
          </cell>
          <cell r="AA104">
            <v>0</v>
          </cell>
          <cell r="AB104">
            <v>1</v>
          </cell>
          <cell r="AC104">
            <v>0</v>
          </cell>
          <cell r="AD104">
            <v>0</v>
          </cell>
          <cell r="AE104">
            <v>0</v>
          </cell>
          <cell r="AF104">
            <v>0</v>
          </cell>
          <cell r="AG104">
            <v>0</v>
          </cell>
          <cell r="AH104">
            <v>0</v>
          </cell>
          <cell r="AI104">
            <v>0</v>
          </cell>
          <cell r="AJ104">
            <v>1</v>
          </cell>
          <cell r="AK104">
            <v>0</v>
          </cell>
          <cell r="AL104">
            <v>1</v>
          </cell>
          <cell r="AM104">
            <v>0</v>
          </cell>
          <cell r="AN104">
            <v>0</v>
          </cell>
          <cell r="AO104">
            <v>0</v>
          </cell>
          <cell r="AP104">
            <v>1</v>
          </cell>
          <cell r="AQ104">
            <v>1</v>
          </cell>
          <cell r="AR104">
            <v>-26</v>
          </cell>
          <cell r="AS104">
            <v>0</v>
          </cell>
          <cell r="AT104">
            <v>0</v>
          </cell>
          <cell r="BA104">
            <v>-26</v>
          </cell>
          <cell r="BB104">
            <v>0</v>
          </cell>
          <cell r="BC104">
            <v>0</v>
          </cell>
          <cell r="BD104">
            <v>26</v>
          </cell>
          <cell r="BE104">
            <v>0</v>
          </cell>
          <cell r="BF104">
            <v>-26</v>
          </cell>
          <cell r="BG104">
            <v>0</v>
          </cell>
          <cell r="BH104">
            <v>0</v>
          </cell>
          <cell r="BI104">
            <v>26</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1</v>
          </cell>
          <cell r="CA104">
            <v>-1</v>
          </cell>
          <cell r="CB104">
            <v>0</v>
          </cell>
          <cell r="CC104">
            <v>0</v>
          </cell>
          <cell r="CD104">
            <v>0</v>
          </cell>
          <cell r="CE104">
            <v>0</v>
          </cell>
          <cell r="CF104">
            <v>0</v>
          </cell>
          <cell r="CG104">
            <v>0</v>
          </cell>
          <cell r="CH104">
            <v>1</v>
          </cell>
          <cell r="CI104">
            <v>1</v>
          </cell>
          <cell r="CJ104">
            <v>0</v>
          </cell>
          <cell r="CK104">
            <v>0</v>
          </cell>
          <cell r="CL104">
            <v>0</v>
          </cell>
          <cell r="CM104">
            <v>0</v>
          </cell>
          <cell r="CN104">
            <v>0</v>
          </cell>
          <cell r="CO104">
            <v>0</v>
          </cell>
          <cell r="CP104">
            <v>0</v>
          </cell>
          <cell r="CQ104">
            <v>0</v>
          </cell>
          <cell r="CR104">
            <v>0</v>
          </cell>
          <cell r="CS104">
            <v>0</v>
          </cell>
          <cell r="CT104">
            <v>0</v>
          </cell>
          <cell r="CU104">
            <v>0</v>
          </cell>
          <cell r="CV104">
            <v>-20</v>
          </cell>
          <cell r="CW104">
            <v>0</v>
          </cell>
          <cell r="CX104">
            <v>-20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W104" t="str">
            <v>mstag:netIssuanceRepurchaseOfCommonStock</v>
          </cell>
          <cell r="DX104">
            <v>6</v>
          </cell>
          <cell r="DY104" t="str">
            <v>ISO4217:USD</v>
          </cell>
          <cell r="DZ104" t="b">
            <v>0</v>
          </cell>
        </row>
        <row r="105">
          <cell r="B105" t="str">
            <v>Treasury Stock</v>
          </cell>
          <cell r="D105">
            <v>2.625</v>
          </cell>
          <cell r="E105">
            <v>1.2749999999999773</v>
          </cell>
          <cell r="F105">
            <v>1.9000000000000341</v>
          </cell>
          <cell r="G105">
            <v>4.1999999999999886</v>
          </cell>
          <cell r="H105">
            <v>10</v>
          </cell>
          <cell r="I105">
            <v>2</v>
          </cell>
          <cell r="J105">
            <v>50.699999999999989</v>
          </cell>
          <cell r="K105">
            <v>160.80000000000001</v>
          </cell>
          <cell r="L105">
            <v>18.5</v>
          </cell>
          <cell r="M105">
            <v>232</v>
          </cell>
          <cell r="N105">
            <v>1.2999999999999972</v>
          </cell>
          <cell r="O105">
            <v>0</v>
          </cell>
          <cell r="P105">
            <v>0</v>
          </cell>
          <cell r="Q105">
            <v>-0.29999999999999716</v>
          </cell>
          <cell r="R105">
            <v>1</v>
          </cell>
          <cell r="S105">
            <v>-31</v>
          </cell>
          <cell r="T105">
            <v>0</v>
          </cell>
          <cell r="U105">
            <v>0</v>
          </cell>
          <cell r="V105">
            <v>0</v>
          </cell>
          <cell r="W105">
            <v>-31</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-94</v>
          </cell>
          <cell r="AN105">
            <v>-93</v>
          </cell>
          <cell r="AO105">
            <v>-293</v>
          </cell>
          <cell r="AP105">
            <v>-235</v>
          </cell>
          <cell r="AQ105">
            <v>-715</v>
          </cell>
          <cell r="AR105">
            <v>-119</v>
          </cell>
          <cell r="AS105">
            <v>-381</v>
          </cell>
          <cell r="AT105">
            <v>-110</v>
          </cell>
          <cell r="BA105">
            <v>-110</v>
          </cell>
          <cell r="BB105">
            <v>-98</v>
          </cell>
          <cell r="BC105">
            <v>2</v>
          </cell>
          <cell r="BD105">
            <v>0</v>
          </cell>
          <cell r="BE105">
            <v>-206</v>
          </cell>
          <cell r="BF105">
            <v>0</v>
          </cell>
          <cell r="BG105">
            <v>0</v>
          </cell>
          <cell r="BH105">
            <v>1</v>
          </cell>
          <cell r="BI105">
            <v>8</v>
          </cell>
          <cell r="BJ105">
            <v>9</v>
          </cell>
          <cell r="BK105">
            <v>1</v>
          </cell>
          <cell r="BL105">
            <v>2</v>
          </cell>
          <cell r="BM105">
            <v>-1</v>
          </cell>
          <cell r="BN105">
            <v>1</v>
          </cell>
          <cell r="BO105">
            <v>3</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2</v>
          </cell>
          <cell r="CF105">
            <v>0</v>
          </cell>
          <cell r="CG105">
            <v>-2</v>
          </cell>
          <cell r="CH105">
            <v>0</v>
          </cell>
          <cell r="CI105">
            <v>0</v>
          </cell>
          <cell r="CJ105">
            <v>0</v>
          </cell>
          <cell r="CK105">
            <v>0</v>
          </cell>
          <cell r="CL105">
            <v>0</v>
          </cell>
          <cell r="CM105">
            <v>0</v>
          </cell>
          <cell r="CN105">
            <v>0</v>
          </cell>
          <cell r="CO105">
            <v>0</v>
          </cell>
          <cell r="CP105">
            <v>-72</v>
          </cell>
          <cell r="CQ105">
            <v>-124</v>
          </cell>
          <cell r="CR105">
            <v>-178</v>
          </cell>
          <cell r="CS105">
            <v>-374</v>
          </cell>
          <cell r="CT105">
            <v>-26</v>
          </cell>
          <cell r="CU105">
            <v>0</v>
          </cell>
          <cell r="CV105">
            <v>0</v>
          </cell>
          <cell r="CW105">
            <v>0</v>
          </cell>
          <cell r="CX105">
            <v>-26</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W105" t="str">
            <v>mstag:netIssuanceRepurchaseOfCommonStock</v>
          </cell>
          <cell r="DX105">
            <v>6</v>
          </cell>
          <cell r="DY105" t="str">
            <v>ISO4217:USD</v>
          </cell>
          <cell r="DZ105" t="b">
            <v>0</v>
          </cell>
        </row>
        <row r="106">
          <cell r="B106" t="str">
            <v>Additional paid-in capital</v>
          </cell>
          <cell r="D106">
            <v>640.61999999999989</v>
          </cell>
          <cell r="E106">
            <v>45.180000000000064</v>
          </cell>
          <cell r="F106">
            <v>48.5</v>
          </cell>
          <cell r="G106">
            <v>-245.29999999999995</v>
          </cell>
          <cell r="H106">
            <v>489</v>
          </cell>
          <cell r="I106">
            <v>857.5</v>
          </cell>
          <cell r="J106">
            <v>198.40000000000009</v>
          </cell>
          <cell r="K106">
            <v>140</v>
          </cell>
          <cell r="L106">
            <v>-1155.9000000000001</v>
          </cell>
          <cell r="M106">
            <v>40</v>
          </cell>
          <cell r="N106">
            <v>1244.0999999999999</v>
          </cell>
          <cell r="O106">
            <v>82.300000000000182</v>
          </cell>
          <cell r="P106">
            <v>622.29999999999973</v>
          </cell>
          <cell r="Q106">
            <v>-1179.6999999999998</v>
          </cell>
          <cell r="R106">
            <v>769</v>
          </cell>
          <cell r="S106">
            <v>1117</v>
          </cell>
          <cell r="T106">
            <v>79</v>
          </cell>
          <cell r="U106">
            <v>233</v>
          </cell>
          <cell r="V106">
            <v>-1265</v>
          </cell>
          <cell r="W106">
            <v>164</v>
          </cell>
          <cell r="X106">
            <v>1234</v>
          </cell>
          <cell r="Y106">
            <v>201</v>
          </cell>
          <cell r="Z106">
            <v>109</v>
          </cell>
          <cell r="AA106">
            <v>-1509</v>
          </cell>
          <cell r="AB106">
            <v>35</v>
          </cell>
          <cell r="AC106">
            <v>1488</v>
          </cell>
          <cell r="AD106">
            <v>137</v>
          </cell>
          <cell r="AE106">
            <v>14</v>
          </cell>
          <cell r="AF106">
            <v>-1594</v>
          </cell>
          <cell r="AG106">
            <v>45</v>
          </cell>
          <cell r="AH106">
            <v>1784</v>
          </cell>
          <cell r="AI106">
            <v>291</v>
          </cell>
          <cell r="AJ106">
            <v>355</v>
          </cell>
          <cell r="AK106">
            <v>-2087</v>
          </cell>
          <cell r="AL106">
            <v>343</v>
          </cell>
          <cell r="AM106">
            <v>127</v>
          </cell>
          <cell r="AN106">
            <v>38</v>
          </cell>
          <cell r="AO106">
            <v>176</v>
          </cell>
          <cell r="AP106">
            <v>128</v>
          </cell>
          <cell r="AQ106">
            <v>469</v>
          </cell>
          <cell r="AR106">
            <v>67</v>
          </cell>
          <cell r="AS106">
            <v>52</v>
          </cell>
          <cell r="AT106">
            <v>33</v>
          </cell>
          <cell r="BA106">
            <v>504</v>
          </cell>
          <cell r="BB106">
            <v>79</v>
          </cell>
          <cell r="BC106">
            <v>46</v>
          </cell>
          <cell r="BD106">
            <v>12</v>
          </cell>
          <cell r="BE106">
            <v>641</v>
          </cell>
          <cell r="BF106">
            <v>56</v>
          </cell>
          <cell r="BG106">
            <v>50</v>
          </cell>
          <cell r="BH106">
            <v>30</v>
          </cell>
          <cell r="BI106">
            <v>-129</v>
          </cell>
          <cell r="BJ106">
            <v>7</v>
          </cell>
          <cell r="BK106">
            <v>147</v>
          </cell>
          <cell r="BL106">
            <v>16</v>
          </cell>
          <cell r="BM106">
            <v>17</v>
          </cell>
          <cell r="BN106">
            <v>9</v>
          </cell>
          <cell r="BO106">
            <v>189</v>
          </cell>
          <cell r="BP106">
            <v>9</v>
          </cell>
          <cell r="BQ106">
            <v>6</v>
          </cell>
          <cell r="BR106">
            <v>12</v>
          </cell>
          <cell r="BS106">
            <v>25</v>
          </cell>
          <cell r="BT106">
            <v>52</v>
          </cell>
          <cell r="BU106">
            <v>7</v>
          </cell>
          <cell r="BV106">
            <v>12</v>
          </cell>
          <cell r="BW106">
            <v>10</v>
          </cell>
          <cell r="BX106">
            <v>11</v>
          </cell>
          <cell r="BY106">
            <v>40</v>
          </cell>
          <cell r="BZ106">
            <v>8</v>
          </cell>
          <cell r="CA106">
            <v>11</v>
          </cell>
          <cell r="CB106">
            <v>6</v>
          </cell>
          <cell r="CC106">
            <v>8</v>
          </cell>
          <cell r="CD106">
            <v>33</v>
          </cell>
          <cell r="CE106">
            <v>5</v>
          </cell>
          <cell r="CF106">
            <v>7</v>
          </cell>
          <cell r="CG106">
            <v>7</v>
          </cell>
          <cell r="CH106">
            <v>-3</v>
          </cell>
          <cell r="CI106">
            <v>16</v>
          </cell>
          <cell r="CJ106">
            <v>-2</v>
          </cell>
          <cell r="CK106">
            <v>2</v>
          </cell>
          <cell r="CL106">
            <v>0</v>
          </cell>
          <cell r="CM106">
            <v>-12</v>
          </cell>
          <cell r="CN106">
            <v>-12</v>
          </cell>
          <cell r="CO106">
            <v>-1</v>
          </cell>
          <cell r="CP106">
            <v>-23</v>
          </cell>
          <cell r="CQ106">
            <v>0</v>
          </cell>
          <cell r="CR106">
            <v>-18</v>
          </cell>
          <cell r="CS106">
            <v>-42</v>
          </cell>
          <cell r="CT106">
            <v>-4</v>
          </cell>
          <cell r="CU106">
            <v>7</v>
          </cell>
          <cell r="CV106">
            <v>27</v>
          </cell>
          <cell r="CW106">
            <v>9</v>
          </cell>
          <cell r="CX106">
            <v>39</v>
          </cell>
          <cell r="CY106">
            <v>9</v>
          </cell>
          <cell r="CZ106">
            <v>9</v>
          </cell>
          <cell r="DA106">
            <v>9</v>
          </cell>
          <cell r="DB106">
            <v>9</v>
          </cell>
          <cell r="DC106">
            <v>36</v>
          </cell>
          <cell r="DD106">
            <v>9</v>
          </cell>
          <cell r="DE106">
            <v>9</v>
          </cell>
          <cell r="DF106">
            <v>9</v>
          </cell>
          <cell r="DG106">
            <v>9</v>
          </cell>
          <cell r="DH106">
            <v>36</v>
          </cell>
          <cell r="DI106">
            <v>9</v>
          </cell>
          <cell r="DJ106">
            <v>9</v>
          </cell>
          <cell r="DK106">
            <v>9</v>
          </cell>
          <cell r="DL106">
            <v>9</v>
          </cell>
          <cell r="DM106">
            <v>36</v>
          </cell>
          <cell r="DN106">
            <v>9</v>
          </cell>
          <cell r="DO106">
            <v>9</v>
          </cell>
          <cell r="DP106">
            <v>9</v>
          </cell>
          <cell r="DQ106">
            <v>9</v>
          </cell>
          <cell r="DR106">
            <v>36</v>
          </cell>
          <cell r="DW106" t="str">
            <v>mstag:netIssuanceRepurchaseOfCommonStock</v>
          </cell>
          <cell r="DX106">
            <v>6</v>
          </cell>
          <cell r="DY106" t="str">
            <v>ISO4217:USD</v>
          </cell>
          <cell r="DZ106" t="b">
            <v>0</v>
          </cell>
        </row>
        <row r="107">
          <cell r="B107" t="str">
            <v>Accumulated and other comprehensive</v>
          </cell>
          <cell r="D107">
            <v>0</v>
          </cell>
          <cell r="E107">
            <v>0</v>
          </cell>
          <cell r="F107">
            <v>0</v>
          </cell>
          <cell r="G107">
            <v>0</v>
          </cell>
          <cell r="H107">
            <v>0</v>
          </cell>
          <cell r="I107">
            <v>0</v>
          </cell>
          <cell r="J107">
            <v>0</v>
          </cell>
          <cell r="K107">
            <v>0</v>
          </cell>
          <cell r="L107">
            <v>28</v>
          </cell>
          <cell r="M107">
            <v>28</v>
          </cell>
          <cell r="N107">
            <v>-28</v>
          </cell>
          <cell r="O107">
            <v>0</v>
          </cell>
          <cell r="P107">
            <v>0</v>
          </cell>
          <cell r="Q107">
            <v>110</v>
          </cell>
          <cell r="R107">
            <v>82</v>
          </cell>
          <cell r="S107">
            <v>-110</v>
          </cell>
          <cell r="T107">
            <v>0</v>
          </cell>
          <cell r="U107">
            <v>0</v>
          </cell>
          <cell r="V107">
            <v>50</v>
          </cell>
          <cell r="W107">
            <v>-60</v>
          </cell>
          <cell r="X107">
            <v>-50</v>
          </cell>
          <cell r="Y107">
            <v>0</v>
          </cell>
          <cell r="Z107">
            <v>0</v>
          </cell>
          <cell r="AA107">
            <v>77</v>
          </cell>
          <cell r="AB107">
            <v>27</v>
          </cell>
          <cell r="AC107">
            <v>-77</v>
          </cell>
          <cell r="AD107">
            <v>0</v>
          </cell>
          <cell r="AE107">
            <v>0</v>
          </cell>
          <cell r="AF107">
            <v>-70</v>
          </cell>
          <cell r="AG107">
            <v>-147</v>
          </cell>
          <cell r="AH107">
            <v>70</v>
          </cell>
          <cell r="AI107">
            <v>0</v>
          </cell>
          <cell r="AJ107">
            <v>0</v>
          </cell>
          <cell r="AK107">
            <v>-44</v>
          </cell>
          <cell r="AL107">
            <v>26</v>
          </cell>
          <cell r="AM107">
            <v>16</v>
          </cell>
          <cell r="AN107">
            <v>-16</v>
          </cell>
          <cell r="AO107">
            <v>1</v>
          </cell>
          <cell r="AP107">
            <v>-1</v>
          </cell>
          <cell r="AQ107">
            <v>0</v>
          </cell>
          <cell r="AR107">
            <v>2</v>
          </cell>
          <cell r="AS107">
            <v>26</v>
          </cell>
          <cell r="AT107">
            <v>1</v>
          </cell>
          <cell r="BA107">
            <v>1</v>
          </cell>
          <cell r="BB107">
            <v>2</v>
          </cell>
          <cell r="BC107">
            <v>1</v>
          </cell>
          <cell r="BD107">
            <v>3</v>
          </cell>
          <cell r="BE107">
            <v>7</v>
          </cell>
          <cell r="BF107">
            <v>-1</v>
          </cell>
          <cell r="BG107">
            <v>-5</v>
          </cell>
          <cell r="BH107">
            <v>1</v>
          </cell>
          <cell r="BI107">
            <v>0</v>
          </cell>
          <cell r="BJ107">
            <v>-5</v>
          </cell>
          <cell r="BK107">
            <v>0</v>
          </cell>
          <cell r="BL107">
            <v>1</v>
          </cell>
          <cell r="BM107">
            <v>0</v>
          </cell>
          <cell r="BN107">
            <v>-27</v>
          </cell>
          <cell r="BO107">
            <v>-26</v>
          </cell>
          <cell r="BP107">
            <v>-1</v>
          </cell>
          <cell r="BQ107">
            <v>0</v>
          </cell>
          <cell r="BR107">
            <v>1</v>
          </cell>
          <cell r="BS107">
            <v>-6</v>
          </cell>
          <cell r="BT107">
            <v>-6</v>
          </cell>
          <cell r="BU107">
            <v>-1</v>
          </cell>
          <cell r="BV107">
            <v>0</v>
          </cell>
          <cell r="BW107">
            <v>1</v>
          </cell>
          <cell r="BX107">
            <v>17</v>
          </cell>
          <cell r="BY107">
            <v>17</v>
          </cell>
          <cell r="BZ107">
            <v>0</v>
          </cell>
          <cell r="CA107">
            <v>2</v>
          </cell>
          <cell r="CB107">
            <v>-3</v>
          </cell>
          <cell r="CC107">
            <v>-8</v>
          </cell>
          <cell r="CD107">
            <v>-9</v>
          </cell>
          <cell r="CE107">
            <v>3</v>
          </cell>
          <cell r="CF107">
            <v>3</v>
          </cell>
          <cell r="CG107">
            <v>4</v>
          </cell>
          <cell r="CH107">
            <v>-5</v>
          </cell>
          <cell r="CI107">
            <v>5</v>
          </cell>
          <cell r="CJ107">
            <v>1</v>
          </cell>
          <cell r="CK107">
            <v>0</v>
          </cell>
          <cell r="CL107">
            <v>1</v>
          </cell>
          <cell r="CM107">
            <v>-13</v>
          </cell>
          <cell r="CN107">
            <v>-11</v>
          </cell>
          <cell r="CO107">
            <v>0</v>
          </cell>
          <cell r="CP107">
            <v>0</v>
          </cell>
          <cell r="CQ107">
            <v>0</v>
          </cell>
          <cell r="CR107">
            <v>-9</v>
          </cell>
          <cell r="CS107">
            <v>-9</v>
          </cell>
          <cell r="CT107">
            <v>3</v>
          </cell>
          <cell r="CU107">
            <v>0</v>
          </cell>
          <cell r="CV107">
            <v>0</v>
          </cell>
          <cell r="CW107">
            <v>0</v>
          </cell>
          <cell r="CX107">
            <v>3</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W107" t="str">
            <v>mstag:changeInAccumulatedOtherComprehensiveIncomeLossOrOtherReserves</v>
          </cell>
          <cell r="DX107">
            <v>6</v>
          </cell>
          <cell r="DY107" t="str">
            <v>ISO4217:USD</v>
          </cell>
          <cell r="DZ107" t="b">
            <v>0</v>
          </cell>
        </row>
        <row r="108">
          <cell r="B108" t="str">
            <v>Adjustments</v>
          </cell>
          <cell r="D108">
            <v>-639.02800000000002</v>
          </cell>
          <cell r="E108">
            <v>-46.199999999999974</v>
          </cell>
          <cell r="F108">
            <v>-48.899999999999949</v>
          </cell>
          <cell r="G108">
            <v>734.12800000000004</v>
          </cell>
          <cell r="H108">
            <v>0</v>
          </cell>
          <cell r="I108">
            <v>-858.30000000000007</v>
          </cell>
          <cell r="J108">
            <v>-182.79999999999998</v>
          </cell>
          <cell r="K108">
            <v>-70.700000000000117</v>
          </cell>
          <cell r="L108">
            <v>1111.8000000000002</v>
          </cell>
          <cell r="M108">
            <v>0</v>
          </cell>
          <cell r="N108">
            <v>-1162.3999999999999</v>
          </cell>
          <cell r="O108">
            <v>-76.799999999999869</v>
          </cell>
          <cell r="P108">
            <v>113.29999999999993</v>
          </cell>
          <cell r="Q108">
            <v>1108.9000000000005</v>
          </cell>
          <cell r="R108">
            <v>-17</v>
          </cell>
          <cell r="S108">
            <v>-935</v>
          </cell>
          <cell r="T108">
            <v>-138</v>
          </cell>
          <cell r="U108">
            <v>-148</v>
          </cell>
          <cell r="V108">
            <v>1221</v>
          </cell>
          <cell r="W108">
            <v>0</v>
          </cell>
          <cell r="X108">
            <v>-1217</v>
          </cell>
          <cell r="Y108">
            <v>-125</v>
          </cell>
          <cell r="Z108">
            <v>-124</v>
          </cell>
          <cell r="AA108">
            <v>1466</v>
          </cell>
          <cell r="AB108">
            <v>0</v>
          </cell>
          <cell r="AC108">
            <v>-1438</v>
          </cell>
          <cell r="AD108">
            <v>-135</v>
          </cell>
          <cell r="AE108">
            <v>-38</v>
          </cell>
          <cell r="AF108">
            <v>1607</v>
          </cell>
          <cell r="AG108">
            <v>-4</v>
          </cell>
          <cell r="AH108">
            <v>-1781</v>
          </cell>
          <cell r="AI108">
            <v>-175</v>
          </cell>
          <cell r="AJ108">
            <v>-198</v>
          </cell>
          <cell r="AK108">
            <v>2154</v>
          </cell>
          <cell r="AL108">
            <v>0</v>
          </cell>
          <cell r="AM108">
            <v>1</v>
          </cell>
          <cell r="AN108">
            <v>-1</v>
          </cell>
          <cell r="AO108">
            <v>0</v>
          </cell>
          <cell r="AP108">
            <v>0</v>
          </cell>
          <cell r="AQ108">
            <v>0</v>
          </cell>
          <cell r="AR108">
            <v>0</v>
          </cell>
          <cell r="AS108">
            <v>0</v>
          </cell>
          <cell r="AT108">
            <v>0</v>
          </cell>
          <cell r="BA108">
            <v>-329</v>
          </cell>
          <cell r="BB108">
            <v>0</v>
          </cell>
          <cell r="BC108">
            <v>0</v>
          </cell>
          <cell r="BD108">
            <v>2</v>
          </cell>
          <cell r="BE108">
            <v>-327</v>
          </cell>
          <cell r="BF108">
            <v>0</v>
          </cell>
          <cell r="BG108">
            <v>0</v>
          </cell>
          <cell r="BH108">
            <v>0</v>
          </cell>
          <cell r="BI108">
            <v>0</v>
          </cell>
          <cell r="BJ108">
            <v>0</v>
          </cell>
          <cell r="BK108">
            <v>-153</v>
          </cell>
          <cell r="BL108">
            <v>0</v>
          </cell>
          <cell r="BM108">
            <v>0</v>
          </cell>
          <cell r="BN108">
            <v>0</v>
          </cell>
          <cell r="BO108">
            <v>-153</v>
          </cell>
          <cell r="BP108">
            <v>0</v>
          </cell>
          <cell r="BQ108">
            <v>0</v>
          </cell>
          <cell r="BR108">
            <v>0</v>
          </cell>
          <cell r="BS108">
            <v>0</v>
          </cell>
          <cell r="BT108">
            <v>0</v>
          </cell>
          <cell r="BU108">
            <v>-178</v>
          </cell>
          <cell r="BV108">
            <v>0</v>
          </cell>
          <cell r="BW108">
            <v>0</v>
          </cell>
          <cell r="BX108">
            <v>0</v>
          </cell>
          <cell r="BY108">
            <v>-178</v>
          </cell>
          <cell r="BZ108">
            <v>0</v>
          </cell>
          <cell r="CA108">
            <v>0</v>
          </cell>
          <cell r="CB108">
            <v>0</v>
          </cell>
          <cell r="CC108">
            <v>0</v>
          </cell>
          <cell r="CD108">
            <v>0</v>
          </cell>
          <cell r="CE108">
            <v>0</v>
          </cell>
          <cell r="CF108">
            <v>0</v>
          </cell>
          <cell r="CG108">
            <v>0</v>
          </cell>
          <cell r="CH108">
            <v>6</v>
          </cell>
          <cell r="CI108">
            <v>6</v>
          </cell>
          <cell r="CJ108">
            <v>6</v>
          </cell>
          <cell r="CK108">
            <v>6</v>
          </cell>
          <cell r="CL108">
            <v>6</v>
          </cell>
          <cell r="CM108">
            <v>6</v>
          </cell>
          <cell r="CN108">
            <v>24</v>
          </cell>
          <cell r="CO108">
            <v>6</v>
          </cell>
          <cell r="CP108">
            <v>6</v>
          </cell>
          <cell r="CQ108">
            <v>6</v>
          </cell>
          <cell r="CR108">
            <v>6</v>
          </cell>
          <cell r="CS108">
            <v>24</v>
          </cell>
          <cell r="CT108">
            <v>6</v>
          </cell>
          <cell r="CU108">
            <v>4</v>
          </cell>
          <cell r="CV108">
            <v>1</v>
          </cell>
          <cell r="CW108">
            <v>-1.1368683772161603E-13</v>
          </cell>
          <cell r="CX108">
            <v>10.999999999999545</v>
          </cell>
          <cell r="CY108">
            <v>0</v>
          </cell>
          <cell r="CZ108">
            <v>0</v>
          </cell>
          <cell r="DA108">
            <v>-1.1368683772161603E-13</v>
          </cell>
          <cell r="DB108">
            <v>0</v>
          </cell>
          <cell r="DC108">
            <v>-7.9580786405131221E-13</v>
          </cell>
          <cell r="DD108">
            <v>0</v>
          </cell>
          <cell r="DE108">
            <v>0</v>
          </cell>
          <cell r="DF108">
            <v>0</v>
          </cell>
          <cell r="DG108">
            <v>0</v>
          </cell>
          <cell r="DH108">
            <v>-6.8212102632969618E-13</v>
          </cell>
          <cell r="DI108">
            <v>0</v>
          </cell>
          <cell r="DJ108">
            <v>0</v>
          </cell>
          <cell r="DK108">
            <v>0</v>
          </cell>
          <cell r="DL108">
            <v>0</v>
          </cell>
          <cell r="DM108">
            <v>7.3896444519050419E-13</v>
          </cell>
          <cell r="DN108">
            <v>0</v>
          </cell>
          <cell r="DO108">
            <v>0</v>
          </cell>
          <cell r="DP108">
            <v>0</v>
          </cell>
          <cell r="DQ108">
            <v>0</v>
          </cell>
          <cell r="DR108">
            <v>8.5265128291212022E-13</v>
          </cell>
          <cell r="DW108" t="str">
            <v>mstag:changeInAccumulatedOtherComprehensiveIncomeLossOrOtherReserves</v>
          </cell>
          <cell r="DX108">
            <v>6</v>
          </cell>
          <cell r="DY108" t="str">
            <v>ISO4217:USD</v>
          </cell>
          <cell r="DZ108" t="b">
            <v>0</v>
          </cell>
        </row>
        <row r="109">
          <cell r="B109" t="str">
            <v>EOP shareholders' equity</v>
          </cell>
          <cell r="D109">
            <v>1388.164</v>
          </cell>
          <cell r="E109">
            <v>1434.6</v>
          </cell>
          <cell r="F109">
            <v>1485</v>
          </cell>
          <cell r="G109">
            <v>1986</v>
          </cell>
          <cell r="H109">
            <v>1986</v>
          </cell>
          <cell r="I109">
            <v>2105.9</v>
          </cell>
          <cell r="J109">
            <v>2355</v>
          </cell>
          <cell r="K109">
            <v>2655.8</v>
          </cell>
          <cell r="L109">
            <v>2636</v>
          </cell>
          <cell r="M109">
            <v>2636</v>
          </cell>
          <cell r="N109">
            <v>2763.8</v>
          </cell>
          <cell r="O109">
            <v>2846.2000000000003</v>
          </cell>
          <cell r="P109">
            <v>3474.8</v>
          </cell>
          <cell r="Q109">
            <v>3224</v>
          </cell>
          <cell r="R109">
            <v>3224</v>
          </cell>
          <cell r="S109">
            <v>3381</v>
          </cell>
          <cell r="T109">
            <v>3460</v>
          </cell>
          <cell r="U109">
            <v>3693</v>
          </cell>
          <cell r="V109">
            <v>3558</v>
          </cell>
          <cell r="W109">
            <v>3558</v>
          </cell>
          <cell r="X109">
            <v>3663</v>
          </cell>
          <cell r="Y109">
            <v>3864</v>
          </cell>
          <cell r="Z109">
            <v>3973</v>
          </cell>
          <cell r="AA109">
            <v>3870</v>
          </cell>
          <cell r="AB109">
            <v>3870</v>
          </cell>
          <cell r="AC109">
            <v>3952</v>
          </cell>
          <cell r="AD109">
            <v>4089</v>
          </cell>
          <cell r="AE109">
            <v>4103</v>
          </cell>
          <cell r="AF109">
            <v>4066</v>
          </cell>
          <cell r="AG109">
            <v>4066</v>
          </cell>
          <cell r="AH109">
            <v>4293</v>
          </cell>
          <cell r="AI109">
            <v>4584</v>
          </cell>
          <cell r="AJ109">
            <v>4940</v>
          </cell>
          <cell r="AK109">
            <v>5079</v>
          </cell>
          <cell r="AL109">
            <v>5079</v>
          </cell>
          <cell r="AM109">
            <v>5284</v>
          </cell>
          <cell r="AN109">
            <v>5301</v>
          </cell>
          <cell r="AO109">
            <v>5465</v>
          </cell>
          <cell r="AP109">
            <v>5619</v>
          </cell>
          <cell r="AQ109">
            <v>5619</v>
          </cell>
          <cell r="AR109">
            <v>5881</v>
          </cell>
          <cell r="AS109">
            <v>5893</v>
          </cell>
          <cell r="AT109">
            <v>5762</v>
          </cell>
          <cell r="AZ109">
            <v>5723</v>
          </cell>
          <cell r="BA109">
            <v>5743</v>
          </cell>
          <cell r="BB109">
            <v>5531</v>
          </cell>
          <cell r="BC109">
            <v>5272</v>
          </cell>
          <cell r="BD109">
            <v>4361</v>
          </cell>
          <cell r="BE109">
            <v>4361</v>
          </cell>
          <cell r="BF109">
            <v>4268</v>
          </cell>
          <cell r="BG109">
            <v>3887</v>
          </cell>
          <cell r="BH109">
            <v>3849</v>
          </cell>
          <cell r="BI109">
            <v>1732</v>
          </cell>
          <cell r="BJ109">
            <v>1732</v>
          </cell>
          <cell r="BK109">
            <v>1723</v>
          </cell>
          <cell r="BL109">
            <v>1709</v>
          </cell>
          <cell r="BM109">
            <v>1324</v>
          </cell>
          <cell r="BN109">
            <v>1021</v>
          </cell>
          <cell r="BO109">
            <v>1021</v>
          </cell>
          <cell r="BP109">
            <v>1099</v>
          </cell>
          <cell r="BQ109">
            <v>707</v>
          </cell>
          <cell r="BR109">
            <v>631</v>
          </cell>
          <cell r="BS109">
            <v>264</v>
          </cell>
          <cell r="BT109">
            <v>264</v>
          </cell>
          <cell r="BU109">
            <v>167</v>
          </cell>
          <cell r="BV109">
            <v>149</v>
          </cell>
          <cell r="BW109">
            <v>101</v>
          </cell>
          <cell r="BX109">
            <v>54</v>
          </cell>
          <cell r="BY109">
            <v>54</v>
          </cell>
          <cell r="BZ109">
            <v>32</v>
          </cell>
          <cell r="CA109">
            <v>29</v>
          </cell>
          <cell r="CB109">
            <v>136</v>
          </cell>
          <cell r="CC109">
            <v>103</v>
          </cell>
          <cell r="CD109">
            <v>103</v>
          </cell>
          <cell r="CE109">
            <v>291</v>
          </cell>
          <cell r="CF109">
            <v>286</v>
          </cell>
          <cell r="CG109">
            <v>626</v>
          </cell>
          <cell r="CH109">
            <v>646</v>
          </cell>
          <cell r="CI109">
            <v>646</v>
          </cell>
          <cell r="CJ109">
            <v>739</v>
          </cell>
          <cell r="CK109">
            <v>772</v>
          </cell>
          <cell r="CL109">
            <v>1711</v>
          </cell>
          <cell r="CM109">
            <v>1766</v>
          </cell>
          <cell r="CN109">
            <v>1766</v>
          </cell>
          <cell r="CO109">
            <v>1844</v>
          </cell>
          <cell r="CP109">
            <v>1810</v>
          </cell>
          <cell r="CQ109">
            <v>1698</v>
          </cell>
          <cell r="CR109">
            <v>1423</v>
          </cell>
          <cell r="CS109">
            <v>1423</v>
          </cell>
          <cell r="CT109">
            <v>1460</v>
          </cell>
          <cell r="CU109">
            <v>1176</v>
          </cell>
          <cell r="CV109">
            <v>1224</v>
          </cell>
          <cell r="CW109">
            <v>1293.7919732096275</v>
          </cell>
          <cell r="CX109">
            <v>1293.7919732096275</v>
          </cell>
          <cell r="CY109">
            <v>1335.9385855647201</v>
          </cell>
          <cell r="CZ109">
            <v>1421.7921669820323</v>
          </cell>
          <cell r="DA109">
            <v>1492.2582158202845</v>
          </cell>
          <cell r="DB109">
            <v>1605.9342118571192</v>
          </cell>
          <cell r="DC109">
            <v>1605.934211857119</v>
          </cell>
          <cell r="DD109">
            <v>1684.9248638383506</v>
          </cell>
          <cell r="DE109">
            <v>1791.0176838296456</v>
          </cell>
          <cell r="DF109">
            <v>1876.4009341940866</v>
          </cell>
          <cell r="DG109">
            <v>2010.1144268221642</v>
          </cell>
          <cell r="DH109">
            <v>2010.114426822164</v>
          </cell>
          <cell r="DI109">
            <v>2103.4274786756514</v>
          </cell>
          <cell r="DJ109">
            <v>2215.8213085405569</v>
          </cell>
          <cell r="DK109">
            <v>2309.7570163021028</v>
          </cell>
          <cell r="DL109">
            <v>2458.091565099463</v>
          </cell>
          <cell r="DM109">
            <v>2458.0915650994625</v>
          </cell>
          <cell r="DN109">
            <v>2567.884386115511</v>
          </cell>
          <cell r="DO109">
            <v>2693.5067161063766</v>
          </cell>
          <cell r="DP109">
            <v>2800.2441578870985</v>
          </cell>
          <cell r="DQ109">
            <v>2962.1453005398234</v>
          </cell>
          <cell r="DR109">
            <v>2962.1453005398234</v>
          </cell>
        </row>
        <row r="110">
          <cell r="B110" t="str">
            <v>EOP shareholders' equity from BS</v>
          </cell>
          <cell r="D110">
            <v>1388.164</v>
          </cell>
          <cell r="E110">
            <v>1434.6</v>
          </cell>
          <cell r="F110">
            <v>1485</v>
          </cell>
          <cell r="G110">
            <v>1986</v>
          </cell>
          <cell r="H110">
            <v>1986</v>
          </cell>
          <cell r="I110">
            <v>2105.9</v>
          </cell>
          <cell r="J110">
            <v>2355</v>
          </cell>
          <cell r="K110">
            <v>2655.8</v>
          </cell>
          <cell r="L110">
            <v>2636</v>
          </cell>
          <cell r="M110">
            <v>2636</v>
          </cell>
          <cell r="N110">
            <v>2763.8</v>
          </cell>
          <cell r="O110">
            <v>2846.2000000000003</v>
          </cell>
          <cell r="P110">
            <v>3474.8</v>
          </cell>
          <cell r="Q110">
            <v>3224</v>
          </cell>
          <cell r="R110">
            <v>3224</v>
          </cell>
          <cell r="S110">
            <v>3381</v>
          </cell>
          <cell r="T110">
            <v>3460</v>
          </cell>
          <cell r="U110">
            <v>3693</v>
          </cell>
          <cell r="V110">
            <v>3558</v>
          </cell>
          <cell r="W110">
            <v>3558</v>
          </cell>
          <cell r="X110">
            <v>3663</v>
          </cell>
          <cell r="Y110">
            <v>3864</v>
          </cell>
          <cell r="Z110">
            <v>3973</v>
          </cell>
          <cell r="AA110">
            <v>3870</v>
          </cell>
          <cell r="AB110">
            <v>3870</v>
          </cell>
          <cell r="AC110">
            <v>3952</v>
          </cell>
          <cell r="AD110">
            <v>4089</v>
          </cell>
          <cell r="AE110">
            <v>4103</v>
          </cell>
          <cell r="AF110">
            <v>4066</v>
          </cell>
          <cell r="AG110">
            <v>4066</v>
          </cell>
          <cell r="AH110">
            <v>4293</v>
          </cell>
          <cell r="AI110">
            <v>4584</v>
          </cell>
          <cell r="AJ110">
            <v>4940</v>
          </cell>
          <cell r="AK110">
            <v>5079</v>
          </cell>
          <cell r="AL110">
            <v>5079</v>
          </cell>
          <cell r="AM110">
            <v>5284</v>
          </cell>
          <cell r="AN110">
            <v>5301</v>
          </cell>
          <cell r="AO110">
            <v>5465</v>
          </cell>
          <cell r="AP110">
            <v>5619</v>
          </cell>
          <cell r="AQ110">
            <v>5619</v>
          </cell>
          <cell r="AR110">
            <v>5881</v>
          </cell>
          <cell r="AS110">
            <v>5893</v>
          </cell>
          <cell r="AT110">
            <v>5762</v>
          </cell>
          <cell r="BA110">
            <v>5743</v>
          </cell>
          <cell r="BB110">
            <v>5531</v>
          </cell>
          <cell r="BC110">
            <v>5272</v>
          </cell>
          <cell r="BD110">
            <v>4361</v>
          </cell>
          <cell r="BE110">
            <v>4361</v>
          </cell>
          <cell r="BF110">
            <v>4268</v>
          </cell>
          <cell r="BG110">
            <v>3887</v>
          </cell>
          <cell r="BH110">
            <v>3849</v>
          </cell>
          <cell r="BI110">
            <v>1732</v>
          </cell>
          <cell r="BJ110">
            <v>1732</v>
          </cell>
          <cell r="BK110">
            <v>1723</v>
          </cell>
          <cell r="BL110">
            <v>1709</v>
          </cell>
          <cell r="BM110">
            <v>1324</v>
          </cell>
          <cell r="BN110">
            <v>1021</v>
          </cell>
          <cell r="BO110">
            <v>1021</v>
          </cell>
          <cell r="BP110">
            <v>1099</v>
          </cell>
          <cell r="BQ110">
            <v>707</v>
          </cell>
          <cell r="BR110">
            <v>631</v>
          </cell>
          <cell r="BS110">
            <v>264</v>
          </cell>
          <cell r="BT110">
            <v>264</v>
          </cell>
          <cell r="BU110">
            <v>167</v>
          </cell>
          <cell r="BV110">
            <v>149</v>
          </cell>
          <cell r="BW110">
            <v>101</v>
          </cell>
          <cell r="BX110">
            <v>54</v>
          </cell>
          <cell r="BY110">
            <v>54</v>
          </cell>
          <cell r="BZ110">
            <v>32</v>
          </cell>
          <cell r="CA110">
            <v>29</v>
          </cell>
          <cell r="CB110">
            <v>136</v>
          </cell>
          <cell r="CC110">
            <v>103</v>
          </cell>
          <cell r="CD110">
            <v>103</v>
          </cell>
          <cell r="CE110">
            <v>291</v>
          </cell>
          <cell r="CF110">
            <v>286</v>
          </cell>
          <cell r="CG110">
            <v>626</v>
          </cell>
          <cell r="CH110">
            <v>646</v>
          </cell>
          <cell r="CI110">
            <v>646</v>
          </cell>
          <cell r="CJ110">
            <v>739</v>
          </cell>
          <cell r="CK110">
            <v>772</v>
          </cell>
          <cell r="CL110">
            <v>1711</v>
          </cell>
          <cell r="CM110">
            <v>1766</v>
          </cell>
          <cell r="CN110">
            <v>1766</v>
          </cell>
          <cell r="CO110">
            <v>1844</v>
          </cell>
          <cell r="CP110">
            <v>1810</v>
          </cell>
          <cell r="CQ110">
            <v>1698</v>
          </cell>
          <cell r="CR110">
            <v>1423</v>
          </cell>
          <cell r="CS110">
            <v>1423</v>
          </cell>
          <cell r="CT110">
            <v>1460</v>
          </cell>
          <cell r="CU110">
            <v>1176</v>
          </cell>
          <cell r="CV110">
            <v>1224</v>
          </cell>
          <cell r="CW110">
            <v>1293.7919732096275</v>
          </cell>
          <cell r="CX110">
            <v>1293.7919732096275</v>
          </cell>
          <cell r="CY110">
            <v>1335.9385855647201</v>
          </cell>
          <cell r="CZ110">
            <v>1421.7921669820325</v>
          </cell>
          <cell r="DA110">
            <v>1492.258215820284</v>
          </cell>
          <cell r="DB110">
            <v>1605.9342118571194</v>
          </cell>
          <cell r="DC110">
            <v>1605.9342118571194</v>
          </cell>
          <cell r="DD110">
            <v>1684.9248638383506</v>
          </cell>
          <cell r="DE110">
            <v>1791.0176838296456</v>
          </cell>
          <cell r="DF110">
            <v>1876.4009341940864</v>
          </cell>
          <cell r="DG110">
            <v>2010.1144268221642</v>
          </cell>
          <cell r="DH110">
            <v>2010.1144268221642</v>
          </cell>
          <cell r="DI110">
            <v>2103.4274786756514</v>
          </cell>
          <cell r="DJ110">
            <v>2215.8213085405573</v>
          </cell>
          <cell r="DK110">
            <v>2309.7570163021028</v>
          </cell>
          <cell r="DL110">
            <v>2458.091565099463</v>
          </cell>
          <cell r="DM110">
            <v>2458.091565099463</v>
          </cell>
          <cell r="DN110">
            <v>2567.884386115511</v>
          </cell>
          <cell r="DO110">
            <v>2693.5067161063762</v>
          </cell>
          <cell r="DP110">
            <v>2800.2441578870985</v>
          </cell>
          <cell r="DQ110">
            <v>2962.1453005398234</v>
          </cell>
          <cell r="DR110">
            <v>2962.1453005398234</v>
          </cell>
        </row>
        <row r="111">
          <cell r="B111" t="str">
            <v>Check</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row>
        <row r="114">
          <cell r="B114" t="str">
            <v>Property &amp; Equipment, net - EOP</v>
          </cell>
          <cell r="D114">
            <v>1794.4960000000001</v>
          </cell>
          <cell r="E114">
            <v>1780.9</v>
          </cell>
          <cell r="F114">
            <v>1786.7</v>
          </cell>
          <cell r="G114">
            <v>3319</v>
          </cell>
          <cell r="H114">
            <v>3319</v>
          </cell>
          <cell r="I114">
            <v>3418</v>
          </cell>
          <cell r="J114">
            <v>3563.5</v>
          </cell>
          <cell r="K114">
            <v>3590</v>
          </cell>
          <cell r="L114">
            <v>3648</v>
          </cell>
          <cell r="M114">
            <v>3648</v>
          </cell>
          <cell r="N114">
            <v>3689</v>
          </cell>
          <cell r="O114">
            <v>3738.1</v>
          </cell>
          <cell r="P114">
            <v>5283.3</v>
          </cell>
          <cell r="Q114">
            <v>5490</v>
          </cell>
          <cell r="R114">
            <v>5490</v>
          </cell>
          <cell r="S114">
            <v>5657</v>
          </cell>
          <cell r="T114">
            <v>5677</v>
          </cell>
          <cell r="U114">
            <v>5835</v>
          </cell>
          <cell r="V114">
            <v>5987</v>
          </cell>
          <cell r="W114">
            <v>5987</v>
          </cell>
          <cell r="X114">
            <v>6103</v>
          </cell>
          <cell r="Y114">
            <v>6422</v>
          </cell>
          <cell r="Z114">
            <v>6432</v>
          </cell>
          <cell r="AA114">
            <v>5839</v>
          </cell>
          <cell r="AB114">
            <v>5839</v>
          </cell>
          <cell r="AC114">
            <v>5818</v>
          </cell>
          <cell r="AD114">
            <v>5843</v>
          </cell>
          <cell r="AE114">
            <v>5793</v>
          </cell>
          <cell r="AF114">
            <v>5894</v>
          </cell>
          <cell r="AG114">
            <v>5894</v>
          </cell>
          <cell r="AH114">
            <v>5842</v>
          </cell>
          <cell r="AI114">
            <v>5863</v>
          </cell>
          <cell r="AJ114">
            <v>5892</v>
          </cell>
          <cell r="AK114">
            <v>5976</v>
          </cell>
          <cell r="AL114">
            <v>5976</v>
          </cell>
          <cell r="AM114">
            <v>6221</v>
          </cell>
          <cell r="AN114">
            <v>6308</v>
          </cell>
          <cell r="AO114">
            <v>6391</v>
          </cell>
          <cell r="AP114">
            <v>6585</v>
          </cell>
          <cell r="AQ114">
            <v>6585</v>
          </cell>
          <cell r="AR114">
            <v>6564</v>
          </cell>
          <cell r="AS114">
            <v>6679</v>
          </cell>
          <cell r="AT114">
            <v>6412</v>
          </cell>
          <cell r="AZ114">
            <v>6359</v>
          </cell>
          <cell r="BA114">
            <v>6051</v>
          </cell>
          <cell r="BB114">
            <v>5899</v>
          </cell>
          <cell r="BC114">
            <v>5914</v>
          </cell>
          <cell r="BD114">
            <v>5557</v>
          </cell>
          <cell r="BE114">
            <v>5557</v>
          </cell>
          <cell r="BF114">
            <v>4868</v>
          </cell>
          <cell r="BG114">
            <v>4823</v>
          </cell>
          <cell r="BH114">
            <v>4837</v>
          </cell>
          <cell r="BI114">
            <v>4820</v>
          </cell>
          <cell r="BJ114">
            <v>4820</v>
          </cell>
          <cell r="BK114">
            <v>4817</v>
          </cell>
          <cell r="BL114">
            <v>4849</v>
          </cell>
          <cell r="BM114">
            <v>4593</v>
          </cell>
          <cell r="BN114">
            <v>4620</v>
          </cell>
          <cell r="BO114">
            <v>4620</v>
          </cell>
          <cell r="BP114">
            <v>4601</v>
          </cell>
          <cell r="BQ114">
            <v>4276</v>
          </cell>
          <cell r="BR114">
            <v>4317</v>
          </cell>
          <cell r="BS114">
            <v>4299</v>
          </cell>
          <cell r="BT114">
            <v>4299</v>
          </cell>
          <cell r="BU114">
            <v>4275</v>
          </cell>
          <cell r="BV114">
            <v>4354</v>
          </cell>
          <cell r="BW114">
            <v>4403</v>
          </cell>
          <cell r="BX114">
            <v>4645</v>
          </cell>
          <cell r="BY114">
            <v>4645</v>
          </cell>
          <cell r="BZ114">
            <v>4622</v>
          </cell>
          <cell r="CA114">
            <v>4274</v>
          </cell>
          <cell r="CB114">
            <v>4239</v>
          </cell>
          <cell r="CC114">
            <v>4291</v>
          </cell>
          <cell r="CD114">
            <v>4291</v>
          </cell>
          <cell r="CE114">
            <v>4236</v>
          </cell>
          <cell r="CF114">
            <v>4182</v>
          </cell>
          <cell r="CG114">
            <v>4172</v>
          </cell>
          <cell r="CH114">
            <v>4313</v>
          </cell>
          <cell r="CI114">
            <v>4313</v>
          </cell>
          <cell r="CJ114">
            <v>4249</v>
          </cell>
          <cell r="CK114">
            <v>4211</v>
          </cell>
          <cell r="CL114">
            <v>4239</v>
          </cell>
          <cell r="CM114">
            <v>4304</v>
          </cell>
          <cell r="CN114">
            <v>4304</v>
          </cell>
          <cell r="CO114">
            <v>4262</v>
          </cell>
          <cell r="CP114">
            <v>4238</v>
          </cell>
          <cell r="CQ114">
            <v>4201</v>
          </cell>
          <cell r="CR114">
            <v>4350</v>
          </cell>
          <cell r="CS114">
            <v>4350</v>
          </cell>
          <cell r="CT114">
            <v>4324</v>
          </cell>
          <cell r="CU114">
            <v>4181</v>
          </cell>
          <cell r="CV114">
            <v>4173</v>
          </cell>
          <cell r="CW114">
            <v>4208</v>
          </cell>
          <cell r="CX114">
            <v>4208</v>
          </cell>
          <cell r="CY114">
            <v>4380.0124999999998</v>
          </cell>
          <cell r="CZ114">
            <v>4402.0249999999996</v>
          </cell>
          <cell r="DA114">
            <v>4424.0374999999995</v>
          </cell>
          <cell r="DB114">
            <v>4451.0499999999993</v>
          </cell>
          <cell r="DC114">
            <v>4451.0499999999993</v>
          </cell>
          <cell r="DD114">
            <v>4471.8993749999991</v>
          </cell>
          <cell r="DE114">
            <v>4492.7487499999988</v>
          </cell>
          <cell r="DF114">
            <v>4513.5981249999986</v>
          </cell>
          <cell r="DG114">
            <v>4534.4474999999984</v>
          </cell>
          <cell r="DH114">
            <v>4534.4474999999984</v>
          </cell>
          <cell r="DI114">
            <v>4554.2544062499983</v>
          </cell>
          <cell r="DJ114">
            <v>4574.0613124999982</v>
          </cell>
          <cell r="DK114">
            <v>4593.8682187499981</v>
          </cell>
          <cell r="DL114">
            <v>4613.6751249999979</v>
          </cell>
          <cell r="DM114">
            <v>4613.6751249999979</v>
          </cell>
          <cell r="DN114">
            <v>4632.491685937498</v>
          </cell>
          <cell r="DO114">
            <v>4651.3082468749981</v>
          </cell>
          <cell r="DP114">
            <v>4670.1248078124981</v>
          </cell>
          <cell r="DQ114">
            <v>4688.9413687499982</v>
          </cell>
          <cell r="DR114">
            <v>4688.9413687499982</v>
          </cell>
        </row>
        <row r="115">
          <cell r="B115" t="str">
            <v>check</v>
          </cell>
          <cell r="D115" t="str">
            <v>ok</v>
          </cell>
          <cell r="E115" t="str">
            <v>ok</v>
          </cell>
          <cell r="F115" t="str">
            <v>ok</v>
          </cell>
          <cell r="G115" t="str">
            <v>ok</v>
          </cell>
          <cell r="H115" t="str">
            <v>ok</v>
          </cell>
          <cell r="I115" t="str">
            <v>ok</v>
          </cell>
          <cell r="J115" t="str">
            <v>ok</v>
          </cell>
          <cell r="K115" t="str">
            <v>ok</v>
          </cell>
          <cell r="L115" t="str">
            <v>ok</v>
          </cell>
          <cell r="M115" t="str">
            <v>ok</v>
          </cell>
          <cell r="N115" t="str">
            <v>ok</v>
          </cell>
          <cell r="O115" t="str">
            <v>ok</v>
          </cell>
          <cell r="P115" t="str">
            <v>ok</v>
          </cell>
          <cell r="Q115" t="str">
            <v>ok</v>
          </cell>
          <cell r="R115" t="str">
            <v>ok</v>
          </cell>
          <cell r="S115" t="str">
            <v>ok</v>
          </cell>
          <cell r="T115" t="str">
            <v>ok</v>
          </cell>
          <cell r="U115" t="str">
            <v>ok</v>
          </cell>
          <cell r="V115" t="str">
            <v>ok</v>
          </cell>
          <cell r="W115" t="str">
            <v>ok</v>
          </cell>
          <cell r="X115" t="str">
            <v>ok</v>
          </cell>
          <cell r="Y115" t="str">
            <v>ok</v>
          </cell>
          <cell r="Z115" t="str">
            <v>ok</v>
          </cell>
          <cell r="AA115" t="str">
            <v>ok</v>
          </cell>
          <cell r="AB115" t="str">
            <v>ok</v>
          </cell>
          <cell r="AC115" t="str">
            <v>ok</v>
          </cell>
          <cell r="AD115" t="str">
            <v>ok</v>
          </cell>
          <cell r="AE115" t="str">
            <v>ok</v>
          </cell>
          <cell r="AF115" t="str">
            <v>ok</v>
          </cell>
          <cell r="AG115" t="str">
            <v>ok</v>
          </cell>
          <cell r="AH115" t="str">
            <v>ok</v>
          </cell>
          <cell r="AI115" t="str">
            <v>ok</v>
          </cell>
          <cell r="AJ115" t="str">
            <v>ok</v>
          </cell>
          <cell r="AK115" t="str">
            <v>ok</v>
          </cell>
          <cell r="AL115" t="str">
            <v>ok</v>
          </cell>
          <cell r="AM115" t="str">
            <v>ok</v>
          </cell>
          <cell r="AN115" t="str">
            <v>ok</v>
          </cell>
          <cell r="AO115" t="str">
            <v>ok</v>
          </cell>
          <cell r="AP115" t="str">
            <v>ok</v>
          </cell>
          <cell r="AQ115" t="str">
            <v>ok</v>
          </cell>
          <cell r="AR115" t="str">
            <v>ok</v>
          </cell>
          <cell r="AS115" t="str">
            <v>ok</v>
          </cell>
          <cell r="AT115" t="str">
            <v>ok</v>
          </cell>
          <cell r="AZ115" t="str">
            <v>ok</v>
          </cell>
          <cell r="BA115" t="str">
            <v>ok</v>
          </cell>
          <cell r="BB115" t="str">
            <v>ok</v>
          </cell>
          <cell r="BC115" t="str">
            <v>ok</v>
          </cell>
          <cell r="BD115" t="str">
            <v>ok</v>
          </cell>
          <cell r="BE115" t="str">
            <v>ok</v>
          </cell>
          <cell r="BF115" t="str">
            <v>ok</v>
          </cell>
          <cell r="BG115" t="str">
            <v>ok</v>
          </cell>
          <cell r="BH115" t="str">
            <v>ok</v>
          </cell>
          <cell r="BI115" t="str">
            <v>ok</v>
          </cell>
          <cell r="BJ115" t="str">
            <v>ok</v>
          </cell>
          <cell r="BK115" t="str">
            <v>ok</v>
          </cell>
          <cell r="BL115" t="str">
            <v>ok</v>
          </cell>
          <cell r="BM115" t="str">
            <v>ok</v>
          </cell>
          <cell r="BN115" t="str">
            <v>ok</v>
          </cell>
          <cell r="BO115" t="str">
            <v>ok</v>
          </cell>
          <cell r="BP115" t="str">
            <v>ok</v>
          </cell>
          <cell r="BQ115" t="str">
            <v>ok</v>
          </cell>
          <cell r="BR115" t="str">
            <v>ok</v>
          </cell>
          <cell r="BS115" t="str">
            <v>ok</v>
          </cell>
          <cell r="BT115" t="str">
            <v>ok</v>
          </cell>
          <cell r="BU115" t="str">
            <v>ok</v>
          </cell>
          <cell r="BV115" t="str">
            <v>ok</v>
          </cell>
          <cell r="BW115" t="str">
            <v>ok</v>
          </cell>
          <cell r="BX115" t="str">
            <v>ok</v>
          </cell>
          <cell r="BY115" t="str">
            <v>ok</v>
          </cell>
          <cell r="BZ115" t="str">
            <v>ok</v>
          </cell>
          <cell r="CA115" t="str">
            <v>ok</v>
          </cell>
          <cell r="CB115" t="str">
            <v>ok</v>
          </cell>
          <cell r="CC115" t="str">
            <v>ok</v>
          </cell>
          <cell r="CD115" t="str">
            <v>ok</v>
          </cell>
          <cell r="CE115" t="str">
            <v>ok</v>
          </cell>
          <cell r="CF115" t="str">
            <v>ok</v>
          </cell>
          <cell r="CG115" t="str">
            <v>ok</v>
          </cell>
          <cell r="CH115" t="str">
            <v>ok</v>
          </cell>
          <cell r="CI115" t="str">
            <v>ok</v>
          </cell>
          <cell r="CJ115" t="str">
            <v>ok</v>
          </cell>
          <cell r="CK115" t="str">
            <v>ok</v>
          </cell>
          <cell r="CL115" t="str">
            <v>ok</v>
          </cell>
          <cell r="CM115" t="str">
            <v>ok</v>
          </cell>
          <cell r="CN115" t="str">
            <v>ok</v>
          </cell>
          <cell r="CO115" t="str">
            <v>ok</v>
          </cell>
          <cell r="CP115" t="str">
            <v>ok</v>
          </cell>
          <cell r="CQ115" t="str">
            <v>ok</v>
          </cell>
          <cell r="CR115" t="str">
            <v>ok</v>
          </cell>
          <cell r="CS115" t="str">
            <v>ok</v>
          </cell>
          <cell r="CT115" t="str">
            <v>ok</v>
          </cell>
          <cell r="CU115" t="str">
            <v>ok</v>
          </cell>
          <cell r="CV115" t="str">
            <v>ok</v>
          </cell>
          <cell r="CW115" t="str">
            <v>ok</v>
          </cell>
          <cell r="CX115" t="str">
            <v>ok</v>
          </cell>
          <cell r="CY115" t="str">
            <v>ok</v>
          </cell>
          <cell r="CZ115" t="str">
            <v>ok</v>
          </cell>
          <cell r="DA115" t="str">
            <v>ok</v>
          </cell>
          <cell r="DB115" t="str">
            <v>ok</v>
          </cell>
          <cell r="DC115" t="str">
            <v>ok</v>
          </cell>
          <cell r="DD115" t="str">
            <v>ok</v>
          </cell>
          <cell r="DE115" t="str">
            <v>ok</v>
          </cell>
          <cell r="DF115" t="str">
            <v>ok</v>
          </cell>
          <cell r="DG115" t="str">
            <v>ok</v>
          </cell>
          <cell r="DH115" t="str">
            <v>ok</v>
          </cell>
          <cell r="DI115" t="str">
            <v>ok</v>
          </cell>
          <cell r="DJ115" t="str">
            <v>ok</v>
          </cell>
          <cell r="DK115" t="str">
            <v>ok</v>
          </cell>
          <cell r="DL115" t="str">
            <v>ok</v>
          </cell>
          <cell r="DM115" t="str">
            <v>ok</v>
          </cell>
          <cell r="DN115" t="str">
            <v>ok</v>
          </cell>
          <cell r="DO115" t="str">
            <v>ok</v>
          </cell>
          <cell r="DP115" t="str">
            <v>ok</v>
          </cell>
          <cell r="DQ115" t="str">
            <v>ok</v>
          </cell>
          <cell r="DR115" t="str">
            <v>ok</v>
          </cell>
        </row>
        <row r="116">
          <cell r="B116" t="str">
            <v>Plus:  Accumulated Depreciation</v>
          </cell>
          <cell r="D116">
            <v>788.17399999999998</v>
          </cell>
          <cell r="E116">
            <v>841.6</v>
          </cell>
          <cell r="F116">
            <v>876.5</v>
          </cell>
          <cell r="G116">
            <v>824</v>
          </cell>
          <cell r="H116">
            <v>824</v>
          </cell>
          <cell r="I116">
            <v>840.9</v>
          </cell>
          <cell r="J116">
            <v>901.2</v>
          </cell>
          <cell r="K116">
            <v>957.8</v>
          </cell>
          <cell r="L116">
            <v>950</v>
          </cell>
          <cell r="M116">
            <v>950</v>
          </cell>
          <cell r="N116">
            <v>1012.8</v>
          </cell>
          <cell r="O116">
            <v>1051.8</v>
          </cell>
          <cell r="P116">
            <v>1482</v>
          </cell>
          <cell r="Q116">
            <v>1432</v>
          </cell>
          <cell r="R116">
            <v>1432</v>
          </cell>
          <cell r="S116">
            <v>1517</v>
          </cell>
          <cell r="T116">
            <v>1592</v>
          </cell>
          <cell r="U116">
            <v>1728</v>
          </cell>
          <cell r="V116">
            <v>1761</v>
          </cell>
          <cell r="W116">
            <v>1761</v>
          </cell>
          <cell r="X116">
            <v>1857</v>
          </cell>
          <cell r="Y116">
            <v>1951</v>
          </cell>
          <cell r="Z116">
            <v>2033</v>
          </cell>
          <cell r="AA116">
            <v>1864</v>
          </cell>
          <cell r="AB116">
            <v>1864</v>
          </cell>
          <cell r="AC116">
            <v>1962</v>
          </cell>
          <cell r="AD116">
            <v>2052</v>
          </cell>
          <cell r="AE116">
            <v>2088</v>
          </cell>
          <cell r="AF116">
            <v>2247</v>
          </cell>
          <cell r="AG116">
            <v>2247</v>
          </cell>
          <cell r="AH116">
            <v>2347</v>
          </cell>
          <cell r="AI116">
            <v>2447</v>
          </cell>
          <cell r="AJ116">
            <v>2546</v>
          </cell>
          <cell r="AK116">
            <v>2607</v>
          </cell>
          <cell r="AL116">
            <v>2607</v>
          </cell>
          <cell r="AM116">
            <v>2756</v>
          </cell>
          <cell r="AN116">
            <v>2907</v>
          </cell>
          <cell r="AO116">
            <v>3061</v>
          </cell>
          <cell r="AP116">
            <v>2986</v>
          </cell>
          <cell r="AQ116">
            <v>2986</v>
          </cell>
          <cell r="AR116">
            <v>3114</v>
          </cell>
          <cell r="AS116">
            <v>3244</v>
          </cell>
          <cell r="AT116">
            <v>3376</v>
          </cell>
          <cell r="AZ116">
            <v>3014</v>
          </cell>
          <cell r="BA116">
            <v>3133</v>
          </cell>
          <cell r="BB116">
            <v>3253</v>
          </cell>
          <cell r="BC116">
            <v>3365</v>
          </cell>
          <cell r="BD116">
            <v>2556</v>
          </cell>
          <cell r="BE116">
            <v>2556</v>
          </cell>
          <cell r="BF116">
            <v>2652</v>
          </cell>
          <cell r="BG116">
            <v>2747</v>
          </cell>
          <cell r="BH116">
            <v>2650</v>
          </cell>
          <cell r="BI116">
            <v>2574</v>
          </cell>
          <cell r="BJ116">
            <v>2574</v>
          </cell>
          <cell r="BK116">
            <v>2652</v>
          </cell>
          <cell r="BL116">
            <v>2722</v>
          </cell>
          <cell r="BM116">
            <v>2661</v>
          </cell>
          <cell r="BN116">
            <v>2582</v>
          </cell>
          <cell r="BO116">
            <v>2582</v>
          </cell>
          <cell r="BP116">
            <v>2621</v>
          </cell>
          <cell r="BQ116">
            <v>2541</v>
          </cell>
          <cell r="BR116">
            <v>2608</v>
          </cell>
          <cell r="BS116">
            <v>2548</v>
          </cell>
          <cell r="BT116">
            <v>2548</v>
          </cell>
          <cell r="BU116">
            <v>2616</v>
          </cell>
          <cell r="BV116">
            <v>2666</v>
          </cell>
          <cell r="BW116">
            <v>2726</v>
          </cell>
          <cell r="BX116">
            <v>2779</v>
          </cell>
          <cell r="BY116">
            <v>2779</v>
          </cell>
          <cell r="BZ116">
            <v>2835</v>
          </cell>
          <cell r="CA116">
            <v>2743</v>
          </cell>
          <cell r="CB116">
            <v>2753</v>
          </cell>
          <cell r="CC116">
            <v>2795</v>
          </cell>
          <cell r="CD116">
            <v>2795</v>
          </cell>
          <cell r="CE116">
            <v>2852</v>
          </cell>
          <cell r="CF116">
            <v>2914</v>
          </cell>
          <cell r="CG116">
            <v>2966</v>
          </cell>
          <cell r="CH116">
            <v>2970</v>
          </cell>
          <cell r="CI116">
            <v>2970</v>
          </cell>
          <cell r="CJ116">
            <v>3028</v>
          </cell>
          <cell r="CK116">
            <v>3098</v>
          </cell>
          <cell r="CL116">
            <v>3073</v>
          </cell>
          <cell r="CM116">
            <v>3100</v>
          </cell>
          <cell r="CN116">
            <v>3100</v>
          </cell>
          <cell r="CO116">
            <v>3167</v>
          </cell>
          <cell r="CP116">
            <v>3230</v>
          </cell>
          <cell r="CQ116">
            <v>3304</v>
          </cell>
          <cell r="CR116">
            <v>3386</v>
          </cell>
          <cell r="CS116">
            <v>3386</v>
          </cell>
          <cell r="CT116">
            <v>3442</v>
          </cell>
          <cell r="CU116">
            <v>3367</v>
          </cell>
          <cell r="CV116">
            <v>3444</v>
          </cell>
          <cell r="CW116">
            <v>3554</v>
          </cell>
          <cell r="CX116">
            <v>3554</v>
          </cell>
          <cell r="CY116">
            <v>3661.9875000000002</v>
          </cell>
          <cell r="CZ116">
            <v>3769.9750000000004</v>
          </cell>
          <cell r="DA116">
            <v>3877.9625000000005</v>
          </cell>
          <cell r="DB116">
            <v>3985.9500000000007</v>
          </cell>
          <cell r="DC116">
            <v>3985.9500000000007</v>
          </cell>
          <cell r="DD116">
            <v>4095.1006250000009</v>
          </cell>
          <cell r="DE116">
            <v>4204.2512500000012</v>
          </cell>
          <cell r="DF116">
            <v>4313.4018750000014</v>
          </cell>
          <cell r="DG116">
            <v>4422.5525000000016</v>
          </cell>
          <cell r="DH116">
            <v>4422.5525000000016</v>
          </cell>
          <cell r="DI116">
            <v>4532.7455937500017</v>
          </cell>
          <cell r="DJ116">
            <v>4642.9386875000018</v>
          </cell>
          <cell r="DK116">
            <v>4753.1317812500019</v>
          </cell>
          <cell r="DL116">
            <v>4863.3248750000021</v>
          </cell>
          <cell r="DM116">
            <v>4863.3248750000021</v>
          </cell>
          <cell r="DN116">
            <v>4974.508314062502</v>
          </cell>
          <cell r="DO116">
            <v>5085.6917531250019</v>
          </cell>
          <cell r="DP116">
            <v>5196.8751921875019</v>
          </cell>
          <cell r="DQ116">
            <v>5308.0586312500018</v>
          </cell>
          <cell r="DR116">
            <v>5308.0586312500018</v>
          </cell>
        </row>
        <row r="117">
          <cell r="B117" t="str">
            <v>Gross Property &amp; Equipment - EOP</v>
          </cell>
          <cell r="D117">
            <v>2582.67</v>
          </cell>
          <cell r="E117">
            <v>2622.5</v>
          </cell>
          <cell r="F117">
            <v>2663.2</v>
          </cell>
          <cell r="G117">
            <v>4143</v>
          </cell>
          <cell r="H117">
            <v>4143</v>
          </cell>
          <cell r="I117">
            <v>4258.8999999999996</v>
          </cell>
          <cell r="J117">
            <v>4464.7</v>
          </cell>
          <cell r="K117">
            <v>4547.8</v>
          </cell>
          <cell r="L117">
            <v>4598</v>
          </cell>
          <cell r="M117">
            <v>4598</v>
          </cell>
          <cell r="N117">
            <v>4701.8</v>
          </cell>
          <cell r="O117">
            <v>4789.8999999999996</v>
          </cell>
          <cell r="P117">
            <v>6765.3</v>
          </cell>
          <cell r="Q117">
            <v>6922</v>
          </cell>
          <cell r="R117">
            <v>6922</v>
          </cell>
          <cell r="S117">
            <v>7174</v>
          </cell>
          <cell r="T117">
            <v>7269</v>
          </cell>
          <cell r="U117">
            <v>7563</v>
          </cell>
          <cell r="V117">
            <v>7748</v>
          </cell>
          <cell r="W117">
            <v>7748</v>
          </cell>
          <cell r="X117">
            <v>7960</v>
          </cell>
          <cell r="Y117">
            <v>8373</v>
          </cell>
          <cell r="Z117">
            <v>8465</v>
          </cell>
          <cell r="AA117">
            <v>7703</v>
          </cell>
          <cell r="AB117">
            <v>7703</v>
          </cell>
          <cell r="AC117">
            <v>7780</v>
          </cell>
          <cell r="AD117">
            <v>7895</v>
          </cell>
          <cell r="AE117">
            <v>7881</v>
          </cell>
          <cell r="AF117">
            <v>8141</v>
          </cell>
          <cell r="AG117">
            <v>8141</v>
          </cell>
          <cell r="AH117">
            <v>8189</v>
          </cell>
          <cell r="AI117">
            <v>8310</v>
          </cell>
          <cell r="AJ117">
            <v>8438</v>
          </cell>
          <cell r="AK117">
            <v>8583</v>
          </cell>
          <cell r="AL117">
            <v>8583</v>
          </cell>
          <cell r="AM117">
            <v>8977</v>
          </cell>
          <cell r="AN117">
            <v>9215</v>
          </cell>
          <cell r="AO117">
            <v>9452</v>
          </cell>
          <cell r="AP117">
            <v>9571</v>
          </cell>
          <cell r="AQ117">
            <v>9571</v>
          </cell>
          <cell r="AR117">
            <v>9678</v>
          </cell>
          <cell r="AS117">
            <v>9923</v>
          </cell>
          <cell r="AT117">
            <v>9788</v>
          </cell>
          <cell r="AZ117">
            <v>9373</v>
          </cell>
          <cell r="BA117">
            <v>9184</v>
          </cell>
          <cell r="BB117">
            <v>9152</v>
          </cell>
          <cell r="BC117">
            <v>9279</v>
          </cell>
          <cell r="BD117">
            <v>8113</v>
          </cell>
          <cell r="BE117">
            <v>8113</v>
          </cell>
          <cell r="BF117">
            <v>7520</v>
          </cell>
          <cell r="BG117">
            <v>7570</v>
          </cell>
          <cell r="BH117">
            <v>7487</v>
          </cell>
          <cell r="BI117">
            <v>7394</v>
          </cell>
          <cell r="BJ117">
            <v>7394</v>
          </cell>
          <cell r="BK117">
            <v>7469</v>
          </cell>
          <cell r="BL117">
            <v>7571</v>
          </cell>
          <cell r="BM117">
            <v>7254</v>
          </cell>
          <cell r="BN117">
            <v>7202</v>
          </cell>
          <cell r="BO117">
            <v>7202</v>
          </cell>
          <cell r="BP117">
            <v>7222</v>
          </cell>
          <cell r="BQ117">
            <v>6817</v>
          </cell>
          <cell r="BR117">
            <v>6925</v>
          </cell>
          <cell r="BS117">
            <v>6847</v>
          </cell>
          <cell r="BT117">
            <v>6847</v>
          </cell>
          <cell r="BU117">
            <v>6891</v>
          </cell>
          <cell r="BV117">
            <v>7020</v>
          </cell>
          <cell r="BW117">
            <v>7129</v>
          </cell>
          <cell r="BX117">
            <v>7424</v>
          </cell>
          <cell r="BY117">
            <v>7424</v>
          </cell>
          <cell r="BZ117">
            <v>7457</v>
          </cell>
          <cell r="CA117">
            <v>7017</v>
          </cell>
          <cell r="CB117">
            <v>6992</v>
          </cell>
          <cell r="CC117">
            <v>7086</v>
          </cell>
          <cell r="CD117">
            <v>7086</v>
          </cell>
          <cell r="CE117">
            <v>7088</v>
          </cell>
          <cell r="CF117">
            <v>7096</v>
          </cell>
          <cell r="CG117">
            <v>7138</v>
          </cell>
          <cell r="CH117">
            <v>7283</v>
          </cell>
          <cell r="CI117">
            <v>7283</v>
          </cell>
          <cell r="CJ117">
            <v>7277</v>
          </cell>
          <cell r="CK117">
            <v>7309</v>
          </cell>
          <cell r="CL117">
            <v>7312</v>
          </cell>
          <cell r="CM117">
            <v>7404</v>
          </cell>
          <cell r="CN117">
            <v>7404</v>
          </cell>
          <cell r="CO117">
            <v>7429</v>
          </cell>
          <cell r="CP117">
            <v>7468</v>
          </cell>
          <cell r="CQ117">
            <v>7505</v>
          </cell>
          <cell r="CR117">
            <v>7736</v>
          </cell>
          <cell r="CS117">
            <v>7736</v>
          </cell>
          <cell r="CT117">
            <v>7766</v>
          </cell>
          <cell r="CU117">
            <v>7548</v>
          </cell>
          <cell r="CV117">
            <v>7617</v>
          </cell>
          <cell r="CW117">
            <v>7762</v>
          </cell>
          <cell r="CX117">
            <v>7762</v>
          </cell>
          <cell r="CY117">
            <v>8042</v>
          </cell>
          <cell r="CZ117">
            <v>8172</v>
          </cell>
          <cell r="DA117">
            <v>8302</v>
          </cell>
          <cell r="DB117">
            <v>8437</v>
          </cell>
          <cell r="DC117">
            <v>8437</v>
          </cell>
          <cell r="DD117">
            <v>8567</v>
          </cell>
          <cell r="DE117">
            <v>8697</v>
          </cell>
          <cell r="DF117">
            <v>8827</v>
          </cell>
          <cell r="DG117">
            <v>8957</v>
          </cell>
          <cell r="DH117">
            <v>8957</v>
          </cell>
          <cell r="DI117">
            <v>9087</v>
          </cell>
          <cell r="DJ117">
            <v>9217</v>
          </cell>
          <cell r="DK117">
            <v>9347</v>
          </cell>
          <cell r="DL117">
            <v>9477</v>
          </cell>
          <cell r="DM117">
            <v>9477</v>
          </cell>
          <cell r="DN117">
            <v>9607</v>
          </cell>
          <cell r="DO117">
            <v>9737</v>
          </cell>
          <cell r="DP117">
            <v>9867</v>
          </cell>
          <cell r="DQ117">
            <v>9997</v>
          </cell>
          <cell r="DR117">
            <v>9997</v>
          </cell>
        </row>
        <row r="119">
          <cell r="B119" t="str">
            <v>Accumulated Depreciation - BOP</v>
          </cell>
          <cell r="D119">
            <v>771.58199999999999</v>
          </cell>
          <cell r="E119">
            <v>788.17399999999998</v>
          </cell>
          <cell r="F119">
            <v>841.6</v>
          </cell>
          <cell r="G119">
            <v>876.5</v>
          </cell>
          <cell r="H119">
            <v>771.58199999999999</v>
          </cell>
          <cell r="I119">
            <v>824</v>
          </cell>
          <cell r="J119">
            <v>840.9</v>
          </cell>
          <cell r="K119">
            <v>901.2</v>
          </cell>
          <cell r="L119">
            <v>957.8</v>
          </cell>
          <cell r="M119">
            <v>824</v>
          </cell>
          <cell r="N119">
            <v>950</v>
          </cell>
          <cell r="O119">
            <v>1012.8</v>
          </cell>
          <cell r="P119">
            <v>1051.8</v>
          </cell>
          <cell r="Q119">
            <v>1482</v>
          </cell>
          <cell r="R119">
            <v>950</v>
          </cell>
          <cell r="S119">
            <v>1432</v>
          </cell>
          <cell r="T119">
            <v>1517</v>
          </cell>
          <cell r="U119">
            <v>1592</v>
          </cell>
          <cell r="V119">
            <v>1728</v>
          </cell>
          <cell r="W119">
            <v>1432</v>
          </cell>
          <cell r="X119">
            <v>1761</v>
          </cell>
          <cell r="Y119">
            <v>1857</v>
          </cell>
          <cell r="Z119">
            <v>1951</v>
          </cell>
          <cell r="AA119">
            <v>2033</v>
          </cell>
          <cell r="AB119">
            <v>1761</v>
          </cell>
          <cell r="AC119">
            <v>1864</v>
          </cell>
          <cell r="AD119">
            <v>1962</v>
          </cell>
          <cell r="AE119">
            <v>2052</v>
          </cell>
          <cell r="AF119">
            <v>2088</v>
          </cell>
          <cell r="AG119">
            <v>1864</v>
          </cell>
          <cell r="AH119">
            <v>2247</v>
          </cell>
          <cell r="AI119">
            <v>2347</v>
          </cell>
          <cell r="AJ119">
            <v>2447</v>
          </cell>
          <cell r="AK119">
            <v>2546</v>
          </cell>
          <cell r="AL119">
            <v>2247</v>
          </cell>
          <cell r="AM119">
            <v>2607</v>
          </cell>
          <cell r="AN119">
            <v>2756</v>
          </cell>
          <cell r="AO119">
            <v>2907</v>
          </cell>
          <cell r="AP119">
            <v>3061</v>
          </cell>
          <cell r="AQ119">
            <v>2607</v>
          </cell>
          <cell r="AR119">
            <v>2986</v>
          </cell>
          <cell r="AS119">
            <v>3114</v>
          </cell>
          <cell r="AT119">
            <v>3244</v>
          </cell>
          <cell r="BA119">
            <v>3014</v>
          </cell>
          <cell r="BB119">
            <v>3133</v>
          </cell>
          <cell r="BC119">
            <v>3253</v>
          </cell>
          <cell r="BD119">
            <v>3365</v>
          </cell>
          <cell r="BE119">
            <v>3014</v>
          </cell>
          <cell r="BF119">
            <v>2556</v>
          </cell>
          <cell r="BG119">
            <v>2652</v>
          </cell>
          <cell r="BH119">
            <v>2747</v>
          </cell>
          <cell r="BI119">
            <v>2650</v>
          </cell>
          <cell r="BJ119">
            <v>2556</v>
          </cell>
          <cell r="BK119">
            <v>2574</v>
          </cell>
          <cell r="BL119">
            <v>2652</v>
          </cell>
          <cell r="BM119">
            <v>2722</v>
          </cell>
          <cell r="BN119">
            <v>2661</v>
          </cell>
          <cell r="BO119">
            <v>2574</v>
          </cell>
          <cell r="BP119">
            <v>2582</v>
          </cell>
          <cell r="BQ119">
            <v>2621</v>
          </cell>
          <cell r="BR119">
            <v>2541</v>
          </cell>
          <cell r="BS119">
            <v>2608</v>
          </cell>
          <cell r="BT119">
            <v>2582</v>
          </cell>
          <cell r="BU119">
            <v>2548</v>
          </cell>
          <cell r="BV119">
            <v>2616</v>
          </cell>
          <cell r="BW119">
            <v>2666</v>
          </cell>
          <cell r="BX119">
            <v>2726</v>
          </cell>
          <cell r="BY119">
            <v>2548</v>
          </cell>
          <cell r="BZ119">
            <v>2779</v>
          </cell>
          <cell r="CA119">
            <v>2835</v>
          </cell>
          <cell r="CB119">
            <v>2743</v>
          </cell>
          <cell r="CC119">
            <v>2753</v>
          </cell>
          <cell r="CD119">
            <v>2779</v>
          </cell>
          <cell r="CE119">
            <v>2795</v>
          </cell>
          <cell r="CF119">
            <v>2852</v>
          </cell>
          <cell r="CG119">
            <v>2914</v>
          </cell>
          <cell r="CH119">
            <v>2966</v>
          </cell>
          <cell r="CI119">
            <v>2795</v>
          </cell>
          <cell r="CJ119">
            <v>2970</v>
          </cell>
          <cell r="CK119">
            <v>2970</v>
          </cell>
          <cell r="CL119">
            <v>3098</v>
          </cell>
          <cell r="CM119">
            <v>3073</v>
          </cell>
          <cell r="CN119">
            <v>2970</v>
          </cell>
          <cell r="CO119">
            <v>3100</v>
          </cell>
          <cell r="CP119">
            <v>3100</v>
          </cell>
          <cell r="CQ119">
            <v>3230</v>
          </cell>
          <cell r="CR119">
            <v>3304</v>
          </cell>
          <cell r="CS119">
            <v>3100</v>
          </cell>
          <cell r="CT119">
            <v>3386</v>
          </cell>
          <cell r="CU119">
            <v>3442</v>
          </cell>
          <cell r="CV119">
            <v>3367</v>
          </cell>
          <cell r="CW119">
            <v>3444</v>
          </cell>
          <cell r="CX119">
            <v>3386</v>
          </cell>
          <cell r="CY119">
            <v>3554</v>
          </cell>
          <cell r="CZ119">
            <v>3661.9875000000002</v>
          </cell>
          <cell r="DA119">
            <v>3769.9750000000004</v>
          </cell>
          <cell r="DB119">
            <v>3877.9625000000005</v>
          </cell>
          <cell r="DC119">
            <v>3810</v>
          </cell>
          <cell r="DD119">
            <v>3985.9500000000007</v>
          </cell>
          <cell r="DE119">
            <v>4095.1006250000009</v>
          </cell>
          <cell r="DF119">
            <v>4204.2512500000012</v>
          </cell>
          <cell r="DG119">
            <v>4313.4018750000014</v>
          </cell>
          <cell r="DH119">
            <v>4241.95</v>
          </cell>
          <cell r="DI119">
            <v>4422.5525000000016</v>
          </cell>
          <cell r="DJ119">
            <v>4532.7455937500017</v>
          </cell>
          <cell r="DK119">
            <v>4642.9386875000018</v>
          </cell>
          <cell r="DL119">
            <v>4753.1317812500019</v>
          </cell>
          <cell r="DM119">
            <v>4678.5524999999998</v>
          </cell>
          <cell r="DN119">
            <v>4863.3248750000021</v>
          </cell>
          <cell r="DO119">
            <v>4974.508314062502</v>
          </cell>
          <cell r="DP119">
            <v>5085.6917531250019</v>
          </cell>
          <cell r="DQ119">
            <v>5196.8751921875019</v>
          </cell>
          <cell r="DR119">
            <v>5119.3248749999993</v>
          </cell>
        </row>
        <row r="120">
          <cell r="B120" t="str">
            <v>Additional Depreciation</v>
          </cell>
          <cell r="D120">
            <v>37.822000000000003</v>
          </cell>
          <cell r="E120">
            <v>37.200000000000003</v>
          </cell>
          <cell r="F120">
            <v>37.6</v>
          </cell>
          <cell r="G120">
            <v>82.377999999999986</v>
          </cell>
          <cell r="H120">
            <v>195</v>
          </cell>
          <cell r="I120">
            <v>80.2</v>
          </cell>
          <cell r="J120">
            <v>82.5</v>
          </cell>
          <cell r="K120">
            <v>77.8</v>
          </cell>
          <cell r="L120">
            <v>80.5</v>
          </cell>
          <cell r="M120">
            <v>321</v>
          </cell>
          <cell r="N120">
            <v>84.1</v>
          </cell>
          <cell r="O120">
            <v>85.5</v>
          </cell>
          <cell r="P120">
            <v>108.2</v>
          </cell>
          <cell r="Q120">
            <v>165.2</v>
          </cell>
          <cell r="R120">
            <v>443</v>
          </cell>
          <cell r="S120">
            <v>105</v>
          </cell>
          <cell r="T120">
            <v>114</v>
          </cell>
          <cell r="U120">
            <v>121</v>
          </cell>
          <cell r="V120">
            <v>120</v>
          </cell>
          <cell r="W120">
            <v>460</v>
          </cell>
          <cell r="X120">
            <v>127</v>
          </cell>
          <cell r="Y120">
            <v>134</v>
          </cell>
          <cell r="Z120">
            <v>142</v>
          </cell>
          <cell r="AA120">
            <v>153</v>
          </cell>
          <cell r="AB120">
            <v>556</v>
          </cell>
          <cell r="AC120">
            <v>134</v>
          </cell>
          <cell r="AD120">
            <v>132</v>
          </cell>
          <cell r="AE120">
            <v>133</v>
          </cell>
          <cell r="AF120">
            <v>134</v>
          </cell>
          <cell r="AG120">
            <v>533</v>
          </cell>
          <cell r="AH120">
            <v>137</v>
          </cell>
          <cell r="AI120">
            <v>136</v>
          </cell>
          <cell r="AJ120">
            <v>139</v>
          </cell>
          <cell r="AK120">
            <v>142</v>
          </cell>
          <cell r="AL120">
            <v>554</v>
          </cell>
          <cell r="AM120">
            <v>149</v>
          </cell>
          <cell r="AN120">
            <v>151</v>
          </cell>
          <cell r="AO120">
            <v>154</v>
          </cell>
          <cell r="AP120">
            <v>150</v>
          </cell>
          <cell r="AQ120">
            <v>604</v>
          </cell>
          <cell r="AR120">
            <v>128</v>
          </cell>
          <cell r="AS120">
            <v>130</v>
          </cell>
          <cell r="AT120">
            <v>132</v>
          </cell>
          <cell r="BA120">
            <v>119</v>
          </cell>
          <cell r="BB120">
            <v>120</v>
          </cell>
          <cell r="BC120">
            <v>112</v>
          </cell>
          <cell r="BD120">
            <v>114</v>
          </cell>
          <cell r="BE120">
            <v>465</v>
          </cell>
          <cell r="BF120">
            <v>96</v>
          </cell>
          <cell r="BG120">
            <v>95</v>
          </cell>
          <cell r="BH120">
            <v>99</v>
          </cell>
          <cell r="BI120">
            <v>100</v>
          </cell>
          <cell r="BJ120">
            <v>390</v>
          </cell>
          <cell r="BK120">
            <v>96</v>
          </cell>
          <cell r="BL120">
            <v>92</v>
          </cell>
          <cell r="BM120">
            <v>105</v>
          </cell>
          <cell r="BN120">
            <v>89</v>
          </cell>
          <cell r="BO120">
            <v>382</v>
          </cell>
          <cell r="BP120">
            <v>90</v>
          </cell>
          <cell r="BQ120">
            <v>82</v>
          </cell>
          <cell r="BR120">
            <v>83</v>
          </cell>
          <cell r="BS120">
            <v>95</v>
          </cell>
          <cell r="BT120">
            <v>350</v>
          </cell>
          <cell r="BU120">
            <v>89</v>
          </cell>
          <cell r="BV120">
            <v>89</v>
          </cell>
          <cell r="BW120">
            <v>91</v>
          </cell>
          <cell r="BX120">
            <v>93</v>
          </cell>
          <cell r="BY120">
            <v>362</v>
          </cell>
          <cell r="BZ120">
            <v>95</v>
          </cell>
          <cell r="CA120">
            <v>95</v>
          </cell>
          <cell r="CB120">
            <v>94</v>
          </cell>
          <cell r="CC120">
            <v>96</v>
          </cell>
          <cell r="CD120">
            <v>380</v>
          </cell>
          <cell r="CE120">
            <v>97</v>
          </cell>
          <cell r="CF120">
            <v>98</v>
          </cell>
          <cell r="CG120">
            <v>97</v>
          </cell>
          <cell r="CH120">
            <v>95</v>
          </cell>
          <cell r="CI120">
            <v>387</v>
          </cell>
          <cell r="CJ120">
            <v>95</v>
          </cell>
          <cell r="CK120">
            <v>97</v>
          </cell>
          <cell r="CL120">
            <v>101</v>
          </cell>
          <cell r="CM120">
            <v>101</v>
          </cell>
          <cell r="CN120">
            <v>394</v>
          </cell>
          <cell r="CO120">
            <v>98</v>
          </cell>
          <cell r="CP120">
            <v>100</v>
          </cell>
          <cell r="CQ120">
            <v>100</v>
          </cell>
          <cell r="CR120">
            <v>100</v>
          </cell>
          <cell r="CS120">
            <v>398</v>
          </cell>
          <cell r="CT120">
            <v>100</v>
          </cell>
          <cell r="CU120">
            <v>104</v>
          </cell>
          <cell r="CV120">
            <v>110</v>
          </cell>
          <cell r="CW120">
            <v>110</v>
          </cell>
          <cell r="CX120">
            <v>424</v>
          </cell>
          <cell r="CY120">
            <v>107.9875</v>
          </cell>
          <cell r="CZ120">
            <v>107.9875</v>
          </cell>
          <cell r="DA120">
            <v>107.9875</v>
          </cell>
          <cell r="DB120">
            <v>107.9875</v>
          </cell>
          <cell r="DC120">
            <v>431.95</v>
          </cell>
          <cell r="DD120">
            <v>109.15062499999999</v>
          </cell>
          <cell r="DE120">
            <v>109.15062499999999</v>
          </cell>
          <cell r="DF120">
            <v>109.15062499999999</v>
          </cell>
          <cell r="DG120">
            <v>109.15062499999999</v>
          </cell>
          <cell r="DH120">
            <v>436.60249999999996</v>
          </cell>
          <cell r="DI120">
            <v>110.19309374999999</v>
          </cell>
          <cell r="DJ120">
            <v>110.19309374999999</v>
          </cell>
          <cell r="DK120">
            <v>110.19309374999999</v>
          </cell>
          <cell r="DL120">
            <v>110.19309374999999</v>
          </cell>
          <cell r="DM120">
            <v>440.77237499999995</v>
          </cell>
          <cell r="DN120">
            <v>111.18343906249999</v>
          </cell>
          <cell r="DO120">
            <v>111.18343906249999</v>
          </cell>
          <cell r="DP120">
            <v>111.18343906249999</v>
          </cell>
          <cell r="DQ120">
            <v>111.18343906249999</v>
          </cell>
          <cell r="DR120">
            <v>444.73375624999994</v>
          </cell>
        </row>
        <row r="121">
          <cell r="B121" t="str">
            <v>Retirements/Other</v>
          </cell>
          <cell r="D121">
            <v>-21.230000000000018</v>
          </cell>
          <cell r="E121">
            <v>16.226000000000042</v>
          </cell>
          <cell r="F121">
            <v>-2.7000000000000242</v>
          </cell>
          <cell r="G121">
            <v>-134.87799999999999</v>
          </cell>
          <cell r="H121">
            <v>-142.58199999999999</v>
          </cell>
          <cell r="I121">
            <v>-63.300000000000026</v>
          </cell>
          <cell r="J121">
            <v>-22.199999999999932</v>
          </cell>
          <cell r="K121">
            <v>-21.200000000000088</v>
          </cell>
          <cell r="L121">
            <v>-88.299999999999955</v>
          </cell>
          <cell r="M121">
            <v>-195</v>
          </cell>
          <cell r="N121">
            <v>-21.30000000000004</v>
          </cell>
          <cell r="O121">
            <v>-46.5</v>
          </cell>
          <cell r="P121">
            <v>322.00000000000006</v>
          </cell>
          <cell r="Q121">
            <v>-215.2</v>
          </cell>
          <cell r="R121">
            <v>39.000000000000028</v>
          </cell>
          <cell r="S121">
            <v>-20</v>
          </cell>
          <cell r="T121">
            <v>-39</v>
          </cell>
          <cell r="U121">
            <v>15</v>
          </cell>
          <cell r="V121">
            <v>-87</v>
          </cell>
          <cell r="W121">
            <v>-131</v>
          </cell>
          <cell r="X121">
            <v>-31</v>
          </cell>
          <cell r="Y121">
            <v>-40</v>
          </cell>
          <cell r="Z121">
            <v>-60</v>
          </cell>
          <cell r="AA121">
            <v>-322</v>
          </cell>
          <cell r="AB121">
            <v>-453</v>
          </cell>
          <cell r="AC121">
            <v>-36</v>
          </cell>
          <cell r="AD121">
            <v>-42</v>
          </cell>
          <cell r="AE121">
            <v>-97</v>
          </cell>
          <cell r="AF121">
            <v>25</v>
          </cell>
          <cell r="AG121">
            <v>-150</v>
          </cell>
          <cell r="AH121">
            <v>-37</v>
          </cell>
          <cell r="AI121">
            <v>-36</v>
          </cell>
          <cell r="AJ121">
            <v>-40</v>
          </cell>
          <cell r="AK121">
            <v>-81</v>
          </cell>
          <cell r="AL121">
            <v>-194</v>
          </cell>
          <cell r="AM121">
            <v>0</v>
          </cell>
          <cell r="AN121">
            <v>0</v>
          </cell>
          <cell r="AO121">
            <v>0</v>
          </cell>
          <cell r="AP121">
            <v>-225</v>
          </cell>
          <cell r="AQ121">
            <v>-225</v>
          </cell>
          <cell r="AR121">
            <v>0</v>
          </cell>
          <cell r="AS121">
            <v>0</v>
          </cell>
          <cell r="AT121">
            <v>0</v>
          </cell>
          <cell r="BA121">
            <v>0</v>
          </cell>
          <cell r="BB121">
            <v>0</v>
          </cell>
          <cell r="BC121">
            <v>0</v>
          </cell>
          <cell r="BD121">
            <v>-923</v>
          </cell>
          <cell r="BE121">
            <v>-923</v>
          </cell>
          <cell r="BF121">
            <v>0</v>
          </cell>
          <cell r="BG121">
            <v>0</v>
          </cell>
          <cell r="BH121">
            <v>-196</v>
          </cell>
          <cell r="BI121">
            <v>-176</v>
          </cell>
          <cell r="BJ121">
            <v>-372</v>
          </cell>
          <cell r="BK121">
            <v>-18</v>
          </cell>
          <cell r="BL121">
            <v>-22</v>
          </cell>
          <cell r="BM121">
            <v>-166</v>
          </cell>
          <cell r="BN121">
            <v>-168</v>
          </cell>
          <cell r="BO121">
            <v>-374</v>
          </cell>
          <cell r="BP121">
            <v>-51</v>
          </cell>
          <cell r="BQ121">
            <v>-162</v>
          </cell>
          <cell r="BR121">
            <v>-16</v>
          </cell>
          <cell r="BS121">
            <v>-155</v>
          </cell>
          <cell r="BT121">
            <v>-384</v>
          </cell>
          <cell r="BU121">
            <v>-21</v>
          </cell>
          <cell r="BV121">
            <v>-39</v>
          </cell>
          <cell r="BW121">
            <v>-31</v>
          </cell>
          <cell r="BX121">
            <v>-40</v>
          </cell>
          <cell r="BY121">
            <v>-131</v>
          </cell>
          <cell r="BZ121">
            <v>-39</v>
          </cell>
          <cell r="CA121">
            <v>-187</v>
          </cell>
          <cell r="CB121">
            <v>-84</v>
          </cell>
          <cell r="CC121">
            <v>-54</v>
          </cell>
          <cell r="CD121">
            <v>-364</v>
          </cell>
          <cell r="CE121">
            <v>-40</v>
          </cell>
          <cell r="CF121">
            <v>-36</v>
          </cell>
          <cell r="CG121">
            <v>-45</v>
          </cell>
          <cell r="CH121">
            <v>-91</v>
          </cell>
          <cell r="CI121">
            <v>-212</v>
          </cell>
          <cell r="CJ121">
            <v>-37</v>
          </cell>
          <cell r="CK121">
            <v>31</v>
          </cell>
          <cell r="CL121">
            <v>-126</v>
          </cell>
          <cell r="CM121">
            <v>-74</v>
          </cell>
          <cell r="CN121">
            <v>-206</v>
          </cell>
          <cell r="CO121">
            <v>-31</v>
          </cell>
          <cell r="CP121">
            <v>30</v>
          </cell>
          <cell r="CQ121">
            <v>-26</v>
          </cell>
          <cell r="CR121">
            <v>-18</v>
          </cell>
          <cell r="CS121">
            <v>-45</v>
          </cell>
          <cell r="CT121">
            <v>-44</v>
          </cell>
          <cell r="CU121">
            <v>-179</v>
          </cell>
          <cell r="CV121">
            <v>-33</v>
          </cell>
        </row>
        <row r="122">
          <cell r="B122" t="str">
            <v>Accumulated Depreciation - EOP</v>
          </cell>
          <cell r="D122">
            <v>788.17399999999998</v>
          </cell>
          <cell r="E122">
            <v>841.6</v>
          </cell>
          <cell r="F122">
            <v>876.5</v>
          </cell>
          <cell r="G122">
            <v>824</v>
          </cell>
          <cell r="H122">
            <v>824</v>
          </cell>
          <cell r="I122">
            <v>840.9</v>
          </cell>
          <cell r="J122">
            <v>901.2</v>
          </cell>
          <cell r="K122">
            <v>957.8</v>
          </cell>
          <cell r="L122">
            <v>950</v>
          </cell>
          <cell r="M122">
            <v>950</v>
          </cell>
          <cell r="N122">
            <v>1012.8</v>
          </cell>
          <cell r="O122">
            <v>1051.8</v>
          </cell>
          <cell r="P122">
            <v>1482</v>
          </cell>
          <cell r="Q122">
            <v>1432</v>
          </cell>
          <cell r="R122">
            <v>1432</v>
          </cell>
          <cell r="S122">
            <v>1517</v>
          </cell>
          <cell r="T122">
            <v>1592</v>
          </cell>
          <cell r="U122">
            <v>1728</v>
          </cell>
          <cell r="V122">
            <v>1761</v>
          </cell>
          <cell r="W122">
            <v>1761</v>
          </cell>
          <cell r="X122">
            <v>1857</v>
          </cell>
          <cell r="Y122">
            <v>1951</v>
          </cell>
          <cell r="Z122">
            <v>2033</v>
          </cell>
          <cell r="AA122">
            <v>1864</v>
          </cell>
          <cell r="AB122">
            <v>1864</v>
          </cell>
          <cell r="AC122">
            <v>1962</v>
          </cell>
          <cell r="AD122">
            <v>2052</v>
          </cell>
          <cell r="AE122">
            <v>2088</v>
          </cell>
          <cell r="AF122">
            <v>2247</v>
          </cell>
          <cell r="AG122">
            <v>2247</v>
          </cell>
          <cell r="AH122">
            <v>2347</v>
          </cell>
          <cell r="AI122">
            <v>2447</v>
          </cell>
          <cell r="AJ122">
            <v>2546</v>
          </cell>
          <cell r="AK122">
            <v>2607</v>
          </cell>
          <cell r="AL122">
            <v>2607</v>
          </cell>
          <cell r="AM122">
            <v>2756</v>
          </cell>
          <cell r="AN122">
            <v>2907</v>
          </cell>
          <cell r="AO122">
            <v>3061</v>
          </cell>
          <cell r="AP122">
            <v>2986</v>
          </cell>
          <cell r="AQ122">
            <v>2986</v>
          </cell>
          <cell r="AR122">
            <v>3114</v>
          </cell>
          <cell r="AS122">
            <v>3244</v>
          </cell>
          <cell r="AT122">
            <v>3376</v>
          </cell>
          <cell r="AZ122">
            <v>3014</v>
          </cell>
          <cell r="BA122">
            <v>3133</v>
          </cell>
          <cell r="BB122">
            <v>3253</v>
          </cell>
          <cell r="BC122">
            <v>3365</v>
          </cell>
          <cell r="BD122">
            <v>2556</v>
          </cell>
          <cell r="BE122">
            <v>2556</v>
          </cell>
          <cell r="BF122">
            <v>2652</v>
          </cell>
          <cell r="BG122">
            <v>2747</v>
          </cell>
          <cell r="BH122">
            <v>2650</v>
          </cell>
          <cell r="BI122">
            <v>2574</v>
          </cell>
          <cell r="BJ122">
            <v>2574</v>
          </cell>
          <cell r="BK122">
            <v>2652</v>
          </cell>
          <cell r="BL122">
            <v>2722</v>
          </cell>
          <cell r="BM122">
            <v>2661</v>
          </cell>
          <cell r="BN122">
            <v>2582</v>
          </cell>
          <cell r="BO122">
            <v>2582</v>
          </cell>
          <cell r="BP122">
            <v>2621</v>
          </cell>
          <cell r="BQ122">
            <v>2541</v>
          </cell>
          <cell r="BR122">
            <v>2608</v>
          </cell>
          <cell r="BS122">
            <v>2548</v>
          </cell>
          <cell r="BT122">
            <v>2548</v>
          </cell>
          <cell r="BU122">
            <v>2616</v>
          </cell>
          <cell r="BV122">
            <v>2666</v>
          </cell>
          <cell r="BW122">
            <v>2726</v>
          </cell>
          <cell r="BX122">
            <v>2779</v>
          </cell>
          <cell r="BY122">
            <v>2779</v>
          </cell>
          <cell r="BZ122">
            <v>2835</v>
          </cell>
          <cell r="CA122">
            <v>2743</v>
          </cell>
          <cell r="CB122">
            <v>2753</v>
          </cell>
          <cell r="CC122">
            <v>2795</v>
          </cell>
          <cell r="CD122">
            <v>2795</v>
          </cell>
          <cell r="CE122">
            <v>2852</v>
          </cell>
          <cell r="CF122">
            <v>2914</v>
          </cell>
          <cell r="CG122">
            <v>2966</v>
          </cell>
          <cell r="CH122">
            <v>2970</v>
          </cell>
          <cell r="CI122">
            <v>2970</v>
          </cell>
          <cell r="CJ122">
            <v>3028</v>
          </cell>
          <cell r="CK122">
            <v>3098</v>
          </cell>
          <cell r="CL122">
            <v>3073</v>
          </cell>
          <cell r="CM122">
            <v>3100</v>
          </cell>
          <cell r="CN122">
            <v>3100</v>
          </cell>
          <cell r="CO122">
            <v>3167</v>
          </cell>
          <cell r="CP122">
            <v>3230</v>
          </cell>
          <cell r="CQ122">
            <v>3304</v>
          </cell>
          <cell r="CR122">
            <v>3386</v>
          </cell>
          <cell r="CS122">
            <v>3386</v>
          </cell>
          <cell r="CT122">
            <v>3442</v>
          </cell>
          <cell r="CU122">
            <v>3367</v>
          </cell>
          <cell r="CV122">
            <v>3444</v>
          </cell>
          <cell r="CW122">
            <v>3554</v>
          </cell>
          <cell r="CX122">
            <v>3810</v>
          </cell>
          <cell r="CY122">
            <v>3661.9875000000002</v>
          </cell>
          <cell r="CZ122">
            <v>3769.9750000000004</v>
          </cell>
          <cell r="DA122">
            <v>3877.9625000000005</v>
          </cell>
          <cell r="DB122">
            <v>3985.9500000000007</v>
          </cell>
          <cell r="DC122">
            <v>4241.95</v>
          </cell>
          <cell r="DD122">
            <v>4095.1006250000009</v>
          </cell>
          <cell r="DE122">
            <v>4204.2512500000012</v>
          </cell>
          <cell r="DF122">
            <v>4313.4018750000014</v>
          </cell>
          <cell r="DG122">
            <v>4422.5525000000016</v>
          </cell>
          <cell r="DH122">
            <v>4678.5524999999998</v>
          </cell>
          <cell r="DI122">
            <v>4532.7455937500017</v>
          </cell>
          <cell r="DJ122">
            <v>4642.9386875000018</v>
          </cell>
          <cell r="DK122">
            <v>4753.1317812500019</v>
          </cell>
          <cell r="DL122">
            <v>4863.3248750000021</v>
          </cell>
          <cell r="DM122">
            <v>5119.3248749999993</v>
          </cell>
          <cell r="DN122">
            <v>4974.508314062502</v>
          </cell>
          <cell r="DO122">
            <v>5085.6917531250019</v>
          </cell>
          <cell r="DP122">
            <v>5196.8751921875019</v>
          </cell>
          <cell r="DQ122">
            <v>5308.0586312500018</v>
          </cell>
          <cell r="DR122">
            <v>5564.0586312499991</v>
          </cell>
        </row>
        <row r="124">
          <cell r="B124" t="str">
            <v>Gross Property &amp; Equipment - BOP</v>
          </cell>
          <cell r="D124">
            <v>2536.125</v>
          </cell>
          <cell r="E124">
            <v>2582.67</v>
          </cell>
          <cell r="F124">
            <v>2622.5</v>
          </cell>
          <cell r="G124">
            <v>2663.2</v>
          </cell>
          <cell r="H124">
            <v>2536.125</v>
          </cell>
          <cell r="I124">
            <v>4143</v>
          </cell>
          <cell r="J124">
            <v>4258.8999999999996</v>
          </cell>
          <cell r="K124">
            <v>4464.7</v>
          </cell>
          <cell r="L124">
            <v>4547.8</v>
          </cell>
          <cell r="M124">
            <v>4143</v>
          </cell>
          <cell r="N124">
            <v>4598</v>
          </cell>
          <cell r="O124">
            <v>4701.8</v>
          </cell>
          <cell r="P124">
            <v>4789.8999999999996</v>
          </cell>
          <cell r="Q124">
            <v>6765.3</v>
          </cell>
          <cell r="R124">
            <v>4598</v>
          </cell>
          <cell r="S124">
            <v>6922</v>
          </cell>
          <cell r="T124">
            <v>7174</v>
          </cell>
          <cell r="U124">
            <v>7269</v>
          </cell>
          <cell r="V124">
            <v>7563</v>
          </cell>
          <cell r="W124">
            <v>6922</v>
          </cell>
          <cell r="X124">
            <v>7748</v>
          </cell>
          <cell r="Y124">
            <v>7960</v>
          </cell>
          <cell r="Z124">
            <v>8373</v>
          </cell>
          <cell r="AA124">
            <v>8465</v>
          </cell>
          <cell r="AB124">
            <v>7748</v>
          </cell>
          <cell r="AC124">
            <v>7703</v>
          </cell>
          <cell r="AD124">
            <v>7780</v>
          </cell>
          <cell r="AE124">
            <v>7895</v>
          </cell>
          <cell r="AF124">
            <v>7881</v>
          </cell>
          <cell r="AG124">
            <v>7703</v>
          </cell>
          <cell r="AH124">
            <v>8141</v>
          </cell>
          <cell r="AI124">
            <v>8189</v>
          </cell>
          <cell r="AJ124">
            <v>8310</v>
          </cell>
          <cell r="AK124">
            <v>8438</v>
          </cell>
          <cell r="AL124">
            <v>8141</v>
          </cell>
          <cell r="AM124">
            <v>8583</v>
          </cell>
          <cell r="AN124">
            <v>8977</v>
          </cell>
          <cell r="AO124">
            <v>9215</v>
          </cell>
          <cell r="AP124">
            <v>9452</v>
          </cell>
          <cell r="AQ124">
            <v>8583</v>
          </cell>
          <cell r="AR124">
            <v>9571</v>
          </cell>
          <cell r="AS124">
            <v>9678</v>
          </cell>
          <cell r="AT124">
            <v>9923</v>
          </cell>
          <cell r="BA124">
            <v>9373</v>
          </cell>
          <cell r="BB124">
            <v>9184</v>
          </cell>
          <cell r="BC124">
            <v>9152</v>
          </cell>
          <cell r="BD124">
            <v>9279</v>
          </cell>
          <cell r="BE124">
            <v>9373</v>
          </cell>
          <cell r="BF124">
            <v>8113</v>
          </cell>
          <cell r="BG124">
            <v>7520</v>
          </cell>
          <cell r="BH124">
            <v>7570</v>
          </cell>
          <cell r="BI124">
            <v>7487</v>
          </cell>
          <cell r="BJ124">
            <v>8113</v>
          </cell>
          <cell r="BK124">
            <v>7394</v>
          </cell>
          <cell r="BL124">
            <v>7469</v>
          </cell>
          <cell r="BM124">
            <v>7571</v>
          </cell>
          <cell r="BN124">
            <v>7254</v>
          </cell>
          <cell r="BO124">
            <v>7394</v>
          </cell>
          <cell r="BP124">
            <v>7202</v>
          </cell>
          <cell r="BQ124">
            <v>7222</v>
          </cell>
          <cell r="BR124">
            <v>6817</v>
          </cell>
          <cell r="BS124">
            <v>6925</v>
          </cell>
          <cell r="BT124">
            <v>7202</v>
          </cell>
          <cell r="BU124">
            <v>6847</v>
          </cell>
          <cell r="BV124">
            <v>6891</v>
          </cell>
          <cell r="BW124">
            <v>7020</v>
          </cell>
          <cell r="BX124">
            <v>7129</v>
          </cell>
          <cell r="BY124">
            <v>6847</v>
          </cell>
          <cell r="BZ124">
            <v>7424</v>
          </cell>
          <cell r="CA124">
            <v>7457</v>
          </cell>
          <cell r="CB124">
            <v>7017</v>
          </cell>
          <cell r="CC124">
            <v>6992</v>
          </cell>
          <cell r="CD124">
            <v>7424</v>
          </cell>
          <cell r="CE124">
            <v>7086</v>
          </cell>
          <cell r="CF124">
            <v>7088</v>
          </cell>
          <cell r="CG124">
            <v>7096</v>
          </cell>
          <cell r="CH124">
            <v>7138</v>
          </cell>
          <cell r="CI124">
            <v>7086</v>
          </cell>
          <cell r="CJ124">
            <v>7283</v>
          </cell>
          <cell r="CK124">
            <v>7283</v>
          </cell>
          <cell r="CL124">
            <v>7309</v>
          </cell>
          <cell r="CM124">
            <v>7312</v>
          </cell>
          <cell r="CN124">
            <v>7283</v>
          </cell>
          <cell r="CO124">
            <v>7404</v>
          </cell>
          <cell r="CP124">
            <v>7404</v>
          </cell>
          <cell r="CQ124">
            <v>7468</v>
          </cell>
          <cell r="CR124">
            <v>7505</v>
          </cell>
          <cell r="CS124">
            <v>7404</v>
          </cell>
          <cell r="CT124">
            <v>7736</v>
          </cell>
          <cell r="CU124">
            <v>7766</v>
          </cell>
          <cell r="CV124">
            <v>7548</v>
          </cell>
          <cell r="CW124">
            <v>7617</v>
          </cell>
          <cell r="CX124">
            <v>7736</v>
          </cell>
          <cell r="CY124">
            <v>7762</v>
          </cell>
          <cell r="CZ124">
            <v>8042</v>
          </cell>
          <cell r="DA124">
            <v>8172</v>
          </cell>
          <cell r="DB124">
            <v>8302</v>
          </cell>
          <cell r="DC124">
            <v>8234</v>
          </cell>
          <cell r="DD124">
            <v>8437</v>
          </cell>
          <cell r="DE124">
            <v>8567</v>
          </cell>
          <cell r="DF124">
            <v>8697</v>
          </cell>
          <cell r="DG124">
            <v>8827</v>
          </cell>
          <cell r="DH124">
            <v>8909</v>
          </cell>
          <cell r="DI124">
            <v>8957</v>
          </cell>
          <cell r="DJ124">
            <v>9087</v>
          </cell>
          <cell r="DK124">
            <v>9217</v>
          </cell>
          <cell r="DL124">
            <v>9347</v>
          </cell>
          <cell r="DM124">
            <v>9429</v>
          </cell>
          <cell r="DN124">
            <v>9477</v>
          </cell>
          <cell r="DO124">
            <v>9607</v>
          </cell>
          <cell r="DP124">
            <v>9737</v>
          </cell>
          <cell r="DQ124">
            <v>9867</v>
          </cell>
          <cell r="DR124">
            <v>9949</v>
          </cell>
        </row>
        <row r="125">
          <cell r="B125" t="str">
            <v>CAPEX</v>
          </cell>
          <cell r="D125">
            <v>28.175999999999998</v>
          </cell>
          <cell r="E125">
            <v>31.424000000000003</v>
          </cell>
          <cell r="F125">
            <v>40.9</v>
          </cell>
          <cell r="G125">
            <v>163.5</v>
          </cell>
          <cell r="H125">
            <v>264</v>
          </cell>
          <cell r="I125">
            <v>95.1</v>
          </cell>
          <cell r="J125">
            <v>65.400000000000006</v>
          </cell>
          <cell r="K125">
            <v>74.800000000000011</v>
          </cell>
          <cell r="L125">
            <v>134.69999999999999</v>
          </cell>
          <cell r="M125">
            <v>370</v>
          </cell>
          <cell r="N125">
            <v>43.4</v>
          </cell>
          <cell r="O125">
            <v>52.000000000000007</v>
          </cell>
          <cell r="P125">
            <v>165.99999999999997</v>
          </cell>
          <cell r="Q125">
            <v>144.60000000000002</v>
          </cell>
          <cell r="R125">
            <v>406</v>
          </cell>
          <cell r="S125">
            <v>103</v>
          </cell>
          <cell r="T125">
            <v>112</v>
          </cell>
          <cell r="U125">
            <v>156</v>
          </cell>
          <cell r="V125">
            <v>163</v>
          </cell>
          <cell r="W125">
            <v>534</v>
          </cell>
          <cell r="X125">
            <v>107</v>
          </cell>
          <cell r="Y125">
            <v>134</v>
          </cell>
          <cell r="Z125">
            <v>160</v>
          </cell>
          <cell r="AA125">
            <v>191</v>
          </cell>
          <cell r="AB125">
            <v>592</v>
          </cell>
          <cell r="AC125">
            <v>138</v>
          </cell>
          <cell r="AD125">
            <v>126</v>
          </cell>
          <cell r="AE125">
            <v>132</v>
          </cell>
          <cell r="AF125">
            <v>223</v>
          </cell>
          <cell r="AG125">
            <v>619</v>
          </cell>
          <cell r="AH125">
            <v>120</v>
          </cell>
          <cell r="AI125">
            <v>119</v>
          </cell>
          <cell r="AJ125">
            <v>157</v>
          </cell>
          <cell r="AK125">
            <v>205</v>
          </cell>
          <cell r="AL125">
            <v>601</v>
          </cell>
          <cell r="AM125">
            <v>209</v>
          </cell>
          <cell r="AN125">
            <v>206</v>
          </cell>
          <cell r="AO125">
            <v>168</v>
          </cell>
          <cell r="AP125">
            <v>306</v>
          </cell>
          <cell r="AQ125">
            <v>889</v>
          </cell>
          <cell r="AR125">
            <v>195</v>
          </cell>
          <cell r="AS125">
            <v>218</v>
          </cell>
          <cell r="AT125">
            <v>229</v>
          </cell>
          <cell r="BA125">
            <v>220</v>
          </cell>
          <cell r="BB125">
            <v>198</v>
          </cell>
          <cell r="BC125">
            <v>145</v>
          </cell>
          <cell r="BD125">
            <v>270</v>
          </cell>
          <cell r="BE125">
            <v>833</v>
          </cell>
          <cell r="BF125">
            <v>114</v>
          </cell>
          <cell r="BG125">
            <v>136</v>
          </cell>
          <cell r="BH125">
            <v>116</v>
          </cell>
          <cell r="BI125">
            <v>192</v>
          </cell>
          <cell r="BJ125">
            <v>558</v>
          </cell>
          <cell r="BK125">
            <v>96</v>
          </cell>
          <cell r="BL125">
            <v>128</v>
          </cell>
          <cell r="BM125">
            <v>136</v>
          </cell>
          <cell r="BN125">
            <v>218</v>
          </cell>
          <cell r="BO125">
            <v>578</v>
          </cell>
          <cell r="BP125">
            <v>117</v>
          </cell>
          <cell r="BQ125">
            <v>126</v>
          </cell>
          <cell r="BR125">
            <v>148</v>
          </cell>
          <cell r="BS125">
            <v>302</v>
          </cell>
          <cell r="BT125">
            <v>693</v>
          </cell>
          <cell r="BU125">
            <v>111</v>
          </cell>
          <cell r="BV125">
            <v>150</v>
          </cell>
          <cell r="BW125">
            <v>179</v>
          </cell>
          <cell r="BX125">
            <v>303</v>
          </cell>
          <cell r="BY125">
            <v>743</v>
          </cell>
          <cell r="BZ125">
            <v>189</v>
          </cell>
          <cell r="CA125">
            <v>110</v>
          </cell>
          <cell r="CB125">
            <v>114</v>
          </cell>
          <cell r="CC125">
            <v>134</v>
          </cell>
          <cell r="CD125">
            <v>547</v>
          </cell>
          <cell r="CE125">
            <v>102</v>
          </cell>
          <cell r="CF125">
            <v>71</v>
          </cell>
          <cell r="CG125">
            <v>91</v>
          </cell>
          <cell r="CH125">
            <v>192</v>
          </cell>
          <cell r="CI125">
            <v>456</v>
          </cell>
          <cell r="CJ125">
            <v>83</v>
          </cell>
          <cell r="CK125">
            <v>77</v>
          </cell>
          <cell r="CL125">
            <v>120</v>
          </cell>
          <cell r="CM125">
            <v>196</v>
          </cell>
          <cell r="CN125">
            <v>476</v>
          </cell>
          <cell r="CO125">
            <v>116</v>
          </cell>
          <cell r="CP125">
            <v>82</v>
          </cell>
          <cell r="CQ125">
            <v>100</v>
          </cell>
          <cell r="CR125">
            <v>177</v>
          </cell>
          <cell r="CS125">
            <v>475</v>
          </cell>
          <cell r="CT125">
            <v>136</v>
          </cell>
          <cell r="CU125">
            <v>116</v>
          </cell>
          <cell r="CV125">
            <v>108</v>
          </cell>
          <cell r="CW125">
            <v>145</v>
          </cell>
          <cell r="CX125">
            <v>505</v>
          </cell>
          <cell r="CY125">
            <v>130</v>
          </cell>
          <cell r="CZ125">
            <v>130</v>
          </cell>
          <cell r="DA125">
            <v>130</v>
          </cell>
          <cell r="DB125">
            <v>135</v>
          </cell>
          <cell r="DC125">
            <v>525</v>
          </cell>
          <cell r="DD125">
            <v>130</v>
          </cell>
          <cell r="DE125">
            <v>130</v>
          </cell>
          <cell r="DF125">
            <v>130</v>
          </cell>
          <cell r="DG125">
            <v>130</v>
          </cell>
          <cell r="DH125">
            <v>520</v>
          </cell>
          <cell r="DI125">
            <v>130</v>
          </cell>
          <cell r="DJ125">
            <v>130</v>
          </cell>
          <cell r="DK125">
            <v>130</v>
          </cell>
          <cell r="DL125">
            <v>130</v>
          </cell>
          <cell r="DM125">
            <v>520</v>
          </cell>
          <cell r="DN125">
            <v>130</v>
          </cell>
          <cell r="DO125">
            <v>130</v>
          </cell>
          <cell r="DP125">
            <v>130</v>
          </cell>
          <cell r="DQ125">
            <v>130</v>
          </cell>
          <cell r="DR125">
            <v>520</v>
          </cell>
        </row>
        <row r="126">
          <cell r="B126" t="str">
            <v>Acquisitions/(Divestitures), net</v>
          </cell>
          <cell r="D126">
            <v>-140.93799999999999</v>
          </cell>
          <cell r="E126">
            <v>-4.4620000000000068</v>
          </cell>
          <cell r="F126">
            <v>2.4000000000000128</v>
          </cell>
          <cell r="G126">
            <v>1400</v>
          </cell>
          <cell r="H126">
            <v>1257</v>
          </cell>
          <cell r="I126">
            <v>-7</v>
          </cell>
          <cell r="J126">
            <v>-28.5</v>
          </cell>
          <cell r="K126">
            <v>-18.600000000000023</v>
          </cell>
          <cell r="L126">
            <v>-83.899999999999977</v>
          </cell>
          <cell r="M126">
            <v>-138</v>
          </cell>
          <cell r="N126">
            <v>38.900000000000006</v>
          </cell>
          <cell r="O126">
            <v>80.499999999999986</v>
          </cell>
          <cell r="P126">
            <v>507.4</v>
          </cell>
          <cell r="Q126">
            <v>110.2</v>
          </cell>
          <cell r="R126">
            <v>737</v>
          </cell>
          <cell r="S126">
            <v>88</v>
          </cell>
          <cell r="T126">
            <v>236</v>
          </cell>
          <cell r="U126">
            <v>193</v>
          </cell>
          <cell r="V126">
            <v>-8</v>
          </cell>
          <cell r="W126">
            <v>509</v>
          </cell>
          <cell r="X126">
            <v>84</v>
          </cell>
          <cell r="Y126">
            <v>358</v>
          </cell>
          <cell r="Z126">
            <v>9</v>
          </cell>
          <cell r="AA126">
            <v>123</v>
          </cell>
          <cell r="AB126">
            <v>574</v>
          </cell>
          <cell r="AC126">
            <v>-10</v>
          </cell>
          <cell r="AD126">
            <v>-595</v>
          </cell>
          <cell r="AE126">
            <v>-13</v>
          </cell>
          <cell r="AF126">
            <v>-108</v>
          </cell>
          <cell r="AG126">
            <v>-726</v>
          </cell>
          <cell r="AH126">
            <v>-14</v>
          </cell>
          <cell r="AI126">
            <v>-2</v>
          </cell>
          <cell r="AJ126">
            <v>-10</v>
          </cell>
          <cell r="AK126">
            <v>-77</v>
          </cell>
          <cell r="AL126">
            <v>-103</v>
          </cell>
          <cell r="AM126">
            <v>247</v>
          </cell>
          <cell r="AN126">
            <v>26</v>
          </cell>
          <cell r="AO126">
            <v>36</v>
          </cell>
          <cell r="AP126">
            <v>-13</v>
          </cell>
          <cell r="AQ126">
            <v>296</v>
          </cell>
          <cell r="AR126">
            <v>-5</v>
          </cell>
          <cell r="AS126">
            <v>5</v>
          </cell>
          <cell r="AT126">
            <v>27</v>
          </cell>
          <cell r="BA126">
            <v>0</v>
          </cell>
          <cell r="BB126">
            <v>0</v>
          </cell>
          <cell r="BC126">
            <v>0</v>
          </cell>
          <cell r="BD126">
            <v>-691</v>
          </cell>
          <cell r="BE126">
            <v>-691</v>
          </cell>
          <cell r="BF126">
            <v>-63</v>
          </cell>
          <cell r="BG126">
            <v>-127</v>
          </cell>
          <cell r="BH126">
            <v>-105</v>
          </cell>
          <cell r="BI126">
            <v>-136</v>
          </cell>
          <cell r="BJ126">
            <v>-431</v>
          </cell>
          <cell r="BK126">
            <v>-71</v>
          </cell>
          <cell r="BL126">
            <v>-46</v>
          </cell>
          <cell r="BM126">
            <v>-36</v>
          </cell>
          <cell r="BN126">
            <v>-20</v>
          </cell>
          <cell r="BO126">
            <v>-173</v>
          </cell>
          <cell r="BP126">
            <v>-26</v>
          </cell>
          <cell r="BQ126">
            <v>-4</v>
          </cell>
          <cell r="BR126">
            <v>-107</v>
          </cell>
          <cell r="BS126">
            <v>-79</v>
          </cell>
          <cell r="BT126">
            <v>-216</v>
          </cell>
          <cell r="BU126">
            <v>-38</v>
          </cell>
          <cell r="BV126">
            <v>27</v>
          </cell>
          <cell r="BW126">
            <v>-36</v>
          </cell>
          <cell r="BX126">
            <v>-8</v>
          </cell>
          <cell r="BY126">
            <v>-55</v>
          </cell>
          <cell r="BZ126">
            <v>-23</v>
          </cell>
          <cell r="CA126">
            <v>-57</v>
          </cell>
          <cell r="CB126">
            <v>12</v>
          </cell>
          <cell r="CC126">
            <v>0</v>
          </cell>
          <cell r="CD126">
            <v>-68</v>
          </cell>
          <cell r="CE126">
            <v>-251</v>
          </cell>
          <cell r="CF126">
            <v>30</v>
          </cell>
          <cell r="CG126">
            <v>0</v>
          </cell>
          <cell r="CH126">
            <v>0</v>
          </cell>
          <cell r="CI126">
            <v>-221</v>
          </cell>
          <cell r="CJ126">
            <v>0</v>
          </cell>
          <cell r="CK126">
            <v>-16</v>
          </cell>
          <cell r="CL126">
            <v>41</v>
          </cell>
          <cell r="CM126">
            <v>21</v>
          </cell>
          <cell r="CN126">
            <v>46</v>
          </cell>
          <cell r="CO126">
            <v>18</v>
          </cell>
          <cell r="CP126">
            <v>24</v>
          </cell>
          <cell r="CQ126">
            <v>14</v>
          </cell>
          <cell r="CR126">
            <v>28</v>
          </cell>
          <cell r="CS126">
            <v>84</v>
          </cell>
          <cell r="CT126">
            <v>3</v>
          </cell>
          <cell r="CU126">
            <v>0</v>
          </cell>
          <cell r="CV126">
            <v>-10</v>
          </cell>
          <cell r="CW126">
            <v>0</v>
          </cell>
          <cell r="CX126">
            <v>-7</v>
          </cell>
          <cell r="CY126">
            <v>150</v>
          </cell>
          <cell r="CZ126">
            <v>0</v>
          </cell>
          <cell r="DA126">
            <v>0</v>
          </cell>
          <cell r="DB126">
            <v>0</v>
          </cell>
          <cell r="DC126">
            <v>150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row>
        <row r="127">
          <cell r="B127" t="str">
            <v>Other</v>
          </cell>
          <cell r="D127">
            <v>159.30700000000007</v>
          </cell>
          <cell r="E127">
            <v>12.867999999999931</v>
          </cell>
          <cell r="F127">
            <v>-2.6000000000001933</v>
          </cell>
          <cell r="G127">
            <v>-83.699999999999818</v>
          </cell>
          <cell r="H127">
            <v>85.875</v>
          </cell>
          <cell r="I127">
            <v>27.799999999999642</v>
          </cell>
          <cell r="J127">
            <v>168.90000000000018</v>
          </cell>
          <cell r="K127">
            <v>26.900000000000375</v>
          </cell>
          <cell r="L127">
            <v>-0.60000000000019327</v>
          </cell>
          <cell r="M127">
            <v>223</v>
          </cell>
          <cell r="N127">
            <v>21.500000000000178</v>
          </cell>
          <cell r="O127">
            <v>-44.400000000000539</v>
          </cell>
          <cell r="P127">
            <v>1302.0000000000005</v>
          </cell>
          <cell r="Q127">
            <v>-98.100000000000207</v>
          </cell>
          <cell r="R127">
            <v>1181</v>
          </cell>
          <cell r="S127">
            <v>61</v>
          </cell>
          <cell r="T127">
            <v>-253</v>
          </cell>
          <cell r="U127">
            <v>-55</v>
          </cell>
          <cell r="V127">
            <v>30</v>
          </cell>
          <cell r="W127">
            <v>-217</v>
          </cell>
          <cell r="X127">
            <v>21</v>
          </cell>
          <cell r="Y127">
            <v>-79</v>
          </cell>
          <cell r="Z127">
            <v>-77</v>
          </cell>
          <cell r="AA127">
            <v>-1076</v>
          </cell>
          <cell r="AB127">
            <v>-1211</v>
          </cell>
          <cell r="AC127">
            <v>-51</v>
          </cell>
          <cell r="AD127">
            <v>584</v>
          </cell>
          <cell r="AE127">
            <v>-133</v>
          </cell>
          <cell r="AF127">
            <v>145</v>
          </cell>
          <cell r="AG127">
            <v>545</v>
          </cell>
          <cell r="AH127">
            <v>-58</v>
          </cell>
          <cell r="AI127">
            <v>4</v>
          </cell>
          <cell r="AJ127">
            <v>-19</v>
          </cell>
          <cell r="AK127">
            <v>17</v>
          </cell>
          <cell r="AL127">
            <v>-56</v>
          </cell>
          <cell r="AM127">
            <v>-62</v>
          </cell>
          <cell r="AN127">
            <v>6</v>
          </cell>
          <cell r="AO127">
            <v>33</v>
          </cell>
          <cell r="AP127">
            <v>-174</v>
          </cell>
          <cell r="AQ127">
            <v>-197</v>
          </cell>
          <cell r="AR127">
            <v>-83</v>
          </cell>
          <cell r="AS127">
            <v>22</v>
          </cell>
          <cell r="AT127">
            <v>-391</v>
          </cell>
          <cell r="BA127">
            <v>-409</v>
          </cell>
          <cell r="BB127">
            <v>-230</v>
          </cell>
          <cell r="BC127">
            <v>-18</v>
          </cell>
          <cell r="BD127">
            <v>-745</v>
          </cell>
          <cell r="BE127">
            <v>-1402</v>
          </cell>
          <cell r="BF127">
            <v>-644</v>
          </cell>
          <cell r="BG127">
            <v>41</v>
          </cell>
          <cell r="BH127">
            <v>-94</v>
          </cell>
          <cell r="BI127">
            <v>-149</v>
          </cell>
          <cell r="BJ127">
            <v>-846</v>
          </cell>
          <cell r="BK127">
            <v>50</v>
          </cell>
          <cell r="BL127">
            <v>20</v>
          </cell>
          <cell r="BM127">
            <v>-417</v>
          </cell>
          <cell r="BN127">
            <v>-250</v>
          </cell>
          <cell r="BO127">
            <v>-597</v>
          </cell>
          <cell r="BP127">
            <v>-71</v>
          </cell>
          <cell r="BQ127">
            <v>-527</v>
          </cell>
          <cell r="BR127">
            <v>67</v>
          </cell>
          <cell r="BS127">
            <v>-301</v>
          </cell>
          <cell r="BT127">
            <v>-832</v>
          </cell>
          <cell r="BU127">
            <v>-29</v>
          </cell>
          <cell r="BV127">
            <v>-48</v>
          </cell>
          <cell r="BW127">
            <v>-34</v>
          </cell>
          <cell r="BX127">
            <v>0</v>
          </cell>
          <cell r="BY127">
            <v>-111</v>
          </cell>
          <cell r="BZ127">
            <v>-133</v>
          </cell>
          <cell r="CA127">
            <v>-493</v>
          </cell>
          <cell r="CB127">
            <v>-151</v>
          </cell>
          <cell r="CC127">
            <v>-40</v>
          </cell>
          <cell r="CD127">
            <v>-817</v>
          </cell>
          <cell r="CE127">
            <v>151</v>
          </cell>
          <cell r="CF127">
            <v>-93</v>
          </cell>
          <cell r="CG127">
            <v>-49</v>
          </cell>
          <cell r="CH127">
            <v>-47</v>
          </cell>
          <cell r="CI127">
            <v>-38</v>
          </cell>
          <cell r="CJ127">
            <v>-89</v>
          </cell>
          <cell r="CK127">
            <v>-35</v>
          </cell>
          <cell r="CL127">
            <v>-158</v>
          </cell>
          <cell r="CM127">
            <v>-125</v>
          </cell>
          <cell r="CN127">
            <v>-401</v>
          </cell>
          <cell r="CO127">
            <v>-109</v>
          </cell>
          <cell r="CP127">
            <v>-42</v>
          </cell>
          <cell r="CQ127">
            <v>-77</v>
          </cell>
          <cell r="CR127">
            <v>26</v>
          </cell>
          <cell r="CS127">
            <v>-227</v>
          </cell>
          <cell r="CT127">
            <v>-109</v>
          </cell>
          <cell r="CU127">
            <v>-334</v>
          </cell>
          <cell r="CV127">
            <v>-29</v>
          </cell>
        </row>
        <row r="128">
          <cell r="B128" t="str">
            <v>Gross Property &amp; Equipment - EOP</v>
          </cell>
          <cell r="D128">
            <v>2582.67</v>
          </cell>
          <cell r="E128">
            <v>2622.5</v>
          </cell>
          <cell r="F128">
            <v>2663.2</v>
          </cell>
          <cell r="G128">
            <v>4143</v>
          </cell>
          <cell r="H128">
            <v>4143</v>
          </cell>
          <cell r="I128">
            <v>4258.8999999999996</v>
          </cell>
          <cell r="J128">
            <v>4464.7</v>
          </cell>
          <cell r="K128">
            <v>4547.8</v>
          </cell>
          <cell r="L128">
            <v>4598</v>
          </cell>
          <cell r="M128">
            <v>4598</v>
          </cell>
          <cell r="N128">
            <v>4701.8</v>
          </cell>
          <cell r="O128">
            <v>4789.8999999999996</v>
          </cell>
          <cell r="P128">
            <v>6765.3</v>
          </cell>
          <cell r="Q128">
            <v>6922</v>
          </cell>
          <cell r="R128">
            <v>6922</v>
          </cell>
          <cell r="S128">
            <v>7174</v>
          </cell>
          <cell r="T128">
            <v>7269</v>
          </cell>
          <cell r="U128">
            <v>7563</v>
          </cell>
          <cell r="V128">
            <v>7748</v>
          </cell>
          <cell r="W128">
            <v>7748</v>
          </cell>
          <cell r="X128">
            <v>7960</v>
          </cell>
          <cell r="Y128">
            <v>8373</v>
          </cell>
          <cell r="Z128">
            <v>8465</v>
          </cell>
          <cell r="AA128">
            <v>7703</v>
          </cell>
          <cell r="AB128">
            <v>7703</v>
          </cell>
          <cell r="AC128">
            <v>7780</v>
          </cell>
          <cell r="AD128">
            <v>7895</v>
          </cell>
          <cell r="AE128">
            <v>7881</v>
          </cell>
          <cell r="AF128">
            <v>8141</v>
          </cell>
          <cell r="AG128">
            <v>8141</v>
          </cell>
          <cell r="AH128">
            <v>8189</v>
          </cell>
          <cell r="AI128">
            <v>8310</v>
          </cell>
          <cell r="AJ128">
            <v>8438</v>
          </cell>
          <cell r="AK128">
            <v>8583</v>
          </cell>
          <cell r="AL128">
            <v>8583</v>
          </cell>
          <cell r="AM128">
            <v>8977</v>
          </cell>
          <cell r="AN128">
            <v>9215</v>
          </cell>
          <cell r="AO128">
            <v>9452</v>
          </cell>
          <cell r="AP128">
            <v>9571</v>
          </cell>
          <cell r="AQ128">
            <v>9571</v>
          </cell>
          <cell r="AR128">
            <v>9678</v>
          </cell>
          <cell r="AS128">
            <v>9923</v>
          </cell>
          <cell r="AT128">
            <v>9788</v>
          </cell>
          <cell r="AZ128">
            <v>9373</v>
          </cell>
          <cell r="BA128">
            <v>9184</v>
          </cell>
          <cell r="BB128">
            <v>9152</v>
          </cell>
          <cell r="BC128">
            <v>9279</v>
          </cell>
          <cell r="BD128">
            <v>8113</v>
          </cell>
          <cell r="BE128">
            <v>8113</v>
          </cell>
          <cell r="BF128">
            <v>7520</v>
          </cell>
          <cell r="BG128">
            <v>7570</v>
          </cell>
          <cell r="BH128">
            <v>7487</v>
          </cell>
          <cell r="BI128">
            <v>7394</v>
          </cell>
          <cell r="BJ128">
            <v>7394</v>
          </cell>
          <cell r="BK128">
            <v>7469</v>
          </cell>
          <cell r="BL128">
            <v>7571</v>
          </cell>
          <cell r="BM128">
            <v>7254</v>
          </cell>
          <cell r="BN128">
            <v>7202</v>
          </cell>
          <cell r="BO128">
            <v>7202</v>
          </cell>
          <cell r="BP128">
            <v>7222</v>
          </cell>
          <cell r="BQ128">
            <v>6817</v>
          </cell>
          <cell r="BR128">
            <v>6925</v>
          </cell>
          <cell r="BS128">
            <v>6847</v>
          </cell>
          <cell r="BT128">
            <v>6847</v>
          </cell>
          <cell r="BU128">
            <v>6891</v>
          </cell>
          <cell r="BV128">
            <v>7020</v>
          </cell>
          <cell r="BW128">
            <v>7129</v>
          </cell>
          <cell r="BX128">
            <v>7424</v>
          </cell>
          <cell r="BY128">
            <v>7424</v>
          </cell>
          <cell r="BZ128">
            <v>7457</v>
          </cell>
          <cell r="CA128">
            <v>7017</v>
          </cell>
          <cell r="CB128">
            <v>6992</v>
          </cell>
          <cell r="CC128">
            <v>7086</v>
          </cell>
          <cell r="CD128">
            <v>7086</v>
          </cell>
          <cell r="CE128">
            <v>7088</v>
          </cell>
          <cell r="CF128">
            <v>7096</v>
          </cell>
          <cell r="CG128">
            <v>7138</v>
          </cell>
          <cell r="CH128">
            <v>7283</v>
          </cell>
          <cell r="CI128">
            <v>7283</v>
          </cell>
          <cell r="CJ128">
            <v>7277</v>
          </cell>
          <cell r="CK128">
            <v>7309</v>
          </cell>
          <cell r="CL128">
            <v>7312</v>
          </cell>
          <cell r="CM128">
            <v>7404</v>
          </cell>
          <cell r="CN128">
            <v>7404</v>
          </cell>
          <cell r="CO128">
            <v>7429</v>
          </cell>
          <cell r="CP128">
            <v>7468</v>
          </cell>
          <cell r="CQ128">
            <v>7505</v>
          </cell>
          <cell r="CR128">
            <v>7736</v>
          </cell>
          <cell r="CS128">
            <v>7736</v>
          </cell>
          <cell r="CT128">
            <v>7766</v>
          </cell>
          <cell r="CU128">
            <v>7548</v>
          </cell>
          <cell r="CV128">
            <v>7617</v>
          </cell>
          <cell r="CW128">
            <v>7762</v>
          </cell>
          <cell r="CX128">
            <v>8234</v>
          </cell>
          <cell r="CY128">
            <v>8042</v>
          </cell>
          <cell r="CZ128">
            <v>8172</v>
          </cell>
          <cell r="DA128">
            <v>8302</v>
          </cell>
          <cell r="DB128">
            <v>8437</v>
          </cell>
          <cell r="DC128">
            <v>8909</v>
          </cell>
          <cell r="DD128">
            <v>8567</v>
          </cell>
          <cell r="DE128">
            <v>8697</v>
          </cell>
          <cell r="DF128">
            <v>8827</v>
          </cell>
          <cell r="DG128">
            <v>8957</v>
          </cell>
          <cell r="DH128">
            <v>9429</v>
          </cell>
          <cell r="DI128">
            <v>9087</v>
          </cell>
          <cell r="DJ128">
            <v>9217</v>
          </cell>
          <cell r="DK128">
            <v>9347</v>
          </cell>
          <cell r="DL128">
            <v>9477</v>
          </cell>
          <cell r="DM128">
            <v>9949</v>
          </cell>
          <cell r="DN128">
            <v>9607</v>
          </cell>
          <cell r="DO128">
            <v>9737</v>
          </cell>
          <cell r="DP128">
            <v>9867</v>
          </cell>
          <cell r="DQ128">
            <v>9997</v>
          </cell>
          <cell r="DR128">
            <v>10469</v>
          </cell>
        </row>
        <row r="130">
          <cell r="B130" t="str">
            <v>Depreciation &amp; amortization</v>
          </cell>
          <cell r="D130">
            <v>37.822000000000003</v>
          </cell>
          <cell r="E130">
            <v>37.200000000000003</v>
          </cell>
          <cell r="F130">
            <v>37.6</v>
          </cell>
          <cell r="G130">
            <v>82.377999999999986</v>
          </cell>
          <cell r="H130">
            <v>195</v>
          </cell>
          <cell r="I130">
            <v>80.2</v>
          </cell>
          <cell r="J130">
            <v>82.5</v>
          </cell>
          <cell r="K130">
            <v>77.8</v>
          </cell>
          <cell r="L130">
            <v>80.5</v>
          </cell>
          <cell r="M130">
            <v>321</v>
          </cell>
          <cell r="N130">
            <v>84.1</v>
          </cell>
          <cell r="O130">
            <v>85.5</v>
          </cell>
          <cell r="P130">
            <v>108.2</v>
          </cell>
          <cell r="Q130">
            <v>165.2</v>
          </cell>
          <cell r="R130">
            <v>443</v>
          </cell>
          <cell r="S130">
            <v>105</v>
          </cell>
          <cell r="T130">
            <v>114</v>
          </cell>
          <cell r="U130">
            <v>121</v>
          </cell>
          <cell r="V130">
            <v>120</v>
          </cell>
          <cell r="W130">
            <v>460</v>
          </cell>
          <cell r="X130">
            <v>127</v>
          </cell>
          <cell r="Y130">
            <v>134</v>
          </cell>
          <cell r="Z130">
            <v>142</v>
          </cell>
          <cell r="AA130">
            <v>153</v>
          </cell>
          <cell r="AB130">
            <v>556</v>
          </cell>
          <cell r="AC130">
            <v>134</v>
          </cell>
          <cell r="AD130">
            <v>132</v>
          </cell>
          <cell r="AE130">
            <v>133</v>
          </cell>
          <cell r="AF130">
            <v>134</v>
          </cell>
          <cell r="AG130">
            <v>533</v>
          </cell>
          <cell r="AH130">
            <v>137</v>
          </cell>
          <cell r="AI130">
            <v>136</v>
          </cell>
          <cell r="AJ130">
            <v>139</v>
          </cell>
          <cell r="AK130">
            <v>142</v>
          </cell>
          <cell r="AL130">
            <v>554</v>
          </cell>
          <cell r="AM130">
            <v>149</v>
          </cell>
          <cell r="AN130">
            <v>151</v>
          </cell>
          <cell r="AO130">
            <v>154</v>
          </cell>
          <cell r="AP130">
            <v>150</v>
          </cell>
          <cell r="AQ130">
            <v>604</v>
          </cell>
          <cell r="AR130">
            <v>128</v>
          </cell>
          <cell r="AS130">
            <v>130</v>
          </cell>
          <cell r="AT130">
            <v>132</v>
          </cell>
          <cell r="AZ130">
            <v>153</v>
          </cell>
          <cell r="BA130">
            <v>119</v>
          </cell>
          <cell r="BB130">
            <v>120</v>
          </cell>
          <cell r="BC130">
            <v>112</v>
          </cell>
          <cell r="BD130">
            <v>114</v>
          </cell>
          <cell r="BE130">
            <v>465</v>
          </cell>
          <cell r="BF130">
            <v>96</v>
          </cell>
          <cell r="BG130">
            <v>95</v>
          </cell>
          <cell r="BH130">
            <v>99</v>
          </cell>
          <cell r="BI130">
            <v>100</v>
          </cell>
          <cell r="BJ130">
            <v>390</v>
          </cell>
          <cell r="BK130">
            <v>96</v>
          </cell>
          <cell r="BL130">
            <v>92</v>
          </cell>
          <cell r="BM130">
            <v>105</v>
          </cell>
          <cell r="BN130">
            <v>89</v>
          </cell>
          <cell r="BO130">
            <v>382</v>
          </cell>
          <cell r="BP130">
            <v>90</v>
          </cell>
          <cell r="BQ130">
            <v>82</v>
          </cell>
          <cell r="BR130">
            <v>83</v>
          </cell>
          <cell r="BS130">
            <v>95</v>
          </cell>
          <cell r="BT130">
            <v>350</v>
          </cell>
          <cell r="BU130">
            <v>89</v>
          </cell>
          <cell r="BV130">
            <v>89</v>
          </cell>
          <cell r="BW130">
            <v>91</v>
          </cell>
          <cell r="BX130">
            <v>93</v>
          </cell>
          <cell r="BY130">
            <v>362</v>
          </cell>
          <cell r="BZ130">
            <v>95</v>
          </cell>
          <cell r="CA130">
            <v>95</v>
          </cell>
          <cell r="CB130">
            <v>94</v>
          </cell>
          <cell r="CC130">
            <v>96</v>
          </cell>
          <cell r="CD130">
            <v>380</v>
          </cell>
          <cell r="CE130">
            <v>97</v>
          </cell>
          <cell r="CF130">
            <v>98</v>
          </cell>
          <cell r="CG130">
            <v>97</v>
          </cell>
          <cell r="CH130">
            <v>95</v>
          </cell>
          <cell r="CI130">
            <v>387</v>
          </cell>
          <cell r="CJ130">
            <v>95</v>
          </cell>
          <cell r="CK130">
            <v>97</v>
          </cell>
          <cell r="CL130">
            <v>101</v>
          </cell>
          <cell r="CM130">
            <v>101</v>
          </cell>
          <cell r="CN130">
            <v>394</v>
          </cell>
          <cell r="CO130">
            <v>98</v>
          </cell>
          <cell r="CP130">
            <v>100</v>
          </cell>
          <cell r="CQ130">
            <v>100</v>
          </cell>
          <cell r="CR130">
            <v>100</v>
          </cell>
          <cell r="CS130">
            <v>398</v>
          </cell>
          <cell r="CT130">
            <v>100</v>
          </cell>
          <cell r="CU130">
            <v>104</v>
          </cell>
          <cell r="CV130">
            <v>110</v>
          </cell>
          <cell r="CW130">
            <v>110</v>
          </cell>
          <cell r="CX130">
            <v>424</v>
          </cell>
          <cell r="CY130">
            <v>107.9875</v>
          </cell>
          <cell r="CZ130">
            <v>107.9875</v>
          </cell>
          <cell r="DA130">
            <v>107.9875</v>
          </cell>
          <cell r="DB130">
            <v>107.9875</v>
          </cell>
          <cell r="DC130">
            <v>431.95</v>
          </cell>
          <cell r="DD130">
            <v>109.15062499999999</v>
          </cell>
          <cell r="DE130">
            <v>109.15062499999999</v>
          </cell>
          <cell r="DF130">
            <v>109.15062499999999</v>
          </cell>
          <cell r="DG130">
            <v>109.15062499999999</v>
          </cell>
          <cell r="DH130">
            <v>436.60249999999996</v>
          </cell>
          <cell r="DI130">
            <v>110.19309374999999</v>
          </cell>
          <cell r="DJ130">
            <v>110.19309374999999</v>
          </cell>
          <cell r="DK130">
            <v>110.19309374999999</v>
          </cell>
          <cell r="DL130">
            <v>110.19309374999999</v>
          </cell>
          <cell r="DM130">
            <v>440.77237499999995</v>
          </cell>
          <cell r="DN130">
            <v>111.18343906249999</v>
          </cell>
          <cell r="DO130">
            <v>111.18343906249999</v>
          </cell>
          <cell r="DP130">
            <v>111.18343906249999</v>
          </cell>
          <cell r="DQ130">
            <v>111.18343906249999</v>
          </cell>
          <cell r="DR130">
            <v>444.73375624999994</v>
          </cell>
        </row>
        <row r="131">
          <cell r="B131" t="str">
            <v>Average Gross PP&amp;E</v>
          </cell>
          <cell r="E131">
            <v>2602.585</v>
          </cell>
          <cell r="F131">
            <v>2642.85</v>
          </cell>
          <cell r="G131">
            <v>3403.1</v>
          </cell>
          <cell r="H131">
            <v>3002.8424999999997</v>
          </cell>
          <cell r="I131">
            <v>4200.95</v>
          </cell>
          <cell r="J131">
            <v>4361.7999999999993</v>
          </cell>
          <cell r="K131">
            <v>4506.25</v>
          </cell>
          <cell r="L131">
            <v>4572.8999999999996</v>
          </cell>
          <cell r="M131">
            <v>4402.4799999999996</v>
          </cell>
          <cell r="N131">
            <v>4649.8999999999996</v>
          </cell>
          <cell r="O131">
            <v>4745.8500000000004</v>
          </cell>
          <cell r="P131">
            <v>5777.6</v>
          </cell>
          <cell r="Q131">
            <v>6843.65</v>
          </cell>
          <cell r="R131">
            <v>5555.4</v>
          </cell>
          <cell r="S131">
            <v>7048</v>
          </cell>
          <cell r="T131">
            <v>7221.5</v>
          </cell>
          <cell r="U131">
            <v>7416</v>
          </cell>
          <cell r="V131">
            <v>7655.5</v>
          </cell>
          <cell r="W131">
            <v>7335.2</v>
          </cell>
          <cell r="X131">
            <v>7854</v>
          </cell>
          <cell r="Y131">
            <v>8166.5</v>
          </cell>
          <cell r="Z131">
            <v>8419</v>
          </cell>
          <cell r="AA131">
            <v>8084</v>
          </cell>
          <cell r="AB131">
            <v>8049.8</v>
          </cell>
          <cell r="AC131">
            <v>7741.5</v>
          </cell>
          <cell r="AD131">
            <v>7837.5</v>
          </cell>
          <cell r="AE131">
            <v>7888</v>
          </cell>
          <cell r="AF131">
            <v>8011</v>
          </cell>
          <cell r="AG131">
            <v>7880</v>
          </cell>
          <cell r="AH131">
            <v>8165</v>
          </cell>
          <cell r="AI131">
            <v>8249.5</v>
          </cell>
          <cell r="AJ131">
            <v>8374</v>
          </cell>
          <cell r="AK131">
            <v>8510.5</v>
          </cell>
          <cell r="AL131">
            <v>8332.2000000000007</v>
          </cell>
          <cell r="AM131">
            <v>8780</v>
          </cell>
          <cell r="AN131">
            <v>9096</v>
          </cell>
          <cell r="AO131">
            <v>9333.5</v>
          </cell>
          <cell r="AP131">
            <v>9511.5</v>
          </cell>
          <cell r="AQ131">
            <v>9159.6</v>
          </cell>
          <cell r="AR131">
            <v>9624.5</v>
          </cell>
          <cell r="AS131">
            <v>9800.5</v>
          </cell>
          <cell r="AT131">
            <v>9855.5</v>
          </cell>
          <cell r="BA131">
            <v>9278.5</v>
          </cell>
          <cell r="BB131">
            <v>9168</v>
          </cell>
          <cell r="BC131">
            <v>9215.5</v>
          </cell>
          <cell r="BD131">
            <v>8696</v>
          </cell>
          <cell r="BE131">
            <v>9020.2000000000007</v>
          </cell>
          <cell r="BF131">
            <v>7816.5</v>
          </cell>
          <cell r="BG131">
            <v>7545</v>
          </cell>
          <cell r="BH131">
            <v>7528.5</v>
          </cell>
          <cell r="BI131">
            <v>7440.5</v>
          </cell>
          <cell r="BJ131">
            <v>7616.8</v>
          </cell>
          <cell r="BK131">
            <v>7431.5</v>
          </cell>
          <cell r="BL131">
            <v>7520</v>
          </cell>
          <cell r="BM131">
            <v>7412.5</v>
          </cell>
          <cell r="BN131">
            <v>7228</v>
          </cell>
          <cell r="BO131">
            <v>7378</v>
          </cell>
          <cell r="BP131">
            <v>7212</v>
          </cell>
          <cell r="BQ131">
            <v>7019.5</v>
          </cell>
          <cell r="BR131">
            <v>6871</v>
          </cell>
          <cell r="BS131">
            <v>6886</v>
          </cell>
          <cell r="BT131">
            <v>7002.6</v>
          </cell>
          <cell r="BU131">
            <v>6869</v>
          </cell>
          <cell r="BV131">
            <v>6955.5</v>
          </cell>
          <cell r="BW131">
            <v>7074.5</v>
          </cell>
          <cell r="BX131">
            <v>7276.5</v>
          </cell>
          <cell r="BY131">
            <v>7062.2</v>
          </cell>
          <cell r="BZ131">
            <v>7440.5</v>
          </cell>
          <cell r="CA131">
            <v>7237</v>
          </cell>
          <cell r="CB131">
            <v>7004.5</v>
          </cell>
          <cell r="CC131">
            <v>7039</v>
          </cell>
          <cell r="CD131">
            <v>7195.2</v>
          </cell>
          <cell r="CE131">
            <v>7087</v>
          </cell>
          <cell r="CF131">
            <v>7092</v>
          </cell>
          <cell r="CG131">
            <v>7117</v>
          </cell>
          <cell r="CH131">
            <v>7210.5</v>
          </cell>
          <cell r="CI131">
            <v>7138.2</v>
          </cell>
          <cell r="CJ131">
            <v>7280</v>
          </cell>
          <cell r="CK131">
            <v>7293</v>
          </cell>
          <cell r="CL131">
            <v>7310.5</v>
          </cell>
          <cell r="CM131">
            <v>7358</v>
          </cell>
          <cell r="CN131">
            <v>7317</v>
          </cell>
          <cell r="CO131">
            <v>7416.5</v>
          </cell>
          <cell r="CP131">
            <v>7448.5</v>
          </cell>
          <cell r="CQ131">
            <v>7486.5</v>
          </cell>
          <cell r="CR131">
            <v>7620.5</v>
          </cell>
          <cell r="CS131">
            <v>7508.4</v>
          </cell>
          <cell r="CT131">
            <v>7751</v>
          </cell>
          <cell r="CU131">
            <v>7657</v>
          </cell>
          <cell r="CV131">
            <v>7582.5</v>
          </cell>
          <cell r="CW131">
            <v>7689.5</v>
          </cell>
          <cell r="CX131">
            <v>7685.8</v>
          </cell>
          <cell r="CY131">
            <v>7902</v>
          </cell>
          <cell r="CZ131">
            <v>8107</v>
          </cell>
          <cell r="DA131">
            <v>8237</v>
          </cell>
          <cell r="DB131">
            <v>8369.5</v>
          </cell>
          <cell r="DC131">
            <v>8143</v>
          </cell>
          <cell r="DD131">
            <v>8502</v>
          </cell>
          <cell r="DE131">
            <v>8632</v>
          </cell>
          <cell r="DF131">
            <v>8762</v>
          </cell>
          <cell r="DG131">
            <v>8892</v>
          </cell>
          <cell r="DH131">
            <v>8697</v>
          </cell>
          <cell r="DI131">
            <v>9022</v>
          </cell>
          <cell r="DJ131">
            <v>9152</v>
          </cell>
          <cell r="DK131">
            <v>9282</v>
          </cell>
          <cell r="DL131">
            <v>9412</v>
          </cell>
          <cell r="DM131">
            <v>9217</v>
          </cell>
          <cell r="DN131">
            <v>9542</v>
          </cell>
          <cell r="DO131">
            <v>9672</v>
          </cell>
          <cell r="DP131">
            <v>9802</v>
          </cell>
          <cell r="DQ131">
            <v>9932</v>
          </cell>
          <cell r="DR131">
            <v>9737</v>
          </cell>
        </row>
        <row r="132">
          <cell r="B132" t="str">
            <v>Average Depreciable Life</v>
          </cell>
          <cell r="E132">
            <v>17.490490591397847</v>
          </cell>
          <cell r="F132">
            <v>17.379040507364973</v>
          </cell>
          <cell r="G132">
            <v>10.441187887836268</v>
          </cell>
          <cell r="H132">
            <v>15.399192307692307</v>
          </cell>
          <cell r="I132">
            <v>13.166789310875814</v>
          </cell>
          <cell r="J132">
            <v>13.145348567643648</v>
          </cell>
          <cell r="K132">
            <v>14.242856841839101</v>
          </cell>
          <cell r="L132">
            <v>14.434365135933204</v>
          </cell>
          <cell r="M132">
            <v>13.714890965732085</v>
          </cell>
          <cell r="N132">
            <v>13.936142556969035</v>
          </cell>
          <cell r="O132">
            <v>13.838735880797886</v>
          </cell>
          <cell r="P132">
            <v>13.166485199908847</v>
          </cell>
          <cell r="Q132">
            <v>10.441736044313243</v>
          </cell>
          <cell r="R132">
            <v>12.540406320541759</v>
          </cell>
          <cell r="S132">
            <v>16.91887801696021</v>
          </cell>
          <cell r="T132">
            <v>15.793234799327086</v>
          </cell>
          <cell r="U132">
            <v>15.112419336578739</v>
          </cell>
          <cell r="V132">
            <v>16.080045662100456</v>
          </cell>
          <cell r="W132">
            <v>15.946086956521739</v>
          </cell>
          <cell r="X132">
            <v>15.587703591845539</v>
          </cell>
          <cell r="Y132">
            <v>15.194264976487426</v>
          </cell>
          <cell r="Z132">
            <v>14.619139494501255</v>
          </cell>
          <cell r="AA132">
            <v>13.317718685647774</v>
          </cell>
          <cell r="AB132">
            <v>14.478057553956836</v>
          </cell>
          <cell r="AC132">
            <v>14.403526886117358</v>
          </cell>
          <cell r="AD132">
            <v>14.803082191780822</v>
          </cell>
          <cell r="AE132">
            <v>14.623957153156866</v>
          </cell>
          <cell r="AF132">
            <v>15.232529135146187</v>
          </cell>
          <cell r="AG132">
            <v>14.784240150093808</v>
          </cell>
          <cell r="AH132">
            <v>15.022097790220979</v>
          </cell>
          <cell r="AI132">
            <v>15.122975423045931</v>
          </cell>
          <cell r="AJ132">
            <v>14.854833941066326</v>
          </cell>
          <cell r="AK132">
            <v>15.106424850472699</v>
          </cell>
          <cell r="AL132">
            <v>15.040072202166066</v>
          </cell>
          <cell r="AM132">
            <v>14.85262480463363</v>
          </cell>
          <cell r="AN132">
            <v>15.018343463666879</v>
          </cell>
          <cell r="AO132">
            <v>14.944227005870841</v>
          </cell>
          <cell r="AP132">
            <v>15.982794520547944</v>
          </cell>
          <cell r="AQ132">
            <v>15.164900662251656</v>
          </cell>
          <cell r="AR132">
            <v>18.952354452054795</v>
          </cell>
          <cell r="AS132">
            <v>18.795479452054796</v>
          </cell>
          <cell r="AT132">
            <v>18.410024906600249</v>
          </cell>
          <cell r="BA132">
            <v>19.225624496373893</v>
          </cell>
          <cell r="BB132">
            <v>19.047671232876713</v>
          </cell>
          <cell r="BC132">
            <v>20.739383561643834</v>
          </cell>
          <cell r="BD132">
            <v>19.226916606584954</v>
          </cell>
          <cell r="BE132">
            <v>19.398279569892473</v>
          </cell>
          <cell r="BF132">
            <v>20.244236680327869</v>
          </cell>
          <cell r="BG132">
            <v>19.74676445211389</v>
          </cell>
          <cell r="BH132">
            <v>19.115250869349232</v>
          </cell>
          <cell r="BI132">
            <v>18.70289617486339</v>
          </cell>
          <cell r="BJ132">
            <v>19.53025641025641</v>
          </cell>
          <cell r="BK132">
            <v>19.087756849315067</v>
          </cell>
          <cell r="BL132">
            <v>20.378796902918403</v>
          </cell>
          <cell r="BM132">
            <v>17.793868232224398</v>
          </cell>
          <cell r="BN132">
            <v>20.470247806680007</v>
          </cell>
          <cell r="CE132">
            <v>18.015252083039123</v>
          </cell>
          <cell r="CF132">
            <v>18.042270058708414</v>
          </cell>
          <cell r="CG132">
            <v>18.493546109306596</v>
          </cell>
          <cell r="CH132">
            <v>19.13095890410959</v>
          </cell>
          <cell r="CI132">
            <v>18.444961240310079</v>
          </cell>
          <cell r="CJ132">
            <v>18.895457822638789</v>
          </cell>
          <cell r="CK132">
            <v>18.74489478887163</v>
          </cell>
          <cell r="CL132">
            <v>18.244025498440255</v>
          </cell>
          <cell r="CM132">
            <v>18.362566119625662</v>
          </cell>
          <cell r="CN132">
            <v>18.571065989847718</v>
          </cell>
          <cell r="CO132">
            <v>18.660469667318985</v>
          </cell>
          <cell r="CP132">
            <v>18.570232876712328</v>
          </cell>
          <cell r="CQ132">
            <v>18.870082191780821</v>
          </cell>
          <cell r="CR132">
            <v>19.207835616438356</v>
          </cell>
          <cell r="CS132">
            <v>18.865326633165829</v>
          </cell>
          <cell r="CT132">
            <v>19.271612021857926</v>
          </cell>
          <cell r="CU132">
            <v>18.305669398907103</v>
          </cell>
          <cell r="CV132">
            <v>70.463636363636368</v>
          </cell>
          <cell r="CW132">
            <v>17.57163437655241</v>
          </cell>
          <cell r="CX132">
            <v>18.126886792452829</v>
          </cell>
          <cell r="CY132">
            <v>18.043184221918128</v>
          </cell>
          <cell r="CZ132">
            <v>18.716955761305453</v>
          </cell>
          <cell r="DA132">
            <v>19.226071003271244</v>
          </cell>
          <cell r="DB132">
            <v>19.535340689799526</v>
          </cell>
          <cell r="DC132">
            <v>18.851718948952424</v>
          </cell>
          <cell r="DD132">
            <v>19.206335846852326</v>
          </cell>
          <cell r="DE132">
            <v>19.71667749252812</v>
          </cell>
          <cell r="DF132">
            <v>20.233545246204876</v>
          </cell>
          <cell r="DG132">
            <v>20.533746214249458</v>
          </cell>
          <cell r="DH132">
            <v>19.91972102770827</v>
          </cell>
          <cell r="DI132">
            <v>20.188222909623388</v>
          </cell>
          <cell r="DJ132">
            <v>20.706665265483711</v>
          </cell>
          <cell r="DK132">
            <v>21.231571989870972</v>
          </cell>
          <cell r="DL132">
            <v>21.528932942110064</v>
          </cell>
          <cell r="DM132">
            <v>20.911020115541501</v>
          </cell>
          <cell r="DN132">
            <v>21.338290134564684</v>
          </cell>
          <cell r="DO132">
            <v>21.629002534218152</v>
          </cell>
          <cell r="DP132">
            <v>22.160590922155926</v>
          </cell>
          <cell r="DQ132">
            <v>22.454497963563831</v>
          </cell>
          <cell r="DR132">
            <v>21.893998067748431</v>
          </cell>
        </row>
        <row r="135">
          <cell r="B135" t="str">
            <v>Fiscal Year ends December 31</v>
          </cell>
          <cell r="D135">
            <v>34577</v>
          </cell>
          <cell r="E135">
            <v>34668</v>
          </cell>
          <cell r="F135">
            <v>34758</v>
          </cell>
          <cell r="G135">
            <v>34850</v>
          </cell>
          <cell r="I135">
            <v>34942</v>
          </cell>
          <cell r="J135">
            <v>35033</v>
          </cell>
          <cell r="K135">
            <v>35123</v>
          </cell>
          <cell r="L135">
            <v>35216</v>
          </cell>
          <cell r="N135">
            <v>35308</v>
          </cell>
          <cell r="O135">
            <v>35399</v>
          </cell>
          <cell r="P135">
            <v>35489</v>
          </cell>
          <cell r="Q135">
            <v>35581</v>
          </cell>
          <cell r="S135">
            <v>35673</v>
          </cell>
          <cell r="T135">
            <v>35764</v>
          </cell>
          <cell r="U135">
            <v>35854</v>
          </cell>
          <cell r="V135">
            <v>35946</v>
          </cell>
          <cell r="X135">
            <v>36038</v>
          </cell>
          <cell r="Y135">
            <v>36129</v>
          </cell>
          <cell r="Z135">
            <v>36219</v>
          </cell>
          <cell r="AA135">
            <v>36311</v>
          </cell>
          <cell r="AC135">
            <v>36403</v>
          </cell>
          <cell r="AD135">
            <v>36494</v>
          </cell>
          <cell r="AE135">
            <v>36584</v>
          </cell>
          <cell r="AF135">
            <v>36677</v>
          </cell>
          <cell r="AH135">
            <v>36769</v>
          </cell>
          <cell r="AI135">
            <v>36860</v>
          </cell>
          <cell r="AJ135">
            <v>36950</v>
          </cell>
          <cell r="AK135">
            <v>37042</v>
          </cell>
          <cell r="AM135">
            <v>37134</v>
          </cell>
          <cell r="AN135">
            <v>37225</v>
          </cell>
          <cell r="AO135">
            <v>37315</v>
          </cell>
          <cell r="AP135">
            <v>37407</v>
          </cell>
          <cell r="AR135">
            <v>37499</v>
          </cell>
          <cell r="AS135">
            <v>37590</v>
          </cell>
          <cell r="AT135">
            <v>37680</v>
          </cell>
          <cell r="AV135">
            <v>37346</v>
          </cell>
          <cell r="AW135">
            <v>37437</v>
          </cell>
          <cell r="AX135">
            <v>37529</v>
          </cell>
          <cell r="AY135">
            <v>37621</v>
          </cell>
          <cell r="BA135">
            <v>37711</v>
          </cell>
          <cell r="BB135">
            <v>37802</v>
          </cell>
          <cell r="BC135">
            <v>37894</v>
          </cell>
          <cell r="BD135">
            <v>37986</v>
          </cell>
          <cell r="BF135">
            <v>38077</v>
          </cell>
          <cell r="BG135">
            <v>38168</v>
          </cell>
          <cell r="BH135">
            <v>38260</v>
          </cell>
          <cell r="BI135">
            <v>38352</v>
          </cell>
          <cell r="BK135">
            <v>38442</v>
          </cell>
          <cell r="BL135">
            <v>38533</v>
          </cell>
          <cell r="BM135">
            <v>38625</v>
          </cell>
          <cell r="BN135">
            <v>38717</v>
          </cell>
          <cell r="BP135">
            <v>38807</v>
          </cell>
          <cell r="BQ135">
            <v>38898</v>
          </cell>
          <cell r="BR135">
            <v>38990</v>
          </cell>
          <cell r="BS135">
            <v>39082</v>
          </cell>
          <cell r="BU135">
            <v>39172</v>
          </cell>
          <cell r="BV135">
            <v>39263</v>
          </cell>
          <cell r="BW135">
            <v>39355</v>
          </cell>
          <cell r="BX135">
            <v>39447</v>
          </cell>
          <cell r="BZ135">
            <v>39538</v>
          </cell>
          <cell r="CA135">
            <v>39629</v>
          </cell>
          <cell r="CB135">
            <v>39721</v>
          </cell>
          <cell r="CC135">
            <v>39813</v>
          </cell>
          <cell r="CE135">
            <v>39903</v>
          </cell>
          <cell r="CF135">
            <v>39994</v>
          </cell>
          <cell r="CG135">
            <v>40086</v>
          </cell>
          <cell r="CH135">
            <v>40178</v>
          </cell>
          <cell r="CJ135">
            <v>40268</v>
          </cell>
          <cell r="CK135">
            <v>40359</v>
          </cell>
          <cell r="CL135">
            <v>40451</v>
          </cell>
          <cell r="CM135">
            <v>40543</v>
          </cell>
          <cell r="CO135">
            <v>40633</v>
          </cell>
          <cell r="CP135">
            <v>40724</v>
          </cell>
          <cell r="CQ135">
            <v>40816</v>
          </cell>
          <cell r="CR135">
            <v>40908</v>
          </cell>
          <cell r="CT135">
            <v>40999</v>
          </cell>
          <cell r="CU135">
            <v>41090</v>
          </cell>
          <cell r="CV135">
            <v>41182</v>
          </cell>
          <cell r="CW135">
            <v>41274</v>
          </cell>
          <cell r="CY135">
            <v>41364</v>
          </cell>
          <cell r="CZ135">
            <v>41455</v>
          </cell>
          <cell r="DA135">
            <v>41547</v>
          </cell>
          <cell r="DB135">
            <v>41639</v>
          </cell>
          <cell r="DD135">
            <v>41729</v>
          </cell>
          <cell r="DE135">
            <v>41820</v>
          </cell>
          <cell r="DF135">
            <v>41912</v>
          </cell>
          <cell r="DG135">
            <v>42004</v>
          </cell>
          <cell r="DI135">
            <v>42094</v>
          </cell>
          <cell r="DJ135">
            <v>42185</v>
          </cell>
          <cell r="DK135">
            <v>42277</v>
          </cell>
          <cell r="DL135">
            <v>42369</v>
          </cell>
          <cell r="DN135">
            <v>42460</v>
          </cell>
          <cell r="DO135">
            <v>42551</v>
          </cell>
          <cell r="DP135">
            <v>42643</v>
          </cell>
          <cell r="DQ135">
            <v>42735</v>
          </cell>
        </row>
        <row r="136">
          <cell r="B136" t="str">
            <v>($ Millions, except per share data)</v>
          </cell>
          <cell r="D136" t="str">
            <v>F1Q95A</v>
          </cell>
          <cell r="E136" t="str">
            <v>F2Q95A</v>
          </cell>
          <cell r="F136" t="str">
            <v>F3Q95A</v>
          </cell>
          <cell r="G136" t="str">
            <v>F4Q95A</v>
          </cell>
          <cell r="H136" t="str">
            <v>F1995A</v>
          </cell>
          <cell r="I136" t="str">
            <v>F1Q96A</v>
          </cell>
          <cell r="J136" t="str">
            <v>F2Q96A</v>
          </cell>
          <cell r="K136" t="str">
            <v>F3Q96A</v>
          </cell>
          <cell r="L136" t="str">
            <v>F4Q96A</v>
          </cell>
          <cell r="M136" t="str">
            <v>F1996A</v>
          </cell>
          <cell r="N136" t="str">
            <v>F1Q97A</v>
          </cell>
          <cell r="O136" t="str">
            <v>F2Q97A</v>
          </cell>
          <cell r="P136" t="str">
            <v>F3Q97A</v>
          </cell>
          <cell r="Q136" t="str">
            <v>F4Q97A</v>
          </cell>
          <cell r="R136" t="str">
            <v>F1997A</v>
          </cell>
          <cell r="S136" t="str">
            <v>F1Q98A</v>
          </cell>
          <cell r="T136" t="str">
            <v>F2Q98A</v>
          </cell>
          <cell r="U136" t="str">
            <v>F3Q98A</v>
          </cell>
          <cell r="V136" t="str">
            <v>F4Q98A</v>
          </cell>
          <cell r="W136" t="str">
            <v>F1998A</v>
          </cell>
          <cell r="X136" t="str">
            <v>F1Q99A</v>
          </cell>
          <cell r="Y136" t="str">
            <v>F2Q99A</v>
          </cell>
          <cell r="Z136" t="str">
            <v>F3Q99A</v>
          </cell>
          <cell r="AA136" t="str">
            <v>F4Q99A</v>
          </cell>
          <cell r="AB136" t="str">
            <v>F1999A</v>
          </cell>
          <cell r="AC136" t="str">
            <v>F1Q00A</v>
          </cell>
          <cell r="AD136" t="str">
            <v>F2Q00A</v>
          </cell>
          <cell r="AE136" t="str">
            <v>F3Q00A</v>
          </cell>
          <cell r="AF136" t="str">
            <v>F4Q00A</v>
          </cell>
          <cell r="AG136" t="str">
            <v>F2000A</v>
          </cell>
          <cell r="AH136" t="str">
            <v>F1Q01A</v>
          </cell>
          <cell r="AI136" t="str">
            <v>F2Q01A</v>
          </cell>
          <cell r="AJ136" t="str">
            <v>F3Q01A</v>
          </cell>
          <cell r="AK136" t="str">
            <v>F4Q01A</v>
          </cell>
          <cell r="AL136" t="str">
            <v>F2001A</v>
          </cell>
          <cell r="AM136" t="str">
            <v>F1Q02A</v>
          </cell>
          <cell r="AN136" t="str">
            <v>F2Q02A</v>
          </cell>
          <cell r="AO136" t="str">
            <v>F3Q02A</v>
          </cell>
          <cell r="AP136" t="str">
            <v>F4Q02A</v>
          </cell>
          <cell r="AQ136" t="str">
            <v>F2002A</v>
          </cell>
          <cell r="AR136" t="str">
            <v>F1Q03A</v>
          </cell>
          <cell r="AS136" t="str">
            <v>F2Q03A</v>
          </cell>
          <cell r="AT136" t="str">
            <v>F3Q03A</v>
          </cell>
          <cell r="AV136" t="str">
            <v>1Q02A</v>
          </cell>
          <cell r="AW136" t="str">
            <v>2Q02A</v>
          </cell>
          <cell r="AX136" t="str">
            <v>3Q02A</v>
          </cell>
          <cell r="AY136" t="str">
            <v>4Q02A</v>
          </cell>
          <cell r="AZ136" t="str">
            <v>2002A</v>
          </cell>
          <cell r="BA136" t="str">
            <v>1Q03A</v>
          </cell>
          <cell r="BB136" t="str">
            <v>2Q03A</v>
          </cell>
          <cell r="BC136" t="str">
            <v>3Q03A</v>
          </cell>
          <cell r="BD136" t="str">
            <v>4Q03A</v>
          </cell>
          <cell r="BE136" t="str">
            <v>2003A</v>
          </cell>
          <cell r="BF136" t="str">
            <v>1Q04A</v>
          </cell>
          <cell r="BG136" t="str">
            <v>2Q04A</v>
          </cell>
          <cell r="BH136" t="str">
            <v>3Q04A</v>
          </cell>
          <cell r="BI136" t="str">
            <v>4Q04A</v>
          </cell>
          <cell r="BJ136" t="str">
            <v>2004A</v>
          </cell>
          <cell r="BK136" t="str">
            <v>1Q05A</v>
          </cell>
          <cell r="BL136" t="str">
            <v>2Q05A</v>
          </cell>
          <cell r="BM136" t="str">
            <v>3Q05A</v>
          </cell>
          <cell r="BN136" t="str">
            <v>4Q05A</v>
          </cell>
          <cell r="BO136" t="str">
            <v>2005A</v>
          </cell>
          <cell r="BP136" t="str">
            <v>1Q06A</v>
          </cell>
          <cell r="BQ136" t="str">
            <v>2Q06A</v>
          </cell>
          <cell r="BR136" t="str">
            <v>3Q06A</v>
          </cell>
          <cell r="BS136" t="str">
            <v>4Q06A</v>
          </cell>
          <cell r="BT136" t="str">
            <v>2006A</v>
          </cell>
          <cell r="BU136" t="str">
            <v>1Q07A</v>
          </cell>
          <cell r="BV136" t="str">
            <v>2Q07A</v>
          </cell>
          <cell r="BW136" t="str">
            <v>3Q07A</v>
          </cell>
          <cell r="BX136" t="str">
            <v>4Q07A</v>
          </cell>
          <cell r="BY136" t="str">
            <v>2007A</v>
          </cell>
          <cell r="BZ136" t="str">
            <v>1Q08A</v>
          </cell>
          <cell r="CA136" t="str">
            <v>2Q08A</v>
          </cell>
          <cell r="CB136" t="str">
            <v>3Q08A</v>
          </cell>
          <cell r="CC136" t="str">
            <v>4Q08A</v>
          </cell>
          <cell r="CD136" t="str">
            <v>2008A</v>
          </cell>
          <cell r="CE136" t="str">
            <v>1Q09A</v>
          </cell>
          <cell r="CF136" t="str">
            <v>2Q09A</v>
          </cell>
          <cell r="CG136" t="str">
            <v>3Q09A</v>
          </cell>
          <cell r="CH136" t="str">
            <v>4Q09A</v>
          </cell>
          <cell r="CI136" t="str">
            <v>2009A</v>
          </cell>
          <cell r="CJ136" t="str">
            <v>1Q10A</v>
          </cell>
          <cell r="CK136" t="str">
            <v>2Q10A</v>
          </cell>
          <cell r="CL136" t="str">
            <v>3Q10A</v>
          </cell>
          <cell r="CM136" t="str">
            <v>4Q10A</v>
          </cell>
          <cell r="CN136" t="str">
            <v>2010A</v>
          </cell>
          <cell r="CO136" t="str">
            <v>1Q11A</v>
          </cell>
          <cell r="CP136" t="str">
            <v>2Q11A</v>
          </cell>
          <cell r="CQ136" t="str">
            <v>3Q11A</v>
          </cell>
          <cell r="CR136" t="str">
            <v>4Q11A</v>
          </cell>
          <cell r="CS136" t="str">
            <v>2011A</v>
          </cell>
          <cell r="CT136" t="str">
            <v>1Q12A</v>
          </cell>
          <cell r="CU136" t="str">
            <v>2Q12A</v>
          </cell>
          <cell r="CV136" t="str">
            <v>3Q12A</v>
          </cell>
          <cell r="CW136" t="str">
            <v>4Q12E</v>
          </cell>
          <cell r="CX136" t="str">
            <v>2012E</v>
          </cell>
          <cell r="CY136" t="str">
            <v>1Q13E</v>
          </cell>
          <cell r="CZ136" t="str">
            <v>2Q13E</v>
          </cell>
          <cell r="DA136" t="str">
            <v>3Q13E</v>
          </cell>
          <cell r="DB136" t="str">
            <v>4Q13E</v>
          </cell>
          <cell r="DC136" t="str">
            <v>2013E</v>
          </cell>
          <cell r="DD136" t="str">
            <v>1Q14E</v>
          </cell>
          <cell r="DE136" t="str">
            <v>2Q14E</v>
          </cell>
          <cell r="DF136" t="str">
            <v>3Q14E</v>
          </cell>
          <cell r="DG136" t="str">
            <v>4Q14E</v>
          </cell>
          <cell r="DH136" t="str">
            <v>2014E</v>
          </cell>
          <cell r="DI136" t="str">
            <v>1Q15E</v>
          </cell>
          <cell r="DJ136" t="str">
            <v>2Q15E</v>
          </cell>
          <cell r="DK136" t="str">
            <v>3Q15E</v>
          </cell>
          <cell r="DL136" t="str">
            <v>4Q15E</v>
          </cell>
          <cell r="DM136" t="str">
            <v>2015E</v>
          </cell>
          <cell r="DN136" t="str">
            <v>1Q16E</v>
          </cell>
          <cell r="DO136" t="str">
            <v>2Q16E</v>
          </cell>
          <cell r="DP136" t="str">
            <v>3Q16E</v>
          </cell>
          <cell r="DQ136" t="str">
            <v>4Q16E</v>
          </cell>
          <cell r="DR136" t="str">
            <v>2016E</v>
          </cell>
        </row>
        <row r="137">
          <cell r="B137" t="str">
            <v>Net income (loss)</v>
          </cell>
          <cell r="H137">
            <v>165</v>
          </cell>
          <cell r="M137">
            <v>350</v>
          </cell>
          <cell r="R137">
            <v>-254</v>
          </cell>
          <cell r="W137">
            <v>261</v>
          </cell>
          <cell r="X137">
            <v>137</v>
          </cell>
          <cell r="Y137">
            <v>125</v>
          </cell>
          <cell r="Z137">
            <v>124</v>
          </cell>
          <cell r="AA137">
            <v>-137</v>
          </cell>
          <cell r="AB137">
            <v>249</v>
          </cell>
          <cell r="AC137">
            <v>109</v>
          </cell>
          <cell r="AD137">
            <v>135</v>
          </cell>
          <cell r="AE137">
            <v>38</v>
          </cell>
          <cell r="AF137">
            <v>20</v>
          </cell>
          <cell r="AG137">
            <v>302</v>
          </cell>
          <cell r="AH137">
            <v>154</v>
          </cell>
          <cell r="AI137">
            <v>175</v>
          </cell>
          <cell r="AJ137">
            <v>198</v>
          </cell>
          <cell r="AK137">
            <v>116</v>
          </cell>
          <cell r="AL137">
            <v>643</v>
          </cell>
          <cell r="AM137">
            <v>155</v>
          </cell>
          <cell r="AN137">
            <v>89</v>
          </cell>
          <cell r="AO137">
            <v>280</v>
          </cell>
          <cell r="AP137">
            <v>261</v>
          </cell>
          <cell r="AQ137">
            <v>785</v>
          </cell>
          <cell r="AR137">
            <v>338</v>
          </cell>
          <cell r="AS137">
            <v>315</v>
          </cell>
          <cell r="AT137">
            <v>-55</v>
          </cell>
          <cell r="AZ137">
            <v>459</v>
          </cell>
          <cell r="BA137">
            <v>-20</v>
          </cell>
          <cell r="BB137">
            <v>-195</v>
          </cell>
          <cell r="BC137">
            <v>-308</v>
          </cell>
          <cell r="BD137">
            <v>-954</v>
          </cell>
          <cell r="BE137">
            <v>-1477</v>
          </cell>
          <cell r="BF137">
            <v>-122</v>
          </cell>
          <cell r="BG137">
            <v>-426</v>
          </cell>
          <cell r="BH137">
            <v>-70</v>
          </cell>
          <cell r="BI137">
            <v>-2022</v>
          </cell>
          <cell r="BJ137">
            <v>-2640</v>
          </cell>
          <cell r="BK137">
            <v>-4</v>
          </cell>
          <cell r="BL137">
            <v>-33</v>
          </cell>
          <cell r="BM137">
            <v>-401</v>
          </cell>
          <cell r="BN137">
            <v>-286</v>
          </cell>
          <cell r="BO137">
            <v>-724</v>
          </cell>
          <cell r="BP137">
            <v>70</v>
          </cell>
          <cell r="BQ137">
            <v>-398</v>
          </cell>
          <cell r="BR137">
            <v>-89</v>
          </cell>
          <cell r="BS137">
            <v>-386</v>
          </cell>
          <cell r="BT137">
            <v>-803</v>
          </cell>
          <cell r="BU137">
            <v>75</v>
          </cell>
          <cell r="BV137">
            <v>-30</v>
          </cell>
          <cell r="BW137">
            <v>-59</v>
          </cell>
          <cell r="BX137">
            <v>-75</v>
          </cell>
          <cell r="BY137">
            <v>-89</v>
          </cell>
          <cell r="BZ137">
            <v>-31</v>
          </cell>
          <cell r="CA137">
            <v>-15</v>
          </cell>
          <cell r="CB137">
            <v>104</v>
          </cell>
          <cell r="CC137">
            <v>-33</v>
          </cell>
          <cell r="CD137">
            <v>25</v>
          </cell>
          <cell r="CE137">
            <v>183</v>
          </cell>
          <cell r="CF137">
            <v>-14</v>
          </cell>
          <cell r="CG137">
            <v>-1</v>
          </cell>
          <cell r="CH137">
            <v>29</v>
          </cell>
          <cell r="CI137">
            <v>197</v>
          </cell>
          <cell r="CJ137">
            <v>95</v>
          </cell>
          <cell r="CK137">
            <v>35</v>
          </cell>
          <cell r="CL137">
            <v>940</v>
          </cell>
          <cell r="CM137">
            <v>82</v>
          </cell>
          <cell r="CN137">
            <v>1152</v>
          </cell>
          <cell r="CO137">
            <v>82</v>
          </cell>
          <cell r="CP137">
            <v>63</v>
          </cell>
          <cell r="CQ137">
            <v>15</v>
          </cell>
          <cell r="CR137">
            <v>-66</v>
          </cell>
          <cell r="CS137">
            <v>94</v>
          </cell>
          <cell r="CT137">
            <v>67</v>
          </cell>
          <cell r="CU137">
            <v>-20</v>
          </cell>
          <cell r="CV137">
            <v>32</v>
          </cell>
          <cell r="CW137">
            <v>60.791973209627599</v>
          </cell>
          <cell r="CX137">
            <v>139.7919732096276</v>
          </cell>
          <cell r="CY137">
            <v>33.146612355092657</v>
          </cell>
          <cell r="CZ137">
            <v>76.853581417312114</v>
          </cell>
          <cell r="DA137">
            <v>61.466048838251822</v>
          </cell>
          <cell r="DB137">
            <v>104.67599603683516</v>
          </cell>
          <cell r="DC137">
            <v>276.14223864749175</v>
          </cell>
          <cell r="DD137">
            <v>69.990651981231224</v>
          </cell>
          <cell r="DE137">
            <v>97.09281999129503</v>
          </cell>
          <cell r="DF137">
            <v>76.383250364440926</v>
          </cell>
          <cell r="DG137">
            <v>124.71349262807792</v>
          </cell>
          <cell r="DH137">
            <v>368.18021496504508</v>
          </cell>
          <cell r="DI137">
            <v>84.313051853487323</v>
          </cell>
          <cell r="DJ137">
            <v>103.39382986490556</v>
          </cell>
          <cell r="DK137">
            <v>84.93570776154553</v>
          </cell>
          <cell r="DL137">
            <v>139.33454879735996</v>
          </cell>
          <cell r="DM137">
            <v>411.97713827729837</v>
          </cell>
          <cell r="DN137">
            <v>100.79282101604809</v>
          </cell>
          <cell r="DO137">
            <v>116.62232999086577</v>
          </cell>
          <cell r="DP137">
            <v>97.73744178072215</v>
          </cell>
          <cell r="DQ137">
            <v>152.90114265272507</v>
          </cell>
          <cell r="DR137">
            <v>468.05373544036104</v>
          </cell>
          <cell r="DW137" t="str">
            <v>mstag:netIncomeReported</v>
          </cell>
          <cell r="DX137">
            <v>6</v>
          </cell>
          <cell r="DY137" t="str">
            <v>ISO4217:USD</v>
          </cell>
          <cell r="DZ137" t="b">
            <v>0</v>
          </cell>
        </row>
        <row r="139">
          <cell r="B139" t="str">
            <v>Depreciation &amp; amortization</v>
          </cell>
          <cell r="H139">
            <v>195</v>
          </cell>
          <cell r="M139">
            <v>321</v>
          </cell>
          <cell r="R139">
            <v>443</v>
          </cell>
          <cell r="W139">
            <v>460</v>
          </cell>
          <cell r="X139">
            <v>128</v>
          </cell>
          <cell r="Y139">
            <v>133</v>
          </cell>
          <cell r="Z139">
            <v>142</v>
          </cell>
          <cell r="AA139">
            <v>153</v>
          </cell>
          <cell r="AB139">
            <v>556</v>
          </cell>
          <cell r="AC139">
            <v>134</v>
          </cell>
          <cell r="AD139">
            <v>132</v>
          </cell>
          <cell r="AE139">
            <v>133</v>
          </cell>
          <cell r="AF139">
            <v>134</v>
          </cell>
          <cell r="AG139">
            <v>533</v>
          </cell>
          <cell r="AH139">
            <v>137</v>
          </cell>
          <cell r="AI139">
            <v>136</v>
          </cell>
          <cell r="AJ139">
            <v>139</v>
          </cell>
          <cell r="AK139">
            <v>142</v>
          </cell>
          <cell r="AL139">
            <v>554</v>
          </cell>
          <cell r="AM139">
            <v>149</v>
          </cell>
          <cell r="AN139">
            <v>151</v>
          </cell>
          <cell r="AO139">
            <v>154</v>
          </cell>
          <cell r="AP139">
            <v>150</v>
          </cell>
          <cell r="AQ139">
            <v>604</v>
          </cell>
          <cell r="AR139">
            <v>128</v>
          </cell>
          <cell r="AS139">
            <v>130</v>
          </cell>
          <cell r="AT139">
            <v>132</v>
          </cell>
          <cell r="AZ139">
            <v>302</v>
          </cell>
          <cell r="BA139">
            <v>125</v>
          </cell>
          <cell r="BB139">
            <v>120</v>
          </cell>
          <cell r="BC139">
            <v>112</v>
          </cell>
          <cell r="BD139">
            <v>114</v>
          </cell>
          <cell r="BE139">
            <v>471</v>
          </cell>
          <cell r="BF139">
            <v>96</v>
          </cell>
          <cell r="BG139">
            <v>95</v>
          </cell>
          <cell r="BH139">
            <v>98</v>
          </cell>
          <cell r="BI139">
            <v>99</v>
          </cell>
          <cell r="BJ139">
            <v>388</v>
          </cell>
          <cell r="BK139">
            <v>96</v>
          </cell>
          <cell r="BL139">
            <v>92</v>
          </cell>
          <cell r="BM139">
            <v>105</v>
          </cell>
          <cell r="BN139">
            <v>89</v>
          </cell>
          <cell r="BO139">
            <v>382</v>
          </cell>
          <cell r="BP139">
            <v>90</v>
          </cell>
          <cell r="BQ139">
            <v>74</v>
          </cell>
          <cell r="BR139">
            <v>83</v>
          </cell>
          <cell r="BS139">
            <v>95</v>
          </cell>
          <cell r="BT139">
            <v>342</v>
          </cell>
          <cell r="BU139">
            <v>89</v>
          </cell>
          <cell r="BV139">
            <v>89</v>
          </cell>
          <cell r="BW139">
            <v>91</v>
          </cell>
          <cell r="BX139">
            <v>93</v>
          </cell>
          <cell r="BY139">
            <v>362</v>
          </cell>
          <cell r="BZ139">
            <v>95</v>
          </cell>
          <cell r="CA139">
            <v>92</v>
          </cell>
          <cell r="CB139">
            <v>90</v>
          </cell>
          <cell r="CC139">
            <v>96</v>
          </cell>
          <cell r="CD139">
            <v>373</v>
          </cell>
          <cell r="CE139">
            <v>97</v>
          </cell>
          <cell r="CF139">
            <v>97</v>
          </cell>
          <cell r="CG139">
            <v>97</v>
          </cell>
          <cell r="CH139">
            <v>95</v>
          </cell>
          <cell r="CI139">
            <v>386</v>
          </cell>
          <cell r="CJ139">
            <v>95</v>
          </cell>
          <cell r="CK139">
            <v>97</v>
          </cell>
          <cell r="CL139">
            <v>101</v>
          </cell>
          <cell r="CM139">
            <v>101</v>
          </cell>
          <cell r="CN139">
            <v>394</v>
          </cell>
          <cell r="CO139">
            <v>101</v>
          </cell>
          <cell r="CP139">
            <v>104</v>
          </cell>
          <cell r="CQ139">
            <v>103</v>
          </cell>
          <cell r="CR139">
            <v>105</v>
          </cell>
          <cell r="CS139">
            <v>413</v>
          </cell>
          <cell r="CT139">
            <v>104</v>
          </cell>
          <cell r="CU139">
            <v>100</v>
          </cell>
          <cell r="CV139">
            <v>110</v>
          </cell>
          <cell r="CW139">
            <v>110</v>
          </cell>
          <cell r="CX139">
            <v>424</v>
          </cell>
          <cell r="CY139">
            <v>107.9875</v>
          </cell>
          <cell r="CZ139">
            <v>107.9875</v>
          </cell>
          <cell r="DA139">
            <v>107.9875</v>
          </cell>
          <cell r="DB139">
            <v>107.9875</v>
          </cell>
          <cell r="DC139">
            <v>431.95</v>
          </cell>
          <cell r="DD139">
            <v>109.15062499999999</v>
          </cell>
          <cell r="DE139">
            <v>109.15062499999999</v>
          </cell>
          <cell r="DF139">
            <v>109.15062499999999</v>
          </cell>
          <cell r="DG139">
            <v>109.15062499999999</v>
          </cell>
          <cell r="DH139">
            <v>436.60249999999996</v>
          </cell>
          <cell r="DI139">
            <v>110.19309374999999</v>
          </cell>
          <cell r="DJ139">
            <v>110.19309374999999</v>
          </cell>
          <cell r="DK139">
            <v>110.19309374999999</v>
          </cell>
          <cell r="DL139">
            <v>110.19309374999999</v>
          </cell>
          <cell r="DM139">
            <v>440.77237499999995</v>
          </cell>
          <cell r="DN139">
            <v>111.18343906249999</v>
          </cell>
          <cell r="DO139">
            <v>111.18343906249999</v>
          </cell>
          <cell r="DP139">
            <v>111.18343906249999</v>
          </cell>
          <cell r="DQ139">
            <v>111.18343906249999</v>
          </cell>
          <cell r="DR139">
            <v>444.73375624999994</v>
          </cell>
          <cell r="DW139" t="str">
            <v>mstag:depreciation</v>
          </cell>
          <cell r="DX139">
            <v>6</v>
          </cell>
          <cell r="DY139" t="str">
            <v>ISO4217:USD</v>
          </cell>
          <cell r="DZ139" t="b">
            <v>0</v>
          </cell>
        </row>
        <row r="140">
          <cell r="B140" t="str">
            <v>Provision for doubtful accounts</v>
          </cell>
          <cell r="H140">
            <v>0</v>
          </cell>
          <cell r="M140">
            <v>0</v>
          </cell>
          <cell r="R140">
            <v>494</v>
          </cell>
          <cell r="W140">
            <v>588</v>
          </cell>
          <cell r="X140">
            <v>159</v>
          </cell>
          <cell r="Y140">
            <v>184</v>
          </cell>
          <cell r="Z140">
            <v>190</v>
          </cell>
          <cell r="AA140">
            <v>210</v>
          </cell>
          <cell r="AB140">
            <v>743</v>
          </cell>
          <cell r="AC140">
            <v>223</v>
          </cell>
          <cell r="AD140">
            <v>210</v>
          </cell>
          <cell r="AE140">
            <v>214</v>
          </cell>
          <cell r="AF140">
            <v>204</v>
          </cell>
          <cell r="AG140">
            <v>851</v>
          </cell>
          <cell r="AH140">
            <v>213</v>
          </cell>
          <cell r="AI140">
            <v>206</v>
          </cell>
          <cell r="AJ140">
            <v>219</v>
          </cell>
          <cell r="AK140">
            <v>211</v>
          </cell>
          <cell r="AL140">
            <v>849</v>
          </cell>
          <cell r="AM140">
            <v>246</v>
          </cell>
          <cell r="AN140">
            <v>258</v>
          </cell>
          <cell r="AO140">
            <v>236</v>
          </cell>
          <cell r="AP140">
            <v>246</v>
          </cell>
          <cell r="AQ140">
            <v>986</v>
          </cell>
          <cell r="AR140">
            <v>277</v>
          </cell>
          <cell r="AS140">
            <v>291</v>
          </cell>
          <cell r="AT140">
            <v>304</v>
          </cell>
          <cell r="AZ140">
            <v>676</v>
          </cell>
          <cell r="BA140">
            <v>300</v>
          </cell>
          <cell r="BB140">
            <v>316</v>
          </cell>
          <cell r="BC140">
            <v>552</v>
          </cell>
          <cell r="BD140">
            <v>407</v>
          </cell>
          <cell r="BE140">
            <v>1575</v>
          </cell>
          <cell r="BF140">
            <v>293</v>
          </cell>
          <cell r="BG140">
            <v>497</v>
          </cell>
          <cell r="BH140">
            <v>228</v>
          </cell>
          <cell r="BI140">
            <v>187</v>
          </cell>
          <cell r="BJ140">
            <v>1205</v>
          </cell>
          <cell r="BK140">
            <v>167</v>
          </cell>
          <cell r="BL140">
            <v>153</v>
          </cell>
          <cell r="BM140">
            <v>206</v>
          </cell>
          <cell r="BN140">
            <v>172</v>
          </cell>
          <cell r="BO140">
            <v>698</v>
          </cell>
          <cell r="BP140">
            <v>138</v>
          </cell>
          <cell r="BQ140">
            <v>111</v>
          </cell>
          <cell r="BR140">
            <v>157</v>
          </cell>
          <cell r="BS140">
            <v>124</v>
          </cell>
          <cell r="BT140">
            <v>530</v>
          </cell>
          <cell r="BU140">
            <v>141</v>
          </cell>
          <cell r="BV140">
            <v>151</v>
          </cell>
          <cell r="BW140">
            <v>141</v>
          </cell>
          <cell r="BX140">
            <v>134</v>
          </cell>
          <cell r="BY140">
            <v>567</v>
          </cell>
          <cell r="BZ140">
            <v>149</v>
          </cell>
          <cell r="CA140">
            <v>153</v>
          </cell>
          <cell r="CB140">
            <v>164</v>
          </cell>
          <cell r="CC140">
            <v>166</v>
          </cell>
          <cell r="CD140">
            <v>632</v>
          </cell>
          <cell r="CE140">
            <v>156</v>
          </cell>
          <cell r="CF140">
            <v>167</v>
          </cell>
          <cell r="CG140">
            <v>193</v>
          </cell>
          <cell r="CH140">
            <v>181</v>
          </cell>
          <cell r="CI140">
            <v>697</v>
          </cell>
          <cell r="CJ140">
            <v>189</v>
          </cell>
          <cell r="CK140">
            <v>173</v>
          </cell>
          <cell r="CL140">
            <v>187</v>
          </cell>
          <cell r="CM140">
            <v>191</v>
          </cell>
          <cell r="CN140">
            <v>740</v>
          </cell>
          <cell r="CO140">
            <v>182</v>
          </cell>
          <cell r="CP140">
            <v>171</v>
          </cell>
          <cell r="CQ140">
            <v>193</v>
          </cell>
          <cell r="CR140">
            <v>184</v>
          </cell>
          <cell r="CS140">
            <v>730</v>
          </cell>
          <cell r="CT140">
            <v>193</v>
          </cell>
          <cell r="CU140">
            <v>186</v>
          </cell>
          <cell r="CV140">
            <v>206</v>
          </cell>
          <cell r="CW140">
            <v>208.10146299321087</v>
          </cell>
          <cell r="CX140">
            <v>793.10146299321082</v>
          </cell>
          <cell r="CY140">
            <v>204.88732183322202</v>
          </cell>
          <cell r="CZ140">
            <v>208.83679518688257</v>
          </cell>
          <cell r="DA140">
            <v>226.58118378504724</v>
          </cell>
          <cell r="DB140">
            <v>229.02726390058174</v>
          </cell>
          <cell r="DC140">
            <v>869.33256470573349</v>
          </cell>
          <cell r="DD140">
            <v>169.86391991421326</v>
          </cell>
          <cell r="DE140">
            <v>169.13840597997893</v>
          </cell>
          <cell r="DF140">
            <v>184.76305973911246</v>
          </cell>
          <cell r="DG140">
            <v>187.86952586921848</v>
          </cell>
          <cell r="DH140">
            <v>711.6349115025231</v>
          </cell>
          <cell r="DI140">
            <v>157.17303567209143</v>
          </cell>
          <cell r="DJ140">
            <v>156.94870239267993</v>
          </cell>
          <cell r="DK140">
            <v>172.08563740553268</v>
          </cell>
          <cell r="DL140">
            <v>175.70831831527954</v>
          </cell>
          <cell r="DM140">
            <v>661.91569378558358</v>
          </cell>
          <cell r="DN140">
            <v>151.20343750782621</v>
          </cell>
          <cell r="DO140">
            <v>150.37501062876376</v>
          </cell>
          <cell r="DP140">
            <v>165.37000217204101</v>
          </cell>
          <cell r="DQ140">
            <v>169.35556161795313</v>
          </cell>
          <cell r="DR140">
            <v>636.30401192658405</v>
          </cell>
          <cell r="DW140" t="str">
            <v>mstag:provisionForDoubtfulAccountsRecurringCashFlowStatement</v>
          </cell>
          <cell r="DX140">
            <v>6</v>
          </cell>
          <cell r="DY140" t="str">
            <v>ISO4217:USD</v>
          </cell>
          <cell r="DZ140" t="b">
            <v>0</v>
          </cell>
        </row>
        <row r="141">
          <cell r="B141" t="str">
            <v>Deferred income taxes</v>
          </cell>
          <cell r="H141">
            <v>95</v>
          </cell>
          <cell r="M141">
            <v>243</v>
          </cell>
          <cell r="R141">
            <v>-219</v>
          </cell>
          <cell r="W141">
            <v>131</v>
          </cell>
          <cell r="X141">
            <v>14</v>
          </cell>
          <cell r="Y141">
            <v>27</v>
          </cell>
          <cell r="Z141">
            <v>54</v>
          </cell>
          <cell r="AA141">
            <v>6</v>
          </cell>
          <cell r="AB141">
            <v>101</v>
          </cell>
          <cell r="AC141">
            <v>46</v>
          </cell>
          <cell r="AD141">
            <v>-26</v>
          </cell>
          <cell r="AE141">
            <v>-47</v>
          </cell>
          <cell r="AF141">
            <v>29</v>
          </cell>
          <cell r="AG141">
            <v>2</v>
          </cell>
          <cell r="AH141">
            <v>58</v>
          </cell>
          <cell r="AI141">
            <v>-30</v>
          </cell>
          <cell r="AJ141">
            <v>-10</v>
          </cell>
          <cell r="AK141">
            <v>30</v>
          </cell>
          <cell r="AL141">
            <v>48</v>
          </cell>
          <cell r="AM141">
            <v>18</v>
          </cell>
          <cell r="AN141">
            <v>-22</v>
          </cell>
          <cell r="AO141">
            <v>6</v>
          </cell>
          <cell r="AP141">
            <v>88</v>
          </cell>
          <cell r="AQ141">
            <v>90</v>
          </cell>
          <cell r="AR141">
            <v>53</v>
          </cell>
          <cell r="AS141">
            <v>-19</v>
          </cell>
          <cell r="AT141">
            <v>-265</v>
          </cell>
          <cell r="AZ141">
            <v>-255</v>
          </cell>
          <cell r="BA141">
            <v>6</v>
          </cell>
          <cell r="BB141">
            <v>-90</v>
          </cell>
          <cell r="BC141">
            <v>-184</v>
          </cell>
          <cell r="BD141">
            <v>-295</v>
          </cell>
          <cell r="BE141">
            <v>-563</v>
          </cell>
          <cell r="BF141">
            <v>22</v>
          </cell>
          <cell r="BG141">
            <v>-204</v>
          </cell>
          <cell r="BH141">
            <v>16</v>
          </cell>
          <cell r="BI141">
            <v>661</v>
          </cell>
          <cell r="BJ141">
            <v>495</v>
          </cell>
          <cell r="BK141">
            <v>-18</v>
          </cell>
          <cell r="BL141">
            <v>-20</v>
          </cell>
          <cell r="BM141">
            <v>3</v>
          </cell>
          <cell r="BN141">
            <v>-27</v>
          </cell>
          <cell r="BO141">
            <v>-62</v>
          </cell>
          <cell r="BP141">
            <v>-1</v>
          </cell>
          <cell r="BQ141">
            <v>-84</v>
          </cell>
          <cell r="BR141">
            <v>83</v>
          </cell>
          <cell r="BS141">
            <v>-66</v>
          </cell>
          <cell r="BT141">
            <v>-68</v>
          </cell>
          <cell r="BU141">
            <v>-2</v>
          </cell>
          <cell r="BV141">
            <v>2</v>
          </cell>
          <cell r="BW141">
            <v>-2</v>
          </cell>
          <cell r="BX141">
            <v>4</v>
          </cell>
          <cell r="BY141">
            <v>2</v>
          </cell>
          <cell r="BZ141">
            <v>21</v>
          </cell>
          <cell r="CA141">
            <v>-5</v>
          </cell>
          <cell r="CB141">
            <v>-5</v>
          </cell>
          <cell r="CC141">
            <v>-24</v>
          </cell>
          <cell r="CD141">
            <v>-13</v>
          </cell>
          <cell r="CE141">
            <v>3</v>
          </cell>
          <cell r="CF141">
            <v>8</v>
          </cell>
          <cell r="CG141">
            <v>6</v>
          </cell>
          <cell r="CH141">
            <v>3</v>
          </cell>
          <cell r="CI141">
            <v>20</v>
          </cell>
          <cell r="CJ141">
            <v>5</v>
          </cell>
          <cell r="CK141">
            <v>7</v>
          </cell>
          <cell r="CL141">
            <v>-996</v>
          </cell>
          <cell r="CM141">
            <v>32</v>
          </cell>
          <cell r="CN141">
            <v>-952</v>
          </cell>
          <cell r="CO141">
            <v>35</v>
          </cell>
          <cell r="CP141">
            <v>56</v>
          </cell>
          <cell r="CQ141">
            <v>11</v>
          </cell>
          <cell r="CR141">
            <v>-21</v>
          </cell>
          <cell r="CS141">
            <v>81</v>
          </cell>
          <cell r="CT141">
            <v>38</v>
          </cell>
          <cell r="CU141">
            <v>-1</v>
          </cell>
          <cell r="CV141">
            <v>21</v>
          </cell>
          <cell r="CW141">
            <v>0</v>
          </cell>
          <cell r="CX141">
            <v>58</v>
          </cell>
          <cell r="CY141">
            <v>0</v>
          </cell>
          <cell r="CZ141">
            <v>0</v>
          </cell>
          <cell r="DA141">
            <v>0</v>
          </cell>
          <cell r="DB141">
            <v>0</v>
          </cell>
          <cell r="DC141">
            <v>0</v>
          </cell>
          <cell r="DD141">
            <v>0</v>
          </cell>
          <cell r="DE141">
            <v>0</v>
          </cell>
          <cell r="DF141">
            <v>0</v>
          </cell>
          <cell r="DG141">
            <v>0</v>
          </cell>
          <cell r="DH141">
            <v>0</v>
          </cell>
          <cell r="DI141">
            <v>0</v>
          </cell>
          <cell r="DJ141">
            <v>0</v>
          </cell>
          <cell r="DK141">
            <v>0</v>
          </cell>
          <cell r="DL141">
            <v>0</v>
          </cell>
          <cell r="DM141">
            <v>0</v>
          </cell>
          <cell r="DN141">
            <v>0</v>
          </cell>
          <cell r="DO141">
            <v>0</v>
          </cell>
          <cell r="DP141">
            <v>0</v>
          </cell>
          <cell r="DQ141">
            <v>0</v>
          </cell>
          <cell r="DR141">
            <v>0</v>
          </cell>
          <cell r="DW141" t="str">
            <v>mstag:deferredTax</v>
          </cell>
          <cell r="DX141">
            <v>6</v>
          </cell>
          <cell r="DY141" t="str">
            <v>ISO4217:USD</v>
          </cell>
          <cell r="DZ141" t="b">
            <v>0</v>
          </cell>
        </row>
        <row r="142">
          <cell r="B142" t="str">
            <v>Stock-based compensation</v>
          </cell>
          <cell r="M142">
            <v>0</v>
          </cell>
          <cell r="R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Z142">
            <v>0</v>
          </cell>
          <cell r="BA142">
            <v>39</v>
          </cell>
          <cell r="BB142">
            <v>37</v>
          </cell>
          <cell r="BC142">
            <v>32</v>
          </cell>
          <cell r="BD142">
            <v>31</v>
          </cell>
          <cell r="BE142">
            <v>139</v>
          </cell>
          <cell r="BF142">
            <v>21</v>
          </cell>
          <cell r="BG142">
            <v>36</v>
          </cell>
          <cell r="BH142">
            <v>25</v>
          </cell>
          <cell r="BI142">
            <v>19</v>
          </cell>
          <cell r="BJ142">
            <v>101</v>
          </cell>
          <cell r="BK142">
            <v>13</v>
          </cell>
          <cell r="BL142">
            <v>13</v>
          </cell>
          <cell r="BM142">
            <v>12</v>
          </cell>
          <cell r="BN142">
            <v>10</v>
          </cell>
          <cell r="BO142">
            <v>48</v>
          </cell>
          <cell r="BP142">
            <v>11</v>
          </cell>
          <cell r="BQ142">
            <v>11</v>
          </cell>
          <cell r="BR142">
            <v>12</v>
          </cell>
          <cell r="BS142">
            <v>16</v>
          </cell>
          <cell r="BT142">
            <v>50</v>
          </cell>
          <cell r="BU142">
            <v>11</v>
          </cell>
          <cell r="BV142">
            <v>10</v>
          </cell>
          <cell r="BW142">
            <v>10</v>
          </cell>
          <cell r="BX142">
            <v>9</v>
          </cell>
          <cell r="BY142">
            <v>40</v>
          </cell>
          <cell r="BZ142">
            <v>10</v>
          </cell>
          <cell r="CA142">
            <v>10</v>
          </cell>
          <cell r="CB142">
            <v>7</v>
          </cell>
          <cell r="CC142">
            <v>6</v>
          </cell>
          <cell r="CD142">
            <v>33</v>
          </cell>
          <cell r="CE142">
            <v>7</v>
          </cell>
          <cell r="CF142">
            <v>6</v>
          </cell>
          <cell r="CG142">
            <v>5</v>
          </cell>
          <cell r="CH142">
            <v>5</v>
          </cell>
          <cell r="CI142">
            <v>23</v>
          </cell>
          <cell r="CJ142">
            <v>7</v>
          </cell>
          <cell r="CK142">
            <v>6</v>
          </cell>
          <cell r="CL142">
            <v>5</v>
          </cell>
          <cell r="CM142">
            <v>4</v>
          </cell>
          <cell r="CN142">
            <v>22</v>
          </cell>
          <cell r="CO142">
            <v>7</v>
          </cell>
          <cell r="CP142">
            <v>5</v>
          </cell>
          <cell r="CQ142">
            <v>5</v>
          </cell>
          <cell r="CR142">
            <v>7</v>
          </cell>
          <cell r="CS142">
            <v>24</v>
          </cell>
          <cell r="CT142">
            <v>8</v>
          </cell>
          <cell r="CU142">
            <v>9</v>
          </cell>
          <cell r="CV142">
            <v>7</v>
          </cell>
          <cell r="CW142">
            <v>9</v>
          </cell>
          <cell r="CX142">
            <v>33</v>
          </cell>
          <cell r="CY142">
            <v>9</v>
          </cell>
          <cell r="CZ142">
            <v>9</v>
          </cell>
          <cell r="DA142">
            <v>9</v>
          </cell>
          <cell r="DB142">
            <v>9</v>
          </cell>
          <cell r="DC142">
            <v>36</v>
          </cell>
          <cell r="DD142">
            <v>9</v>
          </cell>
          <cell r="DE142">
            <v>9</v>
          </cell>
          <cell r="DF142">
            <v>9</v>
          </cell>
          <cell r="DG142">
            <v>9</v>
          </cell>
          <cell r="DH142">
            <v>36</v>
          </cell>
          <cell r="DI142">
            <v>9</v>
          </cell>
          <cell r="DJ142">
            <v>9</v>
          </cell>
          <cell r="DK142">
            <v>9</v>
          </cell>
          <cell r="DL142">
            <v>9</v>
          </cell>
          <cell r="DM142">
            <v>36</v>
          </cell>
          <cell r="DN142">
            <v>9</v>
          </cell>
          <cell r="DO142">
            <v>9</v>
          </cell>
          <cell r="DP142">
            <v>9</v>
          </cell>
          <cell r="DQ142">
            <v>9</v>
          </cell>
          <cell r="DR142">
            <v>36</v>
          </cell>
          <cell r="DW142" t="str">
            <v>mstag:stockBasedCompensationChargePreTax</v>
          </cell>
          <cell r="DX142">
            <v>6</v>
          </cell>
          <cell r="DY142" t="str">
            <v>ISO4217:USD</v>
          </cell>
          <cell r="DZ142" t="b">
            <v>0</v>
          </cell>
        </row>
        <row r="143">
          <cell r="B143" t="str">
            <v>Asset impairment &amp; restructuring</v>
          </cell>
          <cell r="M143">
            <v>0</v>
          </cell>
          <cell r="R143">
            <v>0</v>
          </cell>
          <cell r="W143">
            <v>221</v>
          </cell>
          <cell r="X143">
            <v>0</v>
          </cell>
          <cell r="Y143">
            <v>0</v>
          </cell>
          <cell r="Z143">
            <v>0</v>
          </cell>
          <cell r="AA143">
            <v>363</v>
          </cell>
          <cell r="AB143">
            <v>363</v>
          </cell>
          <cell r="AC143">
            <v>0</v>
          </cell>
          <cell r="AD143">
            <v>0</v>
          </cell>
          <cell r="AE143">
            <v>232</v>
          </cell>
          <cell r="AF143">
            <v>123</v>
          </cell>
          <cell r="AG143">
            <v>355</v>
          </cell>
          <cell r="AH143">
            <v>0</v>
          </cell>
          <cell r="AI143">
            <v>0</v>
          </cell>
          <cell r="AJ143">
            <v>0</v>
          </cell>
          <cell r="AK143">
            <v>143</v>
          </cell>
          <cell r="AL143">
            <v>143</v>
          </cell>
          <cell r="AM143">
            <v>0</v>
          </cell>
          <cell r="AN143">
            <v>99</v>
          </cell>
          <cell r="AO143">
            <v>0</v>
          </cell>
          <cell r="AP143">
            <v>0</v>
          </cell>
          <cell r="AQ143">
            <v>99</v>
          </cell>
          <cell r="AR143">
            <v>0</v>
          </cell>
          <cell r="AS143">
            <v>64</v>
          </cell>
          <cell r="AT143">
            <v>398</v>
          </cell>
          <cell r="AZ143">
            <v>460</v>
          </cell>
          <cell r="BA143">
            <v>196</v>
          </cell>
          <cell r="BB143">
            <v>280</v>
          </cell>
          <cell r="BC143">
            <v>9</v>
          </cell>
          <cell r="BD143">
            <v>1603</v>
          </cell>
          <cell r="BE143">
            <v>2088</v>
          </cell>
          <cell r="BF143">
            <v>60</v>
          </cell>
          <cell r="BG143">
            <v>42</v>
          </cell>
          <cell r="BH143">
            <v>-69</v>
          </cell>
          <cell r="BI143">
            <v>1239</v>
          </cell>
          <cell r="BJ143">
            <v>1272</v>
          </cell>
          <cell r="BK143">
            <v>9</v>
          </cell>
          <cell r="BL143">
            <v>-4</v>
          </cell>
          <cell r="BM143">
            <v>205</v>
          </cell>
          <cell r="BN143">
            <v>56</v>
          </cell>
          <cell r="BO143">
            <v>266</v>
          </cell>
          <cell r="BP143">
            <v>1</v>
          </cell>
          <cell r="BQ143">
            <v>55</v>
          </cell>
          <cell r="BR143">
            <v>1</v>
          </cell>
          <cell r="BS143">
            <v>323</v>
          </cell>
          <cell r="BT143">
            <v>380</v>
          </cell>
          <cell r="BU143">
            <v>3</v>
          </cell>
          <cell r="BV143">
            <v>10</v>
          </cell>
          <cell r="BW143">
            <v>11</v>
          </cell>
          <cell r="BX143">
            <v>36</v>
          </cell>
          <cell r="BY143">
            <v>60</v>
          </cell>
          <cell r="BZ143">
            <v>1</v>
          </cell>
          <cell r="CA143">
            <v>2</v>
          </cell>
          <cell r="CB143">
            <v>1</v>
          </cell>
          <cell r="CC143">
            <v>14</v>
          </cell>
          <cell r="CD143">
            <v>18</v>
          </cell>
          <cell r="CE143">
            <v>5</v>
          </cell>
          <cell r="CF143">
            <v>1</v>
          </cell>
          <cell r="CG143">
            <v>7</v>
          </cell>
          <cell r="CH143">
            <v>14</v>
          </cell>
          <cell r="CI143">
            <v>27</v>
          </cell>
          <cell r="CJ143">
            <v>0</v>
          </cell>
          <cell r="CK143">
            <v>-2</v>
          </cell>
          <cell r="CL143">
            <v>3</v>
          </cell>
          <cell r="CM143">
            <v>9</v>
          </cell>
          <cell r="CN143">
            <v>10</v>
          </cell>
          <cell r="CO143">
            <v>8</v>
          </cell>
          <cell r="CP143">
            <v>2</v>
          </cell>
          <cell r="CQ143">
            <v>8</v>
          </cell>
          <cell r="CR143">
            <v>9</v>
          </cell>
          <cell r="CS143">
            <v>27</v>
          </cell>
          <cell r="CT143">
            <v>3</v>
          </cell>
          <cell r="CU143">
            <v>3</v>
          </cell>
          <cell r="CV143">
            <v>6</v>
          </cell>
          <cell r="CW143">
            <v>0</v>
          </cell>
          <cell r="CX143">
            <v>12</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W143" t="str">
            <v>mstag:restructuringCostsOneTimeCashFlowStatement</v>
          </cell>
          <cell r="DX143">
            <v>6</v>
          </cell>
          <cell r="DY143" t="str">
            <v>ISO4217:USD</v>
          </cell>
          <cell r="DZ143" t="b">
            <v>0</v>
          </cell>
        </row>
        <row r="144">
          <cell r="B144" t="str">
            <v>Litigation and investigation costs</v>
          </cell>
          <cell r="M144">
            <v>0</v>
          </cell>
          <cell r="R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744</v>
          </cell>
          <cell r="BR144">
            <v>7</v>
          </cell>
          <cell r="BS144">
            <v>15</v>
          </cell>
          <cell r="BT144">
            <v>766</v>
          </cell>
          <cell r="BU144">
            <v>-1</v>
          </cell>
          <cell r="BV144">
            <v>-1</v>
          </cell>
          <cell r="BW144">
            <v>3</v>
          </cell>
          <cell r="BX144">
            <v>12</v>
          </cell>
          <cell r="BY144">
            <v>13</v>
          </cell>
          <cell r="BZ144">
            <v>47</v>
          </cell>
          <cell r="CA144">
            <v>3</v>
          </cell>
          <cell r="CB144">
            <v>-5</v>
          </cell>
          <cell r="CC144">
            <v>-4</v>
          </cell>
          <cell r="CD144">
            <v>41</v>
          </cell>
          <cell r="CE144">
            <v>1</v>
          </cell>
          <cell r="CF144">
            <v>9</v>
          </cell>
          <cell r="CG144">
            <v>3</v>
          </cell>
          <cell r="CH144">
            <v>18</v>
          </cell>
          <cell r="CI144">
            <v>31</v>
          </cell>
          <cell r="CJ144">
            <v>2</v>
          </cell>
          <cell r="CK144">
            <v>2</v>
          </cell>
          <cell r="CL144">
            <v>2</v>
          </cell>
          <cell r="CM144">
            <v>6</v>
          </cell>
          <cell r="CN144">
            <v>12</v>
          </cell>
          <cell r="CO144">
            <v>11</v>
          </cell>
          <cell r="CP144">
            <v>8</v>
          </cell>
          <cell r="CQ144">
            <v>5</v>
          </cell>
          <cell r="CR144">
            <v>31</v>
          </cell>
          <cell r="CS144">
            <v>55</v>
          </cell>
          <cell r="CT144">
            <v>2</v>
          </cell>
          <cell r="CU144">
            <v>1</v>
          </cell>
          <cell r="CV144">
            <v>0</v>
          </cell>
          <cell r="CW144">
            <v>0</v>
          </cell>
          <cell r="CX144">
            <v>3</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W144" t="str">
            <v>mstag:legalProvisionOneTimeCashFlowStatement</v>
          </cell>
          <cell r="DX144">
            <v>6</v>
          </cell>
          <cell r="DY144" t="str">
            <v>ISO4217:USD</v>
          </cell>
          <cell r="DZ144" t="b">
            <v>0</v>
          </cell>
        </row>
        <row r="145">
          <cell r="B145" t="str">
            <v>Fair market value adjustments related to interest rate swap and LIBOR cap agreements</v>
          </cell>
          <cell r="M145">
            <v>0</v>
          </cell>
          <cell r="R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cell r="BT145">
            <v>0</v>
          </cell>
          <cell r="BU145">
            <v>0</v>
          </cell>
          <cell r="BV145">
            <v>0</v>
          </cell>
          <cell r="BW145">
            <v>0</v>
          </cell>
          <cell r="BX145">
            <v>0</v>
          </cell>
          <cell r="BY145">
            <v>0</v>
          </cell>
          <cell r="BZ145">
            <v>0</v>
          </cell>
          <cell r="CA145">
            <v>0</v>
          </cell>
          <cell r="CB145">
            <v>0</v>
          </cell>
          <cell r="CC145">
            <v>0</v>
          </cell>
          <cell r="CD145">
            <v>0</v>
          </cell>
          <cell r="CE145">
            <v>0</v>
          </cell>
          <cell r="CF145">
            <v>3</v>
          </cell>
          <cell r="CG145">
            <v>-4</v>
          </cell>
          <cell r="CH145">
            <v>0</v>
          </cell>
          <cell r="CI145">
            <v>-1</v>
          </cell>
          <cell r="CJ145">
            <v>2</v>
          </cell>
          <cell r="CK145">
            <v>1</v>
          </cell>
          <cell r="CL145">
            <v>0</v>
          </cell>
          <cell r="CM145">
            <v>0</v>
          </cell>
          <cell r="CN145">
            <v>3</v>
          </cell>
          <cell r="CO145">
            <v>19</v>
          </cell>
          <cell r="CP145">
            <v>-2</v>
          </cell>
          <cell r="CQ145">
            <v>-17</v>
          </cell>
          <cell r="CR145">
            <v>0</v>
          </cell>
          <cell r="CS145">
            <v>0</v>
          </cell>
          <cell r="CT145">
            <v>0</v>
          </cell>
          <cell r="CU145">
            <v>0</v>
          </cell>
          <cell r="CV145">
            <v>0</v>
          </cell>
          <cell r="CX145">
            <v>0</v>
          </cell>
          <cell r="DC145">
            <v>0</v>
          </cell>
          <cell r="DH145">
            <v>0</v>
          </cell>
          <cell r="DM145">
            <v>0</v>
          </cell>
          <cell r="DR145">
            <v>0</v>
          </cell>
          <cell r="DW145" t="str">
            <v>mstag:otherCashFlow</v>
          </cell>
          <cell r="DX145">
            <v>6</v>
          </cell>
          <cell r="DY145" t="str">
            <v>ISO4217:USD</v>
          </cell>
          <cell r="DZ145" t="b">
            <v>0</v>
          </cell>
        </row>
        <row r="146">
          <cell r="B146" t="str">
            <v>Amortization of debt discount and debt issuance costs</v>
          </cell>
          <cell r="M146">
            <v>0</v>
          </cell>
          <cell r="R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31</v>
          </cell>
          <cell r="CN146">
            <v>31</v>
          </cell>
          <cell r="CO146">
            <v>8</v>
          </cell>
          <cell r="CP146">
            <v>7</v>
          </cell>
          <cell r="CQ146">
            <v>8</v>
          </cell>
          <cell r="CR146">
            <v>7</v>
          </cell>
          <cell r="CS146">
            <v>30</v>
          </cell>
          <cell r="CT146">
            <v>5</v>
          </cell>
          <cell r="CU146">
            <v>6</v>
          </cell>
          <cell r="CV146">
            <v>5</v>
          </cell>
          <cell r="CX146">
            <v>16</v>
          </cell>
          <cell r="DC146">
            <v>0</v>
          </cell>
          <cell r="DH146">
            <v>0</v>
          </cell>
          <cell r="DM146">
            <v>0</v>
          </cell>
          <cell r="DR146">
            <v>0</v>
          </cell>
          <cell r="DW146" t="str">
            <v>mstag:amortizationOfDiscountPremiumOnDebtCashFlowStatement</v>
          </cell>
          <cell r="DX146">
            <v>6</v>
          </cell>
          <cell r="DY146" t="str">
            <v>ISO4217:USD</v>
          </cell>
          <cell r="DZ146" t="b">
            <v>0</v>
          </cell>
        </row>
        <row r="147">
          <cell r="B147" t="str">
            <v>Income (loss) from discontinued operations</v>
          </cell>
          <cell r="M147">
            <v>0</v>
          </cell>
          <cell r="R147">
            <v>-108</v>
          </cell>
          <cell r="W147">
            <v>-385</v>
          </cell>
          <cell r="X147">
            <v>0</v>
          </cell>
          <cell r="Y147">
            <v>0</v>
          </cell>
          <cell r="Z147">
            <v>0</v>
          </cell>
          <cell r="AA147">
            <v>-75</v>
          </cell>
          <cell r="AB147">
            <v>-75</v>
          </cell>
          <cell r="AC147">
            <v>-18</v>
          </cell>
          <cell r="AD147">
            <v>-27</v>
          </cell>
          <cell r="AE147">
            <v>-37</v>
          </cell>
          <cell r="AF147">
            <v>-9</v>
          </cell>
          <cell r="AG147">
            <v>-91</v>
          </cell>
          <cell r="AH147">
            <v>-25</v>
          </cell>
          <cell r="AI147">
            <v>-18</v>
          </cell>
          <cell r="AJ147">
            <v>-64</v>
          </cell>
          <cell r="AK147">
            <v>-22</v>
          </cell>
          <cell r="AL147">
            <v>-129</v>
          </cell>
          <cell r="AM147">
            <v>-13</v>
          </cell>
          <cell r="AN147">
            <v>-17</v>
          </cell>
          <cell r="AO147">
            <v>-29</v>
          </cell>
          <cell r="AP147">
            <v>-18</v>
          </cell>
          <cell r="AQ147">
            <v>-77</v>
          </cell>
          <cell r="AR147">
            <v>-11</v>
          </cell>
          <cell r="AS147">
            <v>-4</v>
          </cell>
          <cell r="AT147">
            <v>-8</v>
          </cell>
          <cell r="AZ147">
            <v>0</v>
          </cell>
          <cell r="BA147">
            <v>61</v>
          </cell>
          <cell r="BB147">
            <v>4</v>
          </cell>
          <cell r="BC147">
            <v>99</v>
          </cell>
          <cell r="BD147">
            <v>-438</v>
          </cell>
          <cell r="BE147">
            <v>-274</v>
          </cell>
          <cell r="BF147">
            <v>149</v>
          </cell>
          <cell r="BG147">
            <v>314</v>
          </cell>
          <cell r="BH147">
            <v>148</v>
          </cell>
          <cell r="BI147">
            <v>445</v>
          </cell>
          <cell r="BJ147">
            <v>1056</v>
          </cell>
          <cell r="BK147">
            <v>24</v>
          </cell>
          <cell r="BL147">
            <v>21</v>
          </cell>
          <cell r="BM147">
            <v>22</v>
          </cell>
          <cell r="BN147">
            <v>17</v>
          </cell>
          <cell r="BO147">
            <v>84</v>
          </cell>
          <cell r="BP147">
            <v>-55</v>
          </cell>
          <cell r="BQ147">
            <v>-67</v>
          </cell>
          <cell r="BR147">
            <v>20</v>
          </cell>
          <cell r="BS147">
            <v>23</v>
          </cell>
          <cell r="BT147">
            <v>-79</v>
          </cell>
          <cell r="BU147">
            <v>31</v>
          </cell>
          <cell r="BV147">
            <v>-1</v>
          </cell>
          <cell r="BW147">
            <v>38</v>
          </cell>
          <cell r="BX147">
            <v>-8</v>
          </cell>
          <cell r="BY147">
            <v>60</v>
          </cell>
          <cell r="BZ147">
            <v>19</v>
          </cell>
          <cell r="CA147">
            <v>-16</v>
          </cell>
          <cell r="CB147">
            <v>10</v>
          </cell>
          <cell r="CC147">
            <v>29</v>
          </cell>
          <cell r="CD147">
            <v>42</v>
          </cell>
          <cell r="CE147">
            <v>9</v>
          </cell>
          <cell r="CF147">
            <v>20</v>
          </cell>
          <cell r="CG147">
            <v>3</v>
          </cell>
          <cell r="CH147">
            <v>-9</v>
          </cell>
          <cell r="CI147">
            <v>23</v>
          </cell>
          <cell r="CJ147">
            <v>-6</v>
          </cell>
          <cell r="CK147">
            <v>8</v>
          </cell>
          <cell r="CL147">
            <v>3</v>
          </cell>
          <cell r="CM147">
            <v>-15</v>
          </cell>
          <cell r="CN147">
            <v>-10</v>
          </cell>
          <cell r="CO147">
            <v>15</v>
          </cell>
          <cell r="CP147">
            <v>3</v>
          </cell>
          <cell r="CQ147">
            <v>2</v>
          </cell>
          <cell r="CR147">
            <v>19</v>
          </cell>
          <cell r="CS147">
            <v>39</v>
          </cell>
          <cell r="CT147">
            <v>-1</v>
          </cell>
          <cell r="CU147">
            <v>96</v>
          </cell>
          <cell r="CV147">
            <v>-3</v>
          </cell>
          <cell r="CW147">
            <v>0</v>
          </cell>
          <cell r="CX147">
            <v>92</v>
          </cell>
          <cell r="CY147">
            <v>0</v>
          </cell>
          <cell r="CZ147">
            <v>0</v>
          </cell>
          <cell r="DA147">
            <v>0</v>
          </cell>
          <cell r="DB147">
            <v>0</v>
          </cell>
          <cell r="DC147">
            <v>0</v>
          </cell>
          <cell r="DD147">
            <v>0</v>
          </cell>
          <cell r="DE147">
            <v>0</v>
          </cell>
          <cell r="DF147">
            <v>0</v>
          </cell>
          <cell r="DG147">
            <v>0</v>
          </cell>
          <cell r="DH147">
            <v>0</v>
          </cell>
          <cell r="DI147">
            <v>0</v>
          </cell>
          <cell r="DJ147">
            <v>0</v>
          </cell>
          <cell r="DK147">
            <v>0</v>
          </cell>
          <cell r="DL147">
            <v>0</v>
          </cell>
          <cell r="DM147">
            <v>0</v>
          </cell>
          <cell r="DN147">
            <v>0</v>
          </cell>
          <cell r="DO147">
            <v>0</v>
          </cell>
          <cell r="DP147">
            <v>0</v>
          </cell>
          <cell r="DQ147">
            <v>0</v>
          </cell>
          <cell r="DR147">
            <v>0</v>
          </cell>
          <cell r="DW147" t="str">
            <v>mstag:netCashFlowFromDiscontinuedOperations</v>
          </cell>
          <cell r="DX147">
            <v>6</v>
          </cell>
          <cell r="DY147" t="str">
            <v>ISO4217:USD</v>
          </cell>
          <cell r="DZ147" t="b">
            <v>0</v>
          </cell>
        </row>
        <row r="148">
          <cell r="B148" t="str">
            <v>Other items</v>
          </cell>
          <cell r="H148">
            <v>35</v>
          </cell>
          <cell r="M148">
            <v>-184</v>
          </cell>
          <cell r="R148">
            <v>1046</v>
          </cell>
          <cell r="W148">
            <v>155</v>
          </cell>
          <cell r="X148">
            <v>11</v>
          </cell>
          <cell r="Y148">
            <v>1</v>
          </cell>
          <cell r="Z148">
            <v>3</v>
          </cell>
          <cell r="AA148">
            <v>2</v>
          </cell>
          <cell r="AB148">
            <v>17</v>
          </cell>
          <cell r="AC148">
            <v>15</v>
          </cell>
          <cell r="AD148">
            <v>-48</v>
          </cell>
          <cell r="AE148">
            <v>-40</v>
          </cell>
          <cell r="AF148">
            <v>76</v>
          </cell>
          <cell r="AG148">
            <v>3</v>
          </cell>
          <cell r="AH148">
            <v>19</v>
          </cell>
          <cell r="AI148">
            <v>-6</v>
          </cell>
          <cell r="AJ148">
            <v>7</v>
          </cell>
          <cell r="AK148">
            <v>88</v>
          </cell>
          <cell r="AL148">
            <v>108</v>
          </cell>
          <cell r="AM148">
            <v>133</v>
          </cell>
          <cell r="AN148">
            <v>129</v>
          </cell>
          <cell r="AO148">
            <v>85</v>
          </cell>
          <cell r="AP148">
            <v>115</v>
          </cell>
          <cell r="AQ148">
            <v>462</v>
          </cell>
          <cell r="AR148">
            <v>50</v>
          </cell>
          <cell r="AS148">
            <v>33</v>
          </cell>
          <cell r="AT148">
            <v>12</v>
          </cell>
          <cell r="AZ148">
            <v>85</v>
          </cell>
          <cell r="BA148">
            <v>21</v>
          </cell>
          <cell r="BB148">
            <v>1</v>
          </cell>
          <cell r="BC148">
            <v>-88</v>
          </cell>
          <cell r="BD148">
            <v>109</v>
          </cell>
          <cell r="BE148">
            <v>43</v>
          </cell>
          <cell r="BF148">
            <v>3</v>
          </cell>
          <cell r="BG148">
            <v>-7</v>
          </cell>
          <cell r="BH148">
            <v>-6</v>
          </cell>
          <cell r="BI148">
            <v>7</v>
          </cell>
          <cell r="BJ148">
            <v>-3</v>
          </cell>
          <cell r="BK148">
            <v>18</v>
          </cell>
          <cell r="BL148">
            <v>1</v>
          </cell>
          <cell r="BM148">
            <v>-4</v>
          </cell>
          <cell r="BN148">
            <v>25</v>
          </cell>
          <cell r="BO148">
            <v>40</v>
          </cell>
          <cell r="BP148">
            <v>6</v>
          </cell>
          <cell r="BQ148">
            <v>2</v>
          </cell>
          <cell r="BR148">
            <v>142</v>
          </cell>
          <cell r="BS148">
            <v>-13</v>
          </cell>
          <cell r="BT148">
            <v>137</v>
          </cell>
          <cell r="BU148">
            <v>-11</v>
          </cell>
          <cell r="BV148">
            <v>3</v>
          </cell>
          <cell r="BW148">
            <v>-3</v>
          </cell>
          <cell r="BX148">
            <v>-1</v>
          </cell>
          <cell r="BY148">
            <v>-12</v>
          </cell>
          <cell r="BZ148">
            <v>3</v>
          </cell>
          <cell r="CA148">
            <v>-6</v>
          </cell>
          <cell r="CB148">
            <v>-135</v>
          </cell>
          <cell r="CC148">
            <v>10</v>
          </cell>
          <cell r="CD148">
            <v>-128</v>
          </cell>
          <cell r="CE148">
            <v>-125</v>
          </cell>
          <cell r="CF148">
            <v>3</v>
          </cell>
          <cell r="CG148">
            <v>26</v>
          </cell>
          <cell r="CH148">
            <v>17</v>
          </cell>
          <cell r="CI148">
            <v>-79</v>
          </cell>
          <cell r="CJ148">
            <v>6</v>
          </cell>
          <cell r="CK148">
            <v>10</v>
          </cell>
          <cell r="CL148">
            <v>62</v>
          </cell>
          <cell r="CM148">
            <v>-25</v>
          </cell>
          <cell r="CN148">
            <v>53</v>
          </cell>
          <cell r="CO148">
            <v>-13</v>
          </cell>
          <cell r="CP148">
            <v>8</v>
          </cell>
          <cell r="CQ148">
            <v>-7</v>
          </cell>
          <cell r="CR148">
            <v>114</v>
          </cell>
          <cell r="CS148">
            <v>102</v>
          </cell>
          <cell r="CT148">
            <v>-4</v>
          </cell>
          <cell r="CU148">
            <v>0</v>
          </cell>
          <cell r="CV148">
            <v>-3</v>
          </cell>
          <cell r="CW148">
            <v>0</v>
          </cell>
          <cell r="CX148">
            <v>-7</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W148" t="str">
            <v>mstag:otherCashFlow</v>
          </cell>
          <cell r="DX148">
            <v>6</v>
          </cell>
          <cell r="DY148" t="str">
            <v>ISO4217:USD</v>
          </cell>
          <cell r="DZ148" t="b">
            <v>0</v>
          </cell>
        </row>
        <row r="150">
          <cell r="B150" t="str">
            <v>Accounts receivable</v>
          </cell>
          <cell r="H150">
            <v>-47</v>
          </cell>
          <cell r="M150">
            <v>-256</v>
          </cell>
          <cell r="R150">
            <v>-791</v>
          </cell>
          <cell r="W150">
            <v>-988</v>
          </cell>
          <cell r="X150">
            <v>-313</v>
          </cell>
          <cell r="Y150">
            <v>-327</v>
          </cell>
          <cell r="Z150">
            <v>-480</v>
          </cell>
          <cell r="AA150">
            <v>-227</v>
          </cell>
          <cell r="AB150">
            <v>-1347</v>
          </cell>
          <cell r="AC150">
            <v>-329</v>
          </cell>
          <cell r="AD150">
            <v>-259</v>
          </cell>
          <cell r="AE150">
            <v>-377</v>
          </cell>
          <cell r="AF150">
            <v>-174</v>
          </cell>
          <cell r="AG150">
            <v>-1139</v>
          </cell>
          <cell r="AH150">
            <v>-224</v>
          </cell>
          <cell r="AI150">
            <v>-229</v>
          </cell>
          <cell r="AJ150">
            <v>-323</v>
          </cell>
          <cell r="AK150">
            <v>41</v>
          </cell>
          <cell r="AL150">
            <v>-735</v>
          </cell>
          <cell r="AM150">
            <v>-209</v>
          </cell>
          <cell r="AN150">
            <v>-311</v>
          </cell>
          <cell r="AO150">
            <v>-363</v>
          </cell>
          <cell r="AP150">
            <v>-192</v>
          </cell>
          <cell r="AQ150">
            <v>-1075</v>
          </cell>
          <cell r="AR150">
            <v>-333</v>
          </cell>
          <cell r="AS150">
            <v>-400</v>
          </cell>
          <cell r="AT150">
            <v>-377</v>
          </cell>
          <cell r="AZ150">
            <v>-841</v>
          </cell>
          <cell r="BA150">
            <v>-443</v>
          </cell>
          <cell r="BB150">
            <v>-252</v>
          </cell>
          <cell r="BC150">
            <v>-351</v>
          </cell>
          <cell r="BD150">
            <v>-357</v>
          </cell>
          <cell r="BE150">
            <v>-1403</v>
          </cell>
          <cell r="BF150">
            <v>-334</v>
          </cell>
          <cell r="BG150">
            <v>-194</v>
          </cell>
          <cell r="BH150">
            <v>-190</v>
          </cell>
          <cell r="BI150">
            <v>-181</v>
          </cell>
          <cell r="BJ150">
            <v>-899</v>
          </cell>
          <cell r="BK150">
            <v>-194</v>
          </cell>
          <cell r="BL150">
            <v>-129</v>
          </cell>
          <cell r="BM150">
            <v>-212</v>
          </cell>
          <cell r="BN150">
            <v>-161</v>
          </cell>
          <cell r="BO150">
            <v>-696</v>
          </cell>
          <cell r="BP150">
            <v>-187</v>
          </cell>
          <cell r="BQ150">
            <v>-29</v>
          </cell>
          <cell r="BR150">
            <v>-143</v>
          </cell>
          <cell r="BS150">
            <v>-112</v>
          </cell>
          <cell r="BT150">
            <v>-471</v>
          </cell>
          <cell r="BU150">
            <v>-206</v>
          </cell>
          <cell r="BV150">
            <v>-98</v>
          </cell>
          <cell r="BW150">
            <v>-183</v>
          </cell>
          <cell r="BX150">
            <v>-160</v>
          </cell>
          <cell r="BY150">
            <v>-647</v>
          </cell>
          <cell r="BZ150">
            <v>-243</v>
          </cell>
          <cell r="CA150">
            <v>-117</v>
          </cell>
          <cell r="CB150">
            <v>-121</v>
          </cell>
          <cell r="CC150">
            <v>-170</v>
          </cell>
          <cell r="CD150">
            <v>-651</v>
          </cell>
          <cell r="CE150">
            <v>-229</v>
          </cell>
          <cell r="CF150">
            <v>-90</v>
          </cell>
          <cell r="CG150">
            <v>-179</v>
          </cell>
          <cell r="CH150">
            <v>-148</v>
          </cell>
          <cell r="CI150">
            <v>-646</v>
          </cell>
          <cell r="CJ150">
            <v>-242</v>
          </cell>
          <cell r="CK150">
            <v>-135</v>
          </cell>
          <cell r="CL150">
            <v>-160</v>
          </cell>
          <cell r="CM150">
            <v>-207</v>
          </cell>
          <cell r="CN150">
            <v>-744</v>
          </cell>
          <cell r="CO150">
            <v>-278</v>
          </cell>
          <cell r="CP150">
            <v>-192</v>
          </cell>
          <cell r="CQ150">
            <v>-155</v>
          </cell>
          <cell r="CR150">
            <v>-240</v>
          </cell>
          <cell r="CS150">
            <v>-865</v>
          </cell>
          <cell r="CT150">
            <v>-326</v>
          </cell>
          <cell r="CU150">
            <v>-124</v>
          </cell>
          <cell r="CV150">
            <v>-203</v>
          </cell>
          <cell r="CW150">
            <v>-242.63876423868197</v>
          </cell>
          <cell r="CX150">
            <v>-895.63876423868192</v>
          </cell>
          <cell r="CY150">
            <v>-220.93394803389299</v>
          </cell>
          <cell r="CZ150">
            <v>-230.06806402398536</v>
          </cell>
          <cell r="DA150">
            <v>-200.86625253453877</v>
          </cell>
          <cell r="DB150">
            <v>-265.66512538098038</v>
          </cell>
          <cell r="DC150">
            <v>-917.53338997339745</v>
          </cell>
          <cell r="DD150">
            <v>-197.50254794440772</v>
          </cell>
          <cell r="DE150">
            <v>-176.63371448068079</v>
          </cell>
          <cell r="DF150">
            <v>-156.50552433903829</v>
          </cell>
          <cell r="DG150">
            <v>-227.88185234221601</v>
          </cell>
          <cell r="DH150">
            <v>-758.52363910634278</v>
          </cell>
          <cell r="DI150">
            <v>-217.7898961927911</v>
          </cell>
          <cell r="DJ150">
            <v>-146.03168481919647</v>
          </cell>
          <cell r="DK150">
            <v>-142.43032632719633</v>
          </cell>
          <cell r="DL150">
            <v>-221.18922906160429</v>
          </cell>
          <cell r="DM150">
            <v>-727.4411364007882</v>
          </cell>
          <cell r="DN150">
            <v>-202.69795471574724</v>
          </cell>
          <cell r="DO150">
            <v>-152.68053501034714</v>
          </cell>
          <cell r="DP150">
            <v>-134.62369000936016</v>
          </cell>
          <cell r="DQ150">
            <v>-214.90243924922839</v>
          </cell>
          <cell r="DR150">
            <v>-704.90461898468288</v>
          </cell>
          <cell r="DW150" t="str">
            <v>mstag:netDecreaseInTradeReceivables</v>
          </cell>
          <cell r="DX150">
            <v>6</v>
          </cell>
          <cell r="DY150" t="str">
            <v>ISO4217:USD</v>
          </cell>
          <cell r="DZ150" t="b">
            <v>0</v>
          </cell>
        </row>
        <row r="151">
          <cell r="B151" t="str">
            <v>Inventories &amp; other current assets</v>
          </cell>
          <cell r="H151">
            <v>1</v>
          </cell>
          <cell r="M151">
            <v>-12</v>
          </cell>
          <cell r="R151">
            <v>-7</v>
          </cell>
          <cell r="W151">
            <v>-100</v>
          </cell>
          <cell r="X151">
            <v>-38</v>
          </cell>
          <cell r="Y151">
            <v>1</v>
          </cell>
          <cell r="Z151">
            <v>-57</v>
          </cell>
          <cell r="AA151">
            <v>-20</v>
          </cell>
          <cell r="AB151">
            <v>-114</v>
          </cell>
          <cell r="AC151">
            <v>-24</v>
          </cell>
          <cell r="AD151">
            <v>-3</v>
          </cell>
          <cell r="AE151">
            <v>-22</v>
          </cell>
          <cell r="AF151">
            <v>100</v>
          </cell>
          <cell r="AG151">
            <v>51</v>
          </cell>
          <cell r="AH151">
            <v>-11</v>
          </cell>
          <cell r="AI151">
            <v>-17</v>
          </cell>
          <cell r="AJ151">
            <v>-17</v>
          </cell>
          <cell r="AK151">
            <v>90</v>
          </cell>
          <cell r="AL151">
            <v>45</v>
          </cell>
          <cell r="AM151">
            <v>-53</v>
          </cell>
          <cell r="AN151">
            <v>-21</v>
          </cell>
          <cell r="AO151">
            <v>-14</v>
          </cell>
          <cell r="AP151">
            <v>-16</v>
          </cell>
          <cell r="AQ151">
            <v>-104</v>
          </cell>
          <cell r="AR151">
            <v>41</v>
          </cell>
          <cell r="AS151">
            <v>-59</v>
          </cell>
          <cell r="AT151">
            <v>0</v>
          </cell>
          <cell r="AZ151">
            <v>-26</v>
          </cell>
          <cell r="BA151">
            <v>1</v>
          </cell>
          <cell r="BB151">
            <v>24</v>
          </cell>
          <cell r="BC151">
            <v>-26</v>
          </cell>
          <cell r="BD151">
            <v>1</v>
          </cell>
          <cell r="BE151">
            <v>0</v>
          </cell>
          <cell r="BF151">
            <v>37</v>
          </cell>
          <cell r="BG151">
            <v>-7</v>
          </cell>
          <cell r="BH151">
            <v>-42</v>
          </cell>
          <cell r="BI151">
            <v>-28</v>
          </cell>
          <cell r="BJ151">
            <v>-40</v>
          </cell>
          <cell r="BK151">
            <v>16</v>
          </cell>
          <cell r="BL151">
            <v>-20</v>
          </cell>
          <cell r="BM151">
            <v>18</v>
          </cell>
          <cell r="BN151">
            <v>10</v>
          </cell>
          <cell r="BO151">
            <v>24</v>
          </cell>
          <cell r="BP151">
            <v>11</v>
          </cell>
          <cell r="BQ151">
            <v>-50</v>
          </cell>
          <cell r="BR151">
            <v>10</v>
          </cell>
          <cell r="BS151">
            <v>-16</v>
          </cell>
          <cell r="BT151">
            <v>-45</v>
          </cell>
          <cell r="BU151">
            <v>10</v>
          </cell>
          <cell r="BV151">
            <v>-3</v>
          </cell>
          <cell r="BW151">
            <v>-15</v>
          </cell>
          <cell r="BX151">
            <v>-18</v>
          </cell>
          <cell r="BY151">
            <v>-26</v>
          </cell>
          <cell r="BZ151">
            <v>1</v>
          </cell>
          <cell r="CA151">
            <v>14</v>
          </cell>
          <cell r="CB151">
            <v>-11</v>
          </cell>
          <cell r="CC151">
            <v>-6</v>
          </cell>
          <cell r="CD151">
            <v>-2</v>
          </cell>
          <cell r="CE151">
            <v>-16</v>
          </cell>
          <cell r="CF151">
            <v>0</v>
          </cell>
          <cell r="CG151">
            <v>-9</v>
          </cell>
          <cell r="CH151">
            <v>3</v>
          </cell>
          <cell r="CI151">
            <v>-22</v>
          </cell>
          <cell r="CJ151">
            <v>3</v>
          </cell>
          <cell r="CK151">
            <v>-11</v>
          </cell>
          <cell r="CL151">
            <v>10</v>
          </cell>
          <cell r="CM151">
            <v>-19</v>
          </cell>
          <cell r="CN151">
            <v>-17</v>
          </cell>
          <cell r="CO151">
            <v>-113</v>
          </cell>
          <cell r="CP151">
            <v>55</v>
          </cell>
          <cell r="CQ151">
            <v>22</v>
          </cell>
          <cell r="CR151">
            <v>-2</v>
          </cell>
          <cell r="CS151">
            <v>-38</v>
          </cell>
          <cell r="CT151">
            <v>-10</v>
          </cell>
          <cell r="CU151">
            <v>-106</v>
          </cell>
          <cell r="CV151">
            <v>10</v>
          </cell>
          <cell r="CW151">
            <v>4.8713217291652597</v>
          </cell>
          <cell r="CX151">
            <v>-101.12867827083474</v>
          </cell>
          <cell r="CY151">
            <v>-8.059775032561987</v>
          </cell>
          <cell r="CZ151">
            <v>4.8259119069415988</v>
          </cell>
          <cell r="DA151">
            <v>6.6047878479937481</v>
          </cell>
          <cell r="DB151">
            <v>-0.73735445992659265</v>
          </cell>
          <cell r="DC151">
            <v>2.6335702624467672</v>
          </cell>
          <cell r="DD151">
            <v>-13.551726624319997</v>
          </cell>
          <cell r="DE151">
            <v>4.3218952757170541</v>
          </cell>
          <cell r="DF151">
            <v>6.1822107249947464</v>
          </cell>
          <cell r="DG151">
            <v>-0.68975589020885764</v>
          </cell>
          <cell r="DH151">
            <v>-3.737376513817054</v>
          </cell>
          <cell r="DI151">
            <v>-15.117705343930453</v>
          </cell>
          <cell r="DJ151">
            <v>5.4094993021548987</v>
          </cell>
          <cell r="DK151">
            <v>6.3363124031573932</v>
          </cell>
          <cell r="DL151">
            <v>-0.85826434362692794</v>
          </cell>
          <cell r="DM151">
            <v>-4.230157982245089</v>
          </cell>
          <cell r="DN151">
            <v>-16.918258448444448</v>
          </cell>
          <cell r="DO151">
            <v>4.3073053811479838</v>
          </cell>
          <cell r="DP151">
            <v>6.5416317206720294</v>
          </cell>
          <cell r="DQ151">
            <v>-0.71327851976593593</v>
          </cell>
          <cell r="DR151">
            <v>-6.7825998663903704</v>
          </cell>
          <cell r="DW151" t="str">
            <v>mstag:netDecreaseInInventories</v>
          </cell>
          <cell r="DX151">
            <v>6</v>
          </cell>
          <cell r="DY151" t="str">
            <v>ISO4217:USD</v>
          </cell>
          <cell r="DZ151" t="b">
            <v>0</v>
          </cell>
        </row>
        <row r="152">
          <cell r="B152" t="str">
            <v>Income taxes</v>
          </cell>
          <cell r="H152">
            <v>0</v>
          </cell>
          <cell r="M152">
            <v>0</v>
          </cell>
          <cell r="R152">
            <v>0</v>
          </cell>
          <cell r="W152">
            <v>0</v>
          </cell>
          <cell r="X152">
            <v>0</v>
          </cell>
          <cell r="Y152">
            <v>113</v>
          </cell>
          <cell r="Z152">
            <v>32</v>
          </cell>
          <cell r="AA152">
            <v>-145</v>
          </cell>
          <cell r="AB152">
            <v>0</v>
          </cell>
          <cell r="AC152">
            <v>0</v>
          </cell>
          <cell r="AD152">
            <v>161</v>
          </cell>
          <cell r="AE152">
            <v>-62</v>
          </cell>
          <cell r="AF152">
            <v>-99</v>
          </cell>
          <cell r="AG152">
            <v>0</v>
          </cell>
          <cell r="AH152">
            <v>0</v>
          </cell>
          <cell r="AI152">
            <v>88</v>
          </cell>
          <cell r="AJ152">
            <v>56</v>
          </cell>
          <cell r="AK152">
            <v>-144</v>
          </cell>
          <cell r="AL152">
            <v>0</v>
          </cell>
          <cell r="AM152">
            <v>0</v>
          </cell>
          <cell r="AN152">
            <v>143</v>
          </cell>
          <cell r="AO152">
            <v>-28</v>
          </cell>
          <cell r="AP152">
            <v>-115</v>
          </cell>
          <cell r="AQ152">
            <v>0</v>
          </cell>
          <cell r="AR152">
            <v>128</v>
          </cell>
          <cell r="AS152">
            <v>-84</v>
          </cell>
          <cell r="AT152">
            <v>29</v>
          </cell>
          <cell r="AZ152">
            <v>208</v>
          </cell>
          <cell r="BA152">
            <v>-173</v>
          </cell>
          <cell r="BB152">
            <v>-73</v>
          </cell>
          <cell r="BC152">
            <v>-13</v>
          </cell>
          <cell r="BD152">
            <v>78</v>
          </cell>
          <cell r="BE152">
            <v>-181</v>
          </cell>
          <cell r="BF152">
            <v>-102</v>
          </cell>
          <cell r="BG152">
            <v>-34</v>
          </cell>
          <cell r="BH152">
            <v>-48</v>
          </cell>
          <cell r="BI152">
            <v>-378</v>
          </cell>
          <cell r="BJ152">
            <v>-562</v>
          </cell>
          <cell r="BK152">
            <v>536</v>
          </cell>
          <cell r="BL152">
            <v>5</v>
          </cell>
          <cell r="BM152">
            <v>-4</v>
          </cell>
          <cell r="BN152">
            <v>-27</v>
          </cell>
          <cell r="BO152">
            <v>510</v>
          </cell>
          <cell r="BP152">
            <v>4</v>
          </cell>
          <cell r="BQ152">
            <v>-167</v>
          </cell>
          <cell r="BR152">
            <v>-108</v>
          </cell>
          <cell r="BS152">
            <v>-126</v>
          </cell>
          <cell r="BT152">
            <v>-397</v>
          </cell>
          <cell r="BU152">
            <v>-105</v>
          </cell>
          <cell r="BV152">
            <v>165</v>
          </cell>
          <cell r="BW152">
            <v>14</v>
          </cell>
          <cell r="BX152">
            <v>9</v>
          </cell>
          <cell r="BY152">
            <v>83</v>
          </cell>
          <cell r="BZ152">
            <v>-17</v>
          </cell>
          <cell r="CA152">
            <v>-12</v>
          </cell>
          <cell r="CB152">
            <v>-3</v>
          </cell>
          <cell r="CC152">
            <v>11</v>
          </cell>
          <cell r="CD152">
            <v>-21</v>
          </cell>
          <cell r="CE152">
            <v>4</v>
          </cell>
          <cell r="CF152">
            <v>17</v>
          </cell>
          <cell r="CG152">
            <v>-8</v>
          </cell>
          <cell r="CH152">
            <v>-91</v>
          </cell>
          <cell r="CI152">
            <v>-78</v>
          </cell>
          <cell r="CJ152">
            <v>17</v>
          </cell>
          <cell r="CK152">
            <v>33</v>
          </cell>
          <cell r="CL152">
            <v>-10</v>
          </cell>
          <cell r="CM152">
            <v>-37</v>
          </cell>
          <cell r="CN152">
            <v>3</v>
          </cell>
          <cell r="CO152">
            <v>-14</v>
          </cell>
          <cell r="CP152">
            <v>-12</v>
          </cell>
          <cell r="CQ152">
            <v>-18</v>
          </cell>
          <cell r="CR152">
            <v>-19</v>
          </cell>
          <cell r="CS152">
            <v>-63</v>
          </cell>
          <cell r="CT152">
            <v>3</v>
          </cell>
          <cell r="CU152">
            <v>-8</v>
          </cell>
          <cell r="CV152">
            <v>3</v>
          </cell>
          <cell r="CW152">
            <v>0</v>
          </cell>
          <cell r="CX152">
            <v>-2</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W152" t="str">
            <v>mstag:netIncreaseInIncomeTaxPayableReceivable</v>
          </cell>
          <cell r="DX152">
            <v>6</v>
          </cell>
          <cell r="DY152" t="str">
            <v>ISO4217:USD</v>
          </cell>
          <cell r="DZ152" t="b">
            <v>0</v>
          </cell>
        </row>
        <row r="153">
          <cell r="B153" t="str">
            <v>Accounts payable &amp; current liabilities</v>
          </cell>
          <cell r="H153">
            <v>-28</v>
          </cell>
          <cell r="M153">
            <v>-64</v>
          </cell>
          <cell r="R153">
            <v>-141</v>
          </cell>
          <cell r="W153">
            <v>143</v>
          </cell>
          <cell r="X153">
            <v>-52</v>
          </cell>
          <cell r="Y153">
            <v>-1</v>
          </cell>
          <cell r="Z153">
            <v>70</v>
          </cell>
          <cell r="AA153">
            <v>180</v>
          </cell>
          <cell r="AB153">
            <v>197</v>
          </cell>
          <cell r="AC153">
            <v>-129</v>
          </cell>
          <cell r="AD153">
            <v>35</v>
          </cell>
          <cell r="AE153">
            <v>-38</v>
          </cell>
          <cell r="AF153">
            <v>117</v>
          </cell>
          <cell r="AG153">
            <v>-15</v>
          </cell>
          <cell r="AH153">
            <v>-53</v>
          </cell>
          <cell r="AI153">
            <v>160</v>
          </cell>
          <cell r="AJ153">
            <v>21</v>
          </cell>
          <cell r="AK153">
            <v>184</v>
          </cell>
          <cell r="AL153">
            <v>312</v>
          </cell>
          <cell r="AM153">
            <v>50</v>
          </cell>
          <cell r="AN153">
            <v>31</v>
          </cell>
          <cell r="AO153">
            <v>146</v>
          </cell>
          <cell r="AP153">
            <v>299</v>
          </cell>
          <cell r="AQ153">
            <v>526</v>
          </cell>
          <cell r="AR153">
            <v>14</v>
          </cell>
          <cell r="AS153">
            <v>-30</v>
          </cell>
          <cell r="AT153">
            <v>-119</v>
          </cell>
          <cell r="AZ153">
            <v>-195</v>
          </cell>
          <cell r="BA153">
            <v>102</v>
          </cell>
          <cell r="BB153">
            <v>-16</v>
          </cell>
          <cell r="BC153">
            <v>294</v>
          </cell>
          <cell r="BD153">
            <v>21</v>
          </cell>
          <cell r="BE153">
            <v>401</v>
          </cell>
          <cell r="BF153">
            <v>-85</v>
          </cell>
          <cell r="BG153">
            <v>-5</v>
          </cell>
          <cell r="BH153">
            <v>71</v>
          </cell>
          <cell r="BI153">
            <v>185</v>
          </cell>
          <cell r="BJ153">
            <v>166</v>
          </cell>
          <cell r="BK153">
            <v>-195</v>
          </cell>
          <cell r="BL153">
            <v>103</v>
          </cell>
          <cell r="BM153">
            <v>73</v>
          </cell>
          <cell r="BN153">
            <v>290</v>
          </cell>
          <cell r="BO153">
            <v>271</v>
          </cell>
          <cell r="BP153">
            <v>-240</v>
          </cell>
          <cell r="BQ153">
            <v>2</v>
          </cell>
          <cell r="BR153">
            <v>12</v>
          </cell>
          <cell r="BS153">
            <v>116</v>
          </cell>
          <cell r="BT153">
            <v>-110</v>
          </cell>
          <cell r="BU153">
            <v>-208</v>
          </cell>
          <cell r="BV153">
            <v>11</v>
          </cell>
          <cell r="BW153">
            <v>46</v>
          </cell>
          <cell r="BX153">
            <v>70</v>
          </cell>
          <cell r="BY153">
            <v>-81</v>
          </cell>
          <cell r="BZ153">
            <v>-161</v>
          </cell>
          <cell r="CA153">
            <v>72</v>
          </cell>
          <cell r="CB153">
            <v>45</v>
          </cell>
          <cell r="CC153">
            <v>15</v>
          </cell>
          <cell r="CD153">
            <v>-29</v>
          </cell>
          <cell r="CE153">
            <v>-117</v>
          </cell>
          <cell r="CF153">
            <v>-2</v>
          </cell>
          <cell r="CG153">
            <v>82</v>
          </cell>
          <cell r="CH153">
            <v>49</v>
          </cell>
          <cell r="CI153">
            <v>12</v>
          </cell>
          <cell r="CJ153">
            <v>-146</v>
          </cell>
          <cell r="CK153">
            <v>-18</v>
          </cell>
          <cell r="CL153">
            <v>18</v>
          </cell>
          <cell r="CM153">
            <v>62</v>
          </cell>
          <cell r="CN153">
            <v>-84</v>
          </cell>
          <cell r="CO153">
            <v>-44</v>
          </cell>
          <cell r="CP153">
            <v>-74</v>
          </cell>
          <cell r="CQ153">
            <v>20</v>
          </cell>
          <cell r="CR153">
            <v>63</v>
          </cell>
          <cell r="CS153">
            <v>-35</v>
          </cell>
          <cell r="CT153">
            <v>-110</v>
          </cell>
          <cell r="CU153">
            <v>133</v>
          </cell>
          <cell r="CV153">
            <v>-46</v>
          </cell>
          <cell r="CW153">
            <v>65.987295771683421</v>
          </cell>
          <cell r="CX153">
            <v>42.987295771683421</v>
          </cell>
          <cell r="CY153">
            <v>55.742288513324866</v>
          </cell>
          <cell r="CZ153">
            <v>-9.5823516355601441</v>
          </cell>
          <cell r="DA153">
            <v>-14.229710850304741</v>
          </cell>
          <cell r="DB153">
            <v>-7.4284528486226691</v>
          </cell>
          <cell r="DC153">
            <v>24.501773178837311</v>
          </cell>
          <cell r="DD153">
            <v>61.446366008993209</v>
          </cell>
          <cell r="DE153">
            <v>-7.6563553239626572</v>
          </cell>
          <cell r="DF153">
            <v>-12.415674922482708</v>
          </cell>
          <cell r="DG153">
            <v>-8.3696346405345139</v>
          </cell>
          <cell r="DH153">
            <v>33.00470112201333</v>
          </cell>
          <cell r="DI153">
            <v>73.993050205029817</v>
          </cell>
          <cell r="DJ153">
            <v>-14.567752635040961</v>
          </cell>
          <cell r="DK153">
            <v>-14.060424406040966</v>
          </cell>
          <cell r="DL153">
            <v>-7.9937399950949839</v>
          </cell>
          <cell r="DM153">
            <v>37.371133168852907</v>
          </cell>
          <cell r="DN153">
            <v>69.838175034573283</v>
          </cell>
          <cell r="DO153">
            <v>-6.3436453155026129</v>
          </cell>
          <cell r="DP153">
            <v>-14.453239127378083</v>
          </cell>
          <cell r="DQ153">
            <v>-9.6861747578535642</v>
          </cell>
          <cell r="DR153">
            <v>39.355115833839022</v>
          </cell>
          <cell r="DW153" t="str">
            <v>mstag:netIncreaseInTradeAndOtherPayables</v>
          </cell>
          <cell r="DX153">
            <v>6</v>
          </cell>
          <cell r="DY153" t="str">
            <v>ISO4217:USD</v>
          </cell>
          <cell r="DZ153" t="b">
            <v>0</v>
          </cell>
        </row>
        <row r="154">
          <cell r="B154" t="str">
            <v>Other long-term liabilities</v>
          </cell>
          <cell r="H154">
            <v>4</v>
          </cell>
          <cell r="M154">
            <v>-106</v>
          </cell>
          <cell r="R154">
            <v>-59</v>
          </cell>
          <cell r="W154">
            <v>-83</v>
          </cell>
          <cell r="X154">
            <v>3</v>
          </cell>
          <cell r="Y154">
            <v>12</v>
          </cell>
          <cell r="Z154">
            <v>-43</v>
          </cell>
          <cell r="AA154">
            <v>-80</v>
          </cell>
          <cell r="AB154">
            <v>-108</v>
          </cell>
          <cell r="AC154">
            <v>-15</v>
          </cell>
          <cell r="AD154">
            <v>3</v>
          </cell>
          <cell r="AE154">
            <v>3</v>
          </cell>
          <cell r="AF154">
            <v>26</v>
          </cell>
          <cell r="AG154">
            <v>17</v>
          </cell>
          <cell r="AH154">
            <v>3</v>
          </cell>
          <cell r="AI154">
            <v>-11</v>
          </cell>
          <cell r="AJ154">
            <v>-13</v>
          </cell>
          <cell r="AK154">
            <v>1</v>
          </cell>
          <cell r="AL154">
            <v>-20</v>
          </cell>
          <cell r="AM154">
            <v>11</v>
          </cell>
          <cell r="AN154">
            <v>2</v>
          </cell>
          <cell r="AO154">
            <v>2</v>
          </cell>
          <cell r="AP154">
            <v>4</v>
          </cell>
          <cell r="AQ154">
            <v>19</v>
          </cell>
          <cell r="AR154">
            <v>11</v>
          </cell>
          <cell r="AS154">
            <v>9</v>
          </cell>
          <cell r="AT154">
            <v>276</v>
          </cell>
          <cell r="AZ154">
            <v>271</v>
          </cell>
          <cell r="BA154">
            <v>9</v>
          </cell>
          <cell r="BB154">
            <v>203</v>
          </cell>
          <cell r="BC154">
            <v>9</v>
          </cell>
          <cell r="BD154">
            <v>-54</v>
          </cell>
          <cell r="BE154">
            <v>167</v>
          </cell>
          <cell r="BF154">
            <v>44</v>
          </cell>
          <cell r="BG154">
            <v>67</v>
          </cell>
          <cell r="BH154">
            <v>9</v>
          </cell>
          <cell r="BI154">
            <v>-53</v>
          </cell>
          <cell r="BJ154">
            <v>67</v>
          </cell>
          <cell r="BK154">
            <v>17</v>
          </cell>
          <cell r="BL154">
            <v>-2</v>
          </cell>
          <cell r="BM154">
            <v>17</v>
          </cell>
          <cell r="BN154">
            <v>-55</v>
          </cell>
          <cell r="BO154">
            <v>-23</v>
          </cell>
          <cell r="BP154">
            <v>14</v>
          </cell>
          <cell r="BQ154">
            <v>6</v>
          </cell>
          <cell r="BR154">
            <v>11</v>
          </cell>
          <cell r="BS154">
            <v>-4</v>
          </cell>
          <cell r="BT154">
            <v>27</v>
          </cell>
          <cell r="BU154">
            <v>9</v>
          </cell>
          <cell r="BV154">
            <v>6</v>
          </cell>
          <cell r="BW154">
            <v>8</v>
          </cell>
          <cell r="BX154">
            <v>16</v>
          </cell>
          <cell r="BY154">
            <v>39</v>
          </cell>
          <cell r="BZ154">
            <v>0</v>
          </cell>
          <cell r="CA154">
            <v>-25</v>
          </cell>
          <cell r="CB154">
            <v>-1</v>
          </cell>
          <cell r="CC154">
            <v>-10</v>
          </cell>
          <cell r="CD154">
            <v>-36</v>
          </cell>
          <cell r="CE154">
            <v>-12</v>
          </cell>
          <cell r="CF154">
            <v>1</v>
          </cell>
          <cell r="CG154">
            <v>5</v>
          </cell>
          <cell r="CH154">
            <v>-7</v>
          </cell>
          <cell r="CI154">
            <v>-13</v>
          </cell>
          <cell r="CJ154">
            <v>-27</v>
          </cell>
          <cell r="CK154">
            <v>9</v>
          </cell>
          <cell r="CL154">
            <v>-5</v>
          </cell>
          <cell r="CM154">
            <v>-35</v>
          </cell>
          <cell r="CN154">
            <v>-58</v>
          </cell>
          <cell r="CO154">
            <v>12</v>
          </cell>
          <cell r="CP154">
            <v>-4</v>
          </cell>
          <cell r="CQ154">
            <v>-19</v>
          </cell>
          <cell r="CR154">
            <v>5</v>
          </cell>
          <cell r="CS154">
            <v>-6</v>
          </cell>
          <cell r="CT154">
            <v>16</v>
          </cell>
          <cell r="CU154">
            <v>10</v>
          </cell>
          <cell r="CV154">
            <v>-6</v>
          </cell>
          <cell r="CW154">
            <v>0</v>
          </cell>
          <cell r="CX154">
            <v>20</v>
          </cell>
          <cell r="CY154">
            <v>78</v>
          </cell>
          <cell r="CZ154">
            <v>0</v>
          </cell>
          <cell r="DA154">
            <v>0</v>
          </cell>
          <cell r="DB154">
            <v>0</v>
          </cell>
          <cell r="DC154">
            <v>78</v>
          </cell>
          <cell r="DD154">
            <v>0</v>
          </cell>
          <cell r="DE154">
            <v>0</v>
          </cell>
          <cell r="DF154">
            <v>0</v>
          </cell>
          <cell r="DG154">
            <v>0</v>
          </cell>
          <cell r="DH154">
            <v>0</v>
          </cell>
          <cell r="DI154">
            <v>0</v>
          </cell>
          <cell r="DJ154">
            <v>0</v>
          </cell>
          <cell r="DK154">
            <v>0</v>
          </cell>
          <cell r="DL154">
            <v>0</v>
          </cell>
          <cell r="DM154">
            <v>0</v>
          </cell>
          <cell r="DN154">
            <v>0</v>
          </cell>
          <cell r="DO154">
            <v>0</v>
          </cell>
          <cell r="DP154">
            <v>0</v>
          </cell>
          <cell r="DQ154">
            <v>0</v>
          </cell>
          <cell r="DR154">
            <v>0</v>
          </cell>
          <cell r="DW154" t="str">
            <v>mstag:netIncreaseInOtherLiabilitiesOperating</v>
          </cell>
          <cell r="DX154">
            <v>6</v>
          </cell>
          <cell r="DY154" t="str">
            <v>ISO4217:USD</v>
          </cell>
          <cell r="DZ154" t="b">
            <v>0</v>
          </cell>
        </row>
        <row r="155">
          <cell r="B155" t="str">
            <v>Changes in working capital</v>
          </cell>
          <cell r="D155">
            <v>0</v>
          </cell>
          <cell r="E155">
            <v>0</v>
          </cell>
          <cell r="F155">
            <v>0</v>
          </cell>
          <cell r="G155">
            <v>0</v>
          </cell>
          <cell r="H155">
            <v>-70</v>
          </cell>
          <cell r="I155">
            <v>0</v>
          </cell>
          <cell r="J155">
            <v>0</v>
          </cell>
          <cell r="K155">
            <v>0</v>
          </cell>
          <cell r="L155">
            <v>0</v>
          </cell>
          <cell r="M155">
            <v>-438</v>
          </cell>
          <cell r="N155">
            <v>0</v>
          </cell>
          <cell r="O155">
            <v>0</v>
          </cell>
          <cell r="P155">
            <v>0</v>
          </cell>
          <cell r="Q155">
            <v>0</v>
          </cell>
          <cell r="R155">
            <v>-998</v>
          </cell>
          <cell r="S155">
            <v>0</v>
          </cell>
          <cell r="T155">
            <v>0</v>
          </cell>
          <cell r="U155">
            <v>0</v>
          </cell>
          <cell r="V155">
            <v>0</v>
          </cell>
          <cell r="W155">
            <v>-1028</v>
          </cell>
          <cell r="X155">
            <v>-400</v>
          </cell>
          <cell r="Y155">
            <v>-202</v>
          </cell>
          <cell r="Z155">
            <v>-478</v>
          </cell>
          <cell r="AA155">
            <v>-292</v>
          </cell>
          <cell r="AB155">
            <v>-1372</v>
          </cell>
          <cell r="AC155">
            <v>-497</v>
          </cell>
          <cell r="AD155">
            <v>-63</v>
          </cell>
          <cell r="AE155">
            <v>-496</v>
          </cell>
          <cell r="AF155">
            <v>-30</v>
          </cell>
          <cell r="AG155">
            <v>-1086</v>
          </cell>
          <cell r="AH155">
            <v>-285</v>
          </cell>
          <cell r="AI155">
            <v>-9</v>
          </cell>
          <cell r="AJ155">
            <v>-276</v>
          </cell>
          <cell r="AK155">
            <v>172</v>
          </cell>
          <cell r="AL155">
            <v>-398</v>
          </cell>
          <cell r="AM155">
            <v>-201</v>
          </cell>
          <cell r="AN155">
            <v>-156</v>
          </cell>
          <cell r="AO155">
            <v>-257</v>
          </cell>
          <cell r="AP155">
            <v>-20</v>
          </cell>
          <cell r="AQ155">
            <v>-634</v>
          </cell>
          <cell r="AR155">
            <v>-139</v>
          </cell>
          <cell r="AS155">
            <v>-564</v>
          </cell>
          <cell r="AT155">
            <v>-191</v>
          </cell>
          <cell r="AZ155">
            <v>-583</v>
          </cell>
          <cell r="BA155">
            <v>-504</v>
          </cell>
          <cell r="BB155">
            <v>-114</v>
          </cell>
          <cell r="BC155">
            <v>-87</v>
          </cell>
          <cell r="BD155">
            <v>-311</v>
          </cell>
          <cell r="BE155">
            <v>-1016</v>
          </cell>
          <cell r="BF155">
            <v>-440</v>
          </cell>
          <cell r="BG155">
            <v>-173</v>
          </cell>
          <cell r="BH155">
            <v>-200</v>
          </cell>
          <cell r="BI155">
            <v>-455</v>
          </cell>
          <cell r="BJ155">
            <v>-1268</v>
          </cell>
          <cell r="BK155">
            <v>180</v>
          </cell>
          <cell r="BL155">
            <v>-43</v>
          </cell>
          <cell r="BM155">
            <v>-108</v>
          </cell>
          <cell r="BN155">
            <v>57</v>
          </cell>
          <cell r="BO155">
            <v>86</v>
          </cell>
          <cell r="BP155">
            <v>-398</v>
          </cell>
          <cell r="BQ155">
            <v>-238</v>
          </cell>
          <cell r="BR155">
            <v>-218</v>
          </cell>
          <cell r="BS155">
            <v>-142</v>
          </cell>
          <cell r="BT155">
            <v>-996</v>
          </cell>
          <cell r="BU155">
            <v>-500</v>
          </cell>
          <cell r="BV155">
            <v>81</v>
          </cell>
          <cell r="BW155">
            <v>-130</v>
          </cell>
          <cell r="BX155">
            <v>-83</v>
          </cell>
          <cell r="BY155">
            <v>-632</v>
          </cell>
          <cell r="BZ155">
            <v>-420</v>
          </cell>
          <cell r="CA155">
            <v>-68</v>
          </cell>
          <cell r="CB155">
            <v>-91</v>
          </cell>
          <cell r="CC155">
            <v>-160</v>
          </cell>
          <cell r="CD155">
            <v>-739</v>
          </cell>
          <cell r="CE155">
            <v>-370</v>
          </cell>
          <cell r="CF155">
            <v>-74</v>
          </cell>
          <cell r="CG155">
            <v>-109</v>
          </cell>
          <cell r="CH155">
            <v>-194</v>
          </cell>
          <cell r="CI155">
            <v>-747</v>
          </cell>
          <cell r="CJ155">
            <v>-395</v>
          </cell>
          <cell r="CK155">
            <v>-122</v>
          </cell>
          <cell r="CL155">
            <v>-147</v>
          </cell>
          <cell r="CM155">
            <v>-236</v>
          </cell>
          <cell r="CN155">
            <v>-900</v>
          </cell>
          <cell r="CO155">
            <v>-437</v>
          </cell>
          <cell r="CP155">
            <v>-227</v>
          </cell>
          <cell r="CQ155">
            <v>-150</v>
          </cell>
          <cell r="CR155">
            <v>-193</v>
          </cell>
          <cell r="CS155">
            <v>-1007</v>
          </cell>
          <cell r="CT155">
            <v>-427</v>
          </cell>
          <cell r="CU155">
            <v>-95</v>
          </cell>
          <cell r="CV155">
            <v>-242</v>
          </cell>
          <cell r="CW155">
            <v>-171.78014673783329</v>
          </cell>
          <cell r="CX155">
            <v>-935.78014673783321</v>
          </cell>
          <cell r="CY155">
            <v>-95.25143455313011</v>
          </cell>
          <cell r="CZ155">
            <v>-234.8245037526039</v>
          </cell>
          <cell r="DA155">
            <v>-208.49117553684977</v>
          </cell>
          <cell r="DB155">
            <v>-273.83093268952962</v>
          </cell>
          <cell r="DC155">
            <v>-812.39804653211331</v>
          </cell>
          <cell r="DD155">
            <v>-149.60790855973451</v>
          </cell>
          <cell r="DE155">
            <v>-179.9681745289264</v>
          </cell>
          <cell r="DF155">
            <v>-162.73898853652625</v>
          </cell>
          <cell r="DG155">
            <v>-236.94124287295938</v>
          </cell>
          <cell r="DH155">
            <v>-729.25631449814648</v>
          </cell>
          <cell r="DI155">
            <v>-158.91455133169174</v>
          </cell>
          <cell r="DJ155">
            <v>-155.18993815208253</v>
          </cell>
          <cell r="DK155">
            <v>-150.1544383300799</v>
          </cell>
          <cell r="DL155">
            <v>-230.04123340032621</v>
          </cell>
          <cell r="DM155">
            <v>-694.30016121418032</v>
          </cell>
          <cell r="DN155">
            <v>-149.77803812961841</v>
          </cell>
          <cell r="DO155">
            <v>-154.71687494470177</v>
          </cell>
          <cell r="DP155">
            <v>-142.53529741606621</v>
          </cell>
          <cell r="DQ155">
            <v>-225.30189252684789</v>
          </cell>
          <cell r="DR155">
            <v>-672.3321030172342</v>
          </cell>
        </row>
        <row r="156">
          <cell r="B156" t="str">
            <v>Restructuring &amp; litigation reserves</v>
          </cell>
          <cell r="M156">
            <v>0</v>
          </cell>
          <cell r="R156">
            <v>0</v>
          </cell>
          <cell r="W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Z156">
            <v>-18</v>
          </cell>
          <cell r="BA156">
            <v>0</v>
          </cell>
          <cell r="BB156">
            <v>0</v>
          </cell>
          <cell r="BC156">
            <v>0</v>
          </cell>
          <cell r="BD156">
            <v>-148</v>
          </cell>
          <cell r="BE156">
            <v>-148</v>
          </cell>
          <cell r="BF156">
            <v>-187</v>
          </cell>
          <cell r="BG156">
            <v>-57</v>
          </cell>
          <cell r="BH156">
            <v>-5</v>
          </cell>
          <cell r="BI156">
            <v>-31</v>
          </cell>
          <cell r="BJ156">
            <v>-280</v>
          </cell>
          <cell r="BK156">
            <v>-14</v>
          </cell>
          <cell r="BL156">
            <v>-28</v>
          </cell>
          <cell r="BM156">
            <v>-31</v>
          </cell>
          <cell r="BN156">
            <v>-27</v>
          </cell>
          <cell r="BO156">
            <v>-100</v>
          </cell>
          <cell r="BP156">
            <v>-175</v>
          </cell>
          <cell r="BQ156">
            <v>-489</v>
          </cell>
          <cell r="BR156">
            <v>-19</v>
          </cell>
          <cell r="BS156">
            <v>-15</v>
          </cell>
          <cell r="BT156">
            <v>-698</v>
          </cell>
          <cell r="BU156">
            <v>-7</v>
          </cell>
          <cell r="BV156">
            <v>-21</v>
          </cell>
          <cell r="BW156">
            <v>-11</v>
          </cell>
          <cell r="BX156">
            <v>-31</v>
          </cell>
          <cell r="BY156">
            <v>-70</v>
          </cell>
          <cell r="BZ156">
            <v>-27</v>
          </cell>
          <cell r="CA156">
            <v>-29</v>
          </cell>
          <cell r="CB156">
            <v>-23</v>
          </cell>
          <cell r="CC156">
            <v>-21</v>
          </cell>
          <cell r="CD156">
            <v>-100</v>
          </cell>
          <cell r="CE156">
            <v>-28</v>
          </cell>
          <cell r="CF156">
            <v>-28</v>
          </cell>
          <cell r="CG156">
            <v>-109</v>
          </cell>
          <cell r="CH156">
            <v>-27</v>
          </cell>
          <cell r="CI156">
            <v>-192</v>
          </cell>
          <cell r="CJ156">
            <v>-24</v>
          </cell>
          <cell r="CK156">
            <v>-27</v>
          </cell>
          <cell r="CL156">
            <v>-25</v>
          </cell>
          <cell r="CM156">
            <v>-7</v>
          </cell>
          <cell r="CN156">
            <v>-83</v>
          </cell>
          <cell r="CO156">
            <v>-7</v>
          </cell>
          <cell r="CP156">
            <v>-14</v>
          </cell>
          <cell r="CQ156">
            <v>-6</v>
          </cell>
          <cell r="CR156">
            <v>-17</v>
          </cell>
          <cell r="CS156">
            <v>-44</v>
          </cell>
          <cell r="CT156">
            <v>-11</v>
          </cell>
          <cell r="CU156">
            <v>-39</v>
          </cell>
          <cell r="CV156">
            <v>-6</v>
          </cell>
          <cell r="CW156">
            <v>0</v>
          </cell>
          <cell r="CX156">
            <v>-56</v>
          </cell>
          <cell r="CY156">
            <v>3</v>
          </cell>
          <cell r="CZ156">
            <v>0</v>
          </cell>
          <cell r="DA156">
            <v>0</v>
          </cell>
          <cell r="DB156">
            <v>0</v>
          </cell>
          <cell r="DC156">
            <v>3</v>
          </cell>
          <cell r="DD156">
            <v>0</v>
          </cell>
          <cell r="DE156">
            <v>0</v>
          </cell>
          <cell r="DF156">
            <v>0</v>
          </cell>
          <cell r="DG156">
            <v>0</v>
          </cell>
          <cell r="DH156">
            <v>0</v>
          </cell>
          <cell r="DI156">
            <v>0</v>
          </cell>
          <cell r="DJ156">
            <v>0</v>
          </cell>
          <cell r="DK156">
            <v>0</v>
          </cell>
          <cell r="DL156">
            <v>0</v>
          </cell>
          <cell r="DM156">
            <v>0</v>
          </cell>
          <cell r="DN156">
            <v>0</v>
          </cell>
          <cell r="DO156">
            <v>0</v>
          </cell>
          <cell r="DP156">
            <v>0</v>
          </cell>
          <cell r="DQ156">
            <v>0</v>
          </cell>
          <cell r="DR156">
            <v>0</v>
          </cell>
          <cell r="DW156" t="str">
            <v>mstag:legalProvisionOneTimeCashFlowStatement</v>
          </cell>
          <cell r="DX156">
            <v>6</v>
          </cell>
          <cell r="DY156" t="str">
            <v>ISO4217:USD</v>
          </cell>
          <cell r="DZ156" t="b">
            <v>0</v>
          </cell>
        </row>
        <row r="157">
          <cell r="B157" t="str">
            <v>Discontinued operations</v>
          </cell>
          <cell r="H157">
            <v>-427</v>
          </cell>
          <cell r="M157">
            <v>-97</v>
          </cell>
          <cell r="R157">
            <v>0</v>
          </cell>
          <cell r="W157">
            <v>0</v>
          </cell>
          <cell r="X157">
            <v>-8</v>
          </cell>
          <cell r="Y157">
            <v>-12</v>
          </cell>
          <cell r="Z157">
            <v>-17</v>
          </cell>
          <cell r="AA157">
            <v>37</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Z157">
            <v>0</v>
          </cell>
          <cell r="BA157">
            <v>0</v>
          </cell>
          <cell r="BB157">
            <v>0</v>
          </cell>
          <cell r="BC157">
            <v>0</v>
          </cell>
          <cell r="BD157">
            <v>0</v>
          </cell>
          <cell r="BE157">
            <v>0</v>
          </cell>
          <cell r="BF157">
            <v>46</v>
          </cell>
          <cell r="BG157">
            <v>27</v>
          </cell>
          <cell r="BH157">
            <v>-42</v>
          </cell>
          <cell r="BI157">
            <v>-439</v>
          </cell>
          <cell r="BJ157">
            <v>-408</v>
          </cell>
          <cell r="BK157">
            <v>45</v>
          </cell>
          <cell r="BL157">
            <v>32</v>
          </cell>
          <cell r="BM157">
            <v>-24</v>
          </cell>
          <cell r="BN157">
            <v>-8</v>
          </cell>
          <cell r="BO157">
            <v>45</v>
          </cell>
          <cell r="BP157">
            <v>-8</v>
          </cell>
          <cell r="BQ157">
            <v>-41</v>
          </cell>
          <cell r="BR157">
            <v>21</v>
          </cell>
          <cell r="BS157">
            <v>5</v>
          </cell>
          <cell r="BT157">
            <v>-23</v>
          </cell>
          <cell r="BU157">
            <v>17</v>
          </cell>
          <cell r="BV157">
            <v>-8</v>
          </cell>
          <cell r="BW157">
            <v>-6</v>
          </cell>
          <cell r="BX157">
            <v>22</v>
          </cell>
          <cell r="BY157">
            <v>25</v>
          </cell>
          <cell r="BZ157">
            <v>0</v>
          </cell>
          <cell r="CA157">
            <v>2</v>
          </cell>
          <cell r="CB157">
            <v>34</v>
          </cell>
          <cell r="CC157">
            <v>-12</v>
          </cell>
          <cell r="CD157">
            <v>24</v>
          </cell>
          <cell r="CE157">
            <v>56</v>
          </cell>
          <cell r="CF157">
            <v>-28</v>
          </cell>
          <cell r="CG157">
            <v>3</v>
          </cell>
          <cell r="CH157">
            <v>9</v>
          </cell>
          <cell r="CI157">
            <v>40</v>
          </cell>
          <cell r="CJ157">
            <v>2</v>
          </cell>
          <cell r="CK157">
            <v>3</v>
          </cell>
          <cell r="CL157">
            <v>-7</v>
          </cell>
          <cell r="CM157">
            <v>2</v>
          </cell>
          <cell r="CN157">
            <v>0</v>
          </cell>
          <cell r="CO157">
            <v>-13</v>
          </cell>
          <cell r="CP157">
            <v>-6</v>
          </cell>
          <cell r="CQ157">
            <v>-22</v>
          </cell>
          <cell r="CR157">
            <v>-6</v>
          </cell>
          <cell r="CS157">
            <v>-47</v>
          </cell>
          <cell r="CT157">
            <v>-19</v>
          </cell>
          <cell r="CU157">
            <v>-3</v>
          </cell>
          <cell r="CV157">
            <v>3</v>
          </cell>
          <cell r="CW157">
            <v>0</v>
          </cell>
          <cell r="CX157">
            <v>-19</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W157" t="str">
            <v>mstag:netCashFlowFromDiscontinuedOperations</v>
          </cell>
          <cell r="DX157">
            <v>6</v>
          </cell>
          <cell r="DY157" t="str">
            <v>ISO4217:USD</v>
          </cell>
          <cell r="DZ157" t="b">
            <v>0</v>
          </cell>
        </row>
        <row r="158">
          <cell r="B158" t="str">
            <v>Cash Flow from Operations</v>
          </cell>
          <cell r="D158">
            <v>-377.21100000000001</v>
          </cell>
          <cell r="E158">
            <v>56.711000000000013</v>
          </cell>
          <cell r="F158">
            <v>79.900000000000006</v>
          </cell>
          <cell r="G158">
            <v>233.6</v>
          </cell>
          <cell r="H158">
            <v>-7</v>
          </cell>
          <cell r="I158">
            <v>60.8</v>
          </cell>
          <cell r="J158">
            <v>-49.699999999999996</v>
          </cell>
          <cell r="K158">
            <v>68.2</v>
          </cell>
          <cell r="L158">
            <v>115.69999999999997</v>
          </cell>
          <cell r="M158">
            <v>195</v>
          </cell>
          <cell r="N158">
            <v>39.299999999999997</v>
          </cell>
          <cell r="O158">
            <v>-53.5</v>
          </cell>
          <cell r="P158">
            <v>269.09999999999997</v>
          </cell>
          <cell r="Q158">
            <v>149.10000000000002</v>
          </cell>
          <cell r="R158">
            <v>404</v>
          </cell>
          <cell r="S158">
            <v>1</v>
          </cell>
          <cell r="T158">
            <v>11</v>
          </cell>
          <cell r="U158">
            <v>125</v>
          </cell>
          <cell r="V158">
            <v>266</v>
          </cell>
          <cell r="W158">
            <v>403</v>
          </cell>
          <cell r="X158">
            <v>41</v>
          </cell>
          <cell r="Y158">
            <v>256</v>
          </cell>
          <cell r="Z158">
            <v>18</v>
          </cell>
          <cell r="AA158">
            <v>267</v>
          </cell>
          <cell r="AB158">
            <v>582</v>
          </cell>
          <cell r="AC158">
            <v>12</v>
          </cell>
          <cell r="AD158">
            <v>313</v>
          </cell>
          <cell r="AE158">
            <v>-3</v>
          </cell>
          <cell r="AF158">
            <v>547</v>
          </cell>
          <cell r="AG158">
            <v>869</v>
          </cell>
          <cell r="AH158">
            <v>271</v>
          </cell>
          <cell r="AI158">
            <v>454</v>
          </cell>
          <cell r="AJ158">
            <v>213</v>
          </cell>
          <cell r="AK158">
            <v>880</v>
          </cell>
          <cell r="AL158">
            <v>1818</v>
          </cell>
          <cell r="AM158">
            <v>487</v>
          </cell>
          <cell r="AN158">
            <v>531</v>
          </cell>
          <cell r="AO158">
            <v>475</v>
          </cell>
          <cell r="AP158">
            <v>822</v>
          </cell>
          <cell r="AQ158">
            <v>2315</v>
          </cell>
          <cell r="AR158">
            <v>696</v>
          </cell>
          <cell r="AS158">
            <v>246</v>
          </cell>
          <cell r="AT158">
            <v>327</v>
          </cell>
          <cell r="AZ158">
            <v>1126</v>
          </cell>
          <cell r="BA158">
            <v>224</v>
          </cell>
          <cell r="BB158">
            <v>359</v>
          </cell>
          <cell r="BC158">
            <v>137</v>
          </cell>
          <cell r="BD158">
            <v>118</v>
          </cell>
          <cell r="BE158">
            <v>838</v>
          </cell>
          <cell r="BF158">
            <v>-59</v>
          </cell>
          <cell r="BG158">
            <v>144</v>
          </cell>
          <cell r="BH158">
            <v>123</v>
          </cell>
          <cell r="BI158">
            <v>-290</v>
          </cell>
          <cell r="BJ158">
            <v>-82</v>
          </cell>
          <cell r="BK158">
            <v>516</v>
          </cell>
          <cell r="BL158">
            <v>184</v>
          </cell>
          <cell r="BM158">
            <v>-15</v>
          </cell>
          <cell r="BN158">
            <v>78</v>
          </cell>
          <cell r="BO158">
            <v>763</v>
          </cell>
          <cell r="BP158">
            <v>-321</v>
          </cell>
          <cell r="BQ158">
            <v>-320</v>
          </cell>
          <cell r="BR158">
            <v>200</v>
          </cell>
          <cell r="BS158">
            <v>-21</v>
          </cell>
          <cell r="BT158">
            <v>-462</v>
          </cell>
          <cell r="BU158">
            <v>-154</v>
          </cell>
          <cell r="BV158">
            <v>285</v>
          </cell>
          <cell r="BW158">
            <v>83</v>
          </cell>
          <cell r="BX158">
            <v>112</v>
          </cell>
          <cell r="BY158">
            <v>326</v>
          </cell>
          <cell r="BZ158">
            <v>-133</v>
          </cell>
          <cell r="CA158">
            <v>123</v>
          </cell>
          <cell r="CB158">
            <v>151</v>
          </cell>
          <cell r="CC158">
            <v>67</v>
          </cell>
          <cell r="CD158">
            <v>208</v>
          </cell>
          <cell r="CE158">
            <v>-6</v>
          </cell>
          <cell r="CF158">
            <v>170</v>
          </cell>
          <cell r="CG158">
            <v>120</v>
          </cell>
          <cell r="CH158">
            <v>141</v>
          </cell>
          <cell r="CI158">
            <v>425</v>
          </cell>
          <cell r="CJ158">
            <v>-22</v>
          </cell>
          <cell r="CK158">
            <v>191</v>
          </cell>
          <cell r="CL158">
            <v>128</v>
          </cell>
          <cell r="CM158">
            <v>175</v>
          </cell>
          <cell r="CN158">
            <v>472</v>
          </cell>
          <cell r="CO158">
            <v>-2</v>
          </cell>
          <cell r="CP158">
            <v>178</v>
          </cell>
          <cell r="CQ158">
            <v>148</v>
          </cell>
          <cell r="CR158">
            <v>173</v>
          </cell>
          <cell r="CS158">
            <v>497</v>
          </cell>
          <cell r="CT158">
            <v>-42</v>
          </cell>
          <cell r="CU158">
            <v>243</v>
          </cell>
          <cell r="CV158">
            <v>136</v>
          </cell>
          <cell r="CW158">
            <v>216.11328946500518</v>
          </cell>
          <cell r="CX158">
            <v>553.11328946500532</v>
          </cell>
          <cell r="CY158">
            <v>262.7699996351846</v>
          </cell>
          <cell r="CZ158">
            <v>167.85337285159079</v>
          </cell>
          <cell r="DA158">
            <v>196.54355708644931</v>
          </cell>
          <cell r="DB158">
            <v>176.85982724788732</v>
          </cell>
          <cell r="DC158">
            <v>804.02675682111203</v>
          </cell>
          <cell r="DD158">
            <v>208.39728833570993</v>
          </cell>
          <cell r="DE158">
            <v>204.41367644234754</v>
          </cell>
          <cell r="DF158">
            <v>216.55794656702713</v>
          </cell>
          <cell r="DG158">
            <v>193.79240062433701</v>
          </cell>
          <cell r="DH158">
            <v>823.16131196942149</v>
          </cell>
          <cell r="DI158">
            <v>201.764629943887</v>
          </cell>
          <cell r="DJ158">
            <v>224.34568785550297</v>
          </cell>
          <cell r="DK158">
            <v>226.06000058699831</v>
          </cell>
          <cell r="DL158">
            <v>204.1947274623133</v>
          </cell>
          <cell r="DM158">
            <v>856.3650458487017</v>
          </cell>
          <cell r="DN158">
            <v>222.40165945675588</v>
          </cell>
          <cell r="DO158">
            <v>232.4639047374277</v>
          </cell>
          <cell r="DP158">
            <v>240.75558559919693</v>
          </cell>
          <cell r="DQ158">
            <v>217.13825080633029</v>
          </cell>
          <cell r="DR158">
            <v>912.75940059971072</v>
          </cell>
        </row>
        <row r="159">
          <cell r="B159" t="str">
            <v>% of net income + D&amp;A</v>
          </cell>
          <cell r="H159" t="str">
            <v>nm</v>
          </cell>
          <cell r="M159">
            <v>0.29061102831594637</v>
          </cell>
          <cell r="R159">
            <v>2.1375661375661377</v>
          </cell>
          <cell r="W159">
            <v>0.55894590846047154</v>
          </cell>
          <cell r="AB159">
            <v>0.72298136645962729</v>
          </cell>
          <cell r="AC159">
            <v>4.9382716049382713E-2</v>
          </cell>
          <cell r="AD159">
            <v>1.1722846441947565</v>
          </cell>
          <cell r="AE159" t="str">
            <v>nm</v>
          </cell>
          <cell r="AF159">
            <v>3.551948051948052</v>
          </cell>
          <cell r="AG159">
            <v>1.0407185628742515</v>
          </cell>
          <cell r="AH159">
            <v>0.93127147766323026</v>
          </cell>
          <cell r="AI159">
            <v>1.459807073954984</v>
          </cell>
          <cell r="AJ159">
            <v>0.63204747774480707</v>
          </cell>
          <cell r="AK159">
            <v>3.4108527131782944</v>
          </cell>
          <cell r="AL159">
            <v>1.518796992481203</v>
          </cell>
          <cell r="AM159">
            <v>1.6019736842105263</v>
          </cell>
          <cell r="AN159">
            <v>2.2124999999999999</v>
          </cell>
          <cell r="AO159">
            <v>1.0944700460829493</v>
          </cell>
          <cell r="AP159">
            <v>2</v>
          </cell>
          <cell r="AQ159">
            <v>1.6666666666666667</v>
          </cell>
          <cell r="AR159">
            <v>1.4935622317596566</v>
          </cell>
          <cell r="AS159">
            <v>0.55280898876404494</v>
          </cell>
          <cell r="AT159">
            <v>4.2467532467532472</v>
          </cell>
          <cell r="BA159">
            <v>2.1333333333333333</v>
          </cell>
          <cell r="BB159" t="str">
            <v>nm</v>
          </cell>
          <cell r="BC159" t="str">
            <v>nm</v>
          </cell>
          <cell r="BD159" t="str">
            <v>nm</v>
          </cell>
          <cell r="BE159" t="str">
            <v>nm</v>
          </cell>
          <cell r="BF159" t="str">
            <v>nm</v>
          </cell>
          <cell r="BG159" t="str">
            <v>nm</v>
          </cell>
          <cell r="BH159">
            <v>4.3928571428571432</v>
          </cell>
          <cell r="BI159" t="str">
            <v>nm</v>
          </cell>
          <cell r="BJ159" t="str">
            <v>nm</v>
          </cell>
          <cell r="BK159">
            <v>5.6086956521739131</v>
          </cell>
          <cell r="BL159">
            <v>3.1186440677966103</v>
          </cell>
          <cell r="BM159" t="str">
            <v>nm</v>
          </cell>
          <cell r="BN159" t="str">
            <v>nm</v>
          </cell>
          <cell r="BO159">
            <v>-2.2309941520467835</v>
          </cell>
          <cell r="BP159" t="str">
            <v>nm</v>
          </cell>
          <cell r="BQ159" t="str">
            <v>nm</v>
          </cell>
          <cell r="BR159">
            <v>-33.333333333333336</v>
          </cell>
          <cell r="BS159" t="str">
            <v>nm</v>
          </cell>
          <cell r="BT159" t="str">
            <v>nm</v>
          </cell>
          <cell r="BU159" t="str">
            <v>nm</v>
          </cell>
          <cell r="BV159">
            <v>4.8305084745762707</v>
          </cell>
          <cell r="BW159">
            <v>2.59375</v>
          </cell>
          <cell r="BX159">
            <v>6.2222222222222223</v>
          </cell>
          <cell r="BY159">
            <v>1.1941391941391941</v>
          </cell>
          <cell r="BZ159" t="str">
            <v>nm</v>
          </cell>
          <cell r="CA159">
            <v>1.5974025974025974</v>
          </cell>
          <cell r="CB159">
            <v>0.77835051546391754</v>
          </cell>
          <cell r="CC159">
            <v>1.0634920634920635</v>
          </cell>
          <cell r="CD159">
            <v>0.52261306532663321</v>
          </cell>
          <cell r="CE159" t="str">
            <v>nm</v>
          </cell>
          <cell r="CF159">
            <v>2.0481927710843375</v>
          </cell>
          <cell r="CG159">
            <v>1.25</v>
          </cell>
          <cell r="CH159">
            <v>1.1370967741935485</v>
          </cell>
          <cell r="CI159">
            <v>0.72898799313893659</v>
          </cell>
          <cell r="CJ159" t="str">
            <v>nm</v>
          </cell>
          <cell r="CK159">
            <v>1.446969696969697</v>
          </cell>
          <cell r="CL159">
            <v>0.12295869356388088</v>
          </cell>
          <cell r="CM159">
            <v>0.95628415300546443</v>
          </cell>
          <cell r="CN159">
            <v>0.3053040103492885</v>
          </cell>
          <cell r="CO159" t="str">
            <v>nm</v>
          </cell>
          <cell r="CP159">
            <v>1.0658682634730539</v>
          </cell>
          <cell r="CQ159">
            <v>1.2542372881355932</v>
          </cell>
          <cell r="CR159">
            <v>4.4358974358974361</v>
          </cell>
          <cell r="CS159">
            <v>0.98027613412228798</v>
          </cell>
          <cell r="CT159" t="str">
            <v>nm</v>
          </cell>
          <cell r="CU159">
            <v>3.0375000000000001</v>
          </cell>
          <cell r="CV159">
            <v>0.95774647887323938</v>
          </cell>
          <cell r="CW159">
            <v>1.265359755518199</v>
          </cell>
          <cell r="CX159">
            <v>0.9810591774057561</v>
          </cell>
          <cell r="CY159">
            <v>1.8618461210430595</v>
          </cell>
          <cell r="CZ159">
            <v>0.90809560063453365</v>
          </cell>
          <cell r="DA159">
            <v>1.1598668687314164</v>
          </cell>
          <cell r="DB159">
            <v>0.83164168060725219</v>
          </cell>
          <cell r="DC159">
            <v>1.1354830810698651</v>
          </cell>
          <cell r="DD159">
            <v>1.1633125086941514</v>
          </cell>
          <cell r="DE159">
            <v>0.9911281129491184</v>
          </cell>
          <cell r="DF159">
            <v>1.167215130615076</v>
          </cell>
          <cell r="DG159">
            <v>0.82865384647221374</v>
          </cell>
          <cell r="DH159">
            <v>1.0228367193561989</v>
          </cell>
          <cell r="DI159">
            <v>1.0373175064360001</v>
          </cell>
          <cell r="DJ159">
            <v>1.0503718301593938</v>
          </cell>
          <cell r="DK159">
            <v>1.1585168300929816</v>
          </cell>
          <cell r="DL159">
            <v>0.81832507764568585</v>
          </cell>
          <cell r="DM159">
            <v>1.0042398529874361</v>
          </cell>
          <cell r="DN159">
            <v>1.0491819195901686</v>
          </cell>
          <cell r="DO159">
            <v>1.0204478389788747</v>
          </cell>
          <cell r="DP159">
            <v>1.1523768453755665</v>
          </cell>
          <cell r="DQ159">
            <v>0.82222994389153992</v>
          </cell>
          <cell r="DR159">
            <v>0.99996922493909479</v>
          </cell>
        </row>
        <row r="161">
          <cell r="B161" t="str">
            <v>Capital expenditures - continuing ops</v>
          </cell>
          <cell r="D161">
            <v>-28.175999999999998</v>
          </cell>
          <cell r="E161">
            <v>-31.424000000000003</v>
          </cell>
          <cell r="F161">
            <v>-40.9</v>
          </cell>
          <cell r="G161">
            <v>-163.5</v>
          </cell>
          <cell r="H161">
            <v>-264</v>
          </cell>
          <cell r="I161">
            <v>-95.1</v>
          </cell>
          <cell r="J161">
            <v>-65.400000000000006</v>
          </cell>
          <cell r="K161">
            <v>-74.800000000000011</v>
          </cell>
          <cell r="L161">
            <v>-134.69999999999999</v>
          </cell>
          <cell r="M161">
            <v>-370</v>
          </cell>
          <cell r="N161">
            <v>-43.4</v>
          </cell>
          <cell r="O161">
            <v>-52.000000000000007</v>
          </cell>
          <cell r="P161">
            <v>-165.99999999999997</v>
          </cell>
          <cell r="Q161">
            <v>-144.60000000000002</v>
          </cell>
          <cell r="R161">
            <v>-406</v>
          </cell>
          <cell r="S161">
            <v>-103</v>
          </cell>
          <cell r="T161">
            <v>-112</v>
          </cell>
          <cell r="U161">
            <v>-156</v>
          </cell>
          <cell r="V161">
            <v>-163</v>
          </cell>
          <cell r="W161">
            <v>-534</v>
          </cell>
          <cell r="X161">
            <v>-107</v>
          </cell>
          <cell r="Y161">
            <v>-134</v>
          </cell>
          <cell r="Z161">
            <v>-160</v>
          </cell>
          <cell r="AA161">
            <v>-191</v>
          </cell>
          <cell r="AB161">
            <v>-592</v>
          </cell>
          <cell r="AC161">
            <v>-138</v>
          </cell>
          <cell r="AD161">
            <v>-126</v>
          </cell>
          <cell r="AE161">
            <v>-132</v>
          </cell>
          <cell r="AF161">
            <v>-223</v>
          </cell>
          <cell r="AG161">
            <v>-619</v>
          </cell>
          <cell r="AH161">
            <v>-120</v>
          </cell>
          <cell r="AI161">
            <v>-119</v>
          </cell>
          <cell r="AJ161">
            <v>-157</v>
          </cell>
          <cell r="AK161">
            <v>-205</v>
          </cell>
          <cell r="AL161">
            <v>-601</v>
          </cell>
          <cell r="AM161">
            <v>-209</v>
          </cell>
          <cell r="AN161">
            <v>-206</v>
          </cell>
          <cell r="AO161">
            <v>-168</v>
          </cell>
          <cell r="AP161">
            <v>-306</v>
          </cell>
          <cell r="AQ161">
            <v>-889</v>
          </cell>
          <cell r="AR161">
            <v>-195</v>
          </cell>
          <cell r="AS161">
            <v>-218</v>
          </cell>
          <cell r="AT161">
            <v>-229</v>
          </cell>
          <cell r="AZ161">
            <v>-490</v>
          </cell>
          <cell r="BA161">
            <v>-220</v>
          </cell>
          <cell r="BB161">
            <v>-198</v>
          </cell>
          <cell r="BC161">
            <v>-145</v>
          </cell>
          <cell r="BD161">
            <v>-190</v>
          </cell>
          <cell r="BE161">
            <v>-753</v>
          </cell>
          <cell r="BF161">
            <v>-82</v>
          </cell>
          <cell r="BG161">
            <v>-93</v>
          </cell>
          <cell r="BH161">
            <v>-96</v>
          </cell>
          <cell r="BI161">
            <v>-183</v>
          </cell>
          <cell r="BJ161">
            <v>-454</v>
          </cell>
          <cell r="BK161">
            <v>-96</v>
          </cell>
          <cell r="BL161">
            <v>-127</v>
          </cell>
          <cell r="BM161">
            <v>-135</v>
          </cell>
          <cell r="BN161">
            <v>-218</v>
          </cell>
          <cell r="BO161">
            <v>-576</v>
          </cell>
          <cell r="BP161">
            <v>-116</v>
          </cell>
          <cell r="BQ161">
            <v>-97</v>
          </cell>
          <cell r="BR161">
            <v>-133</v>
          </cell>
          <cell r="BS161">
            <v>-297</v>
          </cell>
          <cell r="BT161">
            <v>-643</v>
          </cell>
          <cell r="BU161">
            <v>-110</v>
          </cell>
          <cell r="BV161">
            <v>-148</v>
          </cell>
          <cell r="BW161">
            <v>-171</v>
          </cell>
          <cell r="BX161">
            <v>-300</v>
          </cell>
          <cell r="BY161">
            <v>-729</v>
          </cell>
          <cell r="BZ161">
            <v>-188</v>
          </cell>
          <cell r="CA161">
            <v>-101</v>
          </cell>
          <cell r="CB161">
            <v>-108</v>
          </cell>
          <cell r="CC161">
            <v>-130</v>
          </cell>
          <cell r="CD161">
            <v>-527</v>
          </cell>
          <cell r="CE161">
            <v>-101</v>
          </cell>
          <cell r="CF161">
            <v>-71</v>
          </cell>
          <cell r="CG161">
            <v>-91</v>
          </cell>
          <cell r="CH161">
            <v>-192</v>
          </cell>
          <cell r="CI161">
            <v>-455</v>
          </cell>
          <cell r="CJ161">
            <v>-83</v>
          </cell>
          <cell r="CK161">
            <v>-77</v>
          </cell>
          <cell r="CL161">
            <v>-107</v>
          </cell>
          <cell r="CM161">
            <v>-196</v>
          </cell>
          <cell r="CN161">
            <v>-463</v>
          </cell>
          <cell r="CO161">
            <v>-116</v>
          </cell>
          <cell r="CP161">
            <v>-82</v>
          </cell>
          <cell r="CQ161">
            <v>-100</v>
          </cell>
          <cell r="CR161">
            <v>-177</v>
          </cell>
          <cell r="CS161">
            <v>-475</v>
          </cell>
          <cell r="CT161">
            <v>-136</v>
          </cell>
          <cell r="CU161">
            <v>-115</v>
          </cell>
          <cell r="CV161">
            <v>-107</v>
          </cell>
          <cell r="CW161">
            <v>-125</v>
          </cell>
          <cell r="CX161">
            <v>-483</v>
          </cell>
          <cell r="CY161">
            <v>-115</v>
          </cell>
          <cell r="CZ161">
            <v>-115</v>
          </cell>
          <cell r="DA161">
            <v>-115</v>
          </cell>
          <cell r="DB161">
            <v>-115</v>
          </cell>
          <cell r="DC161">
            <v>-460</v>
          </cell>
          <cell r="DD161">
            <v>-115</v>
          </cell>
          <cell r="DE161">
            <v>-115</v>
          </cell>
          <cell r="DF161">
            <v>-115</v>
          </cell>
          <cell r="DG161">
            <v>-115</v>
          </cell>
          <cell r="DH161">
            <v>-460</v>
          </cell>
          <cell r="DI161">
            <v>-115</v>
          </cell>
          <cell r="DJ161">
            <v>-115</v>
          </cell>
          <cell r="DK161">
            <v>-115</v>
          </cell>
          <cell r="DL161">
            <v>-115</v>
          </cell>
          <cell r="DM161">
            <v>-460</v>
          </cell>
          <cell r="DN161">
            <v>-115</v>
          </cell>
          <cell r="DO161">
            <v>-115</v>
          </cell>
          <cell r="DP161">
            <v>-115</v>
          </cell>
          <cell r="DQ161">
            <v>-115</v>
          </cell>
          <cell r="DR161">
            <v>-460</v>
          </cell>
          <cell r="DW161" t="str">
            <v>mstag:capitalExpenditures</v>
          </cell>
          <cell r="DX161">
            <v>6</v>
          </cell>
          <cell r="DY161" t="str">
            <v>ISO4217:USD</v>
          </cell>
          <cell r="DZ161" t="b">
            <v>1</v>
          </cell>
        </row>
        <row r="162">
          <cell r="B162" t="str">
            <v>Hospital construction</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Z162">
            <v>0</v>
          </cell>
          <cell r="BA162">
            <v>0</v>
          </cell>
          <cell r="BB162">
            <v>0</v>
          </cell>
          <cell r="BC162">
            <v>0</v>
          </cell>
          <cell r="BD162">
            <v>-80</v>
          </cell>
          <cell r="BE162">
            <v>-80</v>
          </cell>
          <cell r="BF162">
            <v>-27</v>
          </cell>
          <cell r="BG162">
            <v>-38</v>
          </cell>
          <cell r="BH162">
            <v>-14</v>
          </cell>
          <cell r="BI162">
            <v>-5</v>
          </cell>
          <cell r="BJ162">
            <v>-84</v>
          </cell>
          <cell r="BK162">
            <v>0</v>
          </cell>
          <cell r="BL162">
            <v>0</v>
          </cell>
          <cell r="BM162">
            <v>0</v>
          </cell>
          <cell r="BN162">
            <v>0</v>
          </cell>
          <cell r="BO162">
            <v>0</v>
          </cell>
          <cell r="BP162">
            <v>0</v>
          </cell>
          <cell r="BQ162">
            <v>0</v>
          </cell>
          <cell r="BR162">
            <v>0</v>
          </cell>
          <cell r="BS162">
            <v>0</v>
          </cell>
          <cell r="BT162">
            <v>0</v>
          </cell>
          <cell r="BU162">
            <v>0</v>
          </cell>
          <cell r="BV162">
            <v>0</v>
          </cell>
          <cell r="BW162">
            <v>0</v>
          </cell>
          <cell r="BX162">
            <v>0</v>
          </cell>
          <cell r="BY162">
            <v>0</v>
          </cell>
          <cell r="BZ162">
            <v>0</v>
          </cell>
          <cell r="CA162">
            <v>0</v>
          </cell>
          <cell r="CB162">
            <v>0</v>
          </cell>
          <cell r="CC162">
            <v>0</v>
          </cell>
          <cell r="CD162">
            <v>0</v>
          </cell>
          <cell r="CE162">
            <v>0</v>
          </cell>
          <cell r="CF162">
            <v>0</v>
          </cell>
          <cell r="CG162">
            <v>0</v>
          </cell>
          <cell r="CH162">
            <v>0</v>
          </cell>
          <cell r="CI162">
            <v>0</v>
          </cell>
          <cell r="CJ162">
            <v>0</v>
          </cell>
          <cell r="CK162">
            <v>0</v>
          </cell>
          <cell r="CL162">
            <v>0</v>
          </cell>
          <cell r="CM162">
            <v>0</v>
          </cell>
          <cell r="CN162">
            <v>0</v>
          </cell>
          <cell r="CO162">
            <v>0</v>
          </cell>
          <cell r="CP162">
            <v>0</v>
          </cell>
          <cell r="CQ162">
            <v>0</v>
          </cell>
          <cell r="CR162">
            <v>0</v>
          </cell>
          <cell r="CS162">
            <v>0</v>
          </cell>
          <cell r="CT162">
            <v>0</v>
          </cell>
          <cell r="CU162">
            <v>0</v>
          </cell>
          <cell r="CV162">
            <v>0</v>
          </cell>
          <cell r="CW162">
            <v>-20</v>
          </cell>
          <cell r="CX162">
            <v>-20</v>
          </cell>
          <cell r="CY162">
            <v>-15</v>
          </cell>
          <cell r="CZ162">
            <v>-15</v>
          </cell>
          <cell r="DA162">
            <v>-15</v>
          </cell>
          <cell r="DB162">
            <v>-20</v>
          </cell>
          <cell r="DC162">
            <v>-65</v>
          </cell>
          <cell r="DD162">
            <v>-15</v>
          </cell>
          <cell r="DE162">
            <v>-15</v>
          </cell>
          <cell r="DF162">
            <v>-15</v>
          </cell>
          <cell r="DG162">
            <v>-15</v>
          </cell>
          <cell r="DH162">
            <v>-60</v>
          </cell>
          <cell r="DI162">
            <v>-15</v>
          </cell>
          <cell r="DJ162">
            <v>-15</v>
          </cell>
          <cell r="DK162">
            <v>-15</v>
          </cell>
          <cell r="DL162">
            <v>-15</v>
          </cell>
          <cell r="DM162">
            <v>-60</v>
          </cell>
          <cell r="DN162">
            <v>-15</v>
          </cell>
          <cell r="DO162">
            <v>-15</v>
          </cell>
          <cell r="DP162">
            <v>-15</v>
          </cell>
          <cell r="DQ162">
            <v>-15</v>
          </cell>
          <cell r="DR162">
            <v>-60</v>
          </cell>
          <cell r="DW162" t="str">
            <v>mstag:capitalExpenditures</v>
          </cell>
          <cell r="DX162">
            <v>6</v>
          </cell>
          <cell r="DY162" t="str">
            <v>ISO4217:USD</v>
          </cell>
          <cell r="DZ162" t="b">
            <v>1</v>
          </cell>
        </row>
        <row r="163">
          <cell r="B163" t="str">
            <v>Capital expenditures - discontinuing ops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Z163">
            <v>0</v>
          </cell>
          <cell r="BA163">
            <v>0</v>
          </cell>
          <cell r="BB163">
            <v>0</v>
          </cell>
          <cell r="BC163">
            <v>0</v>
          </cell>
          <cell r="BD163">
            <v>0</v>
          </cell>
          <cell r="BE163">
            <v>0</v>
          </cell>
          <cell r="BF163">
            <v>-5</v>
          </cell>
          <cell r="BG163">
            <v>-5</v>
          </cell>
          <cell r="BH163">
            <v>-6</v>
          </cell>
          <cell r="BI163">
            <v>-4</v>
          </cell>
          <cell r="BJ163">
            <v>-20</v>
          </cell>
          <cell r="BK163">
            <v>0</v>
          </cell>
          <cell r="BL163">
            <v>-1</v>
          </cell>
          <cell r="BM163">
            <v>-1</v>
          </cell>
          <cell r="BN163">
            <v>0</v>
          </cell>
          <cell r="BO163">
            <v>-2</v>
          </cell>
          <cell r="BP163">
            <v>-1</v>
          </cell>
          <cell r="BQ163">
            <v>-29</v>
          </cell>
          <cell r="BR163">
            <v>-15</v>
          </cell>
          <cell r="BS163">
            <v>-5</v>
          </cell>
          <cell r="BT163">
            <v>-50</v>
          </cell>
          <cell r="BU163">
            <v>-1</v>
          </cell>
          <cell r="BV163">
            <v>-2</v>
          </cell>
          <cell r="BW163">
            <v>-8</v>
          </cell>
          <cell r="BX163">
            <v>-3</v>
          </cell>
          <cell r="BY163">
            <v>-14</v>
          </cell>
          <cell r="BZ163">
            <v>-1</v>
          </cell>
          <cell r="CA163">
            <v>-9</v>
          </cell>
          <cell r="CB163">
            <v>-6</v>
          </cell>
          <cell r="CC163">
            <v>-4</v>
          </cell>
          <cell r="CD163">
            <v>-20</v>
          </cell>
          <cell r="CE163">
            <v>-1</v>
          </cell>
          <cell r="CF163">
            <v>0</v>
          </cell>
          <cell r="CG163">
            <v>0</v>
          </cell>
          <cell r="CH163">
            <v>0</v>
          </cell>
          <cell r="CI163">
            <v>-1</v>
          </cell>
          <cell r="CJ163">
            <v>0</v>
          </cell>
          <cell r="CK163">
            <v>0</v>
          </cell>
          <cell r="CL163">
            <v>-13</v>
          </cell>
          <cell r="CM163">
            <v>0</v>
          </cell>
          <cell r="CN163">
            <v>-13</v>
          </cell>
          <cell r="CO163">
            <v>0</v>
          </cell>
          <cell r="CP163">
            <v>0</v>
          </cell>
          <cell r="CQ163">
            <v>0</v>
          </cell>
          <cell r="CR163">
            <v>0</v>
          </cell>
          <cell r="CS163">
            <v>0</v>
          </cell>
          <cell r="CT163">
            <v>0</v>
          </cell>
          <cell r="CU163">
            <v>-1</v>
          </cell>
          <cell r="CV163">
            <v>-1</v>
          </cell>
          <cell r="CX163">
            <v>-2</v>
          </cell>
          <cell r="DC163">
            <v>0</v>
          </cell>
          <cell r="DH163">
            <v>0</v>
          </cell>
          <cell r="DM163">
            <v>0</v>
          </cell>
          <cell r="DR163">
            <v>0</v>
          </cell>
          <cell r="DW163" t="str">
            <v>mstag:capitalExpenditures</v>
          </cell>
          <cell r="DX163">
            <v>6</v>
          </cell>
          <cell r="DY163" t="str">
            <v>ISO4217:USD</v>
          </cell>
          <cell r="DZ163" t="b">
            <v>1</v>
          </cell>
        </row>
        <row r="164">
          <cell r="B164" t="str">
            <v>Purchases of businesses or joint venture interests</v>
          </cell>
          <cell r="D164">
            <v>-9.02</v>
          </cell>
          <cell r="E164">
            <v>1.9999999999999574E-2</v>
          </cell>
          <cell r="F164">
            <v>-7.1000000000000014</v>
          </cell>
          <cell r="G164">
            <v>-1412.9</v>
          </cell>
          <cell r="H164">
            <v>-1429</v>
          </cell>
          <cell r="I164">
            <v>-224.3</v>
          </cell>
          <cell r="J164">
            <v>-143</v>
          </cell>
          <cell r="K164">
            <v>-2.5999999999999659</v>
          </cell>
          <cell r="L164">
            <v>-40.100000000000023</v>
          </cell>
          <cell r="M164">
            <v>-410</v>
          </cell>
          <cell r="N164">
            <v>-79.2</v>
          </cell>
          <cell r="O164">
            <v>-80.499999999999986</v>
          </cell>
          <cell r="P164">
            <v>-516.79999999999995</v>
          </cell>
          <cell r="Q164">
            <v>-110.5</v>
          </cell>
          <cell r="R164">
            <v>-787</v>
          </cell>
          <cell r="S164">
            <v>-126</v>
          </cell>
          <cell r="T164">
            <v>-255</v>
          </cell>
          <cell r="U164">
            <v>-298</v>
          </cell>
          <cell r="V164">
            <v>0</v>
          </cell>
          <cell r="W164">
            <v>-679</v>
          </cell>
          <cell r="X164">
            <v>-84</v>
          </cell>
          <cell r="Y164">
            <v>-362</v>
          </cell>
          <cell r="Z164">
            <v>-24</v>
          </cell>
          <cell r="AA164">
            <v>-176</v>
          </cell>
          <cell r="AB164">
            <v>-646</v>
          </cell>
          <cell r="AC164">
            <v>-24</v>
          </cell>
          <cell r="AD164">
            <v>-14</v>
          </cell>
          <cell r="AE164">
            <v>2</v>
          </cell>
          <cell r="AF164">
            <v>-2</v>
          </cell>
          <cell r="AG164">
            <v>-38</v>
          </cell>
          <cell r="AH164">
            <v>-9</v>
          </cell>
          <cell r="AI164">
            <v>-4</v>
          </cell>
          <cell r="AJ164">
            <v>0</v>
          </cell>
          <cell r="AK164">
            <v>-16</v>
          </cell>
          <cell r="AL164">
            <v>-29</v>
          </cell>
          <cell r="AM164">
            <v>-248</v>
          </cell>
          <cell r="AN164">
            <v>-25</v>
          </cell>
          <cell r="AO164">
            <v>-51</v>
          </cell>
          <cell r="AP164">
            <v>0</v>
          </cell>
          <cell r="AQ164">
            <v>-324</v>
          </cell>
          <cell r="AR164">
            <v>0</v>
          </cell>
          <cell r="AS164">
            <v>0</v>
          </cell>
          <cell r="AT164">
            <v>-27</v>
          </cell>
          <cell r="AZ164">
            <v>-27</v>
          </cell>
          <cell r="BA164">
            <v>0</v>
          </cell>
          <cell r="BB164">
            <v>0</v>
          </cell>
          <cell r="BC164">
            <v>0</v>
          </cell>
          <cell r="BD164">
            <v>-39</v>
          </cell>
          <cell r="BE164">
            <v>-39</v>
          </cell>
          <cell r="BF164">
            <v>0</v>
          </cell>
          <cell r="BG164">
            <v>0</v>
          </cell>
          <cell r="BH164">
            <v>0</v>
          </cell>
          <cell r="BI164">
            <v>0</v>
          </cell>
          <cell r="BJ164">
            <v>0</v>
          </cell>
          <cell r="BK164">
            <v>0</v>
          </cell>
          <cell r="BL164">
            <v>0</v>
          </cell>
          <cell r="BM164">
            <v>0</v>
          </cell>
          <cell r="BN164">
            <v>0</v>
          </cell>
          <cell r="BO164">
            <v>0</v>
          </cell>
          <cell r="BP164">
            <v>0</v>
          </cell>
          <cell r="BQ164">
            <v>0</v>
          </cell>
          <cell r="BR164">
            <v>-28</v>
          </cell>
          <cell r="BS164">
            <v>0</v>
          </cell>
          <cell r="BT164">
            <v>-28</v>
          </cell>
          <cell r="BU164">
            <v>0</v>
          </cell>
          <cell r="BV164">
            <v>-36</v>
          </cell>
          <cell r="BW164">
            <v>0</v>
          </cell>
          <cell r="BX164">
            <v>0</v>
          </cell>
          <cell r="BY164">
            <v>-36</v>
          </cell>
          <cell r="BZ164">
            <v>0</v>
          </cell>
          <cell r="CA164">
            <v>-3</v>
          </cell>
          <cell r="CB164">
            <v>-89</v>
          </cell>
          <cell r="CC164">
            <v>0</v>
          </cell>
          <cell r="CD164">
            <v>-92</v>
          </cell>
          <cell r="CE164">
            <v>0</v>
          </cell>
          <cell r="CF164">
            <v>0</v>
          </cell>
          <cell r="CG164">
            <v>0</v>
          </cell>
          <cell r="CH164">
            <v>0</v>
          </cell>
          <cell r="CI164">
            <v>0</v>
          </cell>
          <cell r="CJ164">
            <v>0</v>
          </cell>
          <cell r="CK164">
            <v>-2</v>
          </cell>
          <cell r="CL164">
            <v>-42</v>
          </cell>
          <cell r="CM164">
            <v>-21</v>
          </cell>
          <cell r="CN164">
            <v>-65</v>
          </cell>
          <cell r="CO164">
            <v>-18</v>
          </cell>
          <cell r="CP164">
            <v>-24</v>
          </cell>
          <cell r="CQ164">
            <v>-14</v>
          </cell>
          <cell r="CR164">
            <v>-28</v>
          </cell>
          <cell r="CS164">
            <v>-84</v>
          </cell>
          <cell r="CT164">
            <v>-3</v>
          </cell>
          <cell r="CU164">
            <v>-10</v>
          </cell>
          <cell r="CV164">
            <v>-25</v>
          </cell>
          <cell r="CW164">
            <v>0</v>
          </cell>
          <cell r="CX164">
            <v>-38</v>
          </cell>
          <cell r="CY164">
            <v>-150</v>
          </cell>
          <cell r="CZ164">
            <v>0</v>
          </cell>
          <cell r="DA164">
            <v>0</v>
          </cell>
          <cell r="DB164">
            <v>0</v>
          </cell>
          <cell r="DC164">
            <v>-150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W164" t="str">
            <v>mstag:netDisposalsAcquisitions</v>
          </cell>
          <cell r="DX164">
            <v>6</v>
          </cell>
          <cell r="DY164" t="str">
            <v>ISO4217:USD</v>
          </cell>
          <cell r="DZ164" t="b">
            <v>0</v>
          </cell>
        </row>
        <row r="165">
          <cell r="B165" t="str">
            <v>Proceeds from sale of facilites &amp; assets - discontinued ops</v>
          </cell>
          <cell r="D165">
            <v>149.958</v>
          </cell>
          <cell r="E165">
            <v>4.4420000000000073</v>
          </cell>
          <cell r="F165">
            <v>4.6999999999999886</v>
          </cell>
          <cell r="G165">
            <v>12.900000000000006</v>
          </cell>
          <cell r="H165">
            <v>172</v>
          </cell>
          <cell r="I165">
            <v>231.3</v>
          </cell>
          <cell r="J165">
            <v>171.5</v>
          </cell>
          <cell r="K165">
            <v>21.199999999999989</v>
          </cell>
          <cell r="L165">
            <v>124</v>
          </cell>
          <cell r="M165">
            <v>548</v>
          </cell>
          <cell r="N165">
            <v>40.299999999999997</v>
          </cell>
          <cell r="O165">
            <v>0</v>
          </cell>
          <cell r="P165">
            <v>9.4000000000000057</v>
          </cell>
          <cell r="Q165">
            <v>0.29999999999999716</v>
          </cell>
          <cell r="R165">
            <v>50</v>
          </cell>
          <cell r="S165">
            <v>38</v>
          </cell>
          <cell r="T165">
            <v>19</v>
          </cell>
          <cell r="U165">
            <v>105</v>
          </cell>
          <cell r="V165">
            <v>8</v>
          </cell>
          <cell r="W165">
            <v>170</v>
          </cell>
          <cell r="X165">
            <v>0</v>
          </cell>
          <cell r="Y165">
            <v>4</v>
          </cell>
          <cell r="Z165">
            <v>15</v>
          </cell>
          <cell r="AA165">
            <v>53</v>
          </cell>
          <cell r="AB165">
            <v>72</v>
          </cell>
          <cell r="AC165">
            <v>34</v>
          </cell>
          <cell r="AD165">
            <v>609</v>
          </cell>
          <cell r="AE165">
            <v>11</v>
          </cell>
          <cell r="AF165">
            <v>110</v>
          </cell>
          <cell r="AG165">
            <v>764</v>
          </cell>
          <cell r="AH165">
            <v>23</v>
          </cell>
          <cell r="AI165">
            <v>6</v>
          </cell>
          <cell r="AJ165">
            <v>10</v>
          </cell>
          <cell r="AK165">
            <v>93</v>
          </cell>
          <cell r="AL165">
            <v>132</v>
          </cell>
          <cell r="AM165">
            <v>1</v>
          </cell>
          <cell r="AN165">
            <v>-1</v>
          </cell>
          <cell r="AO165">
            <v>15</v>
          </cell>
          <cell r="AP165">
            <v>13</v>
          </cell>
          <cell r="AQ165">
            <v>28</v>
          </cell>
          <cell r="AR165">
            <v>5</v>
          </cell>
          <cell r="AS165">
            <v>-5</v>
          </cell>
          <cell r="AT165">
            <v>0</v>
          </cell>
          <cell r="AZ165">
            <v>6</v>
          </cell>
          <cell r="BA165">
            <v>0</v>
          </cell>
          <cell r="BB165">
            <v>0</v>
          </cell>
          <cell r="BC165">
            <v>0</v>
          </cell>
          <cell r="BD165">
            <v>730</v>
          </cell>
          <cell r="BE165">
            <v>730</v>
          </cell>
          <cell r="BF165">
            <v>63</v>
          </cell>
          <cell r="BG165">
            <v>127</v>
          </cell>
          <cell r="BH165">
            <v>105</v>
          </cell>
          <cell r="BI165">
            <v>136</v>
          </cell>
          <cell r="BJ165">
            <v>431</v>
          </cell>
          <cell r="BK165">
            <v>71</v>
          </cell>
          <cell r="BL165">
            <v>46</v>
          </cell>
          <cell r="BM165">
            <v>36</v>
          </cell>
          <cell r="BN165">
            <v>20</v>
          </cell>
          <cell r="BO165">
            <v>173</v>
          </cell>
          <cell r="BP165">
            <v>26</v>
          </cell>
          <cell r="BQ165">
            <v>4</v>
          </cell>
          <cell r="BR165">
            <v>135</v>
          </cell>
          <cell r="BS165">
            <v>79</v>
          </cell>
          <cell r="BT165">
            <v>244</v>
          </cell>
          <cell r="BU165">
            <v>38</v>
          </cell>
          <cell r="BV165">
            <v>9</v>
          </cell>
          <cell r="BW165">
            <v>36</v>
          </cell>
          <cell r="BX165">
            <v>8</v>
          </cell>
          <cell r="BY165">
            <v>91</v>
          </cell>
          <cell r="BZ165">
            <v>23</v>
          </cell>
          <cell r="CA165">
            <v>60</v>
          </cell>
          <cell r="CB165">
            <v>77</v>
          </cell>
          <cell r="CC165">
            <v>0</v>
          </cell>
          <cell r="CD165">
            <v>160</v>
          </cell>
          <cell r="CE165">
            <v>251</v>
          </cell>
          <cell r="CF165">
            <v>-30</v>
          </cell>
          <cell r="CG165">
            <v>0</v>
          </cell>
          <cell r="CH165">
            <v>0</v>
          </cell>
          <cell r="CI165">
            <v>221</v>
          </cell>
          <cell r="CJ165">
            <v>0</v>
          </cell>
          <cell r="CK165">
            <v>18</v>
          </cell>
          <cell r="CL165">
            <v>1</v>
          </cell>
          <cell r="CM165">
            <v>0</v>
          </cell>
          <cell r="CN165">
            <v>19</v>
          </cell>
          <cell r="CO165">
            <v>0</v>
          </cell>
          <cell r="CP165">
            <v>0</v>
          </cell>
          <cell r="CQ165">
            <v>0</v>
          </cell>
          <cell r="CR165">
            <v>0</v>
          </cell>
          <cell r="CS165">
            <v>0</v>
          </cell>
          <cell r="CT165">
            <v>0</v>
          </cell>
          <cell r="CU165">
            <v>10</v>
          </cell>
          <cell r="CV165">
            <v>35</v>
          </cell>
          <cell r="CX165">
            <v>45</v>
          </cell>
          <cell r="DC165">
            <v>0</v>
          </cell>
          <cell r="DH165">
            <v>0</v>
          </cell>
          <cell r="DM165">
            <v>0</v>
          </cell>
          <cell r="DR165">
            <v>0</v>
          </cell>
          <cell r="DW165" t="str">
            <v>mstag:proceedsFromSaleOfppeAndIntangibleAssetsOnetime</v>
          </cell>
          <cell r="DX165">
            <v>6</v>
          </cell>
          <cell r="DY165" t="str">
            <v>ISO4217:USD</v>
          </cell>
          <cell r="DZ165" t="b">
            <v>0</v>
          </cell>
        </row>
        <row r="166">
          <cell r="B166" t="str">
            <v>Proceeds from sales of marketable securities</v>
          </cell>
          <cell r="D166">
            <v>7.6559999999999997</v>
          </cell>
          <cell r="E166">
            <v>1.144000000000001</v>
          </cell>
          <cell r="F166">
            <v>-0.20000000000000107</v>
          </cell>
          <cell r="G166">
            <v>-8.6</v>
          </cell>
          <cell r="H166">
            <v>0</v>
          </cell>
          <cell r="I166">
            <v>0</v>
          </cell>
          <cell r="J166">
            <v>0</v>
          </cell>
          <cell r="K166">
            <v>0</v>
          </cell>
          <cell r="L166">
            <v>0</v>
          </cell>
          <cell r="M166">
            <v>0</v>
          </cell>
          <cell r="N166">
            <v>67.099999999999994</v>
          </cell>
          <cell r="O166">
            <v>0</v>
          </cell>
          <cell r="P166">
            <v>3.1000000000000085</v>
          </cell>
          <cell r="Q166">
            <v>-70.2</v>
          </cell>
          <cell r="R166">
            <v>0</v>
          </cell>
          <cell r="S166">
            <v>13</v>
          </cell>
          <cell r="T166">
            <v>7</v>
          </cell>
          <cell r="U166">
            <v>5</v>
          </cell>
          <cell r="V166">
            <v>-25</v>
          </cell>
          <cell r="W166">
            <v>0</v>
          </cell>
          <cell r="X166">
            <v>0</v>
          </cell>
          <cell r="Y166">
            <v>0</v>
          </cell>
          <cell r="Z166">
            <v>7</v>
          </cell>
          <cell r="AA166">
            <v>-7</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-43</v>
          </cell>
          <cell r="BO166">
            <v>-43</v>
          </cell>
          <cell r="BP166">
            <v>-3</v>
          </cell>
          <cell r="BQ166">
            <v>-3</v>
          </cell>
          <cell r="BR166">
            <v>-12</v>
          </cell>
          <cell r="BS166">
            <v>-25</v>
          </cell>
          <cell r="BT166">
            <v>-43</v>
          </cell>
          <cell r="BU166">
            <v>26</v>
          </cell>
          <cell r="BV166">
            <v>-13</v>
          </cell>
          <cell r="BW166">
            <v>-5</v>
          </cell>
          <cell r="BX166">
            <v>46</v>
          </cell>
          <cell r="BY166">
            <v>54</v>
          </cell>
          <cell r="BZ166">
            <v>3</v>
          </cell>
          <cell r="CA166">
            <v>3</v>
          </cell>
          <cell r="CB166">
            <v>169</v>
          </cell>
          <cell r="CC166">
            <v>23</v>
          </cell>
          <cell r="CD166">
            <v>198</v>
          </cell>
          <cell r="CE166">
            <v>18</v>
          </cell>
          <cell r="CF166">
            <v>74</v>
          </cell>
          <cell r="CG166">
            <v>-5</v>
          </cell>
          <cell r="CH166">
            <v>12</v>
          </cell>
          <cell r="CI166">
            <v>99</v>
          </cell>
          <cell r="CJ166">
            <v>12</v>
          </cell>
          <cell r="CK166">
            <v>4</v>
          </cell>
          <cell r="CL166">
            <v>15</v>
          </cell>
          <cell r="CM166">
            <v>53</v>
          </cell>
          <cell r="CN166">
            <v>84</v>
          </cell>
          <cell r="CO166">
            <v>5</v>
          </cell>
          <cell r="CP166">
            <v>5</v>
          </cell>
          <cell r="CQ166">
            <v>21</v>
          </cell>
          <cell r="CR166">
            <v>28</v>
          </cell>
          <cell r="CS166">
            <v>59</v>
          </cell>
          <cell r="CT166">
            <v>3</v>
          </cell>
          <cell r="CU166">
            <v>2</v>
          </cell>
          <cell r="CV166">
            <v>4</v>
          </cell>
          <cell r="CW166">
            <v>0</v>
          </cell>
          <cell r="CX166">
            <v>9</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W166" t="str">
            <v>mstag:proceedsFromSaleOfFundsUsedTopurchaseSecuritiesAndOtherInvestments</v>
          </cell>
          <cell r="DX166">
            <v>6</v>
          </cell>
          <cell r="DY166" t="str">
            <v>ISO4217:USD</v>
          </cell>
          <cell r="DZ166" t="b">
            <v>0</v>
          </cell>
        </row>
        <row r="167">
          <cell r="B167" t="str">
            <v>Purchases of marketable securities</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Z167">
            <v>0</v>
          </cell>
          <cell r="BA167">
            <v>-105</v>
          </cell>
          <cell r="BB167">
            <v>0</v>
          </cell>
          <cell r="BC167">
            <v>-2</v>
          </cell>
          <cell r="BD167">
            <v>0</v>
          </cell>
          <cell r="BE167">
            <v>-107</v>
          </cell>
          <cell r="BF167">
            <v>-2</v>
          </cell>
          <cell r="BG167">
            <v>0</v>
          </cell>
          <cell r="BH167">
            <v>-1</v>
          </cell>
          <cell r="BI167">
            <v>0</v>
          </cell>
          <cell r="BJ167">
            <v>-3</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W167" t="str">
            <v>mstag:proceedsFromSaleOfFundsUsedTopurchaseSecuritiesAndOtherInvestments</v>
          </cell>
          <cell r="DX167">
            <v>6</v>
          </cell>
          <cell r="DY167" t="str">
            <v>ISO4217:USD</v>
          </cell>
          <cell r="DZ167" t="b">
            <v>0</v>
          </cell>
        </row>
        <row r="168">
          <cell r="B168" t="str">
            <v>Other items, net</v>
          </cell>
          <cell r="D168">
            <v>-11.606999999999999</v>
          </cell>
          <cell r="E168">
            <v>-5.2930000000000028</v>
          </cell>
          <cell r="F168">
            <v>-31.8</v>
          </cell>
          <cell r="G168">
            <v>56.7</v>
          </cell>
          <cell r="H168">
            <v>8</v>
          </cell>
          <cell r="I168">
            <v>-8.4</v>
          </cell>
          <cell r="J168">
            <v>-1.5</v>
          </cell>
          <cell r="K168">
            <v>17.7</v>
          </cell>
          <cell r="L168">
            <v>-43.8</v>
          </cell>
          <cell r="M168">
            <v>-36</v>
          </cell>
          <cell r="N168">
            <v>-0.5</v>
          </cell>
          <cell r="O168">
            <v>-0.30000000000000004</v>
          </cell>
          <cell r="P168">
            <v>-14.299999999999999</v>
          </cell>
          <cell r="Q168">
            <v>33.1</v>
          </cell>
          <cell r="R168">
            <v>18</v>
          </cell>
          <cell r="S168">
            <v>-37</v>
          </cell>
          <cell r="T168">
            <v>-6</v>
          </cell>
          <cell r="U168">
            <v>-34</v>
          </cell>
          <cell r="V168">
            <v>37</v>
          </cell>
          <cell r="W168">
            <v>-40</v>
          </cell>
          <cell r="X168">
            <v>-27</v>
          </cell>
          <cell r="Y168">
            <v>-37</v>
          </cell>
          <cell r="Z168">
            <v>-44</v>
          </cell>
          <cell r="AA168">
            <v>127</v>
          </cell>
          <cell r="AB168">
            <v>19</v>
          </cell>
          <cell r="AC168">
            <v>-20</v>
          </cell>
          <cell r="AD168">
            <v>-14</v>
          </cell>
          <cell r="AE168">
            <v>-60</v>
          </cell>
          <cell r="AF168">
            <v>-49</v>
          </cell>
          <cell r="AG168">
            <v>-143</v>
          </cell>
          <cell r="AH168">
            <v>-5</v>
          </cell>
          <cell r="AI168">
            <v>-42</v>
          </cell>
          <cell r="AJ168">
            <v>10</v>
          </cell>
          <cell r="AK168">
            <v>-39</v>
          </cell>
          <cell r="AL168">
            <v>-76</v>
          </cell>
          <cell r="AM168">
            <v>-52</v>
          </cell>
          <cell r="AN168">
            <v>25</v>
          </cell>
          <cell r="AO168">
            <v>-15</v>
          </cell>
          <cell r="AP168">
            <v>0</v>
          </cell>
          <cell r="AQ168">
            <v>-42</v>
          </cell>
          <cell r="AR168">
            <v>21</v>
          </cell>
          <cell r="AS168">
            <v>14</v>
          </cell>
          <cell r="AT168">
            <v>-24</v>
          </cell>
          <cell r="AZ168">
            <v>122</v>
          </cell>
          <cell r="BA168">
            <v>-8</v>
          </cell>
          <cell r="BB168">
            <v>36</v>
          </cell>
          <cell r="BC168">
            <v>10</v>
          </cell>
          <cell r="BD168">
            <v>-122</v>
          </cell>
          <cell r="BE168">
            <v>-84</v>
          </cell>
          <cell r="BF168">
            <v>-3</v>
          </cell>
          <cell r="BG168">
            <v>58</v>
          </cell>
          <cell r="BH168">
            <v>18</v>
          </cell>
          <cell r="BI168">
            <v>45</v>
          </cell>
          <cell r="BJ168">
            <v>118</v>
          </cell>
          <cell r="BK168">
            <v>3</v>
          </cell>
          <cell r="BL168">
            <v>-6</v>
          </cell>
          <cell r="BM168">
            <v>3</v>
          </cell>
          <cell r="BN168">
            <v>56</v>
          </cell>
          <cell r="BO168">
            <v>56</v>
          </cell>
          <cell r="BP168">
            <v>16</v>
          </cell>
          <cell r="BQ168">
            <v>37</v>
          </cell>
          <cell r="BR168">
            <v>97</v>
          </cell>
          <cell r="BS168">
            <v>-9</v>
          </cell>
          <cell r="BT168">
            <v>141</v>
          </cell>
          <cell r="BU168">
            <v>0</v>
          </cell>
          <cell r="BV168">
            <v>-4</v>
          </cell>
          <cell r="BW168">
            <v>66</v>
          </cell>
          <cell r="BX168">
            <v>52</v>
          </cell>
          <cell r="BY168">
            <v>114</v>
          </cell>
          <cell r="BZ168">
            <v>2</v>
          </cell>
          <cell r="CA168">
            <v>0</v>
          </cell>
          <cell r="CB168">
            <v>-35</v>
          </cell>
          <cell r="CC168">
            <v>40</v>
          </cell>
          <cell r="CD168">
            <v>7</v>
          </cell>
          <cell r="CE168">
            <v>7</v>
          </cell>
          <cell r="CF168">
            <v>3</v>
          </cell>
          <cell r="CG168">
            <v>1</v>
          </cell>
          <cell r="CH168">
            <v>0</v>
          </cell>
          <cell r="CI168">
            <v>11</v>
          </cell>
          <cell r="CJ168">
            <v>3</v>
          </cell>
          <cell r="CK168">
            <v>-1</v>
          </cell>
          <cell r="CL168">
            <v>1</v>
          </cell>
          <cell r="CM168">
            <v>15</v>
          </cell>
          <cell r="CN168">
            <v>18</v>
          </cell>
          <cell r="CO168">
            <v>0</v>
          </cell>
          <cell r="CP168">
            <v>-1</v>
          </cell>
          <cell r="CQ168">
            <v>0</v>
          </cell>
          <cell r="CR168">
            <v>-2</v>
          </cell>
          <cell r="CS168">
            <v>-3</v>
          </cell>
          <cell r="CT168">
            <v>0</v>
          </cell>
          <cell r="CU168">
            <v>2</v>
          </cell>
          <cell r="CV168">
            <v>-4</v>
          </cell>
          <cell r="CW168">
            <v>0</v>
          </cell>
          <cell r="CX168">
            <v>-2</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W168" t="str">
            <v>mstag:netDecreaseInInvestmentsNonOperating</v>
          </cell>
          <cell r="DX168">
            <v>6</v>
          </cell>
          <cell r="DY168" t="str">
            <v>ISO4217:USD</v>
          </cell>
          <cell r="DZ168" t="b">
            <v>0</v>
          </cell>
        </row>
        <row r="169">
          <cell r="B169" t="str">
            <v>Cash Flow from Investing</v>
          </cell>
          <cell r="D169">
            <v>108.81100000000001</v>
          </cell>
          <cell r="E169">
            <v>-31.110999999999997</v>
          </cell>
          <cell r="F169">
            <v>-75.300000000000011</v>
          </cell>
          <cell r="G169">
            <v>-1515.3999999999999</v>
          </cell>
          <cell r="H169">
            <v>-1513</v>
          </cell>
          <cell r="I169">
            <v>-96.499999999999972</v>
          </cell>
          <cell r="J169">
            <v>-38.400000000000006</v>
          </cell>
          <cell r="K169">
            <v>-38.499999999999986</v>
          </cell>
          <cell r="L169">
            <v>-94.600000000000009</v>
          </cell>
          <cell r="M169">
            <v>-268</v>
          </cell>
          <cell r="N169">
            <v>-15.700000000000003</v>
          </cell>
          <cell r="O169">
            <v>-132.80000000000001</v>
          </cell>
          <cell r="P169">
            <v>-684.59999999999991</v>
          </cell>
          <cell r="Q169">
            <v>-291.89999999999998</v>
          </cell>
          <cell r="R169">
            <v>-1125</v>
          </cell>
          <cell r="S169">
            <v>-215</v>
          </cell>
          <cell r="T169">
            <v>-347</v>
          </cell>
          <cell r="U169">
            <v>-378</v>
          </cell>
          <cell r="V169">
            <v>-143</v>
          </cell>
          <cell r="W169">
            <v>-1083</v>
          </cell>
          <cell r="X169">
            <v>-218</v>
          </cell>
          <cell r="Y169">
            <v>-529</v>
          </cell>
          <cell r="Z169">
            <v>-206</v>
          </cell>
          <cell r="AA169">
            <v>-194</v>
          </cell>
          <cell r="AB169">
            <v>-1147</v>
          </cell>
          <cell r="AC169">
            <v>-148</v>
          </cell>
          <cell r="AD169">
            <v>455</v>
          </cell>
          <cell r="AE169">
            <v>-179</v>
          </cell>
          <cell r="AF169">
            <v>-164</v>
          </cell>
          <cell r="AG169">
            <v>-36</v>
          </cell>
          <cell r="AH169">
            <v>-111</v>
          </cell>
          <cell r="AI169">
            <v>-159</v>
          </cell>
          <cell r="AJ169">
            <v>-137</v>
          </cell>
          <cell r="AK169">
            <v>-167</v>
          </cell>
          <cell r="AL169">
            <v>-574</v>
          </cell>
          <cell r="AM169">
            <v>-508</v>
          </cell>
          <cell r="AN169">
            <v>-207</v>
          </cell>
          <cell r="AO169">
            <v>-219</v>
          </cell>
          <cell r="AP169">
            <v>-293</v>
          </cell>
          <cell r="AQ169">
            <v>-1227</v>
          </cell>
          <cell r="AR169">
            <v>-169</v>
          </cell>
          <cell r="AS169">
            <v>-209</v>
          </cell>
          <cell r="AT169">
            <v>-280</v>
          </cell>
          <cell r="AZ169">
            <v>-389</v>
          </cell>
          <cell r="BA169">
            <v>-333</v>
          </cell>
          <cell r="BB169">
            <v>-162</v>
          </cell>
          <cell r="BC169">
            <v>-137</v>
          </cell>
          <cell r="BD169">
            <v>299</v>
          </cell>
          <cell r="BE169">
            <v>-333</v>
          </cell>
          <cell r="BF169">
            <v>-56</v>
          </cell>
          <cell r="BG169">
            <v>49</v>
          </cell>
          <cell r="BH169">
            <v>6</v>
          </cell>
          <cell r="BI169">
            <v>-11</v>
          </cell>
          <cell r="BJ169">
            <v>-12</v>
          </cell>
          <cell r="BK169">
            <v>-22</v>
          </cell>
          <cell r="BL169">
            <v>-88</v>
          </cell>
          <cell r="BM169">
            <v>-97</v>
          </cell>
          <cell r="BN169">
            <v>-185</v>
          </cell>
          <cell r="BO169">
            <v>-392</v>
          </cell>
          <cell r="BP169">
            <v>-78</v>
          </cell>
          <cell r="BQ169">
            <v>-88</v>
          </cell>
          <cell r="BR169">
            <v>44</v>
          </cell>
          <cell r="BS169">
            <v>-257</v>
          </cell>
          <cell r="BT169">
            <v>-379</v>
          </cell>
          <cell r="BU169">
            <v>-47</v>
          </cell>
          <cell r="BV169">
            <v>-194</v>
          </cell>
          <cell r="BW169">
            <v>-82</v>
          </cell>
          <cell r="BX169">
            <v>-197</v>
          </cell>
          <cell r="BY169">
            <v>-520</v>
          </cell>
          <cell r="BZ169">
            <v>-161</v>
          </cell>
          <cell r="CA169">
            <v>-50</v>
          </cell>
          <cell r="CB169">
            <v>8</v>
          </cell>
          <cell r="CC169">
            <v>-71</v>
          </cell>
          <cell r="CD169">
            <v>-274</v>
          </cell>
          <cell r="CE169">
            <v>174</v>
          </cell>
          <cell r="CF169">
            <v>-24</v>
          </cell>
          <cell r="CG169">
            <v>-95</v>
          </cell>
          <cell r="CH169">
            <v>-180</v>
          </cell>
          <cell r="CI169">
            <v>-125</v>
          </cell>
          <cell r="CJ169">
            <v>-68</v>
          </cell>
          <cell r="CK169">
            <v>-58</v>
          </cell>
          <cell r="CL169">
            <v>-145</v>
          </cell>
          <cell r="CM169">
            <v>-149</v>
          </cell>
          <cell r="CN169">
            <v>-420</v>
          </cell>
          <cell r="CO169">
            <v>-129</v>
          </cell>
          <cell r="CP169">
            <v>-102</v>
          </cell>
          <cell r="CQ169">
            <v>-93</v>
          </cell>
          <cell r="CR169">
            <v>-179</v>
          </cell>
          <cell r="CS169">
            <v>-503</v>
          </cell>
          <cell r="CT169">
            <v>-136</v>
          </cell>
          <cell r="CU169">
            <v>-112</v>
          </cell>
          <cell r="CV169">
            <v>-98</v>
          </cell>
          <cell r="CW169">
            <v>-145</v>
          </cell>
          <cell r="CX169">
            <v>-491</v>
          </cell>
          <cell r="CY169">
            <v>-280</v>
          </cell>
          <cell r="CZ169">
            <v>-130</v>
          </cell>
          <cell r="DA169">
            <v>-130</v>
          </cell>
          <cell r="DB169">
            <v>-135</v>
          </cell>
          <cell r="DC169">
            <v>-675</v>
          </cell>
          <cell r="DD169">
            <v>-130</v>
          </cell>
          <cell r="DE169">
            <v>-130</v>
          </cell>
          <cell r="DF169">
            <v>-130</v>
          </cell>
          <cell r="DG169">
            <v>-130</v>
          </cell>
          <cell r="DH169">
            <v>-520</v>
          </cell>
          <cell r="DI169">
            <v>-130</v>
          </cell>
          <cell r="DJ169">
            <v>-130</v>
          </cell>
          <cell r="DK169">
            <v>-130</v>
          </cell>
          <cell r="DL169">
            <v>-130</v>
          </cell>
          <cell r="DM169">
            <v>-520</v>
          </cell>
          <cell r="DN169">
            <v>-130</v>
          </cell>
          <cell r="DO169">
            <v>-130</v>
          </cell>
          <cell r="DP169">
            <v>-130</v>
          </cell>
          <cell r="DQ169">
            <v>-130</v>
          </cell>
          <cell r="DR169">
            <v>-520</v>
          </cell>
        </row>
        <row r="171">
          <cell r="B171" t="str">
            <v>Repayments of borrowings under credit facility</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-365</v>
          </cell>
          <cell r="CS171">
            <v>-365</v>
          </cell>
          <cell r="CT171">
            <v>-455</v>
          </cell>
          <cell r="CU171">
            <v>-518</v>
          </cell>
          <cell r="CV171">
            <v>-485</v>
          </cell>
          <cell r="CW171">
            <v>0</v>
          </cell>
          <cell r="CX171">
            <v>-1458</v>
          </cell>
          <cell r="CY171">
            <v>0</v>
          </cell>
          <cell r="CZ171">
            <v>-51.709000000000003</v>
          </cell>
          <cell r="DA171">
            <v>0</v>
          </cell>
          <cell r="DB171">
            <v>0</v>
          </cell>
          <cell r="DC171">
            <v>-51.709000000000003</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W171" t="str">
            <v>mstag:proceedsFromIssuanceAndCashUsedToRepayLongTermDebt</v>
          </cell>
          <cell r="DX171">
            <v>6</v>
          </cell>
          <cell r="DY171" t="str">
            <v>ISO4217:USD</v>
          </cell>
          <cell r="DZ171" t="b">
            <v>0</v>
          </cell>
        </row>
        <row r="172">
          <cell r="B172" t="str">
            <v>Proceeds from borrowings under credit facility</v>
          </cell>
          <cell r="D172">
            <v>43.332999999999998</v>
          </cell>
          <cell r="E172">
            <v>-3.3000000000001251E-2</v>
          </cell>
          <cell r="F172">
            <v>0</v>
          </cell>
          <cell r="G172">
            <v>-43.3</v>
          </cell>
          <cell r="H172">
            <v>0</v>
          </cell>
          <cell r="I172">
            <v>166</v>
          </cell>
          <cell r="J172">
            <v>-166</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-21</v>
          </cell>
          <cell r="BX172">
            <v>-1</v>
          </cell>
          <cell r="BY172">
            <v>-22</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445</v>
          </cell>
          <cell r="CS172">
            <v>445</v>
          </cell>
          <cell r="CT172">
            <v>658</v>
          </cell>
          <cell r="CU172">
            <v>435</v>
          </cell>
          <cell r="CV172">
            <v>460</v>
          </cell>
          <cell r="CW172">
            <v>642.70900000000006</v>
          </cell>
          <cell r="CX172">
            <v>2195.7089999999998</v>
          </cell>
          <cell r="CY172">
            <v>3.5</v>
          </cell>
          <cell r="CZ172">
            <v>0</v>
          </cell>
          <cell r="DA172">
            <v>3.5</v>
          </cell>
          <cell r="DB172">
            <v>3.5</v>
          </cell>
          <cell r="DC172">
            <v>10.5</v>
          </cell>
          <cell r="DD172">
            <v>3.5</v>
          </cell>
          <cell r="DE172">
            <v>3.5</v>
          </cell>
          <cell r="DF172">
            <v>3.5</v>
          </cell>
          <cell r="DG172">
            <v>3.5</v>
          </cell>
          <cell r="DH172">
            <v>14</v>
          </cell>
          <cell r="DI172">
            <v>3.5</v>
          </cell>
          <cell r="DJ172">
            <v>3.5</v>
          </cell>
          <cell r="DK172">
            <v>3.5</v>
          </cell>
          <cell r="DL172">
            <v>3.5</v>
          </cell>
          <cell r="DM172">
            <v>14</v>
          </cell>
          <cell r="DN172">
            <v>3.5</v>
          </cell>
          <cell r="DO172">
            <v>3.5</v>
          </cell>
          <cell r="DP172">
            <v>3.5</v>
          </cell>
          <cell r="DQ172">
            <v>3.5</v>
          </cell>
          <cell r="DR172">
            <v>14</v>
          </cell>
          <cell r="DW172" t="str">
            <v>mstag:proceedsFromIssuanceAndCashUsedToRepayLongTermDebt</v>
          </cell>
          <cell r="DX172">
            <v>6</v>
          </cell>
          <cell r="DY172" t="str">
            <v>ISO4217:USD</v>
          </cell>
          <cell r="DZ172" t="b">
            <v>0</v>
          </cell>
        </row>
        <row r="173">
          <cell r="B173" t="str">
            <v>Repayments of other borrowings</v>
          </cell>
          <cell r="D173">
            <v>-57.094999999999999</v>
          </cell>
          <cell r="E173">
            <v>-15.305000000000007</v>
          </cell>
          <cell r="F173">
            <v>-1.5</v>
          </cell>
          <cell r="G173">
            <v>-2017.1</v>
          </cell>
          <cell r="H173">
            <v>-2091</v>
          </cell>
          <cell r="I173">
            <v>-197.5</v>
          </cell>
          <cell r="J173">
            <v>-868.40000000000009</v>
          </cell>
          <cell r="K173">
            <v>-678.3</v>
          </cell>
          <cell r="L173">
            <v>-1442.8</v>
          </cell>
          <cell r="M173">
            <v>-3187</v>
          </cell>
          <cell r="N173">
            <v>-222.6</v>
          </cell>
          <cell r="O173">
            <v>-413.6</v>
          </cell>
          <cell r="P173">
            <v>-3299.7</v>
          </cell>
          <cell r="Q173">
            <v>-576.10000000000036</v>
          </cell>
          <cell r="R173">
            <v>-4512</v>
          </cell>
          <cell r="S173">
            <v>-452</v>
          </cell>
          <cell r="T173">
            <v>-437</v>
          </cell>
          <cell r="U173">
            <v>-300</v>
          </cell>
          <cell r="V173">
            <v>-1573</v>
          </cell>
          <cell r="W173">
            <v>-2762</v>
          </cell>
          <cell r="X173">
            <v>-416</v>
          </cell>
          <cell r="Y173">
            <v>-1251</v>
          </cell>
          <cell r="Z173">
            <v>-2331</v>
          </cell>
          <cell r="AA173">
            <v>-1087</v>
          </cell>
          <cell r="AB173">
            <v>-5085</v>
          </cell>
          <cell r="AC173">
            <v>-346</v>
          </cell>
          <cell r="AD173">
            <v>-1084</v>
          </cell>
          <cell r="AE173">
            <v>-282</v>
          </cell>
          <cell r="AF173">
            <v>-373</v>
          </cell>
          <cell r="AG173">
            <v>-2085</v>
          </cell>
          <cell r="AH173">
            <v>-758</v>
          </cell>
          <cell r="AI173">
            <v>-476</v>
          </cell>
          <cell r="AJ173">
            <v>-510</v>
          </cell>
          <cell r="AK173">
            <v>-1201</v>
          </cell>
          <cell r="AL173">
            <v>-2945</v>
          </cell>
          <cell r="AM173">
            <v>-1400</v>
          </cell>
          <cell r="AN173">
            <v>-3340</v>
          </cell>
          <cell r="AO173">
            <v>-677</v>
          </cell>
          <cell r="AP173">
            <v>-2159</v>
          </cell>
          <cell r="AQ173">
            <v>-7576</v>
          </cell>
          <cell r="AR173">
            <v>-1336</v>
          </cell>
          <cell r="AS173">
            <v>-474</v>
          </cell>
          <cell r="AT173">
            <v>-860</v>
          </cell>
          <cell r="AZ173">
            <v>-1833</v>
          </cell>
          <cell r="BA173">
            <v>-846</v>
          </cell>
          <cell r="BB173">
            <v>-60</v>
          </cell>
          <cell r="BC173">
            <v>-3</v>
          </cell>
          <cell r="BD173">
            <v>-17</v>
          </cell>
          <cell r="BE173">
            <v>-926</v>
          </cell>
          <cell r="BF173">
            <v>-1</v>
          </cell>
          <cell r="BG173">
            <v>-462</v>
          </cell>
          <cell r="BH173">
            <v>-3</v>
          </cell>
          <cell r="BI173">
            <v>-106</v>
          </cell>
          <cell r="BJ173">
            <v>-572</v>
          </cell>
          <cell r="BK173">
            <v>-435</v>
          </cell>
          <cell r="BL173">
            <v>0</v>
          </cell>
          <cell r="BM173">
            <v>-3</v>
          </cell>
          <cell r="BN173">
            <v>0</v>
          </cell>
          <cell r="BO173">
            <v>-438</v>
          </cell>
          <cell r="BP173">
            <v>0</v>
          </cell>
          <cell r="BQ173">
            <v>-1</v>
          </cell>
          <cell r="BR173">
            <v>-2</v>
          </cell>
          <cell r="BS173">
            <v>-17</v>
          </cell>
          <cell r="BT173">
            <v>-20</v>
          </cell>
          <cell r="BU173">
            <v>0</v>
          </cell>
          <cell r="BV173">
            <v>0</v>
          </cell>
          <cell r="BW173">
            <v>0</v>
          </cell>
          <cell r="BX173">
            <v>0</v>
          </cell>
          <cell r="BY173">
            <v>0</v>
          </cell>
          <cell r="BZ173">
            <v>-1</v>
          </cell>
          <cell r="CA173">
            <v>0</v>
          </cell>
          <cell r="CB173">
            <v>0</v>
          </cell>
          <cell r="CC173">
            <v>0</v>
          </cell>
          <cell r="CD173">
            <v>-1</v>
          </cell>
          <cell r="CE173">
            <v>-1</v>
          </cell>
          <cell r="CF173">
            <v>-900</v>
          </cell>
          <cell r="CG173">
            <v>-384</v>
          </cell>
          <cell r="CH173">
            <v>-6</v>
          </cell>
          <cell r="CI173">
            <v>-1291</v>
          </cell>
          <cell r="CJ173">
            <v>-7</v>
          </cell>
          <cell r="CK173">
            <v>-5</v>
          </cell>
          <cell r="CL173">
            <v>-874</v>
          </cell>
          <cell r="CM173">
            <v>0</v>
          </cell>
          <cell r="CN173">
            <v>-886</v>
          </cell>
          <cell r="CO173">
            <v>-1</v>
          </cell>
          <cell r="CP173">
            <v>-1</v>
          </cell>
          <cell r="CQ173">
            <v>-2</v>
          </cell>
          <cell r="CR173">
            <v>-839</v>
          </cell>
          <cell r="CS173">
            <v>-843</v>
          </cell>
          <cell r="CT173">
            <v>-4</v>
          </cell>
          <cell r="CU173">
            <v>-63</v>
          </cell>
          <cell r="CV173">
            <v>-9</v>
          </cell>
          <cell r="CX173">
            <v>-76</v>
          </cell>
          <cell r="DC173">
            <v>0</v>
          </cell>
          <cell r="DH173">
            <v>0</v>
          </cell>
          <cell r="DM173">
            <v>0</v>
          </cell>
          <cell r="DR173">
            <v>0</v>
          </cell>
          <cell r="DW173" t="str">
            <v>mstag:proceedsFromIssuanceAndCashUsedToRepayLongTermDebt</v>
          </cell>
          <cell r="DX173">
            <v>6</v>
          </cell>
          <cell r="DY173" t="str">
            <v>ISO4217:USD</v>
          </cell>
          <cell r="DZ173" t="b">
            <v>0</v>
          </cell>
        </row>
        <row r="174">
          <cell r="B174" t="str">
            <v>Proceeds from other borrowings</v>
          </cell>
          <cell r="D174">
            <v>77.850999999999999</v>
          </cell>
          <cell r="E174">
            <v>8.1490000000000009</v>
          </cell>
          <cell r="F174">
            <v>8</v>
          </cell>
          <cell r="G174">
            <v>3351</v>
          </cell>
          <cell r="H174">
            <v>3445</v>
          </cell>
          <cell r="I174">
            <v>17.399999999999999</v>
          </cell>
          <cell r="J174">
            <v>1061.7999999999997</v>
          </cell>
          <cell r="K174">
            <v>509.20000000000005</v>
          </cell>
          <cell r="L174">
            <v>1372.6000000000001</v>
          </cell>
          <cell r="M174">
            <v>2961</v>
          </cell>
          <cell r="N174">
            <v>207</v>
          </cell>
          <cell r="O174">
            <v>544.4</v>
          </cell>
          <cell r="P174">
            <v>3684.2000000000003</v>
          </cell>
          <cell r="Q174">
            <v>681.39999999999964</v>
          </cell>
          <cell r="R174">
            <v>5117</v>
          </cell>
          <cell r="S174">
            <v>712</v>
          </cell>
          <cell r="T174">
            <v>674</v>
          </cell>
          <cell r="U174">
            <v>530</v>
          </cell>
          <cell r="V174">
            <v>1433</v>
          </cell>
          <cell r="W174">
            <v>3349</v>
          </cell>
          <cell r="X174">
            <v>589</v>
          </cell>
          <cell r="Y174">
            <v>1529</v>
          </cell>
          <cell r="Z174">
            <v>2542</v>
          </cell>
          <cell r="AA174">
            <v>974</v>
          </cell>
          <cell r="AB174">
            <v>5634</v>
          </cell>
          <cell r="AC174">
            <v>476</v>
          </cell>
          <cell r="AD174">
            <v>326</v>
          </cell>
          <cell r="AE174">
            <v>456</v>
          </cell>
          <cell r="AF174">
            <v>40</v>
          </cell>
          <cell r="AG174">
            <v>1298</v>
          </cell>
          <cell r="AH174">
            <v>511</v>
          </cell>
          <cell r="AI174">
            <v>94</v>
          </cell>
          <cell r="AJ174">
            <v>319</v>
          </cell>
          <cell r="AK174">
            <v>463</v>
          </cell>
          <cell r="AL174">
            <v>1387</v>
          </cell>
          <cell r="AM174">
            <v>1437</v>
          </cell>
          <cell r="AN174">
            <v>3115</v>
          </cell>
          <cell r="AO174">
            <v>603</v>
          </cell>
          <cell r="AP174">
            <v>1780</v>
          </cell>
          <cell r="AQ174">
            <v>6935</v>
          </cell>
          <cell r="AR174">
            <v>908</v>
          </cell>
          <cell r="AS174">
            <v>796</v>
          </cell>
          <cell r="AT174">
            <v>1002</v>
          </cell>
          <cell r="AZ174">
            <v>1727</v>
          </cell>
          <cell r="BA174">
            <v>987</v>
          </cell>
          <cell r="BB174">
            <v>41</v>
          </cell>
          <cell r="BC174">
            <v>7</v>
          </cell>
          <cell r="BD174">
            <v>-7</v>
          </cell>
          <cell r="BE174">
            <v>1028</v>
          </cell>
          <cell r="BF174">
            <v>0</v>
          </cell>
          <cell r="BG174">
            <v>954</v>
          </cell>
          <cell r="BH174">
            <v>0</v>
          </cell>
          <cell r="BI174">
            <v>0</v>
          </cell>
          <cell r="BJ174">
            <v>954</v>
          </cell>
          <cell r="BK174">
            <v>773</v>
          </cell>
          <cell r="BL174">
            <v>0</v>
          </cell>
          <cell r="BM174">
            <v>0</v>
          </cell>
          <cell r="BN174">
            <v>0</v>
          </cell>
          <cell r="BO174">
            <v>773</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885</v>
          </cell>
          <cell r="CG174">
            <v>0</v>
          </cell>
          <cell r="CH174">
            <v>0</v>
          </cell>
          <cell r="CI174">
            <v>885</v>
          </cell>
          <cell r="CJ174">
            <v>1</v>
          </cell>
          <cell r="CK174">
            <v>0</v>
          </cell>
          <cell r="CL174">
            <v>600</v>
          </cell>
          <cell r="CM174">
            <v>0</v>
          </cell>
          <cell r="CN174">
            <v>601</v>
          </cell>
          <cell r="CO174">
            <v>0</v>
          </cell>
          <cell r="CP174">
            <v>0</v>
          </cell>
          <cell r="CQ174">
            <v>0</v>
          </cell>
          <cell r="CR174">
            <v>900</v>
          </cell>
          <cell r="CS174">
            <v>900</v>
          </cell>
          <cell r="CT174">
            <v>0</v>
          </cell>
          <cell r="CU174">
            <v>292</v>
          </cell>
          <cell r="CV174">
            <v>0</v>
          </cell>
          <cell r="CX174">
            <v>292</v>
          </cell>
          <cell r="DC174">
            <v>0</v>
          </cell>
          <cell r="DH174">
            <v>0</v>
          </cell>
          <cell r="DM174">
            <v>0</v>
          </cell>
          <cell r="DR174">
            <v>0</v>
          </cell>
          <cell r="DW174" t="str">
            <v>mstag:proceedsFromIssuanceAndCashUsedToRepayLongTermDebt</v>
          </cell>
          <cell r="DX174">
            <v>6</v>
          </cell>
          <cell r="DY174" t="str">
            <v>ISO4217:USD</v>
          </cell>
          <cell r="DZ174" t="b">
            <v>0</v>
          </cell>
        </row>
        <row r="175">
          <cell r="B175" t="str">
            <v>Repurchases of preferred stock</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-292</v>
          </cell>
          <cell r="CV175">
            <v>0</v>
          </cell>
          <cell r="CX175">
            <v>-292</v>
          </cell>
          <cell r="DC175">
            <v>0</v>
          </cell>
          <cell r="DH175">
            <v>0</v>
          </cell>
          <cell r="DM175">
            <v>0</v>
          </cell>
          <cell r="DR175">
            <v>0</v>
          </cell>
          <cell r="DW175" t="str">
            <v>mstag:redemptionsRetirementsAndRepurchasesOfPreferredStock</v>
          </cell>
          <cell r="DX175">
            <v>6</v>
          </cell>
          <cell r="DY175" t="str">
            <v>ISO4217:USD</v>
          </cell>
          <cell r="DZ175" t="b">
            <v>1</v>
          </cell>
        </row>
        <row r="176">
          <cell r="B176" t="str">
            <v>Deferred debt issuance costs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-22</v>
          </cell>
          <cell r="CF176">
            <v>-24</v>
          </cell>
          <cell r="CG176">
            <v>-1</v>
          </cell>
          <cell r="CH176">
            <v>1</v>
          </cell>
          <cell r="CI176">
            <v>-46</v>
          </cell>
          <cell r="CJ176">
            <v>0</v>
          </cell>
          <cell r="CK176">
            <v>0</v>
          </cell>
          <cell r="CL176">
            <v>-15</v>
          </cell>
          <cell r="CM176">
            <v>15</v>
          </cell>
          <cell r="CN176">
            <v>0</v>
          </cell>
          <cell r="CO176">
            <v>0</v>
          </cell>
          <cell r="CP176">
            <v>0</v>
          </cell>
          <cell r="CQ176">
            <v>0</v>
          </cell>
          <cell r="CR176">
            <v>-21</v>
          </cell>
          <cell r="CS176">
            <v>-21</v>
          </cell>
          <cell r="CT176">
            <v>0</v>
          </cell>
          <cell r="CU176">
            <v>-2</v>
          </cell>
          <cell r="CV176">
            <v>-1</v>
          </cell>
          <cell r="CX176">
            <v>-3</v>
          </cell>
          <cell r="DC176">
            <v>0</v>
          </cell>
          <cell r="DH176">
            <v>0</v>
          </cell>
          <cell r="DM176">
            <v>0</v>
          </cell>
          <cell r="DR176">
            <v>0</v>
          </cell>
          <cell r="DW176" t="str">
            <v>mstag:otherCashFlowsFromUsedInFinancingActivities</v>
          </cell>
          <cell r="DX176">
            <v>6</v>
          </cell>
          <cell r="DY176" t="str">
            <v>ISO4217:USD</v>
          </cell>
          <cell r="DZ176" t="b">
            <v>0</v>
          </cell>
        </row>
        <row r="177">
          <cell r="B177" t="str">
            <v>Repurchases of common stock</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-94</v>
          </cell>
          <cell r="AN177">
            <v>-93</v>
          </cell>
          <cell r="AO177">
            <v>-293</v>
          </cell>
          <cell r="AP177">
            <v>-235</v>
          </cell>
          <cell r="AQ177">
            <v>-715</v>
          </cell>
          <cell r="AR177">
            <v>-119</v>
          </cell>
          <cell r="AS177">
            <v>-381</v>
          </cell>
          <cell r="AT177">
            <v>-110</v>
          </cell>
          <cell r="AZ177">
            <v>-500</v>
          </cell>
          <cell r="BA177">
            <v>-110</v>
          </cell>
          <cell r="BB177">
            <v>-98</v>
          </cell>
          <cell r="BC177">
            <v>0</v>
          </cell>
          <cell r="BD177">
            <v>0</v>
          </cell>
          <cell r="BE177">
            <v>-208</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-27</v>
          </cell>
          <cell r="CN177">
            <v>-27</v>
          </cell>
          <cell r="CO177">
            <v>0</v>
          </cell>
          <cell r="CP177">
            <v>-72</v>
          </cell>
          <cell r="CQ177">
            <v>-124</v>
          </cell>
          <cell r="CR177">
            <v>-178</v>
          </cell>
          <cell r="CS177">
            <v>-374</v>
          </cell>
          <cell r="CT177">
            <v>-26</v>
          </cell>
          <cell r="CU177">
            <v>0</v>
          </cell>
          <cell r="CV177">
            <v>0</v>
          </cell>
          <cell r="CW177">
            <v>0</v>
          </cell>
          <cell r="CX177">
            <v>-26</v>
          </cell>
          <cell r="DC177">
            <v>0</v>
          </cell>
          <cell r="DH177">
            <v>0</v>
          </cell>
          <cell r="DM177">
            <v>0</v>
          </cell>
          <cell r="DR177">
            <v>0</v>
          </cell>
          <cell r="DW177" t="str">
            <v>mstag:fundsUsedToRepurchaseCommonStock</v>
          </cell>
          <cell r="DX177">
            <v>6</v>
          </cell>
          <cell r="DY177" t="str">
            <v>ISO4217:USD</v>
          </cell>
          <cell r="DZ177" t="b">
            <v>1</v>
          </cell>
        </row>
        <row r="178">
          <cell r="B178" t="str">
            <v>Cash dividends on preferred stock</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cell r="CE178">
            <v>0</v>
          </cell>
          <cell r="CF178">
            <v>0</v>
          </cell>
          <cell r="CG178">
            <v>0</v>
          </cell>
          <cell r="CH178">
            <v>0</v>
          </cell>
          <cell r="CI178">
            <v>0</v>
          </cell>
          <cell r="CJ178">
            <v>-6</v>
          </cell>
          <cell r="CK178">
            <v>-6</v>
          </cell>
          <cell r="CL178">
            <v>-6</v>
          </cell>
          <cell r="CM178">
            <v>-6</v>
          </cell>
          <cell r="CN178">
            <v>-24</v>
          </cell>
          <cell r="CO178">
            <v>-6</v>
          </cell>
          <cell r="CP178">
            <v>-6</v>
          </cell>
          <cell r="CQ178">
            <v>-6</v>
          </cell>
          <cell r="CR178">
            <v>-6</v>
          </cell>
          <cell r="CS178">
            <v>-24</v>
          </cell>
          <cell r="CT178">
            <v>-6</v>
          </cell>
          <cell r="CU178">
            <v>-6</v>
          </cell>
          <cell r="CV178">
            <v>-1</v>
          </cell>
          <cell r="CX178">
            <v>-13</v>
          </cell>
          <cell r="DC178">
            <v>0</v>
          </cell>
          <cell r="DH178">
            <v>0</v>
          </cell>
          <cell r="DM178">
            <v>0</v>
          </cell>
          <cell r="DR178">
            <v>0</v>
          </cell>
          <cell r="DW178" t="str">
            <v>mstag:cashDividendsPaidPreferred</v>
          </cell>
          <cell r="DX178">
            <v>6</v>
          </cell>
          <cell r="DY178" t="str">
            <v>ISO4217:USD</v>
          </cell>
          <cell r="DZ178" t="b">
            <v>1</v>
          </cell>
        </row>
        <row r="179">
          <cell r="B179" t="str">
            <v>Distributions paid to noncontrolling interests</v>
          </cell>
          <cell r="D179">
            <v>0</v>
          </cell>
          <cell r="E179">
            <v>0</v>
          </cell>
          <cell r="F179">
            <v>0</v>
          </cell>
          <cell r="G179">
            <v>0</v>
          </cell>
          <cell r="H179">
            <v>0</v>
          </cell>
          <cell r="I179">
            <v>0</v>
          </cell>
          <cell r="J179">
            <v>0</v>
          </cell>
          <cell r="K179">
            <v>0</v>
          </cell>
          <cell r="L179">
            <v>0</v>
          </cell>
          <cell r="M179">
            <v>0</v>
          </cell>
          <cell r="N179">
            <v>-3</v>
          </cell>
          <cell r="O179">
            <v>-1.2999999999999998</v>
          </cell>
          <cell r="P179">
            <v>4.3</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-2</v>
          </cell>
          <cell r="CF179">
            <v>-1</v>
          </cell>
          <cell r="CG179">
            <v>-2</v>
          </cell>
          <cell r="CH179">
            <v>-2</v>
          </cell>
          <cell r="CI179">
            <v>-7</v>
          </cell>
          <cell r="CJ179">
            <v>-1</v>
          </cell>
          <cell r="CK179">
            <v>-2</v>
          </cell>
          <cell r="CL179">
            <v>-3</v>
          </cell>
          <cell r="CM179">
            <v>-2</v>
          </cell>
          <cell r="CN179">
            <v>-8</v>
          </cell>
          <cell r="CO179">
            <v>-2</v>
          </cell>
          <cell r="CP179">
            <v>-2</v>
          </cell>
          <cell r="CQ179">
            <v>-4</v>
          </cell>
          <cell r="CR179">
            <v>-2</v>
          </cell>
          <cell r="CS179">
            <v>-10</v>
          </cell>
          <cell r="CT179">
            <v>-3</v>
          </cell>
          <cell r="CU179">
            <v>-3</v>
          </cell>
          <cell r="CV179">
            <v>-3</v>
          </cell>
          <cell r="CX179">
            <v>-9</v>
          </cell>
          <cell r="DC179">
            <v>0</v>
          </cell>
          <cell r="DH179">
            <v>0</v>
          </cell>
          <cell r="DM179">
            <v>0</v>
          </cell>
          <cell r="DR179">
            <v>0</v>
          </cell>
          <cell r="DW179" t="str">
            <v>mstag:netIncreaseInMinorityInterestsInShareholdersEquity</v>
          </cell>
          <cell r="DX179">
            <v>6</v>
          </cell>
          <cell r="DY179" t="str">
            <v>ISO4217:USD</v>
          </cell>
          <cell r="DZ179" t="b">
            <v>0</v>
          </cell>
        </row>
        <row r="180">
          <cell r="B180" t="str">
            <v>Other items, net</v>
          </cell>
          <cell r="D180">
            <v>3.4159999999999999</v>
          </cell>
          <cell r="E180">
            <v>1.0850000000000004</v>
          </cell>
          <cell r="F180">
            <v>1.6000000000000005</v>
          </cell>
          <cell r="G180">
            <v>1.6999999999999986</v>
          </cell>
          <cell r="H180">
            <v>7.8009999999999993</v>
          </cell>
          <cell r="I180">
            <v>1.2</v>
          </cell>
          <cell r="J180">
            <v>53.099999999999994</v>
          </cell>
          <cell r="K180">
            <v>154.80000000000001</v>
          </cell>
          <cell r="L180">
            <v>23.899999999999977</v>
          </cell>
          <cell r="M180">
            <v>233</v>
          </cell>
          <cell r="N180">
            <v>9.9</v>
          </cell>
          <cell r="O180">
            <v>9.4999999999999982</v>
          </cell>
          <cell r="P180">
            <v>31.199999999999996</v>
          </cell>
          <cell r="Q180">
            <v>11.200000000000006</v>
          </cell>
          <cell r="R180">
            <v>61.8</v>
          </cell>
          <cell r="S180">
            <v>22</v>
          </cell>
          <cell r="T180">
            <v>10</v>
          </cell>
          <cell r="U180">
            <v>26</v>
          </cell>
          <cell r="V180">
            <v>23</v>
          </cell>
          <cell r="W180">
            <v>81</v>
          </cell>
          <cell r="X180">
            <v>2</v>
          </cell>
          <cell r="Y180">
            <v>6</v>
          </cell>
          <cell r="Z180">
            <v>6</v>
          </cell>
          <cell r="AA180">
            <v>8</v>
          </cell>
          <cell r="AB180">
            <v>22</v>
          </cell>
          <cell r="AC180">
            <v>1</v>
          </cell>
          <cell r="AD180">
            <v>-3</v>
          </cell>
          <cell r="AE180">
            <v>15</v>
          </cell>
          <cell r="AF180">
            <v>47</v>
          </cell>
          <cell r="AG180">
            <v>60</v>
          </cell>
          <cell r="AH180">
            <v>35</v>
          </cell>
          <cell r="AI180">
            <v>86</v>
          </cell>
          <cell r="AJ180">
            <v>90</v>
          </cell>
          <cell r="AK180">
            <v>30</v>
          </cell>
          <cell r="AL180">
            <v>241</v>
          </cell>
          <cell r="AM180">
            <v>82</v>
          </cell>
          <cell r="AN180">
            <v>-9</v>
          </cell>
          <cell r="AO180">
            <v>100</v>
          </cell>
          <cell r="AP180">
            <v>71</v>
          </cell>
          <cell r="AQ180">
            <v>244</v>
          </cell>
          <cell r="AR180">
            <v>24</v>
          </cell>
          <cell r="AS180">
            <v>20</v>
          </cell>
          <cell r="AT180">
            <v>-1</v>
          </cell>
          <cell r="AZ180">
            <v>41</v>
          </cell>
          <cell r="BA180">
            <v>3</v>
          </cell>
          <cell r="BB180">
            <v>6</v>
          </cell>
          <cell r="BC180">
            <v>-6</v>
          </cell>
          <cell r="BD180">
            <v>7</v>
          </cell>
          <cell r="BE180">
            <v>10</v>
          </cell>
          <cell r="BF180">
            <v>4</v>
          </cell>
          <cell r="BG180">
            <v>1</v>
          </cell>
          <cell r="BH180">
            <v>4</v>
          </cell>
          <cell r="BI180">
            <v>-262</v>
          </cell>
          <cell r="BJ180">
            <v>-253</v>
          </cell>
          <cell r="BK180">
            <v>11</v>
          </cell>
          <cell r="BL180">
            <v>1</v>
          </cell>
          <cell r="BM180">
            <v>1</v>
          </cell>
          <cell r="BN180">
            <v>0</v>
          </cell>
          <cell r="BO180">
            <v>13</v>
          </cell>
          <cell r="BP180">
            <v>1</v>
          </cell>
          <cell r="BQ180">
            <v>2</v>
          </cell>
          <cell r="BR180">
            <v>-1</v>
          </cell>
          <cell r="BS180">
            <v>270</v>
          </cell>
          <cell r="BT180">
            <v>272</v>
          </cell>
          <cell r="BU180">
            <v>1</v>
          </cell>
          <cell r="BV180">
            <v>0</v>
          </cell>
          <cell r="BW180">
            <v>0</v>
          </cell>
          <cell r="BX180">
            <v>3</v>
          </cell>
          <cell r="BY180">
            <v>4</v>
          </cell>
          <cell r="BZ180">
            <v>1</v>
          </cell>
          <cell r="CA180">
            <v>1</v>
          </cell>
          <cell r="CB180">
            <v>1</v>
          </cell>
          <cell r="CC180">
            <v>-1</v>
          </cell>
          <cell r="CD180">
            <v>2</v>
          </cell>
          <cell r="CE180">
            <v>2</v>
          </cell>
          <cell r="CF180">
            <v>0</v>
          </cell>
          <cell r="CG180">
            <v>335</v>
          </cell>
          <cell r="CH180">
            <v>5</v>
          </cell>
          <cell r="CI180">
            <v>342</v>
          </cell>
          <cell r="CJ180">
            <v>2</v>
          </cell>
          <cell r="CK180">
            <v>2</v>
          </cell>
          <cell r="CL180">
            <v>2</v>
          </cell>
          <cell r="CM180">
            <v>1</v>
          </cell>
          <cell r="CN180">
            <v>7</v>
          </cell>
          <cell r="CO180">
            <v>2</v>
          </cell>
          <cell r="CP180">
            <v>2</v>
          </cell>
          <cell r="CQ180">
            <v>2</v>
          </cell>
          <cell r="CR180">
            <v>0</v>
          </cell>
          <cell r="CS180">
            <v>6</v>
          </cell>
          <cell r="CT180">
            <v>5</v>
          </cell>
          <cell r="CU180">
            <v>4</v>
          </cell>
          <cell r="CV180">
            <v>2</v>
          </cell>
          <cell r="CW180">
            <v>0</v>
          </cell>
          <cell r="CX180">
            <v>11</v>
          </cell>
          <cell r="DC180">
            <v>0</v>
          </cell>
          <cell r="DH180">
            <v>0</v>
          </cell>
          <cell r="DM180">
            <v>0</v>
          </cell>
          <cell r="DR180">
            <v>0</v>
          </cell>
          <cell r="DW180" t="str">
            <v>mstag:otherCashFlowsFromUsedInFinancingActivities</v>
          </cell>
          <cell r="DX180">
            <v>6</v>
          </cell>
          <cell r="DY180" t="str">
            <v>ISO4217:USD</v>
          </cell>
          <cell r="DZ180" t="b">
            <v>0</v>
          </cell>
        </row>
        <row r="181">
          <cell r="B181" t="str">
            <v>Cash Flow from Financing</v>
          </cell>
          <cell r="D181">
            <v>67.504999999999995</v>
          </cell>
          <cell r="E181">
            <v>-6.1040000000000063</v>
          </cell>
          <cell r="F181">
            <v>8.1000000000000014</v>
          </cell>
          <cell r="G181">
            <v>1292.3</v>
          </cell>
          <cell r="H181">
            <v>1361.8009999999999</v>
          </cell>
          <cell r="I181">
            <v>-12.900000000000002</v>
          </cell>
          <cell r="J181">
            <v>80.499999999999631</v>
          </cell>
          <cell r="K181">
            <v>-14.299999999999898</v>
          </cell>
          <cell r="L181">
            <v>-46.299999999999841</v>
          </cell>
          <cell r="M181">
            <v>7</v>
          </cell>
          <cell r="N181">
            <v>-8.699999999999994</v>
          </cell>
          <cell r="O181">
            <v>138.99999999999994</v>
          </cell>
          <cell r="P181">
            <v>420.00000000000045</v>
          </cell>
          <cell r="Q181">
            <v>116.49999999999928</v>
          </cell>
          <cell r="R181">
            <v>666.8</v>
          </cell>
          <cell r="S181">
            <v>282</v>
          </cell>
          <cell r="T181">
            <v>247</v>
          </cell>
          <cell r="U181">
            <v>256</v>
          </cell>
          <cell r="V181">
            <v>-117</v>
          </cell>
          <cell r="W181">
            <v>668</v>
          </cell>
          <cell r="X181">
            <v>175</v>
          </cell>
          <cell r="Y181">
            <v>284</v>
          </cell>
          <cell r="Z181">
            <v>217</v>
          </cell>
          <cell r="AA181">
            <v>-105</v>
          </cell>
          <cell r="AB181">
            <v>571</v>
          </cell>
          <cell r="AC181">
            <v>131</v>
          </cell>
          <cell r="AD181">
            <v>-761</v>
          </cell>
          <cell r="AE181">
            <v>189</v>
          </cell>
          <cell r="AF181">
            <v>-286</v>
          </cell>
          <cell r="AG181">
            <v>-727</v>
          </cell>
          <cell r="AH181">
            <v>-212</v>
          </cell>
          <cell r="AI181">
            <v>-296</v>
          </cell>
          <cell r="AJ181">
            <v>-101</v>
          </cell>
          <cell r="AK181">
            <v>-708</v>
          </cell>
          <cell r="AL181">
            <v>-1317</v>
          </cell>
          <cell r="AM181">
            <v>25</v>
          </cell>
          <cell r="AN181">
            <v>-327</v>
          </cell>
          <cell r="AO181">
            <v>-267</v>
          </cell>
          <cell r="AP181">
            <v>-543</v>
          </cell>
          <cell r="AQ181">
            <v>-1112</v>
          </cell>
          <cell r="AR181">
            <v>-523</v>
          </cell>
          <cell r="AS181">
            <v>-39</v>
          </cell>
          <cell r="AT181">
            <v>31</v>
          </cell>
          <cell r="AZ181">
            <v>-565</v>
          </cell>
          <cell r="BA181">
            <v>34</v>
          </cell>
          <cell r="BB181">
            <v>-111</v>
          </cell>
          <cell r="BC181">
            <v>-2</v>
          </cell>
          <cell r="BD181">
            <v>-17</v>
          </cell>
          <cell r="BE181">
            <v>-96</v>
          </cell>
          <cell r="BF181">
            <v>3</v>
          </cell>
          <cell r="BG181">
            <v>493</v>
          </cell>
          <cell r="BH181">
            <v>1</v>
          </cell>
          <cell r="BI181">
            <v>-368</v>
          </cell>
          <cell r="BJ181">
            <v>129</v>
          </cell>
          <cell r="BK181">
            <v>349</v>
          </cell>
          <cell r="BL181">
            <v>1</v>
          </cell>
          <cell r="BM181">
            <v>-2</v>
          </cell>
          <cell r="BN181">
            <v>0</v>
          </cell>
          <cell r="BO181">
            <v>348</v>
          </cell>
          <cell r="BP181">
            <v>1</v>
          </cell>
          <cell r="BQ181">
            <v>1</v>
          </cell>
          <cell r="BR181">
            <v>-3</v>
          </cell>
          <cell r="BS181">
            <v>253</v>
          </cell>
          <cell r="BT181">
            <v>252</v>
          </cell>
          <cell r="BU181">
            <v>1</v>
          </cell>
          <cell r="BV181">
            <v>0</v>
          </cell>
          <cell r="BW181">
            <v>-21</v>
          </cell>
          <cell r="BX181">
            <v>2</v>
          </cell>
          <cell r="BY181">
            <v>-18</v>
          </cell>
          <cell r="BZ181">
            <v>0</v>
          </cell>
          <cell r="CA181">
            <v>1</v>
          </cell>
          <cell r="CB181">
            <v>1</v>
          </cell>
          <cell r="CC181">
            <v>-1</v>
          </cell>
          <cell r="CD181">
            <v>1</v>
          </cell>
          <cell r="CE181">
            <v>-23</v>
          </cell>
          <cell r="CF181">
            <v>-40</v>
          </cell>
          <cell r="CG181">
            <v>-52</v>
          </cell>
          <cell r="CH181">
            <v>-2</v>
          </cell>
          <cell r="CI181">
            <v>-117</v>
          </cell>
          <cell r="CJ181">
            <v>-11</v>
          </cell>
          <cell r="CK181">
            <v>-11</v>
          </cell>
          <cell r="CL181">
            <v>-296</v>
          </cell>
          <cell r="CM181">
            <v>-19</v>
          </cell>
          <cell r="CN181">
            <v>-337</v>
          </cell>
          <cell r="CO181">
            <v>-7</v>
          </cell>
          <cell r="CP181">
            <v>-79</v>
          </cell>
          <cell r="CQ181">
            <v>-134</v>
          </cell>
          <cell r="CR181">
            <v>-66</v>
          </cell>
          <cell r="CS181">
            <v>-286</v>
          </cell>
          <cell r="CT181">
            <v>169</v>
          </cell>
          <cell r="CU181">
            <v>-153</v>
          </cell>
          <cell r="CV181">
            <v>-37</v>
          </cell>
          <cell r="CW181">
            <v>642.70900000000006</v>
          </cell>
          <cell r="CX181">
            <v>621.70899999999983</v>
          </cell>
          <cell r="CY181">
            <v>3.5</v>
          </cell>
          <cell r="CZ181">
            <v>-51.709000000000003</v>
          </cell>
          <cell r="DA181">
            <v>3.5</v>
          </cell>
          <cell r="DB181">
            <v>3.5</v>
          </cell>
          <cell r="DC181">
            <v>-41.209000000000003</v>
          </cell>
          <cell r="DD181">
            <v>3.5</v>
          </cell>
          <cell r="DE181">
            <v>3.5</v>
          </cell>
          <cell r="DF181">
            <v>3.5</v>
          </cell>
          <cell r="DG181">
            <v>3.5</v>
          </cell>
          <cell r="DH181">
            <v>14</v>
          </cell>
          <cell r="DI181">
            <v>3.5</v>
          </cell>
          <cell r="DJ181">
            <v>3.5</v>
          </cell>
          <cell r="DK181">
            <v>3.5</v>
          </cell>
          <cell r="DL181">
            <v>3.5</v>
          </cell>
          <cell r="DM181">
            <v>14</v>
          </cell>
          <cell r="DN181">
            <v>3.5</v>
          </cell>
          <cell r="DO181">
            <v>3.5</v>
          </cell>
          <cell r="DP181">
            <v>3.5</v>
          </cell>
          <cell r="DQ181">
            <v>3.5</v>
          </cell>
          <cell r="DR181">
            <v>14</v>
          </cell>
        </row>
        <row r="183">
          <cell r="B183" t="str">
            <v>Cash &amp; equivalents - beg balance</v>
          </cell>
          <cell r="D183">
            <v>313.19900000000001</v>
          </cell>
          <cell r="E183">
            <v>112.30400000000003</v>
          </cell>
          <cell r="F183">
            <v>131.80000000000004</v>
          </cell>
          <cell r="G183">
            <v>144.50000000000003</v>
          </cell>
          <cell r="H183">
            <v>313.19900000000001</v>
          </cell>
          <cell r="I183">
            <v>154.99999999999994</v>
          </cell>
          <cell r="J183">
            <v>106.39999999999996</v>
          </cell>
          <cell r="K183">
            <v>98.799999999999599</v>
          </cell>
          <cell r="L183">
            <v>114.19999999999972</v>
          </cell>
          <cell r="M183">
            <v>154.99999999999994</v>
          </cell>
          <cell r="N183">
            <v>89.199999999999946</v>
          </cell>
          <cell r="O183">
            <v>104.09999999999995</v>
          </cell>
          <cell r="P183">
            <v>56.799999999999883</v>
          </cell>
          <cell r="Q183">
            <v>61.300000000000395</v>
          </cell>
          <cell r="R183">
            <v>89.199999999999946</v>
          </cell>
          <cell r="S183">
            <v>34.999999999999901</v>
          </cell>
          <cell r="T183">
            <v>102.9999999999999</v>
          </cell>
          <cell r="U183">
            <v>13.999999999999901</v>
          </cell>
          <cell r="V183">
            <v>16.999999999999901</v>
          </cell>
          <cell r="W183">
            <v>34.999999999999901</v>
          </cell>
          <cell r="X183">
            <v>22.999999999999901</v>
          </cell>
          <cell r="Y183">
            <v>20.999999999999901</v>
          </cell>
          <cell r="Z183">
            <v>31.999999999999901</v>
          </cell>
          <cell r="AA183">
            <v>60.999999999999901</v>
          </cell>
          <cell r="AB183">
            <v>22.999999999999901</v>
          </cell>
          <cell r="AC183">
            <v>28.999999999999901</v>
          </cell>
          <cell r="AD183">
            <v>23.999999999999901</v>
          </cell>
          <cell r="AE183">
            <v>30.999999999999901</v>
          </cell>
          <cell r="AF183">
            <v>37.999999999999901</v>
          </cell>
          <cell r="AG183">
            <v>28.999999999999901</v>
          </cell>
          <cell r="AH183">
            <v>134.99999999999989</v>
          </cell>
          <cell r="AI183">
            <v>82.999999999999886</v>
          </cell>
          <cell r="AJ183">
            <v>81.999999999999886</v>
          </cell>
          <cell r="AK183">
            <v>56.999999999999886</v>
          </cell>
          <cell r="AL183">
            <v>134.99999999999989</v>
          </cell>
          <cell r="AM183">
            <v>61.999999999999886</v>
          </cell>
          <cell r="AN183">
            <v>65.999999999999886</v>
          </cell>
          <cell r="AO183">
            <v>62.999999999999886</v>
          </cell>
          <cell r="AP183">
            <v>51.999999999999886</v>
          </cell>
          <cell r="AQ183">
            <v>61.999999999999886</v>
          </cell>
          <cell r="AR183">
            <v>37.999999999999886</v>
          </cell>
          <cell r="AS183">
            <v>41.999999999999886</v>
          </cell>
          <cell r="AT183">
            <v>39.999999999999886</v>
          </cell>
          <cell r="AZ183">
            <v>38</v>
          </cell>
          <cell r="BA183">
            <v>210</v>
          </cell>
          <cell r="BB183">
            <v>135</v>
          </cell>
          <cell r="BC183">
            <v>221</v>
          </cell>
          <cell r="BD183">
            <v>219</v>
          </cell>
          <cell r="BE183">
            <v>210</v>
          </cell>
          <cell r="BF183">
            <v>619</v>
          </cell>
          <cell r="BG183">
            <v>507</v>
          </cell>
          <cell r="BH183">
            <v>1193</v>
          </cell>
          <cell r="BI183">
            <v>1323</v>
          </cell>
          <cell r="BJ183">
            <v>619</v>
          </cell>
          <cell r="BK183">
            <v>654</v>
          </cell>
          <cell r="BL183">
            <v>1497</v>
          </cell>
          <cell r="BM183">
            <v>1594</v>
          </cell>
          <cell r="BN183">
            <v>1480</v>
          </cell>
          <cell r="BO183">
            <v>654</v>
          </cell>
          <cell r="BP183">
            <v>1373</v>
          </cell>
          <cell r="BQ183">
            <v>975</v>
          </cell>
          <cell r="BR183">
            <v>568</v>
          </cell>
          <cell r="BS183">
            <v>809</v>
          </cell>
          <cell r="BT183">
            <v>1373</v>
          </cell>
          <cell r="BU183">
            <v>784</v>
          </cell>
          <cell r="BV183">
            <v>584</v>
          </cell>
          <cell r="BW183">
            <v>675</v>
          </cell>
          <cell r="BX183">
            <v>655</v>
          </cell>
          <cell r="BY183">
            <v>784</v>
          </cell>
          <cell r="BZ183">
            <v>572</v>
          </cell>
          <cell r="CA183">
            <v>278</v>
          </cell>
          <cell r="CB183">
            <v>352</v>
          </cell>
          <cell r="CC183">
            <v>512</v>
          </cell>
          <cell r="CD183">
            <v>572</v>
          </cell>
          <cell r="CE183">
            <v>507</v>
          </cell>
          <cell r="CF183">
            <v>652</v>
          </cell>
          <cell r="CG183">
            <v>758</v>
          </cell>
          <cell r="CH183">
            <v>731</v>
          </cell>
          <cell r="CI183">
            <v>507</v>
          </cell>
          <cell r="CJ183">
            <v>690</v>
          </cell>
          <cell r="CK183">
            <v>589</v>
          </cell>
          <cell r="CL183">
            <v>711</v>
          </cell>
          <cell r="CM183">
            <v>398</v>
          </cell>
          <cell r="CN183">
            <v>690</v>
          </cell>
          <cell r="CO183">
            <v>405</v>
          </cell>
          <cell r="CP183">
            <v>267</v>
          </cell>
          <cell r="CQ183">
            <v>264</v>
          </cell>
          <cell r="CR183">
            <v>185</v>
          </cell>
          <cell r="CS183">
            <v>405</v>
          </cell>
          <cell r="CT183">
            <v>113</v>
          </cell>
          <cell r="CU183">
            <v>104</v>
          </cell>
          <cell r="CV183">
            <v>82</v>
          </cell>
          <cell r="CW183">
            <v>83</v>
          </cell>
          <cell r="CX183">
            <v>113</v>
          </cell>
          <cell r="CY183">
            <v>796.82228946500527</v>
          </cell>
          <cell r="CZ183">
            <v>783.09228910018987</v>
          </cell>
          <cell r="DA183">
            <v>769.23666195178066</v>
          </cell>
          <cell r="DB183">
            <v>839.28021903822992</v>
          </cell>
          <cell r="DC183">
            <v>796.82228946500527</v>
          </cell>
          <cell r="DD183">
            <v>884.64004628611724</v>
          </cell>
          <cell r="DE183">
            <v>966.5373346218272</v>
          </cell>
          <cell r="DF183">
            <v>1044.4510110641747</v>
          </cell>
          <cell r="DG183">
            <v>1134.5089576312018</v>
          </cell>
          <cell r="DH183">
            <v>884.64004628611724</v>
          </cell>
          <cell r="DI183">
            <v>1201.8013582555388</v>
          </cell>
          <cell r="DJ183">
            <v>1277.0659881994259</v>
          </cell>
          <cell r="DK183">
            <v>1374.9116760549289</v>
          </cell>
          <cell r="DL183">
            <v>1474.4716766419272</v>
          </cell>
          <cell r="DM183">
            <v>1201.8013582555388</v>
          </cell>
          <cell r="DN183">
            <v>1552.1664041042404</v>
          </cell>
          <cell r="DO183">
            <v>1648.0680635609963</v>
          </cell>
          <cell r="DP183">
            <v>1754.0319682984241</v>
          </cell>
          <cell r="DQ183">
            <v>1868.2875538976209</v>
          </cell>
          <cell r="DR183">
            <v>1552.1664041042404</v>
          </cell>
        </row>
        <row r="184">
          <cell r="B184" t="str">
            <v>Change in cash &amp; equivalents</v>
          </cell>
          <cell r="D184">
            <v>-200.89499999999998</v>
          </cell>
          <cell r="E184">
            <v>19.496000000000009</v>
          </cell>
          <cell r="F184">
            <v>12.699999999999996</v>
          </cell>
          <cell r="G184">
            <v>10.5</v>
          </cell>
          <cell r="H184">
            <v>-158.19900000000007</v>
          </cell>
          <cell r="I184">
            <v>-48.59999999999998</v>
          </cell>
          <cell r="J184">
            <v>-7.6000000000003638</v>
          </cell>
          <cell r="K184">
            <v>15.400000000000119</v>
          </cell>
          <cell r="L184">
            <v>-25.199999999999875</v>
          </cell>
          <cell r="M184">
            <v>-66</v>
          </cell>
          <cell r="N184">
            <v>14.9</v>
          </cell>
          <cell r="O184">
            <v>-47.300000000000068</v>
          </cell>
          <cell r="P184">
            <v>4.5000000000005116</v>
          </cell>
          <cell r="Q184">
            <v>-26.300000000000679</v>
          </cell>
          <cell r="R184">
            <v>-54.200000000000045</v>
          </cell>
          <cell r="S184">
            <v>68</v>
          </cell>
          <cell r="T184">
            <v>-89</v>
          </cell>
          <cell r="U184">
            <v>3</v>
          </cell>
          <cell r="V184">
            <v>6</v>
          </cell>
          <cell r="W184">
            <v>-12</v>
          </cell>
          <cell r="X184">
            <v>-2</v>
          </cell>
          <cell r="Y184">
            <v>11</v>
          </cell>
          <cell r="Z184">
            <v>29</v>
          </cell>
          <cell r="AA184">
            <v>-32</v>
          </cell>
          <cell r="AB184">
            <v>6</v>
          </cell>
          <cell r="AC184">
            <v>-5</v>
          </cell>
          <cell r="AD184">
            <v>7</v>
          </cell>
          <cell r="AE184">
            <v>7</v>
          </cell>
          <cell r="AF184">
            <v>97</v>
          </cell>
          <cell r="AG184">
            <v>106</v>
          </cell>
          <cell r="AH184">
            <v>-52</v>
          </cell>
          <cell r="AI184">
            <v>-1</v>
          </cell>
          <cell r="AJ184">
            <v>-25</v>
          </cell>
          <cell r="AK184">
            <v>5</v>
          </cell>
          <cell r="AL184">
            <v>-73</v>
          </cell>
          <cell r="AM184">
            <v>4</v>
          </cell>
          <cell r="AN184">
            <v>-3</v>
          </cell>
          <cell r="AO184">
            <v>-11</v>
          </cell>
          <cell r="AP184">
            <v>-14</v>
          </cell>
          <cell r="AQ184">
            <v>-24</v>
          </cell>
          <cell r="AR184">
            <v>4</v>
          </cell>
          <cell r="AS184">
            <v>-2</v>
          </cell>
          <cell r="AT184">
            <v>78</v>
          </cell>
          <cell r="AZ184">
            <v>172</v>
          </cell>
          <cell r="BA184">
            <v>-75</v>
          </cell>
          <cell r="BB184">
            <v>86</v>
          </cell>
          <cell r="BC184">
            <v>-2</v>
          </cell>
          <cell r="BD184">
            <v>400</v>
          </cell>
          <cell r="BE184">
            <v>409</v>
          </cell>
          <cell r="BF184">
            <v>-112</v>
          </cell>
          <cell r="BG184">
            <v>686</v>
          </cell>
          <cell r="BH184">
            <v>130</v>
          </cell>
          <cell r="BI184">
            <v>-669</v>
          </cell>
          <cell r="BJ184">
            <v>35</v>
          </cell>
          <cell r="BK184">
            <v>843</v>
          </cell>
          <cell r="BL184">
            <v>97</v>
          </cell>
          <cell r="BM184">
            <v>-114</v>
          </cell>
          <cell r="BN184">
            <v>-107</v>
          </cell>
          <cell r="BO184">
            <v>719</v>
          </cell>
          <cell r="BP184">
            <v>-398</v>
          </cell>
          <cell r="BQ184">
            <v>-407</v>
          </cell>
          <cell r="BR184">
            <v>241</v>
          </cell>
          <cell r="BS184">
            <v>-25</v>
          </cell>
          <cell r="BT184">
            <v>-589</v>
          </cell>
          <cell r="BU184">
            <v>-200</v>
          </cell>
          <cell r="BV184">
            <v>91</v>
          </cell>
          <cell r="BW184">
            <v>-20</v>
          </cell>
          <cell r="BX184">
            <v>-83</v>
          </cell>
          <cell r="BY184">
            <v>-212</v>
          </cell>
          <cell r="BZ184">
            <v>-294</v>
          </cell>
          <cell r="CA184">
            <v>74</v>
          </cell>
          <cell r="CB184">
            <v>160</v>
          </cell>
          <cell r="CC184">
            <v>-5</v>
          </cell>
          <cell r="CD184">
            <v>-65</v>
          </cell>
          <cell r="CE184">
            <v>145</v>
          </cell>
          <cell r="CF184">
            <v>106</v>
          </cell>
          <cell r="CG184">
            <v>-27</v>
          </cell>
          <cell r="CH184">
            <v>-41</v>
          </cell>
          <cell r="CI184">
            <v>183</v>
          </cell>
          <cell r="CJ184">
            <v>-101</v>
          </cell>
          <cell r="CK184">
            <v>122</v>
          </cell>
          <cell r="CL184">
            <v>-313</v>
          </cell>
          <cell r="CM184">
            <v>7</v>
          </cell>
          <cell r="CN184">
            <v>-285</v>
          </cell>
          <cell r="CO184">
            <v>-138</v>
          </cell>
          <cell r="CP184">
            <v>-3</v>
          </cell>
          <cell r="CQ184">
            <v>-79</v>
          </cell>
          <cell r="CR184">
            <v>-72</v>
          </cell>
          <cell r="CS184">
            <v>-292</v>
          </cell>
          <cell r="CT184">
            <v>-9</v>
          </cell>
          <cell r="CU184">
            <v>-22</v>
          </cell>
          <cell r="CV184">
            <v>1</v>
          </cell>
          <cell r="CW184">
            <v>713.82228946500527</v>
          </cell>
          <cell r="CX184">
            <v>683.82228946500516</v>
          </cell>
          <cell r="CY184">
            <v>-13.730000364815396</v>
          </cell>
          <cell r="CZ184">
            <v>-13.855627148409212</v>
          </cell>
          <cell r="DA184">
            <v>70.043557086449312</v>
          </cell>
          <cell r="DB184">
            <v>45.359827247887324</v>
          </cell>
          <cell r="DC184">
            <v>87.817756821112027</v>
          </cell>
          <cell r="DD184">
            <v>81.897288335709931</v>
          </cell>
          <cell r="DE184">
            <v>77.913676442347537</v>
          </cell>
          <cell r="DF184">
            <v>90.05794656702713</v>
          </cell>
          <cell r="DG184">
            <v>67.292400624337006</v>
          </cell>
          <cell r="DH184">
            <v>317.16131196942149</v>
          </cell>
          <cell r="DI184">
            <v>75.264629943887002</v>
          </cell>
          <cell r="DJ184">
            <v>97.845687855502973</v>
          </cell>
          <cell r="DK184">
            <v>99.560000586998314</v>
          </cell>
          <cell r="DL184">
            <v>77.694727462313296</v>
          </cell>
          <cell r="DM184">
            <v>350.3650458487017</v>
          </cell>
          <cell r="DN184">
            <v>95.90165945675588</v>
          </cell>
          <cell r="DO184">
            <v>105.9639047374277</v>
          </cell>
          <cell r="DP184">
            <v>114.25558559919693</v>
          </cell>
          <cell r="DQ184">
            <v>90.638250806330291</v>
          </cell>
          <cell r="DR184">
            <v>406.75940059971072</v>
          </cell>
        </row>
        <row r="185">
          <cell r="B185" t="str">
            <v>Cash &amp; equivalents - ending balance</v>
          </cell>
          <cell r="D185">
            <v>112.30400000000003</v>
          </cell>
          <cell r="E185">
            <v>131.80000000000004</v>
          </cell>
          <cell r="F185">
            <v>144.50000000000003</v>
          </cell>
          <cell r="G185">
            <v>155.00000000000003</v>
          </cell>
          <cell r="H185">
            <v>154.99999999999994</v>
          </cell>
          <cell r="I185">
            <v>106.39999999999996</v>
          </cell>
          <cell r="J185">
            <v>98.799999999999599</v>
          </cell>
          <cell r="K185">
            <v>114.19999999999972</v>
          </cell>
          <cell r="L185">
            <v>88.999999999999844</v>
          </cell>
          <cell r="M185">
            <v>88.999999999999943</v>
          </cell>
          <cell r="N185">
            <v>104.09999999999995</v>
          </cell>
          <cell r="O185">
            <v>56.799999999999883</v>
          </cell>
          <cell r="P185">
            <v>61.300000000000395</v>
          </cell>
          <cell r="Q185">
            <v>34.999999999999716</v>
          </cell>
          <cell r="R185">
            <v>34.999999999999901</v>
          </cell>
          <cell r="S185">
            <v>102.9999999999999</v>
          </cell>
          <cell r="T185">
            <v>13.999999999999901</v>
          </cell>
          <cell r="U185">
            <v>16.999999999999901</v>
          </cell>
          <cell r="V185">
            <v>22.999999999999901</v>
          </cell>
          <cell r="W185">
            <v>22.999999999999901</v>
          </cell>
          <cell r="X185">
            <v>20.999999999999901</v>
          </cell>
          <cell r="Y185">
            <v>31.999999999999901</v>
          </cell>
          <cell r="Z185">
            <v>60.999999999999901</v>
          </cell>
          <cell r="AA185">
            <v>28.999999999999901</v>
          </cell>
          <cell r="AB185">
            <v>28.999999999999901</v>
          </cell>
          <cell r="AC185">
            <v>23.999999999999901</v>
          </cell>
          <cell r="AD185">
            <v>30.999999999999901</v>
          </cell>
          <cell r="AE185">
            <v>37.999999999999901</v>
          </cell>
          <cell r="AF185">
            <v>134.99999999999989</v>
          </cell>
          <cell r="AG185">
            <v>134.99999999999989</v>
          </cell>
          <cell r="AH185">
            <v>82.999999999999886</v>
          </cell>
          <cell r="AI185">
            <v>81.999999999999886</v>
          </cell>
          <cell r="AJ185">
            <v>56.999999999999886</v>
          </cell>
          <cell r="AK185">
            <v>61.999999999999886</v>
          </cell>
          <cell r="AL185">
            <v>61.999999999999886</v>
          </cell>
          <cell r="AM185">
            <v>65.999999999999886</v>
          </cell>
          <cell r="AN185">
            <v>62.999999999999886</v>
          </cell>
          <cell r="AO185">
            <v>51.999999999999886</v>
          </cell>
          <cell r="AP185">
            <v>37.999999999999886</v>
          </cell>
          <cell r="AQ185">
            <v>37.999999999999886</v>
          </cell>
          <cell r="AR185">
            <v>41.999999999999886</v>
          </cell>
          <cell r="AS185">
            <v>39.999999999999886</v>
          </cell>
          <cell r="AT185">
            <v>117.99999999999989</v>
          </cell>
          <cell r="AZ185">
            <v>210</v>
          </cell>
          <cell r="BA185">
            <v>135</v>
          </cell>
          <cell r="BB185">
            <v>221</v>
          </cell>
          <cell r="BC185">
            <v>219</v>
          </cell>
          <cell r="BD185">
            <v>619</v>
          </cell>
          <cell r="BE185">
            <v>619</v>
          </cell>
          <cell r="BF185">
            <v>507</v>
          </cell>
          <cell r="BG185">
            <v>1193</v>
          </cell>
          <cell r="BH185">
            <v>1323</v>
          </cell>
          <cell r="BI185">
            <v>654</v>
          </cell>
          <cell r="BJ185">
            <v>654</v>
          </cell>
          <cell r="BK185">
            <v>1497</v>
          </cell>
          <cell r="BL185">
            <v>1594</v>
          </cell>
          <cell r="BM185">
            <v>1480</v>
          </cell>
          <cell r="BN185">
            <v>1373</v>
          </cell>
          <cell r="BO185">
            <v>1373</v>
          </cell>
          <cell r="BP185">
            <v>975</v>
          </cell>
          <cell r="BQ185">
            <v>568</v>
          </cell>
          <cell r="BR185">
            <v>809</v>
          </cell>
          <cell r="BS185">
            <v>784</v>
          </cell>
          <cell r="BT185">
            <v>784</v>
          </cell>
          <cell r="BU185">
            <v>584</v>
          </cell>
          <cell r="BV185">
            <v>675</v>
          </cell>
          <cell r="BW185">
            <v>655</v>
          </cell>
          <cell r="BX185">
            <v>572</v>
          </cell>
          <cell r="BY185">
            <v>572</v>
          </cell>
          <cell r="BZ185">
            <v>278</v>
          </cell>
          <cell r="CA185">
            <v>352</v>
          </cell>
          <cell r="CB185">
            <v>512</v>
          </cell>
          <cell r="CC185">
            <v>507</v>
          </cell>
          <cell r="CD185">
            <v>507</v>
          </cell>
          <cell r="CE185">
            <v>652</v>
          </cell>
          <cell r="CF185">
            <v>758</v>
          </cell>
          <cell r="CG185">
            <v>731</v>
          </cell>
          <cell r="CH185">
            <v>690</v>
          </cell>
          <cell r="CI185">
            <v>690</v>
          </cell>
          <cell r="CJ185">
            <v>589</v>
          </cell>
          <cell r="CK185">
            <v>711</v>
          </cell>
          <cell r="CL185">
            <v>398</v>
          </cell>
          <cell r="CM185">
            <v>405</v>
          </cell>
          <cell r="CN185">
            <v>405</v>
          </cell>
          <cell r="CO185">
            <v>267</v>
          </cell>
          <cell r="CP185">
            <v>264</v>
          </cell>
          <cell r="CQ185">
            <v>185</v>
          </cell>
          <cell r="CR185">
            <v>113</v>
          </cell>
          <cell r="CS185">
            <v>113</v>
          </cell>
          <cell r="CT185">
            <v>104</v>
          </cell>
          <cell r="CU185">
            <v>82</v>
          </cell>
          <cell r="CV185">
            <v>83</v>
          </cell>
          <cell r="CW185">
            <v>796.82228946500527</v>
          </cell>
          <cell r="CX185">
            <v>796.82228946500516</v>
          </cell>
          <cell r="CY185">
            <v>783.09228910018987</v>
          </cell>
          <cell r="CZ185">
            <v>769.23666195178066</v>
          </cell>
          <cell r="DA185">
            <v>839.28021903822992</v>
          </cell>
          <cell r="DB185">
            <v>884.64004628611724</v>
          </cell>
          <cell r="DC185">
            <v>884.64004628611724</v>
          </cell>
          <cell r="DD185">
            <v>966.5373346218272</v>
          </cell>
          <cell r="DE185">
            <v>1044.4510110641747</v>
          </cell>
          <cell r="DF185">
            <v>1134.5089576312018</v>
          </cell>
          <cell r="DG185">
            <v>1201.8013582555388</v>
          </cell>
          <cell r="DH185">
            <v>1201.8013582555386</v>
          </cell>
          <cell r="DI185">
            <v>1277.0659881994259</v>
          </cell>
          <cell r="DJ185">
            <v>1374.9116760549289</v>
          </cell>
          <cell r="DK185">
            <v>1474.4716766419272</v>
          </cell>
          <cell r="DL185">
            <v>1552.1664041042404</v>
          </cell>
          <cell r="DM185">
            <v>1552.1664041042404</v>
          </cell>
          <cell r="DN185">
            <v>1648.0680635609963</v>
          </cell>
          <cell r="DO185">
            <v>1754.0319682984241</v>
          </cell>
          <cell r="DP185">
            <v>1868.2875538976209</v>
          </cell>
          <cell r="DQ185">
            <v>1958.9258047039511</v>
          </cell>
          <cell r="DR185">
            <v>1958.9258047039511</v>
          </cell>
        </row>
        <row r="187">
          <cell r="B187" t="str">
            <v>SCF = BS ?</v>
          </cell>
          <cell r="D187" t="str">
            <v>ok</v>
          </cell>
          <cell r="E187" t="str">
            <v>ok</v>
          </cell>
          <cell r="F187" t="str">
            <v>ok</v>
          </cell>
          <cell r="G187" t="str">
            <v>ok</v>
          </cell>
          <cell r="H187" t="str">
            <v>ok</v>
          </cell>
          <cell r="I187" t="str">
            <v>ok</v>
          </cell>
          <cell r="J187" t="str">
            <v>ok</v>
          </cell>
          <cell r="K187" t="str">
            <v>ok</v>
          </cell>
          <cell r="L187" t="str">
            <v>ok</v>
          </cell>
          <cell r="M187" t="str">
            <v>ok</v>
          </cell>
          <cell r="N187" t="str">
            <v>ok</v>
          </cell>
          <cell r="O187" t="str">
            <v>ok</v>
          </cell>
          <cell r="P187" t="str">
            <v>ok</v>
          </cell>
          <cell r="Q187" t="str">
            <v>ok</v>
          </cell>
          <cell r="R187" t="str">
            <v>ok</v>
          </cell>
          <cell r="S187" t="str">
            <v>ok</v>
          </cell>
          <cell r="T187" t="str">
            <v>ok</v>
          </cell>
          <cell r="U187" t="str">
            <v>ok</v>
          </cell>
          <cell r="V187" t="str">
            <v>ok</v>
          </cell>
          <cell r="W187" t="str">
            <v>ok</v>
          </cell>
          <cell r="X187" t="str">
            <v>ok</v>
          </cell>
          <cell r="Y187" t="str">
            <v>ok</v>
          </cell>
          <cell r="Z187" t="str">
            <v>ok</v>
          </cell>
          <cell r="AA187" t="str">
            <v>ok</v>
          </cell>
          <cell r="AB187" t="str">
            <v>ok</v>
          </cell>
          <cell r="AC187" t="str">
            <v>ok</v>
          </cell>
          <cell r="AD187" t="str">
            <v>ok</v>
          </cell>
          <cell r="AE187" t="str">
            <v>ok</v>
          </cell>
          <cell r="AF187" t="str">
            <v>ok</v>
          </cell>
          <cell r="AG187" t="str">
            <v>ok</v>
          </cell>
          <cell r="AH187" t="str">
            <v>ok</v>
          </cell>
          <cell r="AI187" t="str">
            <v>ok</v>
          </cell>
          <cell r="AJ187" t="str">
            <v>ok</v>
          </cell>
          <cell r="AK187" t="str">
            <v>ok</v>
          </cell>
          <cell r="AL187" t="str">
            <v>ok</v>
          </cell>
          <cell r="AM187" t="str">
            <v>ok</v>
          </cell>
          <cell r="AN187" t="str">
            <v>ok</v>
          </cell>
          <cell r="AO187" t="str">
            <v>ok</v>
          </cell>
          <cell r="AP187" t="str">
            <v>ok</v>
          </cell>
          <cell r="AQ187" t="str">
            <v>ok</v>
          </cell>
          <cell r="AR187" t="str">
            <v>ok</v>
          </cell>
          <cell r="AS187" t="str">
            <v>ok</v>
          </cell>
          <cell r="AT187" t="str">
            <v>ok</v>
          </cell>
          <cell r="AZ187" t="str">
            <v>ok</v>
          </cell>
          <cell r="BA187" t="str">
            <v>ok</v>
          </cell>
          <cell r="BB187" t="str">
            <v>ok</v>
          </cell>
          <cell r="BC187" t="str">
            <v>ok</v>
          </cell>
          <cell r="BD187" t="str">
            <v>ok</v>
          </cell>
          <cell r="BE187" t="str">
            <v>ok</v>
          </cell>
          <cell r="BF187" t="str">
            <v>ok</v>
          </cell>
          <cell r="BG187" t="str">
            <v>ok</v>
          </cell>
          <cell r="BH187" t="str">
            <v>ok</v>
          </cell>
          <cell r="BI187" t="str">
            <v>ok</v>
          </cell>
          <cell r="BJ187" t="str">
            <v>ok</v>
          </cell>
          <cell r="BK187" t="str">
            <v>ok</v>
          </cell>
          <cell r="BL187" t="str">
            <v>ok</v>
          </cell>
          <cell r="BM187" t="str">
            <v>ok</v>
          </cell>
          <cell r="BN187" t="str">
            <v>ok</v>
          </cell>
          <cell r="BO187" t="str">
            <v>ok</v>
          </cell>
          <cell r="BP187" t="str">
            <v>ok</v>
          </cell>
          <cell r="BQ187" t="str">
            <v>ok</v>
          </cell>
          <cell r="BR187" t="str">
            <v>ok</v>
          </cell>
          <cell r="BS187" t="str">
            <v>ok</v>
          </cell>
          <cell r="BT187" t="str">
            <v>ok</v>
          </cell>
          <cell r="BU187" t="str">
            <v>ok</v>
          </cell>
          <cell r="BV187" t="str">
            <v>ok</v>
          </cell>
          <cell r="BW187" t="str">
            <v>ok</v>
          </cell>
          <cell r="BX187" t="str">
            <v>ok</v>
          </cell>
          <cell r="BY187" t="str">
            <v>ok</v>
          </cell>
          <cell r="BZ187" t="str">
            <v>ok</v>
          </cell>
          <cell r="CA187" t="str">
            <v>ok</v>
          </cell>
          <cell r="CB187" t="str">
            <v>ok</v>
          </cell>
          <cell r="CC187" t="str">
            <v>ok</v>
          </cell>
          <cell r="CD187" t="str">
            <v>ok</v>
          </cell>
          <cell r="CE187" t="str">
            <v>ok</v>
          </cell>
          <cell r="CF187" t="str">
            <v>ok</v>
          </cell>
          <cell r="CG187" t="str">
            <v>ok</v>
          </cell>
          <cell r="CH187" t="str">
            <v>ok</v>
          </cell>
          <cell r="CI187" t="str">
            <v>ok</v>
          </cell>
          <cell r="CJ187" t="str">
            <v>ok</v>
          </cell>
          <cell r="CK187" t="str">
            <v>ok</v>
          </cell>
          <cell r="CL187" t="str">
            <v>ok</v>
          </cell>
          <cell r="CM187" t="str">
            <v>ok</v>
          </cell>
          <cell r="CN187" t="str">
            <v>ok</v>
          </cell>
          <cell r="CO187" t="str">
            <v>ok</v>
          </cell>
          <cell r="CP187" t="str">
            <v>ok</v>
          </cell>
          <cell r="CQ187" t="str">
            <v>ok</v>
          </cell>
          <cell r="CR187" t="str">
            <v>ok</v>
          </cell>
          <cell r="CS187" t="str">
            <v>ok</v>
          </cell>
          <cell r="CT187" t="str">
            <v>ok</v>
          </cell>
          <cell r="CU187" t="str">
            <v>ok</v>
          </cell>
          <cell r="CV187" t="str">
            <v>ok</v>
          </cell>
          <cell r="CW187" t="str">
            <v>ok</v>
          </cell>
          <cell r="CX187" t="str">
            <v>ok</v>
          </cell>
          <cell r="CY187" t="str">
            <v>ok</v>
          </cell>
          <cell r="CZ187" t="str">
            <v>ok</v>
          </cell>
          <cell r="DA187" t="str">
            <v>ok</v>
          </cell>
          <cell r="DB187" t="str">
            <v>ok</v>
          </cell>
          <cell r="DC187" t="str">
            <v>ok</v>
          </cell>
          <cell r="DD187" t="str">
            <v>ok</v>
          </cell>
          <cell r="DE187" t="str">
            <v>ok</v>
          </cell>
          <cell r="DF187" t="str">
            <v>ok</v>
          </cell>
          <cell r="DG187" t="str">
            <v>ok</v>
          </cell>
          <cell r="DH187" t="str">
            <v>ok</v>
          </cell>
          <cell r="DI187" t="str">
            <v>ok</v>
          </cell>
          <cell r="DJ187" t="str">
            <v>ok</v>
          </cell>
          <cell r="DK187" t="str">
            <v>ok</v>
          </cell>
          <cell r="DL187" t="str">
            <v>ok</v>
          </cell>
          <cell r="DM187" t="str">
            <v>ok</v>
          </cell>
          <cell r="DN187" t="str">
            <v>ok</v>
          </cell>
          <cell r="DO187" t="str">
            <v>ok</v>
          </cell>
          <cell r="DP187" t="str">
            <v>ok</v>
          </cell>
          <cell r="DQ187" t="str">
            <v>ok</v>
          </cell>
          <cell r="DR187" t="str">
            <v>ok</v>
          </cell>
        </row>
        <row r="189">
          <cell r="B189" t="str">
            <v>Free Cash Flow</v>
          </cell>
        </row>
        <row r="190">
          <cell r="B190" t="str">
            <v>Free cash flow</v>
          </cell>
          <cell r="D190">
            <v>-405.387</v>
          </cell>
          <cell r="E190">
            <v>25.28700000000001</v>
          </cell>
          <cell r="F190">
            <v>39.000000000000007</v>
          </cell>
          <cell r="G190">
            <v>70.099999999999994</v>
          </cell>
          <cell r="H190">
            <v>-271</v>
          </cell>
          <cell r="I190">
            <v>-34.299999999999997</v>
          </cell>
          <cell r="J190">
            <v>-115.1</v>
          </cell>
          <cell r="K190">
            <v>-6.6000000000000085</v>
          </cell>
          <cell r="L190">
            <v>-19.000000000000014</v>
          </cell>
          <cell r="M190">
            <v>-175</v>
          </cell>
          <cell r="N190">
            <v>-4.1000000000000014</v>
          </cell>
          <cell r="O190">
            <v>-105.5</v>
          </cell>
          <cell r="P190">
            <v>103.1</v>
          </cell>
          <cell r="Q190">
            <v>4.5</v>
          </cell>
          <cell r="R190">
            <v>-2</v>
          </cell>
          <cell r="S190">
            <v>-102</v>
          </cell>
          <cell r="T190">
            <v>-101</v>
          </cell>
          <cell r="U190">
            <v>-31</v>
          </cell>
          <cell r="V190">
            <v>103</v>
          </cell>
          <cell r="W190">
            <v>-131</v>
          </cell>
          <cell r="X190">
            <v>-66</v>
          </cell>
          <cell r="Y190">
            <v>122</v>
          </cell>
          <cell r="Z190">
            <v>-142</v>
          </cell>
          <cell r="AA190">
            <v>76</v>
          </cell>
          <cell r="AB190">
            <v>-10</v>
          </cell>
          <cell r="AC190">
            <v>-126</v>
          </cell>
          <cell r="AD190">
            <v>187</v>
          </cell>
          <cell r="AE190">
            <v>-135</v>
          </cell>
          <cell r="AF190">
            <v>324</v>
          </cell>
          <cell r="AG190">
            <v>250</v>
          </cell>
          <cell r="AH190">
            <v>151</v>
          </cell>
          <cell r="AI190">
            <v>335</v>
          </cell>
          <cell r="AJ190">
            <v>56</v>
          </cell>
          <cell r="AK190">
            <v>675</v>
          </cell>
          <cell r="AL190">
            <v>1217</v>
          </cell>
          <cell r="AM190">
            <v>278</v>
          </cell>
          <cell r="AN190">
            <v>325</v>
          </cell>
          <cell r="AO190">
            <v>307</v>
          </cell>
          <cell r="AP190">
            <v>516</v>
          </cell>
          <cell r="AQ190">
            <v>1426</v>
          </cell>
          <cell r="AR190">
            <v>501</v>
          </cell>
          <cell r="AS190">
            <v>28</v>
          </cell>
          <cell r="AT190">
            <v>98</v>
          </cell>
          <cell r="AZ190">
            <v>636</v>
          </cell>
          <cell r="BA190">
            <v>4</v>
          </cell>
          <cell r="BB190">
            <v>161</v>
          </cell>
          <cell r="BC190">
            <v>-8</v>
          </cell>
          <cell r="BD190">
            <v>-152</v>
          </cell>
          <cell r="BE190">
            <v>5</v>
          </cell>
          <cell r="BF190">
            <v>-173</v>
          </cell>
          <cell r="BG190">
            <v>8</v>
          </cell>
          <cell r="BH190">
            <v>7</v>
          </cell>
          <cell r="BI190">
            <v>-482</v>
          </cell>
          <cell r="BJ190">
            <v>-640</v>
          </cell>
          <cell r="BK190">
            <v>420</v>
          </cell>
          <cell r="BL190">
            <v>56</v>
          </cell>
          <cell r="BM190">
            <v>-151</v>
          </cell>
          <cell r="BN190">
            <v>-140</v>
          </cell>
          <cell r="BO190">
            <v>185</v>
          </cell>
          <cell r="BP190">
            <v>-438</v>
          </cell>
          <cell r="BQ190">
            <v>-446</v>
          </cell>
          <cell r="BR190">
            <v>52</v>
          </cell>
          <cell r="BS190">
            <v>-323</v>
          </cell>
          <cell r="BT190">
            <v>-1155</v>
          </cell>
          <cell r="BU190">
            <v>-265</v>
          </cell>
          <cell r="BV190">
            <v>135</v>
          </cell>
          <cell r="BW190">
            <v>-96</v>
          </cell>
          <cell r="BX190">
            <v>-191</v>
          </cell>
          <cell r="BY190">
            <v>-417</v>
          </cell>
          <cell r="BZ190">
            <v>-322</v>
          </cell>
          <cell r="CA190">
            <v>13</v>
          </cell>
          <cell r="CB190">
            <v>37</v>
          </cell>
          <cell r="CC190">
            <v>-67</v>
          </cell>
          <cell r="CD190">
            <v>-339</v>
          </cell>
          <cell r="CE190">
            <v>-108</v>
          </cell>
          <cell r="CF190">
            <v>99</v>
          </cell>
          <cell r="CG190">
            <v>29</v>
          </cell>
          <cell r="CH190">
            <v>-51</v>
          </cell>
          <cell r="CI190">
            <v>-31</v>
          </cell>
          <cell r="CJ190">
            <v>-105</v>
          </cell>
          <cell r="CK190">
            <v>114</v>
          </cell>
          <cell r="CL190">
            <v>8</v>
          </cell>
          <cell r="CM190">
            <v>-21</v>
          </cell>
          <cell r="CN190">
            <v>-4</v>
          </cell>
          <cell r="CO190">
            <v>-118</v>
          </cell>
          <cell r="CP190">
            <v>96</v>
          </cell>
          <cell r="CQ190">
            <v>48</v>
          </cell>
          <cell r="CR190">
            <v>-4</v>
          </cell>
          <cell r="CS190">
            <v>22</v>
          </cell>
          <cell r="CT190">
            <v>-178</v>
          </cell>
          <cell r="CU190">
            <v>127</v>
          </cell>
          <cell r="CV190">
            <v>28</v>
          </cell>
          <cell r="CW190">
            <v>71.113289465005181</v>
          </cell>
          <cell r="CX190">
            <v>48.113289465005181</v>
          </cell>
          <cell r="CY190">
            <v>-17.230000364815396</v>
          </cell>
          <cell r="CZ190">
            <v>37.853372851590791</v>
          </cell>
          <cell r="DA190">
            <v>66.543557086449312</v>
          </cell>
          <cell r="DB190">
            <v>41.859827247887324</v>
          </cell>
          <cell r="DC190">
            <v>129.02675682111203</v>
          </cell>
          <cell r="DD190">
            <v>78.397288335709931</v>
          </cell>
          <cell r="DE190">
            <v>74.413676442347537</v>
          </cell>
          <cell r="DF190">
            <v>86.55794656702713</v>
          </cell>
          <cell r="DG190">
            <v>63.792400624337006</v>
          </cell>
          <cell r="DH190">
            <v>303.1613119694216</v>
          </cell>
          <cell r="DI190">
            <v>71.764629943887002</v>
          </cell>
          <cell r="DJ190">
            <v>94.345687855502973</v>
          </cell>
          <cell r="DK190">
            <v>96.060000586998314</v>
          </cell>
          <cell r="DL190">
            <v>74.194727462313296</v>
          </cell>
          <cell r="DM190">
            <v>336.36504584870158</v>
          </cell>
          <cell r="DN190">
            <v>92.40165945675588</v>
          </cell>
          <cell r="DO190">
            <v>102.4639047374277</v>
          </cell>
          <cell r="DP190">
            <v>110.75558559919693</v>
          </cell>
          <cell r="DQ190">
            <v>87.138250806330291</v>
          </cell>
          <cell r="DR190">
            <v>392.75940059971077</v>
          </cell>
        </row>
        <row r="191">
          <cell r="B191" t="str">
            <v>y/y change</v>
          </cell>
          <cell r="I191" t="str">
            <v>nm</v>
          </cell>
          <cell r="J191" t="str">
            <v>nm</v>
          </cell>
          <cell r="K191" t="str">
            <v>nm</v>
          </cell>
          <cell r="L191" t="str">
            <v>nm</v>
          </cell>
          <cell r="M191" t="str">
            <v>nm</v>
          </cell>
          <cell r="N191" t="str">
            <v>nm</v>
          </cell>
          <cell r="O191" t="str">
            <v>nm</v>
          </cell>
          <cell r="P191" t="str">
            <v>nm</v>
          </cell>
          <cell r="Q191" t="str">
            <v>nm</v>
          </cell>
          <cell r="R191" t="str">
            <v>nm</v>
          </cell>
          <cell r="S191" t="str">
            <v>nm</v>
          </cell>
          <cell r="T191" t="str">
            <v>nm</v>
          </cell>
          <cell r="U191" t="str">
            <v>nm</v>
          </cell>
          <cell r="V191">
            <v>21.888888888888889</v>
          </cell>
          <cell r="W191" t="str">
            <v>nm</v>
          </cell>
          <cell r="X191" t="str">
            <v>nm</v>
          </cell>
          <cell r="Y191" t="str">
            <v>nm</v>
          </cell>
          <cell r="Z191" t="str">
            <v>nm</v>
          </cell>
          <cell r="AA191">
            <v>-0.26213592233009708</v>
          </cell>
          <cell r="AB191" t="str">
            <v>nm</v>
          </cell>
          <cell r="AC191" t="str">
            <v>nm</v>
          </cell>
          <cell r="AD191">
            <v>0.53278688524590168</v>
          </cell>
          <cell r="AE191" t="str">
            <v>nm</v>
          </cell>
          <cell r="AF191">
            <v>3.2631578947368425</v>
          </cell>
          <cell r="AG191" t="str">
            <v>nm</v>
          </cell>
          <cell r="AH191" t="str">
            <v>nm</v>
          </cell>
          <cell r="AI191">
            <v>0.79144385026737973</v>
          </cell>
          <cell r="AJ191" t="str">
            <v>nm</v>
          </cell>
          <cell r="AK191">
            <v>1.0833333333333335</v>
          </cell>
          <cell r="AL191">
            <v>3.8680000000000003</v>
          </cell>
          <cell r="AM191">
            <v>0.8410596026490067</v>
          </cell>
          <cell r="AN191">
            <v>-2.9850746268656692E-2</v>
          </cell>
          <cell r="AO191">
            <v>4.4821428571428568</v>
          </cell>
          <cell r="AP191">
            <v>-0.23555555555555552</v>
          </cell>
          <cell r="AQ191">
            <v>0.17173377156943292</v>
          </cell>
          <cell r="AR191">
            <v>0.80215827338129486</v>
          </cell>
          <cell r="AS191">
            <v>-0.91384615384615386</v>
          </cell>
          <cell r="AT191">
            <v>-0.6807817589576548</v>
          </cell>
          <cell r="BA191" t="str">
            <v>nm</v>
          </cell>
          <cell r="BB191" t="str">
            <v>nm</v>
          </cell>
          <cell r="BC191" t="str">
            <v>nm</v>
          </cell>
          <cell r="BD191" t="str">
            <v>nm</v>
          </cell>
          <cell r="BE191">
            <v>-0.99213836477987416</v>
          </cell>
          <cell r="BF191" t="str">
            <v>nm</v>
          </cell>
          <cell r="BG191">
            <v>-0.9503105590062112</v>
          </cell>
          <cell r="BH191" t="str">
            <v>nm</v>
          </cell>
          <cell r="BI191" t="str">
            <v>nm</v>
          </cell>
          <cell r="BJ191" t="str">
            <v>nm</v>
          </cell>
          <cell r="BK191" t="str">
            <v>nm</v>
          </cell>
          <cell r="BL191">
            <v>6</v>
          </cell>
          <cell r="BM191" t="str">
            <v>nm</v>
          </cell>
          <cell r="BN191" t="str">
            <v>nm</v>
          </cell>
          <cell r="BP191" t="str">
            <v>nm</v>
          </cell>
          <cell r="BQ191" t="str">
            <v>nm</v>
          </cell>
          <cell r="BR191" t="str">
            <v>nm</v>
          </cell>
          <cell r="BS191" t="str">
            <v>nm</v>
          </cell>
          <cell r="BT191" t="str">
            <v>nm</v>
          </cell>
          <cell r="BU191" t="str">
            <v>nm</v>
          </cell>
          <cell r="BV191" t="str">
            <v>nm</v>
          </cell>
          <cell r="BW191" t="str">
            <v>nm</v>
          </cell>
          <cell r="BX191" t="str">
            <v>nm</v>
          </cell>
          <cell r="BY191" t="str">
            <v>nm</v>
          </cell>
          <cell r="BZ191" t="str">
            <v>nm</v>
          </cell>
          <cell r="CA191" t="str">
            <v>nm</v>
          </cell>
          <cell r="CB191" t="str">
            <v>nm</v>
          </cell>
          <cell r="CC191" t="str">
            <v>nm</v>
          </cell>
          <cell r="CD191" t="str">
            <v>nm</v>
          </cell>
          <cell r="CE191" t="str">
            <v>nm</v>
          </cell>
          <cell r="CF191" t="str">
            <v>nm</v>
          </cell>
          <cell r="CG191">
            <v>-0.21621621621621623</v>
          </cell>
          <cell r="CH191" t="str">
            <v>nm</v>
          </cell>
          <cell r="CI191" t="str">
            <v>nm</v>
          </cell>
          <cell r="CJ191" t="str">
            <v>nm</v>
          </cell>
          <cell r="CK191">
            <v>0.1515151515151516</v>
          </cell>
          <cell r="CL191">
            <v>-0.72413793103448276</v>
          </cell>
          <cell r="CM191" t="str">
            <v>nm</v>
          </cell>
          <cell r="CN191" t="str">
            <v>nm</v>
          </cell>
          <cell r="CO191" t="str">
            <v>nm</v>
          </cell>
          <cell r="CP191">
            <v>-0.15789473684210531</v>
          </cell>
          <cell r="CQ191">
            <v>5</v>
          </cell>
          <cell r="CR191" t="str">
            <v>nm</v>
          </cell>
          <cell r="CS191" t="str">
            <v>nm</v>
          </cell>
          <cell r="CT191" t="str">
            <v>nm</v>
          </cell>
          <cell r="CU191">
            <v>0.32291666666666674</v>
          </cell>
          <cell r="CV191">
            <v>-0.41666666666666663</v>
          </cell>
          <cell r="CW191" t="str">
            <v>nm</v>
          </cell>
          <cell r="CX191">
            <v>1.1869677029547812</v>
          </cell>
          <cell r="CY191" t="str">
            <v>nm</v>
          </cell>
          <cell r="CZ191">
            <v>-0.70194194605046623</v>
          </cell>
          <cell r="DA191">
            <v>1.3765556102303327</v>
          </cell>
          <cell r="DB191">
            <v>-0.41136421106653309</v>
          </cell>
          <cell r="DC191">
            <v>1.6817280268263226</v>
          </cell>
          <cell r="DD191" t="str">
            <v>nm</v>
          </cell>
          <cell r="DE191">
            <v>0.96584005166716058</v>
          </cell>
          <cell r="DF191">
            <v>0.30077125956125772</v>
          </cell>
          <cell r="DG191">
            <v>0.52395279241284065</v>
          </cell>
          <cell r="DH191">
            <v>1.349600342119246</v>
          </cell>
          <cell r="DI191">
            <v>-8.4603160806032029E-2</v>
          </cell>
          <cell r="DJ191">
            <v>0.26785414141710739</v>
          </cell>
          <cell r="DK191">
            <v>0.10977679574010191</v>
          </cell>
          <cell r="DL191">
            <v>0.16306529831404037</v>
          </cell>
          <cell r="DM191">
            <v>0.10952497092580549</v>
          </cell>
          <cell r="DN191">
            <v>0.28756546963323082</v>
          </cell>
          <cell r="DO191">
            <v>8.6047566841193079E-2</v>
          </cell>
          <cell r="DP191">
            <v>0.15298339498644209</v>
          </cell>
          <cell r="DQ191">
            <v>0.17445341180869711</v>
          </cell>
          <cell r="DR191">
            <v>0.16765818995465898</v>
          </cell>
        </row>
        <row r="192">
          <cell r="CN192">
            <v>0.27682815832751495</v>
          </cell>
        </row>
        <row r="193">
          <cell r="B193" t="str">
            <v xml:space="preserve">Adjusted Cash Flow </v>
          </cell>
        </row>
        <row r="194">
          <cell r="B194" t="str">
            <v>Cash Flow from Operations</v>
          </cell>
          <cell r="D194">
            <v>-377.21100000000001</v>
          </cell>
          <cell r="E194">
            <v>56.711000000000013</v>
          </cell>
          <cell r="F194">
            <v>79.900000000000006</v>
          </cell>
          <cell r="G194">
            <v>233.6</v>
          </cell>
          <cell r="H194">
            <v>-7</v>
          </cell>
          <cell r="I194">
            <v>60.8</v>
          </cell>
          <cell r="J194">
            <v>-49.699999999999996</v>
          </cell>
          <cell r="K194">
            <v>68.2</v>
          </cell>
          <cell r="L194">
            <v>115.69999999999997</v>
          </cell>
          <cell r="M194">
            <v>195</v>
          </cell>
          <cell r="N194">
            <v>39.299999999999997</v>
          </cell>
          <cell r="O194">
            <v>-53.5</v>
          </cell>
          <cell r="P194">
            <v>269.09999999999997</v>
          </cell>
          <cell r="Q194">
            <v>149.10000000000002</v>
          </cell>
          <cell r="R194">
            <v>404</v>
          </cell>
          <cell r="S194">
            <v>1</v>
          </cell>
          <cell r="T194">
            <v>11</v>
          </cell>
          <cell r="U194">
            <v>125</v>
          </cell>
          <cell r="V194">
            <v>266</v>
          </cell>
          <cell r="W194">
            <v>403</v>
          </cell>
          <cell r="X194">
            <v>41</v>
          </cell>
          <cell r="Y194">
            <v>256</v>
          </cell>
          <cell r="Z194">
            <v>18</v>
          </cell>
          <cell r="AA194">
            <v>267</v>
          </cell>
          <cell r="AB194">
            <v>582</v>
          </cell>
          <cell r="AC194">
            <v>12</v>
          </cell>
          <cell r="AD194">
            <v>313</v>
          </cell>
          <cell r="AE194">
            <v>-3</v>
          </cell>
          <cell r="AF194">
            <v>547</v>
          </cell>
          <cell r="AG194">
            <v>869</v>
          </cell>
          <cell r="AH194">
            <v>271</v>
          </cell>
          <cell r="AI194">
            <v>454</v>
          </cell>
          <cell r="AJ194">
            <v>213</v>
          </cell>
          <cell r="AK194">
            <v>880</v>
          </cell>
          <cell r="AL194">
            <v>1818</v>
          </cell>
          <cell r="AM194">
            <v>487</v>
          </cell>
          <cell r="AN194">
            <v>531</v>
          </cell>
          <cell r="AO194">
            <v>475</v>
          </cell>
          <cell r="AP194">
            <v>822</v>
          </cell>
          <cell r="AQ194">
            <v>2315</v>
          </cell>
          <cell r="AR194">
            <v>696</v>
          </cell>
          <cell r="AS194">
            <v>246</v>
          </cell>
          <cell r="AT194">
            <v>327</v>
          </cell>
          <cell r="AZ194">
            <v>1126</v>
          </cell>
          <cell r="BA194">
            <v>224</v>
          </cell>
          <cell r="BB194">
            <v>359</v>
          </cell>
          <cell r="BC194">
            <v>137</v>
          </cell>
          <cell r="BD194">
            <v>118</v>
          </cell>
          <cell r="BE194">
            <v>838</v>
          </cell>
          <cell r="BF194">
            <v>-59</v>
          </cell>
          <cell r="BG194">
            <v>144</v>
          </cell>
          <cell r="BH194">
            <v>123</v>
          </cell>
          <cell r="BI194">
            <v>-290</v>
          </cell>
          <cell r="BJ194">
            <v>-82</v>
          </cell>
          <cell r="BK194">
            <v>516</v>
          </cell>
          <cell r="BL194">
            <v>184</v>
          </cell>
          <cell r="BM194">
            <v>-15</v>
          </cell>
          <cell r="BN194">
            <v>78</v>
          </cell>
          <cell r="BO194">
            <v>763</v>
          </cell>
          <cell r="BP194">
            <v>-321</v>
          </cell>
          <cell r="BQ194">
            <v>-320</v>
          </cell>
          <cell r="BR194">
            <v>200</v>
          </cell>
          <cell r="BS194">
            <v>-21</v>
          </cell>
          <cell r="BT194">
            <v>-462</v>
          </cell>
          <cell r="BU194">
            <v>-154</v>
          </cell>
          <cell r="BV194">
            <v>285</v>
          </cell>
          <cell r="BW194">
            <v>83</v>
          </cell>
          <cell r="BX194">
            <v>112</v>
          </cell>
          <cell r="BY194">
            <v>326</v>
          </cell>
          <cell r="BZ194">
            <v>-133</v>
          </cell>
          <cell r="CA194">
            <v>123</v>
          </cell>
          <cell r="CB194">
            <v>151</v>
          </cell>
          <cell r="CC194">
            <v>67</v>
          </cell>
          <cell r="CD194">
            <v>208</v>
          </cell>
          <cell r="CE194">
            <v>-6</v>
          </cell>
          <cell r="CF194">
            <v>170</v>
          </cell>
          <cell r="CG194">
            <v>120</v>
          </cell>
          <cell r="CH194">
            <v>141</v>
          </cell>
          <cell r="CI194">
            <v>425</v>
          </cell>
          <cell r="CJ194">
            <v>-22</v>
          </cell>
          <cell r="CK194">
            <v>191</v>
          </cell>
          <cell r="CL194">
            <v>128</v>
          </cell>
          <cell r="CM194">
            <v>175</v>
          </cell>
          <cell r="CN194">
            <v>472</v>
          </cell>
          <cell r="CO194">
            <v>-2</v>
          </cell>
          <cell r="CP194">
            <v>178</v>
          </cell>
          <cell r="CQ194">
            <v>148</v>
          </cell>
          <cell r="CR194">
            <v>173</v>
          </cell>
          <cell r="CS194">
            <v>497</v>
          </cell>
          <cell r="CT194">
            <v>-42</v>
          </cell>
          <cell r="CU194">
            <v>243</v>
          </cell>
          <cell r="CV194">
            <v>136</v>
          </cell>
          <cell r="CW194">
            <v>216.11328946500518</v>
          </cell>
          <cell r="CX194">
            <v>553.11328946500521</v>
          </cell>
          <cell r="CY194">
            <v>262.7699996351846</v>
          </cell>
          <cell r="CZ194">
            <v>167.85337285159079</v>
          </cell>
          <cell r="DA194">
            <v>196.54355708644931</v>
          </cell>
          <cell r="DB194">
            <v>176.85982724788732</v>
          </cell>
          <cell r="DC194">
            <v>804.02675682111203</v>
          </cell>
          <cell r="DD194">
            <v>208.39728833570993</v>
          </cell>
          <cell r="DE194">
            <v>204.41367644234754</v>
          </cell>
          <cell r="DF194">
            <v>216.55794656702713</v>
          </cell>
          <cell r="DG194">
            <v>193.79240062433701</v>
          </cell>
          <cell r="DH194">
            <v>823.1613119694216</v>
          </cell>
          <cell r="DI194">
            <v>201.764629943887</v>
          </cell>
          <cell r="DJ194">
            <v>224.34568785550297</v>
          </cell>
          <cell r="DK194">
            <v>226.06000058699831</v>
          </cell>
          <cell r="DL194">
            <v>204.1947274623133</v>
          </cell>
          <cell r="DM194">
            <v>856.36504584870158</v>
          </cell>
          <cell r="DN194">
            <v>222.40165945675588</v>
          </cell>
          <cell r="DO194">
            <v>232.4639047374277</v>
          </cell>
          <cell r="DP194">
            <v>240.75558559919693</v>
          </cell>
          <cell r="DQ194">
            <v>217.13825080633029</v>
          </cell>
          <cell r="DR194">
            <v>912.75940059971072</v>
          </cell>
        </row>
        <row r="195">
          <cell r="B195" t="str">
            <v>less: income tax (payments) refunds, net</v>
          </cell>
          <cell r="D195">
            <v>-34.18</v>
          </cell>
          <cell r="E195">
            <v>-4.7199999999999989</v>
          </cell>
          <cell r="F195">
            <v>0</v>
          </cell>
          <cell r="G195">
            <v>-6.1000000000000014</v>
          </cell>
          <cell r="H195">
            <v>-45</v>
          </cell>
          <cell r="I195">
            <v>0</v>
          </cell>
          <cell r="J195">
            <v>-19.7</v>
          </cell>
          <cell r="K195">
            <v>-6.4000000000000021</v>
          </cell>
          <cell r="L195">
            <v>-1.8999999999999986</v>
          </cell>
          <cell r="M195">
            <v>-28</v>
          </cell>
          <cell r="N195">
            <v>-20.5</v>
          </cell>
          <cell r="O195">
            <v>-76.900000000000006</v>
          </cell>
          <cell r="P195">
            <v>-18.899999999999991</v>
          </cell>
          <cell r="Q195">
            <v>-30.700000000000017</v>
          </cell>
          <cell r="R195">
            <v>-147</v>
          </cell>
          <cell r="S195">
            <v>-7</v>
          </cell>
          <cell r="T195">
            <v>-5</v>
          </cell>
          <cell r="U195">
            <v>1</v>
          </cell>
          <cell r="V195">
            <v>0</v>
          </cell>
          <cell r="W195">
            <v>-11</v>
          </cell>
          <cell r="X195">
            <v>48</v>
          </cell>
          <cell r="Y195">
            <v>-18</v>
          </cell>
          <cell r="Z195">
            <v>0</v>
          </cell>
          <cell r="AA195">
            <v>-23</v>
          </cell>
          <cell r="AB195">
            <v>7</v>
          </cell>
          <cell r="AC195">
            <v>-4</v>
          </cell>
          <cell r="AD195">
            <v>-37</v>
          </cell>
          <cell r="AE195">
            <v>-135</v>
          </cell>
          <cell r="AF195">
            <v>-50</v>
          </cell>
          <cell r="AG195">
            <v>-226</v>
          </cell>
          <cell r="AH195">
            <v>0.5</v>
          </cell>
          <cell r="AI195">
            <v>-111.5</v>
          </cell>
          <cell r="AJ195">
            <v>-79</v>
          </cell>
          <cell r="AK195">
            <v>-67</v>
          </cell>
          <cell r="AL195">
            <v>-257</v>
          </cell>
          <cell r="AM195">
            <v>2</v>
          </cell>
          <cell r="AN195">
            <v>-94</v>
          </cell>
          <cell r="AO195">
            <v>-161</v>
          </cell>
          <cell r="AP195">
            <v>-15</v>
          </cell>
          <cell r="AQ195">
            <v>-268</v>
          </cell>
          <cell r="AR195">
            <v>-23</v>
          </cell>
          <cell r="AS195">
            <v>329</v>
          </cell>
          <cell r="AT195">
            <v>215</v>
          </cell>
          <cell r="AZ195">
            <v>-268</v>
          </cell>
          <cell r="BA195">
            <v>-215</v>
          </cell>
          <cell r="BB195">
            <v>-99</v>
          </cell>
          <cell r="BC195">
            <v>-20</v>
          </cell>
          <cell r="BD195">
            <v>-17</v>
          </cell>
          <cell r="BE195">
            <v>-351</v>
          </cell>
          <cell r="BF195">
            <v>-25</v>
          </cell>
          <cell r="BG195">
            <v>-28</v>
          </cell>
          <cell r="BH195">
            <v>0</v>
          </cell>
          <cell r="BI195">
            <v>7</v>
          </cell>
          <cell r="BJ195">
            <v>-46</v>
          </cell>
          <cell r="BY195">
            <v>-162</v>
          </cell>
          <cell r="BZ195">
            <v>-1</v>
          </cell>
          <cell r="CA195">
            <v>4</v>
          </cell>
          <cell r="CB195">
            <v>0</v>
          </cell>
          <cell r="CC195">
            <v>1</v>
          </cell>
          <cell r="CD195">
            <v>4</v>
          </cell>
          <cell r="CE195">
            <v>0</v>
          </cell>
          <cell r="CF195">
            <v>-22</v>
          </cell>
          <cell r="CG195">
            <v>7</v>
          </cell>
          <cell r="CH195">
            <v>58</v>
          </cell>
          <cell r="CI195">
            <v>43</v>
          </cell>
          <cell r="CJ195">
            <v>-17</v>
          </cell>
          <cell r="CK195">
            <v>-17</v>
          </cell>
          <cell r="CL195">
            <v>0</v>
          </cell>
          <cell r="CM195">
            <v>0</v>
          </cell>
          <cell r="CN195">
            <v>-34</v>
          </cell>
          <cell r="CO195">
            <v>24</v>
          </cell>
          <cell r="CP195">
            <v>-4</v>
          </cell>
          <cell r="CQ195">
            <v>-11</v>
          </cell>
          <cell r="CR195">
            <v>0</v>
          </cell>
          <cell r="CS195">
            <v>9</v>
          </cell>
          <cell r="CT195">
            <v>0</v>
          </cell>
          <cell r="CU195">
            <v>0</v>
          </cell>
          <cell r="CV195">
            <v>0</v>
          </cell>
          <cell r="CW195">
            <v>0</v>
          </cell>
          <cell r="CX195">
            <v>0</v>
          </cell>
          <cell r="CY195">
            <v>0</v>
          </cell>
          <cell r="CZ195">
            <v>0</v>
          </cell>
          <cell r="DA195">
            <v>0</v>
          </cell>
          <cell r="DB195">
            <v>0</v>
          </cell>
          <cell r="DC195">
            <v>0</v>
          </cell>
          <cell r="DD195">
            <v>0</v>
          </cell>
          <cell r="DE195">
            <v>0</v>
          </cell>
          <cell r="DF195">
            <v>0</v>
          </cell>
          <cell r="DG195">
            <v>0</v>
          </cell>
          <cell r="DH195">
            <v>0</v>
          </cell>
          <cell r="DI195">
            <v>0</v>
          </cell>
          <cell r="DJ195">
            <v>0</v>
          </cell>
          <cell r="DK195">
            <v>0</v>
          </cell>
          <cell r="DL195">
            <v>0</v>
          </cell>
          <cell r="DM195">
            <v>0</v>
          </cell>
          <cell r="DN195">
            <v>0</v>
          </cell>
          <cell r="DO195">
            <v>0</v>
          </cell>
          <cell r="DP195">
            <v>0</v>
          </cell>
          <cell r="DQ195">
            <v>0</v>
          </cell>
          <cell r="DR195">
            <v>0</v>
          </cell>
        </row>
        <row r="196">
          <cell r="B196" t="str">
            <v>less: insurance recoveries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cell r="BR196">
            <v>0</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cell r="CH196">
            <v>0</v>
          </cell>
          <cell r="CI196">
            <v>0</v>
          </cell>
          <cell r="CJ196">
            <v>0</v>
          </cell>
          <cell r="CK196">
            <v>0</v>
          </cell>
          <cell r="CL196">
            <v>0</v>
          </cell>
          <cell r="CM196">
            <v>0</v>
          </cell>
          <cell r="CN196">
            <v>0</v>
          </cell>
          <cell r="CO196">
            <v>0</v>
          </cell>
          <cell r="CP196">
            <v>0</v>
          </cell>
          <cell r="CQ196">
            <v>0</v>
          </cell>
          <cell r="CR196">
            <v>0</v>
          </cell>
          <cell r="CS196">
            <v>0</v>
          </cell>
          <cell r="CT196">
            <v>0</v>
          </cell>
          <cell r="CU196">
            <v>0</v>
          </cell>
          <cell r="CV196">
            <v>0</v>
          </cell>
          <cell r="CW196">
            <v>0</v>
          </cell>
          <cell r="CX196">
            <v>0</v>
          </cell>
          <cell r="CY196">
            <v>0</v>
          </cell>
          <cell r="CZ196">
            <v>0</v>
          </cell>
          <cell r="DA196">
            <v>0</v>
          </cell>
          <cell r="DB196">
            <v>0</v>
          </cell>
          <cell r="DC196">
            <v>0</v>
          </cell>
          <cell r="DD196">
            <v>0</v>
          </cell>
          <cell r="DE196">
            <v>0</v>
          </cell>
          <cell r="DF196">
            <v>0</v>
          </cell>
          <cell r="DG196">
            <v>0</v>
          </cell>
          <cell r="DH196">
            <v>0</v>
          </cell>
          <cell r="DI196">
            <v>0</v>
          </cell>
          <cell r="DJ196">
            <v>0</v>
          </cell>
          <cell r="DK196">
            <v>0</v>
          </cell>
          <cell r="DL196">
            <v>0</v>
          </cell>
          <cell r="DM196">
            <v>0</v>
          </cell>
          <cell r="DN196">
            <v>0</v>
          </cell>
          <cell r="DO196">
            <v>0</v>
          </cell>
          <cell r="DP196">
            <v>0</v>
          </cell>
          <cell r="DQ196">
            <v>0</v>
          </cell>
          <cell r="DR196">
            <v>0</v>
          </cell>
        </row>
        <row r="197">
          <cell r="B197" t="str">
            <v>less: payment against litigation &amp; restructuring</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Z197">
            <v>18</v>
          </cell>
          <cell r="BA197">
            <v>0</v>
          </cell>
          <cell r="BB197">
            <v>0</v>
          </cell>
          <cell r="BC197">
            <v>0</v>
          </cell>
          <cell r="BD197">
            <v>148</v>
          </cell>
          <cell r="BE197">
            <v>148</v>
          </cell>
          <cell r="BF197">
            <v>187</v>
          </cell>
          <cell r="BG197">
            <v>57</v>
          </cell>
          <cell r="BH197">
            <v>5</v>
          </cell>
          <cell r="BI197">
            <v>31</v>
          </cell>
          <cell r="BJ197">
            <v>280</v>
          </cell>
          <cell r="BK197">
            <v>14</v>
          </cell>
          <cell r="BL197">
            <v>28</v>
          </cell>
          <cell r="BM197">
            <v>31</v>
          </cell>
          <cell r="BN197">
            <v>27</v>
          </cell>
          <cell r="BO197">
            <v>100</v>
          </cell>
          <cell r="BP197">
            <v>175</v>
          </cell>
          <cell r="BQ197">
            <v>489</v>
          </cell>
          <cell r="BR197">
            <v>19</v>
          </cell>
          <cell r="BS197">
            <v>15</v>
          </cell>
          <cell r="BT197">
            <v>698</v>
          </cell>
          <cell r="BU197">
            <v>7</v>
          </cell>
          <cell r="BV197">
            <v>21</v>
          </cell>
          <cell r="BW197">
            <v>11</v>
          </cell>
          <cell r="BX197">
            <v>31</v>
          </cell>
          <cell r="BY197">
            <v>70</v>
          </cell>
          <cell r="BZ197">
            <v>27</v>
          </cell>
          <cell r="CA197">
            <v>29</v>
          </cell>
          <cell r="CB197">
            <v>23</v>
          </cell>
          <cell r="CC197">
            <v>21</v>
          </cell>
          <cell r="CD197">
            <v>100</v>
          </cell>
          <cell r="CE197">
            <v>28</v>
          </cell>
          <cell r="CF197">
            <v>28</v>
          </cell>
          <cell r="CG197">
            <v>109</v>
          </cell>
          <cell r="CH197">
            <v>27</v>
          </cell>
          <cell r="CI197">
            <v>192</v>
          </cell>
          <cell r="CJ197">
            <v>24</v>
          </cell>
          <cell r="CK197">
            <v>27</v>
          </cell>
          <cell r="CL197">
            <v>25</v>
          </cell>
          <cell r="CM197">
            <v>7</v>
          </cell>
          <cell r="CN197">
            <v>83</v>
          </cell>
          <cell r="CO197">
            <v>7</v>
          </cell>
          <cell r="CP197">
            <v>14</v>
          </cell>
          <cell r="CQ197">
            <v>6</v>
          </cell>
          <cell r="CR197">
            <v>17</v>
          </cell>
          <cell r="CS197">
            <v>44</v>
          </cell>
          <cell r="CT197">
            <v>11</v>
          </cell>
          <cell r="CU197">
            <v>39</v>
          </cell>
          <cell r="CV197">
            <v>6</v>
          </cell>
          <cell r="CW197">
            <v>0</v>
          </cell>
          <cell r="CX197">
            <v>56</v>
          </cell>
          <cell r="CY197">
            <v>-3</v>
          </cell>
          <cell r="CZ197">
            <v>0</v>
          </cell>
          <cell r="DA197">
            <v>0</v>
          </cell>
          <cell r="DB197">
            <v>0</v>
          </cell>
          <cell r="DC197">
            <v>-3</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row>
        <row r="198">
          <cell r="B198" t="str">
            <v>less: net cash from discontinued operations</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8</v>
          </cell>
          <cell r="Y198">
            <v>12</v>
          </cell>
          <cell r="Z198">
            <v>17</v>
          </cell>
          <cell r="AA198">
            <v>-37</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Z198">
            <v>0</v>
          </cell>
          <cell r="BA198">
            <v>0</v>
          </cell>
          <cell r="BB198">
            <v>0</v>
          </cell>
          <cell r="BC198">
            <v>0</v>
          </cell>
          <cell r="BD198">
            <v>0</v>
          </cell>
          <cell r="BE198">
            <v>0</v>
          </cell>
          <cell r="BF198">
            <v>-46</v>
          </cell>
          <cell r="BG198">
            <v>-27</v>
          </cell>
          <cell r="BH198">
            <v>42</v>
          </cell>
          <cell r="BI198">
            <v>439</v>
          </cell>
          <cell r="BJ198">
            <v>408</v>
          </cell>
          <cell r="BK198">
            <v>-45</v>
          </cell>
          <cell r="BL198">
            <v>-32</v>
          </cell>
          <cell r="BM198">
            <v>24</v>
          </cell>
          <cell r="BN198">
            <v>8</v>
          </cell>
          <cell r="BO198">
            <v>-45</v>
          </cell>
          <cell r="BP198">
            <v>8</v>
          </cell>
          <cell r="BQ198">
            <v>41</v>
          </cell>
          <cell r="BR198">
            <v>-21</v>
          </cell>
          <cell r="BS198">
            <v>-5</v>
          </cell>
          <cell r="BT198">
            <v>23</v>
          </cell>
          <cell r="BU198">
            <v>-17</v>
          </cell>
          <cell r="BV198">
            <v>8</v>
          </cell>
          <cell r="BW198">
            <v>6</v>
          </cell>
          <cell r="BX198">
            <v>-22</v>
          </cell>
          <cell r="BY198">
            <v>-32</v>
          </cell>
          <cell r="BZ198">
            <v>0</v>
          </cell>
          <cell r="CA198">
            <v>-2</v>
          </cell>
          <cell r="CB198">
            <v>-34</v>
          </cell>
          <cell r="CC198">
            <v>12</v>
          </cell>
          <cell r="CD198">
            <v>-24</v>
          </cell>
          <cell r="CE198">
            <v>-56</v>
          </cell>
          <cell r="CF198">
            <v>28</v>
          </cell>
          <cell r="CG198">
            <v>-3</v>
          </cell>
          <cell r="CH198">
            <v>-9</v>
          </cell>
          <cell r="CI198">
            <v>-40</v>
          </cell>
          <cell r="CJ198">
            <v>-2</v>
          </cell>
          <cell r="CK198">
            <v>-3</v>
          </cell>
          <cell r="CL198">
            <v>7</v>
          </cell>
          <cell r="CM198">
            <v>-2</v>
          </cell>
          <cell r="CN198">
            <v>0</v>
          </cell>
          <cell r="CO198">
            <v>13</v>
          </cell>
          <cell r="CP198">
            <v>6</v>
          </cell>
          <cell r="CQ198">
            <v>22</v>
          </cell>
          <cell r="CR198">
            <v>6</v>
          </cell>
          <cell r="CS198">
            <v>47</v>
          </cell>
          <cell r="CT198">
            <v>19</v>
          </cell>
          <cell r="CU198">
            <v>3</v>
          </cell>
          <cell r="CV198">
            <v>-3</v>
          </cell>
          <cell r="CW198">
            <v>0</v>
          </cell>
          <cell r="CX198">
            <v>19</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row>
        <row r="199">
          <cell r="B199" t="str">
            <v>Adjusted Cash Flow from Operations</v>
          </cell>
          <cell r="D199">
            <v>-411.39100000000002</v>
          </cell>
          <cell r="E199">
            <v>51.991000000000014</v>
          </cell>
          <cell r="F199">
            <v>79.900000000000006</v>
          </cell>
          <cell r="G199">
            <v>227.5</v>
          </cell>
          <cell r="H199">
            <v>-52</v>
          </cell>
          <cell r="I199">
            <v>60.8</v>
          </cell>
          <cell r="J199">
            <v>-69.399999999999991</v>
          </cell>
          <cell r="K199">
            <v>61.8</v>
          </cell>
          <cell r="L199">
            <v>113.79999999999998</v>
          </cell>
          <cell r="M199">
            <v>167</v>
          </cell>
          <cell r="N199">
            <v>18.799999999999997</v>
          </cell>
          <cell r="O199">
            <v>-130.4</v>
          </cell>
          <cell r="P199">
            <v>250.2</v>
          </cell>
          <cell r="Q199">
            <v>118.4</v>
          </cell>
          <cell r="R199">
            <v>257</v>
          </cell>
          <cell r="S199">
            <v>-6</v>
          </cell>
          <cell r="T199">
            <v>6</v>
          </cell>
          <cell r="U199">
            <v>126</v>
          </cell>
          <cell r="V199">
            <v>266</v>
          </cell>
          <cell r="W199">
            <v>392</v>
          </cell>
          <cell r="X199">
            <v>97</v>
          </cell>
          <cell r="Y199">
            <v>250</v>
          </cell>
          <cell r="Z199">
            <v>35</v>
          </cell>
          <cell r="AA199">
            <v>207</v>
          </cell>
          <cell r="AB199">
            <v>589</v>
          </cell>
          <cell r="AC199">
            <v>8</v>
          </cell>
          <cell r="AD199">
            <v>276</v>
          </cell>
          <cell r="AE199">
            <v>-138</v>
          </cell>
          <cell r="AF199">
            <v>497</v>
          </cell>
          <cell r="AG199">
            <v>643</v>
          </cell>
          <cell r="AH199">
            <v>271.5</v>
          </cell>
          <cell r="AI199">
            <v>342.5</v>
          </cell>
          <cell r="AJ199">
            <v>134</v>
          </cell>
          <cell r="AK199">
            <v>813</v>
          </cell>
          <cell r="AL199">
            <v>1561</v>
          </cell>
          <cell r="AM199">
            <v>489</v>
          </cell>
          <cell r="AN199">
            <v>437</v>
          </cell>
          <cell r="AO199">
            <v>314</v>
          </cell>
          <cell r="AP199">
            <v>807</v>
          </cell>
          <cell r="AQ199">
            <v>2047</v>
          </cell>
          <cell r="AR199">
            <v>673</v>
          </cell>
          <cell r="AS199">
            <v>575</v>
          </cell>
          <cell r="AT199">
            <v>542</v>
          </cell>
          <cell r="AZ199">
            <v>876</v>
          </cell>
          <cell r="BA199">
            <v>9</v>
          </cell>
          <cell r="BB199">
            <v>260</v>
          </cell>
          <cell r="BC199">
            <v>117</v>
          </cell>
          <cell r="BD199">
            <v>249</v>
          </cell>
          <cell r="BE199">
            <v>635</v>
          </cell>
          <cell r="BF199">
            <v>57</v>
          </cell>
          <cell r="BG199">
            <v>146</v>
          </cell>
          <cell r="BH199">
            <v>170</v>
          </cell>
          <cell r="BI199">
            <v>187</v>
          </cell>
          <cell r="BJ199">
            <v>560</v>
          </cell>
          <cell r="BK199">
            <v>485</v>
          </cell>
          <cell r="BL199">
            <v>180</v>
          </cell>
          <cell r="BM199">
            <v>40</v>
          </cell>
          <cell r="BN199">
            <v>113</v>
          </cell>
          <cell r="BO199">
            <v>818</v>
          </cell>
          <cell r="BP199">
            <v>-138</v>
          </cell>
          <cell r="BQ199">
            <v>210</v>
          </cell>
          <cell r="BR199">
            <v>198</v>
          </cell>
          <cell r="BS199">
            <v>-11</v>
          </cell>
          <cell r="BT199">
            <v>259</v>
          </cell>
          <cell r="BU199">
            <v>-164</v>
          </cell>
          <cell r="BV199">
            <v>314</v>
          </cell>
          <cell r="BW199">
            <v>100</v>
          </cell>
          <cell r="BX199">
            <v>121</v>
          </cell>
          <cell r="BY199">
            <v>202</v>
          </cell>
          <cell r="BZ199">
            <v>-107</v>
          </cell>
          <cell r="CA199">
            <v>154</v>
          </cell>
          <cell r="CB199">
            <v>140</v>
          </cell>
          <cell r="CC199">
            <v>101</v>
          </cell>
          <cell r="CD199">
            <v>288</v>
          </cell>
          <cell r="CE199">
            <v>-34</v>
          </cell>
          <cell r="CF199">
            <v>204</v>
          </cell>
          <cell r="CG199">
            <v>233</v>
          </cell>
          <cell r="CH199">
            <v>217</v>
          </cell>
          <cell r="CI199">
            <v>620</v>
          </cell>
          <cell r="CJ199">
            <v>-17</v>
          </cell>
          <cell r="CK199">
            <v>198</v>
          </cell>
          <cell r="CL199">
            <v>160</v>
          </cell>
          <cell r="CM199">
            <v>180</v>
          </cell>
          <cell r="CN199">
            <v>521</v>
          </cell>
          <cell r="CO199">
            <v>42</v>
          </cell>
          <cell r="CP199">
            <v>194</v>
          </cell>
          <cell r="CQ199">
            <v>165</v>
          </cell>
          <cell r="CR199">
            <v>196</v>
          </cell>
          <cell r="CS199">
            <v>597</v>
          </cell>
          <cell r="CT199">
            <v>-12</v>
          </cell>
          <cell r="CU199">
            <v>285</v>
          </cell>
          <cell r="CV199">
            <v>139</v>
          </cell>
          <cell r="CW199">
            <v>216.11328946500518</v>
          </cell>
          <cell r="CX199">
            <v>628.11328946500521</v>
          </cell>
          <cell r="CY199">
            <v>259.7699996351846</v>
          </cell>
          <cell r="CZ199">
            <v>167.85337285159079</v>
          </cell>
          <cell r="DA199">
            <v>196.54355708644931</v>
          </cell>
          <cell r="DB199">
            <v>176.85982724788732</v>
          </cell>
          <cell r="DC199">
            <v>801.02675682111203</v>
          </cell>
          <cell r="DD199">
            <v>208.39728833570993</v>
          </cell>
          <cell r="DE199">
            <v>204.41367644234754</v>
          </cell>
          <cell r="DF199">
            <v>216.55794656702713</v>
          </cell>
          <cell r="DG199">
            <v>193.79240062433701</v>
          </cell>
          <cell r="DH199">
            <v>823.1613119694216</v>
          </cell>
          <cell r="DI199">
            <v>201.764629943887</v>
          </cell>
          <cell r="DJ199">
            <v>224.34568785550297</v>
          </cell>
          <cell r="DK199">
            <v>226.06000058699831</v>
          </cell>
          <cell r="DL199">
            <v>204.1947274623133</v>
          </cell>
          <cell r="DM199">
            <v>856.36504584870158</v>
          </cell>
          <cell r="DN199">
            <v>222.40165945675588</v>
          </cell>
          <cell r="DO199">
            <v>232.4639047374277</v>
          </cell>
          <cell r="DP199">
            <v>240.75558559919693</v>
          </cell>
          <cell r="DQ199">
            <v>217.13825080633029</v>
          </cell>
          <cell r="DR199">
            <v>912.75940059971072</v>
          </cell>
        </row>
        <row r="200">
          <cell r="B200" t="str">
            <v>Capital expenditures</v>
          </cell>
          <cell r="D200">
            <v>-28.175999999999998</v>
          </cell>
          <cell r="E200">
            <v>-31.424000000000003</v>
          </cell>
          <cell r="F200">
            <v>-40.9</v>
          </cell>
          <cell r="G200">
            <v>-163.5</v>
          </cell>
          <cell r="H200">
            <v>-264</v>
          </cell>
          <cell r="I200">
            <v>-95.1</v>
          </cell>
          <cell r="J200">
            <v>-65.400000000000006</v>
          </cell>
          <cell r="K200">
            <v>-74.800000000000011</v>
          </cell>
          <cell r="L200">
            <v>-134.69999999999999</v>
          </cell>
          <cell r="M200">
            <v>-370</v>
          </cell>
          <cell r="N200">
            <v>-43.4</v>
          </cell>
          <cell r="O200">
            <v>-52.000000000000007</v>
          </cell>
          <cell r="P200">
            <v>-165.99999999999997</v>
          </cell>
          <cell r="Q200">
            <v>-144.60000000000002</v>
          </cell>
          <cell r="R200">
            <v>-406</v>
          </cell>
          <cell r="S200">
            <v>-103</v>
          </cell>
          <cell r="T200">
            <v>-112</v>
          </cell>
          <cell r="U200">
            <v>-156</v>
          </cell>
          <cell r="V200">
            <v>-163</v>
          </cell>
          <cell r="W200">
            <v>-534</v>
          </cell>
          <cell r="X200">
            <v>-107</v>
          </cell>
          <cell r="Y200">
            <v>-134</v>
          </cell>
          <cell r="Z200">
            <v>-160</v>
          </cell>
          <cell r="AA200">
            <v>-191</v>
          </cell>
          <cell r="AB200">
            <v>-592</v>
          </cell>
          <cell r="AC200">
            <v>-138</v>
          </cell>
          <cell r="AD200">
            <v>-126</v>
          </cell>
          <cell r="AE200">
            <v>-132</v>
          </cell>
          <cell r="AF200">
            <v>-223</v>
          </cell>
          <cell r="AG200">
            <v>-619</v>
          </cell>
          <cell r="AH200">
            <v>-120</v>
          </cell>
          <cell r="AI200">
            <v>-119</v>
          </cell>
          <cell r="AJ200">
            <v>-157</v>
          </cell>
          <cell r="AK200">
            <v>-205</v>
          </cell>
          <cell r="AL200">
            <v>-601</v>
          </cell>
          <cell r="AM200">
            <v>-209</v>
          </cell>
          <cell r="AN200">
            <v>-206</v>
          </cell>
          <cell r="AO200">
            <v>-168</v>
          </cell>
          <cell r="AP200">
            <v>-306</v>
          </cell>
          <cell r="AQ200">
            <v>-889</v>
          </cell>
          <cell r="AR200">
            <v>-195</v>
          </cell>
          <cell r="AS200">
            <v>-218</v>
          </cell>
          <cell r="AT200">
            <v>-229</v>
          </cell>
          <cell r="AZ200">
            <v>-490</v>
          </cell>
          <cell r="BA200">
            <v>-220</v>
          </cell>
          <cell r="BB200">
            <v>-198</v>
          </cell>
          <cell r="BC200">
            <v>-145</v>
          </cell>
          <cell r="BD200">
            <v>-190</v>
          </cell>
          <cell r="BE200">
            <v>-753</v>
          </cell>
          <cell r="BF200">
            <v>-82</v>
          </cell>
          <cell r="BG200">
            <v>-93</v>
          </cell>
          <cell r="BH200">
            <v>-96</v>
          </cell>
          <cell r="BI200">
            <v>-183</v>
          </cell>
          <cell r="BJ200">
            <v>-454</v>
          </cell>
          <cell r="BK200">
            <v>-96</v>
          </cell>
          <cell r="BL200">
            <v>-127</v>
          </cell>
          <cell r="BM200">
            <v>-135</v>
          </cell>
          <cell r="BN200">
            <v>-218</v>
          </cell>
          <cell r="BO200">
            <v>-576</v>
          </cell>
          <cell r="BP200">
            <v>-116</v>
          </cell>
          <cell r="BQ200">
            <v>-97</v>
          </cell>
          <cell r="BR200">
            <v>-133</v>
          </cell>
          <cell r="BS200">
            <v>-297</v>
          </cell>
          <cell r="BT200">
            <v>-643</v>
          </cell>
          <cell r="BU200">
            <v>-110</v>
          </cell>
          <cell r="BV200">
            <v>-148</v>
          </cell>
          <cell r="BW200">
            <v>-171</v>
          </cell>
          <cell r="BX200">
            <v>-300</v>
          </cell>
          <cell r="BY200">
            <v>-729</v>
          </cell>
          <cell r="BZ200">
            <v>-157</v>
          </cell>
          <cell r="CA200">
            <v>-101</v>
          </cell>
          <cell r="CB200">
            <v>-108</v>
          </cell>
          <cell r="CC200">
            <v>-130</v>
          </cell>
          <cell r="CD200">
            <v>-496</v>
          </cell>
          <cell r="CE200">
            <v>-101</v>
          </cell>
          <cell r="CF200">
            <v>-71</v>
          </cell>
          <cell r="CG200">
            <v>-91</v>
          </cell>
          <cell r="CH200">
            <v>-192</v>
          </cell>
          <cell r="CI200">
            <v>-455</v>
          </cell>
          <cell r="CJ200">
            <v>-83</v>
          </cell>
          <cell r="CK200">
            <v>-77</v>
          </cell>
          <cell r="CL200">
            <v>-107</v>
          </cell>
          <cell r="CM200">
            <v>-196</v>
          </cell>
          <cell r="CN200">
            <v>-463</v>
          </cell>
          <cell r="CO200">
            <v>-116</v>
          </cell>
          <cell r="CP200">
            <v>-82</v>
          </cell>
          <cell r="CQ200">
            <v>-100</v>
          </cell>
          <cell r="CR200">
            <v>-177</v>
          </cell>
          <cell r="CS200">
            <v>-475</v>
          </cell>
          <cell r="CT200">
            <v>-136</v>
          </cell>
          <cell r="CU200">
            <v>-115</v>
          </cell>
          <cell r="CV200">
            <v>-107</v>
          </cell>
          <cell r="CW200">
            <v>-125</v>
          </cell>
          <cell r="CX200">
            <v>-483</v>
          </cell>
          <cell r="CY200">
            <v>-115</v>
          </cell>
          <cell r="CZ200">
            <v>-115</v>
          </cell>
          <cell r="DA200">
            <v>-115</v>
          </cell>
          <cell r="DB200">
            <v>-115</v>
          </cell>
          <cell r="DC200">
            <v>-460</v>
          </cell>
          <cell r="DD200">
            <v>-115</v>
          </cell>
          <cell r="DE200">
            <v>-115</v>
          </cell>
          <cell r="DF200">
            <v>-115</v>
          </cell>
          <cell r="DG200">
            <v>-115</v>
          </cell>
          <cell r="DH200">
            <v>-460</v>
          </cell>
          <cell r="DI200">
            <v>-115</v>
          </cell>
          <cell r="DJ200">
            <v>-115</v>
          </cell>
          <cell r="DK200">
            <v>-115</v>
          </cell>
          <cell r="DL200">
            <v>-115</v>
          </cell>
          <cell r="DM200">
            <v>-460</v>
          </cell>
          <cell r="DN200">
            <v>-115</v>
          </cell>
          <cell r="DO200">
            <v>-115</v>
          </cell>
          <cell r="DP200">
            <v>-115</v>
          </cell>
          <cell r="DQ200">
            <v>-115</v>
          </cell>
          <cell r="DR200">
            <v>-460</v>
          </cell>
        </row>
        <row r="201">
          <cell r="B201" t="str">
            <v>Hospital construction</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Z201">
            <v>0</v>
          </cell>
          <cell r="BA201">
            <v>0</v>
          </cell>
          <cell r="BB201">
            <v>0</v>
          </cell>
          <cell r="BC201">
            <v>0</v>
          </cell>
          <cell r="BD201">
            <v>-80</v>
          </cell>
          <cell r="BE201">
            <v>-80</v>
          </cell>
          <cell r="BF201">
            <v>-27</v>
          </cell>
          <cell r="BG201">
            <v>-38</v>
          </cell>
          <cell r="BH201">
            <v>-14</v>
          </cell>
          <cell r="BI201">
            <v>-5</v>
          </cell>
          <cell r="BJ201">
            <v>-84</v>
          </cell>
          <cell r="BK201">
            <v>0</v>
          </cell>
          <cell r="BL201">
            <v>0</v>
          </cell>
          <cell r="BM201">
            <v>0</v>
          </cell>
          <cell r="BN201">
            <v>0</v>
          </cell>
          <cell r="BO201">
            <v>0</v>
          </cell>
          <cell r="BP201">
            <v>0</v>
          </cell>
          <cell r="BQ201">
            <v>0</v>
          </cell>
          <cell r="BR201">
            <v>0</v>
          </cell>
          <cell r="BS201">
            <v>0</v>
          </cell>
          <cell r="BT201">
            <v>0</v>
          </cell>
          <cell r="BU201">
            <v>0</v>
          </cell>
          <cell r="BV201">
            <v>0</v>
          </cell>
          <cell r="BW201">
            <v>0</v>
          </cell>
          <cell r="BX201">
            <v>0</v>
          </cell>
          <cell r="BY201">
            <v>0</v>
          </cell>
          <cell r="BZ201">
            <v>0</v>
          </cell>
          <cell r="CA201">
            <v>0</v>
          </cell>
          <cell r="CB201">
            <v>0</v>
          </cell>
          <cell r="CC201">
            <v>0</v>
          </cell>
          <cell r="CD201">
            <v>0</v>
          </cell>
          <cell r="CE201">
            <v>0</v>
          </cell>
          <cell r="CF201">
            <v>0</v>
          </cell>
          <cell r="CG201">
            <v>0</v>
          </cell>
          <cell r="CH201">
            <v>0</v>
          </cell>
          <cell r="CI201">
            <v>0</v>
          </cell>
          <cell r="CJ201">
            <v>0</v>
          </cell>
          <cell r="CK201">
            <v>0</v>
          </cell>
          <cell r="CL201">
            <v>0</v>
          </cell>
          <cell r="CM201">
            <v>0</v>
          </cell>
          <cell r="CN201">
            <v>0</v>
          </cell>
          <cell r="CO201">
            <v>0</v>
          </cell>
          <cell r="CP201">
            <v>0</v>
          </cell>
          <cell r="CQ201">
            <v>0</v>
          </cell>
          <cell r="CR201">
            <v>0</v>
          </cell>
          <cell r="CS201">
            <v>0</v>
          </cell>
          <cell r="CT201">
            <v>0</v>
          </cell>
          <cell r="CU201">
            <v>0</v>
          </cell>
          <cell r="CV201">
            <v>0</v>
          </cell>
          <cell r="CW201">
            <v>-20</v>
          </cell>
          <cell r="CX201">
            <v>-20</v>
          </cell>
          <cell r="CY201">
            <v>-15</v>
          </cell>
          <cell r="CZ201">
            <v>-15</v>
          </cell>
          <cell r="DA201">
            <v>-15</v>
          </cell>
          <cell r="DB201">
            <v>-20</v>
          </cell>
          <cell r="DC201">
            <v>-65</v>
          </cell>
          <cell r="DD201">
            <v>-15</v>
          </cell>
          <cell r="DE201">
            <v>-15</v>
          </cell>
          <cell r="DF201">
            <v>-15</v>
          </cell>
          <cell r="DG201">
            <v>-15</v>
          </cell>
          <cell r="DH201">
            <v>-60</v>
          </cell>
          <cell r="DI201">
            <v>-15</v>
          </cell>
          <cell r="DJ201">
            <v>-15</v>
          </cell>
          <cell r="DK201">
            <v>-15</v>
          </cell>
          <cell r="DL201">
            <v>-15</v>
          </cell>
          <cell r="DM201">
            <v>-60</v>
          </cell>
          <cell r="DN201">
            <v>-15</v>
          </cell>
          <cell r="DO201">
            <v>-15</v>
          </cell>
          <cell r="DP201">
            <v>-15</v>
          </cell>
          <cell r="DQ201">
            <v>-15</v>
          </cell>
          <cell r="DR201">
            <v>-60</v>
          </cell>
        </row>
        <row r="202">
          <cell r="B202" t="str">
            <v>Adjusted Free Cash Flow</v>
          </cell>
          <cell r="D202">
            <v>-439.56700000000001</v>
          </cell>
          <cell r="E202">
            <v>20.567000000000011</v>
          </cell>
          <cell r="F202">
            <v>39.000000000000007</v>
          </cell>
          <cell r="G202">
            <v>64</v>
          </cell>
          <cell r="H202">
            <v>-316</v>
          </cell>
          <cell r="I202">
            <v>-34.299999999999997</v>
          </cell>
          <cell r="J202">
            <v>-134.80000000000001</v>
          </cell>
          <cell r="K202">
            <v>-13.000000000000014</v>
          </cell>
          <cell r="L202">
            <v>-20.900000000000006</v>
          </cell>
          <cell r="M202">
            <v>-203</v>
          </cell>
          <cell r="N202">
            <v>-24.6</v>
          </cell>
          <cell r="O202">
            <v>-182.4</v>
          </cell>
          <cell r="P202">
            <v>84.200000000000017</v>
          </cell>
          <cell r="Q202">
            <v>-26.200000000000017</v>
          </cell>
          <cell r="R202">
            <v>-149</v>
          </cell>
          <cell r="S202">
            <v>-109</v>
          </cell>
          <cell r="T202">
            <v>-106</v>
          </cell>
          <cell r="U202">
            <v>-30</v>
          </cell>
          <cell r="V202">
            <v>103</v>
          </cell>
          <cell r="W202">
            <v>-142</v>
          </cell>
          <cell r="X202">
            <v>-10</v>
          </cell>
          <cell r="Y202">
            <v>116</v>
          </cell>
          <cell r="Z202">
            <v>-125</v>
          </cell>
          <cell r="AA202">
            <v>16</v>
          </cell>
          <cell r="AB202">
            <v>-3</v>
          </cell>
          <cell r="AC202">
            <v>-130</v>
          </cell>
          <cell r="AD202">
            <v>150</v>
          </cell>
          <cell r="AE202">
            <v>-270</v>
          </cell>
          <cell r="AF202">
            <v>274</v>
          </cell>
          <cell r="AG202">
            <v>24</v>
          </cell>
          <cell r="AH202">
            <v>151.5</v>
          </cell>
          <cell r="AI202">
            <v>223.5</v>
          </cell>
          <cell r="AJ202">
            <v>-23</v>
          </cell>
          <cell r="AK202">
            <v>608</v>
          </cell>
          <cell r="AL202">
            <v>960</v>
          </cell>
          <cell r="AM202">
            <v>280</v>
          </cell>
          <cell r="AN202">
            <v>231</v>
          </cell>
          <cell r="AO202">
            <v>146</v>
          </cell>
          <cell r="AP202">
            <v>501</v>
          </cell>
          <cell r="AQ202">
            <v>1158</v>
          </cell>
          <cell r="AR202">
            <v>478</v>
          </cell>
          <cell r="AS202">
            <v>357</v>
          </cell>
          <cell r="AT202">
            <v>313</v>
          </cell>
          <cell r="AZ202">
            <v>386</v>
          </cell>
          <cell r="BA202">
            <v>-211</v>
          </cell>
          <cell r="BB202">
            <v>62</v>
          </cell>
          <cell r="BC202">
            <v>-28</v>
          </cell>
          <cell r="BD202">
            <v>-21</v>
          </cell>
          <cell r="BE202">
            <v>-198</v>
          </cell>
          <cell r="BF202">
            <v>-52</v>
          </cell>
          <cell r="BG202">
            <v>15</v>
          </cell>
          <cell r="BH202">
            <v>60</v>
          </cell>
          <cell r="BI202">
            <v>-1</v>
          </cell>
          <cell r="BJ202">
            <v>22</v>
          </cell>
          <cell r="BK202">
            <v>389</v>
          </cell>
          <cell r="BL202">
            <v>53</v>
          </cell>
          <cell r="BM202">
            <v>-95</v>
          </cell>
          <cell r="BN202">
            <v>-105</v>
          </cell>
          <cell r="BO202">
            <v>242</v>
          </cell>
          <cell r="BP202">
            <v>-254</v>
          </cell>
          <cell r="BQ202">
            <v>113</v>
          </cell>
          <cell r="BR202">
            <v>65</v>
          </cell>
          <cell r="BS202">
            <v>-308</v>
          </cell>
          <cell r="BT202">
            <v>-384</v>
          </cell>
          <cell r="BU202">
            <v>-274</v>
          </cell>
          <cell r="BV202">
            <v>166</v>
          </cell>
          <cell r="BW202">
            <v>-71</v>
          </cell>
          <cell r="BX202">
            <v>-179</v>
          </cell>
          <cell r="BY202">
            <v>-527</v>
          </cell>
          <cell r="BZ202">
            <v>-264</v>
          </cell>
          <cell r="CA202">
            <v>53</v>
          </cell>
          <cell r="CB202">
            <v>32</v>
          </cell>
          <cell r="CC202">
            <v>-29</v>
          </cell>
          <cell r="CD202">
            <v>-208</v>
          </cell>
          <cell r="CE202">
            <v>-135</v>
          </cell>
          <cell r="CF202">
            <v>133</v>
          </cell>
          <cell r="CG202">
            <v>142</v>
          </cell>
          <cell r="CH202">
            <v>25</v>
          </cell>
          <cell r="CI202">
            <v>165</v>
          </cell>
          <cell r="CJ202">
            <v>-100</v>
          </cell>
          <cell r="CK202">
            <v>121</v>
          </cell>
          <cell r="CL202">
            <v>53</v>
          </cell>
          <cell r="CM202">
            <v>-16</v>
          </cell>
          <cell r="CN202">
            <v>58</v>
          </cell>
          <cell r="CO202">
            <v>-74</v>
          </cell>
          <cell r="CP202">
            <v>112</v>
          </cell>
          <cell r="CQ202">
            <v>65</v>
          </cell>
          <cell r="CR202">
            <v>19</v>
          </cell>
          <cell r="CS202">
            <v>122</v>
          </cell>
          <cell r="CT202">
            <v>-148</v>
          </cell>
          <cell r="CU202">
            <v>170</v>
          </cell>
          <cell r="CV202">
            <v>32</v>
          </cell>
          <cell r="CW202">
            <v>71.113289465005181</v>
          </cell>
          <cell r="CX202">
            <v>125.11328946500521</v>
          </cell>
          <cell r="CY202">
            <v>129.7699996351846</v>
          </cell>
          <cell r="CZ202">
            <v>37.853372851590791</v>
          </cell>
          <cell r="DA202">
            <v>66.543557086449312</v>
          </cell>
          <cell r="DB202">
            <v>41.859827247887324</v>
          </cell>
          <cell r="DC202">
            <v>276.02675682111203</v>
          </cell>
          <cell r="DD202">
            <v>78.397288335709931</v>
          </cell>
          <cell r="DE202">
            <v>74.413676442347537</v>
          </cell>
          <cell r="DF202">
            <v>86.55794656702713</v>
          </cell>
          <cell r="DG202">
            <v>63.792400624337006</v>
          </cell>
          <cell r="DH202">
            <v>303.1613119694216</v>
          </cell>
          <cell r="DI202">
            <v>71.764629943887002</v>
          </cell>
          <cell r="DJ202">
            <v>94.345687855502973</v>
          </cell>
          <cell r="DK202">
            <v>96.060000586998314</v>
          </cell>
          <cell r="DL202">
            <v>74.194727462313296</v>
          </cell>
          <cell r="DM202">
            <v>336.36504584870158</v>
          </cell>
          <cell r="DN202">
            <v>92.40165945675588</v>
          </cell>
          <cell r="DO202">
            <v>102.4639047374277</v>
          </cell>
          <cell r="DP202">
            <v>110.75558559919693</v>
          </cell>
          <cell r="DQ202">
            <v>87.138250806330291</v>
          </cell>
          <cell r="DR202">
            <v>392.75940059971072</v>
          </cell>
        </row>
        <row r="203">
          <cell r="B203" t="str">
            <v>adj FCF realization ratio (FCF/NI)</v>
          </cell>
          <cell r="D203" t="str">
            <v>nm</v>
          </cell>
          <cell r="E203" t="str">
            <v>nm</v>
          </cell>
          <cell r="F203" t="str">
            <v>nm</v>
          </cell>
          <cell r="G203" t="str">
            <v>nm</v>
          </cell>
          <cell r="H203" t="str">
            <v>nm</v>
          </cell>
          <cell r="I203" t="str">
            <v>nm</v>
          </cell>
          <cell r="J203" t="str">
            <v>nm</v>
          </cell>
          <cell r="K203" t="str">
            <v>nm</v>
          </cell>
          <cell r="L203" t="str">
            <v>nm</v>
          </cell>
          <cell r="M203" t="str">
            <v>nm</v>
          </cell>
          <cell r="N203" t="str">
            <v>nm</v>
          </cell>
          <cell r="O203" t="str">
            <v>nm</v>
          </cell>
          <cell r="P203" t="str">
            <v>nm</v>
          </cell>
          <cell r="Q203" t="str">
            <v>nm</v>
          </cell>
          <cell r="R203" t="str">
            <v>nm</v>
          </cell>
          <cell r="S203" t="str">
            <v>nm</v>
          </cell>
          <cell r="T203" t="str">
            <v>nm</v>
          </cell>
          <cell r="U203" t="str">
            <v>nm</v>
          </cell>
          <cell r="V203" t="str">
            <v>nm</v>
          </cell>
          <cell r="W203" t="str">
            <v>nm</v>
          </cell>
          <cell r="X203" t="str">
            <v>nm</v>
          </cell>
          <cell r="Y203">
            <v>0.92800000000000005</v>
          </cell>
          <cell r="Z203" t="str">
            <v>nm</v>
          </cell>
          <cell r="AA203">
            <v>-0.11678832116788321</v>
          </cell>
          <cell r="AB203" t="str">
            <v>nm</v>
          </cell>
          <cell r="AC203" t="str">
            <v>nm</v>
          </cell>
          <cell r="AD203">
            <v>1.1111111111111112</v>
          </cell>
          <cell r="AE203" t="str">
            <v>nm</v>
          </cell>
          <cell r="AF203">
            <v>13.7</v>
          </cell>
          <cell r="AG203">
            <v>7.9470198675496692E-2</v>
          </cell>
          <cell r="AH203">
            <v>0.98376623376623373</v>
          </cell>
          <cell r="AI203">
            <v>1.2771428571428571</v>
          </cell>
          <cell r="AJ203" t="str">
            <v>nm</v>
          </cell>
          <cell r="AK203">
            <v>5.2413793103448274</v>
          </cell>
          <cell r="AL203">
            <v>1.4930015552099534</v>
          </cell>
          <cell r="AM203">
            <v>1.8064516129032258</v>
          </cell>
          <cell r="AN203">
            <v>2.595505617977528</v>
          </cell>
          <cell r="AO203">
            <v>0.52142857142857146</v>
          </cell>
          <cell r="AP203">
            <v>1.9195402298850575</v>
          </cell>
          <cell r="AQ203">
            <v>1.4751592356687897</v>
          </cell>
          <cell r="AR203">
            <v>1.4142011834319526</v>
          </cell>
          <cell r="AS203">
            <v>1.1333333333333333</v>
          </cell>
          <cell r="AT203">
            <v>-5.6909090909090905</v>
          </cell>
          <cell r="AZ203">
            <v>0.84095860566448799</v>
          </cell>
          <cell r="BA203" t="str">
            <v>nm</v>
          </cell>
          <cell r="BB203">
            <v>-0.31794871794871793</v>
          </cell>
          <cell r="BC203" t="str">
            <v>nm</v>
          </cell>
          <cell r="BD203" t="str">
            <v>nm</v>
          </cell>
          <cell r="BE203" t="str">
            <v>nm</v>
          </cell>
          <cell r="BF203" t="str">
            <v>nm</v>
          </cell>
          <cell r="BG203">
            <v>-3.5211267605633804E-2</v>
          </cell>
          <cell r="BH203">
            <v>-0.8571428571428571</v>
          </cell>
          <cell r="BI203" t="str">
            <v>nm</v>
          </cell>
          <cell r="BJ203">
            <v>-8.3333333333333332E-3</v>
          </cell>
          <cell r="BK203">
            <v>-97.25</v>
          </cell>
          <cell r="BL203">
            <v>-1.606060606060606</v>
          </cell>
          <cell r="BM203" t="str">
            <v>nm</v>
          </cell>
          <cell r="BN203" t="str">
            <v>nm</v>
          </cell>
          <cell r="BO203">
            <v>-0.33425414364640882</v>
          </cell>
          <cell r="BP203" t="str">
            <v>nm</v>
          </cell>
          <cell r="BQ203">
            <v>-0.28391959798994976</v>
          </cell>
          <cell r="BR203">
            <v>-0.7303370786516854</v>
          </cell>
          <cell r="BS203" t="str">
            <v>nm</v>
          </cell>
          <cell r="BT203" t="str">
            <v>nm</v>
          </cell>
          <cell r="BU203" t="str">
            <v>nm</v>
          </cell>
          <cell r="BV203">
            <v>-5.5333333333333332</v>
          </cell>
          <cell r="BW203" t="str">
            <v>nm</v>
          </cell>
          <cell r="BX203" t="str">
            <v>nm</v>
          </cell>
          <cell r="BY203" t="str">
            <v>nm</v>
          </cell>
          <cell r="BZ203" t="str">
            <v>nm</v>
          </cell>
          <cell r="CA203">
            <v>-3.5333333333333332</v>
          </cell>
          <cell r="CB203">
            <v>0.30769230769230771</v>
          </cell>
          <cell r="CC203" t="str">
            <v>nm</v>
          </cell>
          <cell r="CD203" t="str">
            <v>nm</v>
          </cell>
          <cell r="CE203" t="str">
            <v>nm</v>
          </cell>
          <cell r="CF203">
            <v>-9.5</v>
          </cell>
          <cell r="CG203">
            <v>-142</v>
          </cell>
          <cell r="CH203">
            <v>0.86206896551724133</v>
          </cell>
          <cell r="CI203">
            <v>0.8375634517766497</v>
          </cell>
          <cell r="CJ203" t="str">
            <v>nm</v>
          </cell>
          <cell r="CK203">
            <v>3.4571428571428573</v>
          </cell>
          <cell r="CL203">
            <v>5.6382978723404253E-2</v>
          </cell>
          <cell r="CM203" t="str">
            <v>nm</v>
          </cell>
          <cell r="CN203">
            <v>5.0347222222222224E-2</v>
          </cell>
          <cell r="CO203" t="str">
            <v>nm</v>
          </cell>
          <cell r="CP203">
            <v>1.7777777777777777</v>
          </cell>
          <cell r="CQ203">
            <v>4.333333333333333</v>
          </cell>
          <cell r="CR203">
            <v>-0.2878787878787879</v>
          </cell>
          <cell r="CS203">
            <v>1.2978723404255319</v>
          </cell>
          <cell r="CT203" t="str">
            <v>nm</v>
          </cell>
          <cell r="CU203">
            <v>-8.5</v>
          </cell>
          <cell r="CV203">
            <v>1</v>
          </cell>
          <cell r="CW203">
            <v>1.1697809054459676</v>
          </cell>
          <cell r="CX203">
            <v>0.89499623327720901</v>
          </cell>
          <cell r="CY203">
            <v>3.9150305390181659</v>
          </cell>
          <cell r="CZ203">
            <v>0.49253882712437785</v>
          </cell>
          <cell r="DA203">
            <v>1.0826067128791534</v>
          </cell>
          <cell r="DB203">
            <v>0.3998990105922372</v>
          </cell>
          <cell r="DC203">
            <v>0.99958180310645217</v>
          </cell>
          <cell r="DD203">
            <v>1.1201108450416071</v>
          </cell>
          <cell r="DE203">
            <v>0.76641791276655868</v>
          </cell>
          <cell r="DF203">
            <v>1.1332058553942197</v>
          </cell>
          <cell r="DG203">
            <v>0.51151161979385407</v>
          </cell>
          <cell r="DH203">
            <v>0.8234046796843868</v>
          </cell>
          <cell r="DI203">
            <v>0.85116869056755295</v>
          </cell>
          <cell r="DJ203">
            <v>0.91248856898690289</v>
          </cell>
          <cell r="DK203">
            <v>1.1309730985780904</v>
          </cell>
          <cell r="DL203">
            <v>0.53249339882111923</v>
          </cell>
          <cell r="DM203">
            <v>0.81646531954473911</v>
          </cell>
          <cell r="DN203">
            <v>0.91674842042613147</v>
          </cell>
          <cell r="DO203">
            <v>0.87859593223230059</v>
          </cell>
          <cell r="DP203">
            <v>1.1331950538226845</v>
          </cell>
          <cell r="DQ203">
            <v>0.56989927802071449</v>
          </cell>
          <cell r="DR203">
            <v>0.83913313976693116</v>
          </cell>
        </row>
        <row r="205">
          <cell r="B205" t="str">
            <v>Adjusted Free Cash Flow per Share</v>
          </cell>
          <cell r="D205">
            <v>-6.506573116554633</v>
          </cell>
          <cell r="E205">
            <v>0.3010684218134444</v>
          </cell>
          <cell r="F205">
            <v>0.57120887570714562</v>
          </cell>
          <cell r="G205">
            <v>1.0860606060606059</v>
          </cell>
          <cell r="H205">
            <v>-4.4318454744511468</v>
          </cell>
          <cell r="I205">
            <v>-0.42377658449045652</v>
          </cell>
          <cell r="J205">
            <v>-1.6627887792595473</v>
          </cell>
          <cell r="K205">
            <v>-0.15901921838996116</v>
          </cell>
          <cell r="L205">
            <v>-0.270704761904762</v>
          </cell>
          <cell r="M205">
            <v>-2.4983539170620341</v>
          </cell>
          <cell r="N205">
            <v>-0.29866970056805431</v>
          </cell>
          <cell r="O205">
            <v>-2.2042062999333845</v>
          </cell>
          <cell r="P205">
            <v>0.73553097234006093</v>
          </cell>
          <cell r="Q205">
            <v>-0.22723624595469272</v>
          </cell>
          <cell r="R205">
            <v>-1.3063600665892932</v>
          </cell>
          <cell r="S205">
            <v>-0.93763440860215053</v>
          </cell>
          <cell r="T205">
            <v>-0.90788889067326162</v>
          </cell>
          <cell r="U205">
            <v>-0.25574139430208176</v>
          </cell>
          <cell r="V205">
            <v>0.91555555555555557</v>
          </cell>
          <cell r="W205">
            <v>-1.2132358045536926</v>
          </cell>
          <cell r="X205">
            <v>-8.5016392223125514E-2</v>
          </cell>
          <cell r="Y205">
            <v>0.98534197631144449</v>
          </cell>
          <cell r="Z205">
            <v>-1.0651498932187231</v>
          </cell>
          <cell r="AA205">
            <v>0.1370316301703163</v>
          </cell>
          <cell r="AB205">
            <v>-2.5527624080207791E-2</v>
          </cell>
          <cell r="AC205">
            <v>-1.1067691705190748</v>
          </cell>
          <cell r="AD205">
            <v>1.2749207158679818</v>
          </cell>
          <cell r="AE205">
            <v>-2.2794259645612578</v>
          </cell>
          <cell r="AF205">
            <v>2.2482051282051283</v>
          </cell>
          <cell r="AG205">
            <v>0.20322750684305121</v>
          </cell>
          <cell r="AH205">
            <v>1.2635147602918593</v>
          </cell>
          <cell r="AI205">
            <v>1.8297587542904159</v>
          </cell>
          <cell r="AJ205">
            <v>-0.18579102548568197</v>
          </cell>
          <cell r="AK205">
            <v>4.9391611479028699</v>
          </cell>
          <cell r="AL205">
            <v>7.8251088179195003</v>
          </cell>
          <cell r="AM205">
            <v>2.2248509896117339</v>
          </cell>
          <cell r="AN205">
            <v>1.8377252779708648</v>
          </cell>
          <cell r="AO205">
            <v>1.1617694305439927</v>
          </cell>
          <cell r="AP205">
            <v>3.9955140186915887</v>
          </cell>
          <cell r="AQ205">
            <v>9.2105969588326886</v>
          </cell>
          <cell r="AR205">
            <v>3.8233959034472553</v>
          </cell>
          <cell r="AS205">
            <v>2.8964870966367888</v>
          </cell>
          <cell r="AT205">
            <v>2.6509192464783218</v>
          </cell>
          <cell r="AZ205">
            <v>3.3058880778588806</v>
          </cell>
          <cell r="BA205">
            <v>-1.7869052029852326</v>
          </cell>
          <cell r="BB205">
            <v>0.533207198297177</v>
          </cell>
          <cell r="BC205">
            <v>-0.24157246419011752</v>
          </cell>
          <cell r="BD205">
            <v>-0.18082053776888984</v>
          </cell>
          <cell r="BE205">
            <v>-1.6998370989446845</v>
          </cell>
          <cell r="BF205">
            <v>-0.44702726866338849</v>
          </cell>
          <cell r="BG205">
            <v>0.12877691974193103</v>
          </cell>
          <cell r="BH205">
            <v>0.51430849080459273</v>
          </cell>
          <cell r="BI205">
            <v>-8.5645769099006504E-3</v>
          </cell>
          <cell r="BJ205">
            <v>0.18874966218100234</v>
          </cell>
          <cell r="BK205">
            <v>3.3180721915269742</v>
          </cell>
          <cell r="BL205">
            <v>0.45225894811395223</v>
          </cell>
          <cell r="BM205">
            <v>-0.80992542291961067</v>
          </cell>
          <cell r="BN205">
            <v>-0.89436486253399117</v>
          </cell>
          <cell r="BO205">
            <v>2.0644148620808789</v>
          </cell>
          <cell r="BP205">
            <v>-2.158281022634335</v>
          </cell>
          <cell r="BQ205">
            <v>0.96045966069425082</v>
          </cell>
          <cell r="BR205">
            <v>0.55175106689557263</v>
          </cell>
          <cell r="BS205">
            <v>-2.6130261048094954</v>
          </cell>
          <cell r="BT205">
            <v>-3.2622061943688716</v>
          </cell>
          <cell r="BU205">
            <v>-2.3106471076854316</v>
          </cell>
          <cell r="BV205">
            <v>1.4031765889284296</v>
          </cell>
          <cell r="BW205">
            <v>-0.59917634350526605</v>
          </cell>
          <cell r="BX205">
            <v>-1.5096376447965996</v>
          </cell>
          <cell r="BY205">
            <v>-4.4528469281059557</v>
          </cell>
          <cell r="BZ205">
            <v>-2.2228490357129327</v>
          </cell>
          <cell r="CA205">
            <v>0.44509015175054795</v>
          </cell>
          <cell r="CB205">
            <v>0.26622905266135455</v>
          </cell>
          <cell r="CC205">
            <v>-0.24312236180799204</v>
          </cell>
          <cell r="CD205">
            <v>-1.738381884054943</v>
          </cell>
          <cell r="CE205">
            <v>-1.1261449139958959</v>
          </cell>
          <cell r="CF205">
            <v>1.0896191248637976</v>
          </cell>
          <cell r="CG205">
            <v>1.1403698974470169</v>
          </cell>
          <cell r="CH205">
            <v>0.19976946603619422</v>
          </cell>
          <cell r="CI205">
            <v>1.3010643100317973</v>
          </cell>
          <cell r="CJ205">
            <v>-0.71527176750806476</v>
          </cell>
          <cell r="CK205">
            <v>0.96309016633203925</v>
          </cell>
          <cell r="CL205">
            <v>0.37867285880146467</v>
          </cell>
          <cell r="CM205">
            <v>-0.11389501371189188</v>
          </cell>
          <cell r="CN205">
            <v>0.41381942846542558</v>
          </cell>
          <cell r="CO205">
            <v>-0.52372602759116105</v>
          </cell>
          <cell r="CP205">
            <v>0.88933355566672223</v>
          </cell>
          <cell r="CQ205">
            <v>0.53759883547821485</v>
          </cell>
          <cell r="CR205">
            <v>0.17574123490590907</v>
          </cell>
          <cell r="CS205">
            <v>1.0058102027902989</v>
          </cell>
          <cell r="CT205">
            <v>-1.2209382663089097</v>
          </cell>
          <cell r="CU205">
            <v>1.5898697242043636</v>
          </cell>
          <cell r="CV205">
            <v>0.29819869351697403</v>
          </cell>
          <cell r="CW205">
            <v>0.66475895711269317</v>
          </cell>
          <cell r="CX205">
            <v>1.169544827013288</v>
          </cell>
          <cell r="CY205">
            <v>1.2429778985777102</v>
          </cell>
          <cell r="CZ205">
            <v>0.37745867250085702</v>
          </cell>
          <cell r="DA205">
            <v>0.68102239717791213</v>
          </cell>
          <cell r="DB205">
            <v>0.4329647374657718</v>
          </cell>
          <cell r="DC205">
            <v>2.7666279475890003</v>
          </cell>
          <cell r="DD205">
            <v>0.81631146080107497</v>
          </cell>
          <cell r="DE205">
            <v>0.77691402282927924</v>
          </cell>
          <cell r="DF205">
            <v>0.90614067411289068</v>
          </cell>
          <cell r="DG205">
            <v>0.66962129977835771</v>
          </cell>
          <cell r="DH205">
            <v>3.1694056242621773</v>
          </cell>
          <cell r="DI205">
            <v>0.75534536154234433</v>
          </cell>
          <cell r="DJ205">
            <v>0.99571525695130381</v>
          </cell>
          <cell r="DK205">
            <v>1.0165690541771388</v>
          </cell>
          <cell r="DL205">
            <v>0.78732086121888456</v>
          </cell>
          <cell r="DM205">
            <v>3.5547917245420213</v>
          </cell>
          <cell r="DN205">
            <v>0.98320966659105213</v>
          </cell>
          <cell r="DO205">
            <v>1.0932718898041121</v>
          </cell>
          <cell r="DP205">
            <v>1.1849965953096395</v>
          </cell>
          <cell r="DQ205">
            <v>0.9348841152221864</v>
          </cell>
          <cell r="DR205">
            <v>4.1964354806772182</v>
          </cell>
        </row>
        <row r="207">
          <cell r="B207" t="str">
            <v>CapEx as % of revs</v>
          </cell>
          <cell r="D207">
            <v>4.2508316549367486E-2</v>
          </cell>
          <cell r="E207">
            <v>4.9192235441452729E-2</v>
          </cell>
          <cell r="F207">
            <v>6.1922785768357302E-2</v>
          </cell>
          <cell r="G207">
            <v>0.12058722660441858</v>
          </cell>
          <cell r="H207">
            <v>7.956600361663653E-2</v>
          </cell>
          <cell r="I207">
            <v>7.4071189344964553E-2</v>
          </cell>
          <cell r="J207">
            <v>4.770588664381064E-2</v>
          </cell>
          <cell r="K207">
            <v>5.2238284796424339E-2</v>
          </cell>
          <cell r="L207">
            <v>9.1489506214766023E-2</v>
          </cell>
          <cell r="M207">
            <v>6.6558733585177193E-2</v>
          </cell>
          <cell r="N207">
            <v>3.016821910190463E-2</v>
          </cell>
          <cell r="O207">
            <v>3.5227965584987475E-2</v>
          </cell>
          <cell r="P207">
            <v>7.4209843980508727E-2</v>
          </cell>
          <cell r="Q207">
            <v>4.0854382098660803E-2</v>
          </cell>
          <cell r="R207">
            <v>4.6714992520998734E-2</v>
          </cell>
          <cell r="S207">
            <v>4.4187044187044187E-2</v>
          </cell>
          <cell r="T207">
            <v>4.6109510086455328E-2</v>
          </cell>
          <cell r="U207">
            <v>6.0842433697347896E-2</v>
          </cell>
          <cell r="V207">
            <v>6.3399455464799692E-2</v>
          </cell>
          <cell r="W207">
            <v>5.3966649823143004E-2</v>
          </cell>
          <cell r="X207">
            <v>4.1911476694085389E-2</v>
          </cell>
          <cell r="Y207">
            <v>5.2282481467030822E-2</v>
          </cell>
          <cell r="Z207">
            <v>5.6697377746279233E-2</v>
          </cell>
          <cell r="AA207">
            <v>6.4921821889870834E-2</v>
          </cell>
          <cell r="AB207">
            <v>5.4411764705882354E-2</v>
          </cell>
          <cell r="AC207">
            <v>4.8033414549251655E-2</v>
          </cell>
          <cell r="AD207">
            <v>4.5323741007194246E-2</v>
          </cell>
          <cell r="AE207">
            <v>4.6315789473684213E-2</v>
          </cell>
          <cell r="AF207">
            <v>7.6605977327378907E-2</v>
          </cell>
          <cell r="AG207">
            <v>5.423164534781847E-2</v>
          </cell>
          <cell r="AH207">
            <v>4.1479433114414106E-2</v>
          </cell>
          <cell r="AI207">
            <v>4.0823327615780447E-2</v>
          </cell>
          <cell r="AJ207">
            <v>5.1712779973649536E-2</v>
          </cell>
          <cell r="AK207">
            <v>6.3882829541913363E-2</v>
          </cell>
          <cell r="AL207">
            <v>4.9863104621256121E-2</v>
          </cell>
          <cell r="AM207">
            <v>6.3390961480133456E-2</v>
          </cell>
          <cell r="AN207">
            <v>6.0695344725987033E-2</v>
          </cell>
          <cell r="AO207">
            <v>4.8220436280137773E-2</v>
          </cell>
          <cell r="AP207">
            <v>8.186195826645265E-2</v>
          </cell>
          <cell r="AQ207">
            <v>6.3897074678358368E-2</v>
          </cell>
          <cell r="AR207">
            <v>5.2660005401026194E-2</v>
          </cell>
          <cell r="AS207">
            <v>5.7702488088935945E-2</v>
          </cell>
          <cell r="AT207">
            <v>6.2126966901790558E-2</v>
          </cell>
          <cell r="AZ207">
            <v>0.16655336505778381</v>
          </cell>
          <cell r="BA207">
            <v>6.3731170336037077E-2</v>
          </cell>
          <cell r="BB207">
            <v>5.8597218111867418E-2</v>
          </cell>
          <cell r="BC207">
            <v>4.3979375189566274E-2</v>
          </cell>
          <cell r="BD207">
            <v>5.9729644765796917E-2</v>
          </cell>
          <cell r="BE207">
            <v>5.6578255315951613E-2</v>
          </cell>
          <cell r="BF207">
            <v>3.0723117272386663E-2</v>
          </cell>
          <cell r="BG207">
            <v>3.6186770428015567E-2</v>
          </cell>
          <cell r="BH207">
            <v>3.9344262295081971E-2</v>
          </cell>
          <cell r="BI207">
            <v>7.5870646766169156E-2</v>
          </cell>
          <cell r="BJ207">
            <v>4.4990585670399368E-2</v>
          </cell>
          <cell r="BK207">
            <v>3.8384646141543383E-2</v>
          </cell>
          <cell r="BL207">
            <v>5.2479338842975204E-2</v>
          </cell>
          <cell r="BM207">
            <v>5.6390977443609019E-2</v>
          </cell>
          <cell r="BN207">
            <v>9.4823836450630708E-2</v>
          </cell>
          <cell r="BO207">
            <v>5.9912627418348241E-2</v>
          </cell>
          <cell r="BP207">
            <v>4.8053024026512015E-2</v>
          </cell>
          <cell r="BQ207">
            <v>4.419134396355353E-2</v>
          </cell>
          <cell r="BR207">
            <v>6.2824752007557869E-2</v>
          </cell>
          <cell r="BS207">
            <v>0.13630105553005967</v>
          </cell>
          <cell r="BT207">
            <v>7.2206625491297027E-2</v>
          </cell>
          <cell r="BU207">
            <v>4.8266783677051339E-2</v>
          </cell>
          <cell r="BV207">
            <v>6.6427289048473961E-2</v>
          </cell>
          <cell r="BW207">
            <v>7.730560578661845E-2</v>
          </cell>
          <cell r="BX207">
            <v>0.13327410039982229</v>
          </cell>
          <cell r="BY207">
            <v>8.1270903010033452E-2</v>
          </cell>
          <cell r="BZ207">
            <v>6.6216786166174615E-2</v>
          </cell>
          <cell r="CA207">
            <v>4.6245421245421248E-2</v>
          </cell>
          <cell r="CB207">
            <v>5.0046339202965709E-2</v>
          </cell>
          <cell r="CC207">
            <v>5.9225512528473807E-2</v>
          </cell>
          <cell r="CD207">
            <v>5.5680287382128421E-2</v>
          </cell>
          <cell r="CE207">
            <v>4.4317683194383499E-2</v>
          </cell>
          <cell r="CF207">
            <v>3.1852848811126065E-2</v>
          </cell>
          <cell r="CG207">
            <v>4.0229885057471264E-2</v>
          </cell>
          <cell r="CH207">
            <v>8.4918177797434768E-2</v>
          </cell>
          <cell r="CI207">
            <v>5.0382017495293988E-2</v>
          </cell>
          <cell r="CJ207">
            <v>3.5485250106883283E-2</v>
          </cell>
          <cell r="CK207">
            <v>3.3434650455927049E-2</v>
          </cell>
          <cell r="CL207">
            <v>4.7303271441202478E-2</v>
          </cell>
          <cell r="CM207">
            <v>8.518035636679705E-2</v>
          </cell>
          <cell r="CN207">
            <v>5.0298750678978814E-2</v>
          </cell>
          <cell r="CO207">
            <v>4.7756278303828739E-2</v>
          </cell>
          <cell r="CP207">
            <v>3.5652173913043476E-2</v>
          </cell>
          <cell r="CQ207">
            <v>4.3687199650502405E-2</v>
          </cell>
          <cell r="CR207">
            <v>7.5223119422014456E-2</v>
          </cell>
          <cell r="CS207">
            <v>5.0688293671966707E-2</v>
          </cell>
          <cell r="CT207">
            <v>5.4596547571256523E-2</v>
          </cell>
          <cell r="CU207">
            <v>4.684317718940937E-2</v>
          </cell>
          <cell r="CV207">
            <v>4.4087350638648534E-2</v>
          </cell>
          <cell r="CW207">
            <v>4.9495764193111629E-2</v>
          </cell>
          <cell r="CX207">
            <v>4.879542663061269E-2</v>
          </cell>
          <cell r="CY207">
            <v>4.3249496388748088E-2</v>
          </cell>
          <cell r="CZ207">
            <v>4.2130063963129009E-2</v>
          </cell>
          <cell r="DA207">
            <v>4.2446346904362782E-2</v>
          </cell>
          <cell r="DB207">
            <v>4.1351744493679454E-2</v>
          </cell>
          <cell r="DC207">
            <v>4.2283474375563984E-2</v>
          </cell>
          <cell r="DD207">
            <v>4.1464042672026281E-2</v>
          </cell>
          <cell r="DE207">
            <v>4.0797269144251747E-2</v>
          </cell>
          <cell r="DF207">
            <v>4.1152565249498549E-2</v>
          </cell>
          <cell r="DG207">
            <v>4.0030611211014429E-2</v>
          </cell>
          <cell r="DH207">
            <v>4.0854082928005631E-2</v>
          </cell>
          <cell r="DI207">
            <v>3.9297106201280657E-2</v>
          </cell>
          <cell r="DJ207">
            <v>3.9144901694886894E-2</v>
          </cell>
          <cell r="DK207">
            <v>3.9491248237639637E-2</v>
          </cell>
          <cell r="DL207">
            <v>3.8319741701605778E-2</v>
          </cell>
          <cell r="DM207">
            <v>3.9058093476532725E-2</v>
          </cell>
          <cell r="DN207">
            <v>3.7481919550213599E-2</v>
          </cell>
          <cell r="DO207">
            <v>3.7427465816913107E-2</v>
          </cell>
          <cell r="DP207">
            <v>3.7752070749273697E-2</v>
          </cell>
          <cell r="DQ207">
            <v>3.667856625137296E-2</v>
          </cell>
          <cell r="DR207">
            <v>3.7330716054125766E-2</v>
          </cell>
        </row>
        <row r="216">
          <cell r="B216" t="str">
            <v>Capital expenditures:</v>
          </cell>
        </row>
        <row r="217">
          <cell r="B217" t="str">
            <v>Hospital Operations and other</v>
          </cell>
          <cell r="CS217">
            <v>461</v>
          </cell>
          <cell r="CT217">
            <v>133</v>
          </cell>
          <cell r="CU217">
            <v>114</v>
          </cell>
          <cell r="CV217">
            <v>105</v>
          </cell>
        </row>
        <row r="218">
          <cell r="B218" t="str">
            <v>Conifer</v>
          </cell>
          <cell r="CS218">
            <v>14</v>
          </cell>
          <cell r="CT218">
            <v>3</v>
          </cell>
          <cell r="CU218">
            <v>2</v>
          </cell>
          <cell r="CV218">
            <v>3</v>
          </cell>
        </row>
        <row r="219">
          <cell r="B219" t="str">
            <v>Total</v>
          </cell>
          <cell r="CS219">
            <v>475</v>
          </cell>
          <cell r="CT219">
            <v>136</v>
          </cell>
          <cell r="CU219">
            <v>116</v>
          </cell>
          <cell r="CV219">
            <v>108</v>
          </cell>
        </row>
        <row r="221">
          <cell r="B221" t="str">
            <v>Depreciation and amortization:</v>
          </cell>
        </row>
        <row r="222">
          <cell r="B222" t="str">
            <v>Hospital Operations and other</v>
          </cell>
          <cell r="CS222">
            <v>389</v>
          </cell>
          <cell r="CT222">
            <v>98</v>
          </cell>
          <cell r="CU222">
            <v>101</v>
          </cell>
          <cell r="CV222">
            <v>108</v>
          </cell>
        </row>
        <row r="223">
          <cell r="B223" t="str">
            <v>Conifer</v>
          </cell>
          <cell r="CS223">
            <v>9</v>
          </cell>
          <cell r="CT223">
            <v>2</v>
          </cell>
          <cell r="CU223">
            <v>3</v>
          </cell>
          <cell r="CV223">
            <v>2</v>
          </cell>
        </row>
        <row r="224">
          <cell r="B224" t="str">
            <v>Total</v>
          </cell>
          <cell r="CS224">
            <v>398</v>
          </cell>
          <cell r="CT224">
            <v>100</v>
          </cell>
          <cell r="CU224">
            <v>104</v>
          </cell>
          <cell r="CV224">
            <v>110</v>
          </cell>
        </row>
        <row r="226">
          <cell r="AZ226" t="str">
            <v>2002-FY</v>
          </cell>
          <cell r="BA226" t="str">
            <v>2003-Q1</v>
          </cell>
          <cell r="BB226" t="str">
            <v>2003-Q2</v>
          </cell>
          <cell r="BC226" t="str">
            <v>2003-Q3</v>
          </cell>
          <cell r="BD226" t="str">
            <v>2003-Q4</v>
          </cell>
          <cell r="BE226" t="str">
            <v>2003-FY</v>
          </cell>
          <cell r="BF226" t="str">
            <v>2004-Q1</v>
          </cell>
          <cell r="BG226" t="str">
            <v>2004-Q2</v>
          </cell>
          <cell r="BH226" t="str">
            <v>2004-Q3</v>
          </cell>
          <cell r="BI226" t="str">
            <v>2004-Q4</v>
          </cell>
          <cell r="BJ226" t="str">
            <v>2004-FY</v>
          </cell>
          <cell r="BK226" t="str">
            <v>2005-Q1</v>
          </cell>
          <cell r="BL226" t="str">
            <v>2005-Q2</v>
          </cell>
          <cell r="BM226" t="str">
            <v>2005-Q3</v>
          </cell>
          <cell r="BN226" t="str">
            <v>2005-Q4</v>
          </cell>
          <cell r="BO226" t="str">
            <v>2005-FY</v>
          </cell>
          <cell r="BP226" t="str">
            <v>2006-Q1</v>
          </cell>
          <cell r="BQ226" t="str">
            <v>2006-Q2</v>
          </cell>
          <cell r="BR226" t="str">
            <v>2006-Q3</v>
          </cell>
          <cell r="BS226" t="str">
            <v>2006-Q4</v>
          </cell>
          <cell r="BT226" t="str">
            <v>2006-FY</v>
          </cell>
          <cell r="BU226" t="str">
            <v>2007-Q1</v>
          </cell>
          <cell r="BV226" t="str">
            <v>2007-Q2</v>
          </cell>
          <cell r="BW226" t="str">
            <v>2007-Q3</v>
          </cell>
          <cell r="BX226" t="str">
            <v>2007-Q4</v>
          </cell>
          <cell r="BY226" t="str">
            <v>2007-FY</v>
          </cell>
          <cell r="BZ226" t="str">
            <v>2008-Q1</v>
          </cell>
          <cell r="CA226" t="str">
            <v>2008-Q2</v>
          </cell>
          <cell r="CB226" t="str">
            <v>2008-Q3</v>
          </cell>
          <cell r="CC226" t="str">
            <v>2008-Q4</v>
          </cell>
          <cell r="CD226" t="str">
            <v>2008-FY</v>
          </cell>
          <cell r="CE226" t="str">
            <v>2009-Q1</v>
          </cell>
          <cell r="CF226" t="str">
            <v>2009-Q2</v>
          </cell>
          <cell r="CG226" t="str">
            <v>2009-Q3</v>
          </cell>
          <cell r="CH226" t="str">
            <v>2009-Q4</v>
          </cell>
          <cell r="CI226" t="str">
            <v>2009-FY</v>
          </cell>
          <cell r="CJ226" t="str">
            <v>2010-Q1</v>
          </cell>
          <cell r="CK226" t="str">
            <v>2010-Q2</v>
          </cell>
          <cell r="CL226" t="str">
            <v>2010-Q3</v>
          </cell>
          <cell r="CM226" t="str">
            <v>2010-Q4</v>
          </cell>
          <cell r="CN226" t="str">
            <v>2010-FY</v>
          </cell>
          <cell r="CO226" t="str">
            <v>2011-Q1</v>
          </cell>
          <cell r="CP226" t="str">
            <v>2011-Q2</v>
          </cell>
          <cell r="CQ226" t="str">
            <v>2011-Q3</v>
          </cell>
          <cell r="CR226" t="str">
            <v>2011-Q4</v>
          </cell>
          <cell r="CS226" t="str">
            <v>2011-FY</v>
          </cell>
          <cell r="CT226" t="str">
            <v>2012-Q1</v>
          </cell>
          <cell r="CU226" t="str">
            <v>2012-Q2</v>
          </cell>
          <cell r="CV226" t="str">
            <v>2012-Q3</v>
          </cell>
          <cell r="CW226" t="str">
            <v>2012-Q4</v>
          </cell>
          <cell r="CX226" t="str">
            <v>2012-FY</v>
          </cell>
          <cell r="CY226" t="str">
            <v>2013-Q1</v>
          </cell>
          <cell r="CZ226" t="str">
            <v>2013-Q2</v>
          </cell>
          <cell r="DA226" t="str">
            <v>2013-Q3</v>
          </cell>
          <cell r="DB226" t="str">
            <v>2013-Q4</v>
          </cell>
          <cell r="DC226" t="str">
            <v>2013-FY</v>
          </cell>
          <cell r="DD226" t="str">
            <v>2014-Q1</v>
          </cell>
          <cell r="DE226" t="str">
            <v>2014-Q2</v>
          </cell>
          <cell r="DF226" t="str">
            <v>2014-Q3</v>
          </cell>
          <cell r="DG226" t="str">
            <v>2014-Q4</v>
          </cell>
          <cell r="DH226" t="str">
            <v>2014-FY</v>
          </cell>
          <cell r="DI226" t="str">
            <v>2015-Q1</v>
          </cell>
          <cell r="DJ226" t="str">
            <v>2015-Q2</v>
          </cell>
          <cell r="DK226" t="str">
            <v>2015-Q3</v>
          </cell>
          <cell r="DL226" t="str">
            <v>2015-Q4</v>
          </cell>
          <cell r="DM226" t="str">
            <v>2015-FY</v>
          </cell>
          <cell r="DN226" t="str">
            <v>2016-Q1</v>
          </cell>
          <cell r="DO226" t="str">
            <v>2016-Q2</v>
          </cell>
          <cell r="DP226" t="str">
            <v>2016-Q3</v>
          </cell>
          <cell r="DQ226" t="str">
            <v>2016-Q4</v>
          </cell>
          <cell r="DR226" t="str">
            <v>2016-FY</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refreshError="1">
        <row r="1">
          <cell r="A1" t="str">
            <v>2009 Guidance</v>
          </cell>
        </row>
        <row r="3">
          <cell r="A3" t="str">
            <v>- Net operating revenues</v>
          </cell>
          <cell r="D3" t="str">
            <v>$8.9 billion to $9.1 billion (3% to 5% growth)</v>
          </cell>
        </row>
        <row r="4">
          <cell r="A4" t="str">
            <v>- Adjusted EBITDA</v>
          </cell>
          <cell r="D4" t="str">
            <v>$810 - $875 million</v>
          </cell>
        </row>
        <row r="5">
          <cell r="A5" t="str">
            <v>- Controllable operating expenses</v>
          </cell>
          <cell r="D5" t="str">
            <v>$7.3 bn to $7.4 billion</v>
          </cell>
        </row>
        <row r="6">
          <cell r="A6" t="str">
            <v>- Controllable operating expenses per adjusted patient day is in the range of 0.25 to 1.0 percent</v>
          </cell>
        </row>
        <row r="7">
          <cell r="A7" t="str">
            <v xml:space="preserve"> -The outlook for 2009 total-company bad debt expense is in the range of 7.8 to 8.5 percent of net operating revenues, and these assumptions correspond to 2009 total-company bad debt expense in the range of $700 million to $750 million</v>
          </cell>
        </row>
        <row r="8">
          <cell r="A8" t="str">
            <v>-Net loss attributable to shareholders of $20 million to net income of $60 million on a GAAP basis</v>
          </cell>
        </row>
        <row r="9">
          <cell r="A9" t="str">
            <v>-interest expense, net, in the range of $445 million to $460 million</v>
          </cell>
        </row>
        <row r="12">
          <cell r="A12" t="str">
            <v>Consenses</v>
          </cell>
          <cell r="C12" t="str">
            <v>Q309</v>
          </cell>
          <cell r="D12" t="str">
            <v>Q409</v>
          </cell>
          <cell r="E12" t="str">
            <v>2009E</v>
          </cell>
          <cell r="F12" t="str">
            <v>2010E</v>
          </cell>
          <cell r="G12" t="str">
            <v>2011E</v>
          </cell>
          <cell r="J12">
            <v>967</v>
          </cell>
        </row>
        <row r="13">
          <cell r="A13" t="str">
            <v>Revenue</v>
          </cell>
          <cell r="C13">
            <v>2224.9</v>
          </cell>
          <cell r="D13">
            <v>2259.9</v>
          </cell>
          <cell r="E13">
            <v>8985</v>
          </cell>
          <cell r="F13">
            <v>9399.9</v>
          </cell>
          <cell r="G13">
            <v>9951</v>
          </cell>
        </row>
        <row r="14">
          <cell r="A14" t="str">
            <v>EBITDA</v>
          </cell>
          <cell r="C14">
            <v>200.1</v>
          </cell>
          <cell r="D14">
            <v>207.3</v>
          </cell>
          <cell r="E14">
            <v>931.1</v>
          </cell>
          <cell r="F14">
            <v>965.8</v>
          </cell>
          <cell r="G14">
            <v>987.1</v>
          </cell>
          <cell r="J14">
            <v>915</v>
          </cell>
        </row>
        <row r="15">
          <cell r="A15" t="str">
            <v>Net Income</v>
          </cell>
        </row>
        <row r="16">
          <cell r="A16" t="str">
            <v>Cap Ex</v>
          </cell>
          <cell r="C16">
            <v>113.6</v>
          </cell>
          <cell r="D16">
            <v>116</v>
          </cell>
          <cell r="E16">
            <v>401.4</v>
          </cell>
          <cell r="F16">
            <v>415.6</v>
          </cell>
          <cell r="G16">
            <v>437.5</v>
          </cell>
        </row>
        <row r="17">
          <cell r="A17" t="str">
            <v>EPS, reported</v>
          </cell>
          <cell r="C17">
            <v>-0.04</v>
          </cell>
          <cell r="D17">
            <v>-0.02</v>
          </cell>
          <cell r="E17">
            <v>0.24</v>
          </cell>
          <cell r="F17">
            <v>0.12</v>
          </cell>
          <cell r="G17">
            <v>0.18</v>
          </cell>
        </row>
        <row r="18">
          <cell r="A18" t="str">
            <v>EPS, operating</v>
          </cell>
          <cell r="C18">
            <v>-0.02</v>
          </cell>
          <cell r="D18">
            <v>-0.01</v>
          </cell>
          <cell r="E18">
            <v>0.09</v>
          </cell>
          <cell r="F18">
            <v>0.19</v>
          </cell>
          <cell r="G18">
            <v>0.16</v>
          </cell>
        </row>
        <row r="19">
          <cell r="A19" t="str">
            <v>Net Debt</v>
          </cell>
          <cell r="E19">
            <v>4078.8</v>
          </cell>
          <cell r="F19">
            <v>4089.2</v>
          </cell>
          <cell r="G19">
            <v>4082.4</v>
          </cell>
        </row>
        <row r="20">
          <cell r="A20" t="str">
            <v>FCF, company guidance</v>
          </cell>
          <cell r="E20">
            <v>-7.9</v>
          </cell>
          <cell r="F20">
            <v>20.2</v>
          </cell>
          <cell r="G20">
            <v>100</v>
          </cell>
        </row>
        <row r="22">
          <cell r="A22" t="str">
            <v>Adale</v>
          </cell>
        </row>
        <row r="23">
          <cell r="A23" t="str">
            <v>Inpatient</v>
          </cell>
          <cell r="C23">
            <v>1436</v>
          </cell>
          <cell r="D23">
            <v>1475</v>
          </cell>
          <cell r="E23">
            <v>5865</v>
          </cell>
          <cell r="F23">
            <v>6125</v>
          </cell>
          <cell r="H23" t="str">
            <v>3-4% growth</v>
          </cell>
        </row>
        <row r="24">
          <cell r="A24" t="str">
            <v>Outpatient</v>
          </cell>
          <cell r="C24">
            <v>717</v>
          </cell>
          <cell r="D24">
            <v>701</v>
          </cell>
          <cell r="E24">
            <v>2789</v>
          </cell>
          <cell r="F24">
            <v>2989</v>
          </cell>
          <cell r="H24" t="str">
            <v>7-8% growth</v>
          </cell>
        </row>
        <row r="25">
          <cell r="A25" t="str">
            <v>Other</v>
          </cell>
          <cell r="C25">
            <v>78</v>
          </cell>
          <cell r="D25">
            <v>90</v>
          </cell>
          <cell r="E25">
            <v>324</v>
          </cell>
          <cell r="F25">
            <v>334</v>
          </cell>
        </row>
        <row r="26">
          <cell r="F26">
            <v>9448</v>
          </cell>
        </row>
        <row r="27">
          <cell r="A27" t="str">
            <v>Cap ex 400-450</v>
          </cell>
        </row>
        <row r="28">
          <cell r="A28" t="str">
            <v>Adj. FCF Walk Thru</v>
          </cell>
        </row>
        <row r="29">
          <cell r="A29" t="str">
            <v>2009 Walk Thru</v>
          </cell>
          <cell r="B29" t="str">
            <v>Low</v>
          </cell>
          <cell r="C29" t="str">
            <v>High</v>
          </cell>
        </row>
        <row r="30">
          <cell r="A30" t="str">
            <v>OCF</v>
          </cell>
          <cell r="B30">
            <v>138</v>
          </cell>
          <cell r="C30">
            <v>243</v>
          </cell>
        </row>
        <row r="31">
          <cell r="A31" t="str">
            <v>Income tax refunds</v>
          </cell>
          <cell r="B31">
            <v>-15</v>
          </cell>
          <cell r="C31">
            <v>-25</v>
          </cell>
        </row>
        <row r="32">
          <cell r="A32" t="str">
            <v>Payments ag reserves</v>
          </cell>
          <cell r="B32">
            <v>195</v>
          </cell>
          <cell r="C32">
            <v>185</v>
          </cell>
        </row>
        <row r="33">
          <cell r="A33" t="str">
            <v>Net cash disc</v>
          </cell>
          <cell r="B33">
            <v>-28</v>
          </cell>
          <cell r="C33">
            <v>-38</v>
          </cell>
        </row>
        <row r="34">
          <cell r="B34">
            <v>290</v>
          </cell>
          <cell r="C34">
            <v>365</v>
          </cell>
        </row>
        <row r="35">
          <cell r="A35" t="str">
            <v>Cap ex cont ops</v>
          </cell>
          <cell r="B35">
            <v>-320</v>
          </cell>
          <cell r="C35">
            <v>-360</v>
          </cell>
        </row>
        <row r="36">
          <cell r="A36" t="str">
            <v>Construction new hosp</v>
          </cell>
          <cell r="B36">
            <v>-80</v>
          </cell>
          <cell r="C36">
            <v>-90</v>
          </cell>
        </row>
        <row r="37">
          <cell r="A37" t="str">
            <v>Adjusted FCF</v>
          </cell>
          <cell r="B37">
            <v>-110</v>
          </cell>
          <cell r="C37">
            <v>-85</v>
          </cell>
        </row>
        <row r="39">
          <cell r="A39" t="str">
            <v>June Investor Presentation</v>
          </cell>
        </row>
        <row r="40">
          <cell r="A40" t="str">
            <v xml:space="preserve"> -49 hospitals in 12 states</v>
          </cell>
        </row>
        <row r="41">
          <cell r="A41" t="str">
            <v>- Adjusted EBITDA margins in high single digits, far below peers (9% in 2009 estimate)</v>
          </cell>
        </row>
        <row r="42">
          <cell r="A42" t="str">
            <v>Outpatient volumes been showing strong growth</v>
          </cell>
        </row>
        <row r="43">
          <cell r="A43" t="str">
            <v>31% of revenues</v>
          </cell>
        </row>
        <row r="44">
          <cell r="A44" t="str">
            <v>3.8 mm visits</v>
          </cell>
        </row>
        <row r="45">
          <cell r="A45" t="str">
            <v>57 free standing centers (36 diagnostic imaging centers - DICs, 21 ambulatory surgery centers, ASCs)</v>
          </cell>
        </row>
        <row r="46">
          <cell r="A46" t="str">
            <v>Growth strategy (improve and grow existing facilities, modest emphasis on de novo development and JV, selective acquistions)</v>
          </cell>
        </row>
        <row r="47">
          <cell r="A47" t="str">
            <v>Confier Healthcare Solutions  - RCM platform wont move bottom line in near future</v>
          </cell>
        </row>
        <row r="48">
          <cell r="A48" t="str">
            <v>Growth in controllable expenses down huge in past 2 years (SWB, supplies, other operating) - page 28 of investor presentation</v>
          </cell>
        </row>
        <row r="49">
          <cell r="A49" t="str">
            <v>Debt Maturities</v>
          </cell>
        </row>
        <row r="50">
          <cell r="B50">
            <v>2009</v>
          </cell>
          <cell r="C50">
            <v>2010</v>
          </cell>
          <cell r="D50">
            <v>2011</v>
          </cell>
          <cell r="E50">
            <v>2012</v>
          </cell>
          <cell r="F50">
            <v>2013</v>
          </cell>
          <cell r="G50">
            <v>2014</v>
          </cell>
        </row>
        <row r="51">
          <cell r="B51">
            <v>0</v>
          </cell>
          <cell r="C51">
            <v>0</v>
          </cell>
          <cell r="D51">
            <v>82</v>
          </cell>
          <cell r="E51">
            <v>90</v>
          </cell>
          <cell r="F51">
            <v>1000</v>
          </cell>
          <cell r="G51">
            <v>100</v>
          </cell>
        </row>
        <row r="52">
          <cell r="A52" t="str">
            <v>Tenet hospitals are in states with strongest population growth. Tenet states have average annual growth rate rate of 1.4%, more than twice U.S. median annual growth of 0.6%</v>
          </cell>
        </row>
        <row r="54">
          <cell r="A54" t="str">
            <v>Strategic Initiatives</v>
          </cell>
        </row>
        <row r="55">
          <cell r="A55" t="str">
            <v>TGI - Targeted Growth Initiative</v>
          </cell>
        </row>
        <row r="56">
          <cell r="A56" t="str">
            <v>Focused on more profitable , dependable procedures (orthopedic - knee, hips, 50 yr old tennis player)</v>
          </cell>
        </row>
        <row r="59">
          <cell r="A59" t="str">
            <v>Q3 Earnings</v>
          </cell>
        </row>
        <row r="60">
          <cell r="A60" t="str">
            <v>Outlook</v>
          </cell>
        </row>
        <row r="61">
          <cell r="A61" t="str">
            <v>2009Adjusted EBITDA $925mm to $975 mm for the year</v>
          </cell>
        </row>
        <row r="62">
          <cell r="A62" t="str">
            <v>-.5% to 0.5% growth in same hospital admissions</v>
          </cell>
        </row>
        <row r="63">
          <cell r="A63" t="str">
            <v>2.5% to 4% growth in outpatient visits</v>
          </cell>
        </row>
        <row r="64">
          <cell r="A64" t="str">
            <v>4.5% to 6.0% growth in net operating revenues</v>
          </cell>
        </row>
        <row r="65">
          <cell r="A65" t="str">
            <v>Controllable operating expenses of 7.35 to 7.45</v>
          </cell>
        </row>
        <row r="66">
          <cell r="A66" t="str">
            <v>Bad debt 7.8 to 8.3 (700 to 750)</v>
          </cell>
        </row>
        <row r="67">
          <cell r="A67" t="str">
            <v>D&amp;A of 400 to 420</v>
          </cell>
        </row>
        <row r="68">
          <cell r="A68" t="str">
            <v>Interest expense 460 to 445</v>
          </cell>
        </row>
        <row r="69">
          <cell r="A69" t="str">
            <v>Pretax income of 40 to 85</v>
          </cell>
        </row>
        <row r="70">
          <cell r="A70" t="str">
            <v>Pref stock divididends of $6 million</v>
          </cell>
        </row>
        <row r="71">
          <cell r="A71" t="str">
            <v>Minority interest of -8 to -13</v>
          </cell>
        </row>
        <row r="72">
          <cell r="A72" t="str">
            <v>NI to common of 27 to 50</v>
          </cell>
        </row>
        <row r="73">
          <cell r="A73" t="str">
            <v>EPS of 0.05 to .10 assuming normalized tax rate of 37.1%</v>
          </cell>
        </row>
        <row r="75">
          <cell r="A75" t="str">
            <v>YTD adjusted FCF is $140  million after being breakeven through June 30</v>
          </cell>
        </row>
        <row r="76">
          <cell r="A76" t="str">
            <v>YTD bad debt has been much better than they thought at the beginning of the year</v>
          </cell>
        </row>
        <row r="79">
          <cell r="A79" t="str">
            <v>Consenses</v>
          </cell>
          <cell r="B79" t="str">
            <v>Q409</v>
          </cell>
          <cell r="C79">
            <v>2009</v>
          </cell>
          <cell r="D79">
            <v>2010</v>
          </cell>
          <cell r="E79">
            <v>2011</v>
          </cell>
        </row>
        <row r="80">
          <cell r="A80" t="str">
            <v>Revenue</v>
          </cell>
          <cell r="B80">
            <v>2285</v>
          </cell>
          <cell r="C80">
            <v>9037</v>
          </cell>
          <cell r="D80">
            <v>9431</v>
          </cell>
          <cell r="E80">
            <v>9870</v>
          </cell>
        </row>
        <row r="81">
          <cell r="A81" t="str">
            <v>EBITDA</v>
          </cell>
          <cell r="B81">
            <v>972</v>
          </cell>
          <cell r="C81">
            <v>972</v>
          </cell>
          <cell r="D81">
            <v>1020</v>
          </cell>
          <cell r="E81">
            <v>1080</v>
          </cell>
        </row>
        <row r="82">
          <cell r="A82" t="str">
            <v>EPS</v>
          </cell>
          <cell r="B82">
            <v>0</v>
          </cell>
          <cell r="C82">
            <v>0.13</v>
          </cell>
          <cell r="D82">
            <v>0.19</v>
          </cell>
          <cell r="E82">
            <v>0.27</v>
          </cell>
        </row>
        <row r="84">
          <cell r="A84" t="str">
            <v>Net Debt</v>
          </cell>
          <cell r="C84">
            <v>3953</v>
          </cell>
          <cell r="D84">
            <v>3900</v>
          </cell>
          <cell r="E84">
            <v>3679</v>
          </cell>
        </row>
        <row r="85">
          <cell r="A85" t="str">
            <v>Cap Ex</v>
          </cell>
          <cell r="C85">
            <v>361</v>
          </cell>
          <cell r="D85">
            <v>414</v>
          </cell>
          <cell r="E85">
            <v>446</v>
          </cell>
        </row>
        <row r="89">
          <cell r="A89" t="str">
            <v>Biggest driver of profitability is commerical care volumes</v>
          </cell>
        </row>
        <row r="90">
          <cell r="A90" t="str">
            <v>-Outpatient commerical volumes flat, but inpatient down 4.5% compared to 5.7% decline in Q2</v>
          </cell>
        </row>
        <row r="91">
          <cell r="A91" t="str">
            <v>- Two reasons for decline could be overall drop in patient volumes and deferring elective procedures</v>
          </cell>
        </row>
        <row r="92">
          <cell r="A92" t="str">
            <v>Balance Sheet</v>
          </cell>
        </row>
        <row r="93">
          <cell r="A93" t="str">
            <v xml:space="preserve"> -Over past 8 months has extended debt maturities, nothing due until 2012</v>
          </cell>
        </row>
        <row r="94">
          <cell r="A94" t="str">
            <v>- Net Leverage at 3.7x compared to 5.8x at beginning of year</v>
          </cell>
        </row>
        <row r="95">
          <cell r="A95" t="str">
            <v>$1.0 billion matures on Feb 1 2013, 67 mm in 2011, 57 mm in 2012</v>
          </cell>
        </row>
        <row r="96">
          <cell r="A96" t="str">
            <v>HC Reform</v>
          </cell>
        </row>
        <row r="97">
          <cell r="A97" t="str">
            <v xml:space="preserve"> - ' Exposure to California, Florida, Texas has hurt</v>
          </cell>
        </row>
        <row r="98">
          <cell r="A98" t="str">
            <v>Cost Initiatives</v>
          </cell>
        </row>
        <row r="99">
          <cell r="A99" t="str">
            <v>Began year with $186 million in cost savings goals, and they have already exceeded that goal</v>
          </cell>
        </row>
        <row r="100">
          <cell r="A100" t="str">
            <v>Q3 same hospital salaries down 0.3% per adjusted patient day</v>
          </cell>
        </row>
        <row r="101">
          <cell r="A101" t="str">
            <v>Three factors in addition to what was outlined in quarter have helped during the quarter</v>
          </cell>
        </row>
        <row r="102">
          <cell r="A102" t="str">
            <v>Nurse retention, weak economomic backdrop limits mobility, staffing control systems</v>
          </cell>
        </row>
        <row r="103">
          <cell r="A103" t="str">
            <v>27% improvement in YoY employee turnover</v>
          </cell>
        </row>
        <row r="104">
          <cell r="A104" t="str">
            <v>Supply expense improved by 400bps YoY despite increases in surgies (2.2%) due to Medicare Performance Initiative</v>
          </cell>
        </row>
        <row r="105">
          <cell r="A105" t="str">
            <v>Volumes</v>
          </cell>
        </row>
      </sheetData>
      <sheetData sheetId="2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Cache"/>
      <sheetName val="Cover"/>
      <sheetName val="Income Statement"/>
      <sheetName val="Balance Sheet &amp; Cash Flow"/>
      <sheetName val="Drivers"/>
      <sheetName val="Revenue Build"/>
      <sheetName val="Guidance"/>
      <sheetName val="Expense Assumptions"/>
      <sheetName val="Scenarios"/>
      <sheetName val="Valuation"/>
      <sheetName val="Debt "/>
      <sheetName val="MWA RR"/>
      <sheetName val="mwareSettings"/>
      <sheetName val="mwareDates"/>
      <sheetName val="Charts"/>
      <sheetName val="Facilities"/>
      <sheetName val="M&amp;A"/>
      <sheetName val="One Pager"/>
      <sheetName val="Comps Table"/>
      <sheetName val="Preview Page"/>
      <sheetName val="What Changed"/>
      <sheetName val="Notes"/>
      <sheetName val="Model_Template"/>
      <sheetName val="#REF"/>
    </sheetNames>
    <sheetDataSet>
      <sheetData sheetId="0" refreshError="1"/>
      <sheetData sheetId="1" refreshError="1"/>
      <sheetData sheetId="2" refreshError="1"/>
      <sheetData sheetId="3" refreshError="1">
        <row r="1">
          <cell r="A1" t="str">
            <v>Health Management Associates</v>
          </cell>
        </row>
        <row r="2">
          <cell r="A2" t="str">
            <v>Andrew Schenker (212) 761-6857</v>
          </cell>
        </row>
        <row r="3">
          <cell r="A3" t="str">
            <v>Income Statement</v>
          </cell>
        </row>
        <row r="4">
          <cell r="B4" t="str">
            <v>Fiscal Year ends December 31</v>
          </cell>
          <cell r="C4" t="str">
            <v>HMA</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C5" t="str">
            <v>HMA.N</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7">
          <cell r="B7" t="str">
            <v># of days in period</v>
          </cell>
          <cell r="N7">
            <v>90</v>
          </cell>
          <cell r="O7">
            <v>91</v>
          </cell>
          <cell r="P7">
            <v>92</v>
          </cell>
          <cell r="Q7">
            <v>273</v>
          </cell>
          <cell r="R7">
            <v>92</v>
          </cell>
          <cell r="S7">
            <v>91</v>
          </cell>
          <cell r="T7">
            <v>91</v>
          </cell>
          <cell r="U7">
            <v>92</v>
          </cell>
          <cell r="V7">
            <v>366</v>
          </cell>
          <cell r="W7">
            <v>90</v>
          </cell>
          <cell r="X7">
            <v>91</v>
          </cell>
          <cell r="Y7">
            <v>92</v>
          </cell>
          <cell r="Z7">
            <v>92</v>
          </cell>
          <cell r="AA7">
            <v>365</v>
          </cell>
          <cell r="AB7">
            <v>90</v>
          </cell>
          <cell r="AC7">
            <v>91</v>
          </cell>
          <cell r="AD7">
            <v>92</v>
          </cell>
          <cell r="AE7">
            <v>92</v>
          </cell>
          <cell r="AF7">
            <v>365</v>
          </cell>
          <cell r="AG7">
            <v>90</v>
          </cell>
          <cell r="AH7">
            <v>91</v>
          </cell>
          <cell r="AI7">
            <v>92</v>
          </cell>
          <cell r="AJ7">
            <v>92</v>
          </cell>
          <cell r="AK7">
            <v>365</v>
          </cell>
          <cell r="AL7">
            <v>91</v>
          </cell>
          <cell r="AM7">
            <v>91</v>
          </cell>
          <cell r="AN7">
            <v>92</v>
          </cell>
          <cell r="AO7">
            <v>92</v>
          </cell>
          <cell r="AP7">
            <v>366</v>
          </cell>
          <cell r="AQ7">
            <v>90</v>
          </cell>
          <cell r="AR7">
            <v>91</v>
          </cell>
          <cell r="AS7">
            <v>92</v>
          </cell>
          <cell r="AT7">
            <v>92</v>
          </cell>
          <cell r="AU7">
            <v>365</v>
          </cell>
          <cell r="AW7">
            <v>91</v>
          </cell>
          <cell r="AX7">
            <v>91</v>
          </cell>
          <cell r="AY7">
            <v>92</v>
          </cell>
          <cell r="AZ7">
            <v>92</v>
          </cell>
          <cell r="BA7">
            <v>366</v>
          </cell>
          <cell r="BB7">
            <v>90</v>
          </cell>
          <cell r="BC7">
            <v>91</v>
          </cell>
          <cell r="BD7">
            <v>92</v>
          </cell>
          <cell r="BE7">
            <v>92</v>
          </cell>
          <cell r="BF7">
            <v>365</v>
          </cell>
          <cell r="BG7">
            <v>90</v>
          </cell>
          <cell r="BH7">
            <v>91</v>
          </cell>
          <cell r="BI7">
            <v>92</v>
          </cell>
          <cell r="BJ7">
            <v>92</v>
          </cell>
          <cell r="BK7">
            <v>365</v>
          </cell>
          <cell r="BL7">
            <v>90</v>
          </cell>
          <cell r="BM7">
            <v>91</v>
          </cell>
          <cell r="BN7">
            <v>92</v>
          </cell>
          <cell r="BO7">
            <v>92</v>
          </cell>
          <cell r="BP7">
            <v>365</v>
          </cell>
          <cell r="BQ7">
            <v>91</v>
          </cell>
          <cell r="BR7">
            <v>91</v>
          </cell>
          <cell r="BS7">
            <v>92</v>
          </cell>
          <cell r="BT7">
            <v>92</v>
          </cell>
          <cell r="BU7">
            <v>366</v>
          </cell>
          <cell r="BV7">
            <v>90</v>
          </cell>
          <cell r="BW7">
            <v>91</v>
          </cell>
          <cell r="BX7">
            <v>92</v>
          </cell>
          <cell r="BY7">
            <v>92</v>
          </cell>
          <cell r="BZ7">
            <v>365</v>
          </cell>
          <cell r="CA7">
            <v>90</v>
          </cell>
          <cell r="CB7">
            <v>91</v>
          </cell>
          <cell r="CC7">
            <v>92</v>
          </cell>
          <cell r="CD7">
            <v>92</v>
          </cell>
          <cell r="CE7">
            <v>365</v>
          </cell>
          <cell r="CF7">
            <v>90</v>
          </cell>
          <cell r="CG7">
            <v>91</v>
          </cell>
          <cell r="CH7">
            <v>92</v>
          </cell>
          <cell r="CI7">
            <v>92</v>
          </cell>
          <cell r="CJ7">
            <v>365</v>
          </cell>
          <cell r="CK7">
            <v>91</v>
          </cell>
          <cell r="CL7">
            <v>91</v>
          </cell>
          <cell r="CM7">
            <v>92</v>
          </cell>
          <cell r="CN7">
            <v>92</v>
          </cell>
          <cell r="CO7">
            <v>366</v>
          </cell>
          <cell r="CP7">
            <v>90</v>
          </cell>
          <cell r="CQ7">
            <v>91</v>
          </cell>
          <cell r="CR7">
            <v>92</v>
          </cell>
          <cell r="CS7">
            <v>92</v>
          </cell>
          <cell r="CT7">
            <v>365</v>
          </cell>
          <cell r="CU7">
            <v>90</v>
          </cell>
          <cell r="CV7">
            <v>91</v>
          </cell>
          <cell r="CW7">
            <v>92</v>
          </cell>
          <cell r="CX7">
            <v>92</v>
          </cell>
          <cell r="CY7">
            <v>365</v>
          </cell>
          <cell r="CZ7">
            <v>90</v>
          </cell>
          <cell r="DA7">
            <v>91</v>
          </cell>
          <cell r="DB7">
            <v>92</v>
          </cell>
          <cell r="DC7">
            <v>92</v>
          </cell>
          <cell r="DD7">
            <v>365</v>
          </cell>
          <cell r="DE7">
            <v>91</v>
          </cell>
          <cell r="DF7">
            <v>91</v>
          </cell>
          <cell r="DG7">
            <v>92</v>
          </cell>
          <cell r="DH7">
            <v>92</v>
          </cell>
          <cell r="DI7">
            <v>366</v>
          </cell>
        </row>
        <row r="9">
          <cell r="B9" t="str">
            <v>Gross Revenue</v>
          </cell>
          <cell r="D9">
            <v>211.79300000000001</v>
          </cell>
          <cell r="E9">
            <v>245.24700000000001</v>
          </cell>
          <cell r="F9">
            <v>301.88299999999998</v>
          </cell>
          <cell r="G9">
            <v>346.767</v>
          </cell>
          <cell r="H9">
            <v>438.36599999999999</v>
          </cell>
          <cell r="I9">
            <v>531.09400000000005</v>
          </cell>
          <cell r="J9">
            <v>714.31700000000001</v>
          </cell>
          <cell r="K9">
            <v>895.48199999999997</v>
          </cell>
          <cell r="L9">
            <v>1138.8019999999999</v>
          </cell>
          <cell r="M9">
            <v>305.49599999999998</v>
          </cell>
          <cell r="N9">
            <v>339.74799999999999</v>
          </cell>
          <cell r="O9">
            <v>352.47300000000001</v>
          </cell>
          <cell r="P9">
            <v>357.99</v>
          </cell>
          <cell r="Q9">
            <v>1355.7069999999999</v>
          </cell>
          <cell r="R9">
            <v>370.09399999999999</v>
          </cell>
          <cell r="S9">
            <v>408.65499999999997</v>
          </cell>
          <cell r="T9">
            <v>391.09899999999999</v>
          </cell>
          <cell r="U9">
            <v>407.91899999999998</v>
          </cell>
          <cell r="V9">
            <v>1577.7669999999998</v>
          </cell>
          <cell r="W9">
            <v>434.23700000000002</v>
          </cell>
          <cell r="X9">
            <v>481.14400000000001</v>
          </cell>
          <cell r="Y9">
            <v>473.20299999999997</v>
          </cell>
          <cell r="Z9">
            <v>491.21699999999998</v>
          </cell>
          <cell r="AA9">
            <v>1879.8009999999999</v>
          </cell>
          <cell r="AB9">
            <v>495.82100000000003</v>
          </cell>
          <cell r="AC9">
            <v>579.94799999999998</v>
          </cell>
          <cell r="AD9">
            <v>592.476</v>
          </cell>
          <cell r="AE9">
            <v>594.35599999999999</v>
          </cell>
          <cell r="AF9">
            <v>2262.6009999999997</v>
          </cell>
          <cell r="AG9">
            <v>609.41899999999998</v>
          </cell>
          <cell r="AH9">
            <v>646.47199999999998</v>
          </cell>
          <cell r="AI9">
            <v>647.12699999999995</v>
          </cell>
          <cell r="AJ9">
            <v>657.55799999999999</v>
          </cell>
          <cell r="AK9">
            <v>2560.576</v>
          </cell>
          <cell r="AL9">
            <v>756.553</v>
          </cell>
          <cell r="AM9">
            <v>833.90700000000004</v>
          </cell>
          <cell r="AN9">
            <v>817.34100000000001</v>
          </cell>
          <cell r="AO9">
            <v>798.08399999999995</v>
          </cell>
          <cell r="AP9">
            <v>3205.8849999999998</v>
          </cell>
          <cell r="AQ9">
            <v>822.18100000000004</v>
          </cell>
          <cell r="AR9">
            <v>917.44799999999998</v>
          </cell>
          <cell r="AS9">
            <v>934.26400000000001</v>
          </cell>
          <cell r="AT9">
            <v>905.59199999999998</v>
          </cell>
          <cell r="AU9">
            <v>3579.4850000000001</v>
          </cell>
          <cell r="AW9">
            <v>833.90700000000004</v>
          </cell>
          <cell r="AX9">
            <v>817.34100000000001</v>
          </cell>
          <cell r="AY9">
            <v>798.08399999999995</v>
          </cell>
          <cell r="AZ9">
            <v>822.18100000000004</v>
          </cell>
          <cell r="BA9">
            <v>3271.5129999999999</v>
          </cell>
          <cell r="BB9">
            <v>917.44799999999998</v>
          </cell>
          <cell r="BC9">
            <v>934.26400000000001</v>
          </cell>
          <cell r="BD9">
            <v>905.59199999999998</v>
          </cell>
          <cell r="BE9">
            <v>936.50300000000004</v>
          </cell>
          <cell r="BF9">
            <v>3693.8070000000002</v>
          </cell>
          <cell r="BG9">
            <v>1032.6600000000001</v>
          </cell>
          <cell r="BH9">
            <v>1022.006</v>
          </cell>
          <cell r="BI9">
            <v>994.11099999999999</v>
          </cell>
          <cell r="BJ9">
            <v>1052.7329999999999</v>
          </cell>
          <cell r="BK9">
            <v>4101.51</v>
          </cell>
          <cell r="BL9">
            <v>1143.5329999999999</v>
          </cell>
          <cell r="BM9">
            <v>1099.1610000000001</v>
          </cell>
          <cell r="BN9">
            <v>1070.1890000000001</v>
          </cell>
          <cell r="BO9">
            <v>1096.278</v>
          </cell>
          <cell r="BP9">
            <v>4409.1610000000001</v>
          </cell>
          <cell r="BQ9">
            <v>1152.5719999999999</v>
          </cell>
          <cell r="BR9">
            <v>1105.299</v>
          </cell>
          <cell r="BS9">
            <v>1081.914</v>
          </cell>
          <cell r="BT9">
            <v>1111.826</v>
          </cell>
          <cell r="BU9">
            <v>4451.6109999999999</v>
          </cell>
          <cell r="BV9">
            <v>1188.0229999999999</v>
          </cell>
          <cell r="BW9">
            <v>1155.453</v>
          </cell>
          <cell r="BX9">
            <v>1121.903</v>
          </cell>
          <cell r="BY9">
            <v>1198.77</v>
          </cell>
          <cell r="BZ9">
            <v>4664.1489999999994</v>
          </cell>
          <cell r="CA9">
            <v>1285.019</v>
          </cell>
          <cell r="CB9">
            <v>1247.787</v>
          </cell>
          <cell r="CC9">
            <v>1270.6590000000001</v>
          </cell>
          <cell r="CD9">
            <v>1352.059</v>
          </cell>
          <cell r="CE9">
            <v>5155.5240000000003</v>
          </cell>
          <cell r="CF9">
            <v>1433.6410000000001</v>
          </cell>
          <cell r="CG9">
            <v>1395.3530000000001</v>
          </cell>
          <cell r="CH9">
            <v>1400.2439999999999</v>
          </cell>
          <cell r="CI9">
            <v>1583.7739999999999</v>
          </cell>
          <cell r="CJ9">
            <v>5813.0120000000006</v>
          </cell>
          <cell r="CK9">
            <v>1686.518</v>
          </cell>
          <cell r="CL9">
            <v>1686.5409999999999</v>
          </cell>
          <cell r="CM9">
            <v>1664.1869999999999</v>
          </cell>
          <cell r="CN9">
            <v>1714.7561297917275</v>
          </cell>
          <cell r="CO9">
            <v>6752.0021297917274</v>
          </cell>
          <cell r="CP9">
            <v>1773.696240270453</v>
          </cell>
          <cell r="CQ9">
            <v>1748.3017764068638</v>
          </cell>
          <cell r="CR9">
            <v>1727.0014888007336</v>
          </cell>
          <cell r="CS9">
            <v>1774.4609769352023</v>
          </cell>
          <cell r="CT9">
            <v>7023.460482413253</v>
          </cell>
          <cell r="CU9">
            <v>1808.7387179919394</v>
          </cell>
          <cell r="CV9">
            <v>1781.0200924392448</v>
          </cell>
          <cell r="CW9">
            <v>1761.1587791980387</v>
          </cell>
          <cell r="CX9">
            <v>1806.0845996925368</v>
          </cell>
          <cell r="CY9">
            <v>7157.0021893217599</v>
          </cell>
          <cell r="CZ9">
            <v>1881.1170686709002</v>
          </cell>
          <cell r="DA9">
            <v>1849.8988829022953</v>
          </cell>
          <cell r="DB9">
            <v>1830.7465494006099</v>
          </cell>
          <cell r="DC9">
            <v>1881.3219862595788</v>
          </cell>
          <cell r="DD9">
            <v>7443.0844872333846</v>
          </cell>
          <cell r="DE9">
            <v>1964.9563156098177</v>
          </cell>
          <cell r="DF9">
            <v>1927.8969063987906</v>
          </cell>
          <cell r="DG9">
            <v>1909.0801770309545</v>
          </cell>
          <cell r="DH9">
            <v>1957.1362860311051</v>
          </cell>
          <cell r="DI9">
            <v>7759.0696850706681</v>
          </cell>
        </row>
        <row r="10">
          <cell r="B10" t="str">
            <v>Provision for doubtful accounts</v>
          </cell>
          <cell r="D10">
            <v>20.132000000000001</v>
          </cell>
          <cell r="E10">
            <v>19.106999999999999</v>
          </cell>
          <cell r="F10">
            <v>23.922000000000001</v>
          </cell>
          <cell r="G10">
            <v>30.15</v>
          </cell>
          <cell r="H10">
            <v>40.002000000000002</v>
          </cell>
          <cell r="I10">
            <v>48.338000000000001</v>
          </cell>
          <cell r="J10">
            <v>64.763000000000005</v>
          </cell>
          <cell r="K10">
            <v>76.894000000000005</v>
          </cell>
          <cell r="L10">
            <v>98.257999999999996</v>
          </cell>
          <cell r="M10">
            <v>29.094999999999999</v>
          </cell>
          <cell r="N10">
            <v>29.876999999999999</v>
          </cell>
          <cell r="O10">
            <v>35.957999999999998</v>
          </cell>
          <cell r="P10">
            <v>35.082999999999998</v>
          </cell>
          <cell r="Q10">
            <v>130.01299999999998</v>
          </cell>
          <cell r="R10">
            <v>34.173000000000002</v>
          </cell>
          <cell r="S10">
            <v>32.884999999999998</v>
          </cell>
          <cell r="T10">
            <v>34.353000000000002</v>
          </cell>
          <cell r="U10">
            <v>34.451000000000001</v>
          </cell>
          <cell r="V10">
            <v>135.86199999999999</v>
          </cell>
          <cell r="W10">
            <v>35.905000000000001</v>
          </cell>
          <cell r="X10">
            <v>33.051000000000002</v>
          </cell>
          <cell r="Y10">
            <v>36.158000000000001</v>
          </cell>
          <cell r="Z10">
            <v>38.808999999999997</v>
          </cell>
          <cell r="AA10">
            <v>143.923</v>
          </cell>
          <cell r="AB10">
            <v>36.878</v>
          </cell>
          <cell r="AC10">
            <v>43.713000000000001</v>
          </cell>
          <cell r="AD10">
            <v>45.484999999999999</v>
          </cell>
          <cell r="AE10">
            <v>46.353999999999999</v>
          </cell>
          <cell r="AF10">
            <v>172.43</v>
          </cell>
          <cell r="AG10">
            <v>46.307000000000002</v>
          </cell>
          <cell r="AH10">
            <v>45.017000000000003</v>
          </cell>
          <cell r="AI10">
            <v>46.448</v>
          </cell>
          <cell r="AJ10">
            <v>49.054000000000002</v>
          </cell>
          <cell r="AK10">
            <v>186.82600000000002</v>
          </cell>
          <cell r="AL10">
            <v>58.087000000000003</v>
          </cell>
          <cell r="AM10">
            <v>59.578000000000003</v>
          </cell>
          <cell r="AN10">
            <v>62.514000000000003</v>
          </cell>
          <cell r="AO10">
            <v>59.895000000000003</v>
          </cell>
          <cell r="AP10">
            <v>240.07400000000001</v>
          </cell>
          <cell r="AQ10">
            <v>62.085999999999999</v>
          </cell>
          <cell r="AR10">
            <v>64.572999999999993</v>
          </cell>
          <cell r="AS10">
            <v>105.41200000000001</v>
          </cell>
          <cell r="AT10">
            <v>75.754999999999995</v>
          </cell>
          <cell r="AU10">
            <v>307.82600000000002</v>
          </cell>
          <cell r="AW10">
            <v>59.578000000000003</v>
          </cell>
          <cell r="AX10">
            <v>62.514000000000003</v>
          </cell>
          <cell r="AY10">
            <v>59.895000000000003</v>
          </cell>
          <cell r="AZ10">
            <v>62.085999999999999</v>
          </cell>
          <cell r="BA10">
            <v>244.07300000000004</v>
          </cell>
          <cell r="BB10">
            <v>64.572999999999993</v>
          </cell>
          <cell r="BC10">
            <v>105.41200000000001</v>
          </cell>
          <cell r="BD10">
            <v>75.754999999999995</v>
          </cell>
          <cell r="BE10">
            <v>81.106999999999999</v>
          </cell>
          <cell r="BF10">
            <v>326.84699999999998</v>
          </cell>
          <cell r="BG10">
            <v>83.775999999999996</v>
          </cell>
          <cell r="BH10">
            <v>91.206000000000003</v>
          </cell>
          <cell r="BI10">
            <v>94.072999999999993</v>
          </cell>
          <cell r="BJ10">
            <v>302.81900000000002</v>
          </cell>
          <cell r="BK10">
            <v>571.87400000000002</v>
          </cell>
          <cell r="BL10">
            <v>121.46899999999999</v>
          </cell>
          <cell r="BM10">
            <v>150.62899999999999</v>
          </cell>
          <cell r="BN10">
            <v>126.486</v>
          </cell>
          <cell r="BO10">
            <v>135.22</v>
          </cell>
          <cell r="BP10">
            <v>533.80399999999997</v>
          </cell>
          <cell r="BQ10">
            <v>128.97</v>
          </cell>
          <cell r="BR10">
            <v>124.837</v>
          </cell>
          <cell r="BS10">
            <v>124.194</v>
          </cell>
          <cell r="BT10">
            <v>130.22900000000001</v>
          </cell>
          <cell r="BU10">
            <v>508.23</v>
          </cell>
          <cell r="BV10">
            <v>143.983</v>
          </cell>
          <cell r="BW10">
            <v>141.505</v>
          </cell>
          <cell r="BX10">
            <v>143.745</v>
          </cell>
          <cell r="BY10">
            <v>147.16399999999999</v>
          </cell>
          <cell r="BZ10">
            <v>576.39699999999993</v>
          </cell>
          <cell r="CA10">
            <v>158.80500000000001</v>
          </cell>
          <cell r="CB10">
            <v>149.73099999999999</v>
          </cell>
          <cell r="CC10">
            <v>159.922</v>
          </cell>
          <cell r="CD10">
            <v>164.553</v>
          </cell>
          <cell r="CE10">
            <v>633.01099999999997</v>
          </cell>
          <cell r="CF10">
            <v>172.80199999999999</v>
          </cell>
          <cell r="CG10">
            <v>170.78700000000001</v>
          </cell>
          <cell r="CH10">
            <v>178.87299999999999</v>
          </cell>
          <cell r="CI10">
            <v>195.12700000000001</v>
          </cell>
          <cell r="CJ10">
            <v>717.58899999999994</v>
          </cell>
          <cell r="CK10">
            <v>201.261</v>
          </cell>
          <cell r="CL10">
            <v>214.56299999999999</v>
          </cell>
          <cell r="CM10">
            <v>224.078</v>
          </cell>
          <cell r="CN10">
            <v>231.49207752188323</v>
          </cell>
          <cell r="CO10">
            <v>871.39407752188322</v>
          </cell>
          <cell r="CP10">
            <v>235.56444688548012</v>
          </cell>
          <cell r="CQ10">
            <v>241.42522828460378</v>
          </cell>
          <cell r="CR10">
            <v>254.002584369668</v>
          </cell>
          <cell r="CS10">
            <v>257.02973061024016</v>
          </cell>
          <cell r="CT10">
            <v>988.02199014999201</v>
          </cell>
          <cell r="CU10">
            <v>189.48801670731294</v>
          </cell>
          <cell r="CV10">
            <v>194.77399794157026</v>
          </cell>
          <cell r="CW10">
            <v>204.69666651038935</v>
          </cell>
          <cell r="CX10">
            <v>207.56875740520627</v>
          </cell>
          <cell r="CY10">
            <v>796.52743856447887</v>
          </cell>
          <cell r="CZ10">
            <v>172.64500807231349</v>
          </cell>
          <cell r="DA10">
            <v>176.50685420070937</v>
          </cell>
          <cell r="DB10">
            <v>185.37446677882798</v>
          </cell>
          <cell r="DC10">
            <v>188.28177216036485</v>
          </cell>
          <cell r="DD10">
            <v>722.80810121221566</v>
          </cell>
          <cell r="DE10">
            <v>161.64526418738677</v>
          </cell>
          <cell r="DF10">
            <v>164.28377525814815</v>
          </cell>
          <cell r="DG10">
            <v>172.42250458134649</v>
          </cell>
          <cell r="DH10">
            <v>175.27856747258164</v>
          </cell>
          <cell r="DI10">
            <v>673.63011149946306</v>
          </cell>
        </row>
        <row r="11">
          <cell r="B11" t="str">
            <v>Net Revenue</v>
          </cell>
          <cell r="D11">
            <v>191.661</v>
          </cell>
          <cell r="E11">
            <v>226.14000000000001</v>
          </cell>
          <cell r="F11">
            <v>277.96099999999996</v>
          </cell>
          <cell r="G11">
            <v>316.61700000000002</v>
          </cell>
          <cell r="H11">
            <v>398.36399999999998</v>
          </cell>
          <cell r="I11">
            <v>482.75600000000003</v>
          </cell>
          <cell r="J11">
            <v>649.55399999999997</v>
          </cell>
          <cell r="K11">
            <v>818.58799999999997</v>
          </cell>
          <cell r="L11">
            <v>1040.5439999999999</v>
          </cell>
          <cell r="M11">
            <v>276.40099999999995</v>
          </cell>
          <cell r="N11">
            <v>309.87099999999998</v>
          </cell>
          <cell r="O11">
            <v>316.51499999999999</v>
          </cell>
          <cell r="P11">
            <v>322.90700000000004</v>
          </cell>
          <cell r="Q11">
            <v>1225.694</v>
          </cell>
          <cell r="R11">
            <v>335.92099999999999</v>
          </cell>
          <cell r="S11">
            <v>375.77</v>
          </cell>
          <cell r="T11">
            <v>356.74599999999998</v>
          </cell>
          <cell r="U11">
            <v>373.46799999999996</v>
          </cell>
          <cell r="V11">
            <v>1441.9049999999997</v>
          </cell>
          <cell r="W11">
            <v>398.33199999999999</v>
          </cell>
          <cell r="X11">
            <v>448.09300000000002</v>
          </cell>
          <cell r="Y11">
            <v>437.04499999999996</v>
          </cell>
          <cell r="Z11">
            <v>452.40800000000002</v>
          </cell>
          <cell r="AA11">
            <v>1735.8779999999999</v>
          </cell>
          <cell r="AB11">
            <v>458.94300000000004</v>
          </cell>
          <cell r="AC11">
            <v>536.23500000000001</v>
          </cell>
          <cell r="AD11">
            <v>546.99099999999999</v>
          </cell>
          <cell r="AE11">
            <v>548.00199999999995</v>
          </cell>
          <cell r="AF11">
            <v>2090.1709999999998</v>
          </cell>
          <cell r="AG11">
            <v>563.11199999999997</v>
          </cell>
          <cell r="AH11">
            <v>601.45499999999993</v>
          </cell>
          <cell r="AI11">
            <v>600.67899999999997</v>
          </cell>
          <cell r="AJ11">
            <v>608.50400000000002</v>
          </cell>
          <cell r="AK11">
            <v>2373.75</v>
          </cell>
          <cell r="AL11">
            <v>698.46600000000001</v>
          </cell>
          <cell r="AM11">
            <v>774.32900000000006</v>
          </cell>
          <cell r="AN11">
            <v>754.827</v>
          </cell>
          <cell r="AO11">
            <v>738.18899999999996</v>
          </cell>
          <cell r="AP11">
            <v>2965.8109999999997</v>
          </cell>
          <cell r="AQ11">
            <v>760.09500000000003</v>
          </cell>
          <cell r="AR11">
            <v>852.875</v>
          </cell>
          <cell r="AS11">
            <v>828.85199999999998</v>
          </cell>
          <cell r="AT11">
            <v>829.83699999999999</v>
          </cell>
          <cell r="AU11">
            <v>3271.6590000000001</v>
          </cell>
          <cell r="AW11">
            <v>774.32900000000006</v>
          </cell>
          <cell r="AX11">
            <v>754.827</v>
          </cell>
          <cell r="AY11">
            <v>738.18899999999996</v>
          </cell>
          <cell r="AZ11">
            <v>760.09500000000003</v>
          </cell>
          <cell r="BA11">
            <v>3027.44</v>
          </cell>
          <cell r="BB11">
            <v>852.875</v>
          </cell>
          <cell r="BC11">
            <v>828.85199999999998</v>
          </cell>
          <cell r="BD11">
            <v>829.83699999999999</v>
          </cell>
          <cell r="BE11">
            <v>855.39600000000007</v>
          </cell>
          <cell r="BF11">
            <v>3366.96</v>
          </cell>
          <cell r="BG11">
            <v>948.88400000000013</v>
          </cell>
          <cell r="BH11">
            <v>930.8</v>
          </cell>
          <cell r="BI11">
            <v>900.03800000000001</v>
          </cell>
          <cell r="BJ11">
            <v>749.91399999999999</v>
          </cell>
          <cell r="BK11">
            <v>3529.6360000000004</v>
          </cell>
          <cell r="BL11">
            <v>1022.0639999999999</v>
          </cell>
          <cell r="BM11">
            <v>948.53200000000004</v>
          </cell>
          <cell r="BN11">
            <v>943.70300000000009</v>
          </cell>
          <cell r="BO11">
            <v>961.05799999999999</v>
          </cell>
          <cell r="BP11">
            <v>3875.357</v>
          </cell>
          <cell r="BQ11">
            <v>1023.6019999999999</v>
          </cell>
          <cell r="BR11">
            <v>980.46199999999999</v>
          </cell>
          <cell r="BS11">
            <v>957.72</v>
          </cell>
          <cell r="BT11">
            <v>981.59699999999998</v>
          </cell>
          <cell r="BU11">
            <v>3943.3809999999999</v>
          </cell>
          <cell r="BV11">
            <v>1044.04</v>
          </cell>
          <cell r="BW11">
            <v>1013.948</v>
          </cell>
          <cell r="BX11">
            <v>978.15800000000002</v>
          </cell>
          <cell r="BY11">
            <v>1051.606</v>
          </cell>
          <cell r="BZ11">
            <v>4087.7519999999995</v>
          </cell>
          <cell r="CA11">
            <v>1126.2139999999999</v>
          </cell>
          <cell r="CB11">
            <v>1098.056</v>
          </cell>
          <cell r="CC11">
            <v>1110.7370000000001</v>
          </cell>
          <cell r="CD11">
            <v>1187.5059999999999</v>
          </cell>
          <cell r="CE11">
            <v>4522.5130000000008</v>
          </cell>
          <cell r="CF11">
            <v>1260.8390000000002</v>
          </cell>
          <cell r="CG11">
            <v>1224.566</v>
          </cell>
          <cell r="CH11">
            <v>1221.3709999999999</v>
          </cell>
          <cell r="CI11">
            <v>1388.6469999999999</v>
          </cell>
          <cell r="CJ11">
            <v>5095.4230000000007</v>
          </cell>
          <cell r="CK11">
            <v>1485.2570000000001</v>
          </cell>
          <cell r="CL11">
            <v>1471.9780000000001</v>
          </cell>
          <cell r="CM11">
            <v>1440.1089999999999</v>
          </cell>
          <cell r="CN11">
            <v>1483.2640522698443</v>
          </cell>
          <cell r="CO11">
            <v>5880.6080522698439</v>
          </cell>
          <cell r="CP11">
            <v>1538.131793384973</v>
          </cell>
          <cell r="CQ11">
            <v>1506.8765481222601</v>
          </cell>
          <cell r="CR11">
            <v>1472.9989044310655</v>
          </cell>
          <cell r="CS11">
            <v>1517.4312463249621</v>
          </cell>
          <cell r="CT11">
            <v>6035.4384922632607</v>
          </cell>
          <cell r="CU11">
            <v>1619.2507012846265</v>
          </cell>
          <cell r="CV11">
            <v>1586.2460944976744</v>
          </cell>
          <cell r="CW11">
            <v>1556.4621126876493</v>
          </cell>
          <cell r="CX11">
            <v>1598.5158422873305</v>
          </cell>
          <cell r="CY11">
            <v>6360.4747507572811</v>
          </cell>
          <cell r="CZ11">
            <v>1708.4720605985867</v>
          </cell>
          <cell r="DA11">
            <v>1673.392028701586</v>
          </cell>
          <cell r="DB11">
            <v>1645.3720826217818</v>
          </cell>
          <cell r="DC11">
            <v>1693.0402140992139</v>
          </cell>
          <cell r="DD11">
            <v>6720.2763860211689</v>
          </cell>
          <cell r="DE11">
            <v>1803.3110514224309</v>
          </cell>
          <cell r="DF11">
            <v>1763.6131311406425</v>
          </cell>
          <cell r="DG11">
            <v>1736.6576724496081</v>
          </cell>
          <cell r="DH11">
            <v>1781.8577185585234</v>
          </cell>
          <cell r="DI11">
            <v>7085.4395735712051</v>
          </cell>
          <cell r="DK11" t="str">
            <v>mstag:revenueNet</v>
          </cell>
          <cell r="DL11">
            <v>6</v>
          </cell>
          <cell r="DM11" t="str">
            <v>ISO4217:USD</v>
          </cell>
          <cell r="DN11" t="b">
            <v>0</v>
          </cell>
          <cell r="DO11" t="b">
            <v>0</v>
          </cell>
        </row>
        <row r="12">
          <cell r="B12" t="str">
            <v>Salaries &amp; benefits</v>
          </cell>
          <cell r="D12">
            <v>78.134</v>
          </cell>
          <cell r="E12">
            <v>90.876999999999995</v>
          </cell>
          <cell r="F12">
            <v>112.114</v>
          </cell>
          <cell r="G12">
            <v>123.188</v>
          </cell>
          <cell r="H12">
            <v>149.36799999999999</v>
          </cell>
          <cell r="I12">
            <v>179.483</v>
          </cell>
          <cell r="J12">
            <v>247.917</v>
          </cell>
          <cell r="K12">
            <v>310.99200000000002</v>
          </cell>
          <cell r="L12">
            <v>402.13299999999998</v>
          </cell>
          <cell r="M12">
            <v>113.643</v>
          </cell>
          <cell r="N12">
            <v>114.673</v>
          </cell>
          <cell r="O12">
            <v>124.38200000000001</v>
          </cell>
          <cell r="P12">
            <v>133.30500000000001</v>
          </cell>
          <cell r="Q12">
            <v>486.00299999999999</v>
          </cell>
          <cell r="R12">
            <v>136.428</v>
          </cell>
          <cell r="S12">
            <v>143.179</v>
          </cell>
          <cell r="T12">
            <v>134.57900000000001</v>
          </cell>
          <cell r="U12">
            <v>154.92599999999999</v>
          </cell>
          <cell r="V12">
            <v>569.11199999999997</v>
          </cell>
          <cell r="W12">
            <v>169.15299999999999</v>
          </cell>
          <cell r="X12">
            <v>177.52</v>
          </cell>
          <cell r="Y12">
            <v>176.279</v>
          </cell>
          <cell r="Z12">
            <v>187.583</v>
          </cell>
          <cell r="AA12">
            <v>710.53499999999997</v>
          </cell>
          <cell r="AB12">
            <v>195.74799999999999</v>
          </cell>
          <cell r="AC12">
            <v>219.04400000000001</v>
          </cell>
          <cell r="AD12">
            <v>226.58699999999999</v>
          </cell>
          <cell r="AE12">
            <v>233.35</v>
          </cell>
          <cell r="AF12">
            <v>874.72900000000004</v>
          </cell>
          <cell r="AG12">
            <v>242.511</v>
          </cell>
          <cell r="AH12">
            <v>245.946</v>
          </cell>
          <cell r="AI12">
            <v>245.477</v>
          </cell>
          <cell r="AJ12">
            <v>255.14099999999999</v>
          </cell>
          <cell r="AK12">
            <v>989.07499999999993</v>
          </cell>
          <cell r="AL12">
            <v>302.762</v>
          </cell>
          <cell r="AM12">
            <v>325.38400000000001</v>
          </cell>
          <cell r="AN12">
            <v>315.77600000000001</v>
          </cell>
          <cell r="AO12">
            <v>315.93700000000001</v>
          </cell>
          <cell r="AP12">
            <v>1259.8589999999999</v>
          </cell>
          <cell r="AQ12">
            <v>327.25</v>
          </cell>
          <cell r="AR12">
            <v>358.286</v>
          </cell>
          <cell r="AS12">
            <v>356.072</v>
          </cell>
          <cell r="AT12">
            <v>365.62700000000001</v>
          </cell>
          <cell r="AU12">
            <v>1407.2350000000001</v>
          </cell>
          <cell r="AW12">
            <v>325.38400000000001</v>
          </cell>
          <cell r="AX12">
            <v>315.77600000000001</v>
          </cell>
          <cell r="AY12">
            <v>315.93700000000001</v>
          </cell>
          <cell r="AZ12">
            <v>327.25</v>
          </cell>
          <cell r="BA12">
            <v>1284.3470000000002</v>
          </cell>
          <cell r="BB12">
            <v>358.286</v>
          </cell>
          <cell r="BC12">
            <v>356.072</v>
          </cell>
          <cell r="BD12">
            <v>365.62700000000001</v>
          </cell>
          <cell r="BE12">
            <v>376.66</v>
          </cell>
          <cell r="BF12">
            <v>1456.645</v>
          </cell>
          <cell r="BG12">
            <v>405.78300000000002</v>
          </cell>
          <cell r="BH12">
            <v>408.06099999999998</v>
          </cell>
          <cell r="BI12">
            <v>404.39299999999997</v>
          </cell>
          <cell r="BJ12">
            <v>433.10700000000003</v>
          </cell>
          <cell r="BK12">
            <v>1651.3440000000001</v>
          </cell>
          <cell r="BL12">
            <v>455.50700000000001</v>
          </cell>
          <cell r="BM12">
            <v>444.34300000000002</v>
          </cell>
          <cell r="BN12">
            <v>438.86399999999998</v>
          </cell>
          <cell r="BO12">
            <v>453.54</v>
          </cell>
          <cell r="BP12">
            <v>1792.2539999999999</v>
          </cell>
          <cell r="BQ12">
            <v>467.803</v>
          </cell>
          <cell r="BR12">
            <v>448.61700000000002</v>
          </cell>
          <cell r="BS12">
            <v>449.42099999999999</v>
          </cell>
          <cell r="BT12">
            <v>462.41699999999997</v>
          </cell>
          <cell r="BU12">
            <v>1828.258</v>
          </cell>
          <cell r="BV12">
            <v>464.21300000000002</v>
          </cell>
          <cell r="BW12">
            <v>448.11500000000001</v>
          </cell>
          <cell r="BX12">
            <v>438.202</v>
          </cell>
          <cell r="BY12">
            <v>478.28500000000003</v>
          </cell>
          <cell r="BZ12">
            <v>1828.8150000000001</v>
          </cell>
          <cell r="CA12">
            <v>507.767</v>
          </cell>
          <cell r="CB12">
            <v>490.60700000000003</v>
          </cell>
          <cell r="CC12">
            <v>501.84100000000001</v>
          </cell>
          <cell r="CD12">
            <v>541.37</v>
          </cell>
          <cell r="CE12">
            <v>2041.585</v>
          </cell>
          <cell r="CF12">
            <v>571.39300000000003</v>
          </cell>
          <cell r="CG12">
            <v>546.19799999999998</v>
          </cell>
          <cell r="CH12">
            <v>549.85699999999997</v>
          </cell>
          <cell r="CI12">
            <v>637.75099999999998</v>
          </cell>
          <cell r="CJ12">
            <v>2305.1989999999996</v>
          </cell>
          <cell r="CK12">
            <v>659.08399999999995</v>
          </cell>
          <cell r="CL12">
            <v>645.93299999999999</v>
          </cell>
          <cell r="CM12">
            <v>637.30499999999995</v>
          </cell>
          <cell r="CN12">
            <v>674.17092842825696</v>
          </cell>
          <cell r="CO12">
            <v>2616.4929284282566</v>
          </cell>
          <cell r="CP12">
            <v>680.44696543148223</v>
          </cell>
          <cell r="CQ12">
            <v>658.50434709383501</v>
          </cell>
          <cell r="CR12">
            <v>649.43383541914125</v>
          </cell>
          <cell r="CS12">
            <v>690.07470675437355</v>
          </cell>
          <cell r="CT12">
            <v>2678.4598546988318</v>
          </cell>
          <cell r="CU12">
            <v>710.86056533681824</v>
          </cell>
          <cell r="CV12">
            <v>688.48447042693351</v>
          </cell>
          <cell r="CW12">
            <v>679.09121532191921</v>
          </cell>
          <cell r="CX12">
            <v>721.13953852404018</v>
          </cell>
          <cell r="CY12">
            <v>2799.5757896097111</v>
          </cell>
          <cell r="CZ12">
            <v>743.92486515494795</v>
          </cell>
          <cell r="DA12">
            <v>720.66780311956302</v>
          </cell>
          <cell r="DB12">
            <v>710.86984094605657</v>
          </cell>
          <cell r="DC12">
            <v>754.84673517912404</v>
          </cell>
          <cell r="DD12">
            <v>2930.3092443996916</v>
          </cell>
          <cell r="DE12">
            <v>778.67402680465921</v>
          </cell>
          <cell r="DF12">
            <v>754.08473983272324</v>
          </cell>
          <cell r="DG12">
            <v>743.8621045807638</v>
          </cell>
          <cell r="DH12">
            <v>789.44356666780379</v>
          </cell>
          <cell r="DI12">
            <v>3066.0644378859497</v>
          </cell>
          <cell r="DK12" t="str">
            <v>mstag:employeeExpenses</v>
          </cell>
          <cell r="DL12">
            <v>6</v>
          </cell>
          <cell r="DM12" t="str">
            <v>ISO4217:USD</v>
          </cell>
          <cell r="DN12" t="b">
            <v>0</v>
          </cell>
          <cell r="DO12" t="b">
            <v>0</v>
          </cell>
        </row>
        <row r="13">
          <cell r="B13" t="str">
            <v>Supplies &amp; other</v>
          </cell>
          <cell r="D13">
            <v>69.774000000000001</v>
          </cell>
          <cell r="E13">
            <v>80.132999999999996</v>
          </cell>
          <cell r="F13">
            <v>98.403999999999996</v>
          </cell>
          <cell r="G13">
            <v>109.167</v>
          </cell>
          <cell r="H13">
            <v>135.042</v>
          </cell>
          <cell r="I13">
            <v>162.18299999999999</v>
          </cell>
          <cell r="J13">
            <v>216.45099999999999</v>
          </cell>
          <cell r="K13">
            <v>269.57</v>
          </cell>
          <cell r="L13">
            <v>331.00599999999997</v>
          </cell>
          <cell r="M13">
            <v>88.361000000000004</v>
          </cell>
          <cell r="N13">
            <v>93.745000000000005</v>
          </cell>
          <cell r="O13">
            <v>101.371</v>
          </cell>
          <cell r="P13">
            <v>106.752</v>
          </cell>
          <cell r="Q13">
            <v>390.22899999999998</v>
          </cell>
          <cell r="R13">
            <v>109.946</v>
          </cell>
          <cell r="S13">
            <v>115.18300000000001</v>
          </cell>
          <cell r="T13">
            <v>114.508</v>
          </cell>
          <cell r="U13">
            <v>119.18</v>
          </cell>
          <cell r="V13">
            <v>458.81700000000001</v>
          </cell>
          <cell r="W13">
            <v>126.069</v>
          </cell>
          <cell r="X13">
            <v>135.666</v>
          </cell>
          <cell r="Y13">
            <v>133.995</v>
          </cell>
          <cell r="Z13">
            <v>140.196</v>
          </cell>
          <cell r="AA13">
            <v>535.92600000000004</v>
          </cell>
          <cell r="AB13">
            <v>143.43299999999999</v>
          </cell>
          <cell r="AC13">
            <v>163.678</v>
          </cell>
          <cell r="AD13">
            <v>170.16300000000001</v>
          </cell>
          <cell r="AE13">
            <v>173.578</v>
          </cell>
          <cell r="AF13">
            <v>650.85199999999998</v>
          </cell>
          <cell r="AG13">
            <v>179.94200000000001</v>
          </cell>
          <cell r="AH13">
            <v>183.52600000000001</v>
          </cell>
          <cell r="AI13">
            <v>185.328</v>
          </cell>
          <cell r="AJ13">
            <v>192.691</v>
          </cell>
          <cell r="AK13">
            <v>741.48700000000008</v>
          </cell>
          <cell r="AL13">
            <v>228.136</v>
          </cell>
          <cell r="AM13">
            <v>244.172</v>
          </cell>
          <cell r="AN13">
            <v>239.08699999999999</v>
          </cell>
          <cell r="AO13">
            <v>245.49600000000001</v>
          </cell>
          <cell r="AP13">
            <v>956.89099999999996</v>
          </cell>
          <cell r="AQ13">
            <v>247.816</v>
          </cell>
          <cell r="AR13">
            <v>273.21499999999997</v>
          </cell>
          <cell r="AS13">
            <v>288.76400000000001</v>
          </cell>
          <cell r="AT13">
            <v>280.47199999999998</v>
          </cell>
          <cell r="AU13">
            <v>1090.2669999999998</v>
          </cell>
          <cell r="AW13">
            <v>244.172</v>
          </cell>
          <cell r="AX13">
            <v>239.08699999999999</v>
          </cell>
          <cell r="AY13">
            <v>245.49600000000001</v>
          </cell>
          <cell r="AZ13">
            <v>247.816</v>
          </cell>
          <cell r="BA13">
            <v>976.57100000000003</v>
          </cell>
          <cell r="BB13">
            <v>273.21499999999997</v>
          </cell>
          <cell r="BC13">
            <v>288.76400000000001</v>
          </cell>
          <cell r="BD13">
            <v>280.47199999999998</v>
          </cell>
          <cell r="BE13">
            <v>289.24599999999998</v>
          </cell>
          <cell r="BF13">
            <v>1131.6970000000001</v>
          </cell>
          <cell r="BG13">
            <v>150.059</v>
          </cell>
          <cell r="BH13">
            <v>142.24799999999999</v>
          </cell>
          <cell r="BI13">
            <v>133.45599999999999</v>
          </cell>
          <cell r="BJ13">
            <v>132.23599999999999</v>
          </cell>
          <cell r="BK13">
            <v>557.99900000000002</v>
          </cell>
          <cell r="BL13">
            <v>158.51400000000001</v>
          </cell>
          <cell r="BM13">
            <v>149.86199999999999</v>
          </cell>
          <cell r="BN13">
            <v>139.08000000000001</v>
          </cell>
          <cell r="BO13">
            <v>140.53700000000001</v>
          </cell>
          <cell r="BP13">
            <v>587.99300000000005</v>
          </cell>
          <cell r="BQ13">
            <v>156.87299999999999</v>
          </cell>
          <cell r="BR13">
            <v>149.24799999999999</v>
          </cell>
          <cell r="BS13">
            <v>146.93299999999999</v>
          </cell>
          <cell r="BT13">
            <v>150.56700000000001</v>
          </cell>
          <cell r="BU13">
            <v>603.62099999999998</v>
          </cell>
          <cell r="BV13">
            <v>165.43799999999999</v>
          </cell>
          <cell r="BW13">
            <v>164.756</v>
          </cell>
          <cell r="BX13">
            <v>154.262</v>
          </cell>
          <cell r="BY13">
            <v>167.102</v>
          </cell>
          <cell r="BZ13">
            <v>651.55799999999999</v>
          </cell>
          <cell r="CA13">
            <v>180.66200000000001</v>
          </cell>
          <cell r="CB13">
            <v>176.98400000000001</v>
          </cell>
          <cell r="CC13">
            <v>173.43700000000001</v>
          </cell>
          <cell r="CD13">
            <v>179.03800000000001</v>
          </cell>
          <cell r="CE13">
            <v>710.12100000000009</v>
          </cell>
          <cell r="CF13">
            <v>195.00299999999999</v>
          </cell>
          <cell r="CG13">
            <v>185.78899999999999</v>
          </cell>
          <cell r="CH13">
            <v>179.99299999999999</v>
          </cell>
          <cell r="CI13">
            <v>216.35</v>
          </cell>
          <cell r="CJ13">
            <v>777.13499999999999</v>
          </cell>
          <cell r="CK13">
            <v>234.44300000000001</v>
          </cell>
          <cell r="CL13">
            <v>226.154</v>
          </cell>
          <cell r="CM13">
            <v>216.81899999999999</v>
          </cell>
          <cell r="CN13">
            <v>233.76241948081793</v>
          </cell>
          <cell r="CO13">
            <v>911.17841948081787</v>
          </cell>
          <cell r="CP13">
            <v>242.04202790031766</v>
          </cell>
          <cell r="CQ13">
            <v>230.55547883860885</v>
          </cell>
          <cell r="CR13">
            <v>220.94537899709371</v>
          </cell>
          <cell r="CS13">
            <v>239.2769048192275</v>
          </cell>
          <cell r="CT13">
            <v>932.81979055524778</v>
          </cell>
          <cell r="CU13">
            <v>253.00203318982847</v>
          </cell>
          <cell r="CV13">
            <v>241.56723875276717</v>
          </cell>
          <cell r="CW13">
            <v>231.59942237504632</v>
          </cell>
          <cell r="CX13">
            <v>250.33412049016346</v>
          </cell>
          <cell r="CY13">
            <v>976.50281480780541</v>
          </cell>
          <cell r="CZ13">
            <v>265.75465039196968</v>
          </cell>
          <cell r="DA13">
            <v>253.89645237672258</v>
          </cell>
          <cell r="DB13">
            <v>243.46431402349461</v>
          </cell>
          <cell r="DC13">
            <v>263.11603804934305</v>
          </cell>
          <cell r="DD13">
            <v>1026.2314548415297</v>
          </cell>
          <cell r="DE13">
            <v>279.42286899101225</v>
          </cell>
          <cell r="DF13">
            <v>266.66038310455809</v>
          </cell>
          <cell r="DG13">
            <v>255.7426553248485</v>
          </cell>
          <cell r="DH13">
            <v>275.9097976754889</v>
          </cell>
          <cell r="DI13">
            <v>1077.7357050959076</v>
          </cell>
          <cell r="DK13" t="str">
            <v>mstag:hospitalSuppliesExpense</v>
          </cell>
          <cell r="DL13">
            <v>6</v>
          </cell>
          <cell r="DM13" t="str">
            <v>ISO4217:USD</v>
          </cell>
          <cell r="DN13" t="b">
            <v>0</v>
          </cell>
          <cell r="DO13" t="b">
            <v>0</v>
          </cell>
        </row>
        <row r="14">
          <cell r="B14" t="str">
            <v>Rent expense</v>
          </cell>
          <cell r="D14">
            <v>7.1</v>
          </cell>
          <cell r="E14">
            <v>8.1210000000000004</v>
          </cell>
          <cell r="F14">
            <v>9.09</v>
          </cell>
          <cell r="G14">
            <v>9.9250000000000007</v>
          </cell>
          <cell r="H14">
            <v>11.317</v>
          </cell>
          <cell r="I14">
            <v>12.657999999999999</v>
          </cell>
          <cell r="J14">
            <v>16.087</v>
          </cell>
          <cell r="K14">
            <v>19.443999999999999</v>
          </cell>
          <cell r="L14">
            <v>26.93</v>
          </cell>
          <cell r="M14">
            <v>7.577</v>
          </cell>
          <cell r="N14">
            <v>7.8929999999999998</v>
          </cell>
          <cell r="O14">
            <v>8.6029999999999998</v>
          </cell>
          <cell r="P14">
            <v>9.0730000000000004</v>
          </cell>
          <cell r="Q14">
            <v>33.146000000000001</v>
          </cell>
          <cell r="R14">
            <v>9.2729999999999997</v>
          </cell>
          <cell r="S14">
            <v>9.2680000000000007</v>
          </cell>
          <cell r="T14">
            <v>9.66</v>
          </cell>
          <cell r="U14">
            <v>9.9160000000000004</v>
          </cell>
          <cell r="V14">
            <v>38.117000000000004</v>
          </cell>
          <cell r="W14">
            <v>9.5220000000000002</v>
          </cell>
          <cell r="X14">
            <v>10.254</v>
          </cell>
          <cell r="Y14">
            <v>10.239000000000001</v>
          </cell>
          <cell r="Z14">
            <v>10.835000000000001</v>
          </cell>
          <cell r="AA14">
            <v>40.85</v>
          </cell>
          <cell r="AB14">
            <v>10.926</v>
          </cell>
          <cell r="AC14">
            <v>11.569000000000001</v>
          </cell>
          <cell r="AD14">
            <v>12.367000000000001</v>
          </cell>
          <cell r="AE14">
            <v>12.186</v>
          </cell>
          <cell r="AF14">
            <v>47.048000000000002</v>
          </cell>
          <cell r="AG14">
            <v>12.105</v>
          </cell>
          <cell r="AH14">
            <v>12.106</v>
          </cell>
          <cell r="AI14">
            <v>12.465999999999999</v>
          </cell>
          <cell r="AJ14">
            <v>13.724</v>
          </cell>
          <cell r="AK14">
            <v>50.400999999999996</v>
          </cell>
          <cell r="AL14">
            <v>15.422000000000001</v>
          </cell>
          <cell r="AM14">
            <v>17.423999999999999</v>
          </cell>
          <cell r="AN14">
            <v>16.54</v>
          </cell>
          <cell r="AO14">
            <v>16.38</v>
          </cell>
          <cell r="AP14">
            <v>65.766000000000005</v>
          </cell>
          <cell r="AQ14">
            <v>17.013999999999999</v>
          </cell>
          <cell r="AR14">
            <v>17.762</v>
          </cell>
          <cell r="AS14">
            <v>19.689</v>
          </cell>
          <cell r="AT14">
            <v>18.600000000000001</v>
          </cell>
          <cell r="AU14">
            <v>73.064999999999998</v>
          </cell>
          <cell r="AW14">
            <v>17.423999999999999</v>
          </cell>
          <cell r="AX14">
            <v>16.54</v>
          </cell>
          <cell r="AY14">
            <v>16.38</v>
          </cell>
          <cell r="AZ14">
            <v>17.013999999999999</v>
          </cell>
          <cell r="BA14">
            <v>67.35799999999999</v>
          </cell>
          <cell r="BB14">
            <v>17.762</v>
          </cell>
          <cell r="BC14">
            <v>19.689</v>
          </cell>
          <cell r="BD14">
            <v>18.600000000000001</v>
          </cell>
          <cell r="BE14">
            <v>19.178999999999998</v>
          </cell>
          <cell r="BF14">
            <v>75.23</v>
          </cell>
          <cell r="BG14">
            <v>20.391999999999999</v>
          </cell>
          <cell r="BH14">
            <v>21.283999999999999</v>
          </cell>
          <cell r="BI14">
            <v>21.04</v>
          </cell>
          <cell r="BJ14">
            <v>16.946999999999999</v>
          </cell>
          <cell r="BK14">
            <v>79.662999999999997</v>
          </cell>
          <cell r="BL14">
            <v>21.146000000000001</v>
          </cell>
          <cell r="BM14">
            <v>21.058</v>
          </cell>
          <cell r="BN14">
            <v>20.692</v>
          </cell>
          <cell r="BO14">
            <v>22.835000000000001</v>
          </cell>
          <cell r="BP14">
            <v>85.730999999999995</v>
          </cell>
          <cell r="BQ14">
            <v>22.135000000000002</v>
          </cell>
          <cell r="BR14">
            <v>22.681000000000001</v>
          </cell>
          <cell r="BS14">
            <v>23.443999999999999</v>
          </cell>
          <cell r="BT14">
            <v>23.498999999999999</v>
          </cell>
          <cell r="BU14">
            <v>91.759</v>
          </cell>
          <cell r="BV14">
            <v>25.31</v>
          </cell>
          <cell r="BW14">
            <v>25.411999999999999</v>
          </cell>
          <cell r="BX14">
            <v>25.532</v>
          </cell>
          <cell r="BY14">
            <v>28.007000000000001</v>
          </cell>
          <cell r="BZ14">
            <v>104.261</v>
          </cell>
          <cell r="CA14">
            <v>29.977</v>
          </cell>
          <cell r="CB14">
            <v>30.555</v>
          </cell>
          <cell r="CC14">
            <v>30.184000000000001</v>
          </cell>
          <cell r="CD14">
            <v>33.893999999999998</v>
          </cell>
          <cell r="CE14">
            <v>124.60999999999999</v>
          </cell>
          <cell r="CF14">
            <v>36.018000000000001</v>
          </cell>
          <cell r="CG14">
            <v>36.774000000000001</v>
          </cell>
          <cell r="CH14">
            <v>38.116999999999997</v>
          </cell>
          <cell r="CI14">
            <v>43.540999999999997</v>
          </cell>
          <cell r="CJ14">
            <v>154.44999999999999</v>
          </cell>
          <cell r="CK14">
            <v>45.024999999999999</v>
          </cell>
          <cell r="CL14">
            <v>43.838999999999999</v>
          </cell>
          <cell r="CM14">
            <v>41.881999999999998</v>
          </cell>
          <cell r="CN14">
            <v>43.105589999999999</v>
          </cell>
          <cell r="CO14">
            <v>173.85159000000002</v>
          </cell>
          <cell r="CP14">
            <v>43.133949999999999</v>
          </cell>
          <cell r="CQ14">
            <v>43.071817500000002</v>
          </cell>
          <cell r="CR14">
            <v>43.138460000000002</v>
          </cell>
          <cell r="CS14">
            <v>44.398757699999997</v>
          </cell>
          <cell r="CT14">
            <v>173.74298520000002</v>
          </cell>
          <cell r="CU14">
            <v>44.427968499999999</v>
          </cell>
          <cell r="CV14">
            <v>44.363972025000002</v>
          </cell>
          <cell r="CW14">
            <v>44.432613800000006</v>
          </cell>
          <cell r="CX14">
            <v>45.730720431000002</v>
          </cell>
          <cell r="CY14">
            <v>178.95527475600002</v>
          </cell>
          <cell r="CZ14">
            <v>45.760807555</v>
          </cell>
          <cell r="DA14">
            <v>45.694891185750002</v>
          </cell>
          <cell r="DB14">
            <v>45.765592214000009</v>
          </cell>
          <cell r="DC14">
            <v>47.102642043930004</v>
          </cell>
          <cell r="DD14">
            <v>184.32393299867999</v>
          </cell>
          <cell r="DE14">
            <v>47.133631781650003</v>
          </cell>
          <cell r="DF14">
            <v>47.065737921322501</v>
          </cell>
          <cell r="DG14">
            <v>47.138559980420013</v>
          </cell>
          <cell r="DH14">
            <v>48.515721305247908</v>
          </cell>
          <cell r="DI14">
            <v>189.85365098864042</v>
          </cell>
          <cell r="DK14" t="str">
            <v>mstag:otherOperatingExpense</v>
          </cell>
          <cell r="DL14">
            <v>6</v>
          </cell>
          <cell r="DM14" t="str">
            <v>ISO4217:USD</v>
          </cell>
          <cell r="DN14" t="b">
            <v>0</v>
          </cell>
          <cell r="DO14" t="b">
            <v>0</v>
          </cell>
        </row>
        <row r="15">
          <cell r="B15" t="str">
            <v>Other operating expenses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W15">
            <v>0</v>
          </cell>
          <cell r="AX15">
            <v>0</v>
          </cell>
          <cell r="AY15">
            <v>0</v>
          </cell>
          <cell r="AZ15">
            <v>0</v>
          </cell>
          <cell r="BA15">
            <v>0</v>
          </cell>
          <cell r="BB15">
            <v>0</v>
          </cell>
          <cell r="BC15">
            <v>0</v>
          </cell>
          <cell r="BD15">
            <v>0</v>
          </cell>
          <cell r="BE15">
            <v>0</v>
          </cell>
          <cell r="BF15">
            <v>0</v>
          </cell>
          <cell r="BG15">
            <v>174.155</v>
          </cell>
          <cell r="BH15">
            <v>175.72900000000001</v>
          </cell>
          <cell r="BI15">
            <v>175.589</v>
          </cell>
          <cell r="BJ15">
            <v>176.733</v>
          </cell>
          <cell r="BK15">
            <v>702.2059999999999</v>
          </cell>
          <cell r="BL15">
            <v>193.489</v>
          </cell>
          <cell r="BM15">
            <v>198.684</v>
          </cell>
          <cell r="BN15">
            <v>193.78700000000001</v>
          </cell>
          <cell r="BO15">
            <v>193.39</v>
          </cell>
          <cell r="BP15">
            <v>779.35</v>
          </cell>
          <cell r="BQ15">
            <v>195.173</v>
          </cell>
          <cell r="BR15">
            <v>196.637</v>
          </cell>
          <cell r="BS15">
            <v>195.994</v>
          </cell>
          <cell r="BT15">
            <v>198.369</v>
          </cell>
          <cell r="BU15">
            <v>786.173</v>
          </cell>
          <cell r="BV15">
            <v>205.68600000000001</v>
          </cell>
          <cell r="BW15">
            <v>202.96199999999999</v>
          </cell>
          <cell r="BX15">
            <v>202.14699999999999</v>
          </cell>
          <cell r="BY15">
            <v>207.441</v>
          </cell>
          <cell r="BZ15">
            <v>818.2360000000001</v>
          </cell>
          <cell r="CA15">
            <v>211.46600000000001</v>
          </cell>
          <cell r="CB15">
            <v>217.42500000000001</v>
          </cell>
          <cell r="CC15">
            <v>234.06100000000001</v>
          </cell>
          <cell r="CD15">
            <v>246.679</v>
          </cell>
          <cell r="CE15">
            <v>909.63099999999997</v>
          </cell>
          <cell r="CF15">
            <v>243.99600000000001</v>
          </cell>
          <cell r="CG15">
            <v>252.03700000000001</v>
          </cell>
          <cell r="CH15">
            <v>267.14</v>
          </cell>
          <cell r="CI15">
            <v>305.86500000000001</v>
          </cell>
          <cell r="CJ15">
            <v>1069.038</v>
          </cell>
          <cell r="CK15">
            <v>311.77999999999997</v>
          </cell>
          <cell r="CL15">
            <v>325.63499999999999</v>
          </cell>
          <cell r="CM15">
            <v>331.935</v>
          </cell>
          <cell r="CN15">
            <v>338.42609772600883</v>
          </cell>
          <cell r="CO15">
            <v>1307.7760977260086</v>
          </cell>
          <cell r="CP15">
            <v>322.67603650015025</v>
          </cell>
          <cell r="CQ15">
            <v>332.78953591838632</v>
          </cell>
          <cell r="CR15">
            <v>339.08361619414814</v>
          </cell>
          <cell r="CS15">
            <v>347.27251629337229</v>
          </cell>
          <cell r="CT15">
            <v>1341.821704906057</v>
          </cell>
          <cell r="CU15">
            <v>339.98357413783106</v>
          </cell>
          <cell r="CV15">
            <v>350.87826187284924</v>
          </cell>
          <cell r="CW15">
            <v>357.55402368817028</v>
          </cell>
          <cell r="CX15">
            <v>365.99595883407432</v>
          </cell>
          <cell r="CY15">
            <v>1414.4118185329248</v>
          </cell>
          <cell r="CZ15">
            <v>358.75993597764455</v>
          </cell>
          <cell r="DA15">
            <v>370.32813853804339</v>
          </cell>
          <cell r="DB15">
            <v>377.38850986937234</v>
          </cell>
          <cell r="DC15">
            <v>386.28184671340921</v>
          </cell>
          <cell r="DD15">
            <v>1492.7584310984694</v>
          </cell>
          <cell r="DE15">
            <v>378.62293599027436</v>
          </cell>
          <cell r="DF15">
            <v>390.72640142599539</v>
          </cell>
          <cell r="DG15">
            <v>398.18828556812048</v>
          </cell>
          <cell r="DH15">
            <v>407.3813267991344</v>
          </cell>
          <cell r="DI15">
            <v>1574.9189497835246</v>
          </cell>
          <cell r="DK15" t="str">
            <v>mstag:otherOperatingExpense</v>
          </cell>
          <cell r="DL15">
            <v>6</v>
          </cell>
          <cell r="DM15" t="str">
            <v>ISO4217:USD</v>
          </cell>
          <cell r="DN15" t="b">
            <v>0</v>
          </cell>
          <cell r="DO15" t="b">
            <v>0</v>
          </cell>
        </row>
        <row r="16">
          <cell r="B16" t="str">
            <v>Electronic health record incentive income</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38.232999999999997</v>
          </cell>
          <cell r="CJ16">
            <v>38.232999999999997</v>
          </cell>
          <cell r="CK16">
            <v>4.59</v>
          </cell>
          <cell r="CL16">
            <v>2.871</v>
          </cell>
          <cell r="CM16">
            <v>24.224</v>
          </cell>
          <cell r="CN16">
            <v>61.8</v>
          </cell>
          <cell r="CO16">
            <v>93.484999999999999</v>
          </cell>
          <cell r="CP16">
            <v>20</v>
          </cell>
          <cell r="CQ16">
            <v>20</v>
          </cell>
          <cell r="CR16">
            <v>20</v>
          </cell>
          <cell r="CS16">
            <v>20</v>
          </cell>
          <cell r="CT16">
            <v>80</v>
          </cell>
          <cell r="CU16">
            <v>13.333333333333334</v>
          </cell>
          <cell r="CV16">
            <v>13.333333333333334</v>
          </cell>
          <cell r="CW16">
            <v>13.333333333333334</v>
          </cell>
          <cell r="CX16">
            <v>13.333333333333334</v>
          </cell>
          <cell r="CY16">
            <v>53.333333333333336</v>
          </cell>
          <cell r="CZ16">
            <v>6.666666666666667</v>
          </cell>
          <cell r="DA16">
            <v>6.666666666666667</v>
          </cell>
          <cell r="DB16">
            <v>6.666666666666667</v>
          </cell>
          <cell r="DC16">
            <v>6.666666666666667</v>
          </cell>
          <cell r="DD16">
            <v>26.666666666666668</v>
          </cell>
          <cell r="DE16">
            <v>3.3333333333333335</v>
          </cell>
          <cell r="DF16">
            <v>3.3333333333333335</v>
          </cell>
          <cell r="DG16">
            <v>3.3333333333333335</v>
          </cell>
          <cell r="DH16">
            <v>3.3333333333333335</v>
          </cell>
          <cell r="DI16">
            <v>13.333333333333334</v>
          </cell>
          <cell r="DK16" t="str">
            <v>mstag:otherOperatingExpense</v>
          </cell>
          <cell r="DL16">
            <v>6</v>
          </cell>
          <cell r="DM16" t="str">
            <v>ISO4217:USD</v>
          </cell>
          <cell r="DN16" t="b">
            <v>1</v>
          </cell>
        </row>
        <row r="17">
          <cell r="B17" t="str">
            <v>EBITDA</v>
          </cell>
          <cell r="D17">
            <v>36.652999999999984</v>
          </cell>
          <cell r="E17">
            <v>47.009000000000007</v>
          </cell>
          <cell r="F17">
            <v>58.35299999999998</v>
          </cell>
          <cell r="G17">
            <v>74.337000000000003</v>
          </cell>
          <cell r="H17">
            <v>102.63699999999997</v>
          </cell>
          <cell r="I17">
            <v>128.43200000000007</v>
          </cell>
          <cell r="J17">
            <v>169.09899999999999</v>
          </cell>
          <cell r="K17">
            <v>218.58200000000002</v>
          </cell>
          <cell r="L17">
            <v>280.47499999999991</v>
          </cell>
          <cell r="M17">
            <v>66.819999999999979</v>
          </cell>
          <cell r="N17">
            <v>93.559999999999988</v>
          </cell>
          <cell r="O17">
            <v>82.15900000000002</v>
          </cell>
          <cell r="P17">
            <v>73.777000000000015</v>
          </cell>
          <cell r="Q17">
            <v>316.31599999999997</v>
          </cell>
          <cell r="R17">
            <v>80.274000000000001</v>
          </cell>
          <cell r="S17">
            <v>108.14000000000001</v>
          </cell>
          <cell r="T17">
            <v>97.998999999999995</v>
          </cell>
          <cell r="U17">
            <v>89.445999999999998</v>
          </cell>
          <cell r="V17">
            <v>375.85899999999987</v>
          </cell>
          <cell r="W17">
            <v>93.588000000000036</v>
          </cell>
          <cell r="X17">
            <v>124.65300000000003</v>
          </cell>
          <cell r="Y17">
            <v>116.53199999999997</v>
          </cell>
          <cell r="Z17">
            <v>113.79400000000001</v>
          </cell>
          <cell r="AA17">
            <v>448.56700000000001</v>
          </cell>
          <cell r="AB17">
            <v>108.83600000000004</v>
          </cell>
          <cell r="AC17">
            <v>141.94400000000002</v>
          </cell>
          <cell r="AD17">
            <v>137.874</v>
          </cell>
          <cell r="AE17">
            <v>128.88799999999995</v>
          </cell>
          <cell r="AF17">
            <v>517.54199999999969</v>
          </cell>
          <cell r="AG17">
            <v>128.554</v>
          </cell>
          <cell r="AH17">
            <v>159.87699999999995</v>
          </cell>
          <cell r="AI17">
            <v>157.40799999999996</v>
          </cell>
          <cell r="AJ17">
            <v>146.94800000000004</v>
          </cell>
          <cell r="AK17">
            <v>592.78700000000015</v>
          </cell>
          <cell r="AL17">
            <v>152.14599999999999</v>
          </cell>
          <cell r="AM17">
            <v>187.34899999999999</v>
          </cell>
          <cell r="AN17">
            <v>183.42400000000001</v>
          </cell>
          <cell r="AO17">
            <v>160.37599999999992</v>
          </cell>
          <cell r="AP17">
            <v>683.29499999999996</v>
          </cell>
          <cell r="AQ17">
            <v>168.01500000000004</v>
          </cell>
          <cell r="AR17">
            <v>203.61200000000008</v>
          </cell>
          <cell r="AS17">
            <v>164.327</v>
          </cell>
          <cell r="AT17">
            <v>165.13799999999995</v>
          </cell>
          <cell r="AU17">
            <v>701.0920000000001</v>
          </cell>
          <cell r="AW17">
            <v>187.34899999999999</v>
          </cell>
          <cell r="AX17">
            <v>183.42400000000001</v>
          </cell>
          <cell r="AY17">
            <v>160.37599999999992</v>
          </cell>
          <cell r="AZ17">
            <v>168.01500000000004</v>
          </cell>
          <cell r="BA17">
            <v>699.16399999999976</v>
          </cell>
          <cell r="BB17">
            <v>203.61200000000008</v>
          </cell>
          <cell r="BC17">
            <v>164.327</v>
          </cell>
          <cell r="BD17">
            <v>165.13799999999995</v>
          </cell>
          <cell r="BE17">
            <v>170.31100000000009</v>
          </cell>
          <cell r="BF17">
            <v>703.38800000000015</v>
          </cell>
          <cell r="BG17">
            <v>198.49500000000012</v>
          </cell>
          <cell r="BH17">
            <v>183.47799999999995</v>
          </cell>
          <cell r="BI17">
            <v>165.56000000000009</v>
          </cell>
          <cell r="BJ17">
            <v>-9.1090000000000337</v>
          </cell>
          <cell r="BK17">
            <v>538.42400000000021</v>
          </cell>
          <cell r="BL17">
            <v>193.40799999999979</v>
          </cell>
          <cell r="BM17">
            <v>134.58500000000006</v>
          </cell>
          <cell r="BN17">
            <v>151.27999999999997</v>
          </cell>
          <cell r="BO17">
            <v>150.75600000000003</v>
          </cell>
          <cell r="BP17">
            <v>630.02900000000034</v>
          </cell>
          <cell r="BQ17">
            <v>181.61799999999997</v>
          </cell>
          <cell r="BR17">
            <v>163.27900000000002</v>
          </cell>
          <cell r="BS17">
            <v>141.92799999999991</v>
          </cell>
          <cell r="BT17">
            <v>146.74500000000006</v>
          </cell>
          <cell r="BU17">
            <v>633.56999999999994</v>
          </cell>
          <cell r="BV17">
            <v>183.39299999999992</v>
          </cell>
          <cell r="BW17">
            <v>172.703</v>
          </cell>
          <cell r="BX17">
            <v>158.01500000000007</v>
          </cell>
          <cell r="BY17">
            <v>170.7709999999999</v>
          </cell>
          <cell r="BZ17">
            <v>684.88199999999938</v>
          </cell>
          <cell r="CA17">
            <v>196.3419999999999</v>
          </cell>
          <cell r="CB17">
            <v>182.48500000000001</v>
          </cell>
          <cell r="CC17">
            <v>171.21400000000006</v>
          </cell>
          <cell r="CD17">
            <v>186.52499999999998</v>
          </cell>
          <cell r="CE17">
            <v>736.56600000000037</v>
          </cell>
          <cell r="CF17">
            <v>214.42900000000014</v>
          </cell>
          <cell r="CG17">
            <v>203.76800000000006</v>
          </cell>
          <cell r="CH17">
            <v>186.26400000000004</v>
          </cell>
          <cell r="CI17">
            <v>223.37299999999988</v>
          </cell>
          <cell r="CJ17">
            <v>827.83400000000074</v>
          </cell>
          <cell r="CK17">
            <v>239.51500000000027</v>
          </cell>
          <cell r="CL17">
            <v>233.28799999999998</v>
          </cell>
          <cell r="CM17">
            <v>236.39200000000008</v>
          </cell>
          <cell r="CN17">
            <v>255.59901663476057</v>
          </cell>
          <cell r="CO17">
            <v>964.79401663476153</v>
          </cell>
          <cell r="CP17">
            <v>269.83281355302279</v>
          </cell>
          <cell r="CQ17">
            <v>261.95536877142973</v>
          </cell>
          <cell r="CR17">
            <v>240.39761382068235</v>
          </cell>
          <cell r="CS17">
            <v>216.4083607579889</v>
          </cell>
          <cell r="CT17">
            <v>988.59415690312449</v>
          </cell>
          <cell r="CU17">
            <v>284.30989345348195</v>
          </cell>
          <cell r="CV17">
            <v>274.28548475345792</v>
          </cell>
          <cell r="CW17">
            <v>257.11817083584691</v>
          </cell>
          <cell r="CX17">
            <v>228.64883734138576</v>
          </cell>
          <cell r="CY17">
            <v>1044.3623863841731</v>
          </cell>
          <cell r="CZ17">
            <v>300.93846818569131</v>
          </cell>
          <cell r="DA17">
            <v>289.47141014817356</v>
          </cell>
          <cell r="DB17">
            <v>274.55049223552516</v>
          </cell>
          <cell r="DC17">
            <v>248.35961878007416</v>
          </cell>
          <cell r="DD17">
            <v>1113.3199893494655</v>
          </cell>
          <cell r="DE17">
            <v>322.79092118816834</v>
          </cell>
          <cell r="DF17">
            <v>308.40920218937651</v>
          </cell>
          <cell r="DG17">
            <v>295.0594003287884</v>
          </cell>
          <cell r="DH17">
            <v>263.9406394441819</v>
          </cell>
          <cell r="DI17">
            <v>1190.2001631505161</v>
          </cell>
        </row>
        <row r="18">
          <cell r="B18" t="str">
            <v>EBITDA (excluding HITECH)</v>
          </cell>
          <cell r="D18">
            <v>36.652999999999984</v>
          </cell>
          <cell r="E18">
            <v>47.009000000000007</v>
          </cell>
          <cell r="F18">
            <v>58.35299999999998</v>
          </cell>
          <cell r="G18">
            <v>74.337000000000003</v>
          </cell>
          <cell r="H18">
            <v>102.63699999999997</v>
          </cell>
          <cell r="I18">
            <v>128.43200000000007</v>
          </cell>
          <cell r="J18">
            <v>169.09899999999999</v>
          </cell>
          <cell r="K18">
            <v>218.58200000000002</v>
          </cell>
          <cell r="L18">
            <v>280.47499999999991</v>
          </cell>
          <cell r="M18">
            <v>66.819999999999979</v>
          </cell>
          <cell r="N18">
            <v>93.559999999999988</v>
          </cell>
          <cell r="O18">
            <v>82.15900000000002</v>
          </cell>
          <cell r="P18">
            <v>73.777000000000015</v>
          </cell>
          <cell r="Q18">
            <v>316.31599999999997</v>
          </cell>
          <cell r="R18">
            <v>80.274000000000001</v>
          </cell>
          <cell r="S18">
            <v>108.14000000000001</v>
          </cell>
          <cell r="T18">
            <v>97.998999999999995</v>
          </cell>
          <cell r="U18">
            <v>89.445999999999998</v>
          </cell>
          <cell r="V18">
            <v>375.85899999999987</v>
          </cell>
          <cell r="W18">
            <v>93.588000000000036</v>
          </cell>
          <cell r="X18">
            <v>124.65300000000003</v>
          </cell>
          <cell r="Y18">
            <v>116.53199999999997</v>
          </cell>
          <cell r="Z18">
            <v>113.79400000000001</v>
          </cell>
          <cell r="AA18">
            <v>448.56700000000001</v>
          </cell>
          <cell r="AB18">
            <v>108.83600000000004</v>
          </cell>
          <cell r="AC18">
            <v>141.94400000000002</v>
          </cell>
          <cell r="AD18">
            <v>137.874</v>
          </cell>
          <cell r="AE18">
            <v>128.88799999999995</v>
          </cell>
          <cell r="AF18">
            <v>517.54199999999969</v>
          </cell>
          <cell r="AG18">
            <v>128.554</v>
          </cell>
          <cell r="AH18">
            <v>159.87699999999995</v>
          </cell>
          <cell r="AI18">
            <v>157.40799999999996</v>
          </cell>
          <cell r="AJ18">
            <v>146.94800000000004</v>
          </cell>
          <cell r="AK18">
            <v>592.78700000000015</v>
          </cell>
          <cell r="AL18">
            <v>152.14599999999999</v>
          </cell>
          <cell r="AM18">
            <v>187.34899999999999</v>
          </cell>
          <cell r="AN18">
            <v>183.42400000000001</v>
          </cell>
          <cell r="AO18">
            <v>160.37599999999992</v>
          </cell>
          <cell r="AP18">
            <v>683.29499999999996</v>
          </cell>
          <cell r="AQ18">
            <v>168.01500000000004</v>
          </cell>
          <cell r="AR18">
            <v>203.61200000000008</v>
          </cell>
          <cell r="AS18">
            <v>164.327</v>
          </cell>
          <cell r="AT18">
            <v>165.13799999999995</v>
          </cell>
          <cell r="AU18">
            <v>701.0920000000001</v>
          </cell>
          <cell r="AW18">
            <v>187.34899999999999</v>
          </cell>
          <cell r="AX18">
            <v>183.42400000000001</v>
          </cell>
          <cell r="AY18">
            <v>160.37599999999992</v>
          </cell>
          <cell r="AZ18">
            <v>168.01500000000004</v>
          </cell>
          <cell r="BA18">
            <v>699.16399999999976</v>
          </cell>
          <cell r="BB18">
            <v>203.61200000000008</v>
          </cell>
          <cell r="BC18">
            <v>164.327</v>
          </cell>
          <cell r="BD18">
            <v>165.13799999999995</v>
          </cell>
          <cell r="BE18">
            <v>170.31100000000009</v>
          </cell>
          <cell r="BF18">
            <v>703.38800000000015</v>
          </cell>
          <cell r="BG18">
            <v>198.49500000000012</v>
          </cell>
          <cell r="BH18">
            <v>183.47799999999995</v>
          </cell>
          <cell r="BI18">
            <v>165.56000000000009</v>
          </cell>
          <cell r="BJ18">
            <v>-9.1090000000000337</v>
          </cell>
          <cell r="BK18">
            <v>538.42400000000021</v>
          </cell>
          <cell r="BL18">
            <v>193.40799999999979</v>
          </cell>
          <cell r="BM18">
            <v>134.58500000000006</v>
          </cell>
          <cell r="BN18">
            <v>151.27999999999997</v>
          </cell>
          <cell r="BO18">
            <v>150.75600000000003</v>
          </cell>
          <cell r="BP18">
            <v>630.02900000000034</v>
          </cell>
          <cell r="BQ18">
            <v>181.61799999999997</v>
          </cell>
          <cell r="BR18">
            <v>163.27900000000002</v>
          </cell>
          <cell r="BS18">
            <v>141.92799999999991</v>
          </cell>
          <cell r="BT18">
            <v>146.74500000000006</v>
          </cell>
          <cell r="BU18">
            <v>633.56999999999994</v>
          </cell>
          <cell r="BV18">
            <v>183.39299999999992</v>
          </cell>
          <cell r="BW18">
            <v>172.703</v>
          </cell>
          <cell r="BX18">
            <v>158.01500000000007</v>
          </cell>
          <cell r="BY18">
            <v>170.7709999999999</v>
          </cell>
          <cell r="BZ18">
            <v>684.88199999999938</v>
          </cell>
          <cell r="CA18">
            <v>196.3419999999999</v>
          </cell>
          <cell r="CB18">
            <v>182.48500000000001</v>
          </cell>
          <cell r="CC18">
            <v>171.21400000000006</v>
          </cell>
          <cell r="CD18">
            <v>186.52499999999998</v>
          </cell>
          <cell r="CE18">
            <v>736.56600000000037</v>
          </cell>
          <cell r="CF18">
            <v>214.42900000000014</v>
          </cell>
          <cell r="CG18">
            <v>203.76800000000006</v>
          </cell>
          <cell r="CH18">
            <v>186.26400000000004</v>
          </cell>
          <cell r="CI18">
            <v>185.13999999999987</v>
          </cell>
          <cell r="CJ18">
            <v>789.60100000000079</v>
          </cell>
          <cell r="CK18">
            <v>234.92500000000027</v>
          </cell>
          <cell r="CL18">
            <v>230.41699999999997</v>
          </cell>
          <cell r="CM18">
            <v>212.16800000000009</v>
          </cell>
          <cell r="CN18">
            <v>193.79901663476056</v>
          </cell>
          <cell r="CO18">
            <v>871.30901663476152</v>
          </cell>
          <cell r="CP18">
            <v>249.83281355302282</v>
          </cell>
          <cell r="CQ18">
            <v>241.95536877142973</v>
          </cell>
          <cell r="CR18">
            <v>220.39761382068235</v>
          </cell>
          <cell r="CS18">
            <v>196.4083607579889</v>
          </cell>
          <cell r="CT18">
            <v>908.59415690312449</v>
          </cell>
          <cell r="CU18">
            <v>270.97656012014863</v>
          </cell>
          <cell r="CV18">
            <v>260.95215142012461</v>
          </cell>
          <cell r="CW18">
            <v>243.7848375025136</v>
          </cell>
          <cell r="CX18">
            <v>215.31550400805241</v>
          </cell>
          <cell r="CY18">
            <v>991.02905305083971</v>
          </cell>
          <cell r="CZ18">
            <v>294.27180151902462</v>
          </cell>
          <cell r="DA18">
            <v>282.80474348150688</v>
          </cell>
          <cell r="DB18">
            <v>267.88382556885847</v>
          </cell>
          <cell r="DC18">
            <v>241.6929521134075</v>
          </cell>
          <cell r="DD18">
            <v>1086.6533226827987</v>
          </cell>
          <cell r="DE18">
            <v>319.45758785483503</v>
          </cell>
          <cell r="DF18">
            <v>305.0758688560432</v>
          </cell>
          <cell r="DG18">
            <v>291.72606699545508</v>
          </cell>
          <cell r="DH18">
            <v>260.60730611084858</v>
          </cell>
          <cell r="DI18">
            <v>1176.8668298171829</v>
          </cell>
        </row>
        <row r="19">
          <cell r="B19" t="str">
            <v>Depreciation &amp; amortizaton</v>
          </cell>
          <cell r="D19">
            <v>9.8620000000000001</v>
          </cell>
          <cell r="E19">
            <v>11.109</v>
          </cell>
          <cell r="F19">
            <v>12.779</v>
          </cell>
          <cell r="G19">
            <v>13.084</v>
          </cell>
          <cell r="H19">
            <v>16.61</v>
          </cell>
          <cell r="I19">
            <v>20.562000000000001</v>
          </cell>
          <cell r="J19">
            <v>27.172999999999998</v>
          </cell>
          <cell r="K19">
            <v>36.561</v>
          </cell>
          <cell r="L19">
            <v>50.436999999999998</v>
          </cell>
          <cell r="M19">
            <v>14.507</v>
          </cell>
          <cell r="N19">
            <v>14.343999999999999</v>
          </cell>
          <cell r="O19">
            <v>15.957000000000001</v>
          </cell>
          <cell r="P19">
            <v>16.47</v>
          </cell>
          <cell r="Q19">
            <v>61.277999999999999</v>
          </cell>
          <cell r="R19">
            <v>18.132000000000001</v>
          </cell>
          <cell r="S19">
            <v>18.533999999999999</v>
          </cell>
          <cell r="T19">
            <v>19.094000000000001</v>
          </cell>
          <cell r="U19">
            <v>18.739000000000001</v>
          </cell>
          <cell r="V19">
            <v>74.498999999999995</v>
          </cell>
          <cell r="W19">
            <v>21.43</v>
          </cell>
          <cell r="X19">
            <v>22.116</v>
          </cell>
          <cell r="Y19">
            <v>22.876000000000001</v>
          </cell>
          <cell r="Z19">
            <v>24.224</v>
          </cell>
          <cell r="AA19">
            <v>90.646000000000001</v>
          </cell>
          <cell r="AB19">
            <v>21.648</v>
          </cell>
          <cell r="AC19">
            <v>23.893000000000001</v>
          </cell>
          <cell r="AD19">
            <v>24.292999999999999</v>
          </cell>
          <cell r="AE19">
            <v>25.494</v>
          </cell>
          <cell r="AF19">
            <v>95.328000000000003</v>
          </cell>
          <cell r="AG19">
            <v>26.087</v>
          </cell>
          <cell r="AH19">
            <v>27.113</v>
          </cell>
          <cell r="AI19">
            <v>28.003</v>
          </cell>
          <cell r="AJ19">
            <v>28.661000000000001</v>
          </cell>
          <cell r="AK19">
            <v>109.864</v>
          </cell>
          <cell r="AL19">
            <v>31.003</v>
          </cell>
          <cell r="AM19">
            <v>34.380000000000003</v>
          </cell>
          <cell r="AN19">
            <v>34.03</v>
          </cell>
          <cell r="AO19">
            <v>35.502000000000002</v>
          </cell>
          <cell r="AP19">
            <v>134.91500000000002</v>
          </cell>
          <cell r="AQ19">
            <v>36.594999999999999</v>
          </cell>
          <cell r="AR19">
            <v>37.341999999999999</v>
          </cell>
          <cell r="AS19">
            <v>39.113</v>
          </cell>
          <cell r="AT19">
            <v>43.06</v>
          </cell>
          <cell r="AU19">
            <v>156.11000000000001</v>
          </cell>
          <cell r="AW19">
            <v>34.380000000000003</v>
          </cell>
          <cell r="AX19">
            <v>34.03</v>
          </cell>
          <cell r="AY19">
            <v>35.502000000000002</v>
          </cell>
          <cell r="AZ19">
            <v>36.594999999999999</v>
          </cell>
          <cell r="BA19">
            <v>140.50700000000001</v>
          </cell>
          <cell r="BB19">
            <v>37.341999999999999</v>
          </cell>
          <cell r="BC19">
            <v>39.113</v>
          </cell>
          <cell r="BD19">
            <v>43.06</v>
          </cell>
          <cell r="BE19">
            <v>41.527999999999999</v>
          </cell>
          <cell r="BF19">
            <v>161.04300000000001</v>
          </cell>
          <cell r="BG19">
            <v>43.777999999999999</v>
          </cell>
          <cell r="BH19">
            <v>45.390999999999998</v>
          </cell>
          <cell r="BI19">
            <v>47.661000000000001</v>
          </cell>
          <cell r="BJ19">
            <v>53.158000000000001</v>
          </cell>
          <cell r="BK19">
            <v>189.988</v>
          </cell>
          <cell r="BL19">
            <v>52.651000000000003</v>
          </cell>
          <cell r="BM19">
            <v>53.936999999999998</v>
          </cell>
          <cell r="BN19">
            <v>56.71</v>
          </cell>
          <cell r="BO19">
            <v>59.201000000000001</v>
          </cell>
          <cell r="BP19">
            <v>222.499</v>
          </cell>
          <cell r="BQ19">
            <v>57.457999999999998</v>
          </cell>
          <cell r="BR19">
            <v>59.625999999999998</v>
          </cell>
          <cell r="BS19">
            <v>59.831000000000003</v>
          </cell>
          <cell r="BT19">
            <v>60.454999999999998</v>
          </cell>
          <cell r="BU19">
            <v>237.37</v>
          </cell>
          <cell r="BV19">
            <v>60.915999999999997</v>
          </cell>
          <cell r="BW19">
            <v>60.561</v>
          </cell>
          <cell r="BX19">
            <v>60.423999999999999</v>
          </cell>
          <cell r="BY19">
            <v>61.911999999999999</v>
          </cell>
          <cell r="BZ19">
            <v>243.81300000000002</v>
          </cell>
          <cell r="CA19">
            <v>62.115000000000002</v>
          </cell>
          <cell r="CB19">
            <v>61.883000000000003</v>
          </cell>
          <cell r="CC19">
            <v>61.546999999999997</v>
          </cell>
          <cell r="CD19">
            <v>61.981999999999999</v>
          </cell>
          <cell r="CE19">
            <v>247.52700000000002</v>
          </cell>
          <cell r="CF19">
            <v>65.372</v>
          </cell>
          <cell r="CG19">
            <v>64.200999999999993</v>
          </cell>
          <cell r="CH19">
            <v>65.605000000000004</v>
          </cell>
          <cell r="CI19">
            <v>73.465999999999994</v>
          </cell>
          <cell r="CJ19">
            <v>268.64400000000001</v>
          </cell>
          <cell r="CK19">
            <v>78.394000000000005</v>
          </cell>
          <cell r="CL19">
            <v>85.712000000000003</v>
          </cell>
          <cell r="CM19">
            <v>91.61</v>
          </cell>
          <cell r="CN19">
            <v>91.645666666666671</v>
          </cell>
          <cell r="CO19">
            <v>347.36166666666668</v>
          </cell>
          <cell r="CP19">
            <v>91.16339669877182</v>
          </cell>
          <cell r="CQ19">
            <v>91.734322373558129</v>
          </cell>
          <cell r="CR19">
            <v>92.295732620431338</v>
          </cell>
          <cell r="CS19">
            <v>92.847786029856664</v>
          </cell>
          <cell r="CT19">
            <v>368.04123772261795</v>
          </cell>
          <cell r="CU19">
            <v>93.184425760600661</v>
          </cell>
          <cell r="CV19">
            <v>93.486581260881536</v>
          </cell>
          <cell r="CW19">
            <v>93.763011968198128</v>
          </cell>
          <cell r="CX19">
            <v>94.081633226741218</v>
          </cell>
          <cell r="CY19">
            <v>374.51565221642159</v>
          </cell>
          <cell r="CZ19">
            <v>94.473102952827716</v>
          </cell>
          <cell r="DA19">
            <v>94.825529239970479</v>
          </cell>
          <cell r="DB19">
            <v>95.152131408263273</v>
          </cell>
          <cell r="DC19">
            <v>95.525972953812612</v>
          </cell>
          <cell r="DD19">
            <v>379.97673655487404</v>
          </cell>
          <cell r="DE19">
            <v>95.980702900009291</v>
          </cell>
          <cell r="DF19">
            <v>96.389250462507874</v>
          </cell>
          <cell r="DG19">
            <v>96.77138813920665</v>
          </cell>
          <cell r="DH19">
            <v>97.197215301502268</v>
          </cell>
          <cell r="DI19">
            <v>386.33855680322608</v>
          </cell>
          <cell r="DK19" t="str">
            <v>mstag:depreciationInIncomeStatement</v>
          </cell>
          <cell r="DL19">
            <v>6</v>
          </cell>
          <cell r="DM19" t="str">
            <v>ISO4217:USD</v>
          </cell>
          <cell r="DN19" t="b">
            <v>0</v>
          </cell>
          <cell r="DO19" t="b">
            <v>0</v>
          </cell>
        </row>
        <row r="20">
          <cell r="B20" t="str">
            <v>Operating income</v>
          </cell>
          <cell r="D20">
            <v>26.790999999999983</v>
          </cell>
          <cell r="E20">
            <v>35.900000000000006</v>
          </cell>
          <cell r="F20">
            <v>45.573999999999984</v>
          </cell>
          <cell r="G20">
            <v>61.253</v>
          </cell>
          <cell r="H20">
            <v>86.026999999999973</v>
          </cell>
          <cell r="I20">
            <v>107.87000000000008</v>
          </cell>
          <cell r="J20">
            <v>141.92599999999999</v>
          </cell>
          <cell r="K20">
            <v>182.02100000000002</v>
          </cell>
          <cell r="L20">
            <v>230.0379999999999</v>
          </cell>
          <cell r="M20">
            <v>52.312999999999981</v>
          </cell>
          <cell r="N20">
            <v>79.215999999999994</v>
          </cell>
          <cell r="O20">
            <v>66.202000000000027</v>
          </cell>
          <cell r="P20">
            <v>57.307000000000016</v>
          </cell>
          <cell r="Q20">
            <v>255.03799999999998</v>
          </cell>
          <cell r="R20">
            <v>62.141999999999996</v>
          </cell>
          <cell r="S20">
            <v>89.606000000000023</v>
          </cell>
          <cell r="T20">
            <v>78.905000000000001</v>
          </cell>
          <cell r="U20">
            <v>70.706999999999994</v>
          </cell>
          <cell r="V20">
            <v>301.3599999999999</v>
          </cell>
          <cell r="W20">
            <v>72.158000000000044</v>
          </cell>
          <cell r="X20">
            <v>102.53700000000003</v>
          </cell>
          <cell r="Y20">
            <v>93.655999999999963</v>
          </cell>
          <cell r="Z20">
            <v>89.570000000000007</v>
          </cell>
          <cell r="AA20">
            <v>357.92099999999999</v>
          </cell>
          <cell r="AB20">
            <v>87.188000000000045</v>
          </cell>
          <cell r="AC20">
            <v>118.05100000000002</v>
          </cell>
          <cell r="AD20">
            <v>113.58099999999999</v>
          </cell>
          <cell r="AE20">
            <v>103.39399999999995</v>
          </cell>
          <cell r="AF20">
            <v>422.21399999999971</v>
          </cell>
          <cell r="AG20">
            <v>102.467</v>
          </cell>
          <cell r="AH20">
            <v>132.76399999999995</v>
          </cell>
          <cell r="AI20">
            <v>129.40499999999997</v>
          </cell>
          <cell r="AJ20">
            <v>118.28700000000003</v>
          </cell>
          <cell r="AK20">
            <v>482.92300000000012</v>
          </cell>
          <cell r="AL20">
            <v>121.14299999999999</v>
          </cell>
          <cell r="AM20">
            <v>152.96899999999999</v>
          </cell>
          <cell r="AN20">
            <v>149.39400000000001</v>
          </cell>
          <cell r="AO20">
            <v>124.87399999999991</v>
          </cell>
          <cell r="AP20">
            <v>548.37999999999988</v>
          </cell>
          <cell r="AQ20">
            <v>131.42000000000004</v>
          </cell>
          <cell r="AR20">
            <v>166.2700000000001</v>
          </cell>
          <cell r="AS20">
            <v>125.214</v>
          </cell>
          <cell r="AT20">
            <v>122.07799999999995</v>
          </cell>
          <cell r="AU20">
            <v>544.98200000000008</v>
          </cell>
          <cell r="AW20">
            <v>152.96899999999999</v>
          </cell>
          <cell r="AX20">
            <v>149.39400000000001</v>
          </cell>
          <cell r="AY20">
            <v>124.87399999999991</v>
          </cell>
          <cell r="AZ20">
            <v>131.42000000000004</v>
          </cell>
          <cell r="BA20">
            <v>558.6569999999997</v>
          </cell>
          <cell r="BB20">
            <v>166.2700000000001</v>
          </cell>
          <cell r="BC20">
            <v>125.214</v>
          </cell>
          <cell r="BD20">
            <v>122.07799999999995</v>
          </cell>
          <cell r="BE20">
            <v>128.7830000000001</v>
          </cell>
          <cell r="BF20">
            <v>542.34500000000014</v>
          </cell>
          <cell r="BG20">
            <v>154.71700000000013</v>
          </cell>
          <cell r="BH20">
            <v>138.08699999999996</v>
          </cell>
          <cell r="BI20">
            <v>117.89900000000009</v>
          </cell>
          <cell r="BJ20">
            <v>-62.267000000000039</v>
          </cell>
          <cell r="BK20">
            <v>348.43600000000021</v>
          </cell>
          <cell r="BL20">
            <v>140.75699999999978</v>
          </cell>
          <cell r="BM20">
            <v>80.648000000000067</v>
          </cell>
          <cell r="BN20">
            <v>94.569999999999965</v>
          </cell>
          <cell r="BO20">
            <v>91.555000000000035</v>
          </cell>
          <cell r="BP20">
            <v>407.53000000000031</v>
          </cell>
          <cell r="BQ20">
            <v>124.15999999999997</v>
          </cell>
          <cell r="BR20">
            <v>103.65300000000002</v>
          </cell>
          <cell r="BS20">
            <v>82.096999999999909</v>
          </cell>
          <cell r="BT20">
            <v>86.290000000000063</v>
          </cell>
          <cell r="BU20">
            <v>396.19999999999993</v>
          </cell>
          <cell r="BV20">
            <v>122.47699999999992</v>
          </cell>
          <cell r="BW20">
            <v>112.142</v>
          </cell>
          <cell r="BX20">
            <v>97.591000000000065</v>
          </cell>
          <cell r="BY20">
            <v>108.8589999999999</v>
          </cell>
          <cell r="BZ20">
            <v>441.06899999999939</v>
          </cell>
          <cell r="CA20">
            <v>134.22699999999989</v>
          </cell>
          <cell r="CB20">
            <v>120.602</v>
          </cell>
          <cell r="CC20">
            <v>109.66700000000006</v>
          </cell>
          <cell r="CD20">
            <v>124.54299999999998</v>
          </cell>
          <cell r="CE20">
            <v>489.03900000000033</v>
          </cell>
          <cell r="CF20">
            <v>149.05700000000013</v>
          </cell>
          <cell r="CG20">
            <v>139.56700000000006</v>
          </cell>
          <cell r="CH20">
            <v>120.65900000000003</v>
          </cell>
          <cell r="CI20">
            <v>149.90699999999987</v>
          </cell>
          <cell r="CJ20">
            <v>559.19000000000074</v>
          </cell>
          <cell r="CK20">
            <v>161.12100000000027</v>
          </cell>
          <cell r="CL20">
            <v>147.57599999999996</v>
          </cell>
          <cell r="CM20">
            <v>144.7820000000001</v>
          </cell>
          <cell r="CN20">
            <v>163.9533499680939</v>
          </cell>
          <cell r="CO20">
            <v>617.43234996809485</v>
          </cell>
          <cell r="CP20">
            <v>178.66941685425098</v>
          </cell>
          <cell r="CQ20">
            <v>170.22104639787159</v>
          </cell>
          <cell r="CR20">
            <v>148.101881200251</v>
          </cell>
          <cell r="CS20">
            <v>123.56057472813224</v>
          </cell>
          <cell r="CT20">
            <v>620.55291918050648</v>
          </cell>
          <cell r="CU20">
            <v>191.12546769288127</v>
          </cell>
          <cell r="CV20">
            <v>180.79890349257639</v>
          </cell>
          <cell r="CW20">
            <v>163.35515886764878</v>
          </cell>
          <cell r="CX20">
            <v>134.56720411464454</v>
          </cell>
          <cell r="CY20">
            <v>669.84673416775149</v>
          </cell>
          <cell r="CZ20">
            <v>206.46536523286358</v>
          </cell>
          <cell r="DA20">
            <v>194.64588090820308</v>
          </cell>
          <cell r="DB20">
            <v>179.39836082726188</v>
          </cell>
          <cell r="DC20">
            <v>152.83364582626155</v>
          </cell>
          <cell r="DD20">
            <v>733.34325279459142</v>
          </cell>
          <cell r="DE20">
            <v>226.81021828815904</v>
          </cell>
          <cell r="DF20">
            <v>212.01995172686864</v>
          </cell>
          <cell r="DG20">
            <v>198.28801218958176</v>
          </cell>
          <cell r="DH20">
            <v>166.74342414267963</v>
          </cell>
          <cell r="DI20">
            <v>803.86160634729004</v>
          </cell>
        </row>
        <row r="21">
          <cell r="B21" t="str">
            <v>Interest expense</v>
          </cell>
          <cell r="D21">
            <v>-17.635999999999999</v>
          </cell>
          <cell r="E21">
            <v>-14.097</v>
          </cell>
          <cell r="F21">
            <v>-7.1550000000000002</v>
          </cell>
          <cell r="G21">
            <v>-4.8140000000000001</v>
          </cell>
          <cell r="H21">
            <v>-4.2969999999999997</v>
          </cell>
          <cell r="I21">
            <v>-3.621</v>
          </cell>
          <cell r="J21">
            <v>-3.5150000000000001</v>
          </cell>
          <cell r="K21">
            <v>-3.7120000000000002</v>
          </cell>
          <cell r="L21">
            <v>-4.7590000000000003</v>
          </cell>
          <cell r="M21">
            <v>-1.36</v>
          </cell>
          <cell r="N21">
            <v>-0.68200000000000005</v>
          </cell>
          <cell r="O21">
            <v>-2.4060000000000001</v>
          </cell>
          <cell r="P21">
            <v>-3.9369999999999998</v>
          </cell>
          <cell r="Q21">
            <v>-8.3849999999999998</v>
          </cell>
          <cell r="R21">
            <v>-5.6909999999999998</v>
          </cell>
          <cell r="S21">
            <v>-6.5030000000000001</v>
          </cell>
          <cell r="T21">
            <v>-6.7670000000000003</v>
          </cell>
          <cell r="U21">
            <v>-6.4039999999999999</v>
          </cell>
          <cell r="V21">
            <v>-25.364999999999998</v>
          </cell>
          <cell r="W21">
            <v>-6.0359999999999996</v>
          </cell>
          <cell r="X21">
            <v>-5.2720000000000002</v>
          </cell>
          <cell r="Y21">
            <v>-4.5</v>
          </cell>
          <cell r="Z21">
            <v>-4.1619999999999999</v>
          </cell>
          <cell r="AA21">
            <v>-19.97</v>
          </cell>
          <cell r="AB21">
            <v>-4.1159999999999997</v>
          </cell>
          <cell r="AC21">
            <v>-4.0860000000000003</v>
          </cell>
          <cell r="AD21">
            <v>-3.5569999999999999</v>
          </cell>
          <cell r="AE21">
            <v>-3.7839999999999998</v>
          </cell>
          <cell r="AF21">
            <v>-15.542999999999999</v>
          </cell>
          <cell r="AG21">
            <v>-3.7610000000000001</v>
          </cell>
          <cell r="AH21">
            <v>-3.7120000000000002</v>
          </cell>
          <cell r="AI21">
            <v>-3.802</v>
          </cell>
          <cell r="AJ21">
            <v>-3.64</v>
          </cell>
          <cell r="AK21">
            <v>-14.915000000000001</v>
          </cell>
          <cell r="AL21">
            <v>-4.4539999999999997</v>
          </cell>
          <cell r="AM21">
            <v>-4.7080000000000002</v>
          </cell>
          <cell r="AN21">
            <v>-3.64</v>
          </cell>
          <cell r="AO21">
            <v>-3.3820000000000001</v>
          </cell>
          <cell r="AP21">
            <v>-16.184000000000001</v>
          </cell>
          <cell r="AQ21">
            <v>-3.218</v>
          </cell>
          <cell r="AR21">
            <v>-3.8149999999999999</v>
          </cell>
          <cell r="AS21">
            <v>-2.8519999999999999</v>
          </cell>
          <cell r="AT21">
            <v>-3.0409999999999999</v>
          </cell>
          <cell r="AU21">
            <v>-12.926</v>
          </cell>
          <cell r="AW21">
            <v>-4.7080000000000002</v>
          </cell>
          <cell r="AX21">
            <v>-3.64</v>
          </cell>
          <cell r="AY21">
            <v>-3.3820000000000001</v>
          </cell>
          <cell r="AZ21">
            <v>-3.218</v>
          </cell>
          <cell r="BA21">
            <v>-14.948</v>
          </cell>
          <cell r="BB21">
            <v>-3.8149999999999999</v>
          </cell>
          <cell r="BC21">
            <v>-2.8519999999999999</v>
          </cell>
          <cell r="BD21">
            <v>-3.0409999999999999</v>
          </cell>
          <cell r="BE21">
            <v>-4.2290000000000001</v>
          </cell>
          <cell r="BF21">
            <v>-13.937000000000001</v>
          </cell>
          <cell r="BG21">
            <v>-8.4019999999999992</v>
          </cell>
          <cell r="BH21">
            <v>-11.305</v>
          </cell>
          <cell r="BI21">
            <v>-10.746</v>
          </cell>
          <cell r="BJ21">
            <v>-20.846</v>
          </cell>
          <cell r="BK21">
            <v>-51.299000000000007</v>
          </cell>
          <cell r="BL21">
            <v>-33.287999999999997</v>
          </cell>
          <cell r="BM21">
            <v>-61.642000000000003</v>
          </cell>
          <cell r="BN21">
            <v>-63.695</v>
          </cell>
          <cell r="BO21">
            <v>-63.335000000000001</v>
          </cell>
          <cell r="BP21">
            <v>-221.96</v>
          </cell>
          <cell r="BQ21">
            <v>-62.204000000000001</v>
          </cell>
          <cell r="BR21">
            <v>-58.655999999999999</v>
          </cell>
          <cell r="BS21">
            <v>-56.225999999999999</v>
          </cell>
          <cell r="BT21">
            <v>-56.462000000000003</v>
          </cell>
          <cell r="BU21">
            <v>-233.548</v>
          </cell>
          <cell r="BV21">
            <v>-55.011000000000003</v>
          </cell>
          <cell r="BW21">
            <v>-54.281999999999996</v>
          </cell>
          <cell r="BX21">
            <v>-54.3</v>
          </cell>
          <cell r="BY21">
            <v>-54.456000000000003</v>
          </cell>
          <cell r="BZ21">
            <v>-218.04900000000004</v>
          </cell>
          <cell r="CA21">
            <v>-53.573999999999998</v>
          </cell>
          <cell r="CB21">
            <v>-52.53</v>
          </cell>
          <cell r="CC21">
            <v>-52.826999999999998</v>
          </cell>
          <cell r="CD21">
            <v>-52.741999999999997</v>
          </cell>
          <cell r="CE21">
            <v>-211.67299999999997</v>
          </cell>
          <cell r="CF21">
            <v>-51.036999999999999</v>
          </cell>
          <cell r="CG21">
            <v>-51.033000000000001</v>
          </cell>
          <cell r="CH21">
            <v>-50.018000000000001</v>
          </cell>
          <cell r="CI21">
            <v>-70.659000000000006</v>
          </cell>
          <cell r="CJ21">
            <v>-222.74700000000001</v>
          </cell>
          <cell r="CK21">
            <v>-88.763000000000005</v>
          </cell>
          <cell r="CL21">
            <v>-75.165999999999997</v>
          </cell>
          <cell r="CM21">
            <v>-76.813999999999993</v>
          </cell>
          <cell r="CN21">
            <v>-71.839736562499994</v>
          </cell>
          <cell r="CO21">
            <v>-312.58273656249997</v>
          </cell>
          <cell r="CP21">
            <v>-71.648933312499992</v>
          </cell>
          <cell r="CQ21">
            <v>-71.600630062499988</v>
          </cell>
          <cell r="CR21">
            <v>-71.481076812499992</v>
          </cell>
          <cell r="CS21">
            <v>-71.361523562499997</v>
          </cell>
          <cell r="CT21">
            <v>-286.09216374999994</v>
          </cell>
          <cell r="CU21">
            <v>-72.170720312499981</v>
          </cell>
          <cell r="CV21">
            <v>-52.122417062499999</v>
          </cell>
          <cell r="CW21">
            <v>-52.002863812500003</v>
          </cell>
          <cell r="CX21">
            <v>-51.883310562499993</v>
          </cell>
          <cell r="CY21">
            <v>-228.17931174999998</v>
          </cell>
          <cell r="CZ21">
            <v>-51.686882312499996</v>
          </cell>
          <cell r="DA21">
            <v>-51.635766562499995</v>
          </cell>
          <cell r="DB21">
            <v>-51.510588312499998</v>
          </cell>
          <cell r="DC21">
            <v>-51.385410062499993</v>
          </cell>
          <cell r="DD21">
            <v>-206.21864725</v>
          </cell>
          <cell r="DE21">
            <v>-51.186169312499992</v>
          </cell>
          <cell r="DF21">
            <v>-51.135053562499991</v>
          </cell>
          <cell r="DG21">
            <v>-51.009875312499993</v>
          </cell>
          <cell r="DH21">
            <v>-50.884697062499988</v>
          </cell>
          <cell r="DI21">
            <v>-204.21579524999996</v>
          </cell>
        </row>
        <row r="22">
          <cell r="B22" t="str">
            <v>Interest income</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-4.7839999999999998</v>
          </cell>
          <cell r="BU22">
            <v>-4.7839999999999998</v>
          </cell>
          <cell r="BV22">
            <v>0.248</v>
          </cell>
          <cell r="BW22">
            <v>0.309</v>
          </cell>
          <cell r="BX22">
            <v>0.94199999999999995</v>
          </cell>
          <cell r="BY22">
            <v>2.2530000000000001</v>
          </cell>
          <cell r="BZ22">
            <v>3.7519999999999998</v>
          </cell>
          <cell r="CA22">
            <v>1.2709999999999999</v>
          </cell>
          <cell r="CB22">
            <v>2.6509999999999998</v>
          </cell>
          <cell r="CC22">
            <v>3.3420000000000001</v>
          </cell>
          <cell r="CD22">
            <v>0.82199999999999995</v>
          </cell>
          <cell r="CE22">
            <v>8.0859999999999985</v>
          </cell>
          <cell r="CF22">
            <v>0.13400000000000001</v>
          </cell>
          <cell r="CG22">
            <v>0.99299999999999999</v>
          </cell>
          <cell r="CH22">
            <v>1.752</v>
          </cell>
          <cell r="CI22">
            <v>0</v>
          </cell>
          <cell r="CJ22">
            <v>2.879</v>
          </cell>
          <cell r="CK22">
            <v>0</v>
          </cell>
          <cell r="CL22">
            <v>0</v>
          </cell>
          <cell r="CM22">
            <v>0</v>
          </cell>
          <cell r="CN22">
            <v>4.2832744849908407E-2</v>
          </cell>
          <cell r="CO22">
            <v>4.2832744849908407E-2</v>
          </cell>
          <cell r="CP22">
            <v>5.767447260081017E-2</v>
          </cell>
          <cell r="CQ22">
            <v>0.10906598732477636</v>
          </cell>
          <cell r="CR22">
            <v>0.17764299702976438</v>
          </cell>
          <cell r="CS22">
            <v>0.19071452565092337</v>
          </cell>
          <cell r="CT22">
            <v>0.53509798260627428</v>
          </cell>
          <cell r="CU22">
            <v>0.17845023691000683</v>
          </cell>
          <cell r="CV22">
            <v>0.23354653717198876</v>
          </cell>
          <cell r="CW22">
            <v>0.32560247190084668</v>
          </cell>
          <cell r="CX22">
            <v>0.36100845258497005</v>
          </cell>
          <cell r="CY22">
            <v>1.0986076985678124</v>
          </cell>
          <cell r="CZ22">
            <v>0.35890702017203724</v>
          </cell>
          <cell r="DA22">
            <v>0.41787200954884834</v>
          </cell>
          <cell r="DB22">
            <v>0.51692382068661569</v>
          </cell>
          <cell r="DC22">
            <v>0.5578891136371843</v>
          </cell>
          <cell r="DD22">
            <v>1.8515919640446858</v>
          </cell>
          <cell r="DE22">
            <v>0.55895154499228628</v>
          </cell>
          <cell r="DF22">
            <v>0.62235467277540812</v>
          </cell>
          <cell r="DG22">
            <v>0.72906241680581407</v>
          </cell>
          <cell r="DH22">
            <v>0.77677626174980197</v>
          </cell>
          <cell r="DI22">
            <v>2.6871448963233107</v>
          </cell>
        </row>
        <row r="23">
          <cell r="B23" t="str">
            <v>Interest expense, net</v>
          </cell>
          <cell r="D23">
            <v>-17.635999999999999</v>
          </cell>
          <cell r="E23">
            <v>-14.097</v>
          </cell>
          <cell r="F23">
            <v>-7.1550000000000002</v>
          </cell>
          <cell r="G23">
            <v>-4.8140000000000001</v>
          </cell>
          <cell r="H23">
            <v>-4.2969999999999997</v>
          </cell>
          <cell r="I23">
            <v>-3.621</v>
          </cell>
          <cell r="J23">
            <v>-3.5150000000000001</v>
          </cell>
          <cell r="K23">
            <v>-3.7120000000000002</v>
          </cell>
          <cell r="L23">
            <v>-4.7590000000000003</v>
          </cell>
          <cell r="M23">
            <v>-1.36</v>
          </cell>
          <cell r="N23">
            <v>-0.68200000000000005</v>
          </cell>
          <cell r="O23">
            <v>-2.4060000000000001</v>
          </cell>
          <cell r="P23">
            <v>-3.9369999999999998</v>
          </cell>
          <cell r="Q23">
            <v>-8.3849999999999998</v>
          </cell>
          <cell r="R23">
            <v>-5.6909999999999998</v>
          </cell>
          <cell r="S23">
            <v>-6.5030000000000001</v>
          </cell>
          <cell r="T23">
            <v>-6.7670000000000003</v>
          </cell>
          <cell r="U23">
            <v>-6.4039999999999999</v>
          </cell>
          <cell r="V23">
            <v>-25.364999999999998</v>
          </cell>
          <cell r="W23">
            <v>-6.0359999999999996</v>
          </cell>
          <cell r="X23">
            <v>-5.2720000000000002</v>
          </cell>
          <cell r="Y23">
            <v>-4.5</v>
          </cell>
          <cell r="Z23">
            <v>-4.1619999999999999</v>
          </cell>
          <cell r="AA23">
            <v>-19.97</v>
          </cell>
          <cell r="AB23">
            <v>-4.1159999999999997</v>
          </cell>
          <cell r="AC23">
            <v>-4.0860000000000003</v>
          </cell>
          <cell r="AD23">
            <v>-3.5569999999999999</v>
          </cell>
          <cell r="AE23">
            <v>-3.7839999999999998</v>
          </cell>
          <cell r="AF23">
            <v>-15.542999999999999</v>
          </cell>
          <cell r="AG23">
            <v>-3.7610000000000001</v>
          </cell>
          <cell r="AH23">
            <v>-3.7120000000000002</v>
          </cell>
          <cell r="AI23">
            <v>-3.802</v>
          </cell>
          <cell r="AJ23">
            <v>-3.64</v>
          </cell>
          <cell r="AK23">
            <v>-14.915000000000001</v>
          </cell>
          <cell r="AL23">
            <v>-4.4539999999999997</v>
          </cell>
          <cell r="AM23">
            <v>-4.7080000000000002</v>
          </cell>
          <cell r="AN23">
            <v>-3.64</v>
          </cell>
          <cell r="AO23">
            <v>-3.3820000000000001</v>
          </cell>
          <cell r="AP23">
            <v>-16.184000000000001</v>
          </cell>
          <cell r="AQ23">
            <v>-3.218</v>
          </cell>
          <cell r="AR23">
            <v>-3.8149999999999999</v>
          </cell>
          <cell r="AS23">
            <v>-2.8519999999999999</v>
          </cell>
          <cell r="AT23">
            <v>-3.0409999999999999</v>
          </cell>
          <cell r="AU23">
            <v>-12.926</v>
          </cell>
          <cell r="AW23">
            <v>-4.7080000000000002</v>
          </cell>
          <cell r="AX23">
            <v>-3.64</v>
          </cell>
          <cell r="AY23">
            <v>-3.3820000000000001</v>
          </cell>
          <cell r="AZ23">
            <v>-3.218</v>
          </cell>
          <cell r="BA23">
            <v>-14.948</v>
          </cell>
          <cell r="BB23">
            <v>-3.8149999999999999</v>
          </cell>
          <cell r="BC23">
            <v>-2.8519999999999999</v>
          </cell>
          <cell r="BD23">
            <v>-3.0409999999999999</v>
          </cell>
          <cell r="BE23">
            <v>-4.2290000000000001</v>
          </cell>
          <cell r="BF23">
            <v>-13.937000000000001</v>
          </cell>
          <cell r="BG23">
            <v>-8.4019999999999992</v>
          </cell>
          <cell r="BH23">
            <v>-11.305</v>
          </cell>
          <cell r="BI23">
            <v>-10.746</v>
          </cell>
          <cell r="BJ23">
            <v>-20.846</v>
          </cell>
          <cell r="BK23">
            <v>-51.299000000000007</v>
          </cell>
          <cell r="BL23">
            <v>-33.287999999999997</v>
          </cell>
          <cell r="BM23">
            <v>-61.642000000000003</v>
          </cell>
          <cell r="BN23">
            <v>-63.695</v>
          </cell>
          <cell r="BO23">
            <v>-63.335000000000001</v>
          </cell>
          <cell r="BP23">
            <v>-221.96</v>
          </cell>
          <cell r="BQ23">
            <v>-62.204000000000001</v>
          </cell>
          <cell r="BR23">
            <v>-58.655999999999999</v>
          </cell>
          <cell r="BS23">
            <v>-56.225999999999999</v>
          </cell>
          <cell r="BT23">
            <v>-61.246000000000002</v>
          </cell>
          <cell r="BU23">
            <v>-238.33199999999999</v>
          </cell>
          <cell r="BV23">
            <v>-54.763000000000005</v>
          </cell>
          <cell r="BW23">
            <v>-53.972999999999999</v>
          </cell>
          <cell r="BX23">
            <v>-53.357999999999997</v>
          </cell>
          <cell r="BY23">
            <v>-52.203000000000003</v>
          </cell>
          <cell r="BZ23">
            <v>-214.29700000000003</v>
          </cell>
          <cell r="CA23">
            <v>-52.302999999999997</v>
          </cell>
          <cell r="CB23">
            <v>-49.879000000000005</v>
          </cell>
          <cell r="CC23">
            <v>-49.484999999999999</v>
          </cell>
          <cell r="CD23">
            <v>-51.919999999999995</v>
          </cell>
          <cell r="CE23">
            <v>-203.58699999999999</v>
          </cell>
          <cell r="CF23">
            <v>-50.902999999999999</v>
          </cell>
          <cell r="CG23">
            <v>-50.04</v>
          </cell>
          <cell r="CH23">
            <v>-48.265999999999998</v>
          </cell>
          <cell r="CI23">
            <v>-70.659000000000006</v>
          </cell>
          <cell r="CJ23">
            <v>-219.86800000000002</v>
          </cell>
          <cell r="CK23">
            <v>-88.763000000000005</v>
          </cell>
          <cell r="CL23">
            <v>-75.165999999999997</v>
          </cell>
          <cell r="CM23">
            <v>-76.813999999999993</v>
          </cell>
          <cell r="CN23">
            <v>-71.79690381765009</v>
          </cell>
          <cell r="CO23">
            <v>-312.53990381765004</v>
          </cell>
          <cell r="CP23">
            <v>-71.591258839899183</v>
          </cell>
          <cell r="CQ23">
            <v>-71.491564075175205</v>
          </cell>
          <cell r="CR23">
            <v>-71.303433815470228</v>
          </cell>
          <cell r="CS23">
            <v>-71.170809036849079</v>
          </cell>
          <cell r="CT23">
            <v>-285.55706576739374</v>
          </cell>
          <cell r="CU23">
            <v>-71.992270075589971</v>
          </cell>
          <cell r="CV23">
            <v>-51.888870525328009</v>
          </cell>
          <cell r="CW23">
            <v>-51.677261340599159</v>
          </cell>
          <cell r="CX23">
            <v>-51.522302109915024</v>
          </cell>
          <cell r="CY23">
            <v>-227.08070405143215</v>
          </cell>
          <cell r="CZ23">
            <v>-51.327975292327956</v>
          </cell>
          <cell r="DA23">
            <v>-51.217894552951144</v>
          </cell>
          <cell r="DB23">
            <v>-50.993664491813384</v>
          </cell>
          <cell r="DC23">
            <v>-50.827520948862812</v>
          </cell>
          <cell r="DD23">
            <v>-204.3670552859553</v>
          </cell>
          <cell r="DE23">
            <v>-50.627217767507709</v>
          </cell>
          <cell r="DF23">
            <v>-50.512698889724582</v>
          </cell>
          <cell r="DG23">
            <v>-50.280812895694176</v>
          </cell>
          <cell r="DH23">
            <v>-50.107920800750186</v>
          </cell>
          <cell r="DI23">
            <v>-201.52865035367665</v>
          </cell>
          <cell r="DK23" t="str">
            <v>mstag:otherInterestIncomeExpense</v>
          </cell>
          <cell r="DL23">
            <v>6</v>
          </cell>
          <cell r="DM23" t="str">
            <v>ISO4217:USD</v>
          </cell>
          <cell r="DN23" t="b">
            <v>0</v>
          </cell>
          <cell r="DO23" t="b">
            <v>0</v>
          </cell>
        </row>
        <row r="24">
          <cell r="B24" t="str">
            <v>Gain (loss) on asset sales</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19.039000000000001</v>
          </cell>
          <cell r="AT24">
            <v>15.25</v>
          </cell>
          <cell r="AU24">
            <v>34.289000000000001</v>
          </cell>
          <cell r="AW24">
            <v>0</v>
          </cell>
          <cell r="AX24">
            <v>0</v>
          </cell>
          <cell r="AY24">
            <v>0</v>
          </cell>
          <cell r="AZ24">
            <v>0</v>
          </cell>
          <cell r="BA24">
            <v>0</v>
          </cell>
          <cell r="BB24">
            <v>0</v>
          </cell>
          <cell r="BC24">
            <v>19.039000000000001</v>
          </cell>
          <cell r="BD24">
            <v>15.25</v>
          </cell>
          <cell r="BE24">
            <v>0</v>
          </cell>
          <cell r="BF24">
            <v>34.289000000000001</v>
          </cell>
          <cell r="BG24">
            <v>0</v>
          </cell>
          <cell r="BH24">
            <v>0</v>
          </cell>
          <cell r="BI24">
            <v>0</v>
          </cell>
          <cell r="BJ24">
            <v>14.702</v>
          </cell>
          <cell r="BK24">
            <v>14.702</v>
          </cell>
          <cell r="BL24">
            <v>0.66800000000000004</v>
          </cell>
          <cell r="BM24">
            <v>2.585</v>
          </cell>
          <cell r="BN24">
            <v>-8.0000000000000002E-3</v>
          </cell>
          <cell r="BO24">
            <v>-0.73699999999999999</v>
          </cell>
          <cell r="BP24">
            <v>2.508</v>
          </cell>
          <cell r="BQ24">
            <v>203.32</v>
          </cell>
          <cell r="BR24">
            <v>6.1840000000000002</v>
          </cell>
          <cell r="BS24">
            <v>1.2010000000000001</v>
          </cell>
          <cell r="BT24">
            <v>0.34699999999999998</v>
          </cell>
          <cell r="BU24">
            <v>211.05199999999999</v>
          </cell>
          <cell r="BV24">
            <v>-0.112</v>
          </cell>
          <cell r="BW24">
            <v>1.9990000000000001</v>
          </cell>
          <cell r="BX24">
            <v>0.09</v>
          </cell>
          <cell r="BY24">
            <v>-0.69199999999999995</v>
          </cell>
          <cell r="BZ24">
            <v>1.2850000000000001</v>
          </cell>
          <cell r="CA24">
            <v>1.1950000000000001</v>
          </cell>
          <cell r="CB24">
            <v>8.4000000000000005E-2</v>
          </cell>
          <cell r="CC24">
            <v>-0.435</v>
          </cell>
          <cell r="CD24">
            <v>-0.13300000000000001</v>
          </cell>
          <cell r="CE24">
            <v>0.71100000000000008</v>
          </cell>
          <cell r="CF24">
            <v>0.06</v>
          </cell>
          <cell r="CG24">
            <v>-0.85399999999999998</v>
          </cell>
          <cell r="CH24">
            <v>-0.30199999999999999</v>
          </cell>
          <cell r="CI24">
            <v>0</v>
          </cell>
          <cell r="CJ24">
            <v>-1.0960000000000001</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K24" t="str">
            <v>mstag:gainsLossesFromSaleOfOperatingAssetsOneTimeGrossOfTax</v>
          </cell>
          <cell r="DL24">
            <v>6</v>
          </cell>
          <cell r="DM24" t="str">
            <v>ISO4217:USD</v>
          </cell>
          <cell r="DN24" t="b">
            <v>0</v>
          </cell>
          <cell r="DO24" t="b">
            <v>0</v>
          </cell>
        </row>
        <row r="25">
          <cell r="B25" t="str">
            <v>Gains/(loss) Early debt extinguishment, Write-offs of deferred financing costs &amp; other</v>
          </cell>
          <cell r="D25">
            <v>0</v>
          </cell>
          <cell r="E25">
            <v>0</v>
          </cell>
          <cell r="F25">
            <v>1.2261538461538461</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-17</v>
          </cell>
          <cell r="Y25">
            <v>0</v>
          </cell>
          <cell r="Z25">
            <v>0</v>
          </cell>
          <cell r="AA25">
            <v>-17</v>
          </cell>
          <cell r="AB25">
            <v>0</v>
          </cell>
          <cell r="AC25">
            <v>0</v>
          </cell>
          <cell r="AD25">
            <v>0</v>
          </cell>
          <cell r="AE25">
            <v>0</v>
          </cell>
          <cell r="AF25">
            <v>0</v>
          </cell>
          <cell r="AG25">
            <v>0</v>
          </cell>
          <cell r="AH25">
            <v>0</v>
          </cell>
          <cell r="AI25">
            <v>0</v>
          </cell>
          <cell r="AJ25">
            <v>-4.931</v>
          </cell>
          <cell r="AK25">
            <v>-4.931</v>
          </cell>
          <cell r="AL25">
            <v>0</v>
          </cell>
          <cell r="AM25">
            <v>0</v>
          </cell>
          <cell r="AN25">
            <v>0</v>
          </cell>
          <cell r="AO25">
            <v>0</v>
          </cell>
          <cell r="AP25">
            <v>0</v>
          </cell>
          <cell r="AQ25">
            <v>0</v>
          </cell>
          <cell r="AR25">
            <v>0</v>
          </cell>
          <cell r="AS25">
            <v>0</v>
          </cell>
          <cell r="AT25">
            <v>0</v>
          </cell>
          <cell r="AU25">
            <v>0</v>
          </cell>
          <cell r="AW25">
            <v>0</v>
          </cell>
          <cell r="AX25">
            <v>0</v>
          </cell>
          <cell r="AY25">
            <v>0</v>
          </cell>
          <cell r="AZ25">
            <v>0</v>
          </cell>
          <cell r="BA25">
            <v>0</v>
          </cell>
          <cell r="BB25">
            <v>0</v>
          </cell>
          <cell r="BC25">
            <v>0</v>
          </cell>
          <cell r="BD25">
            <v>0</v>
          </cell>
          <cell r="BE25">
            <v>0</v>
          </cell>
          <cell r="BF25">
            <v>0</v>
          </cell>
          <cell r="BG25">
            <v>-4.6280000000000001</v>
          </cell>
          <cell r="BH25">
            <v>0</v>
          </cell>
          <cell r="BI25">
            <v>-2.9740000000000002</v>
          </cell>
          <cell r="BJ25">
            <v>0</v>
          </cell>
          <cell r="BK25">
            <v>-7.6020000000000003</v>
          </cell>
          <cell r="BL25">
            <v>-0.76100000000000001</v>
          </cell>
          <cell r="BM25">
            <v>0</v>
          </cell>
          <cell r="BN25">
            <v>0</v>
          </cell>
          <cell r="BO25">
            <v>0</v>
          </cell>
          <cell r="BP25">
            <v>-0.76100000000000001</v>
          </cell>
          <cell r="BQ25">
            <v>-0.629</v>
          </cell>
          <cell r="BR25">
            <v>-10.834</v>
          </cell>
          <cell r="BS25">
            <v>-9.4949999999999992</v>
          </cell>
          <cell r="BT25">
            <v>26.404</v>
          </cell>
          <cell r="BU25">
            <v>5.4460000000000015</v>
          </cell>
          <cell r="BV25">
            <v>16.541</v>
          </cell>
          <cell r="BW25">
            <v>-0.25</v>
          </cell>
          <cell r="BX25">
            <v>-0.53300000000000003</v>
          </cell>
          <cell r="BY25">
            <v>0</v>
          </cell>
          <cell r="BZ25">
            <v>15.758000000000001</v>
          </cell>
          <cell r="CA25">
            <v>0</v>
          </cell>
          <cell r="CB25">
            <v>0</v>
          </cell>
          <cell r="CC25">
            <v>0</v>
          </cell>
          <cell r="CD25">
            <v>0</v>
          </cell>
          <cell r="CE25">
            <v>0</v>
          </cell>
          <cell r="CF25">
            <v>0</v>
          </cell>
          <cell r="CG25">
            <v>0</v>
          </cell>
          <cell r="CH25">
            <v>0</v>
          </cell>
          <cell r="CI25">
            <v>-24.594999999999999</v>
          </cell>
          <cell r="CJ25">
            <v>-24.594999999999999</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K25" t="str">
            <v>mstag:incomeLossFromExtraordinaryItemsPretax</v>
          </cell>
          <cell r="DL25">
            <v>6</v>
          </cell>
          <cell r="DM25" t="str">
            <v>ISO4217:USD</v>
          </cell>
          <cell r="DN25" t="b">
            <v>0</v>
          </cell>
          <cell r="DO25" t="b">
            <v>0</v>
          </cell>
        </row>
        <row r="26">
          <cell r="B26" t="str">
            <v>Other non-operating expenses</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-1.2E-2</v>
          </cell>
          <cell r="CJ26">
            <v>-1.2E-2</v>
          </cell>
          <cell r="CK26">
            <v>-1.64</v>
          </cell>
          <cell r="CL26">
            <v>1.022</v>
          </cell>
          <cell r="CM26">
            <v>2.363</v>
          </cell>
          <cell r="CN26">
            <v>0</v>
          </cell>
          <cell r="CO26">
            <v>1.7450000000000001</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K26" t="str">
            <v>mstag:otherNonOperatingIncomeExpense</v>
          </cell>
          <cell r="DL26">
            <v>6</v>
          </cell>
          <cell r="DM26" t="str">
            <v>ISO4217:USD</v>
          </cell>
          <cell r="DN26" t="b">
            <v>0</v>
          </cell>
        </row>
        <row r="27">
          <cell r="B27" t="str">
            <v>Other</v>
          </cell>
          <cell r="D27">
            <v>0</v>
          </cell>
          <cell r="E27">
            <v>0</v>
          </cell>
          <cell r="F27">
            <v>1.2261538461538461</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-17</v>
          </cell>
          <cell r="Y27">
            <v>0</v>
          </cell>
          <cell r="Z27">
            <v>0</v>
          </cell>
          <cell r="AA27">
            <v>-17</v>
          </cell>
          <cell r="AB27">
            <v>0</v>
          </cell>
          <cell r="AC27">
            <v>0</v>
          </cell>
          <cell r="AD27">
            <v>0</v>
          </cell>
          <cell r="AE27">
            <v>0</v>
          </cell>
          <cell r="AF27">
            <v>0</v>
          </cell>
          <cell r="AG27">
            <v>0</v>
          </cell>
          <cell r="AH27">
            <v>0</v>
          </cell>
          <cell r="AI27">
            <v>0</v>
          </cell>
          <cell r="AJ27">
            <v>-4.931</v>
          </cell>
          <cell r="AK27">
            <v>-4.931</v>
          </cell>
          <cell r="AL27">
            <v>0</v>
          </cell>
          <cell r="AM27">
            <v>0</v>
          </cell>
          <cell r="AN27">
            <v>0</v>
          </cell>
          <cell r="AO27">
            <v>0</v>
          </cell>
          <cell r="AP27">
            <v>0</v>
          </cell>
          <cell r="AQ27">
            <v>0</v>
          </cell>
          <cell r="AR27">
            <v>0</v>
          </cell>
          <cell r="AS27">
            <v>19.039000000000001</v>
          </cell>
          <cell r="AT27">
            <v>15.25</v>
          </cell>
          <cell r="AU27">
            <v>34.289000000000001</v>
          </cell>
          <cell r="AW27">
            <v>0</v>
          </cell>
          <cell r="AX27">
            <v>0</v>
          </cell>
          <cell r="AY27">
            <v>0</v>
          </cell>
          <cell r="AZ27">
            <v>0</v>
          </cell>
          <cell r="BA27">
            <v>0</v>
          </cell>
          <cell r="BB27">
            <v>0</v>
          </cell>
          <cell r="BC27">
            <v>19.039000000000001</v>
          </cell>
          <cell r="BD27">
            <v>15.25</v>
          </cell>
          <cell r="BE27">
            <v>0</v>
          </cell>
          <cell r="BF27">
            <v>34.289000000000001</v>
          </cell>
          <cell r="BG27">
            <v>-4.6280000000000001</v>
          </cell>
          <cell r="BH27">
            <v>0</v>
          </cell>
          <cell r="BI27">
            <v>-2.9740000000000002</v>
          </cell>
          <cell r="BJ27">
            <v>14.702</v>
          </cell>
          <cell r="BK27">
            <v>7.1</v>
          </cell>
          <cell r="BL27">
            <v>-9.2999999999999972E-2</v>
          </cell>
          <cell r="BM27">
            <v>2.585</v>
          </cell>
          <cell r="BN27">
            <v>-8.0000000000000002E-3</v>
          </cell>
          <cell r="BO27">
            <v>-0.73699999999999999</v>
          </cell>
          <cell r="BP27">
            <v>1.7469999999999999</v>
          </cell>
          <cell r="BQ27">
            <v>202.691</v>
          </cell>
          <cell r="BR27">
            <v>-4.6499999999999995</v>
          </cell>
          <cell r="BS27">
            <v>-8.2939999999999987</v>
          </cell>
          <cell r="BT27">
            <v>26.751000000000001</v>
          </cell>
          <cell r="BU27">
            <v>216.49799999999999</v>
          </cell>
          <cell r="BV27">
            <v>16.429000000000002</v>
          </cell>
          <cell r="BW27">
            <v>1.7490000000000001</v>
          </cell>
          <cell r="BX27">
            <v>-0.44300000000000006</v>
          </cell>
          <cell r="BY27">
            <v>-0.69199999999999995</v>
          </cell>
          <cell r="BZ27">
            <v>17.042999999999999</v>
          </cell>
          <cell r="CA27">
            <v>1.1950000000000001</v>
          </cell>
          <cell r="CB27">
            <v>8.4000000000000005E-2</v>
          </cell>
          <cell r="CC27">
            <v>-0.435</v>
          </cell>
          <cell r="CD27">
            <v>-0.13300000000000001</v>
          </cell>
          <cell r="CE27">
            <v>0.71100000000000008</v>
          </cell>
          <cell r="CF27">
            <v>0.06</v>
          </cell>
          <cell r="CG27">
            <v>-0.85399999999999998</v>
          </cell>
          <cell r="CH27">
            <v>-0.30199999999999999</v>
          </cell>
          <cell r="CI27">
            <v>-24.606999999999999</v>
          </cell>
          <cell r="CJ27">
            <v>-25.702999999999999</v>
          </cell>
          <cell r="CK27">
            <v>-1.64</v>
          </cell>
          <cell r="CL27">
            <v>1.022</v>
          </cell>
          <cell r="CM27">
            <v>2.363</v>
          </cell>
          <cell r="CN27">
            <v>0</v>
          </cell>
          <cell r="CO27">
            <v>1.7450000000000001</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row>
        <row r="28">
          <cell r="B28" t="str">
            <v>Pretax income</v>
          </cell>
          <cell r="D28">
            <v>9.1549999999999834</v>
          </cell>
          <cell r="E28">
            <v>21.803000000000004</v>
          </cell>
          <cell r="F28">
            <v>39.645153846153832</v>
          </cell>
          <cell r="G28">
            <v>56.439</v>
          </cell>
          <cell r="H28">
            <v>81.729999999999976</v>
          </cell>
          <cell r="I28">
            <v>104.24900000000008</v>
          </cell>
          <cell r="J28">
            <v>138.411</v>
          </cell>
          <cell r="K28">
            <v>178.30900000000003</v>
          </cell>
          <cell r="L28">
            <v>225.27899999999988</v>
          </cell>
          <cell r="M28">
            <v>50.952999999999982</v>
          </cell>
          <cell r="N28">
            <v>78.533999999999992</v>
          </cell>
          <cell r="O28">
            <v>63.796000000000028</v>
          </cell>
          <cell r="P28">
            <v>53.370000000000019</v>
          </cell>
          <cell r="Q28">
            <v>246.65299999999999</v>
          </cell>
          <cell r="R28">
            <v>56.450999999999993</v>
          </cell>
          <cell r="S28">
            <v>83.103000000000023</v>
          </cell>
          <cell r="T28">
            <v>72.138000000000005</v>
          </cell>
          <cell r="U28">
            <v>64.302999999999997</v>
          </cell>
          <cell r="V28">
            <v>275.99499999999989</v>
          </cell>
          <cell r="W28">
            <v>66.122000000000043</v>
          </cell>
          <cell r="X28">
            <v>80.265000000000043</v>
          </cell>
          <cell r="Y28">
            <v>89.155999999999963</v>
          </cell>
          <cell r="Z28">
            <v>85.408000000000001</v>
          </cell>
          <cell r="AA28">
            <v>320.95100000000002</v>
          </cell>
          <cell r="AB28">
            <v>83.072000000000045</v>
          </cell>
          <cell r="AC28">
            <v>113.96500000000002</v>
          </cell>
          <cell r="AD28">
            <v>110.02399999999999</v>
          </cell>
          <cell r="AE28">
            <v>99.609999999999943</v>
          </cell>
          <cell r="AF28">
            <v>406.67099999999971</v>
          </cell>
          <cell r="AG28">
            <v>98.706000000000003</v>
          </cell>
          <cell r="AH28">
            <v>129.05199999999996</v>
          </cell>
          <cell r="AI28">
            <v>125.60299999999997</v>
          </cell>
          <cell r="AJ28">
            <v>109.71600000000004</v>
          </cell>
          <cell r="AK28">
            <v>463.07700000000011</v>
          </cell>
          <cell r="AL28">
            <v>116.68899999999999</v>
          </cell>
          <cell r="AM28">
            <v>148.261</v>
          </cell>
          <cell r="AN28">
            <v>145.75400000000002</v>
          </cell>
          <cell r="AO28">
            <v>121.4919999999999</v>
          </cell>
          <cell r="AP28">
            <v>532.19599999999991</v>
          </cell>
          <cell r="AQ28">
            <v>128.20200000000006</v>
          </cell>
          <cell r="AR28">
            <v>162.4550000000001</v>
          </cell>
          <cell r="AS28">
            <v>141.40100000000001</v>
          </cell>
          <cell r="AT28">
            <v>134.28699999999995</v>
          </cell>
          <cell r="AU28">
            <v>566.34500000000003</v>
          </cell>
          <cell r="AW28">
            <v>148.261</v>
          </cell>
          <cell r="AX28">
            <v>145.75400000000002</v>
          </cell>
          <cell r="AY28">
            <v>121.4919999999999</v>
          </cell>
          <cell r="AZ28">
            <v>128.20200000000006</v>
          </cell>
          <cell r="BA28">
            <v>543.70899999999972</v>
          </cell>
          <cell r="BB28">
            <v>162.4550000000001</v>
          </cell>
          <cell r="BC28">
            <v>141.40100000000001</v>
          </cell>
          <cell r="BD28">
            <v>134.28699999999995</v>
          </cell>
          <cell r="BE28">
            <v>124.5540000000001</v>
          </cell>
          <cell r="BF28">
            <v>562.69700000000012</v>
          </cell>
          <cell r="BG28">
            <v>141.68700000000013</v>
          </cell>
          <cell r="BH28">
            <v>126.78199999999995</v>
          </cell>
          <cell r="BI28">
            <v>104.17900000000009</v>
          </cell>
          <cell r="BJ28">
            <v>-68.411000000000044</v>
          </cell>
          <cell r="BK28">
            <v>304.23700000000019</v>
          </cell>
          <cell r="BL28">
            <v>107.37599999999978</v>
          </cell>
          <cell r="BM28">
            <v>21.591000000000065</v>
          </cell>
          <cell r="BN28">
            <v>30.866999999999962</v>
          </cell>
          <cell r="BO28">
            <v>27.483000000000033</v>
          </cell>
          <cell r="BP28">
            <v>187.31700000000032</v>
          </cell>
          <cell r="BQ28">
            <v>264.64699999999993</v>
          </cell>
          <cell r="BR28">
            <v>40.347000000000023</v>
          </cell>
          <cell r="BS28">
            <v>17.576999999999913</v>
          </cell>
          <cell r="BT28">
            <v>51.795000000000059</v>
          </cell>
          <cell r="BU28">
            <v>374.36599999999993</v>
          </cell>
          <cell r="BV28">
            <v>84.142999999999915</v>
          </cell>
          <cell r="BW28">
            <v>59.917999999999999</v>
          </cell>
          <cell r="BX28">
            <v>43.79000000000007</v>
          </cell>
          <cell r="BY28">
            <v>55.963999999999892</v>
          </cell>
          <cell r="BZ28">
            <v>243.81499999999937</v>
          </cell>
          <cell r="CA28">
            <v>83.118999999999886</v>
          </cell>
          <cell r="CB28">
            <v>70.807000000000002</v>
          </cell>
          <cell r="CC28">
            <v>59.747000000000057</v>
          </cell>
          <cell r="CD28">
            <v>72.489999999999981</v>
          </cell>
          <cell r="CE28">
            <v>286.16300000000035</v>
          </cell>
          <cell r="CF28">
            <v>98.214000000000141</v>
          </cell>
          <cell r="CG28">
            <v>88.673000000000059</v>
          </cell>
          <cell r="CH28">
            <v>72.091000000000037</v>
          </cell>
          <cell r="CI28">
            <v>54.640999999999863</v>
          </cell>
          <cell r="CJ28">
            <v>313.61900000000071</v>
          </cell>
          <cell r="CK28">
            <v>70.718000000000259</v>
          </cell>
          <cell r="CL28">
            <v>73.431999999999974</v>
          </cell>
          <cell r="CM28">
            <v>70.331000000000103</v>
          </cell>
          <cell r="CN28">
            <v>92.156446150443813</v>
          </cell>
          <cell r="CO28">
            <v>306.63744615044482</v>
          </cell>
          <cell r="CP28">
            <v>107.0781580143518</v>
          </cell>
          <cell r="CQ28">
            <v>98.729482322696384</v>
          </cell>
          <cell r="CR28">
            <v>76.798447384780772</v>
          </cell>
          <cell r="CS28">
            <v>52.389765691283159</v>
          </cell>
          <cell r="CT28">
            <v>334.99585341311274</v>
          </cell>
          <cell r="CU28">
            <v>119.1331976172913</v>
          </cell>
          <cell r="CV28">
            <v>128.91003296724838</v>
          </cell>
          <cell r="CW28">
            <v>111.67789752704962</v>
          </cell>
          <cell r="CX28">
            <v>83.044902004729522</v>
          </cell>
          <cell r="CY28">
            <v>442.76603011631937</v>
          </cell>
          <cell r="CZ28">
            <v>155.13738994053563</v>
          </cell>
          <cell r="DA28">
            <v>143.42798635525193</v>
          </cell>
          <cell r="DB28">
            <v>128.40469633544851</v>
          </cell>
          <cell r="DC28">
            <v>102.00612487739873</v>
          </cell>
          <cell r="DD28">
            <v>528.97619750863612</v>
          </cell>
          <cell r="DE28">
            <v>176.18300052065132</v>
          </cell>
          <cell r="DF28">
            <v>161.50725283714405</v>
          </cell>
          <cell r="DG28">
            <v>148.0071992938876</v>
          </cell>
          <cell r="DH28">
            <v>116.63550334192945</v>
          </cell>
          <cell r="DI28">
            <v>602.33295599361338</v>
          </cell>
        </row>
        <row r="29">
          <cell r="B29" t="str">
            <v>Income tax expense (benefit)</v>
          </cell>
          <cell r="D29">
            <v>4.5110000000000001</v>
          </cell>
          <cell r="E29">
            <v>9.8119999999999994</v>
          </cell>
          <cell r="F29">
            <v>16.967153846153845</v>
          </cell>
          <cell r="G29">
            <v>24.193999999999999</v>
          </cell>
          <cell r="H29">
            <v>32.643999999999998</v>
          </cell>
          <cell r="I29">
            <v>40.917999999999999</v>
          </cell>
          <cell r="J29">
            <v>54.325000000000003</v>
          </cell>
          <cell r="K29">
            <v>69.986999999999995</v>
          </cell>
          <cell r="L29">
            <v>88.435000000000002</v>
          </cell>
          <cell r="M29">
            <v>19.998000000000001</v>
          </cell>
          <cell r="N29">
            <v>30.827000000000002</v>
          </cell>
          <cell r="O29">
            <v>25.039000000000001</v>
          </cell>
          <cell r="P29">
            <v>20.943999999999999</v>
          </cell>
          <cell r="Q29">
            <v>96.808000000000007</v>
          </cell>
          <cell r="R29">
            <v>22.158999999999999</v>
          </cell>
          <cell r="S29">
            <v>32.616</v>
          </cell>
          <cell r="T29">
            <v>28.315000000000001</v>
          </cell>
          <cell r="U29">
            <v>25.238</v>
          </cell>
          <cell r="V29">
            <v>108.328</v>
          </cell>
          <cell r="W29">
            <v>25.943999999999999</v>
          </cell>
          <cell r="X29">
            <v>31.524999999999999</v>
          </cell>
          <cell r="Y29">
            <v>35.018000000000001</v>
          </cell>
          <cell r="Z29">
            <v>33.485999999999997</v>
          </cell>
          <cell r="AA29">
            <v>125.97299999999998</v>
          </cell>
          <cell r="AB29">
            <v>32.606000000000002</v>
          </cell>
          <cell r="AC29">
            <v>44.728999999999999</v>
          </cell>
          <cell r="AD29">
            <v>43.048999999999999</v>
          </cell>
          <cell r="AE29">
            <v>38.841999999999999</v>
          </cell>
          <cell r="AF29">
            <v>159.226</v>
          </cell>
          <cell r="AG29">
            <v>38.128</v>
          </cell>
          <cell r="AH29">
            <v>49.923999999999999</v>
          </cell>
          <cell r="AI29">
            <v>48.561</v>
          </cell>
          <cell r="AJ29">
            <v>38.698999999999998</v>
          </cell>
          <cell r="AK29">
            <v>175.31200000000001</v>
          </cell>
          <cell r="AL29">
            <v>44.238</v>
          </cell>
          <cell r="AM29">
            <v>56.390999999999998</v>
          </cell>
          <cell r="AN29">
            <v>54.890999999999998</v>
          </cell>
          <cell r="AO29">
            <v>45.860999999999997</v>
          </cell>
          <cell r="AP29">
            <v>201.38099999999997</v>
          </cell>
          <cell r="AQ29">
            <v>48.787999999999997</v>
          </cell>
          <cell r="AR29">
            <v>61.792999999999999</v>
          </cell>
          <cell r="AS29">
            <v>53.790999999999997</v>
          </cell>
          <cell r="AT29">
            <v>46.408999999999999</v>
          </cell>
          <cell r="AU29">
            <v>210.78099999999998</v>
          </cell>
          <cell r="AW29">
            <v>56.390999999999998</v>
          </cell>
          <cell r="AX29">
            <v>54.890999999999998</v>
          </cell>
          <cell r="AY29">
            <v>45.860999999999997</v>
          </cell>
          <cell r="AZ29">
            <v>48.787999999999997</v>
          </cell>
          <cell r="BA29">
            <v>205.93099999999998</v>
          </cell>
          <cell r="BB29">
            <v>61.792999999999999</v>
          </cell>
          <cell r="BC29">
            <v>53.790999999999997</v>
          </cell>
          <cell r="BD29">
            <v>46.408999999999999</v>
          </cell>
          <cell r="BE29">
            <v>48.283999999999999</v>
          </cell>
          <cell r="BF29">
            <v>210.27699999999999</v>
          </cell>
          <cell r="BG29">
            <v>54.265999999999998</v>
          </cell>
          <cell r="BH29">
            <v>48.56</v>
          </cell>
          <cell r="BI29">
            <v>40.345999999999997</v>
          </cell>
          <cell r="BJ29">
            <v>-26.056999999999999</v>
          </cell>
          <cell r="BK29">
            <v>117.11499999999999</v>
          </cell>
          <cell r="BL29">
            <v>41.542000000000002</v>
          </cell>
          <cell r="BM29">
            <v>8.2910000000000004</v>
          </cell>
          <cell r="BN29">
            <v>11.061999999999999</v>
          </cell>
          <cell r="BO29">
            <v>8.5050000000000008</v>
          </cell>
          <cell r="BP29">
            <v>69.399999999999991</v>
          </cell>
          <cell r="BQ29">
            <v>102.239</v>
          </cell>
          <cell r="BR29">
            <v>13.039</v>
          </cell>
          <cell r="BS29">
            <v>2.5619999999999998</v>
          </cell>
          <cell r="BT29">
            <v>17.498000000000001</v>
          </cell>
          <cell r="BU29">
            <v>135.33799999999999</v>
          </cell>
          <cell r="BV29">
            <v>30.065999999999999</v>
          </cell>
          <cell r="BW29">
            <v>20.62</v>
          </cell>
          <cell r="BX29">
            <v>12.494999999999999</v>
          </cell>
          <cell r="BY29">
            <v>19.355</v>
          </cell>
          <cell r="BZ29">
            <v>82.536000000000001</v>
          </cell>
          <cell r="CA29">
            <v>29.7</v>
          </cell>
          <cell r="CB29">
            <v>25.094000000000001</v>
          </cell>
          <cell r="CC29">
            <v>19.867000000000001</v>
          </cell>
          <cell r="CD29">
            <v>26.132999999999999</v>
          </cell>
          <cell r="CE29">
            <v>100.794</v>
          </cell>
          <cell r="CF29">
            <v>35.503999999999998</v>
          </cell>
          <cell r="CG29">
            <v>31.757000000000001</v>
          </cell>
          <cell r="CH29">
            <v>22.387</v>
          </cell>
          <cell r="CI29">
            <v>16.893000000000001</v>
          </cell>
          <cell r="CJ29">
            <v>106.541</v>
          </cell>
          <cell r="CK29">
            <v>24.727</v>
          </cell>
          <cell r="CL29">
            <v>25.291</v>
          </cell>
          <cell r="CM29">
            <v>20.913</v>
          </cell>
          <cell r="CN29">
            <v>32.254756152655332</v>
          </cell>
          <cell r="CO29">
            <v>103.18575615265533</v>
          </cell>
          <cell r="CP29">
            <v>36.406573724879614</v>
          </cell>
          <cell r="CQ29">
            <v>33.568023989716771</v>
          </cell>
          <cell r="CR29">
            <v>26.111472110825463</v>
          </cell>
          <cell r="CS29">
            <v>17.812520335036275</v>
          </cell>
          <cell r="CT29">
            <v>113.89859016045813</v>
          </cell>
          <cell r="CU29">
            <v>40.505287189879049</v>
          </cell>
          <cell r="CV29">
            <v>43.829411208864457</v>
          </cell>
          <cell r="CW29">
            <v>37.970485159196876</v>
          </cell>
          <cell r="CX29">
            <v>28.235266681608039</v>
          </cell>
          <cell r="CY29">
            <v>150.54045023954842</v>
          </cell>
          <cell r="CZ29">
            <v>52.74671257978212</v>
          </cell>
          <cell r="DA29">
            <v>48.765515360785663</v>
          </cell>
          <cell r="DB29">
            <v>43.657596754052499</v>
          </cell>
          <cell r="DC29">
            <v>34.68208245831557</v>
          </cell>
          <cell r="DD29">
            <v>179.85190715293584</v>
          </cell>
          <cell r="DE29">
            <v>59.902220177021455</v>
          </cell>
          <cell r="DF29">
            <v>54.912465964628979</v>
          </cell>
          <cell r="DG29">
            <v>50.322447759921786</v>
          </cell>
          <cell r="DH29">
            <v>39.656071136256017</v>
          </cell>
          <cell r="DI29">
            <v>204.79320503782822</v>
          </cell>
          <cell r="DK29" t="str">
            <v>mstag:taxExpenseIncome</v>
          </cell>
          <cell r="DL29">
            <v>6</v>
          </cell>
          <cell r="DM29" t="str">
            <v>ISO4217:USD</v>
          </cell>
          <cell r="DN29" t="b">
            <v>0</v>
          </cell>
        </row>
        <row r="30">
          <cell r="B30" t="str">
            <v>Net income from continuing ops</v>
          </cell>
          <cell r="D30">
            <v>4.6439999999999833</v>
          </cell>
          <cell r="E30">
            <v>11.991000000000005</v>
          </cell>
          <cell r="F30">
            <v>22.677999999999987</v>
          </cell>
          <cell r="G30">
            <v>32.245000000000005</v>
          </cell>
          <cell r="H30">
            <v>49.085999999999977</v>
          </cell>
          <cell r="I30">
            <v>63.331000000000081</v>
          </cell>
          <cell r="J30">
            <v>84.085999999999999</v>
          </cell>
          <cell r="K30">
            <v>108.32200000000003</v>
          </cell>
          <cell r="L30">
            <v>136.84399999999988</v>
          </cell>
          <cell r="M30">
            <v>30.954999999999981</v>
          </cell>
          <cell r="N30">
            <v>47.706999999999994</v>
          </cell>
          <cell r="O30">
            <v>38.757000000000026</v>
          </cell>
          <cell r="P30">
            <v>32.426000000000016</v>
          </cell>
          <cell r="Q30">
            <v>149.84499999999997</v>
          </cell>
          <cell r="R30">
            <v>34.291999999999994</v>
          </cell>
          <cell r="S30">
            <v>50.487000000000023</v>
          </cell>
          <cell r="T30">
            <v>43.823000000000008</v>
          </cell>
          <cell r="U30">
            <v>39.064999999999998</v>
          </cell>
          <cell r="V30">
            <v>167.66699999999989</v>
          </cell>
          <cell r="W30">
            <v>40.17800000000004</v>
          </cell>
          <cell r="X30">
            <v>48.740000000000045</v>
          </cell>
          <cell r="Y30">
            <v>54.137999999999963</v>
          </cell>
          <cell r="Z30">
            <v>51.922000000000004</v>
          </cell>
          <cell r="AA30">
            <v>194.97800000000004</v>
          </cell>
          <cell r="AB30">
            <v>50.466000000000044</v>
          </cell>
          <cell r="AC30">
            <v>69.236000000000018</v>
          </cell>
          <cell r="AD30">
            <v>66.974999999999994</v>
          </cell>
          <cell r="AE30">
            <v>60.767999999999944</v>
          </cell>
          <cell r="AF30">
            <v>247.44499999999971</v>
          </cell>
          <cell r="AG30">
            <v>60.578000000000003</v>
          </cell>
          <cell r="AH30">
            <v>79.127999999999957</v>
          </cell>
          <cell r="AI30">
            <v>77.041999999999973</v>
          </cell>
          <cell r="AJ30">
            <v>71.017000000000039</v>
          </cell>
          <cell r="AK30">
            <v>287.7650000000001</v>
          </cell>
          <cell r="AL30">
            <v>72.450999999999993</v>
          </cell>
          <cell r="AM30">
            <v>91.87</v>
          </cell>
          <cell r="AN30">
            <v>90.863000000000028</v>
          </cell>
          <cell r="AO30">
            <v>75.630999999999915</v>
          </cell>
          <cell r="AP30">
            <v>330.81499999999994</v>
          </cell>
          <cell r="AQ30">
            <v>79.414000000000058</v>
          </cell>
          <cell r="AR30">
            <v>100.66200000000009</v>
          </cell>
          <cell r="AS30">
            <v>87.610000000000014</v>
          </cell>
          <cell r="AT30">
            <v>87.877999999999957</v>
          </cell>
          <cell r="AU30">
            <v>355.56400000000008</v>
          </cell>
          <cell r="AW30">
            <v>91.87</v>
          </cell>
          <cell r="AX30">
            <v>90.863000000000028</v>
          </cell>
          <cell r="AY30">
            <v>75.630999999999915</v>
          </cell>
          <cell r="AZ30">
            <v>79.414000000000058</v>
          </cell>
          <cell r="BA30">
            <v>337.77799999999974</v>
          </cell>
          <cell r="BB30">
            <v>100.66200000000009</v>
          </cell>
          <cell r="BC30">
            <v>87.610000000000014</v>
          </cell>
          <cell r="BD30">
            <v>87.877999999999957</v>
          </cell>
          <cell r="BE30">
            <v>76.270000000000095</v>
          </cell>
          <cell r="BF30">
            <v>352.42000000000013</v>
          </cell>
          <cell r="BG30">
            <v>87.421000000000134</v>
          </cell>
          <cell r="BH30">
            <v>78.221999999999952</v>
          </cell>
          <cell r="BI30">
            <v>63.833000000000091</v>
          </cell>
          <cell r="BJ30">
            <v>-42.354000000000042</v>
          </cell>
          <cell r="BK30">
            <v>187.12200000000018</v>
          </cell>
          <cell r="BL30">
            <v>65.833999999999776</v>
          </cell>
          <cell r="BM30">
            <v>13.300000000000065</v>
          </cell>
          <cell r="BN30">
            <v>19.804999999999964</v>
          </cell>
          <cell r="BO30">
            <v>18.97800000000003</v>
          </cell>
          <cell r="BP30">
            <v>117.91700000000033</v>
          </cell>
          <cell r="BQ30">
            <v>162.40799999999993</v>
          </cell>
          <cell r="BR30">
            <v>27.308000000000021</v>
          </cell>
          <cell r="BS30">
            <v>15.014999999999914</v>
          </cell>
          <cell r="BT30">
            <v>34.297000000000054</v>
          </cell>
          <cell r="BU30">
            <v>239.02799999999993</v>
          </cell>
          <cell r="BV30">
            <v>54.076999999999913</v>
          </cell>
          <cell r="BW30">
            <v>39.298000000000002</v>
          </cell>
          <cell r="BX30">
            <v>31.295000000000073</v>
          </cell>
          <cell r="BY30">
            <v>36.608999999999895</v>
          </cell>
          <cell r="BZ30">
            <v>161.27899999999937</v>
          </cell>
          <cell r="CA30">
            <v>53.418999999999883</v>
          </cell>
          <cell r="CB30">
            <v>45.713000000000001</v>
          </cell>
          <cell r="CC30">
            <v>39.880000000000052</v>
          </cell>
          <cell r="CD30">
            <v>46.356999999999985</v>
          </cell>
          <cell r="CE30">
            <v>185.36900000000037</v>
          </cell>
          <cell r="CF30">
            <v>62.710000000000143</v>
          </cell>
          <cell r="CG30">
            <v>56.916000000000054</v>
          </cell>
          <cell r="CH30">
            <v>49.704000000000036</v>
          </cell>
          <cell r="CI30">
            <v>37.747999999999863</v>
          </cell>
          <cell r="CJ30">
            <v>207.07800000000071</v>
          </cell>
          <cell r="CK30">
            <v>45.991000000000255</v>
          </cell>
          <cell r="CL30">
            <v>48.140999999999977</v>
          </cell>
          <cell r="CM30">
            <v>49.418000000000106</v>
          </cell>
          <cell r="CN30">
            <v>59.90168999778848</v>
          </cell>
          <cell r="CO30">
            <v>203.45168999778949</v>
          </cell>
          <cell r="CP30">
            <v>70.671584289472179</v>
          </cell>
          <cell r="CQ30">
            <v>65.161458332979606</v>
          </cell>
          <cell r="CR30">
            <v>50.686975273955312</v>
          </cell>
          <cell r="CS30">
            <v>34.577245356246884</v>
          </cell>
          <cell r="CT30">
            <v>221.09726325265461</v>
          </cell>
          <cell r="CU30">
            <v>78.627910427412246</v>
          </cell>
          <cell r="CV30">
            <v>85.080621758383927</v>
          </cell>
          <cell r="CW30">
            <v>73.707412367852754</v>
          </cell>
          <cell r="CX30">
            <v>54.809635323121483</v>
          </cell>
          <cell r="CY30">
            <v>292.22557987677095</v>
          </cell>
          <cell r="CZ30">
            <v>102.3906773607535</v>
          </cell>
          <cell r="DA30">
            <v>94.662470994466275</v>
          </cell>
          <cell r="DB30">
            <v>84.747099581396014</v>
          </cell>
          <cell r="DC30">
            <v>67.324042419083156</v>
          </cell>
          <cell r="DD30">
            <v>349.12429035570028</v>
          </cell>
          <cell r="DE30">
            <v>116.28078034362986</v>
          </cell>
          <cell r="DF30">
            <v>106.59478687251507</v>
          </cell>
          <cell r="DG30">
            <v>97.684751533965809</v>
          </cell>
          <cell r="DH30">
            <v>76.979432205673433</v>
          </cell>
          <cell r="DI30">
            <v>397.53975095578517</v>
          </cell>
        </row>
        <row r="31">
          <cell r="B31" t="str">
            <v>Discontinued operations:</v>
          </cell>
        </row>
        <row r="32">
          <cell r="B32" t="str">
            <v>Income (loss) discontinued ops, net</v>
          </cell>
          <cell r="D32">
            <v>0</v>
          </cell>
          <cell r="E32">
            <v>0</v>
          </cell>
          <cell r="F32">
            <v>0</v>
          </cell>
          <cell r="G32">
            <v>0</v>
          </cell>
          <cell r="H32">
            <v>-2.5499999999999998</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0.63800000000000001</v>
          </cell>
          <cell r="AU32">
            <v>0.63800000000000001</v>
          </cell>
          <cell r="AW32">
            <v>0</v>
          </cell>
          <cell r="AX32">
            <v>0</v>
          </cell>
          <cell r="AY32">
            <v>0</v>
          </cell>
          <cell r="AZ32">
            <v>0</v>
          </cell>
          <cell r="BA32">
            <v>0</v>
          </cell>
          <cell r="BB32">
            <v>0</v>
          </cell>
          <cell r="BC32">
            <v>0</v>
          </cell>
          <cell r="BD32">
            <v>0.63800000000000001</v>
          </cell>
          <cell r="BE32">
            <v>-0.32800000000000001</v>
          </cell>
          <cell r="BF32">
            <v>0.31</v>
          </cell>
          <cell r="BG32">
            <v>0.45</v>
          </cell>
          <cell r="BH32">
            <v>0.16</v>
          </cell>
          <cell r="BI32">
            <v>11.039</v>
          </cell>
          <cell r="BJ32">
            <v>-13.984</v>
          </cell>
          <cell r="BK32">
            <v>-2.3350000000000009</v>
          </cell>
          <cell r="BL32">
            <v>-0.624</v>
          </cell>
          <cell r="BM32">
            <v>-1.177</v>
          </cell>
          <cell r="BN32">
            <v>10.387</v>
          </cell>
          <cell r="BO32">
            <v>-6.298</v>
          </cell>
          <cell r="BP32">
            <v>2.2880000000000003</v>
          </cell>
          <cell r="BQ32">
            <v>-27.731999999999999</v>
          </cell>
          <cell r="BR32">
            <v>-9.5259999999999998</v>
          </cell>
          <cell r="BS32">
            <v>-4.0430000000000001</v>
          </cell>
          <cell r="BT32">
            <v>-14.494</v>
          </cell>
          <cell r="BU32">
            <v>-55.794999999999995</v>
          </cell>
          <cell r="BV32">
            <v>-1.508</v>
          </cell>
          <cell r="BW32">
            <v>0</v>
          </cell>
          <cell r="BX32">
            <v>0.626</v>
          </cell>
          <cell r="BY32">
            <v>3.544</v>
          </cell>
          <cell r="BZ32">
            <v>2.6619999999999999</v>
          </cell>
          <cell r="CA32">
            <v>0</v>
          </cell>
          <cell r="CB32">
            <v>0</v>
          </cell>
          <cell r="CC32">
            <v>0</v>
          </cell>
          <cell r="CD32">
            <v>-13.121</v>
          </cell>
          <cell r="CE32">
            <v>-13.121</v>
          </cell>
          <cell r="CF32">
            <v>-0.59799999999999998</v>
          </cell>
          <cell r="CG32">
            <v>-1.583</v>
          </cell>
          <cell r="CH32">
            <v>0.255</v>
          </cell>
          <cell r="CI32">
            <v>-1.2270000000000001</v>
          </cell>
          <cell r="CJ32">
            <v>-3.1530000000000005</v>
          </cell>
          <cell r="CK32">
            <v>-1.395</v>
          </cell>
          <cell r="CL32">
            <v>-3.0209999999999999</v>
          </cell>
          <cell r="CM32">
            <v>-1.389</v>
          </cell>
          <cell r="CN32">
            <v>0</v>
          </cell>
          <cell r="CO32">
            <v>-5.8050000000000006</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K32" t="str">
            <v>mstag:incomeLossFromDiscontinuedOperationsNetOfTax</v>
          </cell>
          <cell r="DL32">
            <v>6</v>
          </cell>
          <cell r="DM32" t="str">
            <v>ISO4217:USD</v>
          </cell>
          <cell r="DN32" t="b">
            <v>0</v>
          </cell>
          <cell r="DO32" t="b">
            <v>0</v>
          </cell>
        </row>
        <row r="33">
          <cell r="B33" t="str">
            <v>Net income as reported</v>
          </cell>
          <cell r="D33">
            <v>4.6439999999999833</v>
          </cell>
          <cell r="E33">
            <v>11.991000000000005</v>
          </cell>
          <cell r="F33">
            <v>22.677999999999987</v>
          </cell>
          <cell r="G33">
            <v>32.245000000000005</v>
          </cell>
          <cell r="H33">
            <v>46.53599999999998</v>
          </cell>
          <cell r="I33">
            <v>63.331000000000081</v>
          </cell>
          <cell r="J33">
            <v>84.085999999999999</v>
          </cell>
          <cell r="K33">
            <v>108.32200000000003</v>
          </cell>
          <cell r="L33">
            <v>136.84399999999988</v>
          </cell>
          <cell r="M33">
            <v>30.954999999999981</v>
          </cell>
          <cell r="N33">
            <v>47.706999999999994</v>
          </cell>
          <cell r="O33">
            <v>38.757000000000026</v>
          </cell>
          <cell r="P33">
            <v>32.426000000000016</v>
          </cell>
          <cell r="Q33">
            <v>149.84499999999997</v>
          </cell>
          <cell r="R33">
            <v>34.291999999999994</v>
          </cell>
          <cell r="S33">
            <v>50.487000000000023</v>
          </cell>
          <cell r="T33">
            <v>43.823000000000008</v>
          </cell>
          <cell r="U33">
            <v>39.064999999999998</v>
          </cell>
          <cell r="V33">
            <v>167.66699999999989</v>
          </cell>
          <cell r="W33">
            <v>40.17800000000004</v>
          </cell>
          <cell r="X33">
            <v>48.740000000000045</v>
          </cell>
          <cell r="Y33">
            <v>54.137999999999963</v>
          </cell>
          <cell r="Z33">
            <v>51.922000000000004</v>
          </cell>
          <cell r="AA33">
            <v>194.97800000000004</v>
          </cell>
          <cell r="AB33">
            <v>50.466000000000044</v>
          </cell>
          <cell r="AC33">
            <v>69.236000000000018</v>
          </cell>
          <cell r="AD33">
            <v>66.974999999999994</v>
          </cell>
          <cell r="AE33">
            <v>60.767999999999944</v>
          </cell>
          <cell r="AF33">
            <v>247.44499999999971</v>
          </cell>
          <cell r="AG33">
            <v>60.578000000000003</v>
          </cell>
          <cell r="AH33">
            <v>79.127999999999957</v>
          </cell>
          <cell r="AI33">
            <v>77.041999999999973</v>
          </cell>
          <cell r="AJ33">
            <v>71.017000000000039</v>
          </cell>
          <cell r="AK33">
            <v>287.7650000000001</v>
          </cell>
          <cell r="AL33">
            <v>72.450999999999993</v>
          </cell>
          <cell r="AM33">
            <v>91.87</v>
          </cell>
          <cell r="AN33">
            <v>90.863000000000028</v>
          </cell>
          <cell r="AO33">
            <v>75.630999999999915</v>
          </cell>
          <cell r="AP33">
            <v>330.81499999999994</v>
          </cell>
          <cell r="AQ33">
            <v>79.414000000000058</v>
          </cell>
          <cell r="AR33">
            <v>100.66200000000009</v>
          </cell>
          <cell r="AS33">
            <v>87.610000000000014</v>
          </cell>
          <cell r="AT33">
            <v>88.515999999999963</v>
          </cell>
          <cell r="AU33">
            <v>356.20200000000006</v>
          </cell>
          <cell r="AW33">
            <v>91.87</v>
          </cell>
          <cell r="AX33">
            <v>90.863000000000028</v>
          </cell>
          <cell r="AY33">
            <v>75.630999999999915</v>
          </cell>
          <cell r="AZ33">
            <v>79.414000000000058</v>
          </cell>
          <cell r="BA33">
            <v>337.77799999999974</v>
          </cell>
          <cell r="BB33">
            <v>100.66200000000009</v>
          </cell>
          <cell r="BC33">
            <v>87.610000000000014</v>
          </cell>
          <cell r="BD33">
            <v>88.515999999999963</v>
          </cell>
          <cell r="BE33">
            <v>75.942000000000093</v>
          </cell>
          <cell r="BF33">
            <v>352.73000000000013</v>
          </cell>
          <cell r="BG33">
            <v>87.871000000000137</v>
          </cell>
          <cell r="BH33">
            <v>78.381999999999948</v>
          </cell>
          <cell r="BI33">
            <v>74.872000000000085</v>
          </cell>
          <cell r="BJ33">
            <v>-56.338000000000044</v>
          </cell>
          <cell r="BK33">
            <v>184.78700000000018</v>
          </cell>
          <cell r="BL33">
            <v>65.209999999999781</v>
          </cell>
          <cell r="BM33">
            <v>12.123000000000065</v>
          </cell>
          <cell r="BN33">
            <v>30.191999999999965</v>
          </cell>
          <cell r="BO33">
            <v>12.68000000000003</v>
          </cell>
          <cell r="BP33">
            <v>120.20500000000033</v>
          </cell>
          <cell r="BQ33">
            <v>134.67599999999993</v>
          </cell>
          <cell r="BR33">
            <v>17.782000000000021</v>
          </cell>
          <cell r="BS33">
            <v>10.971999999999912</v>
          </cell>
          <cell r="BT33">
            <v>19.803000000000054</v>
          </cell>
          <cell r="BU33">
            <v>183.23299999999995</v>
          </cell>
          <cell r="BV33">
            <v>52.56899999999991</v>
          </cell>
          <cell r="BW33">
            <v>39.298000000000002</v>
          </cell>
          <cell r="BX33">
            <v>31.921000000000074</v>
          </cell>
          <cell r="BY33">
            <v>40.152999999999892</v>
          </cell>
          <cell r="BZ33">
            <v>163.94099999999938</v>
          </cell>
          <cell r="CA33">
            <v>53.418999999999883</v>
          </cell>
          <cell r="CB33">
            <v>45.713000000000001</v>
          </cell>
          <cell r="CC33">
            <v>39.880000000000052</v>
          </cell>
          <cell r="CD33">
            <v>33.235999999999983</v>
          </cell>
          <cell r="CE33">
            <v>172.24800000000036</v>
          </cell>
          <cell r="CF33">
            <v>62.112000000000144</v>
          </cell>
          <cell r="CG33">
            <v>55.333000000000055</v>
          </cell>
          <cell r="CH33">
            <v>49.959000000000039</v>
          </cell>
          <cell r="CI33">
            <v>36.520999999999866</v>
          </cell>
          <cell r="CJ33">
            <v>203.92500000000072</v>
          </cell>
          <cell r="CK33">
            <v>44.596000000000252</v>
          </cell>
          <cell r="CL33">
            <v>45.119999999999976</v>
          </cell>
          <cell r="CM33">
            <v>48.029000000000103</v>
          </cell>
          <cell r="CN33">
            <v>59.90168999778848</v>
          </cell>
          <cell r="CO33">
            <v>197.64668999778948</v>
          </cell>
          <cell r="CP33">
            <v>70.671584289472179</v>
          </cell>
          <cell r="CQ33">
            <v>65.161458332979606</v>
          </cell>
          <cell r="CR33">
            <v>50.686975273955312</v>
          </cell>
          <cell r="CS33">
            <v>34.577245356246884</v>
          </cell>
          <cell r="CT33">
            <v>221.09726325265461</v>
          </cell>
          <cell r="CU33">
            <v>78.627910427412246</v>
          </cell>
          <cell r="CV33">
            <v>85.080621758383927</v>
          </cell>
          <cell r="CW33">
            <v>73.707412367852754</v>
          </cell>
          <cell r="CX33">
            <v>54.809635323121483</v>
          </cell>
          <cell r="CY33">
            <v>292.22557987677095</v>
          </cell>
          <cell r="CZ33">
            <v>102.3906773607535</v>
          </cell>
          <cell r="DA33">
            <v>94.662470994466275</v>
          </cell>
          <cell r="DB33">
            <v>84.747099581396014</v>
          </cell>
          <cell r="DC33">
            <v>67.324042419083156</v>
          </cell>
          <cell r="DD33">
            <v>349.12429035570028</v>
          </cell>
          <cell r="DE33">
            <v>116.28078034362986</v>
          </cell>
          <cell r="DF33">
            <v>106.59478687251507</v>
          </cell>
          <cell r="DG33">
            <v>97.684751533965809</v>
          </cell>
          <cell r="DH33">
            <v>76.979432205673433</v>
          </cell>
          <cell r="DI33">
            <v>397.53975095578517</v>
          </cell>
          <cell r="DK33" t="str">
            <v>mstag:netIncomeAsReported</v>
          </cell>
          <cell r="DL33">
            <v>6</v>
          </cell>
          <cell r="DM33" t="str">
            <v>ISO4217:USD</v>
          </cell>
          <cell r="DN33" t="b">
            <v>0</v>
          </cell>
        </row>
        <row r="34">
          <cell r="B34" t="str">
            <v>Minority interests</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-0.35899999999999999</v>
          </cell>
          <cell r="AE34">
            <v>-0.65</v>
          </cell>
          <cell r="AF34">
            <v>-1.0089999999999999</v>
          </cell>
          <cell r="AG34">
            <v>-0.92200000000000004</v>
          </cell>
          <cell r="AH34">
            <v>-1.0629999999999999</v>
          </cell>
          <cell r="AI34">
            <v>-1.121</v>
          </cell>
          <cell r="AJ34">
            <v>-1.2350000000000001</v>
          </cell>
          <cell r="AK34">
            <v>-4.3410000000000002</v>
          </cell>
          <cell r="AL34">
            <v>-1.1399999999999999</v>
          </cell>
          <cell r="AM34">
            <v>-1.395</v>
          </cell>
          <cell r="AN34">
            <v>-1.58</v>
          </cell>
          <cell r="AO34">
            <v>-1.601</v>
          </cell>
          <cell r="AP34">
            <v>-5.7160000000000002</v>
          </cell>
          <cell r="AQ34">
            <v>-0.66200000000000003</v>
          </cell>
          <cell r="AR34">
            <v>-0.89900000000000002</v>
          </cell>
          <cell r="AS34">
            <v>-0.83799999999999997</v>
          </cell>
          <cell r="AT34">
            <v>-0.72699999999999998</v>
          </cell>
          <cell r="AU34">
            <v>-3.1259999999999999</v>
          </cell>
          <cell r="AW34">
            <v>-1.395</v>
          </cell>
          <cell r="AX34">
            <v>-1.58</v>
          </cell>
          <cell r="AY34">
            <v>-1.601</v>
          </cell>
          <cell r="AZ34">
            <v>-0.66200000000000003</v>
          </cell>
          <cell r="BA34">
            <v>-5.2380000000000004</v>
          </cell>
          <cell r="BB34">
            <v>-0.89900000000000002</v>
          </cell>
          <cell r="BC34">
            <v>-0.83799999999999997</v>
          </cell>
          <cell r="BD34">
            <v>-0.72699999999999998</v>
          </cell>
          <cell r="BE34">
            <v>-0.40100000000000002</v>
          </cell>
          <cell r="BF34">
            <v>-2.8650000000000002</v>
          </cell>
          <cell r="BG34">
            <v>-0.65800000000000003</v>
          </cell>
          <cell r="BH34">
            <v>-1.077</v>
          </cell>
          <cell r="BI34">
            <v>-0.436</v>
          </cell>
          <cell r="BJ34">
            <v>0.13300000000000001</v>
          </cell>
          <cell r="BK34">
            <v>-2.0379999999999998</v>
          </cell>
          <cell r="BL34">
            <v>-0.17100000000000001</v>
          </cell>
          <cell r="BM34">
            <v>-0.217</v>
          </cell>
          <cell r="BN34">
            <v>0.28199999999999997</v>
          </cell>
          <cell r="BO34">
            <v>-0.22</v>
          </cell>
          <cell r="BP34">
            <v>-0.32600000000000007</v>
          </cell>
          <cell r="BQ34">
            <v>-0.8</v>
          </cell>
          <cell r="BR34">
            <v>-5.3849999999999998</v>
          </cell>
          <cell r="BS34">
            <v>-4.569</v>
          </cell>
          <cell r="BT34">
            <v>-5.2539999999999996</v>
          </cell>
          <cell r="BU34">
            <v>-16.007999999999999</v>
          </cell>
          <cell r="BV34">
            <v>-6.5529999999999999</v>
          </cell>
          <cell r="BW34">
            <v>-6.7050000000000001</v>
          </cell>
          <cell r="BX34">
            <v>-6.476</v>
          </cell>
          <cell r="BY34">
            <v>-6.0250000000000004</v>
          </cell>
          <cell r="BZ34">
            <v>-25.759</v>
          </cell>
          <cell r="CA34">
            <v>-6.4790000000000001</v>
          </cell>
          <cell r="CB34">
            <v>-6.056</v>
          </cell>
          <cell r="CC34">
            <v>-4.5869999999999997</v>
          </cell>
          <cell r="CD34">
            <v>-5.0570000000000004</v>
          </cell>
          <cell r="CE34">
            <v>-22.179000000000002</v>
          </cell>
          <cell r="CF34">
            <v>-6.5880000000000001</v>
          </cell>
          <cell r="CG34">
            <v>-6.7220000000000004</v>
          </cell>
          <cell r="CH34">
            <v>-6.2309999999999999</v>
          </cell>
          <cell r="CI34">
            <v>-5.6740000000000004</v>
          </cell>
          <cell r="CJ34">
            <v>-25.215</v>
          </cell>
          <cell r="CK34">
            <v>-6.9059999999999997</v>
          </cell>
          <cell r="CL34">
            <v>-8.1660000000000004</v>
          </cell>
          <cell r="CM34">
            <v>-6.6849999999999996</v>
          </cell>
          <cell r="CN34">
            <v>-5</v>
          </cell>
          <cell r="CO34">
            <v>-26.756999999999998</v>
          </cell>
          <cell r="CP34">
            <v>-7.25</v>
          </cell>
          <cell r="CQ34">
            <v>-7.25</v>
          </cell>
          <cell r="CR34">
            <v>-7.25</v>
          </cell>
          <cell r="CS34">
            <v>-7.25</v>
          </cell>
          <cell r="CT34">
            <v>-29</v>
          </cell>
          <cell r="CU34">
            <v>-7.8635789788042727</v>
          </cell>
          <cell r="CV34">
            <v>-7.8192234683709181</v>
          </cell>
          <cell r="CW34">
            <v>-8.0193248976426315</v>
          </cell>
          <cell r="CX34">
            <v>-7.9479172782357468</v>
          </cell>
          <cell r="CY34">
            <v>-31.650044623053571</v>
          </cell>
          <cell r="CZ34">
            <v>-8.539593060941673</v>
          </cell>
          <cell r="DA34">
            <v>-8.4740189922292384</v>
          </cell>
          <cell r="DB34">
            <v>-8.8120633508962705</v>
          </cell>
          <cell r="DC34">
            <v>-8.921585089655764</v>
          </cell>
          <cell r="DD34">
            <v>-34.747260493722948</v>
          </cell>
          <cell r="DE34">
            <v>-9.2704696353107661</v>
          </cell>
          <cell r="DF34">
            <v>-9.1413555336139503</v>
          </cell>
          <cell r="DG34">
            <v>-9.5963560995621577</v>
          </cell>
          <cell r="DH34">
            <v>-9.6197685374083566</v>
          </cell>
          <cell r="DI34">
            <v>-37.627949805895227</v>
          </cell>
          <cell r="DK34" t="str">
            <v>mstag:netIncomeAttributableToNoncontrollingInterest</v>
          </cell>
          <cell r="DL34">
            <v>6</v>
          </cell>
          <cell r="DM34" t="str">
            <v>ISO4217:USD</v>
          </cell>
          <cell r="DN34" t="b">
            <v>1</v>
          </cell>
          <cell r="DO34" t="b">
            <v>0</v>
          </cell>
        </row>
        <row r="35">
          <cell r="B35" t="str">
            <v>Net income attributable to HMA</v>
          </cell>
          <cell r="D35">
            <v>4.6439999999999833</v>
          </cell>
          <cell r="E35">
            <v>11.991000000000005</v>
          </cell>
          <cell r="F35">
            <v>22.677999999999987</v>
          </cell>
          <cell r="G35">
            <v>32.245000000000005</v>
          </cell>
          <cell r="H35">
            <v>46.53599999999998</v>
          </cell>
          <cell r="I35">
            <v>63.331000000000081</v>
          </cell>
          <cell r="J35">
            <v>84.085999999999999</v>
          </cell>
          <cell r="K35">
            <v>108.32200000000003</v>
          </cell>
          <cell r="L35">
            <v>136.84399999999988</v>
          </cell>
          <cell r="M35">
            <v>30.954999999999981</v>
          </cell>
          <cell r="N35">
            <v>47.706999999999994</v>
          </cell>
          <cell r="O35">
            <v>38.757000000000026</v>
          </cell>
          <cell r="P35">
            <v>32.426000000000016</v>
          </cell>
          <cell r="Q35">
            <v>149.84499999999997</v>
          </cell>
          <cell r="R35">
            <v>34.291999999999994</v>
          </cell>
          <cell r="S35">
            <v>50.487000000000023</v>
          </cell>
          <cell r="T35">
            <v>43.823000000000008</v>
          </cell>
          <cell r="U35">
            <v>39.064999999999998</v>
          </cell>
          <cell r="V35">
            <v>167.66699999999989</v>
          </cell>
          <cell r="W35">
            <v>40.17800000000004</v>
          </cell>
          <cell r="X35">
            <v>48.740000000000045</v>
          </cell>
          <cell r="Y35">
            <v>54.137999999999963</v>
          </cell>
          <cell r="Z35">
            <v>51.922000000000004</v>
          </cell>
          <cell r="AA35">
            <v>194.97800000000004</v>
          </cell>
          <cell r="AB35">
            <v>50.466000000000044</v>
          </cell>
          <cell r="AC35">
            <v>69.236000000000018</v>
          </cell>
          <cell r="AD35">
            <v>66.616</v>
          </cell>
          <cell r="AE35">
            <v>60.117999999999945</v>
          </cell>
          <cell r="AF35">
            <v>246.43599999999972</v>
          </cell>
          <cell r="AG35">
            <v>59.656000000000006</v>
          </cell>
          <cell r="AH35">
            <v>78.064999999999955</v>
          </cell>
          <cell r="AI35">
            <v>75.920999999999978</v>
          </cell>
          <cell r="AJ35">
            <v>69.782000000000039</v>
          </cell>
          <cell r="AK35">
            <v>283.42400000000009</v>
          </cell>
          <cell r="AL35">
            <v>71.310999999999993</v>
          </cell>
          <cell r="AM35">
            <v>90.475000000000009</v>
          </cell>
          <cell r="AN35">
            <v>89.28300000000003</v>
          </cell>
          <cell r="AO35">
            <v>74.029999999999916</v>
          </cell>
          <cell r="AP35">
            <v>325.09899999999993</v>
          </cell>
          <cell r="AQ35">
            <v>78.752000000000052</v>
          </cell>
          <cell r="AR35">
            <v>99.76300000000009</v>
          </cell>
          <cell r="AS35">
            <v>86.77200000000002</v>
          </cell>
          <cell r="AT35">
            <v>87.788999999999959</v>
          </cell>
          <cell r="AU35">
            <v>353.07600000000008</v>
          </cell>
          <cell r="AW35">
            <v>90.475000000000009</v>
          </cell>
          <cell r="AX35">
            <v>89.28300000000003</v>
          </cell>
          <cell r="AY35">
            <v>74.029999999999916</v>
          </cell>
          <cell r="AZ35">
            <v>78.752000000000052</v>
          </cell>
          <cell r="BA35">
            <v>332.53999999999974</v>
          </cell>
          <cell r="BB35">
            <v>99.76300000000009</v>
          </cell>
          <cell r="BC35">
            <v>86.77200000000002</v>
          </cell>
          <cell r="BD35">
            <v>87.788999999999959</v>
          </cell>
          <cell r="BE35">
            <v>75.541000000000096</v>
          </cell>
          <cell r="BF35">
            <v>349.86500000000012</v>
          </cell>
          <cell r="BG35">
            <v>87.213000000000136</v>
          </cell>
          <cell r="BH35">
            <v>77.30499999999995</v>
          </cell>
          <cell r="BI35">
            <v>74.436000000000078</v>
          </cell>
          <cell r="BJ35">
            <v>-56.205000000000041</v>
          </cell>
          <cell r="BK35">
            <v>182.74900000000017</v>
          </cell>
          <cell r="BL35">
            <v>65.038999999999774</v>
          </cell>
          <cell r="BM35">
            <v>11.906000000000065</v>
          </cell>
          <cell r="BN35">
            <v>30.473999999999965</v>
          </cell>
          <cell r="BO35">
            <v>12.460000000000029</v>
          </cell>
          <cell r="BP35">
            <v>119.87900000000033</v>
          </cell>
          <cell r="BQ35">
            <v>133.87599999999992</v>
          </cell>
          <cell r="BR35">
            <v>12.397000000000022</v>
          </cell>
          <cell r="BS35">
            <v>6.4029999999999125</v>
          </cell>
          <cell r="BT35">
            <v>14.549000000000055</v>
          </cell>
          <cell r="BU35">
            <v>167.22499999999994</v>
          </cell>
          <cell r="BV35">
            <v>46.015999999999913</v>
          </cell>
          <cell r="BW35">
            <v>32.593000000000004</v>
          </cell>
          <cell r="BX35">
            <v>25.445000000000075</v>
          </cell>
          <cell r="BY35">
            <v>34.127999999999894</v>
          </cell>
          <cell r="BZ35">
            <v>138.18199999999939</v>
          </cell>
          <cell r="CA35">
            <v>46.939999999999884</v>
          </cell>
          <cell r="CB35">
            <v>39.657000000000004</v>
          </cell>
          <cell r="CC35">
            <v>35.293000000000049</v>
          </cell>
          <cell r="CD35">
            <v>28.178999999999981</v>
          </cell>
          <cell r="CE35">
            <v>150.06900000000036</v>
          </cell>
          <cell r="CF35">
            <v>55.524000000000143</v>
          </cell>
          <cell r="CG35">
            <v>48.611000000000054</v>
          </cell>
          <cell r="CH35">
            <v>43.728000000000037</v>
          </cell>
          <cell r="CI35">
            <v>30.846999999999866</v>
          </cell>
          <cell r="CJ35">
            <v>178.71000000000072</v>
          </cell>
          <cell r="CK35">
            <v>37.690000000000254</v>
          </cell>
          <cell r="CL35">
            <v>36.953999999999979</v>
          </cell>
          <cell r="CM35">
            <v>41.344000000000101</v>
          </cell>
          <cell r="CN35">
            <v>54.90168999778848</v>
          </cell>
          <cell r="CO35">
            <v>170.88968999778947</v>
          </cell>
          <cell r="CP35">
            <v>63.421584289472179</v>
          </cell>
          <cell r="CQ35">
            <v>57.911458332979606</v>
          </cell>
          <cell r="CR35">
            <v>43.436975273955312</v>
          </cell>
          <cell r="CS35">
            <v>27.327245356246884</v>
          </cell>
          <cell r="CT35">
            <v>192.09726325265399</v>
          </cell>
          <cell r="CU35">
            <v>70.764331448607976</v>
          </cell>
          <cell r="CV35">
            <v>77.261398290013005</v>
          </cell>
          <cell r="CW35">
            <v>65.688087470210121</v>
          </cell>
          <cell r="CX35">
            <v>46.861718044885734</v>
          </cell>
          <cell r="CY35">
            <v>260.57553525371685</v>
          </cell>
          <cell r="CZ35">
            <v>93.851084299811831</v>
          </cell>
          <cell r="DA35">
            <v>86.188452002237042</v>
          </cell>
          <cell r="DB35">
            <v>75.935036230499747</v>
          </cell>
          <cell r="DC35">
            <v>58.402457329427392</v>
          </cell>
          <cell r="DD35">
            <v>314.37702986197598</v>
          </cell>
          <cell r="DE35">
            <v>107.0103107083191</v>
          </cell>
          <cell r="DF35">
            <v>97.453431338901126</v>
          </cell>
          <cell r="DG35">
            <v>88.088395434403651</v>
          </cell>
          <cell r="DH35">
            <v>67.359663668265071</v>
          </cell>
          <cell r="DI35">
            <v>359.9118011498889</v>
          </cell>
        </row>
        <row r="36">
          <cell r="B36" t="str">
            <v>Operating EPS from Continuing Operations</v>
          </cell>
        </row>
        <row r="37">
          <cell r="B37" t="str">
            <v>(Gain)/loss on asset sales</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-11.79628708424976</v>
          </cell>
          <cell r="AT37">
            <v>-9.9510000000000005</v>
          </cell>
          <cell r="AU37">
            <v>-21.747287084249763</v>
          </cell>
          <cell r="AW37">
            <v>0</v>
          </cell>
          <cell r="AX37">
            <v>0</v>
          </cell>
          <cell r="AY37">
            <v>0</v>
          </cell>
          <cell r="AZ37">
            <v>0</v>
          </cell>
          <cell r="BA37">
            <v>0</v>
          </cell>
          <cell r="BB37">
            <v>0</v>
          </cell>
          <cell r="BC37">
            <v>-11.79628708424976</v>
          </cell>
          <cell r="BD37">
            <v>-9.9510000000000005</v>
          </cell>
          <cell r="BE37">
            <v>0</v>
          </cell>
          <cell r="BF37">
            <v>-21.747287084249763</v>
          </cell>
          <cell r="BG37">
            <v>0</v>
          </cell>
          <cell r="BH37">
            <v>0</v>
          </cell>
          <cell r="BI37">
            <v>0</v>
          </cell>
          <cell r="BJ37">
            <v>-9.1021693587288635</v>
          </cell>
          <cell r="BK37">
            <v>-9.1021693587288635</v>
          </cell>
          <cell r="BL37">
            <v>-0.40956183877216462</v>
          </cell>
          <cell r="BM37">
            <v>-1.5923532953545487</v>
          </cell>
          <cell r="BN37">
            <v>5.1329899245148511E-3</v>
          </cell>
          <cell r="BO37">
            <v>0.50892500818687936</v>
          </cell>
          <cell r="BP37">
            <v>-1.487857136015319</v>
          </cell>
          <cell r="BQ37">
            <v>-124.53400000000001</v>
          </cell>
          <cell r="BR37">
            <v>-3.8769999999999998</v>
          </cell>
          <cell r="BS37">
            <v>-1.0259438470728786</v>
          </cell>
          <cell r="BT37">
            <v>-0.22977235254368192</v>
          </cell>
          <cell r="BU37">
            <v>-129.66671619961656</v>
          </cell>
          <cell r="BV37">
            <v>7.1980129065994769E-2</v>
          </cell>
          <cell r="BW37">
            <v>-1.224</v>
          </cell>
          <cell r="BX37">
            <v>-5.5E-2</v>
          </cell>
          <cell r="BY37">
            <v>0.42399999999999999</v>
          </cell>
          <cell r="BZ37">
            <v>-0.78301987093400527</v>
          </cell>
          <cell r="CA37">
            <v>-0.73199999999999998</v>
          </cell>
          <cell r="CB37">
            <v>-5.4230400949058719E-2</v>
          </cell>
          <cell r="CC37">
            <v>0.29035432741392886</v>
          </cell>
          <cell r="CD37">
            <v>8.5052848668781905E-2</v>
          </cell>
          <cell r="CE37">
            <v>-0.41082322486634792</v>
          </cell>
          <cell r="CF37">
            <v>-3.8310220538823422E-2</v>
          </cell>
          <cell r="CG37">
            <v>0.54815179366887345</v>
          </cell>
          <cell r="CH37">
            <v>0.20821750287830662</v>
          </cell>
          <cell r="CI37">
            <v>0</v>
          </cell>
          <cell r="CJ37">
            <v>0.71805907600835672</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row>
        <row r="38">
          <cell r="B38" t="str">
            <v>Early extinguishment of debt &amp; related charges</v>
          </cell>
          <cell r="D38">
            <v>0</v>
          </cell>
          <cell r="E38">
            <v>0</v>
          </cell>
          <cell r="F38">
            <v>-0.79700000000000004</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10.323054880707659</v>
          </cell>
          <cell r="Y38">
            <v>0</v>
          </cell>
          <cell r="Z38">
            <v>0</v>
          </cell>
          <cell r="AA38">
            <v>10.323054880707659</v>
          </cell>
          <cell r="AB38">
            <v>0</v>
          </cell>
          <cell r="AC38">
            <v>0</v>
          </cell>
          <cell r="AD38">
            <v>0</v>
          </cell>
          <cell r="AE38">
            <v>0</v>
          </cell>
          <cell r="AF38">
            <v>0</v>
          </cell>
          <cell r="AG38">
            <v>0</v>
          </cell>
          <cell r="AH38">
            <v>0</v>
          </cell>
          <cell r="AI38">
            <v>0</v>
          </cell>
          <cell r="AJ38">
            <v>3.1917389168398413</v>
          </cell>
          <cell r="AK38">
            <v>3.1917389168398413</v>
          </cell>
          <cell r="AL38">
            <v>0</v>
          </cell>
          <cell r="AM38">
            <v>0</v>
          </cell>
          <cell r="AN38">
            <v>0</v>
          </cell>
          <cell r="AO38">
            <v>0</v>
          </cell>
          <cell r="AP38">
            <v>0</v>
          </cell>
          <cell r="AQ38">
            <v>0</v>
          </cell>
          <cell r="AR38">
            <v>0</v>
          </cell>
          <cell r="AS38">
            <v>0</v>
          </cell>
          <cell r="AT38">
            <v>0</v>
          </cell>
          <cell r="AU38">
            <v>0</v>
          </cell>
          <cell r="AW38">
            <v>0</v>
          </cell>
          <cell r="AX38">
            <v>0</v>
          </cell>
          <cell r="AY38">
            <v>0</v>
          </cell>
          <cell r="AZ38">
            <v>0</v>
          </cell>
          <cell r="BA38">
            <v>0</v>
          </cell>
          <cell r="BB38">
            <v>0</v>
          </cell>
          <cell r="BC38">
            <v>0</v>
          </cell>
          <cell r="BD38">
            <v>0</v>
          </cell>
          <cell r="BE38">
            <v>0</v>
          </cell>
          <cell r="BF38">
            <v>0</v>
          </cell>
          <cell r="BG38">
            <v>2.8</v>
          </cell>
          <cell r="BH38">
            <v>0</v>
          </cell>
          <cell r="BI38">
            <v>2.4324000000000003</v>
          </cell>
          <cell r="BJ38">
            <v>0</v>
          </cell>
          <cell r="BK38">
            <v>5.2324000000000002</v>
          </cell>
          <cell r="BL38">
            <v>0.46658167560721148</v>
          </cell>
          <cell r="BM38">
            <v>0</v>
          </cell>
          <cell r="BN38">
            <v>0</v>
          </cell>
          <cell r="BO38">
            <v>0</v>
          </cell>
          <cell r="BP38">
            <v>0.46658167560721148</v>
          </cell>
          <cell r="BQ38">
            <v>0.38600336297029625</v>
          </cell>
          <cell r="BR38">
            <v>6.7930000000000001</v>
          </cell>
          <cell r="BS38">
            <v>6.2160000000000002</v>
          </cell>
          <cell r="BT38">
            <v>-16.635000000000002</v>
          </cell>
          <cell r="BU38">
            <v>-3.2399966370297051</v>
          </cell>
          <cell r="BV38">
            <v>-10.25</v>
          </cell>
          <cell r="BW38">
            <v>0.16396575319603457</v>
          </cell>
          <cell r="BX38">
            <v>0.32600000000000001</v>
          </cell>
          <cell r="BY38">
            <v>0</v>
          </cell>
          <cell r="BZ38">
            <v>-9.7600342468039649</v>
          </cell>
          <cell r="CA38">
            <v>0</v>
          </cell>
          <cell r="CB38">
            <v>0</v>
          </cell>
          <cell r="CC38">
            <v>0</v>
          </cell>
          <cell r="CD38">
            <v>0</v>
          </cell>
          <cell r="CE38">
            <v>0</v>
          </cell>
          <cell r="CF38">
            <v>0</v>
          </cell>
          <cell r="CG38">
            <v>0</v>
          </cell>
          <cell r="CH38">
            <v>0</v>
          </cell>
          <cell r="CI38">
            <v>15.064</v>
          </cell>
          <cell r="CJ38">
            <v>15.064</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row>
        <row r="39">
          <cell r="B39" t="str">
            <v>Other one-time items</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21.84128708424976</v>
          </cell>
          <cell r="AT39">
            <v>0</v>
          </cell>
          <cell r="AU39">
            <v>21.84128708424976</v>
          </cell>
          <cell r="AW39">
            <v>0</v>
          </cell>
          <cell r="AX39">
            <v>0</v>
          </cell>
          <cell r="AY39">
            <v>0</v>
          </cell>
          <cell r="AZ39">
            <v>0</v>
          </cell>
          <cell r="BA39">
            <v>0</v>
          </cell>
          <cell r="BB39">
            <v>0</v>
          </cell>
          <cell r="BC39">
            <v>21.84128708424976</v>
          </cell>
          <cell r="BD39">
            <v>0</v>
          </cell>
          <cell r="BE39">
            <v>-3.0617242320599916</v>
          </cell>
          <cell r="BF39">
            <v>18.77956285218977</v>
          </cell>
          <cell r="BG39">
            <v>0</v>
          </cell>
          <cell r="BH39">
            <v>0</v>
          </cell>
          <cell r="BI39">
            <v>0</v>
          </cell>
          <cell r="BJ39">
            <v>0</v>
          </cell>
          <cell r="BK39">
            <v>0</v>
          </cell>
          <cell r="BL39">
            <v>0</v>
          </cell>
          <cell r="BM39">
            <v>0</v>
          </cell>
          <cell r="BN39">
            <v>0</v>
          </cell>
          <cell r="BO39">
            <v>0</v>
          </cell>
          <cell r="BP39">
            <v>0</v>
          </cell>
          <cell r="BQ39">
            <v>-0.38600336297029969</v>
          </cell>
          <cell r="BR39">
            <v>0</v>
          </cell>
          <cell r="BS39">
            <v>1.0259438470728786</v>
          </cell>
          <cell r="BT39">
            <v>4.298772352543681</v>
          </cell>
          <cell r="BU39">
            <v>4.9387128366462596</v>
          </cell>
          <cell r="BV39">
            <v>-7.1980129065994769E-2</v>
          </cell>
          <cell r="BW39">
            <v>-0.16396575319603457</v>
          </cell>
          <cell r="BX39">
            <v>0.18200000000000038</v>
          </cell>
          <cell r="BY39">
            <v>0</v>
          </cell>
          <cell r="BZ39">
            <v>-5.3945882262028955E-2</v>
          </cell>
          <cell r="CA39">
            <v>0</v>
          </cell>
          <cell r="CB39">
            <v>0</v>
          </cell>
          <cell r="CC39">
            <v>0</v>
          </cell>
          <cell r="CD39">
            <v>0</v>
          </cell>
          <cell r="CE39">
            <v>0</v>
          </cell>
          <cell r="CF39">
            <v>0</v>
          </cell>
          <cell r="CG39">
            <v>0</v>
          </cell>
          <cell r="CH39">
            <v>0</v>
          </cell>
          <cell r="CI39">
            <v>17.903999999999996</v>
          </cell>
          <cell r="CJ39">
            <v>17.903999999999996</v>
          </cell>
          <cell r="CK39">
            <v>22.492000000000001</v>
          </cell>
          <cell r="CL39">
            <v>13.634</v>
          </cell>
          <cell r="CM39">
            <v>2.4239999999999995</v>
          </cell>
          <cell r="CN39">
            <v>-27.82</v>
          </cell>
          <cell r="CO39">
            <v>10.730000000000004</v>
          </cell>
          <cell r="CP39">
            <v>0</v>
          </cell>
          <cell r="CQ39">
            <v>0</v>
          </cell>
          <cell r="CR39">
            <v>0</v>
          </cell>
          <cell r="CS39">
            <v>0</v>
          </cell>
          <cell r="CT39">
            <v>0</v>
          </cell>
          <cell r="CU39">
            <v>4.4000000000000004</v>
          </cell>
          <cell r="CV39">
            <v>-8.7999999999999989</v>
          </cell>
          <cell r="CW39">
            <v>-8.7999999999999989</v>
          </cell>
          <cell r="CX39">
            <v>-8.7999999999999989</v>
          </cell>
          <cell r="CY39">
            <v>-21.999999999999996</v>
          </cell>
          <cell r="CZ39">
            <v>-4.3999999999999995</v>
          </cell>
          <cell r="DA39">
            <v>-4.3999999999999995</v>
          </cell>
          <cell r="DB39">
            <v>-4.3999999999999995</v>
          </cell>
          <cell r="DC39">
            <v>-4.3999999999999995</v>
          </cell>
          <cell r="DD39">
            <v>-17.599999999999998</v>
          </cell>
          <cell r="DE39">
            <v>-2.1999999999999997</v>
          </cell>
          <cell r="DF39">
            <v>-2.1999999999999997</v>
          </cell>
          <cell r="DG39">
            <v>-2.1999999999999997</v>
          </cell>
          <cell r="DH39">
            <v>-2.1999999999999997</v>
          </cell>
          <cell r="DI39">
            <v>-8.7999999999999989</v>
          </cell>
        </row>
        <row r="40">
          <cell r="B40" t="str">
            <v>Operating net income</v>
          </cell>
          <cell r="D40">
            <v>4.6439999999999833</v>
          </cell>
          <cell r="E40">
            <v>11.991000000000005</v>
          </cell>
          <cell r="F40">
            <v>21.880999999999986</v>
          </cell>
          <cell r="G40">
            <v>32.245000000000005</v>
          </cell>
          <cell r="H40">
            <v>49.085999999999977</v>
          </cell>
          <cell r="I40">
            <v>63.331000000000081</v>
          </cell>
          <cell r="J40">
            <v>84.085999999999999</v>
          </cell>
          <cell r="K40">
            <v>108.32200000000003</v>
          </cell>
          <cell r="L40">
            <v>136.84399999999988</v>
          </cell>
          <cell r="M40">
            <v>30.954999999999981</v>
          </cell>
          <cell r="N40">
            <v>47.706999999999994</v>
          </cell>
          <cell r="O40">
            <v>38.757000000000026</v>
          </cell>
          <cell r="P40">
            <v>32.426000000000016</v>
          </cell>
          <cell r="Q40">
            <v>149.84499999999997</v>
          </cell>
          <cell r="R40">
            <v>34.291999999999994</v>
          </cell>
          <cell r="S40">
            <v>50.487000000000023</v>
          </cell>
          <cell r="T40">
            <v>43.823000000000008</v>
          </cell>
          <cell r="U40">
            <v>39.064999999999998</v>
          </cell>
          <cell r="V40">
            <v>167.66699999999989</v>
          </cell>
          <cell r="W40">
            <v>40.17800000000004</v>
          </cell>
          <cell r="X40">
            <v>59.063054880707703</v>
          </cell>
          <cell r="Y40">
            <v>54.137999999999963</v>
          </cell>
          <cell r="Z40">
            <v>51.922000000000004</v>
          </cell>
          <cell r="AA40">
            <v>205.30105488070768</v>
          </cell>
          <cell r="AB40">
            <v>50.466000000000044</v>
          </cell>
          <cell r="AC40">
            <v>69.236000000000018</v>
          </cell>
          <cell r="AD40">
            <v>66.616</v>
          </cell>
          <cell r="AE40">
            <v>60.117999999999945</v>
          </cell>
          <cell r="AF40">
            <v>246.43599999999972</v>
          </cell>
          <cell r="AG40">
            <v>59.656000000000006</v>
          </cell>
          <cell r="AH40">
            <v>78.064999999999955</v>
          </cell>
          <cell r="AI40">
            <v>75.920999999999978</v>
          </cell>
          <cell r="AJ40">
            <v>72.973738916839878</v>
          </cell>
          <cell r="AK40">
            <v>286.61573891683992</v>
          </cell>
          <cell r="AL40">
            <v>71.310999999999993</v>
          </cell>
          <cell r="AM40">
            <v>90.475000000000009</v>
          </cell>
          <cell r="AN40">
            <v>89.28300000000003</v>
          </cell>
          <cell r="AO40">
            <v>74.029999999999916</v>
          </cell>
          <cell r="AP40">
            <v>325.09899999999993</v>
          </cell>
          <cell r="AQ40">
            <v>78.752000000000052</v>
          </cell>
          <cell r="AR40">
            <v>99.76300000000009</v>
          </cell>
          <cell r="AS40">
            <v>96.817000000000021</v>
          </cell>
          <cell r="AT40">
            <v>77.19999999999996</v>
          </cell>
          <cell r="AU40">
            <v>352.5320000000001</v>
          </cell>
          <cell r="AW40">
            <v>90.475000000000009</v>
          </cell>
          <cell r="AX40">
            <v>89.28300000000003</v>
          </cell>
          <cell r="AY40">
            <v>74.029999999999916</v>
          </cell>
          <cell r="AZ40">
            <v>78.752000000000052</v>
          </cell>
          <cell r="BA40">
            <v>332.53999999999974</v>
          </cell>
          <cell r="BB40">
            <v>99.76300000000009</v>
          </cell>
          <cell r="BC40">
            <v>96.817000000000021</v>
          </cell>
          <cell r="BD40">
            <v>77.19999999999996</v>
          </cell>
          <cell r="BE40">
            <v>72.807275767940112</v>
          </cell>
          <cell r="BF40">
            <v>346.58727576794013</v>
          </cell>
          <cell r="BG40">
            <v>89.56300000000013</v>
          </cell>
          <cell r="BH40">
            <v>77.144999999999953</v>
          </cell>
          <cell r="BI40">
            <v>65.829400000000078</v>
          </cell>
          <cell r="BJ40">
            <v>-51.323169358728897</v>
          </cell>
          <cell r="BK40">
            <v>181.21423064127131</v>
          </cell>
          <cell r="BL40">
            <v>65.720019836834823</v>
          </cell>
          <cell r="BM40">
            <v>11.490646704645515</v>
          </cell>
          <cell r="BN40">
            <v>20.09213298992448</v>
          </cell>
          <cell r="BO40">
            <v>19.266925008186909</v>
          </cell>
          <cell r="BP40">
            <v>116.56972453959223</v>
          </cell>
          <cell r="BQ40">
            <v>37.073999999999913</v>
          </cell>
          <cell r="BR40">
            <v>24.83900000000002</v>
          </cell>
          <cell r="BS40">
            <v>16.661999999999914</v>
          </cell>
          <cell r="BT40">
            <v>16.477000000000054</v>
          </cell>
          <cell r="BU40">
            <v>95.051999999999936</v>
          </cell>
          <cell r="BV40">
            <v>37.273999999999916</v>
          </cell>
          <cell r="BW40">
            <v>31.369000000000003</v>
          </cell>
          <cell r="BX40">
            <v>25.272000000000073</v>
          </cell>
          <cell r="BY40">
            <v>31.007999999999893</v>
          </cell>
          <cell r="BZ40">
            <v>124.92299999999939</v>
          </cell>
          <cell r="CA40">
            <v>46.207999999999885</v>
          </cell>
          <cell r="CB40">
            <v>39.602769599050944</v>
          </cell>
          <cell r="CC40">
            <v>35.583354327413979</v>
          </cell>
          <cell r="CD40">
            <v>41.385052848668764</v>
          </cell>
          <cell r="CE40">
            <v>162.77917677513403</v>
          </cell>
          <cell r="CF40">
            <v>56.083689779461317</v>
          </cell>
          <cell r="CG40">
            <v>50.742151793668924</v>
          </cell>
          <cell r="CH40">
            <v>43.68121750287834</v>
          </cell>
          <cell r="CI40">
            <v>65.041999999999859</v>
          </cell>
          <cell r="CJ40">
            <v>215.54905907600906</v>
          </cell>
          <cell r="CK40">
            <v>61.577000000000261</v>
          </cell>
          <cell r="CL40">
            <v>53.60899999999998</v>
          </cell>
          <cell r="CM40">
            <v>45.157000000000103</v>
          </cell>
          <cell r="CN40">
            <v>27.08168999778848</v>
          </cell>
          <cell r="CO40">
            <v>187.42468999778947</v>
          </cell>
          <cell r="CP40">
            <v>63.421584289472179</v>
          </cell>
          <cell r="CQ40">
            <v>57.911458332979606</v>
          </cell>
          <cell r="CR40">
            <v>43.436975273955312</v>
          </cell>
          <cell r="CS40">
            <v>27.327245356246884</v>
          </cell>
          <cell r="CT40">
            <v>192.09726325265399</v>
          </cell>
          <cell r="CU40">
            <v>75.164331448607982</v>
          </cell>
          <cell r="CV40">
            <v>68.461398290013008</v>
          </cell>
          <cell r="CW40">
            <v>56.888087470210124</v>
          </cell>
          <cell r="CX40">
            <v>38.061718044885737</v>
          </cell>
          <cell r="CY40">
            <v>238.57553525371685</v>
          </cell>
          <cell r="CZ40">
            <v>89.451084299811825</v>
          </cell>
          <cell r="DA40">
            <v>81.788452002237037</v>
          </cell>
          <cell r="DB40">
            <v>71.535036230499742</v>
          </cell>
          <cell r="DC40">
            <v>54.002457329427394</v>
          </cell>
          <cell r="DD40">
            <v>296.77702986197596</v>
          </cell>
          <cell r="DE40">
            <v>104.81031070831909</v>
          </cell>
          <cell r="DF40">
            <v>95.253431338901123</v>
          </cell>
          <cell r="DG40">
            <v>85.888395434403648</v>
          </cell>
          <cell r="DH40">
            <v>65.159663668265068</v>
          </cell>
          <cell r="DI40">
            <v>351.11180114988889</v>
          </cell>
          <cell r="DK40" t="str">
            <v>mstag:netIncomeAdjustedForConsensus</v>
          </cell>
          <cell r="DL40">
            <v>6</v>
          </cell>
          <cell r="DM40" t="str">
            <v>ISO4217:USD</v>
          </cell>
          <cell r="DN40" t="b">
            <v>0</v>
          </cell>
        </row>
        <row r="42">
          <cell r="B42" t="str">
            <v>Operating EPS - Fully Diluted</v>
          </cell>
          <cell r="E42">
            <v>6.9396342590727564E-2</v>
          </cell>
          <cell r="F42">
            <v>0.10164915369071789</v>
          </cell>
          <cell r="G42">
            <v>0.14057189207908502</v>
          </cell>
          <cell r="H42">
            <v>0.20351363264278055</v>
          </cell>
          <cell r="I42">
            <v>0.26041885118159158</v>
          </cell>
          <cell r="J42">
            <v>0.3383602889619241</v>
          </cell>
          <cell r="K42">
            <v>0.43036667103700094</v>
          </cell>
          <cell r="L42">
            <v>0.53543578206006015</v>
          </cell>
          <cell r="M42">
            <v>0.11992762887716274</v>
          </cell>
          <cell r="N42">
            <v>0.1859943781018881</v>
          </cell>
          <cell r="O42">
            <v>0.15109175753275675</v>
          </cell>
          <cell r="P42">
            <v>0.12712738221722142</v>
          </cell>
          <cell r="Q42">
            <v>0.58747309530437086</v>
          </cell>
          <cell r="R42">
            <v>0.13995877803399789</v>
          </cell>
          <cell r="S42">
            <v>0.2060870523595901</v>
          </cell>
          <cell r="T42">
            <v>0.17820240162331197</v>
          </cell>
          <cell r="U42">
            <v>0.15332354741981569</v>
          </cell>
          <cell r="V42">
            <v>0.67805335716625448</v>
          </cell>
          <cell r="W42">
            <v>0.15201837326946593</v>
          </cell>
          <cell r="X42">
            <v>0.22448899612583695</v>
          </cell>
          <cell r="Y42">
            <v>0.20483153932010353</v>
          </cell>
          <cell r="Z42">
            <v>0.19551301361609835</v>
          </cell>
          <cell r="AA42">
            <v>0.77662295539153503</v>
          </cell>
          <cell r="AB42">
            <v>0.19161999506388488</v>
          </cell>
          <cell r="AC42">
            <v>0.2656170274801371</v>
          </cell>
          <cell r="AD42">
            <v>0.25540888195352368</v>
          </cell>
          <cell r="AE42">
            <v>0.2332505625824472</v>
          </cell>
          <cell r="AF42">
            <v>0.94549974869648179</v>
          </cell>
          <cell r="AG42">
            <v>0.23189442382072264</v>
          </cell>
          <cell r="AH42">
            <v>0.30376313751736411</v>
          </cell>
          <cell r="AI42">
            <v>0.29497744571235407</v>
          </cell>
          <cell r="AJ42">
            <v>0.28973584415670378</v>
          </cell>
          <cell r="AK42">
            <v>1.1201002755812788</v>
          </cell>
          <cell r="AL42">
            <v>0.28970193335039585</v>
          </cell>
          <cell r="AM42">
            <v>0.36605398057152572</v>
          </cell>
          <cell r="AN42">
            <v>0.36127071733782223</v>
          </cell>
          <cell r="AO42">
            <v>0.30008715215144172</v>
          </cell>
          <cell r="AP42">
            <v>1.3171181318013496</v>
          </cell>
          <cell r="AQ42">
            <v>0.31834553458458503</v>
          </cell>
          <cell r="AR42">
            <v>0.40083491369612068</v>
          </cell>
          <cell r="AS42">
            <v>0.38625755024854991</v>
          </cell>
          <cell r="AT42">
            <v>0.30896189603352142</v>
          </cell>
          <cell r="AU42">
            <v>1.4159276396118505</v>
          </cell>
          <cell r="AW42">
            <v>0.36605398057152572</v>
          </cell>
          <cell r="AX42">
            <v>0.36127071733782223</v>
          </cell>
          <cell r="AY42">
            <v>0.30008715215144172</v>
          </cell>
          <cell r="AZ42">
            <v>0.31834553458458503</v>
          </cell>
          <cell r="BA42">
            <v>1.3458077061999862</v>
          </cell>
          <cell r="BB42">
            <v>0.40083491369612068</v>
          </cell>
          <cell r="BC42">
            <v>0.38625755024854991</v>
          </cell>
          <cell r="BD42">
            <v>0.30896189603352142</v>
          </cell>
          <cell r="BE42">
            <v>0.2975405328546738</v>
          </cell>
          <cell r="BF42">
            <v>1.394565885267758</v>
          </cell>
          <cell r="BG42">
            <v>0.36793607756141705</v>
          </cell>
          <cell r="BH42">
            <v>0.31673790138815305</v>
          </cell>
          <cell r="BI42">
            <v>0.27063558625226147</v>
          </cell>
          <cell r="BJ42">
            <v>-0.21317238133872005</v>
          </cell>
          <cell r="BK42">
            <v>0.74469561371443782</v>
          </cell>
          <cell r="BL42">
            <v>0.26890351815398861</v>
          </cell>
          <cell r="BM42">
            <v>4.6559668001027232E-2</v>
          </cell>
          <cell r="BN42">
            <v>8.1962873780475731E-2</v>
          </cell>
          <cell r="BO42">
            <v>7.8924638937673208E-2</v>
          </cell>
          <cell r="BP42">
            <v>0.47556380590485531</v>
          </cell>
          <cell r="BQ42">
            <v>0.15210844609287139</v>
          </cell>
          <cell r="BR42">
            <v>0.10106274768286837</v>
          </cell>
          <cell r="BS42">
            <v>6.8062335328117937E-2</v>
          </cell>
          <cell r="BT42">
            <v>6.7427547203784702E-2</v>
          </cell>
          <cell r="BU42">
            <v>0.38848903221060094</v>
          </cell>
          <cell r="BV42">
            <v>0.15199670512051966</v>
          </cell>
          <cell r="BW42">
            <v>0.12756085460770841</v>
          </cell>
          <cell r="BX42">
            <v>0.10210331536801988</v>
          </cell>
          <cell r="BY42">
            <v>0.12444465848754427</v>
          </cell>
          <cell r="BZ42">
            <v>0.50583281031724892</v>
          </cell>
          <cell r="CA42">
            <v>0.18493038296373626</v>
          </cell>
          <cell r="CB42">
            <v>0.1576555927955276</v>
          </cell>
          <cell r="CC42">
            <v>0.14178216823954057</v>
          </cell>
          <cell r="CD42">
            <v>0.16398432808975941</v>
          </cell>
          <cell r="CE42">
            <v>0.64824885416968947</v>
          </cell>
          <cell r="CF42">
            <v>0.22103950221876786</v>
          </cell>
          <cell r="CG42">
            <v>0.1988056175433186</v>
          </cell>
          <cell r="CH42">
            <v>0.17121563436947657</v>
          </cell>
          <cell r="CI42">
            <v>0.25403855768028943</v>
          </cell>
          <cell r="CJ42">
            <v>0.84516779555911126</v>
          </cell>
          <cell r="CK42">
            <v>0.24081830589873351</v>
          </cell>
          <cell r="CL42">
            <v>0.20938561887278828</v>
          </cell>
          <cell r="CM42">
            <v>0.1758559723347253</v>
          </cell>
          <cell r="CN42">
            <v>0.10470298821636553</v>
          </cell>
          <cell r="CO42">
            <v>0.72987143516202768</v>
          </cell>
          <cell r="CP42">
            <v>0.24519996326175006</v>
          </cell>
          <cell r="CQ42">
            <v>0.22389676345625623</v>
          </cell>
          <cell r="CR42">
            <v>0.16793564621096013</v>
          </cell>
          <cell r="CS42">
            <v>0.10565235215211827</v>
          </cell>
          <cell r="CT42">
            <v>0.74268472508108474</v>
          </cell>
          <cell r="CU42">
            <v>0.29059966754649585</v>
          </cell>
          <cell r="CV42">
            <v>0.26468484717979179</v>
          </cell>
          <cell r="CW42">
            <v>0.21994021615827464</v>
          </cell>
          <cell r="CX42">
            <v>0.14715387467597971</v>
          </cell>
          <cell r="CY42">
            <v>0.92237860556054196</v>
          </cell>
          <cell r="CZ42">
            <v>0.3458349839374551</v>
          </cell>
          <cell r="DA42">
            <v>0.31620978332313482</v>
          </cell>
          <cell r="DB42">
            <v>0.27656811875887111</v>
          </cell>
          <cell r="DC42">
            <v>0.20878381865679538</v>
          </cell>
          <cell r="DD42">
            <v>1.1473967046762563</v>
          </cell>
          <cell r="DE42">
            <v>0.40521668802585398</v>
          </cell>
          <cell r="DF42">
            <v>0.36826796628496156</v>
          </cell>
          <cell r="DG42">
            <v>0.33206094803630304</v>
          </cell>
          <cell r="DH42">
            <v>0.25191971024695375</v>
          </cell>
          <cell r="DI42">
            <v>1.3574653125940721</v>
          </cell>
          <cell r="DK42" t="str">
            <v>mstag:adjEpsForConsensus</v>
          </cell>
          <cell r="DL42">
            <v>0</v>
          </cell>
          <cell r="DM42" t="str">
            <v>ISO4217:USD</v>
          </cell>
          <cell r="DN42" t="b">
            <v>0</v>
          </cell>
          <cell r="DO42" t="b">
            <v>0</v>
          </cell>
        </row>
        <row r="43">
          <cell r="B43" t="str">
            <v>Operating EPS - Ex-Swaps</v>
          </cell>
          <cell r="E43">
            <v>6.9396342590727564E-2</v>
          </cell>
          <cell r="F43">
            <v>0.10164915369071789</v>
          </cell>
          <cell r="G43">
            <v>0.14057189207908502</v>
          </cell>
          <cell r="H43">
            <v>0.20351363264278055</v>
          </cell>
          <cell r="I43">
            <v>0.26041885118159158</v>
          </cell>
          <cell r="J43">
            <v>0.3383602889619241</v>
          </cell>
          <cell r="K43">
            <v>0.43036667103700094</v>
          </cell>
          <cell r="L43">
            <v>0.53543578206006015</v>
          </cell>
          <cell r="M43">
            <v>0.11992762887716274</v>
          </cell>
          <cell r="N43">
            <v>0.1859943781018881</v>
          </cell>
          <cell r="O43">
            <v>0.15109175753275675</v>
          </cell>
          <cell r="P43">
            <v>0.12712738221722142</v>
          </cell>
          <cell r="Q43">
            <v>0.58747309530437086</v>
          </cell>
          <cell r="R43">
            <v>0.13995877803399789</v>
          </cell>
          <cell r="S43">
            <v>0.2060870523595901</v>
          </cell>
          <cell r="T43">
            <v>0.17820240162331197</v>
          </cell>
          <cell r="U43">
            <v>0.15332354741981569</v>
          </cell>
          <cell r="V43">
            <v>0.67805335716625448</v>
          </cell>
          <cell r="W43">
            <v>0.15201837326946593</v>
          </cell>
          <cell r="X43">
            <v>0.22448899612583695</v>
          </cell>
          <cell r="Y43">
            <v>0.20483153932010353</v>
          </cell>
          <cell r="Z43">
            <v>0.19551301361609835</v>
          </cell>
          <cell r="AA43">
            <v>0.77662295539153503</v>
          </cell>
          <cell r="AB43">
            <v>0.19161999506388488</v>
          </cell>
          <cell r="AC43">
            <v>0.2656170274801371</v>
          </cell>
          <cell r="AD43">
            <v>0.25540888195352368</v>
          </cell>
          <cell r="AE43">
            <v>0.2332505625824472</v>
          </cell>
          <cell r="AF43">
            <v>0.94549974869648179</v>
          </cell>
          <cell r="AG43">
            <v>0.23189442382072264</v>
          </cell>
          <cell r="AH43">
            <v>0.30376313751736411</v>
          </cell>
          <cell r="AI43">
            <v>0.29497744571235407</v>
          </cell>
          <cell r="AJ43">
            <v>0.28973584415670378</v>
          </cell>
          <cell r="AK43">
            <v>1.1201002755812788</v>
          </cell>
          <cell r="AL43">
            <v>0.28970193335039585</v>
          </cell>
          <cell r="AM43">
            <v>0.36605398057152572</v>
          </cell>
          <cell r="AN43">
            <v>0.36127071733782223</v>
          </cell>
          <cell r="AO43">
            <v>0.30008715215144172</v>
          </cell>
          <cell r="AP43">
            <v>1.3171181318013496</v>
          </cell>
          <cell r="AQ43">
            <v>0.31834553458458503</v>
          </cell>
          <cell r="AR43">
            <v>0.40083491369612068</v>
          </cell>
          <cell r="AS43">
            <v>0.38625755024854991</v>
          </cell>
          <cell r="AT43">
            <v>0.30896189603352142</v>
          </cell>
          <cell r="AU43">
            <v>1.4159276396118505</v>
          </cell>
          <cell r="AW43">
            <v>0.36605398057152572</v>
          </cell>
          <cell r="AX43">
            <v>0.36127071733782223</v>
          </cell>
          <cell r="AY43">
            <v>0.30008715215144172</v>
          </cell>
          <cell r="AZ43">
            <v>0.31834553458458503</v>
          </cell>
          <cell r="BA43">
            <v>1.3458077061999862</v>
          </cell>
          <cell r="BB43">
            <v>0.40083491369612068</v>
          </cell>
          <cell r="BC43">
            <v>0.38625755024854991</v>
          </cell>
          <cell r="BD43">
            <v>0.30896189603352142</v>
          </cell>
          <cell r="BE43">
            <v>0.2975405328546738</v>
          </cell>
          <cell r="BF43">
            <v>1.394565885267758</v>
          </cell>
          <cell r="BG43">
            <v>0.36793607756141705</v>
          </cell>
          <cell r="BH43">
            <v>0.31673790138815305</v>
          </cell>
          <cell r="BI43">
            <v>0.27063558625226147</v>
          </cell>
          <cell r="BJ43">
            <v>-0.21317238133872005</v>
          </cell>
          <cell r="BK43">
            <v>0.74469561371443782</v>
          </cell>
          <cell r="BL43">
            <v>0.26890351815398861</v>
          </cell>
          <cell r="BM43">
            <v>4.6559668001027232E-2</v>
          </cell>
          <cell r="BN43">
            <v>8.1962873780475731E-2</v>
          </cell>
          <cell r="BO43">
            <v>7.8924638937673208E-2</v>
          </cell>
          <cell r="BP43">
            <v>0.47556380590485531</v>
          </cell>
          <cell r="BQ43">
            <v>0.15210844609287139</v>
          </cell>
          <cell r="BR43">
            <v>0.10106274768286837</v>
          </cell>
          <cell r="BS43">
            <v>6.8062335328117937E-2</v>
          </cell>
          <cell r="BT43">
            <v>6.7427547203784702E-2</v>
          </cell>
          <cell r="BU43">
            <v>0.38848903221060094</v>
          </cell>
          <cell r="BV43">
            <v>0.15199670512051966</v>
          </cell>
          <cell r="BW43">
            <v>0.12756085460770841</v>
          </cell>
          <cell r="BX43">
            <v>0.10210331536801988</v>
          </cell>
          <cell r="BY43">
            <v>0.12444465848754427</v>
          </cell>
          <cell r="BZ43">
            <v>0.50583281031724892</v>
          </cell>
          <cell r="CA43">
            <v>0.18493038296373626</v>
          </cell>
          <cell r="CB43">
            <v>0.1576555927955276</v>
          </cell>
          <cell r="CC43">
            <v>0.14178216823954057</v>
          </cell>
          <cell r="CD43">
            <v>0.16398432808975941</v>
          </cell>
          <cell r="CE43">
            <v>0.64824885416968947</v>
          </cell>
          <cell r="CF43">
            <v>0.22103950221876786</v>
          </cell>
          <cell r="CG43">
            <v>0.1988056175433186</v>
          </cell>
          <cell r="CH43">
            <v>0.17121563436947657</v>
          </cell>
          <cell r="CI43">
            <v>0.29645340376351931</v>
          </cell>
          <cell r="CJ43">
            <v>0.88622534603022129</v>
          </cell>
          <cell r="CK43">
            <v>0.3330609265722182</v>
          </cell>
          <cell r="CL43">
            <v>0.26651074165170596</v>
          </cell>
          <cell r="CM43">
            <v>0.24243100405741078</v>
          </cell>
          <cell r="CN43">
            <v>0.1527554932828134</v>
          </cell>
          <cell r="CO43">
            <v>0.99241455586850746</v>
          </cell>
          <cell r="CP43">
            <v>0.29489451231455888</v>
          </cell>
          <cell r="CQ43">
            <v>0.27381702351460058</v>
          </cell>
          <cell r="CR43">
            <v>0.21954784436186317</v>
          </cell>
          <cell r="CS43">
            <v>0.15510055735313144</v>
          </cell>
          <cell r="CT43">
            <v>0.94303822255790826</v>
          </cell>
          <cell r="CU43">
            <v>0.33997121181337081</v>
          </cell>
          <cell r="CV43">
            <v>0.26468484717979179</v>
          </cell>
          <cell r="CW43">
            <v>0.21994021615827464</v>
          </cell>
          <cell r="CX43">
            <v>0.14715387467597971</v>
          </cell>
          <cell r="CY43">
            <v>0.97343438443993446</v>
          </cell>
          <cell r="CZ43">
            <v>0.3458349839374551</v>
          </cell>
          <cell r="DA43">
            <v>0.31620978332313482</v>
          </cell>
          <cell r="DB43">
            <v>0.27656811875887111</v>
          </cell>
          <cell r="DC43">
            <v>0.20878381865679538</v>
          </cell>
          <cell r="DD43">
            <v>1.1473967046762563</v>
          </cell>
          <cell r="DE43">
            <v>0.40521668802585398</v>
          </cell>
          <cell r="DF43">
            <v>0.36826796628496156</v>
          </cell>
          <cell r="DG43">
            <v>0.33206094803630304</v>
          </cell>
          <cell r="DH43">
            <v>0.25191971024695375</v>
          </cell>
          <cell r="DI43">
            <v>1.3574653125940721</v>
          </cell>
        </row>
        <row r="44">
          <cell r="B44" t="str">
            <v>Reported EPS - Fully Diluted</v>
          </cell>
          <cell r="E44">
            <v>6.9396342590727564E-2</v>
          </cell>
          <cell r="F44">
            <v>0.10535165245638227</v>
          </cell>
          <cell r="G44">
            <v>0.14057189207908502</v>
          </cell>
          <cell r="H44">
            <v>0.19294117281229753</v>
          </cell>
          <cell r="I44">
            <v>0.26041885118159158</v>
          </cell>
          <cell r="J44">
            <v>0.3383602889619241</v>
          </cell>
          <cell r="K44">
            <v>0.43036667103700094</v>
          </cell>
          <cell r="L44">
            <v>0.53543578206006015</v>
          </cell>
          <cell r="M44">
            <v>0.11992762887716274</v>
          </cell>
          <cell r="N44">
            <v>0.1859943781018881</v>
          </cell>
          <cell r="O44">
            <v>0.15109175753275675</v>
          </cell>
          <cell r="P44">
            <v>0.12712738221722142</v>
          </cell>
          <cell r="Q44">
            <v>0.58747309530437086</v>
          </cell>
          <cell r="R44">
            <v>0.13995877803399789</v>
          </cell>
          <cell r="S44">
            <v>0.2060870523595901</v>
          </cell>
          <cell r="T44">
            <v>0.17820240162331197</v>
          </cell>
          <cell r="U44">
            <v>0.15332354741981569</v>
          </cell>
          <cell r="V44">
            <v>0.67805335716625448</v>
          </cell>
          <cell r="W44">
            <v>0.15201837326946593</v>
          </cell>
          <cell r="X44">
            <v>0.18525275560623353</v>
          </cell>
          <cell r="Y44">
            <v>0.20483153932010353</v>
          </cell>
          <cell r="Z44">
            <v>0.19551301361609835</v>
          </cell>
          <cell r="AA44">
            <v>0.73757239427881882</v>
          </cell>
          <cell r="AB44">
            <v>0.19161999506388488</v>
          </cell>
          <cell r="AC44">
            <v>0.2656170274801371</v>
          </cell>
          <cell r="AD44">
            <v>0.25540888195352368</v>
          </cell>
          <cell r="AE44">
            <v>0.2332505625824472</v>
          </cell>
          <cell r="AF44">
            <v>0.94549974869648179</v>
          </cell>
          <cell r="AG44">
            <v>0.23189442382072264</v>
          </cell>
          <cell r="AH44">
            <v>0.30376313751736411</v>
          </cell>
          <cell r="AI44">
            <v>0.29497744571235407</v>
          </cell>
          <cell r="AJ44">
            <v>0.27706332410874179</v>
          </cell>
          <cell r="AK44">
            <v>1.1076268934360887</v>
          </cell>
          <cell r="AL44">
            <v>0.28970193335039585</v>
          </cell>
          <cell r="AM44">
            <v>0.36605398057152572</v>
          </cell>
          <cell r="AN44">
            <v>0.36127071733782223</v>
          </cell>
          <cell r="AO44">
            <v>0.30008715215144172</v>
          </cell>
          <cell r="AP44">
            <v>1.3171181318013496</v>
          </cell>
          <cell r="AQ44">
            <v>0.31834553458458503</v>
          </cell>
          <cell r="AR44">
            <v>0.40083491369612068</v>
          </cell>
          <cell r="AS44">
            <v>0.34618238687593267</v>
          </cell>
          <cell r="AT44">
            <v>0.35134010221355977</v>
          </cell>
          <cell r="AU44">
            <v>1.4181125891652211</v>
          </cell>
          <cell r="AW44">
            <v>0.36605398057152572</v>
          </cell>
          <cell r="AX44">
            <v>0.36127071733782223</v>
          </cell>
          <cell r="AY44">
            <v>0.30008715215144172</v>
          </cell>
          <cell r="AZ44">
            <v>0.31834553458458503</v>
          </cell>
          <cell r="BA44">
            <v>1.3458077061999862</v>
          </cell>
          <cell r="BB44">
            <v>0.40083491369612068</v>
          </cell>
          <cell r="BC44">
            <v>0.34618238687593267</v>
          </cell>
          <cell r="BD44">
            <v>0.35134010221355977</v>
          </cell>
          <cell r="BE44">
            <v>0.30871240758979512</v>
          </cell>
          <cell r="BF44">
            <v>1.4077544894518508</v>
          </cell>
          <cell r="BG44">
            <v>0.35828198175992171</v>
          </cell>
          <cell r="BH44">
            <v>0.3173948210099316</v>
          </cell>
          <cell r="BI44">
            <v>0.30601874691662584</v>
          </cell>
          <cell r="BJ44">
            <v>-0.23344921685170666</v>
          </cell>
          <cell r="BK44">
            <v>0.75100271225445947</v>
          </cell>
          <cell r="BL44">
            <v>0.26611702127659481</v>
          </cell>
          <cell r="BM44">
            <v>4.8242663922137753E-2</v>
          </cell>
          <cell r="BN44">
            <v>0.12431415902128183</v>
          </cell>
          <cell r="BO44">
            <v>5.1040890061363885E-2</v>
          </cell>
          <cell r="BP44">
            <v>0.48906449520437145</v>
          </cell>
          <cell r="BQ44">
            <v>0.54927092650184184</v>
          </cell>
          <cell r="BR44">
            <v>5.0439827812090672E-2</v>
          </cell>
          <cell r="BS44">
            <v>2.6155511529584414E-2</v>
          </cell>
          <cell r="BT44">
            <v>5.9537742566478369E-2</v>
          </cell>
          <cell r="BU44">
            <v>0.68346882139689602</v>
          </cell>
          <cell r="BV44">
            <v>0.18764501751424142</v>
          </cell>
          <cell r="BW44">
            <v>0.13253820441292485</v>
          </cell>
          <cell r="BX44">
            <v>0.10280226573042363</v>
          </cell>
          <cell r="BY44">
            <v>0.1369661798523901</v>
          </cell>
          <cell r="BZ44">
            <v>0.55952057983924597</v>
          </cell>
          <cell r="CA44">
            <v>0.18785994148887161</v>
          </cell>
          <cell r="CB44">
            <v>0.1578714798684703</v>
          </cell>
          <cell r="CC44">
            <v>0.14062524903176468</v>
          </cell>
          <cell r="CD44">
            <v>0.111656602158718</v>
          </cell>
          <cell r="CE44">
            <v>0.5976320756971174</v>
          </cell>
          <cell r="CF44">
            <v>0.21883362826975505</v>
          </cell>
          <cell r="CG44">
            <v>0.1904558544086824</v>
          </cell>
          <cell r="CH44">
            <v>0.17139900597356594</v>
          </cell>
          <cell r="CI44">
            <v>0.12048103362079689</v>
          </cell>
          <cell r="CJ44">
            <v>0.70072185604441983</v>
          </cell>
          <cell r="CK44">
            <v>0.14739987250634634</v>
          </cell>
          <cell r="CL44">
            <v>0.14433464828340423</v>
          </cell>
          <cell r="CM44">
            <v>0.16100691631877415</v>
          </cell>
          <cell r="CN44">
            <v>0.21226042397525482</v>
          </cell>
          <cell r="CO44">
            <v>0.66548064342297519</v>
          </cell>
          <cell r="CP44">
            <v>0.24519996326175006</v>
          </cell>
          <cell r="CQ44">
            <v>0.22389676345625623</v>
          </cell>
          <cell r="CR44">
            <v>0.16793564621096013</v>
          </cell>
          <cell r="CS44">
            <v>0.10565235215211827</v>
          </cell>
          <cell r="CT44">
            <v>0.74268472508108474</v>
          </cell>
          <cell r="CU44">
            <v>0.27358842680820999</v>
          </cell>
          <cell r="CV44">
            <v>0.29870732865636351</v>
          </cell>
          <cell r="CW44">
            <v>0.25396269763484636</v>
          </cell>
          <cell r="CX44">
            <v>0.18117635615255143</v>
          </cell>
          <cell r="CY44">
            <v>1.0074348092519714</v>
          </cell>
          <cell r="CZ44">
            <v>0.36284622467574101</v>
          </cell>
          <cell r="DA44">
            <v>0.33322102406142073</v>
          </cell>
          <cell r="DB44">
            <v>0.29357935949715702</v>
          </cell>
          <cell r="DC44">
            <v>0.22579505939508124</v>
          </cell>
          <cell r="DD44">
            <v>1.2154416676293998</v>
          </cell>
          <cell r="DE44">
            <v>0.41372230839499691</v>
          </cell>
          <cell r="DF44">
            <v>0.37677358665410449</v>
          </cell>
          <cell r="DG44">
            <v>0.34056656840544602</v>
          </cell>
          <cell r="DH44">
            <v>0.26042533061609668</v>
          </cell>
          <cell r="DI44">
            <v>1.3914877940706438</v>
          </cell>
        </row>
        <row r="45">
          <cell r="B45" t="str">
            <v>Reported EPS Continuing operations- Fully Diluted</v>
          </cell>
          <cell r="E45">
            <v>6.9396342590727564E-2</v>
          </cell>
          <cell r="F45">
            <v>0.10535165245638227</v>
          </cell>
          <cell r="G45">
            <v>0.14057189207908502</v>
          </cell>
          <cell r="H45">
            <v>0.20351363264278055</v>
          </cell>
          <cell r="I45">
            <v>0.26041885118159158</v>
          </cell>
          <cell r="J45">
            <v>0.3383602889619241</v>
          </cell>
          <cell r="K45">
            <v>0.43036667103700094</v>
          </cell>
          <cell r="L45">
            <v>0.53543578206006015</v>
          </cell>
          <cell r="M45">
            <v>0.11992762887716274</v>
          </cell>
          <cell r="N45">
            <v>0.1859943781018881</v>
          </cell>
          <cell r="O45">
            <v>0.15109175753275675</v>
          </cell>
          <cell r="P45">
            <v>0.12712738221722142</v>
          </cell>
          <cell r="Q45">
            <v>0.58747309530437086</v>
          </cell>
          <cell r="R45">
            <v>0.13995877803399789</v>
          </cell>
          <cell r="S45">
            <v>0.2060870523595901</v>
          </cell>
          <cell r="T45">
            <v>0.17820240162331197</v>
          </cell>
          <cell r="U45">
            <v>0.15332354741981569</v>
          </cell>
          <cell r="V45">
            <v>0.67805335716625448</v>
          </cell>
          <cell r="W45">
            <v>0.15201837326946593</v>
          </cell>
          <cell r="X45">
            <v>0.18525275560623353</v>
          </cell>
          <cell r="Y45">
            <v>0.20483153932010353</v>
          </cell>
          <cell r="Z45">
            <v>0.19551301361609835</v>
          </cell>
          <cell r="AA45">
            <v>0.73757239427881882</v>
          </cell>
          <cell r="AB45">
            <v>0.19161999506388488</v>
          </cell>
          <cell r="AC45">
            <v>0.2656170274801371</v>
          </cell>
          <cell r="AD45">
            <v>0.25540888195352368</v>
          </cell>
          <cell r="AE45">
            <v>0.2332505625824472</v>
          </cell>
          <cell r="AF45">
            <v>0.94549974869648179</v>
          </cell>
          <cell r="AG45">
            <v>0.23189442382072264</v>
          </cell>
          <cell r="AH45">
            <v>0.30376313751736411</v>
          </cell>
          <cell r="AI45">
            <v>0.29497744571235407</v>
          </cell>
          <cell r="AJ45">
            <v>0.27706332410874179</v>
          </cell>
          <cell r="AK45">
            <v>1.1076268934360887</v>
          </cell>
          <cell r="AL45">
            <v>0.28970193335039585</v>
          </cell>
          <cell r="AM45">
            <v>0.36605398057152572</v>
          </cell>
          <cell r="AN45">
            <v>0.36127071733782223</v>
          </cell>
          <cell r="AO45">
            <v>0.30008715215144172</v>
          </cell>
          <cell r="AP45">
            <v>1.3171181318013496</v>
          </cell>
          <cell r="AQ45">
            <v>0.31834553458458503</v>
          </cell>
          <cell r="AR45">
            <v>0.40083491369612068</v>
          </cell>
          <cell r="AS45">
            <v>0.34618238687593267</v>
          </cell>
          <cell r="AT45">
            <v>0.34878676426447441</v>
          </cell>
          <cell r="AU45">
            <v>1.4155500931816725</v>
          </cell>
          <cell r="AW45">
            <v>0.36605398057152572</v>
          </cell>
          <cell r="AX45">
            <v>0.36127071733782223</v>
          </cell>
          <cell r="AY45">
            <v>0.30008715215144172</v>
          </cell>
          <cell r="AZ45">
            <v>0.31834553458458503</v>
          </cell>
          <cell r="BA45">
            <v>1.3458077061999862</v>
          </cell>
          <cell r="BB45">
            <v>0.40083491369612068</v>
          </cell>
          <cell r="BC45">
            <v>0.34618238687593267</v>
          </cell>
          <cell r="BD45">
            <v>0.34878676426447441</v>
          </cell>
          <cell r="BE45">
            <v>0.31005284086032969</v>
          </cell>
          <cell r="BF45">
            <v>1.4065071400692886</v>
          </cell>
          <cell r="BG45">
            <v>0.35643332511708214</v>
          </cell>
          <cell r="BH45">
            <v>0.31673790138815305</v>
          </cell>
          <cell r="BI45">
            <v>0.26063558625226152</v>
          </cell>
          <cell r="BJ45">
            <v>-0.17536623760690168</v>
          </cell>
          <cell r="BK45">
            <v>0.76059833977151381</v>
          </cell>
          <cell r="BL45">
            <v>0.26867021276595648</v>
          </cell>
          <cell r="BM45">
            <v>5.3011823626182418E-2</v>
          </cell>
          <cell r="BN45">
            <v>8.1941934510090131E-2</v>
          </cell>
          <cell r="BO45">
            <v>7.6839888906184844E-2</v>
          </cell>
          <cell r="BP45">
            <v>0.47973025346872472</v>
          </cell>
          <cell r="BQ45">
            <v>0.66305070281536393</v>
          </cell>
          <cell r="BR45">
            <v>8.9198382279943783E-2</v>
          </cell>
          <cell r="BS45">
            <v>4.2670697085434986E-2</v>
          </cell>
          <cell r="BT45">
            <v>0.11885041290523254</v>
          </cell>
          <cell r="BU45">
            <v>0.91150974165307674</v>
          </cell>
          <cell r="BV45">
            <v>0.19379437179126413</v>
          </cell>
          <cell r="BW45">
            <v>0.13253820441292485</v>
          </cell>
          <cell r="BX45">
            <v>0.10027311586415344</v>
          </cell>
          <cell r="BY45">
            <v>0.12274301584052677</v>
          </cell>
          <cell r="BZ45">
            <v>0.54874172453586278</v>
          </cell>
          <cell r="CA45">
            <v>0.18785994148887161</v>
          </cell>
          <cell r="CB45">
            <v>0.1578714798684703</v>
          </cell>
          <cell r="CC45">
            <v>0.14062524903176468</v>
          </cell>
          <cell r="CD45">
            <v>0.16364731428209145</v>
          </cell>
          <cell r="CE45">
            <v>0.64988490916186936</v>
          </cell>
          <cell r="CF45">
            <v>0.22119049214313077</v>
          </cell>
          <cell r="CG45">
            <v>0.19665798185985484</v>
          </cell>
          <cell r="CH45">
            <v>0.17039949201172777</v>
          </cell>
          <cell r="CI45">
            <v>0.12527340332458389</v>
          </cell>
          <cell r="CJ45">
            <v>0.71308476809247567</v>
          </cell>
          <cell r="CK45">
            <v>0.15285550588778313</v>
          </cell>
          <cell r="CL45">
            <v>0.15613404679139156</v>
          </cell>
          <cell r="CM45">
            <v>0.16641613184622137</v>
          </cell>
          <cell r="CN45">
            <v>0.21226042397525482</v>
          </cell>
          <cell r="CO45">
            <v>0.68808654279069215</v>
          </cell>
          <cell r="CP45">
            <v>0.24519996326175006</v>
          </cell>
          <cell r="CQ45">
            <v>0.22389676345625623</v>
          </cell>
          <cell r="CR45">
            <v>0.16793564621096013</v>
          </cell>
          <cell r="CS45">
            <v>0.10565235215211827</v>
          </cell>
          <cell r="CT45">
            <v>0.74268472508108707</v>
          </cell>
          <cell r="CU45">
            <v>0.27358842680820999</v>
          </cell>
          <cell r="CV45">
            <v>0.29870732865636351</v>
          </cell>
          <cell r="CW45">
            <v>0.25396269763484636</v>
          </cell>
          <cell r="CX45">
            <v>0.18117635615255143</v>
          </cell>
          <cell r="CY45">
            <v>1.0074348092519734</v>
          </cell>
          <cell r="CZ45">
            <v>0.36284622467574101</v>
          </cell>
          <cell r="DA45">
            <v>0.33322102406142073</v>
          </cell>
          <cell r="DB45">
            <v>0.29357935949715702</v>
          </cell>
          <cell r="DC45">
            <v>0.22579505939508124</v>
          </cell>
          <cell r="DD45">
            <v>1.2154416676294051</v>
          </cell>
          <cell r="DE45">
            <v>0.41372230839499691</v>
          </cell>
          <cell r="DF45">
            <v>0.37677358665410449</v>
          </cell>
          <cell r="DG45">
            <v>0.34056656840544602</v>
          </cell>
          <cell r="DH45">
            <v>0.26042533061609668</v>
          </cell>
          <cell r="DI45">
            <v>1.3914877940706478</v>
          </cell>
        </row>
        <row r="46">
          <cell r="B46" t="str">
            <v>EBITDA (excluding HITECH)</v>
          </cell>
          <cell r="D46">
            <v>-4.6439999999999833</v>
          </cell>
          <cell r="E46">
            <v>-12.060396342590732</v>
          </cell>
          <cell r="F46">
            <v>-21.982649153690705</v>
          </cell>
          <cell r="G46">
            <v>-32.385571892079092</v>
          </cell>
          <cell r="H46">
            <v>-49.289513632642759</v>
          </cell>
          <cell r="I46">
            <v>-63.591418851181672</v>
          </cell>
          <cell r="J46">
            <v>-84.424360288961921</v>
          </cell>
          <cell r="K46">
            <v>-108.75236667103704</v>
          </cell>
          <cell r="L46">
            <v>-137.37943578205994</v>
          </cell>
          <cell r="M46">
            <v>-31.074927628877145</v>
          </cell>
          <cell r="N46">
            <v>-47.892994378101882</v>
          </cell>
          <cell r="O46">
            <v>-38.90809175753278</v>
          </cell>
          <cell r="P46">
            <v>-32.553127382217241</v>
          </cell>
          <cell r="Q46">
            <v>316.31599999999997</v>
          </cell>
          <cell r="R46">
            <v>80.274000000000001</v>
          </cell>
          <cell r="S46">
            <v>108.14000000000001</v>
          </cell>
          <cell r="T46">
            <v>97.998999999999995</v>
          </cell>
          <cell r="U46">
            <v>89.445999999999998</v>
          </cell>
          <cell r="V46">
            <v>375.85899999999987</v>
          </cell>
          <cell r="W46">
            <v>93.588000000000036</v>
          </cell>
          <cell r="X46">
            <v>124.65300000000003</v>
          </cell>
          <cell r="Y46">
            <v>116.53199999999997</v>
          </cell>
          <cell r="Z46">
            <v>113.79400000000001</v>
          </cell>
          <cell r="AA46">
            <v>448.56700000000001</v>
          </cell>
          <cell r="AB46">
            <v>108.83600000000004</v>
          </cell>
          <cell r="AC46">
            <v>141.94400000000002</v>
          </cell>
          <cell r="AD46">
            <v>137.874</v>
          </cell>
          <cell r="AE46">
            <v>128.88799999999995</v>
          </cell>
          <cell r="AF46">
            <v>517.54199999999969</v>
          </cell>
          <cell r="AG46">
            <v>128.554</v>
          </cell>
          <cell r="AH46">
            <v>159.87699999999995</v>
          </cell>
          <cell r="AI46">
            <v>157.40799999999996</v>
          </cell>
          <cell r="AJ46">
            <v>146.94800000000004</v>
          </cell>
          <cell r="AK46">
            <v>592.78700000000015</v>
          </cell>
          <cell r="AL46">
            <v>152.14599999999999</v>
          </cell>
          <cell r="AM46">
            <v>187.34899999999999</v>
          </cell>
          <cell r="AN46">
            <v>183.42400000000001</v>
          </cell>
          <cell r="AO46">
            <v>160.37599999999992</v>
          </cell>
          <cell r="AP46">
            <v>683.29499999999996</v>
          </cell>
          <cell r="AQ46">
            <v>168.01500000000004</v>
          </cell>
          <cell r="AR46">
            <v>203.61200000000008</v>
          </cell>
          <cell r="AS46">
            <v>164.327</v>
          </cell>
          <cell r="AT46">
            <v>165.13799999999995</v>
          </cell>
          <cell r="AU46">
            <v>701.0920000000001</v>
          </cell>
          <cell r="AW46">
            <v>187.34899999999999</v>
          </cell>
          <cell r="AX46">
            <v>183.42400000000001</v>
          </cell>
          <cell r="AY46">
            <v>160.37599999999992</v>
          </cell>
          <cell r="AZ46">
            <v>168.01500000000004</v>
          </cell>
          <cell r="BA46">
            <v>699.16399999999976</v>
          </cell>
          <cell r="BB46">
            <v>203.61200000000008</v>
          </cell>
          <cell r="BC46">
            <v>164.327</v>
          </cell>
          <cell r="BD46">
            <v>165.13799999999995</v>
          </cell>
          <cell r="BE46">
            <v>170.31100000000009</v>
          </cell>
          <cell r="BF46">
            <v>703.38800000000015</v>
          </cell>
          <cell r="BG46">
            <v>198.49500000000012</v>
          </cell>
          <cell r="BH46">
            <v>183.47799999999995</v>
          </cell>
          <cell r="BI46">
            <v>165.56000000000009</v>
          </cell>
          <cell r="BJ46">
            <v>-9.1090000000000337</v>
          </cell>
          <cell r="BK46">
            <v>538.42400000000021</v>
          </cell>
          <cell r="BL46">
            <v>193.40799999999979</v>
          </cell>
          <cell r="BM46">
            <v>134.58500000000006</v>
          </cell>
          <cell r="BN46">
            <v>151.27999999999997</v>
          </cell>
          <cell r="BO46">
            <v>150.75600000000003</v>
          </cell>
          <cell r="BP46">
            <v>630.02900000000034</v>
          </cell>
          <cell r="BQ46">
            <v>181.61799999999997</v>
          </cell>
          <cell r="BR46">
            <v>163.27900000000002</v>
          </cell>
          <cell r="BS46">
            <v>141.92799999999991</v>
          </cell>
          <cell r="BT46">
            <v>146.74500000000006</v>
          </cell>
          <cell r="BU46">
            <v>633.56999999999994</v>
          </cell>
          <cell r="BV46">
            <v>183.39299999999992</v>
          </cell>
          <cell r="BW46">
            <v>172.703</v>
          </cell>
          <cell r="BX46">
            <v>158.01500000000007</v>
          </cell>
          <cell r="BY46">
            <v>170.7709999999999</v>
          </cell>
          <cell r="BZ46">
            <v>684.88199999999938</v>
          </cell>
          <cell r="CA46">
            <v>196.3419999999999</v>
          </cell>
          <cell r="CB46">
            <v>182.48500000000001</v>
          </cell>
          <cell r="CC46">
            <v>171.21400000000006</v>
          </cell>
          <cell r="CD46">
            <v>186.52499999999998</v>
          </cell>
          <cell r="CE46">
            <v>736.56600000000037</v>
          </cell>
          <cell r="CF46">
            <v>214.42900000000014</v>
          </cell>
          <cell r="CG46">
            <v>203.76800000000006</v>
          </cell>
          <cell r="CH46">
            <v>186.26400000000004</v>
          </cell>
          <cell r="CI46">
            <v>185.13999999999987</v>
          </cell>
          <cell r="CJ46">
            <v>789.60100000000079</v>
          </cell>
          <cell r="CK46">
            <v>234.92500000000027</v>
          </cell>
          <cell r="CL46">
            <v>230.41699999999997</v>
          </cell>
          <cell r="CM46">
            <v>212.16800000000009</v>
          </cell>
          <cell r="CN46">
            <v>226.39942303617448</v>
          </cell>
          <cell r="CO46">
            <v>903.90942303617544</v>
          </cell>
          <cell r="CP46">
            <v>253.61408162738894</v>
          </cell>
          <cell r="CQ46">
            <v>243.73665764900881</v>
          </cell>
          <cell r="CR46">
            <v>224.95473397307569</v>
          </cell>
          <cell r="CS46">
            <v>229.62937468288922</v>
          </cell>
          <cell r="CT46">
            <v>951.93484793236212</v>
          </cell>
          <cell r="CU46">
            <v>274.19143121009415</v>
          </cell>
          <cell r="CV46">
            <v>262.31262996473714</v>
          </cell>
          <cell r="CW46">
            <v>247.65786393787346</v>
          </cell>
          <cell r="CX46">
            <v>248.63506149116881</v>
          </cell>
          <cell r="CY46">
            <v>1032.7969866038734</v>
          </cell>
          <cell r="CZ46">
            <v>297.19103999899204</v>
          </cell>
          <cell r="DA46">
            <v>283.89366115971615</v>
          </cell>
          <cell r="DB46">
            <v>271.34125379363672</v>
          </cell>
          <cell r="DC46">
            <v>275.28455308658312</v>
          </cell>
          <cell r="DD46">
            <v>1127.7105080389274</v>
          </cell>
          <cell r="DE46">
            <v>322.04749836472195</v>
          </cell>
          <cell r="DF46">
            <v>305.90203688489868</v>
          </cell>
          <cell r="DG46">
            <v>294.79976985133044</v>
          </cell>
          <cell r="DH46">
            <v>294.52091726178298</v>
          </cell>
          <cell r="DI46">
            <v>1217.2702223627348</v>
          </cell>
        </row>
        <row r="47">
          <cell r="B47" t="str">
            <v>EBITDA (excluding HITECH)</v>
          </cell>
          <cell r="D47">
            <v>36.652999999999984</v>
          </cell>
          <cell r="E47">
            <v>47.009000000000007</v>
          </cell>
          <cell r="F47">
            <v>58.35299999999998</v>
          </cell>
          <cell r="G47">
            <v>74.337000000000003</v>
          </cell>
          <cell r="H47">
            <v>102.63699999999997</v>
          </cell>
          <cell r="I47">
            <v>128.43200000000007</v>
          </cell>
          <cell r="J47">
            <v>169.09899999999999</v>
          </cell>
          <cell r="K47">
            <v>218.58200000000002</v>
          </cell>
          <cell r="L47">
            <v>280.47499999999991</v>
          </cell>
          <cell r="M47">
            <v>66.819999999999979</v>
          </cell>
          <cell r="N47">
            <v>93.559999999999988</v>
          </cell>
          <cell r="O47">
            <v>82.15900000000002</v>
          </cell>
          <cell r="P47">
            <v>73.777000000000015</v>
          </cell>
          <cell r="Q47">
            <v>316.31599999999997</v>
          </cell>
          <cell r="R47">
            <v>80.274000000000001</v>
          </cell>
          <cell r="S47">
            <v>108.14000000000001</v>
          </cell>
          <cell r="T47">
            <v>97.998999999999995</v>
          </cell>
          <cell r="U47">
            <v>89.445999999999998</v>
          </cell>
          <cell r="V47">
            <v>375.85899999999987</v>
          </cell>
          <cell r="W47">
            <v>93.588000000000036</v>
          </cell>
          <cell r="X47">
            <v>124.65300000000003</v>
          </cell>
          <cell r="Y47">
            <v>116.53199999999997</v>
          </cell>
          <cell r="Z47">
            <v>113.79400000000001</v>
          </cell>
          <cell r="AA47">
            <v>448.56700000000001</v>
          </cell>
          <cell r="AB47">
            <v>108.83600000000004</v>
          </cell>
          <cell r="AC47">
            <v>141.94400000000002</v>
          </cell>
          <cell r="AD47">
            <v>137.874</v>
          </cell>
          <cell r="AE47">
            <v>128.88799999999995</v>
          </cell>
          <cell r="AF47">
            <v>517.54199999999969</v>
          </cell>
          <cell r="AG47">
            <v>128.554</v>
          </cell>
          <cell r="AH47">
            <v>159.87699999999995</v>
          </cell>
          <cell r="AI47">
            <v>157.40799999999996</v>
          </cell>
          <cell r="AJ47">
            <v>146.94800000000004</v>
          </cell>
          <cell r="AK47">
            <v>592.78700000000015</v>
          </cell>
          <cell r="AL47">
            <v>152.14599999999999</v>
          </cell>
          <cell r="AM47">
            <v>187.34899999999999</v>
          </cell>
          <cell r="AN47">
            <v>183.42400000000001</v>
          </cell>
          <cell r="AO47">
            <v>160.37599999999992</v>
          </cell>
          <cell r="AP47">
            <v>683.29499999999996</v>
          </cell>
          <cell r="AQ47">
            <v>168.01500000000004</v>
          </cell>
          <cell r="AR47">
            <v>203.61200000000008</v>
          </cell>
          <cell r="AS47">
            <v>164.327</v>
          </cell>
          <cell r="AT47">
            <v>165.13799999999995</v>
          </cell>
          <cell r="AU47">
            <v>701.0920000000001</v>
          </cell>
          <cell r="AW47">
            <v>187.34899999999999</v>
          </cell>
          <cell r="AX47">
            <v>183.42400000000001</v>
          </cell>
          <cell r="AY47">
            <v>160.37599999999992</v>
          </cell>
          <cell r="AZ47">
            <v>168.01500000000004</v>
          </cell>
          <cell r="BA47">
            <v>699.16399999999976</v>
          </cell>
          <cell r="BB47">
            <v>203.61200000000008</v>
          </cell>
          <cell r="BC47">
            <v>164.327</v>
          </cell>
          <cell r="BD47">
            <v>165.13799999999995</v>
          </cell>
          <cell r="BE47">
            <v>170.31100000000009</v>
          </cell>
          <cell r="BF47">
            <v>703.38800000000015</v>
          </cell>
          <cell r="BG47">
            <v>198.49500000000012</v>
          </cell>
          <cell r="BH47">
            <v>183.47799999999995</v>
          </cell>
          <cell r="BI47">
            <v>165.56000000000009</v>
          </cell>
          <cell r="BJ47">
            <v>-9.1090000000000337</v>
          </cell>
          <cell r="BK47">
            <v>538.42400000000021</v>
          </cell>
          <cell r="BL47">
            <v>193.40799999999979</v>
          </cell>
          <cell r="BM47">
            <v>134.58500000000006</v>
          </cell>
          <cell r="BN47">
            <v>151.27999999999997</v>
          </cell>
          <cell r="BO47">
            <v>150.75600000000003</v>
          </cell>
          <cell r="BP47">
            <v>630.02900000000034</v>
          </cell>
          <cell r="BQ47">
            <v>181.61799999999997</v>
          </cell>
          <cell r="BR47">
            <v>163.27900000000002</v>
          </cell>
          <cell r="BS47">
            <v>141.92799999999991</v>
          </cell>
          <cell r="BT47">
            <v>146.74500000000006</v>
          </cell>
          <cell r="BU47">
            <v>633.56999999999994</v>
          </cell>
          <cell r="BV47">
            <v>183.39299999999992</v>
          </cell>
          <cell r="BW47">
            <v>172.703</v>
          </cell>
          <cell r="BX47">
            <v>158.01500000000007</v>
          </cell>
          <cell r="BY47">
            <v>170.7709999999999</v>
          </cell>
          <cell r="BZ47">
            <v>684.88199999999938</v>
          </cell>
          <cell r="CA47">
            <v>196.3419999999999</v>
          </cell>
          <cell r="CB47">
            <v>182.48500000000001</v>
          </cell>
          <cell r="CC47">
            <v>171.21400000000006</v>
          </cell>
          <cell r="CD47">
            <v>186.52499999999998</v>
          </cell>
          <cell r="CE47">
            <v>736.56600000000037</v>
          </cell>
          <cell r="CF47">
            <v>214.42900000000014</v>
          </cell>
          <cell r="CG47">
            <v>203.76800000000006</v>
          </cell>
          <cell r="CH47">
            <v>186.26400000000004</v>
          </cell>
          <cell r="CI47">
            <v>185.13999999999987</v>
          </cell>
          <cell r="CJ47">
            <v>789.60100000000079</v>
          </cell>
          <cell r="CK47">
            <v>234.92500000000027</v>
          </cell>
          <cell r="CL47">
            <v>230.41699999999997</v>
          </cell>
          <cell r="CM47">
            <v>212.16800000000009</v>
          </cell>
          <cell r="CN47">
            <v>193.79901663476056</v>
          </cell>
          <cell r="CO47">
            <v>871.30901663476152</v>
          </cell>
          <cell r="CP47">
            <v>249.83281355302279</v>
          </cell>
          <cell r="CQ47">
            <v>241.95536877142973</v>
          </cell>
          <cell r="CR47">
            <v>220.39761382068235</v>
          </cell>
          <cell r="CS47">
            <v>196.4083607579889</v>
          </cell>
          <cell r="CT47">
            <v>908.59415690312449</v>
          </cell>
          <cell r="CU47">
            <v>270.97656012014863</v>
          </cell>
          <cell r="CV47">
            <v>260.95215142012461</v>
          </cell>
          <cell r="CW47">
            <v>243.78483750251357</v>
          </cell>
          <cell r="CX47">
            <v>215.31550400805241</v>
          </cell>
          <cell r="CY47">
            <v>991.02905305083971</v>
          </cell>
          <cell r="CZ47">
            <v>294.27180151902462</v>
          </cell>
          <cell r="DA47">
            <v>282.80474348150688</v>
          </cell>
          <cell r="DB47">
            <v>267.88382556885847</v>
          </cell>
          <cell r="DC47">
            <v>241.6929521134075</v>
          </cell>
          <cell r="DD47">
            <v>1086.6533226827987</v>
          </cell>
          <cell r="DE47">
            <v>319.45758785483503</v>
          </cell>
          <cell r="DF47">
            <v>305.0758688560432</v>
          </cell>
          <cell r="DG47">
            <v>291.72606699545508</v>
          </cell>
          <cell r="DH47">
            <v>260.60730611084858</v>
          </cell>
          <cell r="DI47">
            <v>1176.8668298171829</v>
          </cell>
          <cell r="DK47" t="str">
            <v>mstag:averageDilutedSharesOutstanding</v>
          </cell>
          <cell r="DL47">
            <v>6</v>
          </cell>
          <cell r="DM47" t="str">
            <v>ms_eqr_gcim_Decimal:ms_eqr_gcim_decimal</v>
          </cell>
          <cell r="DN47" t="b">
            <v>0</v>
          </cell>
          <cell r="DO47" t="b">
            <v>0</v>
          </cell>
        </row>
        <row r="48">
          <cell r="B48" t="str">
            <v>Wtd. Avg Shares Outstanding - Diluted</v>
          </cell>
          <cell r="E48">
            <v>172.79008593749998</v>
          </cell>
          <cell r="F48">
            <v>215.26003125</v>
          </cell>
          <cell r="G48">
            <v>229.38440625000007</v>
          </cell>
          <cell r="H48">
            <v>241.19268750000003</v>
          </cell>
          <cell r="I48">
            <v>243.18900000000002</v>
          </cell>
          <cell r="J48">
            <v>248.51024999999998</v>
          </cell>
          <cell r="K48">
            <v>251.697</v>
          </cell>
          <cell r="L48">
            <v>255.57499999999999</v>
          </cell>
          <cell r="M48">
            <v>258.11399999999998</v>
          </cell>
          <cell r="N48">
            <v>256.49700000000001</v>
          </cell>
          <cell r="O48">
            <v>256.51299999999998</v>
          </cell>
          <cell r="P48">
            <v>255.06700000000001</v>
          </cell>
          <cell r="Q48">
            <v>255.06700000000001</v>
          </cell>
          <cell r="R48">
            <v>245.01499999999999</v>
          </cell>
          <cell r="S48">
            <v>244.97900000000001</v>
          </cell>
          <cell r="T48">
            <v>245.917</v>
          </cell>
          <cell r="U48">
            <v>254.78800000000001</v>
          </cell>
          <cell r="V48">
            <v>247.27699999999999</v>
          </cell>
          <cell r="W48">
            <v>264.29700000000003</v>
          </cell>
          <cell r="X48">
            <v>263.10000000000002</v>
          </cell>
          <cell r="Y48">
            <v>264.30500000000001</v>
          </cell>
          <cell r="Z48">
            <v>265.56799999999998</v>
          </cell>
          <cell r="AA48">
            <v>264.351</v>
          </cell>
          <cell r="AB48">
            <v>263.36500000000001</v>
          </cell>
          <cell r="AC48">
            <v>260.661</v>
          </cell>
          <cell r="AD48">
            <v>260.82100000000003</v>
          </cell>
          <cell r="AE48">
            <v>257.74</v>
          </cell>
          <cell r="AF48">
            <v>260.64100000000002</v>
          </cell>
          <cell r="AG48">
            <v>257.255</v>
          </cell>
          <cell r="AH48">
            <v>256.99299999999999</v>
          </cell>
          <cell r="AI48">
            <v>257.37900000000002</v>
          </cell>
          <cell r="AJ48">
            <v>251.863</v>
          </cell>
          <cell r="AK48">
            <v>255.88399999999999</v>
          </cell>
          <cell r="AL48">
            <v>246.15299999999999</v>
          </cell>
          <cell r="AM48">
            <v>247.16300000000001</v>
          </cell>
          <cell r="AN48">
            <v>247.136</v>
          </cell>
          <cell r="AO48">
            <v>246.69499999999999</v>
          </cell>
          <cell r="AP48">
            <v>246.82599999999999</v>
          </cell>
          <cell r="AQ48">
            <v>247.37899999999999</v>
          </cell>
          <cell r="AR48">
            <v>248.88800000000001</v>
          </cell>
          <cell r="AS48">
            <v>250.654</v>
          </cell>
          <cell r="AT48">
            <v>249.869</v>
          </cell>
          <cell r="AU48">
            <v>248.976</v>
          </cell>
          <cell r="AW48">
            <v>247.16300000000001</v>
          </cell>
          <cell r="AX48">
            <v>247.136</v>
          </cell>
          <cell r="AY48">
            <v>246.69499999999999</v>
          </cell>
          <cell r="AZ48">
            <v>247.37899999999999</v>
          </cell>
          <cell r="BA48">
            <v>247.09324999999998</v>
          </cell>
          <cell r="BB48">
            <v>248.88800000000001</v>
          </cell>
          <cell r="BC48">
            <v>250.654</v>
          </cell>
          <cell r="BD48">
            <v>249.869</v>
          </cell>
          <cell r="BE48">
            <v>244.697</v>
          </cell>
          <cell r="BF48">
            <v>248.52700000000002</v>
          </cell>
          <cell r="BG48">
            <v>243.42</v>
          </cell>
          <cell r="BH48">
            <v>243.56100000000001</v>
          </cell>
          <cell r="BI48">
            <v>243.24</v>
          </cell>
          <cell r="BJ48">
            <v>240.75899999999999</v>
          </cell>
          <cell r="BK48">
            <v>243.34</v>
          </cell>
          <cell r="BL48">
            <v>244.4</v>
          </cell>
          <cell r="BM48">
            <v>246.79400000000001</v>
          </cell>
          <cell r="BN48">
            <v>245.137</v>
          </cell>
          <cell r="BO48">
            <v>244.11799999999999</v>
          </cell>
          <cell r="BP48">
            <v>245.119</v>
          </cell>
          <cell r="BQ48">
            <v>243.73400000000001</v>
          </cell>
          <cell r="BR48">
            <v>245.77799999999999</v>
          </cell>
          <cell r="BS48">
            <v>244.80500000000001</v>
          </cell>
          <cell r="BT48">
            <v>244.36600000000001</v>
          </cell>
          <cell r="BU48">
            <v>244.67099999999999</v>
          </cell>
          <cell r="BV48">
            <v>245.22900000000001</v>
          </cell>
          <cell r="BW48">
            <v>245.91399999999999</v>
          </cell>
          <cell r="BX48">
            <v>247.51400000000001</v>
          </cell>
          <cell r="BY48">
            <v>249.17099999999999</v>
          </cell>
          <cell r="BZ48">
            <v>246.965</v>
          </cell>
          <cell r="CA48">
            <v>249.86699999999999</v>
          </cell>
          <cell r="CB48">
            <v>251.19800000000001</v>
          </cell>
          <cell r="CC48">
            <v>250.97200000000001</v>
          </cell>
          <cell r="CD48">
            <v>252.37200000000001</v>
          </cell>
          <cell r="CE48">
            <v>251.10599999999999</v>
          </cell>
          <cell r="CF48">
            <v>253.727</v>
          </cell>
          <cell r="CG48">
            <v>255.23500000000001</v>
          </cell>
          <cell r="CH48">
            <v>255.124</v>
          </cell>
          <cell r="CI48">
            <v>256.03199999999998</v>
          </cell>
          <cell r="CJ48">
            <v>255.03700000000001</v>
          </cell>
          <cell r="CK48">
            <v>255.69900000000001</v>
          </cell>
          <cell r="CL48">
            <v>256.02999999999997</v>
          </cell>
          <cell r="CM48">
            <v>256.78399999999999</v>
          </cell>
          <cell r="CN48">
            <v>258.65250322965943</v>
          </cell>
          <cell r="CO48">
            <v>256.79137580741485</v>
          </cell>
          <cell r="CP48">
            <v>258.65250322965943</v>
          </cell>
          <cell r="CQ48">
            <v>258.65250322965943</v>
          </cell>
          <cell r="CR48">
            <v>258.65250322965943</v>
          </cell>
          <cell r="CS48">
            <v>258.65250322965943</v>
          </cell>
          <cell r="CT48">
            <v>258.65250322965943</v>
          </cell>
          <cell r="CU48">
            <v>258.65250322965943</v>
          </cell>
          <cell r="CV48">
            <v>258.65250322965943</v>
          </cell>
          <cell r="CW48">
            <v>258.65250322965943</v>
          </cell>
          <cell r="CX48">
            <v>258.65250322965943</v>
          </cell>
          <cell r="CY48">
            <v>258.65250322965943</v>
          </cell>
          <cell r="CZ48">
            <v>258.65250322965943</v>
          </cell>
          <cell r="DA48">
            <v>258.65250322965943</v>
          </cell>
          <cell r="DB48">
            <v>258.65250322965943</v>
          </cell>
          <cell r="DC48">
            <v>258.65250322965943</v>
          </cell>
          <cell r="DD48">
            <v>258.65250322965943</v>
          </cell>
          <cell r="DE48">
            <v>258.65250322965943</v>
          </cell>
          <cell r="DF48">
            <v>258.65250322965943</v>
          </cell>
          <cell r="DG48">
            <v>258.65250322965943</v>
          </cell>
          <cell r="DH48">
            <v>258.65250322965943</v>
          </cell>
          <cell r="DI48">
            <v>258.65250322965943</v>
          </cell>
          <cell r="DK48" t="str">
            <v>mstag:averageDilutedSharesOutstanding</v>
          </cell>
          <cell r="DL48">
            <v>6</v>
          </cell>
          <cell r="DM48" t="str">
            <v>ms_eqr_gcim_Decimal:ms_eqr_gcim_decimal</v>
          </cell>
          <cell r="DN48" t="b">
            <v>0</v>
          </cell>
          <cell r="DO48" t="b">
            <v>0</v>
          </cell>
        </row>
        <row r="49">
          <cell r="B49" t="str">
            <v>Wtd. Avg Shares Outstanding - Basic</v>
          </cell>
          <cell r="E49">
            <v>172.6363125</v>
          </cell>
          <cell r="F49">
            <v>215.26003125</v>
          </cell>
          <cell r="G49">
            <v>225.23821875000002</v>
          </cell>
          <cell r="H49">
            <v>239.85618749999998</v>
          </cell>
          <cell r="I49">
            <v>243.18900000000002</v>
          </cell>
          <cell r="J49">
            <v>248.51024999999998</v>
          </cell>
          <cell r="K49">
            <v>251.697</v>
          </cell>
          <cell r="L49">
            <v>249.04900000000001</v>
          </cell>
          <cell r="M49">
            <v>251.65299999999999</v>
          </cell>
          <cell r="N49">
            <v>251.905</v>
          </cell>
          <cell r="O49">
            <v>251.97200000000001</v>
          </cell>
          <cell r="P49">
            <v>250.46700000000001</v>
          </cell>
          <cell r="Q49">
            <v>250.46700000000001</v>
          </cell>
          <cell r="R49">
            <v>241.916</v>
          </cell>
          <cell r="S49">
            <v>241.06399999999999</v>
          </cell>
          <cell r="T49">
            <v>242.078</v>
          </cell>
          <cell r="U49">
            <v>242.816</v>
          </cell>
          <cell r="V49">
            <v>241.946</v>
          </cell>
          <cell r="W49">
            <v>243.23400000000001</v>
          </cell>
          <cell r="X49">
            <v>244.11699999999999</v>
          </cell>
          <cell r="Y49">
            <v>245.048</v>
          </cell>
          <cell r="Z49">
            <v>245.297</v>
          </cell>
          <cell r="AA49">
            <v>244.42500000000001</v>
          </cell>
          <cell r="AB49">
            <v>243.649</v>
          </cell>
          <cell r="AC49">
            <v>241.25899999999999</v>
          </cell>
          <cell r="AD49">
            <v>241.227</v>
          </cell>
          <cell r="AE49">
            <v>239.05199999999999</v>
          </cell>
          <cell r="AF49">
            <v>241.298</v>
          </cell>
          <cell r="AG49">
            <v>238.589</v>
          </cell>
          <cell r="AH49">
            <v>238.673</v>
          </cell>
          <cell r="AI49">
            <v>239.108</v>
          </cell>
          <cell r="AJ49">
            <v>239.965</v>
          </cell>
          <cell r="AK49">
            <v>239.08600000000001</v>
          </cell>
          <cell r="AL49">
            <v>241.322</v>
          </cell>
          <cell r="AM49">
            <v>242.90100000000001</v>
          </cell>
          <cell r="AN49">
            <v>243.17500000000001</v>
          </cell>
          <cell r="AO49">
            <v>243.43199999999999</v>
          </cell>
          <cell r="AP49">
            <v>242.72499999999999</v>
          </cell>
          <cell r="AQ49">
            <v>243.714</v>
          </cell>
          <cell r="AR49">
            <v>245.03</v>
          </cell>
          <cell r="AS49">
            <v>246.785</v>
          </cell>
          <cell r="AT49">
            <v>246.626</v>
          </cell>
          <cell r="AU49">
            <v>245.53800000000001</v>
          </cell>
          <cell r="AW49">
            <v>242.90100000000001</v>
          </cell>
          <cell r="AX49">
            <v>243.17500000000001</v>
          </cell>
          <cell r="AY49">
            <v>243.43199999999999</v>
          </cell>
          <cell r="AZ49">
            <v>243.714</v>
          </cell>
          <cell r="BA49">
            <v>243.30549999999999</v>
          </cell>
          <cell r="BB49">
            <v>245.03</v>
          </cell>
          <cell r="BC49">
            <v>246.785</v>
          </cell>
          <cell r="BD49">
            <v>246.626</v>
          </cell>
          <cell r="BE49">
            <v>240.964</v>
          </cell>
          <cell r="BF49">
            <v>244.85124999999999</v>
          </cell>
          <cell r="BG49">
            <v>240.68600000000001</v>
          </cell>
          <cell r="BH49">
            <v>240.84200000000001</v>
          </cell>
          <cell r="BI49">
            <v>240.60499999999999</v>
          </cell>
          <cell r="BJ49">
            <v>240.75899999999999</v>
          </cell>
          <cell r="BK49">
            <v>240.72300000000001</v>
          </cell>
          <cell r="BL49">
            <v>241.65199999999999</v>
          </cell>
          <cell r="BM49">
            <v>242.35499999999999</v>
          </cell>
          <cell r="BN49">
            <v>242.46299999999999</v>
          </cell>
          <cell r="BO49">
            <v>242.733</v>
          </cell>
          <cell r="BP49">
            <v>242.30799999999999</v>
          </cell>
          <cell r="BQ49">
            <v>243.18700000000001</v>
          </cell>
          <cell r="BR49">
            <v>243.268</v>
          </cell>
          <cell r="BS49">
            <v>243.286</v>
          </cell>
          <cell r="BT49">
            <v>243.48500000000001</v>
          </cell>
          <cell r="BU49">
            <v>243.30699999999999</v>
          </cell>
          <cell r="BV49">
            <v>244.774</v>
          </cell>
          <cell r="BW49">
            <v>244.834</v>
          </cell>
          <cell r="BX49">
            <v>245.23400000000001</v>
          </cell>
          <cell r="BY49">
            <v>246.648</v>
          </cell>
          <cell r="BZ49">
            <v>245.381</v>
          </cell>
          <cell r="CA49">
            <v>247.55500000000001</v>
          </cell>
          <cell r="CB49">
            <v>248.39</v>
          </cell>
          <cell r="CC49">
            <v>248.52600000000001</v>
          </cell>
          <cell r="CD49">
            <v>248.6</v>
          </cell>
          <cell r="CE49">
            <v>248.27199999999999</v>
          </cell>
          <cell r="CF49">
            <v>250.03800000000001</v>
          </cell>
          <cell r="CG49">
            <v>251.76499999999999</v>
          </cell>
          <cell r="CH49">
            <v>252.15700000000001</v>
          </cell>
          <cell r="CI49">
            <v>252.17500000000001</v>
          </cell>
          <cell r="CJ49">
            <v>251.541</v>
          </cell>
          <cell r="CK49">
            <v>253.316</v>
          </cell>
          <cell r="CL49">
            <v>254.49600000000001</v>
          </cell>
          <cell r="CM49">
            <v>254.51599999999999</v>
          </cell>
          <cell r="CN49">
            <v>256.36799999999999</v>
          </cell>
          <cell r="CO49">
            <v>254.67399999999998</v>
          </cell>
          <cell r="CP49">
            <v>256.36799999999999</v>
          </cell>
          <cell r="CQ49">
            <v>256.36799999999999</v>
          </cell>
          <cell r="CR49">
            <v>256.36799999999999</v>
          </cell>
          <cell r="CS49">
            <v>256.36799999999999</v>
          </cell>
          <cell r="CT49">
            <v>256.36799999999999</v>
          </cell>
          <cell r="CU49">
            <v>256.36799999999999</v>
          </cell>
          <cell r="CV49">
            <v>256.36799999999999</v>
          </cell>
          <cell r="CW49">
            <v>256.36799999999999</v>
          </cell>
          <cell r="CX49">
            <v>256.36799999999999</v>
          </cell>
          <cell r="CY49">
            <v>256.36799999999999</v>
          </cell>
          <cell r="CZ49">
            <v>256.36799999999999</v>
          </cell>
          <cell r="DA49">
            <v>256.36799999999999</v>
          </cell>
          <cell r="DB49">
            <v>256.36799999999999</v>
          </cell>
          <cell r="DC49">
            <v>256.36799999999999</v>
          </cell>
          <cell r="DD49">
            <v>256.36799999999999</v>
          </cell>
          <cell r="DE49">
            <v>256.36799999999999</v>
          </cell>
          <cell r="DF49">
            <v>256.36799999999999</v>
          </cell>
          <cell r="DG49">
            <v>256.36799999999999</v>
          </cell>
          <cell r="DH49">
            <v>256.36799999999999</v>
          </cell>
          <cell r="DI49">
            <v>256.36799999999999</v>
          </cell>
          <cell r="DK49" t="str">
            <v>mstag:averageBasicSharesOutstanding</v>
          </cell>
          <cell r="DL49">
            <v>6</v>
          </cell>
          <cell r="DM49" t="str">
            <v>ms_eqr_gcim_Decimal:ms_eqr_gcim_decimal</v>
          </cell>
          <cell r="DN49" t="b">
            <v>0</v>
          </cell>
        </row>
        <row r="50">
          <cell r="B50" t="str">
            <v>Total Shares Outstanding - Period End</v>
          </cell>
          <cell r="E50">
            <v>190.78157812500004</v>
          </cell>
          <cell r="F50">
            <v>214.77023437499997</v>
          </cell>
          <cell r="G50">
            <v>227.05312499999997</v>
          </cell>
          <cell r="H50">
            <v>248.73075</v>
          </cell>
          <cell r="I50">
            <v>235.74037500000003</v>
          </cell>
          <cell r="J50">
            <v>237.82274999999998</v>
          </cell>
          <cell r="K50">
            <v>244.0575</v>
          </cell>
          <cell r="L50">
            <v>251.55799999999999</v>
          </cell>
          <cell r="M50">
            <v>251.37200000000001</v>
          </cell>
          <cell r="N50">
            <v>251.447</v>
          </cell>
          <cell r="O50">
            <v>251.49800000000002</v>
          </cell>
          <cell r="P50">
            <v>253.405</v>
          </cell>
          <cell r="Q50">
            <v>253.405</v>
          </cell>
          <cell r="R50">
            <v>241.1</v>
          </cell>
          <cell r="S50">
            <v>241.1</v>
          </cell>
          <cell r="T50">
            <v>242.76400000000001</v>
          </cell>
          <cell r="U50">
            <v>242.857</v>
          </cell>
          <cell r="V50">
            <v>242.857</v>
          </cell>
          <cell r="W50">
            <v>243.57299999999998</v>
          </cell>
          <cell r="X50">
            <v>244.971</v>
          </cell>
          <cell r="Y50">
            <v>245.10599999999999</v>
          </cell>
          <cell r="Z50">
            <v>245.435</v>
          </cell>
          <cell r="AA50">
            <v>245.435</v>
          </cell>
          <cell r="AB50">
            <v>242.01900000000001</v>
          </cell>
          <cell r="AC50">
            <v>239.89499999999998</v>
          </cell>
          <cell r="AD50">
            <v>241.39500000000001</v>
          </cell>
          <cell r="AE50">
            <v>238.56700000000001</v>
          </cell>
          <cell r="AF50">
            <v>238.56700000000001</v>
          </cell>
          <cell r="AG50">
            <v>238.66000000000003</v>
          </cell>
          <cell r="AH50">
            <v>238.678</v>
          </cell>
          <cell r="AI50">
            <v>239.738</v>
          </cell>
          <cell r="AJ50">
            <v>240.20499999999998</v>
          </cell>
          <cell r="AK50">
            <v>240.20499999999998</v>
          </cell>
          <cell r="AL50">
            <v>242.786</v>
          </cell>
          <cell r="AM50">
            <v>242.97500000000002</v>
          </cell>
          <cell r="AN50">
            <v>243.38099999999997</v>
          </cell>
          <cell r="AO50">
            <v>243.48099999999999</v>
          </cell>
          <cell r="AP50">
            <v>243.48099999999999</v>
          </cell>
          <cell r="AQ50">
            <v>243.98899999999998</v>
          </cell>
          <cell r="AR50">
            <v>246.49599999999998</v>
          </cell>
          <cell r="AS50">
            <v>247.178</v>
          </cell>
          <cell r="AT50">
            <v>244.785</v>
          </cell>
          <cell r="AU50">
            <v>244.785</v>
          </cell>
          <cell r="AW50">
            <v>242.97500000000002</v>
          </cell>
          <cell r="AX50">
            <v>243.38099999999997</v>
          </cell>
          <cell r="AY50">
            <v>243.48099999999999</v>
          </cell>
          <cell r="AZ50">
            <v>247.09324999999998</v>
          </cell>
          <cell r="BA50">
            <v>247.09324999999998</v>
          </cell>
          <cell r="BB50">
            <v>248.88800000000001</v>
          </cell>
          <cell r="BC50">
            <v>250.654</v>
          </cell>
          <cell r="BD50">
            <v>249.869</v>
          </cell>
          <cell r="BE50">
            <v>248.52700000000002</v>
          </cell>
          <cell r="BF50">
            <v>248.52700000000002</v>
          </cell>
          <cell r="BG50">
            <v>240.75400000000002</v>
          </cell>
          <cell r="BH50">
            <v>240.476</v>
          </cell>
          <cell r="BI50">
            <v>241.035</v>
          </cell>
          <cell r="BJ50">
            <v>240.70699999999999</v>
          </cell>
          <cell r="BK50">
            <v>240.70699999999999</v>
          </cell>
          <cell r="BL50">
            <v>242.23099999999999</v>
          </cell>
          <cell r="BM50">
            <v>242.45800000000003</v>
          </cell>
          <cell r="BN50">
            <v>242.46500000000003</v>
          </cell>
          <cell r="BO50">
            <v>242.86600000000004</v>
          </cell>
          <cell r="BP50">
            <v>242.86600000000004</v>
          </cell>
          <cell r="BQ50">
            <v>243.267</v>
          </cell>
          <cell r="BR50">
            <v>244.346</v>
          </cell>
          <cell r="BS50">
            <v>243.85599999999999</v>
          </cell>
          <cell r="BT50">
            <v>244.221</v>
          </cell>
          <cell r="BU50">
            <v>244.221</v>
          </cell>
          <cell r="BV50">
            <v>246.61199999999999</v>
          </cell>
          <cell r="BW50">
            <v>246.62200000000001</v>
          </cell>
          <cell r="BX50">
            <v>248.03700000000001</v>
          </cell>
          <cell r="BY50">
            <v>248.517</v>
          </cell>
          <cell r="BZ50">
            <v>248.517</v>
          </cell>
          <cell r="CA50">
            <v>250.33099999999999</v>
          </cell>
          <cell r="CB50">
            <v>250.608</v>
          </cell>
          <cell r="CC50">
            <v>250.62100000000001</v>
          </cell>
          <cell r="CD50">
            <v>250.88</v>
          </cell>
          <cell r="CE50">
            <v>250.88</v>
          </cell>
          <cell r="CF50">
            <v>253.155</v>
          </cell>
          <cell r="CG50">
            <v>254.095</v>
          </cell>
          <cell r="CH50">
            <v>254.10300000000001</v>
          </cell>
          <cell r="CI50">
            <v>254.15600000000001</v>
          </cell>
          <cell r="CJ50">
            <v>254.15600000000001</v>
          </cell>
          <cell r="CK50">
            <v>256.33300000000003</v>
          </cell>
          <cell r="CL50">
            <v>256.34199999999998</v>
          </cell>
          <cell r="CM50">
            <v>256.36799999999999</v>
          </cell>
          <cell r="CN50">
            <v>256.36799999999999</v>
          </cell>
          <cell r="CO50">
            <v>256.36799999999999</v>
          </cell>
          <cell r="CP50">
            <v>256.36799999999999</v>
          </cell>
          <cell r="CQ50">
            <v>256.36799999999999</v>
          </cell>
          <cell r="CR50">
            <v>256.36799999999999</v>
          </cell>
          <cell r="CS50">
            <v>256.36799999999999</v>
          </cell>
          <cell r="CT50">
            <v>256.36799999999999</v>
          </cell>
          <cell r="CU50">
            <v>256.36799999999999</v>
          </cell>
          <cell r="CV50">
            <v>256.36799999999999</v>
          </cell>
          <cell r="CW50">
            <v>256.36799999999999</v>
          </cell>
          <cell r="CX50">
            <v>256.36799999999999</v>
          </cell>
          <cell r="CY50">
            <v>256.36799999999999</v>
          </cell>
          <cell r="CZ50">
            <v>256.36799999999999</v>
          </cell>
          <cell r="DA50">
            <v>256.36799999999999</v>
          </cell>
          <cell r="DB50">
            <v>256.36799999999999</v>
          </cell>
          <cell r="DC50">
            <v>256.36799999999999</v>
          </cell>
          <cell r="DD50">
            <v>256.36799999999999</v>
          </cell>
          <cell r="DE50">
            <v>256.36799999999999</v>
          </cell>
          <cell r="DF50">
            <v>256.36799999999999</v>
          </cell>
          <cell r="DG50">
            <v>256.36799999999999</v>
          </cell>
          <cell r="DH50">
            <v>256.36799999999999</v>
          </cell>
          <cell r="DI50">
            <v>256.36799999999999</v>
          </cell>
          <cell r="DK50" t="str">
            <v>mstag:periodEndBasicSharesOutstanding</v>
          </cell>
          <cell r="DL50">
            <v>6</v>
          </cell>
          <cell r="DM50" t="str">
            <v>ms_eqr_gcim_Decimal:ms_eqr_gcim_decimal</v>
          </cell>
          <cell r="DN50" t="b">
            <v>0</v>
          </cell>
        </row>
        <row r="51">
          <cell r="B51" t="str">
            <v>Share repurchase</v>
          </cell>
        </row>
        <row r="52">
          <cell r="B52" t="str">
            <v>Share repurchase</v>
          </cell>
        </row>
        <row r="53">
          <cell r="B53" t="str">
            <v>Authorization</v>
          </cell>
        </row>
        <row r="54">
          <cell r="B54" t="str">
            <v>Number of shares repurchased</v>
          </cell>
        </row>
        <row r="55">
          <cell r="B55" t="str">
            <v>Average repurchase price</v>
          </cell>
        </row>
        <row r="56">
          <cell r="B56" t="str">
            <v>Amount repurchased ($)</v>
          </cell>
        </row>
        <row r="57">
          <cell r="B57" t="str">
            <v xml:space="preserve">EBITDAR </v>
          </cell>
          <cell r="D57">
            <v>43.752999999999986</v>
          </cell>
          <cell r="E57">
            <v>55.13000000000001</v>
          </cell>
          <cell r="F57">
            <v>67.442999999999984</v>
          </cell>
          <cell r="G57">
            <v>84.262</v>
          </cell>
          <cell r="H57">
            <v>113.95399999999998</v>
          </cell>
          <cell r="I57">
            <v>141.09000000000006</v>
          </cell>
          <cell r="J57">
            <v>185.18599999999998</v>
          </cell>
          <cell r="K57">
            <v>238.02600000000001</v>
          </cell>
          <cell r="L57">
            <v>307.40499999999992</v>
          </cell>
          <cell r="M57">
            <v>74.396999999999977</v>
          </cell>
          <cell r="N57">
            <v>101.45299999999999</v>
          </cell>
          <cell r="O57">
            <v>90.762000000000015</v>
          </cell>
          <cell r="P57">
            <v>82.850000000000009</v>
          </cell>
          <cell r="Q57">
            <v>349.46199999999999</v>
          </cell>
          <cell r="R57">
            <v>89.546999999999997</v>
          </cell>
          <cell r="S57">
            <v>117.40800000000002</v>
          </cell>
          <cell r="T57">
            <v>107.65899999999999</v>
          </cell>
          <cell r="U57">
            <v>99.361999999999995</v>
          </cell>
          <cell r="V57">
            <v>413.97599999999989</v>
          </cell>
          <cell r="W57">
            <v>103.11000000000004</v>
          </cell>
          <cell r="X57">
            <v>134.90700000000004</v>
          </cell>
          <cell r="Y57">
            <v>126.77099999999997</v>
          </cell>
          <cell r="Z57">
            <v>124.62900000000002</v>
          </cell>
          <cell r="AA57">
            <v>489.41700000000003</v>
          </cell>
          <cell r="AB57">
            <v>119.76200000000004</v>
          </cell>
          <cell r="AC57">
            <v>153.51300000000001</v>
          </cell>
          <cell r="AD57">
            <v>150.24099999999999</v>
          </cell>
          <cell r="AE57">
            <v>141.07399999999996</v>
          </cell>
          <cell r="AF57">
            <v>564.58999999999969</v>
          </cell>
          <cell r="AG57">
            <v>140.65899999999999</v>
          </cell>
          <cell r="AH57">
            <v>171.98299999999995</v>
          </cell>
          <cell r="AI57">
            <v>169.87399999999997</v>
          </cell>
          <cell r="AJ57">
            <v>160.67200000000003</v>
          </cell>
          <cell r="AK57">
            <v>643.1880000000001</v>
          </cell>
          <cell r="AL57">
            <v>167.56799999999998</v>
          </cell>
          <cell r="AM57">
            <v>204.773</v>
          </cell>
          <cell r="AN57">
            <v>199.964</v>
          </cell>
          <cell r="AO57">
            <v>176.75599999999991</v>
          </cell>
          <cell r="AP57">
            <v>749.06099999999992</v>
          </cell>
          <cell r="AQ57">
            <v>185.02900000000005</v>
          </cell>
          <cell r="AR57">
            <v>221.37400000000008</v>
          </cell>
          <cell r="AS57">
            <v>184.01599999999999</v>
          </cell>
          <cell r="AT57">
            <v>183.73799999999994</v>
          </cell>
          <cell r="AU57">
            <v>774.15700000000015</v>
          </cell>
          <cell r="AW57">
            <v>204.773</v>
          </cell>
          <cell r="AX57">
            <v>199.964</v>
          </cell>
          <cell r="AY57">
            <v>176.75599999999991</v>
          </cell>
          <cell r="AZ57">
            <v>185.02900000000005</v>
          </cell>
          <cell r="BA57">
            <v>766.52199999999971</v>
          </cell>
          <cell r="BB57">
            <v>221.37400000000008</v>
          </cell>
          <cell r="BC57">
            <v>184.01599999999999</v>
          </cell>
          <cell r="BD57">
            <v>183.73799999999994</v>
          </cell>
          <cell r="BE57">
            <v>189.49000000000009</v>
          </cell>
          <cell r="BF57">
            <v>778.61800000000017</v>
          </cell>
          <cell r="BG57">
            <v>218.88700000000011</v>
          </cell>
          <cell r="BH57">
            <v>204.76199999999994</v>
          </cell>
          <cell r="BI57">
            <v>186.60000000000008</v>
          </cell>
          <cell r="BJ57">
            <v>7.8379999999999654</v>
          </cell>
          <cell r="BK57">
            <v>618.08700000000022</v>
          </cell>
          <cell r="BL57">
            <v>214.5539999999998</v>
          </cell>
          <cell r="BM57">
            <v>155.64300000000006</v>
          </cell>
          <cell r="BN57">
            <v>171.97199999999998</v>
          </cell>
          <cell r="BO57">
            <v>173.59100000000004</v>
          </cell>
          <cell r="BP57">
            <v>715.76000000000033</v>
          </cell>
          <cell r="BQ57">
            <v>203.75299999999996</v>
          </cell>
          <cell r="BR57">
            <v>185.96000000000004</v>
          </cell>
          <cell r="BS57">
            <v>165.3719999999999</v>
          </cell>
          <cell r="BT57">
            <v>170.24400000000006</v>
          </cell>
          <cell r="BU57">
            <v>725.32899999999995</v>
          </cell>
          <cell r="BV57">
            <v>208.70299999999992</v>
          </cell>
          <cell r="BW57">
            <v>198.11500000000001</v>
          </cell>
          <cell r="BX57">
            <v>183.54700000000008</v>
          </cell>
          <cell r="BY57">
            <v>198.77799999999991</v>
          </cell>
          <cell r="BZ57">
            <v>789.14299999999935</v>
          </cell>
          <cell r="CA57">
            <v>226.3189999999999</v>
          </cell>
          <cell r="CB57">
            <v>213.04000000000002</v>
          </cell>
          <cell r="CC57">
            <v>201.39800000000005</v>
          </cell>
          <cell r="CD57">
            <v>220.41899999999998</v>
          </cell>
          <cell r="CE57">
            <v>861.17600000000039</v>
          </cell>
          <cell r="CF57">
            <v>250.44700000000014</v>
          </cell>
          <cell r="CG57">
            <v>240.54200000000006</v>
          </cell>
          <cell r="CH57">
            <v>224.38100000000003</v>
          </cell>
          <cell r="CI57">
            <v>266.91399999999987</v>
          </cell>
          <cell r="CJ57">
            <v>982.28400000000079</v>
          </cell>
          <cell r="CK57">
            <v>284.54000000000025</v>
          </cell>
          <cell r="CL57">
            <v>277.12699999999995</v>
          </cell>
          <cell r="CM57">
            <v>278.27400000000006</v>
          </cell>
          <cell r="CN57">
            <v>333.50501303617449</v>
          </cell>
          <cell r="CO57">
            <v>1173.4460130361754</v>
          </cell>
          <cell r="CP57">
            <v>315.49803162738897</v>
          </cell>
          <cell r="CQ57">
            <v>305.55847514900881</v>
          </cell>
          <cell r="CR57">
            <v>286.8431939730757</v>
          </cell>
          <cell r="CS57">
            <v>292.77813238288923</v>
          </cell>
          <cell r="CT57">
            <v>1200.6778331323621</v>
          </cell>
          <cell r="CU57">
            <v>331.11939971009417</v>
          </cell>
          <cell r="CV57">
            <v>319.17660198973715</v>
          </cell>
          <cell r="CW57">
            <v>304.59047773787347</v>
          </cell>
          <cell r="CX57">
            <v>306.86578192216882</v>
          </cell>
          <cell r="CY57">
            <v>1261.7522613598735</v>
          </cell>
          <cell r="CZ57">
            <v>349.20184755399202</v>
          </cell>
          <cell r="DA57">
            <v>335.83855234546616</v>
          </cell>
          <cell r="DB57">
            <v>323.3568460076367</v>
          </cell>
          <cell r="DC57">
            <v>328.63719513051313</v>
          </cell>
          <cell r="DD57">
            <v>1337.0344410376074</v>
          </cell>
          <cell r="DE57">
            <v>372.30613014637197</v>
          </cell>
          <cell r="DF57">
            <v>356.0927748062212</v>
          </cell>
          <cell r="DG57">
            <v>345.06332983175048</v>
          </cell>
          <cell r="DH57">
            <v>346.16163856703088</v>
          </cell>
          <cell r="DI57">
            <v>1419.6238733513751</v>
          </cell>
        </row>
        <row r="58">
          <cell r="B58" t="str">
            <v xml:space="preserve">EBITDAR </v>
          </cell>
          <cell r="D58">
            <v>43.752999999999986</v>
          </cell>
          <cell r="E58">
            <v>55.13000000000001</v>
          </cell>
          <cell r="F58">
            <v>67.442999999999984</v>
          </cell>
          <cell r="G58">
            <v>84.262</v>
          </cell>
          <cell r="H58">
            <v>113.95399999999998</v>
          </cell>
          <cell r="I58">
            <v>141.09000000000006</v>
          </cell>
          <cell r="J58">
            <v>185.18599999999998</v>
          </cell>
          <cell r="K58">
            <v>238.02600000000001</v>
          </cell>
          <cell r="L58">
            <v>307.40499999999992</v>
          </cell>
          <cell r="M58">
            <v>74.396999999999977</v>
          </cell>
          <cell r="N58">
            <v>101.45299999999999</v>
          </cell>
          <cell r="O58">
            <v>90.762000000000015</v>
          </cell>
          <cell r="P58">
            <v>82.850000000000009</v>
          </cell>
          <cell r="Q58">
            <v>349.46199999999999</v>
          </cell>
          <cell r="R58">
            <v>89.546999999999997</v>
          </cell>
          <cell r="S58">
            <v>117.40800000000002</v>
          </cell>
          <cell r="T58">
            <v>107.65899999999999</v>
          </cell>
          <cell r="U58">
            <v>99.361999999999995</v>
          </cell>
          <cell r="V58">
            <v>413.97599999999989</v>
          </cell>
          <cell r="W58">
            <v>103.11000000000004</v>
          </cell>
          <cell r="X58">
            <v>134.90700000000004</v>
          </cell>
          <cell r="Y58">
            <v>126.77099999999997</v>
          </cell>
          <cell r="Z58">
            <v>124.62900000000002</v>
          </cell>
          <cell r="AA58">
            <v>489.41700000000003</v>
          </cell>
          <cell r="AB58">
            <v>119.76200000000004</v>
          </cell>
          <cell r="AC58">
            <v>153.51300000000001</v>
          </cell>
          <cell r="AD58">
            <v>150.24099999999999</v>
          </cell>
          <cell r="AE58">
            <v>141.07399999999996</v>
          </cell>
          <cell r="AF58">
            <v>564.58999999999969</v>
          </cell>
          <cell r="AG58">
            <v>140.65899999999999</v>
          </cell>
          <cell r="AH58">
            <v>171.98299999999995</v>
          </cell>
          <cell r="AI58">
            <v>169.87399999999997</v>
          </cell>
          <cell r="AJ58">
            <v>160.67200000000003</v>
          </cell>
          <cell r="AK58">
            <v>643.1880000000001</v>
          </cell>
          <cell r="AL58">
            <v>167.56799999999998</v>
          </cell>
          <cell r="AM58">
            <v>204.773</v>
          </cell>
          <cell r="AN58">
            <v>199.964</v>
          </cell>
          <cell r="AO58">
            <v>176.75599999999991</v>
          </cell>
          <cell r="AP58">
            <v>749.06099999999992</v>
          </cell>
          <cell r="AQ58">
            <v>185.02900000000005</v>
          </cell>
          <cell r="AR58">
            <v>221.37400000000008</v>
          </cell>
          <cell r="AS58">
            <v>184.01599999999999</v>
          </cell>
          <cell r="AT58">
            <v>183.73799999999994</v>
          </cell>
          <cell r="AU58">
            <v>774.15700000000015</v>
          </cell>
          <cell r="AW58">
            <v>204.773</v>
          </cell>
          <cell r="AX58">
            <v>199.964</v>
          </cell>
          <cell r="AY58">
            <v>176.75599999999991</v>
          </cell>
          <cell r="AZ58">
            <v>185.02900000000005</v>
          </cell>
          <cell r="BA58">
            <v>766.52199999999971</v>
          </cell>
          <cell r="BB58">
            <v>221.37400000000008</v>
          </cell>
          <cell r="BC58">
            <v>184.01599999999999</v>
          </cell>
          <cell r="BD58">
            <v>183.73799999999994</v>
          </cell>
          <cell r="BE58">
            <v>189.49000000000009</v>
          </cell>
          <cell r="BF58">
            <v>778.61800000000017</v>
          </cell>
          <cell r="BG58">
            <v>218.88700000000011</v>
          </cell>
          <cell r="BH58">
            <v>204.76199999999994</v>
          </cell>
          <cell r="BI58">
            <v>186.60000000000008</v>
          </cell>
          <cell r="BJ58">
            <v>7.8379999999999654</v>
          </cell>
          <cell r="BK58">
            <v>618.08700000000022</v>
          </cell>
          <cell r="BL58">
            <v>214.5539999999998</v>
          </cell>
          <cell r="BM58">
            <v>155.64300000000006</v>
          </cell>
          <cell r="BN58">
            <v>171.97199999999998</v>
          </cell>
          <cell r="BO58">
            <v>173.59100000000004</v>
          </cell>
          <cell r="BP58">
            <v>715.76000000000033</v>
          </cell>
          <cell r="BQ58">
            <v>203.75299999999996</v>
          </cell>
          <cell r="BR58">
            <v>185.96000000000004</v>
          </cell>
          <cell r="BS58">
            <v>165.3719999999999</v>
          </cell>
          <cell r="BT58">
            <v>170.24400000000006</v>
          </cell>
          <cell r="BU58">
            <v>725.32899999999995</v>
          </cell>
          <cell r="BV58">
            <v>208.70299999999992</v>
          </cell>
          <cell r="BW58">
            <v>198.11500000000001</v>
          </cell>
          <cell r="BX58">
            <v>183.54700000000008</v>
          </cell>
          <cell r="BY58">
            <v>198.77799999999991</v>
          </cell>
          <cell r="BZ58">
            <v>789.14299999999935</v>
          </cell>
          <cell r="CA58">
            <v>226.3189999999999</v>
          </cell>
          <cell r="CB58">
            <v>213.04000000000002</v>
          </cell>
          <cell r="CC58">
            <v>201.39800000000005</v>
          </cell>
          <cell r="CD58">
            <v>220.41899999999998</v>
          </cell>
          <cell r="CE58">
            <v>861.17600000000039</v>
          </cell>
          <cell r="CF58">
            <v>250.44700000000014</v>
          </cell>
          <cell r="CG58">
            <v>240.54200000000006</v>
          </cell>
          <cell r="CH58">
            <v>224.38100000000003</v>
          </cell>
          <cell r="CI58">
            <v>266.91399999999987</v>
          </cell>
          <cell r="CJ58">
            <v>982.28400000000079</v>
          </cell>
          <cell r="CK58">
            <v>284.54000000000025</v>
          </cell>
          <cell r="CL58">
            <v>277.12699999999995</v>
          </cell>
          <cell r="CM58">
            <v>278.27400000000006</v>
          </cell>
          <cell r="CN58">
            <v>298.70460663476058</v>
          </cell>
          <cell r="CO58">
            <v>1138.6456066347616</v>
          </cell>
          <cell r="CP58">
            <v>312.96676355302282</v>
          </cell>
          <cell r="CQ58">
            <v>305.02718627142974</v>
          </cell>
          <cell r="CR58">
            <v>283.53607382068236</v>
          </cell>
          <cell r="CS58">
            <v>260.80711845798891</v>
          </cell>
          <cell r="CT58">
            <v>1162.3371421031245</v>
          </cell>
          <cell r="CU58">
            <v>328.73786195348197</v>
          </cell>
          <cell r="CV58">
            <v>318.64945677845793</v>
          </cell>
          <cell r="CW58">
            <v>301.55078463584692</v>
          </cell>
          <cell r="CX58">
            <v>274.37955777238574</v>
          </cell>
          <cell r="CY58">
            <v>1223.3176611401732</v>
          </cell>
          <cell r="CZ58">
            <v>346.69927574069129</v>
          </cell>
          <cell r="DA58">
            <v>335.16630133392357</v>
          </cell>
          <cell r="DB58">
            <v>320.31608444952519</v>
          </cell>
          <cell r="DC58">
            <v>295.46226082400415</v>
          </cell>
          <cell r="DD58">
            <v>1297.6439223481455</v>
          </cell>
          <cell r="DE58">
            <v>369.92455296981836</v>
          </cell>
          <cell r="DF58">
            <v>355.47494011069904</v>
          </cell>
          <cell r="DG58">
            <v>342.19796030920838</v>
          </cell>
          <cell r="DH58">
            <v>312.45636074942979</v>
          </cell>
          <cell r="DI58">
            <v>1380.0538141391567</v>
          </cell>
        </row>
        <row r="59">
          <cell r="B59" t="str">
            <v>Seasonality</v>
          </cell>
          <cell r="M59">
            <v>0.21124445175078083</v>
          </cell>
          <cell r="N59">
            <v>0.29578016919789069</v>
          </cell>
          <cell r="O59">
            <v>0.25973709834469338</v>
          </cell>
          <cell r="P59">
            <v>0.23323828070663521</v>
          </cell>
          <cell r="R59">
            <v>0.21357477139033529</v>
          </cell>
          <cell r="S59">
            <v>0.28771427583216058</v>
          </cell>
          <cell r="T59">
            <v>0.26073341332787037</v>
          </cell>
          <cell r="U59">
            <v>0.23797753944963412</v>
          </cell>
          <cell r="W59">
            <v>0.20863772858904028</v>
          </cell>
          <cell r="X59">
            <v>0.27789159701895155</v>
          </cell>
          <cell r="Y59">
            <v>0.25978727815465685</v>
          </cell>
          <cell r="Z59">
            <v>0.25368339623735142</v>
          </cell>
          <cell r="AB59">
            <v>0.21029404376842867</v>
          </cell>
          <cell r="AC59">
            <v>0.27426566346306214</v>
          </cell>
          <cell r="AD59">
            <v>0.26640156740902204</v>
          </cell>
          <cell r="AE59">
            <v>0.24903872535948779</v>
          </cell>
          <cell r="AG59">
            <v>0.21686373014253008</v>
          </cell>
          <cell r="AH59">
            <v>0.26970395774536199</v>
          </cell>
          <cell r="AI59">
            <v>0.26553888664899855</v>
          </cell>
          <cell r="AJ59">
            <v>0.247893425463109</v>
          </cell>
          <cell r="AL59">
            <v>0.22266517389999926</v>
          </cell>
          <cell r="AM59">
            <v>0.27418464938277026</v>
          </cell>
          <cell r="AN59">
            <v>0.26844042470675189</v>
          </cell>
          <cell r="AO59">
            <v>0.23470975201047853</v>
          </cell>
          <cell r="AQ59">
            <v>0.23964757834920383</v>
          </cell>
          <cell r="AR59">
            <v>0.29042122859767344</v>
          </cell>
          <cell r="AS59">
            <v>0.23438721309043603</v>
          </cell>
          <cell r="AT59">
            <v>0.23554397996268667</v>
          </cell>
          <cell r="AW59">
            <v>0.26796145110446196</v>
          </cell>
          <cell r="AX59">
            <v>0.26234760370957327</v>
          </cell>
          <cell r="AY59">
            <v>0.22938251969494994</v>
          </cell>
          <cell r="AZ59">
            <v>0.24030842549101514</v>
          </cell>
          <cell r="BB59">
            <v>0.28947323525564844</v>
          </cell>
          <cell r="BC59">
            <v>0.23362212605276172</v>
          </cell>
          <cell r="BD59">
            <v>0.23477511700512366</v>
          </cell>
          <cell r="BE59">
            <v>0.24212952168646615</v>
          </cell>
          <cell r="BG59">
            <v>0.3686592722464081</v>
          </cell>
          <cell r="BH59">
            <v>0.34076861358334676</v>
          </cell>
          <cell r="BI59">
            <v>0.30749000787483477</v>
          </cell>
          <cell r="BJ59">
            <v>-1.6917893704589747E-2</v>
          </cell>
          <cell r="BL59">
            <v>0.30698269444739795</v>
          </cell>
          <cell r="BM59">
            <v>0.21361715095654327</v>
          </cell>
          <cell r="BN59">
            <v>0.2401159311714221</v>
          </cell>
          <cell r="BO59">
            <v>0.23928422342463593</v>
          </cell>
          <cell r="BQ59">
            <v>0.28665814353583657</v>
          </cell>
          <cell r="BR59">
            <v>0.25771264422242224</v>
          </cell>
          <cell r="BS59">
            <v>0.2240131319349084</v>
          </cell>
          <cell r="BT59">
            <v>0.23161608030683284</v>
          </cell>
          <cell r="BV59">
            <v>0.26777313464217206</v>
          </cell>
          <cell r="BW59">
            <v>0.25216460645775501</v>
          </cell>
          <cell r="BX59">
            <v>0.23071857633869808</v>
          </cell>
          <cell r="BY59">
            <v>0.24934368256137562</v>
          </cell>
          <cell r="CA59">
            <v>0.26656402820656916</v>
          </cell>
          <cell r="CB59">
            <v>0.24775105014350365</v>
          </cell>
          <cell r="CC59">
            <v>0.23244895908852697</v>
          </cell>
          <cell r="CD59">
            <v>0.25323596256139963</v>
          </cell>
          <cell r="CF59">
            <v>0.25902415218509983</v>
          </cell>
          <cell r="CG59">
            <v>0.24614596646187506</v>
          </cell>
          <cell r="CH59">
            <v>0.22500163076172261</v>
          </cell>
          <cell r="CI59">
            <v>0.26982825059130172</v>
          </cell>
          <cell r="CK59">
            <v>0.23961218118093902</v>
          </cell>
          <cell r="CL59">
            <v>0.2724745910447442</v>
          </cell>
          <cell r="CM59">
            <v>0.23648791405016176</v>
          </cell>
          <cell r="CN59">
            <v>0.29051725014042512</v>
          </cell>
          <cell r="CP59">
            <v>0.26522041020982851</v>
          </cell>
          <cell r="CQ59">
            <v>0.25560205516202056</v>
          </cell>
          <cell r="CR59">
            <v>0.23731275110953001</v>
          </cell>
          <cell r="CS59">
            <v>0.24186478351862148</v>
          </cell>
          <cell r="CU59">
            <v>0.26476932865253378</v>
          </cell>
          <cell r="CV59">
            <v>0.25379884998264557</v>
          </cell>
          <cell r="CW59">
            <v>0.24026467302411203</v>
          </cell>
          <cell r="CX59">
            <v>0.24116714834070879</v>
          </cell>
          <cell r="CZ59">
            <v>0.26324132371728559</v>
          </cell>
          <cell r="DA59">
            <v>0.25170557493514051</v>
          </cell>
          <cell r="DB59">
            <v>0.2408161041803068</v>
          </cell>
          <cell r="DC59">
            <v>0.2442369971672676</v>
          </cell>
          <cell r="DE59">
            <v>0.26441728092909422</v>
          </cell>
          <cell r="DF59">
            <v>0.2512884368684507</v>
          </cell>
          <cell r="DG59">
            <v>0.24226051699229884</v>
          </cell>
          <cell r="DH59">
            <v>0.2420337652101556</v>
          </cell>
        </row>
        <row r="60">
          <cell r="B60" t="str">
            <v>EBITDA</v>
          </cell>
          <cell r="M60">
            <v>0.21124445175078083</v>
          </cell>
          <cell r="N60">
            <v>0.29578016919789069</v>
          </cell>
          <cell r="O60">
            <v>0.25973709834469338</v>
          </cell>
          <cell r="P60">
            <v>0.23323828070663521</v>
          </cell>
          <cell r="R60">
            <v>0.21357477139033529</v>
          </cell>
          <cell r="S60">
            <v>0.28771427583216058</v>
          </cell>
          <cell r="T60">
            <v>0.26073341332787037</v>
          </cell>
          <cell r="U60">
            <v>0.23797753944963412</v>
          </cell>
          <cell r="W60">
            <v>0.20863772858904028</v>
          </cell>
          <cell r="X60">
            <v>0.27789159701895155</v>
          </cell>
          <cell r="Y60">
            <v>0.25978727815465685</v>
          </cell>
          <cell r="Z60">
            <v>0.25368339623735142</v>
          </cell>
          <cell r="AB60">
            <v>0.21029404376842867</v>
          </cell>
          <cell r="AC60">
            <v>0.27426566346306214</v>
          </cell>
          <cell r="AD60">
            <v>0.26640156740902204</v>
          </cell>
          <cell r="AE60">
            <v>0.24903872535948779</v>
          </cell>
          <cell r="AG60">
            <v>0.21686373014253008</v>
          </cell>
          <cell r="AH60">
            <v>0.26970395774536199</v>
          </cell>
          <cell r="AI60">
            <v>0.26553888664899855</v>
          </cell>
          <cell r="AJ60">
            <v>0.247893425463109</v>
          </cell>
          <cell r="AL60">
            <v>0.22266517389999926</v>
          </cell>
          <cell r="AM60">
            <v>0.27418464938277026</v>
          </cell>
          <cell r="AN60">
            <v>0.26844042470675189</v>
          </cell>
          <cell r="AO60">
            <v>0.23470975201047853</v>
          </cell>
          <cell r="AQ60">
            <v>0.23964757834920383</v>
          </cell>
          <cell r="AR60">
            <v>0.29042122859767344</v>
          </cell>
          <cell r="AS60">
            <v>0.23438721309043603</v>
          </cell>
          <cell r="AT60">
            <v>0.23554397996268667</v>
          </cell>
          <cell r="AW60">
            <v>0.26796145110446196</v>
          </cell>
          <cell r="AX60">
            <v>0.26234760370957327</v>
          </cell>
          <cell r="AY60">
            <v>0.22938251969494994</v>
          </cell>
          <cell r="AZ60">
            <v>0.24030842549101514</v>
          </cell>
          <cell r="BB60">
            <v>0.28947323525564844</v>
          </cell>
          <cell r="BC60">
            <v>0.23362212605276172</v>
          </cell>
          <cell r="BD60">
            <v>0.23477511700512366</v>
          </cell>
          <cell r="BE60">
            <v>0.24212952168646615</v>
          </cell>
          <cell r="BG60">
            <v>0.3686592722464081</v>
          </cell>
          <cell r="BH60">
            <v>0.34076861358334676</v>
          </cell>
          <cell r="BI60">
            <v>0.30749000787483477</v>
          </cell>
          <cell r="BJ60">
            <v>-1.6917893704589747E-2</v>
          </cell>
          <cell r="BL60">
            <v>0.30698269444739795</v>
          </cell>
          <cell r="BM60">
            <v>0.21361715095654327</v>
          </cell>
          <cell r="BN60">
            <v>0.2401159311714221</v>
          </cell>
          <cell r="BO60">
            <v>0.23928422342463593</v>
          </cell>
          <cell r="BQ60">
            <v>0.28665814353583657</v>
          </cell>
          <cell r="BR60">
            <v>0.25771264422242224</v>
          </cell>
          <cell r="BS60">
            <v>0.2240131319349084</v>
          </cell>
          <cell r="BT60">
            <v>0.23161608030683284</v>
          </cell>
          <cell r="BV60">
            <v>0.26777313464217206</v>
          </cell>
          <cell r="BW60">
            <v>0.25216460645775501</v>
          </cell>
          <cell r="BX60">
            <v>0.23071857633869808</v>
          </cell>
          <cell r="BY60">
            <v>0.24934368256137562</v>
          </cell>
          <cell r="CA60">
            <v>0.26656402820656916</v>
          </cell>
          <cell r="CB60">
            <v>0.24775105014350365</v>
          </cell>
          <cell r="CC60">
            <v>0.23244895908852697</v>
          </cell>
          <cell r="CD60">
            <v>0.25323596256139963</v>
          </cell>
          <cell r="CF60">
            <v>0.25902415218509983</v>
          </cell>
          <cell r="CG60">
            <v>0.24614596646187506</v>
          </cell>
          <cell r="CH60">
            <v>0.22500163076172261</v>
          </cell>
          <cell r="CI60">
            <v>0.26982825059130172</v>
          </cell>
          <cell r="CK60">
            <v>0.24825506364087721</v>
          </cell>
          <cell r="CL60">
            <v>0.27967919462665197</v>
          </cell>
          <cell r="CM60">
            <v>0.24501810326782958</v>
          </cell>
          <cell r="CN60">
            <v>0.26492599687371582</v>
          </cell>
          <cell r="CP60">
            <v>0.27294599271990699</v>
          </cell>
          <cell r="CQ60">
            <v>0.26497766241309029</v>
          </cell>
          <cell r="CR60">
            <v>0.24317118621634712</v>
          </cell>
          <cell r="CS60">
            <v>0.21890515865065491</v>
          </cell>
          <cell r="CU60">
            <v>0.27223298843405241</v>
          </cell>
          <cell r="CV60">
            <v>0.26263439619182233</v>
          </cell>
          <cell r="CW60">
            <v>0.24619631479265561</v>
          </cell>
          <cell r="CX60">
            <v>0.21893630058146918</v>
          </cell>
          <cell r="CZ60">
            <v>0.27030725313890708</v>
          </cell>
          <cell r="DA60">
            <v>0.260007376960255</v>
          </cell>
          <cell r="DB60">
            <v>0.24660519424963379</v>
          </cell>
          <cell r="DC60">
            <v>0.22308017565120294</v>
          </cell>
          <cell r="DE60">
            <v>0.27120725671363166</v>
          </cell>
          <cell r="DF60">
            <v>0.25912381105124599</v>
          </cell>
          <cell r="DG60">
            <v>0.24790737681278099</v>
          </cell>
          <cell r="DH60">
            <v>0.22176155542234052</v>
          </cell>
        </row>
        <row r="61">
          <cell r="B61" t="str">
            <v>Operating EPS</v>
          </cell>
          <cell r="M61">
            <v>0.20658013280389728</v>
          </cell>
          <cell r="N61">
            <v>0.31837565484333813</v>
          </cell>
          <cell r="O61">
            <v>0.25864726884447287</v>
          </cell>
          <cell r="P61">
            <v>0.21639694350829206</v>
          </cell>
          <cell r="R61">
            <v>0.20452444428539915</v>
          </cell>
          <cell r="S61">
            <v>0.30111470951350033</v>
          </cell>
          <cell r="T61">
            <v>0.26136926169132885</v>
          </cell>
          <cell r="U61">
            <v>0.23299158450977248</v>
          </cell>
          <cell r="W61">
            <v>0.1957028424590701</v>
          </cell>
          <cell r="X61">
            <v>0.28768997273310121</v>
          </cell>
          <cell r="Y61">
            <v>0.26370054470230275</v>
          </cell>
          <cell r="Z61">
            <v>0.2529066401055261</v>
          </cell>
          <cell r="AB61">
            <v>0.20478339203687815</v>
          </cell>
          <cell r="AC61">
            <v>0.2809492119657846</v>
          </cell>
          <cell r="AD61">
            <v>0.27031764839552691</v>
          </cell>
          <cell r="AE61">
            <v>0.24394974760181148</v>
          </cell>
          <cell r="AG61">
            <v>0.20813930255696422</v>
          </cell>
          <cell r="AH61">
            <v>0.27236815499043515</v>
          </cell>
          <cell r="AI61">
            <v>0.26488775629320227</v>
          </cell>
          <cell r="AJ61">
            <v>0.25460478615939802</v>
          </cell>
          <cell r="AL61">
            <v>0.21935164365316415</v>
          </cell>
          <cell r="AM61">
            <v>0.27829984097151955</v>
          </cell>
          <cell r="AN61">
            <v>0.27463326555910678</v>
          </cell>
          <cell r="AO61">
            <v>0.22771524981620961</v>
          </cell>
          <cell r="AQ61">
            <v>0.22338964973392494</v>
          </cell>
          <cell r="AR61">
            <v>0.28298991297243958</v>
          </cell>
          <cell r="AS61">
            <v>0.27463322478526769</v>
          </cell>
          <cell r="AT61">
            <v>0.21898721250836786</v>
          </cell>
          <cell r="AW61">
            <v>0.27207253262765407</v>
          </cell>
          <cell r="AX61">
            <v>0.26848800144343565</v>
          </cell>
          <cell r="AY61">
            <v>0.22261983520779446</v>
          </cell>
          <cell r="AZ61">
            <v>0.23681963072111661</v>
          </cell>
          <cell r="BB61">
            <v>0.28784380436054174</v>
          </cell>
          <cell r="BC61">
            <v>0.27934378082830863</v>
          </cell>
          <cell r="BD61">
            <v>0.22274331863149455</v>
          </cell>
          <cell r="BE61">
            <v>0.21006909617965525</v>
          </cell>
          <cell r="BG61">
            <v>0.49423822667270301</v>
          </cell>
          <cell r="BH61">
            <v>0.42571159961887828</v>
          </cell>
          <cell r="BI61">
            <v>0.36326838001103162</v>
          </cell>
          <cell r="BJ61">
            <v>-0.28321820630261313</v>
          </cell>
          <cell r="BL61">
            <v>0.56378292130658159</v>
          </cell>
          <cell r="BM61">
            <v>9.8573165116666153E-2</v>
          </cell>
          <cell r="BN61">
            <v>0.17236150354889362</v>
          </cell>
          <cell r="BO61">
            <v>0.16528241002785427</v>
          </cell>
          <cell r="BQ61">
            <v>0.39003913647266691</v>
          </cell>
          <cell r="BR61">
            <v>0.26132011951352985</v>
          </cell>
          <cell r="BS61">
            <v>0.17529352354500616</v>
          </cell>
          <cell r="BT61">
            <v>0.17334722046879672</v>
          </cell>
          <cell r="BV61">
            <v>0.29837579949248816</v>
          </cell>
          <cell r="BW61">
            <v>0.25110668171593825</v>
          </cell>
          <cell r="BX61">
            <v>0.20230061718018458</v>
          </cell>
          <cell r="BY61">
            <v>0.24821690161139298</v>
          </cell>
          <cell r="CA61">
            <v>0.28386923263429703</v>
          </cell>
          <cell r="CB61">
            <v>0.24329137414031093</v>
          </cell>
          <cell r="CC61">
            <v>0.21859893281417339</v>
          </cell>
          <cell r="CD61">
            <v>0.25424046041121579</v>
          </cell>
          <cell r="CF61">
            <v>0.26018990767055272</v>
          </cell>
          <cell r="CG61">
            <v>0.23540882994889678</v>
          </cell>
          <cell r="CH61">
            <v>0.20265093102296974</v>
          </cell>
          <cell r="CI61">
            <v>0.30175033135757784</v>
          </cell>
          <cell r="CK61">
            <v>0.3285426269117826</v>
          </cell>
          <cell r="CL61">
            <v>0.33838436275508943</v>
          </cell>
          <cell r="CM61">
            <v>0.24093410532269091</v>
          </cell>
          <cell r="CN61">
            <v>0.14449371637273556</v>
          </cell>
          <cell r="CP61">
            <v>0.33015350253094228</v>
          </cell>
          <cell r="CQ61">
            <v>0.30146946058680774</v>
          </cell>
          <cell r="CR61">
            <v>0.2261196986280084</v>
          </cell>
          <cell r="CS61">
            <v>0.14225733825424156</v>
          </cell>
          <cell r="CU61">
            <v>0.3150546487034947</v>
          </cell>
          <cell r="CV61">
            <v>0.28695900531966395</v>
          </cell>
          <cell r="CW61">
            <v>0.23844895667827637</v>
          </cell>
          <cell r="CX61">
            <v>0.15953738929856498</v>
          </cell>
          <cell r="CZ61">
            <v>0.30140838171139267</v>
          </cell>
          <cell r="DA61">
            <v>0.27558888920842334</v>
          </cell>
          <cell r="DB61">
            <v>0.24103966625641146</v>
          </cell>
          <cell r="DC61">
            <v>0.18196306282377267</v>
          </cell>
          <cell r="DE61">
            <v>0.29850979193825444</v>
          </cell>
          <cell r="DF61">
            <v>0.2712908852022255</v>
          </cell>
          <cell r="DG61">
            <v>0.24461836700765882</v>
          </cell>
          <cell r="DH61">
            <v>0.18558095585186141</v>
          </cell>
        </row>
        <row r="62">
          <cell r="B62" t="str">
            <v>Margin Analysis-:</v>
          </cell>
        </row>
        <row r="63">
          <cell r="B63" t="str">
            <v>Margin Analysis-:</v>
          </cell>
          <cell r="D63">
            <v>9.5055077363274523E-2</v>
          </cell>
          <cell r="E63">
            <v>7.7909209898592027E-2</v>
          </cell>
          <cell r="F63">
            <v>7.9242620485419857E-2</v>
          </cell>
          <cell r="G63">
            <v>8.6945989670297347E-2</v>
          </cell>
          <cell r="H63">
            <v>9.1252515021694208E-2</v>
          </cell>
          <cell r="I63">
            <v>9.1015903022817049E-2</v>
          </cell>
          <cell r="J63">
            <v>9.0664228906773892E-2</v>
          </cell>
          <cell r="K63">
            <v>8.5868839351321419E-2</v>
          </cell>
          <cell r="L63">
            <v>8.6281899750790744E-2</v>
          </cell>
          <cell r="M63">
            <v>9.5238562861706871E-2</v>
          </cell>
          <cell r="N63">
            <v>8.7938707512627001E-2</v>
          </cell>
          <cell r="O63">
            <v>0.10201632465465439</v>
          </cell>
          <cell r="P63">
            <v>9.7999944132517655E-2</v>
          </cell>
          <cell r="Q63">
            <v>9.5900515376847642E-2</v>
          </cell>
          <cell r="R63">
            <v>9.2336001124038766E-2</v>
          </cell>
          <cell r="S63">
            <v>8.047130219867614E-2</v>
          </cell>
          <cell r="T63">
            <v>8.7837094955497214E-2</v>
          </cell>
          <cell r="U63">
            <v>8.4455492389420447E-2</v>
          </cell>
          <cell r="V63">
            <v>8.6110306528150229E-2</v>
          </cell>
          <cell r="W63">
            <v>8.2685261734951193E-2</v>
          </cell>
          <cell r="X63">
            <v>6.869253279683421E-2</v>
          </cell>
          <cell r="Y63">
            <v>7.6411180825142699E-2</v>
          </cell>
          <cell r="Z63">
            <v>7.9005816166785758E-2</v>
          </cell>
          <cell r="AA63">
            <v>7.6562891497557461E-2</v>
          </cell>
          <cell r="AB63">
            <v>7.4377648385203526E-2</v>
          </cell>
          <cell r="AC63">
            <v>7.5373999048190532E-2</v>
          </cell>
          <cell r="AD63">
            <v>7.6771042202553347E-2</v>
          </cell>
          <cell r="AE63">
            <v>7.799029537852735E-2</v>
          </cell>
          <cell r="AF63">
            <v>7.6208752670046565E-2</v>
          </cell>
          <cell r="AG63">
            <v>7.5985487817084807E-2</v>
          </cell>
          <cell r="AH63">
            <v>6.9634879778242523E-2</v>
          </cell>
          <cell r="AI63">
            <v>7.1775710177445856E-2</v>
          </cell>
          <cell r="AJ63">
            <v>7.4600263398818062E-2</v>
          </cell>
          <cell r="AK63">
            <v>7.2962489689819804E-2</v>
          </cell>
          <cell r="AL63">
            <v>7.6778494038091186E-2</v>
          </cell>
          <cell r="AM63">
            <v>7.1444417662880871E-2</v>
          </cell>
          <cell r="AN63">
            <v>7.6484600674626632E-2</v>
          </cell>
          <cell r="AO63">
            <v>7.5048491136271378E-2</v>
          </cell>
          <cell r="AP63">
            <v>7.4885406057921614E-2</v>
          </cell>
          <cell r="AQ63">
            <v>7.5513785893860347E-2</v>
          </cell>
          <cell r="AR63">
            <v>7.0383280578299803E-2</v>
          </cell>
          <cell r="AS63">
            <v>0.11282892201775944</v>
          </cell>
          <cell r="AT63">
            <v>8.3652461594183686E-2</v>
          </cell>
          <cell r="AU63">
            <v>8.5997287319265203E-2</v>
          </cell>
          <cell r="AW63">
            <v>7.1444417662880871E-2</v>
          </cell>
          <cell r="AX63">
            <v>7.6484600674626632E-2</v>
          </cell>
          <cell r="AY63">
            <v>7.5048491136271378E-2</v>
          </cell>
          <cell r="AZ63">
            <v>7.5513785893860347E-2</v>
          </cell>
          <cell r="BA63">
            <v>7.4605541839509751E-2</v>
          </cell>
          <cell r="BB63">
            <v>7.0383280578299803E-2</v>
          </cell>
          <cell r="BC63">
            <v>0.11282892201775944</v>
          </cell>
          <cell r="BD63">
            <v>8.3652461594183686E-2</v>
          </cell>
          <cell r="BE63">
            <v>8.6606236178634763E-2</v>
          </cell>
          <cell r="BF63">
            <v>8.8485132006084766E-2</v>
          </cell>
          <cell r="BG63">
            <v>8.1126411403559723E-2</v>
          </cell>
          <cell r="BH63">
            <v>8.9242137521697532E-2</v>
          </cell>
          <cell r="BI63">
            <v>9.4630277705407134E-2</v>
          </cell>
          <cell r="BJ63">
            <v>0.28765033489023334</v>
          </cell>
          <cell r="BK63">
            <v>0.13943011232448538</v>
          </cell>
          <cell r="BL63">
            <v>0.10622255763497862</v>
          </cell>
          <cell r="BM63">
            <v>0.13703997867464365</v>
          </cell>
          <cell r="BN63">
            <v>0.11819033834210592</v>
          </cell>
          <cell r="BO63">
            <v>0.12334462608936785</v>
          </cell>
          <cell r="BP63">
            <v>0.12106702386236293</v>
          </cell>
          <cell r="BQ63">
            <v>0.11189756475083554</v>
          </cell>
          <cell r="BR63">
            <v>0.11294409928897069</v>
          </cell>
          <cell r="BS63">
            <v>0.11479100926691031</v>
          </cell>
          <cell r="BT63">
            <v>0.11713073808311733</v>
          </cell>
          <cell r="BU63">
            <v>0.11416765750646228</v>
          </cell>
          <cell r="BV63">
            <v>0.12119546507096245</v>
          </cell>
          <cell r="BW63">
            <v>0.12246711895680741</v>
          </cell>
          <cell r="BX63">
            <v>0.12812605011306683</v>
          </cell>
          <cell r="BY63">
            <v>0.12276249822734969</v>
          </cell>
          <cell r="BZ63">
            <v>0.1235803144367815</v>
          </cell>
          <cell r="CA63">
            <v>0.12358183030756745</v>
          </cell>
          <cell r="CB63">
            <v>0.11999724311921825</v>
          </cell>
          <cell r="CC63">
            <v>0.12585752747196532</v>
          </cell>
          <cell r="CD63">
            <v>0.12170548770430877</v>
          </cell>
          <cell r="CE63">
            <v>0.12278305755147292</v>
          </cell>
          <cell r="CF63">
            <v>0.12053366219297577</v>
          </cell>
          <cell r="CG63">
            <v>0.12239698484899519</v>
          </cell>
          <cell r="CH63">
            <v>0.12774416458845744</v>
          </cell>
          <cell r="CI63">
            <v>0.12320381569592632</v>
          </cell>
          <cell r="CJ63">
            <v>0.12344529823781542</v>
          </cell>
          <cell r="CK63">
            <v>0.11933522203735744</v>
          </cell>
          <cell r="CL63">
            <v>0.12722074352179993</v>
          </cell>
          <cell r="CM63">
            <v>0.13464712799703399</v>
          </cell>
          <cell r="CN63">
            <v>0.129</v>
          </cell>
          <cell r="CO63">
            <v>0.12752839488969564</v>
          </cell>
          <cell r="CP63">
            <v>0.11952264249868212</v>
          </cell>
          <cell r="CQ63">
            <v>0.12748036197794807</v>
          </cell>
          <cell r="CR63">
            <v>0.13487133629000658</v>
          </cell>
          <cell r="CS63">
            <v>0.12976674030226171</v>
          </cell>
          <cell r="CT63">
            <v>0.12786203513896155</v>
          </cell>
          <cell r="CU63">
            <v>9.3323579899984702E-2</v>
          </cell>
          <cell r="CV63">
            <v>0.10053394490382549</v>
          </cell>
          <cell r="CW63">
            <v>0.1062233774677645</v>
          </cell>
          <cell r="CX63">
            <v>0.10233744956074385</v>
          </cell>
          <cell r="CY63">
            <v>0.10056378142065263</v>
          </cell>
          <cell r="CZ63">
            <v>8.119617377680817E-2</v>
          </cell>
          <cell r="DA63">
            <v>8.7465379507270083E-2</v>
          </cell>
          <cell r="DB63">
            <v>9.234194920665989E-2</v>
          </cell>
          <cell r="DC63">
            <v>8.8764807067232693E-2</v>
          </cell>
          <cell r="DD63">
            <v>8.7406888777636652E-2</v>
          </cell>
          <cell r="DE63">
            <v>7.2336695654006036E-2</v>
          </cell>
          <cell r="DF63">
            <v>7.7932628909236523E-2</v>
          </cell>
          <cell r="DG63">
            <v>8.2231276121315963E-2</v>
          </cell>
          <cell r="DH63">
            <v>7.9178735016042834E-2</v>
          </cell>
          <cell r="DI63">
            <v>7.7885508532465259E-2</v>
          </cell>
        </row>
        <row r="64">
          <cell r="B64" t="str">
            <v>Bad Debt</v>
          </cell>
          <cell r="D64">
            <v>9.5055077363274523E-2</v>
          </cell>
          <cell r="E64">
            <v>7.7909209898592027E-2</v>
          </cell>
          <cell r="F64">
            <v>7.9242620485419857E-2</v>
          </cell>
          <cell r="G64">
            <v>8.6945989670297347E-2</v>
          </cell>
          <cell r="H64">
            <v>9.1252515021694208E-2</v>
          </cell>
          <cell r="I64">
            <v>9.1015903022817049E-2</v>
          </cell>
          <cell r="J64">
            <v>9.0664228906773892E-2</v>
          </cell>
          <cell r="K64">
            <v>8.5868839351321419E-2</v>
          </cell>
          <cell r="L64">
            <v>8.6281899750790744E-2</v>
          </cell>
          <cell r="M64">
            <v>9.5238562861706871E-2</v>
          </cell>
          <cell r="N64">
            <v>8.7938707512627001E-2</v>
          </cell>
          <cell r="O64">
            <v>0.10201632465465439</v>
          </cell>
          <cell r="P64">
            <v>9.7999944132517655E-2</v>
          </cell>
          <cell r="Q64">
            <v>9.5900515376847642E-2</v>
          </cell>
          <cell r="R64">
            <v>9.2336001124038766E-2</v>
          </cell>
          <cell r="S64">
            <v>8.047130219867614E-2</v>
          </cell>
          <cell r="T64">
            <v>8.7837094955497214E-2</v>
          </cell>
          <cell r="U64">
            <v>8.4455492389420447E-2</v>
          </cell>
          <cell r="V64">
            <v>8.6110306528150229E-2</v>
          </cell>
          <cell r="W64">
            <v>8.2685261734951193E-2</v>
          </cell>
          <cell r="X64">
            <v>6.869253279683421E-2</v>
          </cell>
          <cell r="Y64">
            <v>7.6411180825142699E-2</v>
          </cell>
          <cell r="Z64">
            <v>7.9005816166785758E-2</v>
          </cell>
          <cell r="AA64">
            <v>7.6562891497557461E-2</v>
          </cell>
          <cell r="AB64">
            <v>7.4377648385203526E-2</v>
          </cell>
          <cell r="AC64">
            <v>7.5373999048190532E-2</v>
          </cell>
          <cell r="AD64">
            <v>7.6771042202553347E-2</v>
          </cell>
          <cell r="AE64">
            <v>7.799029537852735E-2</v>
          </cell>
          <cell r="AF64">
            <v>7.6208752670046565E-2</v>
          </cell>
          <cell r="AG64">
            <v>7.5985487817084807E-2</v>
          </cell>
          <cell r="AH64">
            <v>6.9634879778242523E-2</v>
          </cell>
          <cell r="AI64">
            <v>7.1775710177445856E-2</v>
          </cell>
          <cell r="AJ64">
            <v>7.4600263398818062E-2</v>
          </cell>
          <cell r="AK64">
            <v>7.2962489689819804E-2</v>
          </cell>
          <cell r="AL64">
            <v>7.6778494038091186E-2</v>
          </cell>
          <cell r="AM64">
            <v>7.1444417662880871E-2</v>
          </cell>
          <cell r="AN64">
            <v>7.6484600674626632E-2</v>
          </cell>
          <cell r="AO64">
            <v>7.5048491136271378E-2</v>
          </cell>
          <cell r="AP64">
            <v>7.4885406057921614E-2</v>
          </cell>
          <cell r="AQ64">
            <v>7.5513785893860347E-2</v>
          </cell>
          <cell r="AR64">
            <v>7.0383280578299803E-2</v>
          </cell>
          <cell r="AS64">
            <v>0.11282892201775944</v>
          </cell>
          <cell r="AT64">
            <v>8.3652461594183686E-2</v>
          </cell>
          <cell r="AU64">
            <v>8.5997287319265203E-2</v>
          </cell>
          <cell r="AW64">
            <v>7.1444417662880871E-2</v>
          </cell>
          <cell r="AX64">
            <v>7.6484600674626632E-2</v>
          </cell>
          <cell r="AY64">
            <v>7.5048491136271378E-2</v>
          </cell>
          <cell r="AZ64">
            <v>7.5513785893860347E-2</v>
          </cell>
          <cell r="BA64">
            <v>7.4605541839509751E-2</v>
          </cell>
          <cell r="BB64">
            <v>7.0383280578299803E-2</v>
          </cell>
          <cell r="BC64">
            <v>0.11282892201775944</v>
          </cell>
          <cell r="BD64">
            <v>8.3652461594183686E-2</v>
          </cell>
          <cell r="BE64">
            <v>8.6606236178634763E-2</v>
          </cell>
          <cell r="BF64">
            <v>8.8485132006084766E-2</v>
          </cell>
          <cell r="BG64">
            <v>8.1126411403559723E-2</v>
          </cell>
          <cell r="BH64">
            <v>8.9242137521697532E-2</v>
          </cell>
          <cell r="BI64">
            <v>9.4630277705407134E-2</v>
          </cell>
          <cell r="BJ64">
            <v>0.28765033489023334</v>
          </cell>
          <cell r="BK64">
            <v>0.13943011232448538</v>
          </cell>
          <cell r="BL64">
            <v>0.10622255763497862</v>
          </cell>
          <cell r="BM64">
            <v>0.13703997867464365</v>
          </cell>
          <cell r="BN64">
            <v>0.11819033834210592</v>
          </cell>
          <cell r="BO64">
            <v>0.12334462608936785</v>
          </cell>
          <cell r="BP64">
            <v>0.12106702386236293</v>
          </cell>
          <cell r="BQ64">
            <v>0.11189756475083554</v>
          </cell>
          <cell r="BR64">
            <v>0.11294409928897069</v>
          </cell>
          <cell r="BS64">
            <v>0.11479100926691031</v>
          </cell>
          <cell r="BT64">
            <v>0.11713073808311733</v>
          </cell>
          <cell r="BU64">
            <v>0.11416765750646228</v>
          </cell>
          <cell r="BV64">
            <v>0.12119546507096245</v>
          </cell>
          <cell r="BW64">
            <v>0.12246711895680741</v>
          </cell>
          <cell r="BX64">
            <v>0.12812605011306683</v>
          </cell>
          <cell r="BY64">
            <v>0.12276249822734969</v>
          </cell>
          <cell r="BZ64">
            <v>0.1235803144367815</v>
          </cell>
          <cell r="CA64">
            <v>0.12358183030756745</v>
          </cell>
          <cell r="CB64">
            <v>0.11999724311921825</v>
          </cell>
          <cell r="CC64">
            <v>0.12585752747196532</v>
          </cell>
          <cell r="CD64">
            <v>0.12170548770430877</v>
          </cell>
          <cell r="CE64">
            <v>0.12278305755147292</v>
          </cell>
          <cell r="CF64">
            <v>0.12053366219297577</v>
          </cell>
          <cell r="CG64">
            <v>0.12239698484899519</v>
          </cell>
          <cell r="CH64">
            <v>0.12774416458845744</v>
          </cell>
          <cell r="CI64">
            <v>0.12320381569592632</v>
          </cell>
          <cell r="CJ64">
            <v>0.12344529823781542</v>
          </cell>
          <cell r="CK64">
            <v>0.11933522203735744</v>
          </cell>
          <cell r="CL64">
            <v>0.12722074352179993</v>
          </cell>
          <cell r="CM64">
            <v>0.13464712799703399</v>
          </cell>
          <cell r="CN64">
            <v>0.13500000000000001</v>
          </cell>
          <cell r="CO64">
            <v>0.12905713901911378</v>
          </cell>
          <cell r="CP64">
            <v>0.13280991498835296</v>
          </cell>
          <cell r="CQ64">
            <v>0.13809127894429332</v>
          </cell>
          <cell r="CR64">
            <v>0.14707722374116353</v>
          </cell>
          <cell r="CS64">
            <v>0.14484946919158204</v>
          </cell>
          <cell r="CT64">
            <v>0.14067452826480611</v>
          </cell>
          <cell r="CU64">
            <v>0.10476251479687591</v>
          </cell>
          <cell r="CV64">
            <v>0.10936092117569106</v>
          </cell>
          <cell r="CW64">
            <v>0.11622839969238891</v>
          </cell>
          <cell r="CX64">
            <v>0.11492748315363646</v>
          </cell>
          <cell r="CY64">
            <v>0.11129344626342255</v>
          </cell>
          <cell r="CZ64">
            <v>9.1777917997573386E-2</v>
          </cell>
          <cell r="DA64">
            <v>9.5414325524532898E-2</v>
          </cell>
          <cell r="DB64">
            <v>0.10125621530709424</v>
          </cell>
          <cell r="DC64">
            <v>0.10007950448434633</v>
          </cell>
          <cell r="DD64">
            <v>9.7111365919868187E-2</v>
          </cell>
          <cell r="DE64">
            <v>8.2264049792486457E-2</v>
          </cell>
          <cell r="DF64">
            <v>8.5213983544909333E-2</v>
          </cell>
          <cell r="DG64">
            <v>9.0317057741127429E-2</v>
          </cell>
          <cell r="DH64">
            <v>8.9558692832797396E-2</v>
          </cell>
          <cell r="DI64">
            <v>8.6818412366575851E-2</v>
          </cell>
        </row>
        <row r="65">
          <cell r="B65" t="str">
            <v>Salaries &amp; benefits</v>
          </cell>
          <cell r="D65">
            <v>0.36891681972492008</v>
          </cell>
          <cell r="E65">
            <v>0.37055295273744426</v>
          </cell>
          <cell r="F65">
            <v>0.3713822904900243</v>
          </cell>
          <cell r="G65">
            <v>0.3552471832671506</v>
          </cell>
          <cell r="H65">
            <v>0.34073810468877602</v>
          </cell>
          <cell r="I65">
            <v>0.33794959084455856</v>
          </cell>
          <cell r="J65">
            <v>0.34706859839539028</v>
          </cell>
          <cell r="K65">
            <v>0.3472900627818315</v>
          </cell>
          <cell r="L65">
            <v>0.35311933066503221</v>
          </cell>
          <cell r="M65">
            <v>0.37199505067169458</v>
          </cell>
          <cell r="N65">
            <v>0.33752369403204729</v>
          </cell>
          <cell r="O65">
            <v>0.35288376698357038</v>
          </cell>
          <cell r="P65">
            <v>0.37237073661275455</v>
          </cell>
          <cell r="Q65">
            <v>0.35848675266853386</v>
          </cell>
          <cell r="R65">
            <v>0.36863067220760132</v>
          </cell>
          <cell r="S65">
            <v>0.35036644602415246</v>
          </cell>
          <cell r="T65">
            <v>0.34410468960544521</v>
          </cell>
          <cell r="U65">
            <v>0.3797959889095629</v>
          </cell>
          <cell r="V65">
            <v>0.3607072527185573</v>
          </cell>
          <cell r="W65">
            <v>0.38954073466793476</v>
          </cell>
          <cell r="X65">
            <v>0.3689539929833896</v>
          </cell>
          <cell r="Y65">
            <v>0.3725229975296015</v>
          </cell>
          <cell r="Z65">
            <v>0.38187399866046984</v>
          </cell>
          <cell r="AA65">
            <v>0.37798415896150711</v>
          </cell>
          <cell r="AB65">
            <v>0.39479570248133899</v>
          </cell>
          <cell r="AC65">
            <v>0.3776959313593633</v>
          </cell>
          <cell r="AD65">
            <v>0.38244080772892064</v>
          </cell>
          <cell r="AE65">
            <v>0.39260981633902914</v>
          </cell>
          <cell r="AF65">
            <v>0.38660329417338724</v>
          </cell>
          <cell r="AG65">
            <v>0.39793803606385753</v>
          </cell>
          <cell r="AH65">
            <v>0.38044339120642501</v>
          </cell>
          <cell r="AI65">
            <v>0.37933357748942637</v>
          </cell>
          <cell r="AJ65">
            <v>0.38801292053324571</v>
          </cell>
          <cell r="AK65">
            <v>0.38627051101002269</v>
          </cell>
          <cell r="AL65">
            <v>0.4001861072522348</v>
          </cell>
          <cell r="AM65">
            <v>0.390192191695237</v>
          </cell>
          <cell r="AN65">
            <v>0.38634547881483983</v>
          </cell>
          <cell r="AO65">
            <v>0.39586935711027915</v>
          </cell>
          <cell r="AP65">
            <v>0.39298321680284853</v>
          </cell>
          <cell r="AQ65">
            <v>0.3980267118797442</v>
          </cell>
          <cell r="AR65">
            <v>0.39052458558959202</v>
          </cell>
          <cell r="AS65">
            <v>0.38112567753868287</v>
          </cell>
          <cell r="AT65">
            <v>0.4037436284772834</v>
          </cell>
          <cell r="AU65">
            <v>0.39313895714048253</v>
          </cell>
          <cell r="AW65">
            <v>0.390192191695237</v>
          </cell>
          <cell r="AX65">
            <v>0.38634547881483983</v>
          </cell>
          <cell r="AY65">
            <v>0.39586935711027915</v>
          </cell>
          <cell r="AZ65">
            <v>0.3980267118797442</v>
          </cell>
          <cell r="BA65">
            <v>0.39258502105906357</v>
          </cell>
          <cell r="BB65">
            <v>0.39052458558959202</v>
          </cell>
          <cell r="BC65">
            <v>0.38112567753868287</v>
          </cell>
          <cell r="BD65">
            <v>0.4037436284772834</v>
          </cell>
          <cell r="BE65">
            <v>0.40219839124914708</v>
          </cell>
          <cell r="BF65">
            <v>0.39434789094286732</v>
          </cell>
          <cell r="BG65">
            <v>0.39294927662541396</v>
          </cell>
          <cell r="BH65">
            <v>0.39927456394580851</v>
          </cell>
          <cell r="BI65">
            <v>0.40678857793546191</v>
          </cell>
          <cell r="BJ65">
            <v>0.41141201045279291</v>
          </cell>
          <cell r="BK65">
            <v>0.40261854780312617</v>
          </cell>
          <cell r="BL65">
            <v>0.39833306078617764</v>
          </cell>
          <cell r="BM65">
            <v>0.40425651929062256</v>
          </cell>
          <cell r="BN65">
            <v>0.41008083618874791</v>
          </cell>
          <cell r="BO65">
            <v>0.41370893149365401</v>
          </cell>
          <cell r="BP65">
            <v>0.4064841360975478</v>
          </cell>
          <cell r="BQ65">
            <v>0.40587746362049404</v>
          </cell>
          <cell r="BR65">
            <v>0.40587840937158182</v>
          </cell>
          <cell r="BS65">
            <v>0.41539438439654169</v>
          </cell>
          <cell r="BT65">
            <v>0.41590770498261415</v>
          </cell>
          <cell r="BU65">
            <v>0.41069581326849991</v>
          </cell>
          <cell r="BV65">
            <v>0.39074411859029667</v>
          </cell>
          <cell r="BW65">
            <v>0.38782624650245401</v>
          </cell>
          <cell r="BX65">
            <v>0.39058813462482939</v>
          </cell>
          <cell r="BY65">
            <v>0.3989797876156394</v>
          </cell>
          <cell r="BZ65">
            <v>0.39210046677325278</v>
          </cell>
          <cell r="CA65">
            <v>0.395143573752606</v>
          </cell>
          <cell r="CB65">
            <v>0.39318168886196125</v>
          </cell>
          <cell r="CC65">
            <v>0.39494545743586595</v>
          </cell>
          <cell r="CD65">
            <v>0.40040412437622913</v>
          </cell>
          <cell r="CE65">
            <v>0.39599951430737201</v>
          </cell>
          <cell r="CF65">
            <v>0.39856072754615696</v>
          </cell>
          <cell r="CG65">
            <v>0.39144073220181558</v>
          </cell>
          <cell r="CH65">
            <v>0.39268656034234034</v>
          </cell>
          <cell r="CI65">
            <v>0.40267803360833049</v>
          </cell>
          <cell r="CJ65">
            <v>0.39655844508836374</v>
          </cell>
          <cell r="CK65">
            <v>0.39079571045194889</v>
          </cell>
          <cell r="CL65">
            <v>0.38299276448067376</v>
          </cell>
          <cell r="CM65">
            <v>0.38295275711203125</v>
          </cell>
          <cell r="CN65">
            <v>0.39315848867100484</v>
          </cell>
          <cell r="CO65">
            <v>0.38751364086269402</v>
          </cell>
          <cell r="CP65">
            <v>0.38363218570488017</v>
          </cell>
          <cell r="CQ65">
            <v>0.37665370817571497</v>
          </cell>
          <cell r="CR65">
            <v>0.37604706170237401</v>
          </cell>
          <cell r="CS65">
            <v>0.38889257961944623</v>
          </cell>
          <cell r="CT65">
            <v>0.38135899837490311</v>
          </cell>
          <cell r="CU65">
            <v>0.39301451241449353</v>
          </cell>
          <cell r="CV65">
            <v>0.38656749205114288</v>
          </cell>
          <cell r="CW65">
            <v>0.3855934077852709</v>
          </cell>
          <cell r="CX65">
            <v>0.39928336615394711</v>
          </cell>
          <cell r="CY65">
            <v>0.39116598200663893</v>
          </cell>
          <cell r="CZ65">
            <v>0.39546973314136513</v>
          </cell>
          <cell r="DA65">
            <v>0.38957145700251011</v>
          </cell>
          <cell r="DB65">
            <v>0.38829505983709039</v>
          </cell>
          <cell r="DC65">
            <v>0.40123208078798944</v>
          </cell>
          <cell r="DD65">
            <v>0.39369555047048721</v>
          </cell>
          <cell r="DE65">
            <v>0.3962805791756242</v>
          </cell>
          <cell r="DF65">
            <v>0.3911437055217406</v>
          </cell>
          <cell r="DG65">
            <v>0.38964424518703833</v>
          </cell>
          <cell r="DH65">
            <v>0.40336668033922346</v>
          </cell>
          <cell r="DI65">
            <v>0.39515877061723087</v>
          </cell>
        </row>
        <row r="66">
          <cell r="B66" t="str">
            <v>Supplies &amp; other</v>
          </cell>
          <cell r="D66">
            <v>0.32944431591223505</v>
          </cell>
          <cell r="E66">
            <v>0.32674405803129086</v>
          </cell>
          <cell r="F66">
            <v>0.32596734496477114</v>
          </cell>
          <cell r="G66">
            <v>0.31481369334452242</v>
          </cell>
          <cell r="H66">
            <v>0.30805765045646788</v>
          </cell>
          <cell r="I66">
            <v>0.30537531962326814</v>
          </cell>
          <cell r="J66">
            <v>0.30301812780600207</v>
          </cell>
          <cell r="K66">
            <v>0.30103340994012162</v>
          </cell>
          <cell r="L66">
            <v>0.29066158998667019</v>
          </cell>
          <cell r="M66">
            <v>0.28923782962788386</v>
          </cell>
          <cell r="N66">
            <v>0.27592509742515042</v>
          </cell>
          <cell r="O66">
            <v>0.28759933384968489</v>
          </cell>
          <cell r="P66">
            <v>0.2981982736947959</v>
          </cell>
          <cell r="Q66">
            <v>0.28784169440741991</v>
          </cell>
          <cell r="R66">
            <v>0.29707587802017865</v>
          </cell>
          <cell r="S66">
            <v>0.28185878063403119</v>
          </cell>
          <cell r="T66">
            <v>0.29278520272360709</v>
          </cell>
          <cell r="U66">
            <v>0.29216584665092826</v>
          </cell>
          <cell r="V66">
            <v>0.29080149350315987</v>
          </cell>
          <cell r="W66">
            <v>0.29032302636578644</v>
          </cell>
          <cell r="X66">
            <v>0.28196548226726303</v>
          </cell>
          <cell r="Y66">
            <v>0.28316599852494601</v>
          </cell>
          <cell r="Z66">
            <v>0.28540543181526701</v>
          </cell>
          <cell r="AA66">
            <v>0.28509719911841735</v>
          </cell>
          <cell r="AB66">
            <v>0.28928383428697046</v>
          </cell>
          <cell r="AC66">
            <v>0.28222875154324184</v>
          </cell>
          <cell r="AD66">
            <v>0.28720657039272479</v>
          </cell>
          <cell r="AE66">
            <v>0.29204382558601244</v>
          </cell>
          <cell r="AF66">
            <v>0.28765655102247373</v>
          </cell>
          <cell r="AG66">
            <v>0.29526811602526343</v>
          </cell>
          <cell r="AH66">
            <v>0.28388855201772084</v>
          </cell>
          <cell r="AI66">
            <v>0.28638582534803836</v>
          </cell>
          <cell r="AJ66">
            <v>0.29304030975214357</v>
          </cell>
          <cell r="AK66">
            <v>0.28957820427903724</v>
          </cell>
          <cell r="AL66">
            <v>0.30154661999886329</v>
          </cell>
          <cell r="AM66">
            <v>0.29280483315285755</v>
          </cell>
          <cell r="AN66">
            <v>0.2925180554994794</v>
          </cell>
          <cell r="AO66">
            <v>0.30760671808982515</v>
          </cell>
          <cell r="AP66">
            <v>0.29847951501691422</v>
          </cell>
          <cell r="AQ66">
            <v>0.3014129492167783</v>
          </cell>
          <cell r="AR66">
            <v>0.29779889432425594</v>
          </cell>
          <cell r="AS66">
            <v>0.30908180128957125</v>
          </cell>
          <cell r="AT66">
            <v>0.30971121653018135</v>
          </cell>
          <cell r="AU66">
            <v>0.30458767113146157</v>
          </cell>
          <cell r="AW66">
            <v>0.29280483315285755</v>
          </cell>
          <cell r="AX66">
            <v>0.2925180554994794</v>
          </cell>
          <cell r="AY66">
            <v>0.30760671808982515</v>
          </cell>
          <cell r="AZ66">
            <v>0.3014129492167783</v>
          </cell>
          <cell r="BA66">
            <v>0.29850744899989701</v>
          </cell>
          <cell r="BB66">
            <v>0.29779889432425594</v>
          </cell>
          <cell r="BC66">
            <v>0.30908180128957125</v>
          </cell>
          <cell r="BD66">
            <v>0.30971121653018135</v>
          </cell>
          <cell r="BE66">
            <v>0.30885752635068969</v>
          </cell>
          <cell r="BF66">
            <v>0.30637686267853192</v>
          </cell>
          <cell r="BG66">
            <v>0.14531307497143298</v>
          </cell>
          <cell r="BH66">
            <v>0.13918509284681302</v>
          </cell>
          <cell r="BI66">
            <v>0.13424657809842158</v>
          </cell>
          <cell r="BJ66">
            <v>0.1256120972744276</v>
          </cell>
          <cell r="BK66">
            <v>0.13604721188050253</v>
          </cell>
          <cell r="BL66">
            <v>0.13861777491336064</v>
          </cell>
          <cell r="BM66">
            <v>0.13634217371249524</v>
          </cell>
          <cell r="BN66">
            <v>0.12995835315070517</v>
          </cell>
          <cell r="BO66">
            <v>0.12819467324893868</v>
          </cell>
          <cell r="BP66">
            <v>0.13335711714768411</v>
          </cell>
          <cell r="BQ66">
            <v>0.13610689831090814</v>
          </cell>
          <cell r="BR66">
            <v>0.1350295259472776</v>
          </cell>
          <cell r="BS66">
            <v>0.13580839142482673</v>
          </cell>
          <cell r="BT66">
            <v>0.13542316873323704</v>
          </cell>
          <cell r="BU66">
            <v>0.13559607971136742</v>
          </cell>
          <cell r="BV66">
            <v>0.13925487974559414</v>
          </cell>
          <cell r="BW66">
            <v>0.14258996255148415</v>
          </cell>
          <cell r="BX66">
            <v>0.13750030082814646</v>
          </cell>
          <cell r="BY66">
            <v>0.13939454607639498</v>
          </cell>
          <cell r="BZ66">
            <v>0.13969493684700041</v>
          </cell>
          <cell r="CA66">
            <v>0.14059091733273982</v>
          </cell>
          <cell r="CB66">
            <v>0.14183831054498885</v>
          </cell>
          <cell r="CC66">
            <v>0.13649374064953698</v>
          </cell>
          <cell r="CD66">
            <v>0.13241877758293094</v>
          </cell>
          <cell r="CE66">
            <v>0.13773983013171892</v>
          </cell>
          <cell r="CF66">
            <v>0.13601940792708911</v>
          </cell>
          <cell r="CG66">
            <v>0.13314838610731478</v>
          </cell>
          <cell r="CH66">
            <v>0.1285440251841822</v>
          </cell>
          <cell r="CI66">
            <v>0.13660408618906486</v>
          </cell>
          <cell r="CJ66">
            <v>0.13368886904069696</v>
          </cell>
          <cell r="CK66">
            <v>0.13901007875397714</v>
          </cell>
          <cell r="CL66">
            <v>0.13409338996205844</v>
          </cell>
          <cell r="CM66">
            <v>0.13028523837765829</v>
          </cell>
          <cell r="CN66">
            <v>0.13632400282436108</v>
          </cell>
          <cell r="CO66">
            <v>0.13494936790088424</v>
          </cell>
          <cell r="CP66">
            <v>0.13646193886243516</v>
          </cell>
          <cell r="CQ66">
            <v>0.1318739601766292</v>
          </cell>
          <cell r="CR66">
            <v>0.12793583585763024</v>
          </cell>
          <cell r="CS66">
            <v>0.13484483904092365</v>
          </cell>
          <cell r="CT66">
            <v>0.13281484147181133</v>
          </cell>
          <cell r="CU66">
            <v>0.13987760126609727</v>
          </cell>
          <cell r="CV66">
            <v>0.13563420187018899</v>
          </cell>
          <cell r="CW66">
            <v>0.13150399902075124</v>
          </cell>
          <cell r="CX66">
            <v>0.13860597700283792</v>
          </cell>
          <cell r="CY66">
            <v>0.13644020065618348</v>
          </cell>
          <cell r="CZ66">
            <v>0.14127491309179291</v>
          </cell>
          <cell r="DA66">
            <v>0.137248827340436</v>
          </cell>
          <cell r="DB66">
            <v>0.13298635690626062</v>
          </cell>
          <cell r="DC66">
            <v>0.13985699416210359</v>
          </cell>
          <cell r="DD66">
            <v>0.13787717398637012</v>
          </cell>
          <cell r="DE66">
            <v>0.14220309468014525</v>
          </cell>
          <cell r="DF66">
            <v>0.13831672337846404</v>
          </cell>
          <cell r="DG66">
            <v>0.13396119157372707</v>
          </cell>
          <cell r="DH66">
            <v>0.14097628235947174</v>
          </cell>
          <cell r="DI66">
            <v>0.13890011932353097</v>
          </cell>
        </row>
        <row r="67">
          <cell r="B67" t="str">
            <v>Rent expense</v>
          </cell>
          <cell r="D67">
            <v>3.3523298692591345E-2</v>
          </cell>
          <cell r="E67">
            <v>3.311355490587041E-2</v>
          </cell>
          <cell r="F67">
            <v>3.0111003269478576E-2</v>
          </cell>
          <cell r="G67">
            <v>2.862152396277616E-2</v>
          </cell>
          <cell r="H67">
            <v>2.5816326996163024E-2</v>
          </cell>
          <cell r="I67">
            <v>2.383382226121929E-2</v>
          </cell>
          <cell r="J67">
            <v>2.252081358836483E-2</v>
          </cell>
          <cell r="K67">
            <v>2.17134459430787E-2</v>
          </cell>
          <cell r="L67">
            <v>2.3647657801795223E-2</v>
          </cell>
          <cell r="M67">
            <v>2.4802288737004741E-2</v>
          </cell>
          <cell r="N67">
            <v>2.3231924838409645E-2</v>
          </cell>
          <cell r="O67">
            <v>2.4407543272818057E-2</v>
          </cell>
          <cell r="P67">
            <v>2.5344283359870389E-2</v>
          </cell>
          <cell r="Q67">
            <v>2.4449235712436391E-2</v>
          </cell>
          <cell r="R67">
            <v>2.5055796635449372E-2</v>
          </cell>
          <cell r="S67">
            <v>2.2679277140864547E-2</v>
          </cell>
          <cell r="T67">
            <v>2.4699628482813814E-2</v>
          </cell>
          <cell r="U67">
            <v>2.4308747569983257E-2</v>
          </cell>
          <cell r="V67">
            <v>2.4158827000437966E-2</v>
          </cell>
          <cell r="W67">
            <v>2.1928117594769675E-2</v>
          </cell>
          <cell r="X67">
            <v>2.1311707098082902E-2</v>
          </cell>
          <cell r="Y67">
            <v>2.1637648112966319E-2</v>
          </cell>
          <cell r="Z67">
            <v>2.2057461366361508E-2</v>
          </cell>
          <cell r="AA67">
            <v>2.1731023656227443E-2</v>
          </cell>
          <cell r="AB67">
            <v>2.2036178378890769E-2</v>
          </cell>
          <cell r="AC67">
            <v>1.9948340196017576E-2</v>
          </cell>
          <cell r="AD67">
            <v>2.0873419345256182E-2</v>
          </cell>
          <cell r="AE67">
            <v>2.0502863603631495E-2</v>
          </cell>
          <cell r="AF67">
            <v>2.0793767880417275E-2</v>
          </cell>
          <cell r="AG67">
            <v>1.9863181161073089E-2</v>
          </cell>
          <cell r="AH67">
            <v>1.8726255738840972E-2</v>
          </cell>
          <cell r="AI67">
            <v>1.9263606679987083E-2</v>
          </cell>
          <cell r="AJ67">
            <v>2.0871162695914276E-2</v>
          </cell>
          <cell r="AK67">
            <v>1.9683461846084629E-2</v>
          </cell>
          <cell r="AL67">
            <v>2.0384559971343714E-2</v>
          </cell>
          <cell r="AM67">
            <v>2.0894416283830208E-2</v>
          </cell>
          <cell r="AN67">
            <v>2.0236351779734527E-2</v>
          </cell>
          <cell r="AO67">
            <v>2.0524155352068203E-2</v>
          </cell>
          <cell r="AP67">
            <v>2.0514148199327179E-2</v>
          </cell>
          <cell r="AQ67">
            <v>2.0693740186163385E-2</v>
          </cell>
          <cell r="AR67">
            <v>1.9360225320672126E-2</v>
          </cell>
          <cell r="AS67">
            <v>2.1074343012253496E-2</v>
          </cell>
          <cell r="AT67">
            <v>2.0539050698327725E-2</v>
          </cell>
          <cell r="AU67">
            <v>2.0412154262414842E-2</v>
          </cell>
          <cell r="AW67">
            <v>2.0894416283830208E-2</v>
          </cell>
          <cell r="AX67">
            <v>2.0236351779734527E-2</v>
          </cell>
          <cell r="AY67">
            <v>2.0524155352068203E-2</v>
          </cell>
          <cell r="AZ67">
            <v>2.0693740186163385E-2</v>
          </cell>
          <cell r="BA67">
            <v>2.0589250294894133E-2</v>
          </cell>
          <cell r="BB67">
            <v>1.9360225320672126E-2</v>
          </cell>
          <cell r="BC67">
            <v>2.1074343012253496E-2</v>
          </cell>
          <cell r="BD67">
            <v>2.0539050698327725E-2</v>
          </cell>
          <cell r="BE67">
            <v>2.0479379137066295E-2</v>
          </cell>
          <cell r="BF67">
            <v>2.0366521585995154E-2</v>
          </cell>
          <cell r="BG67">
            <v>1.9747060988127747E-2</v>
          </cell>
          <cell r="BH67">
            <v>2.082570943810506E-2</v>
          </cell>
          <cell r="BI67">
            <v>2.1164638556458986E-2</v>
          </cell>
          <cell r="BJ67">
            <v>1.6098098948166346E-2</v>
          </cell>
          <cell r="BK67">
            <v>1.9422846707675953E-2</v>
          </cell>
          <cell r="BL67">
            <v>1.8491814403257277E-2</v>
          </cell>
          <cell r="BM67">
            <v>1.9158248882556784E-2</v>
          </cell>
          <cell r="BN67">
            <v>1.9334902526563065E-2</v>
          </cell>
          <cell r="BO67">
            <v>2.0829570601617473E-2</v>
          </cell>
          <cell r="BP67">
            <v>1.9443835233052272E-2</v>
          </cell>
          <cell r="BQ67">
            <v>1.920487396882798E-2</v>
          </cell>
          <cell r="BR67">
            <v>2.0520239319858247E-2</v>
          </cell>
          <cell r="BS67">
            <v>2.1669005115009139E-2</v>
          </cell>
          <cell r="BT67">
            <v>2.1135501418387409E-2</v>
          </cell>
          <cell r="BU67">
            <v>2.0612537798113988E-2</v>
          </cell>
          <cell r="BV67">
            <v>2.1304301347701182E-2</v>
          </cell>
          <cell r="BW67">
            <v>2.1993105734287765E-2</v>
          </cell>
          <cell r="BX67">
            <v>2.2757760697671724E-2</v>
          </cell>
          <cell r="BY67">
            <v>2.33631138583715E-2</v>
          </cell>
          <cell r="BZ67">
            <v>2.2353702679738578E-2</v>
          </cell>
          <cell r="CA67">
            <v>2.3328059740750914E-2</v>
          </cell>
          <cell r="CB67">
            <v>2.4487352408704369E-2</v>
          </cell>
          <cell r="CC67">
            <v>2.3754602926512935E-2</v>
          </cell>
          <cell r="CD67">
            <v>2.5068432664550881E-2</v>
          </cell>
          <cell r="CE67">
            <v>2.4170191041686544E-2</v>
          </cell>
          <cell r="CF67">
            <v>2.5123444432741528E-2</v>
          </cell>
          <cell r="CG67">
            <v>2.6354621375379562E-2</v>
          </cell>
          <cell r="CH67">
            <v>2.7221684220750098E-2</v>
          </cell>
          <cell r="CI67">
            <v>2.7491927509859362E-2</v>
          </cell>
          <cell r="CJ67">
            <v>2.6569702591358831E-2</v>
          </cell>
          <cell r="CK67">
            <v>2.6697017167916379E-2</v>
          </cell>
          <cell r="CL67">
            <v>2.5993438641574679E-2</v>
          </cell>
          <cell r="CM67">
            <v>2.5166642931353268E-2</v>
          </cell>
          <cell r="CN67">
            <v>2.5138029397355505E-2</v>
          </cell>
          <cell r="CO67">
            <v>2.574815390429426E-2</v>
          </cell>
          <cell r="CP67">
            <v>2.4318679275896159E-2</v>
          </cell>
          <cell r="CQ67">
            <v>2.4636374612924006E-2</v>
          </cell>
          <cell r="CR67">
            <v>2.497882038883259E-2</v>
          </cell>
          <cell r="CS67">
            <v>2.5020982865841462E-2</v>
          </cell>
          <cell r="CT67">
            <v>2.4737518725285422E-2</v>
          </cell>
          <cell r="CU67">
            <v>2.4562955421954975E-2</v>
          </cell>
          <cell r="CV67">
            <v>2.4909304624542508E-2</v>
          </cell>
          <cell r="CW67">
            <v>2.5229192463971272E-2</v>
          </cell>
          <cell r="CX67">
            <v>2.5320364527101933E-2</v>
          </cell>
          <cell r="CY67">
            <v>2.5004222441485504E-2</v>
          </cell>
          <cell r="CZ67">
            <v>2.4326400688784465E-2</v>
          </cell>
          <cell r="DA67">
            <v>2.4701291301965415E-2</v>
          </cell>
          <cell r="DB67">
            <v>2.4998322257651532E-2</v>
          </cell>
          <cell r="DC67">
            <v>2.5036991215724266E-2</v>
          </cell>
          <cell r="DD67">
            <v>2.4764455289314299E-2</v>
          </cell>
          <cell r="DE67">
            <v>2.3987114322703014E-2</v>
          </cell>
          <cell r="DF67">
            <v>2.4412995199644159E-2</v>
          </cell>
          <cell r="DG67">
            <v>2.469176546253337E-2</v>
          </cell>
          <cell r="DH67">
            <v>2.4789137911102446E-2</v>
          </cell>
          <cell r="DI67">
            <v>2.4468610116228293E-2</v>
          </cell>
        </row>
        <row r="68">
          <cell r="B68" t="str">
            <v>Other operating expenses</v>
          </cell>
          <cell r="AW68">
            <v>0</v>
          </cell>
          <cell r="AX68">
            <v>0</v>
          </cell>
          <cell r="AY68">
            <v>0</v>
          </cell>
          <cell r="AZ68">
            <v>0</v>
          </cell>
          <cell r="BA68">
            <v>0</v>
          </cell>
          <cell r="BB68">
            <v>0</v>
          </cell>
          <cell r="BC68">
            <v>0</v>
          </cell>
          <cell r="BD68">
            <v>0</v>
          </cell>
          <cell r="BE68">
            <v>0</v>
          </cell>
          <cell r="BF68">
            <v>0</v>
          </cell>
          <cell r="BG68">
            <v>0.1686469893285302</v>
          </cell>
          <cell r="BH68">
            <v>0.17194517449016936</v>
          </cell>
          <cell r="BI68">
            <v>0.17662916917728502</v>
          </cell>
          <cell r="BJ68">
            <v>0.16788017474516331</v>
          </cell>
          <cell r="BK68">
            <v>0.17120670192197504</v>
          </cell>
          <cell r="BL68">
            <v>0.16920281268664744</v>
          </cell>
          <cell r="BM68">
            <v>0.18075968852606669</v>
          </cell>
          <cell r="BN68">
            <v>0.18107736110163719</v>
          </cell>
          <cell r="BO68">
            <v>0.17640598461339185</v>
          </cell>
          <cell r="BP68">
            <v>0.17675698392505967</v>
          </cell>
          <cell r="BQ68">
            <v>0.16933692645665521</v>
          </cell>
          <cell r="BR68">
            <v>0.17790389749741925</v>
          </cell>
          <cell r="BS68">
            <v>0.1811548792233024</v>
          </cell>
          <cell r="BT68">
            <v>0.17841730630512329</v>
          </cell>
          <cell r="BU68">
            <v>0.17660415521481998</v>
          </cell>
          <cell r="BV68">
            <v>0.17313301173462131</v>
          </cell>
          <cell r="BW68">
            <v>0.17565578175832336</v>
          </cell>
          <cell r="BX68">
            <v>0.18018224391948323</v>
          </cell>
          <cell r="BY68">
            <v>0.17304487099276758</v>
          </cell>
          <cell r="BZ68">
            <v>0.17543093070139917</v>
          </cell>
          <cell r="CA68">
            <v>0.164562547324203</v>
          </cell>
          <cell r="CB68">
            <v>0.17424848952585659</v>
          </cell>
          <cell r="CC68">
            <v>0.18420441676327007</v>
          </cell>
          <cell r="CD68">
            <v>0.18244691984595349</v>
          </cell>
          <cell r="CE68">
            <v>0.17643812733681385</v>
          </cell>
          <cell r="CF68">
            <v>0.17019323526601149</v>
          </cell>
          <cell r="CG68">
            <v>0.18062597779916623</v>
          </cell>
          <cell r="CH68">
            <v>0.19078103530527538</v>
          </cell>
          <cell r="CI68">
            <v>0.19312414523789381</v>
          </cell>
          <cell r="CJ68">
            <v>0.18390431672943389</v>
          </cell>
          <cell r="CK68">
            <v>0.18486609689312533</v>
          </cell>
          <cell r="CL68">
            <v>0.19307861475054564</v>
          </cell>
          <cell r="CM68">
            <v>0.19945775324527834</v>
          </cell>
          <cell r="CN68">
            <v>0.19736106601182624</v>
          </cell>
          <cell r="CO68">
            <v>0.19368715717012791</v>
          </cell>
          <cell r="CP68">
            <v>0.18192294101663578</v>
          </cell>
          <cell r="CQ68">
            <v>0.19035016746499017</v>
          </cell>
          <cell r="CR68">
            <v>0.19634239946695992</v>
          </cell>
          <cell r="CS68">
            <v>0.19570591904093115</v>
          </cell>
          <cell r="CT68">
            <v>0.19104851636397455</v>
          </cell>
          <cell r="CU68">
            <v>0.18796721204446853</v>
          </cell>
          <cell r="CV68">
            <v>0.1970097155907401</v>
          </cell>
          <cell r="CW68">
            <v>0.20302202612928863</v>
          </cell>
          <cell r="CX68">
            <v>0.20264607698685905</v>
          </cell>
          <cell r="CY68">
            <v>0.19762629395911402</v>
          </cell>
          <cell r="CZ68">
            <v>0.19071643224795454</v>
          </cell>
          <cell r="DA68">
            <v>0.20018831405370535</v>
          </cell>
          <cell r="DB68">
            <v>0.20613913487529451</v>
          </cell>
          <cell r="DC68">
            <v>0.20532468632943052</v>
          </cell>
          <cell r="DD68">
            <v>0.2005564270644645</v>
          </cell>
          <cell r="DE68">
            <v>0.19268771167198695</v>
          </cell>
          <cell r="DF68">
            <v>0.20266975901520151</v>
          </cell>
          <cell r="DG68">
            <v>0.20857598877140512</v>
          </cell>
          <cell r="DH68">
            <v>0.20815174176003184</v>
          </cell>
          <cell r="DI68">
            <v>0.20297780709636462</v>
          </cell>
        </row>
        <row r="69">
          <cell r="B69" t="str">
            <v>Electronic health record incentive income</v>
          </cell>
          <cell r="D69">
            <v>0.1730604883069789</v>
          </cell>
          <cell r="E69">
            <v>0.19168022442680238</v>
          </cell>
          <cell r="F69">
            <v>0.19329674079030612</v>
          </cell>
          <cell r="G69">
            <v>0.21437160975525354</v>
          </cell>
          <cell r="H69">
            <v>0.23413540283689879</v>
          </cell>
          <cell r="I69">
            <v>0.24182536424813697</v>
          </cell>
          <cell r="J69">
            <v>0.2367282313034689</v>
          </cell>
          <cell r="K69">
            <v>0.24409424198364682</v>
          </cell>
          <cell r="L69">
            <v>0.24628952179571156</v>
          </cell>
          <cell r="M69">
            <v>0.21872626810170995</v>
          </cell>
          <cell r="N69">
            <v>0.27538057619176565</v>
          </cell>
          <cell r="O69">
            <v>0.23309303123927227</v>
          </cell>
          <cell r="P69">
            <v>0.2060867622000615</v>
          </cell>
          <cell r="Q69">
            <v>0.23332180183476223</v>
          </cell>
          <cell r="R69">
            <v>0.2169016520127319</v>
          </cell>
          <cell r="S69">
            <v>0.26462419400227583</v>
          </cell>
          <cell r="T69">
            <v>0.25057338423263675</v>
          </cell>
          <cell r="U69">
            <v>0.21927392448010513</v>
          </cell>
          <cell r="V69">
            <v>0.23822212024969461</v>
          </cell>
          <cell r="W69">
            <v>0.21552285963655798</v>
          </cell>
          <cell r="X69">
            <v>0.25907628485443035</v>
          </cell>
          <cell r="Y69">
            <v>0.24626217500734351</v>
          </cell>
          <cell r="Z69">
            <v>0.23165729199111598</v>
          </cell>
          <cell r="AA69">
            <v>0.23862472676629071</v>
          </cell>
          <cell r="AB69">
            <v>0.21950663646759624</v>
          </cell>
          <cell r="AC69">
            <v>0.24475297785318686</v>
          </cell>
          <cell r="AD69">
            <v>0.23270816033054503</v>
          </cell>
          <cell r="AE69">
            <v>0.21685319909279951</v>
          </cell>
          <cell r="AF69">
            <v>0.22873763425367521</v>
          </cell>
          <cell r="AG69">
            <v>0.21094517893272116</v>
          </cell>
          <cell r="AH69">
            <v>0.24730692125877063</v>
          </cell>
          <cell r="AI69">
            <v>0.24324128030510236</v>
          </cell>
          <cell r="AJ69">
            <v>0.22347534361987845</v>
          </cell>
          <cell r="AK69">
            <v>0.23150533317503566</v>
          </cell>
          <cell r="AL69">
            <v>0.20110421873946702</v>
          </cell>
          <cell r="AM69">
            <v>0.22466414120519432</v>
          </cell>
          <cell r="AN69">
            <v>0.22441551323131961</v>
          </cell>
          <cell r="AO69">
            <v>0.2009512783115561</v>
          </cell>
          <cell r="AP69">
            <v>0.2131377139229885</v>
          </cell>
          <cell r="AQ69">
            <v>0.20435281282345377</v>
          </cell>
          <cell r="AR69">
            <v>0.22193301418718017</v>
          </cell>
          <cell r="AS69">
            <v>0.17588925614173295</v>
          </cell>
          <cell r="AT69">
            <v>0.1823536427000238</v>
          </cell>
          <cell r="AU69">
            <v>0.19586393014637582</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2.4140439229334489E-2</v>
          </cell>
          <cell r="CJ69">
            <v>6.5771410759172689E-3</v>
          </cell>
          <cell r="CK69">
            <v>2.72158376014961E-3</v>
          </cell>
          <cell r="CL69">
            <v>1.7023007445416388E-3</v>
          </cell>
          <cell r="CM69">
            <v>1.4556056500861983E-2</v>
          </cell>
          <cell r="CN69">
            <v>3.6040110267753445E-2</v>
          </cell>
          <cell r="CO69">
            <v>1.3845522883874393E-2</v>
          </cell>
          <cell r="CP69">
            <v>1.1275887914691866E-2</v>
          </cell>
          <cell r="CQ69">
            <v>1.1439672641129668E-2</v>
          </cell>
          <cell r="CR69">
            <v>1.1580765928516033E-2</v>
          </cell>
          <cell r="CS69">
            <v>1.127102836295866E-2</v>
          </cell>
          <cell r="CT69">
            <v>1.1390396543174126E-2</v>
          </cell>
          <cell r="CU69">
            <v>7.3716193503813483E-3</v>
          </cell>
          <cell r="CV69">
            <v>7.4863463865094881E-3</v>
          </cell>
          <cell r="CW69">
            <v>7.570772999470724E-3</v>
          </cell>
          <cell r="CX69">
            <v>7.3824522592148599E-3</v>
          </cell>
          <cell r="CY69">
            <v>7.4519096016075854E-3</v>
          </cell>
          <cell r="CZ69">
            <v>3.5439935013598001E-3</v>
          </cell>
          <cell r="DA69">
            <v>3.60380057974162E-3</v>
          </cell>
          <cell r="DB69">
            <v>3.6415016971351644E-3</v>
          </cell>
          <cell r="DC69">
            <v>3.5436074820564085E-3</v>
          </cell>
          <cell r="DD69">
            <v>3.5827440508577032E-3</v>
          </cell>
          <cell r="DE69">
            <v>1.6963905542596476E-3</v>
          </cell>
          <cell r="DF69">
            <v>1.7289997832715151E-3</v>
          </cell>
          <cell r="DG69">
            <v>1.7460415615007906E-3</v>
          </cell>
          <cell r="DH69">
            <v>1.7031687354246705E-3</v>
          </cell>
          <cell r="DI69">
            <v>1.7184190727128257E-3</v>
          </cell>
        </row>
        <row r="70">
          <cell r="B70" t="str">
            <v>EBITDA Margin</v>
          </cell>
          <cell r="D70">
            <v>0.1730604883069789</v>
          </cell>
          <cell r="E70">
            <v>0.19168022442680238</v>
          </cell>
          <cell r="F70">
            <v>0.19329674079030612</v>
          </cell>
          <cell r="G70">
            <v>0.21437160975525354</v>
          </cell>
          <cell r="H70">
            <v>0.23413540283689879</v>
          </cell>
          <cell r="I70">
            <v>0.24182536424813697</v>
          </cell>
          <cell r="J70">
            <v>0.2367282313034689</v>
          </cell>
          <cell r="K70">
            <v>0.24409424198364682</v>
          </cell>
          <cell r="L70">
            <v>0.24628952179571156</v>
          </cell>
          <cell r="M70">
            <v>0.21872626810170995</v>
          </cell>
          <cell r="N70">
            <v>0.27538057619176565</v>
          </cell>
          <cell r="O70">
            <v>0.23309303123927227</v>
          </cell>
          <cell r="P70">
            <v>0.2060867622000615</v>
          </cell>
          <cell r="Q70">
            <v>0.23332180183476223</v>
          </cell>
          <cell r="R70">
            <v>0.2169016520127319</v>
          </cell>
          <cell r="S70">
            <v>0.26462419400227583</v>
          </cell>
          <cell r="T70">
            <v>0.25057338423263675</v>
          </cell>
          <cell r="U70">
            <v>0.21927392448010513</v>
          </cell>
          <cell r="V70">
            <v>0.23822212024969461</v>
          </cell>
          <cell r="W70">
            <v>0.21552285963655798</v>
          </cell>
          <cell r="X70">
            <v>0.25907628485443035</v>
          </cell>
          <cell r="Y70">
            <v>0.24626217500734351</v>
          </cell>
          <cell r="Z70">
            <v>0.23165729199111598</v>
          </cell>
          <cell r="AA70">
            <v>0.23862472676629071</v>
          </cell>
          <cell r="AB70">
            <v>0.21950663646759624</v>
          </cell>
          <cell r="AC70">
            <v>0.24475297785318686</v>
          </cell>
          <cell r="AD70">
            <v>0.23270816033054503</v>
          </cell>
          <cell r="AE70">
            <v>0.21685319909279951</v>
          </cell>
          <cell r="AF70">
            <v>0.22873763425367521</v>
          </cell>
          <cell r="AG70">
            <v>0.21094517893272116</v>
          </cell>
          <cell r="AH70">
            <v>0.24730692125877063</v>
          </cell>
          <cell r="AI70">
            <v>0.24324128030510236</v>
          </cell>
          <cell r="AJ70">
            <v>0.22347534361987845</v>
          </cell>
          <cell r="AK70">
            <v>0.23150533317503566</v>
          </cell>
          <cell r="AL70">
            <v>0.20110421873946702</v>
          </cell>
          <cell r="AM70">
            <v>0.22466414120519432</v>
          </cell>
          <cell r="AN70">
            <v>0.22441551323131961</v>
          </cell>
          <cell r="AO70">
            <v>0.2009512783115561</v>
          </cell>
          <cell r="AP70">
            <v>0.2131377139229885</v>
          </cell>
          <cell r="AQ70">
            <v>0.20435281282345377</v>
          </cell>
          <cell r="AR70">
            <v>0.22193301418718017</v>
          </cell>
          <cell r="AS70">
            <v>0.17588925614173295</v>
          </cell>
          <cell r="AT70">
            <v>0.1823536427000238</v>
          </cell>
          <cell r="AU70">
            <v>0.19586393014637582</v>
          </cell>
          <cell r="AW70">
            <v>0.22466414120519432</v>
          </cell>
          <cell r="AX70">
            <v>0.22441551323131961</v>
          </cell>
          <cell r="AY70">
            <v>0.2009512783115561</v>
          </cell>
          <cell r="AZ70">
            <v>0.20435281282345377</v>
          </cell>
          <cell r="BA70">
            <v>0.21371273780663558</v>
          </cell>
          <cell r="BB70">
            <v>0.22193301418718017</v>
          </cell>
          <cell r="BC70">
            <v>0.17588925614173295</v>
          </cell>
          <cell r="BD70">
            <v>0.1823536427000238</v>
          </cell>
          <cell r="BE70">
            <v>0.18185846708446218</v>
          </cell>
          <cell r="BF70">
            <v>0.19042359278652082</v>
          </cell>
          <cell r="BG70">
            <v>0.19221718668293544</v>
          </cell>
          <cell r="BH70">
            <v>0.17952732175740646</v>
          </cell>
          <cell r="BI70">
            <v>0.1665407585269654</v>
          </cell>
          <cell r="BJ70">
            <v>-8.6527163107834888E-3</v>
          </cell>
          <cell r="BK70">
            <v>0.13127457936223494</v>
          </cell>
          <cell r="BL70">
            <v>0.16913197957557832</v>
          </cell>
          <cell r="BM70">
            <v>0.12244339091361507</v>
          </cell>
          <cell r="BN70">
            <v>0.14135820869024066</v>
          </cell>
          <cell r="BO70">
            <v>0.13751621395303018</v>
          </cell>
          <cell r="BP70">
            <v>0.14289090373429328</v>
          </cell>
          <cell r="BQ70">
            <v>0.15757627289227916</v>
          </cell>
          <cell r="BR70">
            <v>0.14772382857489244</v>
          </cell>
          <cell r="BS70">
            <v>0.13118233057340964</v>
          </cell>
          <cell r="BT70">
            <v>0.13198558047752082</v>
          </cell>
          <cell r="BU70">
            <v>0.14232375650073648</v>
          </cell>
          <cell r="BV70">
            <v>0.15436822351082422</v>
          </cell>
          <cell r="BW70">
            <v>0.1494677844966433</v>
          </cell>
          <cell r="BX70">
            <v>0.14084550981680241</v>
          </cell>
          <cell r="BY70">
            <v>0.14245518322947681</v>
          </cell>
          <cell r="BZ70">
            <v>0.14683964856182757</v>
          </cell>
          <cell r="CA70">
            <v>0.15279307154213276</v>
          </cell>
          <cell r="CB70">
            <v>0.14624691553927074</v>
          </cell>
          <cell r="CC70">
            <v>0.13474425475284876</v>
          </cell>
          <cell r="CD70">
            <v>0.1379562578260268</v>
          </cell>
          <cell r="CE70">
            <v>0.14286927963093574</v>
          </cell>
          <cell r="CF70">
            <v>0.14956952263502518</v>
          </cell>
          <cell r="CG70">
            <v>0.14603329766732867</v>
          </cell>
          <cell r="CH70">
            <v>0.13302253035899461</v>
          </cell>
          <cell r="CI70">
            <v>0.14103843098825963</v>
          </cell>
          <cell r="CJ70">
            <v>0.1424105093882484</v>
          </cell>
          <cell r="CK70">
            <v>0.14201745845582453</v>
          </cell>
          <cell r="CL70">
            <v>0.13832334938788918</v>
          </cell>
          <cell r="CM70">
            <v>0.1420465368375069</v>
          </cell>
          <cell r="CN70">
            <v>0.1490585233632058</v>
          </cell>
          <cell r="CO70">
            <v>0.14289006402676024</v>
          </cell>
          <cell r="CP70">
            <v>0.15213022806649165</v>
          </cell>
          <cell r="CQ70">
            <v>0.14983418326657791</v>
          </cell>
          <cell r="CR70">
            <v>0.13919942477155567</v>
          </cell>
          <cell r="CS70">
            <v>0.12195723860423414</v>
          </cell>
          <cell r="CT70">
            <v>0.14075599334239361</v>
          </cell>
          <cell r="CU70">
            <v>0.15718682340649101</v>
          </cell>
          <cell r="CV70">
            <v>0.15400471107420396</v>
          </cell>
          <cell r="CW70">
            <v>0.14599374790779979</v>
          </cell>
          <cell r="CX70">
            <v>0.12659918443483231</v>
          </cell>
          <cell r="CY70">
            <v>0.14592176427476308</v>
          </cell>
          <cell r="CZ70">
            <v>0.15997859633388944</v>
          </cell>
          <cell r="DA70">
            <v>0.15647958535659182</v>
          </cell>
          <cell r="DB70">
            <v>0.14996641251374393</v>
          </cell>
          <cell r="DC70">
            <v>0.13201335050246221</v>
          </cell>
          <cell r="DD70">
            <v>0.14957777132035346</v>
          </cell>
          <cell r="DE70">
            <v>0.16427384091131372</v>
          </cell>
          <cell r="DF70">
            <v>0.15997183312331187</v>
          </cell>
          <cell r="DG70">
            <v>0.15455579282566936</v>
          </cell>
          <cell r="DH70">
            <v>0.13486063353279784</v>
          </cell>
          <cell r="DI70">
            <v>0.15339469955278229</v>
          </cell>
        </row>
        <row r="71">
          <cell r="B71" t="str">
            <v>EBITDA Margin (excluding HITECH)</v>
          </cell>
          <cell r="D71">
            <v>0.1730604883069789</v>
          </cell>
          <cell r="E71">
            <v>0.19168022442680238</v>
          </cell>
          <cell r="F71">
            <v>0.19329674079030612</v>
          </cell>
          <cell r="G71">
            <v>0.21437160975525354</v>
          </cell>
          <cell r="H71">
            <v>0.23413540283689879</v>
          </cell>
          <cell r="I71">
            <v>0.24182536424813697</v>
          </cell>
          <cell r="J71">
            <v>0.2367282313034689</v>
          </cell>
          <cell r="K71">
            <v>0.24409424198364682</v>
          </cell>
          <cell r="L71">
            <v>0.24628952179571156</v>
          </cell>
          <cell r="M71">
            <v>0.21872626810170995</v>
          </cell>
          <cell r="N71">
            <v>0.27538057619176565</v>
          </cell>
          <cell r="O71">
            <v>0.23309303123927227</v>
          </cell>
          <cell r="P71">
            <v>0.2060867622000615</v>
          </cell>
          <cell r="Q71">
            <v>0.23332180183476223</v>
          </cell>
          <cell r="R71">
            <v>0.2169016520127319</v>
          </cell>
          <cell r="S71">
            <v>0.26462419400227583</v>
          </cell>
          <cell r="T71">
            <v>0.25057338423263675</v>
          </cell>
          <cell r="U71">
            <v>0.21927392448010513</v>
          </cell>
          <cell r="V71">
            <v>0.23822212024969461</v>
          </cell>
          <cell r="W71">
            <v>0.21552285963655798</v>
          </cell>
          <cell r="X71">
            <v>0.25907628485443035</v>
          </cell>
          <cell r="Y71">
            <v>0.24626217500734351</v>
          </cell>
          <cell r="Z71">
            <v>0.23165729199111598</v>
          </cell>
          <cell r="AA71">
            <v>0.23862472676629071</v>
          </cell>
          <cell r="AB71">
            <v>0.21950663646759624</v>
          </cell>
          <cell r="AC71">
            <v>0.24475297785318686</v>
          </cell>
          <cell r="AD71">
            <v>0.23270816033054503</v>
          </cell>
          <cell r="AE71">
            <v>0.21685319909279951</v>
          </cell>
          <cell r="AF71">
            <v>0.22873763425367521</v>
          </cell>
          <cell r="AG71">
            <v>0.21094517893272116</v>
          </cell>
          <cell r="AH71">
            <v>0.24730692125877063</v>
          </cell>
          <cell r="AI71">
            <v>0.24324128030510236</v>
          </cell>
          <cell r="AJ71">
            <v>0.22347534361987845</v>
          </cell>
          <cell r="AK71">
            <v>0.23150533317503566</v>
          </cell>
          <cell r="AL71">
            <v>0.20110421873946702</v>
          </cell>
          <cell r="AM71">
            <v>0.22466414120519432</v>
          </cell>
          <cell r="AN71">
            <v>0.22441551323131961</v>
          </cell>
          <cell r="AO71">
            <v>0.2009512783115561</v>
          </cell>
          <cell r="AP71">
            <v>0.2131377139229885</v>
          </cell>
          <cell r="AQ71">
            <v>0.20435281282345377</v>
          </cell>
          <cell r="AR71">
            <v>0.22193301418718017</v>
          </cell>
          <cell r="AS71">
            <v>0.17588925614173295</v>
          </cell>
          <cell r="AT71">
            <v>0.1823536427000238</v>
          </cell>
          <cell r="AU71">
            <v>0.19586393014637582</v>
          </cell>
          <cell r="AW71">
            <v>0.22466414120519432</v>
          </cell>
          <cell r="AX71">
            <v>0.22441551323131961</v>
          </cell>
          <cell r="AY71">
            <v>0.2009512783115561</v>
          </cell>
          <cell r="AZ71">
            <v>0.20435281282345377</v>
          </cell>
          <cell r="BA71">
            <v>0.21371273780663558</v>
          </cell>
          <cell r="BB71">
            <v>0.22193301418718017</v>
          </cell>
          <cell r="BC71">
            <v>0.17588925614173295</v>
          </cell>
          <cell r="BD71">
            <v>0.1823536427000238</v>
          </cell>
          <cell r="BE71">
            <v>0.18185846708446218</v>
          </cell>
          <cell r="BF71">
            <v>0.19042359278652082</v>
          </cell>
          <cell r="BG71">
            <v>0.19221718668293544</v>
          </cell>
          <cell r="BH71">
            <v>0.17952732175740646</v>
          </cell>
          <cell r="BI71">
            <v>0.1665407585269654</v>
          </cell>
          <cell r="BJ71">
            <v>-8.6527163107834888E-3</v>
          </cell>
          <cell r="BK71">
            <v>0.13127457936223494</v>
          </cell>
          <cell r="BL71">
            <v>0.16913197957557832</v>
          </cell>
          <cell r="BM71">
            <v>0.12244339091361507</v>
          </cell>
          <cell r="BN71">
            <v>0.14135820869024066</v>
          </cell>
          <cell r="BO71">
            <v>0.13751621395303018</v>
          </cell>
          <cell r="BP71">
            <v>0.14289090373429328</v>
          </cell>
          <cell r="BQ71">
            <v>0.15757627289227916</v>
          </cell>
          <cell r="BR71">
            <v>0.14772382857489244</v>
          </cell>
          <cell r="BS71">
            <v>0.13118233057340964</v>
          </cell>
          <cell r="BT71">
            <v>0.13198558047752082</v>
          </cell>
          <cell r="BU71">
            <v>0.14232375650073648</v>
          </cell>
          <cell r="BV71">
            <v>0.15436822351082422</v>
          </cell>
          <cell r="BW71">
            <v>0.1494677844966433</v>
          </cell>
          <cell r="BX71">
            <v>0.14084550981680241</v>
          </cell>
          <cell r="BY71">
            <v>0.14245518322947681</v>
          </cell>
          <cell r="BZ71">
            <v>0.14683964856182757</v>
          </cell>
          <cell r="CA71">
            <v>0.15279307154213276</v>
          </cell>
          <cell r="CB71">
            <v>0.14624691553927074</v>
          </cell>
          <cell r="CC71">
            <v>0.13474425475284876</v>
          </cell>
          <cell r="CD71">
            <v>0.1379562578260268</v>
          </cell>
          <cell r="CE71">
            <v>0.14286927963093574</v>
          </cell>
          <cell r="CF71">
            <v>0.14956952263502518</v>
          </cell>
          <cell r="CG71">
            <v>0.14603329766732867</v>
          </cell>
          <cell r="CH71">
            <v>0.13302253035899461</v>
          </cell>
          <cell r="CI71">
            <v>0.11689799175892512</v>
          </cell>
          <cell r="CJ71">
            <v>0.13583336831233114</v>
          </cell>
          <cell r="CK71">
            <v>0.13929587469567492</v>
          </cell>
          <cell r="CL71">
            <v>0.13662104864334754</v>
          </cell>
          <cell r="CM71">
            <v>0.12749048033664492</v>
          </cell>
          <cell r="CN71">
            <v>0.11301841309545235</v>
          </cell>
          <cell r="CO71">
            <v>0.12904454114288585</v>
          </cell>
          <cell r="CP71">
            <v>0.14085434015179979</v>
          </cell>
          <cell r="CQ71">
            <v>0.13839451062544822</v>
          </cell>
          <cell r="CR71">
            <v>0.12761865884303963</v>
          </cell>
          <cell r="CS71">
            <v>0.11068621024127549</v>
          </cell>
          <cell r="CT71">
            <v>0.1293655967992195</v>
          </cell>
          <cell r="CU71">
            <v>0.14981520405610968</v>
          </cell>
          <cell r="CV71">
            <v>0.1465183646876945</v>
          </cell>
          <cell r="CW71">
            <v>0.13842297490832908</v>
          </cell>
          <cell r="CX71">
            <v>0.11921673217561744</v>
          </cell>
          <cell r="CY71">
            <v>0.13846985467315548</v>
          </cell>
          <cell r="CZ71">
            <v>0.15643460283252963</v>
          </cell>
          <cell r="DA71">
            <v>0.15287578477685018</v>
          </cell>
          <cell r="DB71">
            <v>0.14632491081660876</v>
          </cell>
          <cell r="DC71">
            <v>0.12846974302040581</v>
          </cell>
          <cell r="DD71">
            <v>0.14599502726949573</v>
          </cell>
          <cell r="DE71">
            <v>0.16257745035705409</v>
          </cell>
          <cell r="DF71">
            <v>0.15824283334004036</v>
          </cell>
          <cell r="DG71">
            <v>0.1528097512641686</v>
          </cell>
          <cell r="DH71">
            <v>0.1331574647973732</v>
          </cell>
          <cell r="DI71">
            <v>0.15167628048006945</v>
          </cell>
        </row>
        <row r="72">
          <cell r="B72" t="str">
            <v>Depreciation and Amortization</v>
          </cell>
          <cell r="D72">
            <v>0.12649615426383298</v>
          </cell>
          <cell r="E72">
            <v>0.146383034247106</v>
          </cell>
          <cell r="F72">
            <v>0.15096577150750451</v>
          </cell>
          <cell r="G72">
            <v>0.17664022239717159</v>
          </cell>
          <cell r="H72">
            <v>0.19624469050975663</v>
          </cell>
          <cell r="I72">
            <v>0.20310905414107497</v>
          </cell>
          <cell r="J72">
            <v>0.1986876974788504</v>
          </cell>
          <cell r="K72">
            <v>0.20326595062770667</v>
          </cell>
          <cell r="L72">
            <v>0.20199999648753683</v>
          </cell>
          <cell r="M72">
            <v>0.17123955796475235</v>
          </cell>
          <cell r="N72">
            <v>0.23316104877732907</v>
          </cell>
          <cell r="O72">
            <v>0.18782147852459627</v>
          </cell>
          <cell r="P72">
            <v>0.16007989049973467</v>
          </cell>
          <cell r="Q72">
            <v>0.18812176967442079</v>
          </cell>
          <cell r="R72">
            <v>0.16790869346706511</v>
          </cell>
          <cell r="S72">
            <v>0.21927053382437514</v>
          </cell>
          <cell r="T72">
            <v>0.2017519860700232</v>
          </cell>
          <cell r="U72">
            <v>0.17333588285909701</v>
          </cell>
          <cell r="V72">
            <v>0.1910041216478732</v>
          </cell>
          <cell r="W72">
            <v>0.16617192915389531</v>
          </cell>
          <cell r="X72">
            <v>0.2131108358412451</v>
          </cell>
          <cell r="Y72">
            <v>0.19791928622599597</v>
          </cell>
          <cell r="Z72">
            <v>0.18234303780203048</v>
          </cell>
          <cell r="AA72">
            <v>0.19040366506880249</v>
          </cell>
          <cell r="AB72">
            <v>0.17584571851535138</v>
          </cell>
          <cell r="AC72">
            <v>0.20355445660645441</v>
          </cell>
          <cell r="AD72">
            <v>0.19170565558773686</v>
          </cell>
          <cell r="AE72">
            <v>0.17395971437993382</v>
          </cell>
          <cell r="AF72">
            <v>0.18660559241333305</v>
          </cell>
          <cell r="AG72">
            <v>0.16813883387291831</v>
          </cell>
          <cell r="AH72">
            <v>0.20536697645064281</v>
          </cell>
          <cell r="AI72">
            <v>0.19996847604875084</v>
          </cell>
          <cell r="AJ72">
            <v>0.17988831403465555</v>
          </cell>
          <cell r="AK72">
            <v>0.18859936201854588</v>
          </cell>
          <cell r="AL72">
            <v>0.1601249350673383</v>
          </cell>
          <cell r="AM72">
            <v>0.18343652229805002</v>
          </cell>
          <cell r="AN72">
            <v>0.18278050409804475</v>
          </cell>
          <cell r="AO72">
            <v>0.15646723903749471</v>
          </cell>
          <cell r="AP72">
            <v>0.17105417068921683</v>
          </cell>
          <cell r="AQ72">
            <v>0.15984314889300535</v>
          </cell>
          <cell r="AR72">
            <v>0.1812309798484493</v>
          </cell>
          <cell r="AS72">
            <v>0.13402421585333482</v>
          </cell>
          <cell r="AT72">
            <v>0.13480463608335758</v>
          </cell>
          <cell r="AU72">
            <v>0.15225151104139284</v>
          </cell>
          <cell r="AW72">
            <v>0.18343652229805002</v>
          </cell>
          <cell r="AX72">
            <v>0.18278050409804475</v>
          </cell>
          <cell r="AY72">
            <v>0.15646723903749471</v>
          </cell>
          <cell r="AZ72">
            <v>0.15984314889300535</v>
          </cell>
          <cell r="BA72">
            <v>0.1707641082275998</v>
          </cell>
          <cell r="BB72">
            <v>0.1812309798484493</v>
          </cell>
          <cell r="BC72">
            <v>0.13402421585333482</v>
          </cell>
          <cell r="BD72">
            <v>0.13480463608335758</v>
          </cell>
          <cell r="BE72">
            <v>0.13751477571347887</v>
          </cell>
          <cell r="BF72">
            <v>0.14682548384363345</v>
          </cell>
          <cell r="BG72">
            <v>0.14982375612495896</v>
          </cell>
          <cell r="BH72">
            <v>0.13511368817795585</v>
          </cell>
          <cell r="BI72">
            <v>0.11859742020760267</v>
          </cell>
          <cell r="BJ72">
            <v>-5.9147951094912048E-2</v>
          </cell>
          <cell r="BK72">
            <v>8.4953102637809044E-2</v>
          </cell>
          <cell r="BL72">
            <v>0.12308958289791357</v>
          </cell>
          <cell r="BM72">
            <v>7.3372326711009642E-2</v>
          </cell>
          <cell r="BN72">
            <v>8.836756871917012E-2</v>
          </cell>
          <cell r="BO72">
            <v>8.3514400544387496E-2</v>
          </cell>
          <cell r="BP72">
            <v>5.0462888517792841E-2</v>
          </cell>
          <cell r="BQ72">
            <v>4.9851983216666729E-2</v>
          </cell>
          <cell r="BR72">
            <v>5.3945583955110787E-2</v>
          </cell>
          <cell r="BS72">
            <v>5.5301068291934485E-2</v>
          </cell>
          <cell r="BT72">
            <v>5.4374515436767981E-2</v>
          </cell>
          <cell r="BU72">
            <v>5.3322269174013635E-2</v>
          </cell>
          <cell r="BV72">
            <v>5.1275101576316283E-2</v>
          </cell>
          <cell r="BW72">
            <v>5.2413209364638808E-2</v>
          </cell>
          <cell r="BX72">
            <v>5.3858488657219025E-2</v>
          </cell>
          <cell r="BY72">
            <v>5.1646270760863221E-2</v>
          </cell>
          <cell r="BZ72">
            <v>5.227384459630257E-2</v>
          </cell>
          <cell r="CA72">
            <v>4.8337806678344836E-2</v>
          </cell>
          <cell r="CB72">
            <v>4.9594201574467436E-2</v>
          </cell>
          <cell r="CC72">
            <v>4.843707084276741E-2</v>
          </cell>
          <cell r="CD72">
            <v>4.5842674025319899E-2</v>
          </cell>
          <cell r="CE72">
            <v>4.8011996452736912E-2</v>
          </cell>
          <cell r="CF72">
            <v>4.5598584303880814E-2</v>
          </cell>
          <cell r="CG72">
            <v>4.6010579401771445E-2</v>
          </cell>
          <cell r="CH72">
            <v>4.6852548555823131E-2</v>
          </cell>
          <cell r="CI72">
            <v>4.6386668805018898E-2</v>
          </cell>
          <cell r="CJ72">
            <v>4.6214251751071557E-2</v>
          </cell>
          <cell r="CK72">
            <v>4.6482753222912537E-2</v>
          </cell>
          <cell r="CL72">
            <v>5.0821177783404024E-2</v>
          </cell>
          <cell r="CM72">
            <v>5.5047900266015783E-2</v>
          </cell>
          <cell r="CN72">
            <v>5.3445306346738566E-2</v>
          </cell>
          <cell r="CO72">
            <v>5.1445728243184281E-2</v>
          </cell>
          <cell r="CP72">
            <v>5.1397412154897071E-2</v>
          </cell>
          <cell r="CQ72">
            <v>5.2470530895468111E-2</v>
          </cell>
          <cell r="CR72">
            <v>5.3442763783905854E-2</v>
          </cell>
          <cell r="CS72">
            <v>5.2324501489021569E-2</v>
          </cell>
          <cell r="CT72">
            <v>5.2401695523765432E-2</v>
          </cell>
          <cell r="CU72">
            <v>5.1519008706826352E-2</v>
          </cell>
          <cell r="CV72">
            <v>5.2490469735714453E-2</v>
          </cell>
          <cell r="CW72">
            <v>5.3239385951841356E-2</v>
          </cell>
          <cell r="CX72">
            <v>5.2091487432403459E-2</v>
          </cell>
          <cell r="CY72">
            <v>5.2328564713197738E-2</v>
          </cell>
          <cell r="CZ72">
            <v>5.0221809437717514E-2</v>
          </cell>
          <cell r="DA72">
            <v>5.1259844587396727E-2</v>
          </cell>
          <cell r="DB72">
            <v>5.1974497201382829E-2</v>
          </cell>
          <cell r="DC72">
            <v>5.0775982873477267E-2</v>
          </cell>
          <cell r="DD72">
            <v>5.1050977213361236E-2</v>
          </cell>
          <cell r="DE72">
            <v>4.8846227337233192E-2</v>
          </cell>
          <cell r="DF72">
            <v>4.999709794781397E-2</v>
          </cell>
          <cell r="DG72">
            <v>5.0690059696553838E-2</v>
          </cell>
          <cell r="DH72">
            <v>4.9662977481557714E-2</v>
          </cell>
          <cell r="DI72">
            <v>4.9791865840125828E-2</v>
          </cell>
        </row>
        <row r="73">
          <cell r="B73" t="str">
            <v>Operating margin</v>
          </cell>
          <cell r="D73">
            <v>0.12649615426383298</v>
          </cell>
          <cell r="E73">
            <v>0.146383034247106</v>
          </cell>
          <cell r="F73">
            <v>0.15096577150750451</v>
          </cell>
          <cell r="G73">
            <v>0.17664022239717159</v>
          </cell>
          <cell r="H73">
            <v>0.19624469050975663</v>
          </cell>
          <cell r="I73">
            <v>0.20310905414107497</v>
          </cell>
          <cell r="J73">
            <v>0.1986876974788504</v>
          </cell>
          <cell r="K73">
            <v>0.20326595062770667</v>
          </cell>
          <cell r="L73">
            <v>0.20199999648753683</v>
          </cell>
          <cell r="M73">
            <v>0.17123955796475235</v>
          </cell>
          <cell r="N73">
            <v>0.23316104877732907</v>
          </cell>
          <cell r="O73">
            <v>0.18782147852459627</v>
          </cell>
          <cell r="P73">
            <v>0.16007989049973467</v>
          </cell>
          <cell r="Q73">
            <v>0.18812176967442079</v>
          </cell>
          <cell r="R73">
            <v>0.16790869346706511</v>
          </cell>
          <cell r="S73">
            <v>0.21927053382437514</v>
          </cell>
          <cell r="T73">
            <v>0.2017519860700232</v>
          </cell>
          <cell r="U73">
            <v>0.17333588285909701</v>
          </cell>
          <cell r="V73">
            <v>0.1910041216478732</v>
          </cell>
          <cell r="W73">
            <v>0.16617192915389531</v>
          </cell>
          <cell r="X73">
            <v>0.2131108358412451</v>
          </cell>
          <cell r="Y73">
            <v>0.19791928622599597</v>
          </cell>
          <cell r="Z73">
            <v>0.18234303780203048</v>
          </cell>
          <cell r="AA73">
            <v>0.19040366506880249</v>
          </cell>
          <cell r="AB73">
            <v>0.17584571851535138</v>
          </cell>
          <cell r="AC73">
            <v>0.20355445660645441</v>
          </cell>
          <cell r="AD73">
            <v>0.19170565558773686</v>
          </cell>
          <cell r="AE73">
            <v>0.17395971437993382</v>
          </cell>
          <cell r="AF73">
            <v>0.18660559241333305</v>
          </cell>
          <cell r="AG73">
            <v>0.16813883387291831</v>
          </cell>
          <cell r="AH73">
            <v>0.20536697645064281</v>
          </cell>
          <cell r="AI73">
            <v>0.19996847604875084</v>
          </cell>
          <cell r="AJ73">
            <v>0.17988831403465555</v>
          </cell>
          <cell r="AK73">
            <v>0.18859936201854588</v>
          </cell>
          <cell r="AL73">
            <v>0.1601249350673383</v>
          </cell>
          <cell r="AM73">
            <v>0.18343652229805002</v>
          </cell>
          <cell r="AN73">
            <v>0.18278050409804475</v>
          </cell>
          <cell r="AO73">
            <v>0.15646723903749471</v>
          </cell>
          <cell r="AP73">
            <v>0.17105417068921683</v>
          </cell>
          <cell r="AQ73">
            <v>0.15984314889300535</v>
          </cell>
          <cell r="AR73">
            <v>0.1812309798484493</v>
          </cell>
          <cell r="AS73">
            <v>0.13402421585333482</v>
          </cell>
          <cell r="AT73">
            <v>0.13480463608335758</v>
          </cell>
          <cell r="AU73">
            <v>0.15225151104139284</v>
          </cell>
          <cell r="AW73">
            <v>0.18343652229805002</v>
          </cell>
          <cell r="AX73">
            <v>0.18278050409804475</v>
          </cell>
          <cell r="AY73">
            <v>0.15646723903749471</v>
          </cell>
          <cell r="AZ73">
            <v>0.15984314889300535</v>
          </cell>
          <cell r="BA73">
            <v>0.1707641082275998</v>
          </cell>
          <cell r="BB73">
            <v>0.1812309798484493</v>
          </cell>
          <cell r="BC73">
            <v>0.13402421585333482</v>
          </cell>
          <cell r="BD73">
            <v>0.13480463608335758</v>
          </cell>
          <cell r="BE73">
            <v>0.13751477571347887</v>
          </cell>
          <cell r="BF73">
            <v>0.14682548384363345</v>
          </cell>
          <cell r="BG73">
            <v>0.14982375612495896</v>
          </cell>
          <cell r="BH73">
            <v>0.13511368817795585</v>
          </cell>
          <cell r="BI73">
            <v>0.11859742020760267</v>
          </cell>
          <cell r="BJ73">
            <v>-5.9147951094912048E-2</v>
          </cell>
          <cell r="BK73">
            <v>8.4953102637809044E-2</v>
          </cell>
          <cell r="BL73">
            <v>0.12308958289791357</v>
          </cell>
          <cell r="BM73">
            <v>7.3372326711009642E-2</v>
          </cell>
          <cell r="BN73">
            <v>8.836756871917012E-2</v>
          </cell>
          <cell r="BO73">
            <v>8.3514400544387496E-2</v>
          </cell>
          <cell r="BP73">
            <v>9.2428015216500445E-2</v>
          </cell>
          <cell r="BQ73">
            <v>0.10772428967561244</v>
          </cell>
          <cell r="BR73">
            <v>9.3778244619781639E-2</v>
          </cell>
          <cell r="BS73">
            <v>7.5881262281475154E-2</v>
          </cell>
          <cell r="BT73">
            <v>7.7611065040752839E-2</v>
          </cell>
          <cell r="BU73">
            <v>8.9001487326722833E-2</v>
          </cell>
          <cell r="BV73">
            <v>0.10309312193450794</v>
          </cell>
          <cell r="BW73">
            <v>9.7054575132004509E-2</v>
          </cell>
          <cell r="BX73">
            <v>8.6987021159583372E-2</v>
          </cell>
          <cell r="BY73">
            <v>9.080891246861357E-2</v>
          </cell>
          <cell r="BZ73">
            <v>9.4565803965524997E-2</v>
          </cell>
          <cell r="CA73">
            <v>0.10445526486378792</v>
          </cell>
          <cell r="CB73">
            <v>9.6652713964803294E-2</v>
          </cell>
          <cell r="CC73">
            <v>8.6307183910081339E-2</v>
          </cell>
          <cell r="CD73">
            <v>9.2113583800706902E-2</v>
          </cell>
          <cell r="CE73">
            <v>9.4857283178198817E-2</v>
          </cell>
          <cell r="CF73">
            <v>0.10397093833114435</v>
          </cell>
          <cell r="CG73">
            <v>0.10002271826555721</v>
          </cell>
          <cell r="CH73">
            <v>8.616998180317148E-2</v>
          </cell>
          <cell r="CI73">
            <v>9.4651762183240715E-2</v>
          </cell>
          <cell r="CJ73">
            <v>9.6196257637176846E-2</v>
          </cell>
          <cell r="CK73">
            <v>9.5534705232911993E-2</v>
          </cell>
          <cell r="CL73">
            <v>8.7502171604485132E-2</v>
          </cell>
          <cell r="CM73">
            <v>8.6998636571491123E-2</v>
          </cell>
          <cell r="CN73">
            <v>9.5613217016467231E-2</v>
          </cell>
          <cell r="CO73">
            <v>9.144433578357597E-2</v>
          </cell>
          <cell r="CP73">
            <v>0.10073281591159458</v>
          </cell>
          <cell r="CQ73">
            <v>9.7363652371109777E-2</v>
          </cell>
          <cell r="CR73">
            <v>8.5756660987649808E-2</v>
          </cell>
          <cell r="CS73">
            <v>6.9632737115212576E-2</v>
          </cell>
          <cell r="CT73">
            <v>8.8354297818628177E-2</v>
          </cell>
          <cell r="CU73">
            <v>0.10566781469966466</v>
          </cell>
          <cell r="CV73">
            <v>0.10151424133848951</v>
          </cell>
          <cell r="CW73">
            <v>9.2754361955958445E-2</v>
          </cell>
          <cell r="CX73">
            <v>7.4507697002428847E-2</v>
          </cell>
          <cell r="CY73">
            <v>9.3593199561565338E-2</v>
          </cell>
          <cell r="CZ73">
            <v>0.10975678689617191</v>
          </cell>
          <cell r="DA73">
            <v>0.10521974076919509</v>
          </cell>
          <cell r="DB73">
            <v>9.7991915312361108E-2</v>
          </cell>
          <cell r="DC73">
            <v>8.1237367628984938E-2</v>
          </cell>
          <cell r="DD73">
            <v>9.8526794106992222E-2</v>
          </cell>
          <cell r="DE73">
            <v>0.11542761357408052</v>
          </cell>
          <cell r="DF73">
            <v>0.10997473517549788</v>
          </cell>
          <cell r="DG73">
            <v>0.10386573312911554</v>
          </cell>
          <cell r="DH73">
            <v>8.5197656051240134E-2</v>
          </cell>
          <cell r="DI73">
            <v>0.10360283371265644</v>
          </cell>
        </row>
        <row r="74">
          <cell r="B74" t="str">
            <v>Pretax margin</v>
          </cell>
          <cell r="D74">
            <v>0.49273620972146459</v>
          </cell>
          <cell r="E74">
            <v>0.45002981241113599</v>
          </cell>
          <cell r="F74">
            <v>0.42797548250149903</v>
          </cell>
          <cell r="G74">
            <v>0.42867520686050425</v>
          </cell>
          <cell r="H74">
            <v>0.39941270035482695</v>
          </cell>
          <cell r="I74">
            <v>0.39250256597185551</v>
          </cell>
          <cell r="J74">
            <v>0.39249048124787772</v>
          </cell>
          <cell r="K74">
            <v>0.39250402391354328</v>
          </cell>
          <cell r="L74">
            <v>0.39255767293001143</v>
          </cell>
          <cell r="M74">
            <v>0.39247934370890836</v>
          </cell>
          <cell r="N74">
            <v>0.39253062367891622</v>
          </cell>
          <cell r="O74">
            <v>0.39248542228352862</v>
          </cell>
          <cell r="P74">
            <v>0.39243020423458858</v>
          </cell>
          <cell r="Q74">
            <v>0.39248661074464941</v>
          </cell>
          <cell r="R74">
            <v>0.39253511895272009</v>
          </cell>
          <cell r="S74">
            <v>0.39247680589148393</v>
          </cell>
          <cell r="T74">
            <v>0.39251157503673512</v>
          </cell>
          <cell r="U74">
            <v>0.39248557610064849</v>
          </cell>
          <cell r="V74">
            <v>0.3924998641279735</v>
          </cell>
          <cell r="W74">
            <v>0.39236562717401141</v>
          </cell>
          <cell r="X74">
            <v>0.39276147760543179</v>
          </cell>
          <cell r="Y74">
            <v>0.39277221948046137</v>
          </cell>
          <cell r="Z74">
            <v>0.39207100037467213</v>
          </cell>
          <cell r="AA74">
            <v>0.3924991665394405</v>
          </cell>
          <cell r="AB74">
            <v>0.39250288906009223</v>
          </cell>
          <cell r="AC74">
            <v>0.39248014741367959</v>
          </cell>
          <cell r="AD74">
            <v>0.39126917763397079</v>
          </cell>
          <cell r="AE74">
            <v>0.38994076899909669</v>
          </cell>
          <cell r="AF74">
            <v>0.39153517216619849</v>
          </cell>
          <cell r="AG74">
            <v>0.38627844305310721</v>
          </cell>
          <cell r="AH74">
            <v>0.38685181167281418</v>
          </cell>
          <cell r="AI74">
            <v>0.38662293098094802</v>
          </cell>
          <cell r="AJ74">
            <v>0.35271974917058574</v>
          </cell>
          <cell r="AK74">
            <v>0.37858066800985574</v>
          </cell>
          <cell r="AL74">
            <v>0.37911028460266177</v>
          </cell>
          <cell r="AM74">
            <v>0.38034951875408907</v>
          </cell>
          <cell r="AN74">
            <v>0.37660029913415749</v>
          </cell>
          <cell r="AO74">
            <v>0.37748164488196778</v>
          </cell>
          <cell r="AP74">
            <v>0.37838543684321901</v>
          </cell>
          <cell r="AQ74">
            <v>0.38055568555872743</v>
          </cell>
          <cell r="AR74">
            <v>0.38036994860115086</v>
          </cell>
          <cell r="AS74">
            <v>0.38041456566785237</v>
          </cell>
          <cell r="AT74">
            <v>0.3455956272759092</v>
          </cell>
          <cell r="AU74">
            <v>0.37217773618554056</v>
          </cell>
          <cell r="AW74">
            <v>0.17779080880721709</v>
          </cell>
          <cell r="AX74">
            <v>0.17832703853104154</v>
          </cell>
          <cell r="AY74">
            <v>0.15222958986773311</v>
          </cell>
          <cell r="AZ74">
            <v>0.15592916888130479</v>
          </cell>
          <cell r="BA74">
            <v>0.16619496850539789</v>
          </cell>
          <cell r="BB74">
            <v>0.17707270602802569</v>
          </cell>
          <cell r="BC74">
            <v>0.15135015370387814</v>
          </cell>
          <cell r="BD74">
            <v>0.1482864247917384</v>
          </cell>
          <cell r="BE74">
            <v>0.13299904004578747</v>
          </cell>
          <cell r="BF74">
            <v>0.15233524653562031</v>
          </cell>
          <cell r="BG74">
            <v>0.13720585671953994</v>
          </cell>
          <cell r="BH74">
            <v>0.12405210928311572</v>
          </cell>
          <cell r="BI74">
            <v>0.10479614449493073</v>
          </cell>
          <cell r="BJ74">
            <v>-6.4984188773411722E-2</v>
          </cell>
          <cell r="BK74">
            <v>7.4176827558630892E-2</v>
          </cell>
          <cell r="BL74">
            <v>9.389847079183529E-2</v>
          </cell>
          <cell r="BM74">
            <v>1.9643164195236242E-2</v>
          </cell>
          <cell r="BN74">
            <v>2.8842568929413365E-2</v>
          </cell>
          <cell r="BO74">
            <v>2.5069371090179711E-2</v>
          </cell>
          <cell r="BP74">
            <v>4.2483592683506072E-2</v>
          </cell>
          <cell r="BQ74">
            <v>0.2296142887385777</v>
          </cell>
          <cell r="BR74">
            <v>3.6503244823346465E-2</v>
          </cell>
          <cell r="BS74">
            <v>1.6246208108962368E-2</v>
          </cell>
          <cell r="BT74">
            <v>4.6585526872010598E-2</v>
          </cell>
          <cell r="BU74">
            <v>8.4096746099333458E-2</v>
          </cell>
          <cell r="BV74">
            <v>7.0826069865650682E-2</v>
          </cell>
          <cell r="BW74">
            <v>5.1856717668308447E-2</v>
          </cell>
          <cell r="BX74">
            <v>3.9031894914266271E-2</v>
          </cell>
          <cell r="BY74">
            <v>4.6684518297921945E-2</v>
          </cell>
          <cell r="BZ74">
            <v>5.2274273399070099E-2</v>
          </cell>
          <cell r="CA74">
            <v>6.4683090288937276E-2</v>
          </cell>
          <cell r="CB74">
            <v>5.6746063230343001E-2</v>
          </cell>
          <cell r="CC74">
            <v>4.7020483072169682E-2</v>
          </cell>
          <cell r="CD74">
            <v>5.3614524218247861E-2</v>
          </cell>
          <cell r="CE74">
            <v>5.5506094045920516E-2</v>
          </cell>
          <cell r="CF74">
            <v>6.8506690308103732E-2</v>
          </cell>
          <cell r="CG74">
            <v>6.3548793746098703E-2</v>
          </cell>
          <cell r="CH74">
            <v>5.1484598398564854E-2</v>
          </cell>
          <cell r="CI74">
            <v>3.4500503228364572E-2</v>
          </cell>
          <cell r="CJ74">
            <v>5.3951204642275069E-2</v>
          </cell>
          <cell r="CK74">
            <v>4.1931363910732204E-2</v>
          </cell>
          <cell r="CL74">
            <v>4.3540002881637611E-2</v>
          </cell>
          <cell r="CM74">
            <v>4.2261476624922627E-2</v>
          </cell>
          <cell r="CN74">
            <v>5.3743179306574074E-2</v>
          </cell>
          <cell r="CO74">
            <v>4.5414299382026908E-2</v>
          </cell>
          <cell r="CP74">
            <v>6.0370065394074766E-2</v>
          </cell>
          <cell r="CQ74">
            <v>5.6471647889992253E-2</v>
          </cell>
          <cell r="CR74">
            <v>4.4469242141830026E-2</v>
          </cell>
          <cell r="CS74">
            <v>2.9524326751760553E-2</v>
          </cell>
          <cell r="CT74">
            <v>4.7696695133679821E-2</v>
          </cell>
          <cell r="CU74">
            <v>6.5865343862132233E-2</v>
          </cell>
          <cell r="CV74">
            <v>7.2379886961688414E-2</v>
          </cell>
          <cell r="CW74">
            <v>6.3411600842658414E-2</v>
          </cell>
          <cell r="CX74">
            <v>4.5980626831581904E-2</v>
          </cell>
          <cell r="CY74">
            <v>6.1864733082927628E-2</v>
          </cell>
          <cell r="CZ74">
            <v>8.2470885265076913E-2</v>
          </cell>
          <cell r="DA74">
            <v>7.7532879056734505E-2</v>
          </cell>
          <cell r="DB74">
            <v>7.0137887943849175E-2</v>
          </cell>
          <cell r="DC74">
            <v>5.4220450099669568E-2</v>
          </cell>
          <cell r="DD74">
            <v>7.1069487175102322E-2</v>
          </cell>
          <cell r="DE74">
            <v>8.966255337130663E-2</v>
          </cell>
          <cell r="DF74">
            <v>8.3773801545659957E-2</v>
          </cell>
          <cell r="DG74">
            <v>7.7528016410537456E-2</v>
          </cell>
          <cell r="DH74">
            <v>5.959498281974817E-2</v>
          </cell>
          <cell r="DI74">
            <v>7.7629532977719018E-2</v>
          </cell>
        </row>
        <row r="75">
          <cell r="B75" t="str">
            <v>effective tax rate</v>
          </cell>
          <cell r="D75">
            <v>0.49273620972146459</v>
          </cell>
          <cell r="E75">
            <v>0.45002981241113599</v>
          </cell>
          <cell r="F75">
            <v>0.42797548250149903</v>
          </cell>
          <cell r="G75">
            <v>0.42867520686050425</v>
          </cell>
          <cell r="H75">
            <v>0.39941270035482695</v>
          </cell>
          <cell r="I75">
            <v>0.39250256597185551</v>
          </cell>
          <cell r="J75">
            <v>0.39249048124787772</v>
          </cell>
          <cell r="K75">
            <v>0.39250402391354328</v>
          </cell>
          <cell r="L75">
            <v>0.39255767293001143</v>
          </cell>
          <cell r="M75">
            <v>0.39247934370890836</v>
          </cell>
          <cell r="N75">
            <v>0.39253062367891622</v>
          </cell>
          <cell r="O75">
            <v>0.39248542228352862</v>
          </cell>
          <cell r="P75">
            <v>0.39243020423458858</v>
          </cell>
          <cell r="Q75">
            <v>0.39248661074464941</v>
          </cell>
          <cell r="R75">
            <v>0.39253511895272009</v>
          </cell>
          <cell r="S75">
            <v>0.39247680589148393</v>
          </cell>
          <cell r="T75">
            <v>0.39251157503673512</v>
          </cell>
          <cell r="U75">
            <v>0.39248557610064849</v>
          </cell>
          <cell r="V75">
            <v>0.3924998641279735</v>
          </cell>
          <cell r="W75">
            <v>0.39236562717401141</v>
          </cell>
          <cell r="X75">
            <v>0.39276147760543179</v>
          </cell>
          <cell r="Y75">
            <v>0.39277221948046137</v>
          </cell>
          <cell r="Z75">
            <v>0.39207100037467213</v>
          </cell>
          <cell r="AA75">
            <v>0.3924991665394405</v>
          </cell>
          <cell r="AB75">
            <v>0.39250288906009223</v>
          </cell>
          <cell r="AC75">
            <v>0.39248014741367959</v>
          </cell>
          <cell r="AD75">
            <v>0.39126917763397079</v>
          </cell>
          <cell r="AE75">
            <v>0.38994076899909669</v>
          </cell>
          <cell r="AF75">
            <v>0.39153517216619849</v>
          </cell>
          <cell r="AG75">
            <v>0.38627844305310721</v>
          </cell>
          <cell r="AH75">
            <v>0.38685181167281418</v>
          </cell>
          <cell r="AI75">
            <v>0.38662293098094802</v>
          </cell>
          <cell r="AJ75">
            <v>0.35271974917058574</v>
          </cell>
          <cell r="AK75">
            <v>0.37858066800985574</v>
          </cell>
          <cell r="AL75">
            <v>0.37911028460266177</v>
          </cell>
          <cell r="AM75">
            <v>0.38034951875408907</v>
          </cell>
          <cell r="AN75">
            <v>0.37660029913415749</v>
          </cell>
          <cell r="AO75">
            <v>0.37748164488196778</v>
          </cell>
          <cell r="AP75">
            <v>0.37838543684321901</v>
          </cell>
          <cell r="AQ75">
            <v>0.38055568555872743</v>
          </cell>
          <cell r="AR75">
            <v>0.38036994860115086</v>
          </cell>
          <cell r="AS75">
            <v>0.38041456566785237</v>
          </cell>
          <cell r="AT75">
            <v>0.3455956272759092</v>
          </cell>
          <cell r="AU75">
            <v>0.37217773618554056</v>
          </cell>
          <cell r="AW75">
            <v>0.38034951875408907</v>
          </cell>
          <cell r="AX75">
            <v>0.37660029913415749</v>
          </cell>
          <cell r="AY75">
            <v>0.37748164488196778</v>
          </cell>
          <cell r="AZ75">
            <v>0.38055568555872743</v>
          </cell>
          <cell r="BA75">
            <v>0.37875223695028054</v>
          </cell>
          <cell r="BB75">
            <v>0.38036994860115086</v>
          </cell>
          <cell r="BC75">
            <v>0.38041456566785237</v>
          </cell>
          <cell r="BD75">
            <v>0.3455956272759092</v>
          </cell>
          <cell r="BE75">
            <v>0.38765515358800168</v>
          </cell>
          <cell r="BF75">
            <v>0.37369490151893459</v>
          </cell>
          <cell r="BG75">
            <v>0.38299914600492602</v>
          </cell>
          <cell r="BH75">
            <v>0.38301967156220929</v>
          </cell>
          <cell r="BI75">
            <v>0.38727574655160796</v>
          </cell>
          <cell r="BJ75">
            <v>0.38088903831255183</v>
          </cell>
          <cell r="BK75">
            <v>0.38494660412770282</v>
          </cell>
          <cell r="BL75">
            <v>0.38688347489196923</v>
          </cell>
          <cell r="BM75">
            <v>0.38400259367328865</v>
          </cell>
          <cell r="BN75">
            <v>0.35837625943564366</v>
          </cell>
          <cell r="BO75">
            <v>0.30946403231088276</v>
          </cell>
          <cell r="BP75">
            <v>0.37049493639125053</v>
          </cell>
          <cell r="BQ75">
            <v>0.38632215743991061</v>
          </cell>
          <cell r="BR75">
            <v>0.32317148734726231</v>
          </cell>
          <cell r="BS75">
            <v>0.14575866188769485</v>
          </cell>
          <cell r="BT75">
            <v>0.33783183704990793</v>
          </cell>
          <cell r="BU75">
            <v>0.36151253051826293</v>
          </cell>
          <cell r="BV75">
            <v>0.35732027619647538</v>
          </cell>
          <cell r="BW75">
            <v>0.34413698721586172</v>
          </cell>
          <cell r="BX75">
            <v>0.2853391185202096</v>
          </cell>
          <cell r="BY75">
            <v>0.34584733042670357</v>
          </cell>
          <cell r="BZ75">
            <v>0.33851895904681917</v>
          </cell>
          <cell r="CA75">
            <v>0.35731902453109443</v>
          </cell>
          <cell r="CB75">
            <v>0.35439998870168204</v>
          </cell>
          <cell r="CC75">
            <v>0.33251878755418651</v>
          </cell>
          <cell r="CD75">
            <v>0.36050489722720386</v>
          </cell>
          <cell r="CE75">
            <v>0.35222582933502888</v>
          </cell>
          <cell r="CF75">
            <v>0.36149632435294304</v>
          </cell>
          <cell r="CG75">
            <v>0.35813607298726763</v>
          </cell>
          <cell r="CH75">
            <v>0.31053806993938204</v>
          </cell>
          <cell r="CI75">
            <v>0.30916344869237466</v>
          </cell>
          <cell r="CJ75">
            <v>0.33971474942525726</v>
          </cell>
          <cell r="CK75">
            <v>0.34965638168500113</v>
          </cell>
          <cell r="CL75">
            <v>0.34441387950757174</v>
          </cell>
          <cell r="CM75">
            <v>0.29735109695582274</v>
          </cell>
          <cell r="CN75">
            <v>0.35</v>
          </cell>
          <cell r="CO75">
            <v>0.33650735566728385</v>
          </cell>
          <cell r="CP75">
            <v>0.34</v>
          </cell>
          <cell r="CQ75">
            <v>0.34</v>
          </cell>
          <cell r="CR75">
            <v>0.34</v>
          </cell>
          <cell r="CS75">
            <v>0.34</v>
          </cell>
          <cell r="CT75">
            <v>0.33999999999999941</v>
          </cell>
          <cell r="CU75">
            <v>0.34</v>
          </cell>
          <cell r="CV75">
            <v>0.34</v>
          </cell>
          <cell r="CW75">
            <v>0.34</v>
          </cell>
          <cell r="CX75">
            <v>0.34</v>
          </cell>
          <cell r="CY75">
            <v>0.33999999999999964</v>
          </cell>
          <cell r="CZ75">
            <v>0.34</v>
          </cell>
          <cell r="DA75">
            <v>0.34</v>
          </cell>
          <cell r="DB75">
            <v>0.34</v>
          </cell>
          <cell r="DC75">
            <v>0.34</v>
          </cell>
          <cell r="DD75">
            <v>0.33999999999999914</v>
          </cell>
          <cell r="DE75">
            <v>0.34</v>
          </cell>
          <cell r="DF75">
            <v>0.34</v>
          </cell>
          <cell r="DG75">
            <v>0.34</v>
          </cell>
          <cell r="DH75">
            <v>0.34</v>
          </cell>
          <cell r="DI75">
            <v>0.33999999999999947</v>
          </cell>
        </row>
        <row r="76">
          <cell r="B76" t="str">
            <v>Net Income - Continuing Operations</v>
          </cell>
          <cell r="AP76">
            <v>0.10318991479731805</v>
          </cell>
          <cell r="AU76">
            <v>9.9333842717597667E-2</v>
          </cell>
          <cell r="AW76">
            <v>0.11016816023849182</v>
          </cell>
          <cell r="AX76">
            <v>0.11116902247654287</v>
          </cell>
          <cell r="AY76">
            <v>9.4765713884753883E-2</v>
          </cell>
          <cell r="AZ76">
            <v>9.6589437119077248E-2</v>
          </cell>
          <cell r="BA76">
            <v>0.10324825241409701</v>
          </cell>
          <cell r="BB76">
            <v>0.10971956993747885</v>
          </cell>
          <cell r="BC76">
            <v>9.3774350718854635E-2</v>
          </cell>
          <cell r="BD76">
            <v>9.7039284799335643E-2</v>
          </cell>
          <cell r="BE76">
            <v>8.1441276749780939E-2</v>
          </cell>
          <cell r="BF76">
            <v>9.5408341583629055E-2</v>
          </cell>
          <cell r="BG76">
            <v>8.4656130769081905E-2</v>
          </cell>
          <cell r="BH76">
            <v>7.6537711128897443E-2</v>
          </cell>
          <cell r="BI76">
            <v>6.4211139399926259E-2</v>
          </cell>
          <cell r="BJ76">
            <v>-4.0232423605985605E-2</v>
          </cell>
          <cell r="BK76">
            <v>4.5622709684969724E-2</v>
          </cell>
          <cell r="BL76">
            <v>5.7570704124847979E-2</v>
          </cell>
          <cell r="BM76">
            <v>1.2100138196315247E-2</v>
          </cell>
          <cell r="BN76">
            <v>1.8506076963975486E-2</v>
          </cell>
          <cell r="BO76">
            <v>1.7311302425114826E-2</v>
          </cell>
          <cell r="BP76">
            <v>2.6743636714558695E-2</v>
          </cell>
          <cell r="BQ76">
            <v>0.14090920133405976</v>
          </cell>
          <cell r="BR76">
            <v>2.4706436900784331E-2</v>
          </cell>
          <cell r="BS76">
            <v>1.3878182554250997E-2</v>
          </cell>
          <cell r="BT76">
            <v>3.0847452748901404E-2</v>
          </cell>
          <cell r="BU76">
            <v>5.3694718608611566E-2</v>
          </cell>
          <cell r="BV76">
            <v>4.5518479019345512E-2</v>
          </cell>
          <cell r="BW76">
            <v>3.4010903083033235E-2</v>
          </cell>
          <cell r="BX76">
            <v>2.7894568425256082E-2</v>
          </cell>
          <cell r="BY76">
            <v>3.0538802272329052E-2</v>
          </cell>
          <cell r="BZ76">
            <v>3.4578440783088062E-2</v>
          </cell>
          <cell r="CA76">
            <v>4.1570591563237495E-2</v>
          </cell>
          <cell r="CB76">
            <v>3.6635259062644504E-2</v>
          </cell>
          <cell r="CC76">
            <v>3.138528905079966E-2</v>
          </cell>
          <cell r="CD76">
            <v>3.4286225675062988E-2</v>
          </cell>
          <cell r="CE76">
            <v>3.5955414037448057E-2</v>
          </cell>
          <cell r="CF76">
            <v>4.3741773568138846E-2</v>
          </cell>
          <cell r="CG76">
            <v>4.0789678310793075E-2</v>
          </cell>
          <cell r="CH76">
            <v>3.5496670580270326E-2</v>
          </cell>
          <cell r="CI76">
            <v>2.3834208668660973E-2</v>
          </cell>
          <cell r="CJ76">
            <v>3.5623184676033814E-2</v>
          </cell>
          <cell r="CK76">
            <v>2.7269794926588542E-2</v>
          </cell>
          <cell r="CL76">
            <v>2.854422157540195E-2</v>
          </cell>
          <cell r="CM76">
            <v>2.9694980191529021E-2</v>
          </cell>
          <cell r="CN76">
            <v>3.4933066549273147E-2</v>
          </cell>
          <cell r="CO76">
            <v>3.013205358749867E-2</v>
          </cell>
          <cell r="CP76">
            <v>3.9844243160089339E-2</v>
          </cell>
          <cell r="CQ76">
            <v>3.7271287607394885E-2</v>
          </cell>
          <cell r="CR76">
            <v>2.9349699813607816E-2</v>
          </cell>
          <cell r="CS76">
            <v>1.9486055656161964E-2</v>
          </cell>
          <cell r="CT76">
            <v>3.1479818788228711E-2</v>
          </cell>
          <cell r="CU76">
            <v>4.347112694900726E-2</v>
          </cell>
          <cell r="CV76">
            <v>4.7770725394714351E-2</v>
          </cell>
          <cell r="CW76">
            <v>4.1851656556154561E-2</v>
          </cell>
          <cell r="CX76">
            <v>3.0347213708844058E-2</v>
          </cell>
          <cell r="CY76">
            <v>4.0830723834732262E-2</v>
          </cell>
          <cell r="CZ76">
            <v>5.4430784274950759E-2</v>
          </cell>
          <cell r="DA76">
            <v>5.1171700177444775E-2</v>
          </cell>
          <cell r="DB76">
            <v>4.6291006042940452E-2</v>
          </cell>
          <cell r="DC76">
            <v>3.5785497065781914E-2</v>
          </cell>
          <cell r="DD76">
            <v>4.6905861535567597E-2</v>
          </cell>
          <cell r="DE76">
            <v>5.9177285225062368E-2</v>
          </cell>
          <cell r="DF76">
            <v>5.5290709020135567E-2</v>
          </cell>
          <cell r="DG76">
            <v>5.1168490830954719E-2</v>
          </cell>
          <cell r="DH76">
            <v>3.9332688661033788E-2</v>
          </cell>
          <cell r="DI76">
            <v>5.12354917652946E-2</v>
          </cell>
        </row>
        <row r="77">
          <cell r="B77" t="str">
            <v>YOY % Change</v>
          </cell>
          <cell r="D77">
            <v>0.38011859768017731</v>
          </cell>
          <cell r="E77">
            <v>0.15795611752985228</v>
          </cell>
          <cell r="F77">
            <v>0.23093452723172958</v>
          </cell>
          <cell r="G77">
            <v>0.14868011779397983</v>
          </cell>
          <cell r="H77">
            <v>0.26415143309484468</v>
          </cell>
          <cell r="I77">
            <v>0.21153100377310308</v>
          </cell>
          <cell r="J77">
            <v>0.34499165872708026</v>
          </cell>
          <cell r="K77">
            <v>0.25361989144875441</v>
          </cell>
          <cell r="L77">
            <v>0.27171958788674688</v>
          </cell>
          <cell r="M77" t="str">
            <v>NA</v>
          </cell>
          <cell r="N77" t="str">
            <v>NA</v>
          </cell>
          <cell r="O77" t="str">
            <v>NA</v>
          </cell>
          <cell r="P77" t="str">
            <v>NA</v>
          </cell>
          <cell r="Q77">
            <v>0.19046770202370555</v>
          </cell>
          <cell r="R77">
            <v>0.21145285044648698</v>
          </cell>
          <cell r="S77">
            <v>0.20281797096671639</v>
          </cell>
          <cell r="T77">
            <v>0.10958569876274193</v>
          </cell>
          <cell r="U77">
            <v>0.13947037626749337</v>
          </cell>
          <cell r="V77">
            <v>0.16379645454364389</v>
          </cell>
          <cell r="W77">
            <v>0.173315427972353</v>
          </cell>
          <cell r="X77">
            <v>0.17738434620890486</v>
          </cell>
          <cell r="Y77">
            <v>0.20993150071976663</v>
          </cell>
          <cell r="Z77">
            <v>0.20420230486934909</v>
          </cell>
          <cell r="AA77">
            <v>0.19143130766456662</v>
          </cell>
          <cell r="AB77">
            <v>0.14182117138797468</v>
          </cell>
          <cell r="AC77">
            <v>0.20535224381889816</v>
          </cell>
          <cell r="AD77">
            <v>0.25205461503836624</v>
          </cell>
          <cell r="AE77">
            <v>0.20996626745409874</v>
          </cell>
          <cell r="AF77">
            <v>0.20363857663656937</v>
          </cell>
          <cell r="AG77">
            <v>0.22911090897723163</v>
          </cell>
          <cell r="AH77">
            <v>0.11470683578527741</v>
          </cell>
          <cell r="AI77">
            <v>9.2241711056650244E-2</v>
          </cell>
          <cell r="AJ77">
            <v>0.10633694284233686</v>
          </cell>
          <cell r="AK77">
            <v>0.13169577844259783</v>
          </cell>
          <cell r="AL77">
            <v>0.24143323394905636</v>
          </cell>
          <cell r="AM77">
            <v>0.28993521761189966</v>
          </cell>
          <cell r="AN77">
            <v>0.26303028617257529</v>
          </cell>
          <cell r="AO77">
            <v>0.21370890476581517</v>
          </cell>
          <cell r="AP77">
            <v>0.2520171242720386</v>
          </cell>
          <cell r="AQ77">
            <v>8.6746070665240982E-2</v>
          </cell>
          <cell r="AR77">
            <v>0.10018023592558878</v>
          </cell>
          <cell r="AS77">
            <v>0.14305289958536282</v>
          </cell>
          <cell r="AT77">
            <v>0.13470762476130327</v>
          </cell>
          <cell r="AU77">
            <v>0.11653568359438982</v>
          </cell>
          <cell r="AW77">
            <v>0.28993521761189966</v>
          </cell>
          <cell r="AX77">
            <v>0.26303028617257529</v>
          </cell>
          <cell r="AY77">
            <v>0.21370890476581517</v>
          </cell>
          <cell r="AZ77">
            <v>8.6746070665240982E-2</v>
          </cell>
          <cell r="BA77">
            <v>0.10018023592558878</v>
          </cell>
          <cell r="BB77">
            <v>0.10018023592558878</v>
          </cell>
          <cell r="BC77">
            <v>0.14305289958536282</v>
          </cell>
          <cell r="BD77">
            <v>0.13470762476130327</v>
          </cell>
          <cell r="BE77">
            <v>0.13904724142250924</v>
          </cell>
          <cell r="BF77">
            <v>0.1290821708487786</v>
          </cell>
          <cell r="BG77">
            <v>0.12557877939676154</v>
          </cell>
          <cell r="BH77">
            <v>9.3915638406274926E-2</v>
          </cell>
          <cell r="BI77">
            <v>9.7747109073401672E-2</v>
          </cell>
          <cell r="BJ77">
            <v>0.12411065421039758</v>
          </cell>
          <cell r="BK77">
            <v>0.11037474345573539</v>
          </cell>
          <cell r="BL77">
            <v>0.10736641295295635</v>
          </cell>
          <cell r="BM77">
            <v>7.5493685947049416E-2</v>
          </cell>
          <cell r="BN77">
            <v>7.6528677381097365E-2</v>
          </cell>
          <cell r="BO77">
            <v>4.1363764601280772E-2</v>
          </cell>
          <cell r="BP77">
            <v>7.5009203927334012E-2</v>
          </cell>
          <cell r="BQ77">
            <v>7.9044505055823056E-3</v>
          </cell>
          <cell r="BR77">
            <v>5.5842592668406965E-3</v>
          </cell>
          <cell r="BS77">
            <v>1.0956008705004461E-2</v>
          </cell>
          <cell r="BT77">
            <v>1.4182533992290303E-2</v>
          </cell>
          <cell r="BU77">
            <v>9.6276820011789166E-3</v>
          </cell>
          <cell r="BV77">
            <v>3.0758165216576483E-2</v>
          </cell>
          <cell r="BW77">
            <v>4.5375957093962915E-2</v>
          </cell>
          <cell r="BX77">
            <v>3.6961348129333826E-2</v>
          </cell>
          <cell r="BY77">
            <v>7.8199286579015093E-2</v>
          </cell>
          <cell r="BZ77">
            <v>4.7744063890577948E-2</v>
          </cell>
          <cell r="CA77">
            <v>8.1644883979518967E-2</v>
          </cell>
          <cell r="CB77">
            <v>7.9911515223899166E-2</v>
          </cell>
          <cell r="CC77">
            <v>0.13259256816320142</v>
          </cell>
          <cell r="CD77">
            <v>0.1278719020329171</v>
          </cell>
          <cell r="CE77">
            <v>0.10535147998059258</v>
          </cell>
          <cell r="CF77">
            <v>0.11565743385895466</v>
          </cell>
          <cell r="CG77">
            <v>0.11826217134815487</v>
          </cell>
          <cell r="CH77">
            <v>0.10198251458495133</v>
          </cell>
          <cell r="CI77">
            <v>0.1713793554867058</v>
          </cell>
          <cell r="CJ77">
            <v>0.12753078057632949</v>
          </cell>
          <cell r="CK77">
            <v>0.17638795207447333</v>
          </cell>
          <cell r="CL77">
            <v>0.20868411075906956</v>
          </cell>
          <cell r="CM77">
            <v>0.18849786180122896</v>
          </cell>
          <cell r="CN77">
            <v>6.8309015178412702E-2</v>
          </cell>
          <cell r="CO77">
            <v>0.15761089813769091</v>
          </cell>
          <cell r="CP77">
            <v>4.266983854277262E-2</v>
          </cell>
          <cell r="CQ77">
            <v>2.8976157830795879E-2</v>
          </cell>
          <cell r="CR77">
            <v>3.010553168862562E-2</v>
          </cell>
          <cell r="CS77">
            <v>2.742413455954007E-2</v>
          </cell>
          <cell r="CT77">
            <v>3.2297228221513263E-2</v>
          </cell>
          <cell r="CU77">
            <v>2.1748509124186688E-2</v>
          </cell>
          <cell r="CV77">
            <v>2.0729592439884925E-2</v>
          </cell>
          <cell r="CW77">
            <v>2.2069809759070136E-2</v>
          </cell>
          <cell r="CX77">
            <v>2.0085750698083604E-2</v>
          </cell>
          <cell r="CY77">
            <v>2.1157148524977076E-2</v>
          </cell>
          <cell r="CZ77">
            <v>4.0840913676080781E-2</v>
          </cell>
          <cell r="DA77">
            <v>3.9572344045485597E-2</v>
          </cell>
          <cell r="DB77">
            <v>4.0496822400799326E-2</v>
          </cell>
          <cell r="DC77">
            <v>4.2367990114464682E-2</v>
          </cell>
          <cell r="DD77">
            <v>4.0820883299931943E-2</v>
          </cell>
          <cell r="DE77">
            <v>4.51124941697576E-2</v>
          </cell>
          <cell r="DF77">
            <v>4.2798688468062895E-2</v>
          </cell>
          <cell r="DG77">
            <v>4.346717825318458E-2</v>
          </cell>
          <cell r="DH77">
            <v>4.0600250997633536E-2</v>
          </cell>
          <cell r="DI77">
            <v>4.2999439938272266E-2</v>
          </cell>
        </row>
        <row r="78">
          <cell r="B78" t="str">
            <v>Gross Revenue</v>
          </cell>
          <cell r="D78">
            <v>0.38011859768017731</v>
          </cell>
          <cell r="E78">
            <v>0.15795611752985228</v>
          </cell>
          <cell r="F78">
            <v>0.23093452723172958</v>
          </cell>
          <cell r="G78">
            <v>0.14868011779397983</v>
          </cell>
          <cell r="H78">
            <v>0.26415143309484468</v>
          </cell>
          <cell r="I78">
            <v>0.21153100377310308</v>
          </cell>
          <cell r="J78">
            <v>0.34499165872708026</v>
          </cell>
          <cell r="K78">
            <v>0.25361989144875441</v>
          </cell>
          <cell r="L78">
            <v>0.27171958788674688</v>
          </cell>
          <cell r="M78" t="str">
            <v>NA</v>
          </cell>
          <cell r="N78" t="str">
            <v>NA</v>
          </cell>
          <cell r="O78" t="str">
            <v>NA</v>
          </cell>
          <cell r="P78" t="str">
            <v>NA</v>
          </cell>
          <cell r="Q78">
            <v>0.19046770202370555</v>
          </cell>
          <cell r="R78">
            <v>0.21145285044648698</v>
          </cell>
          <cell r="S78">
            <v>0.20281797096671639</v>
          </cell>
          <cell r="T78">
            <v>0.10958569876274193</v>
          </cell>
          <cell r="U78">
            <v>0.13947037626749337</v>
          </cell>
          <cell r="V78">
            <v>0.16379645454364389</v>
          </cell>
          <cell r="W78">
            <v>0.173315427972353</v>
          </cell>
          <cell r="X78">
            <v>0.17738434620890486</v>
          </cell>
          <cell r="Y78">
            <v>0.20993150071976663</v>
          </cell>
          <cell r="Z78">
            <v>0.20420230486934909</v>
          </cell>
          <cell r="AA78">
            <v>0.19143130766456662</v>
          </cell>
          <cell r="AB78">
            <v>0.14182117138797468</v>
          </cell>
          <cell r="AC78">
            <v>0.20535224381889816</v>
          </cell>
          <cell r="AD78">
            <v>0.25205461503836624</v>
          </cell>
          <cell r="AE78">
            <v>0.20996626745409874</v>
          </cell>
          <cell r="AF78">
            <v>0.20363857663656937</v>
          </cell>
          <cell r="AG78">
            <v>0.22911090897723163</v>
          </cell>
          <cell r="AH78">
            <v>0.11470683578527741</v>
          </cell>
          <cell r="AI78">
            <v>9.2241711056650244E-2</v>
          </cell>
          <cell r="AJ78">
            <v>0.10633694284233686</v>
          </cell>
          <cell r="AK78">
            <v>0.13169577844259783</v>
          </cell>
          <cell r="AL78">
            <v>0.24143323394905636</v>
          </cell>
          <cell r="AM78">
            <v>0.28993521761189966</v>
          </cell>
          <cell r="AN78">
            <v>0.26303028617257529</v>
          </cell>
          <cell r="AO78">
            <v>0.21370890476581517</v>
          </cell>
          <cell r="AP78">
            <v>0.2520171242720386</v>
          </cell>
          <cell r="AQ78">
            <v>8.6746070665240982E-2</v>
          </cell>
          <cell r="AR78">
            <v>0.10018023592558878</v>
          </cell>
          <cell r="AS78">
            <v>0.14305289958536282</v>
          </cell>
          <cell r="AT78">
            <v>0.13470762476130327</v>
          </cell>
          <cell r="AU78">
            <v>0.11653568359438982</v>
          </cell>
          <cell r="AW78">
            <v>0.28993521761189966</v>
          </cell>
          <cell r="AX78">
            <v>0.26303028617257529</v>
          </cell>
          <cell r="AY78">
            <v>0.21370890476581517</v>
          </cell>
          <cell r="AZ78">
            <v>8.6746070665240982E-2</v>
          </cell>
          <cell r="BA78">
            <v>0.10018023592558878</v>
          </cell>
          <cell r="BB78">
            <v>0.10018023592558878</v>
          </cell>
          <cell r="BC78">
            <v>0.14305289958536282</v>
          </cell>
          <cell r="BD78">
            <v>0.13470762476130327</v>
          </cell>
          <cell r="BE78">
            <v>0.13904724142250924</v>
          </cell>
          <cell r="BF78">
            <v>0.1290821708487786</v>
          </cell>
          <cell r="BG78">
            <v>0.12557877939676154</v>
          </cell>
          <cell r="BH78">
            <v>9.3915638406274926E-2</v>
          </cell>
          <cell r="BI78">
            <v>9.7747109073401672E-2</v>
          </cell>
          <cell r="BJ78">
            <v>0.12411065421039758</v>
          </cell>
          <cell r="BK78">
            <v>0.11037474345573539</v>
          </cell>
          <cell r="BL78">
            <v>0.10736641295295635</v>
          </cell>
          <cell r="BM78">
            <v>7.5493685947049416E-2</v>
          </cell>
          <cell r="BN78">
            <v>7.6528677381097365E-2</v>
          </cell>
          <cell r="BO78">
            <v>4.1363764601280772E-2</v>
          </cell>
          <cell r="BP78">
            <v>7.5009203927334012E-2</v>
          </cell>
          <cell r="BQ78">
            <v>7.9044505055823056E-3</v>
          </cell>
          <cell r="BR78">
            <v>5.5842592668406965E-3</v>
          </cell>
          <cell r="BS78">
            <v>1.0956008705004461E-2</v>
          </cell>
          <cell r="BT78">
            <v>1.4182533992290303E-2</v>
          </cell>
          <cell r="BU78">
            <v>9.6276820011789166E-3</v>
          </cell>
          <cell r="BV78">
            <v>3.0758165216576483E-2</v>
          </cell>
          <cell r="BW78">
            <v>4.5375957093962915E-2</v>
          </cell>
          <cell r="BX78">
            <v>3.6961348129333826E-2</v>
          </cell>
          <cell r="BY78">
            <v>7.8199286579015093E-2</v>
          </cell>
          <cell r="BZ78">
            <v>4.7744063890577948E-2</v>
          </cell>
          <cell r="CA78">
            <v>8.1644883979518967E-2</v>
          </cell>
          <cell r="CB78">
            <v>7.9911515223899166E-2</v>
          </cell>
          <cell r="CC78">
            <v>0.13259256816320142</v>
          </cell>
          <cell r="CD78">
            <v>0.1278719020329171</v>
          </cell>
          <cell r="CE78">
            <v>0.10535147998059258</v>
          </cell>
          <cell r="CF78">
            <v>0.11565743385895466</v>
          </cell>
          <cell r="CG78">
            <v>0.11826217134815487</v>
          </cell>
          <cell r="CH78">
            <v>0.10198251458495133</v>
          </cell>
          <cell r="CI78">
            <v>0.1713793554867058</v>
          </cell>
          <cell r="CJ78">
            <v>0.12753078057632949</v>
          </cell>
          <cell r="CK78">
            <v>0.17638795207447333</v>
          </cell>
          <cell r="CL78">
            <v>0.20868411075906956</v>
          </cell>
          <cell r="CM78">
            <v>0.18849786180122896</v>
          </cell>
          <cell r="CN78">
            <v>8.2702538235712719E-2</v>
          </cell>
          <cell r="CO78">
            <v>0.16153246024465906</v>
          </cell>
          <cell r="CP78">
            <v>5.1691259903809517E-2</v>
          </cell>
          <cell r="CQ78">
            <v>3.6619789502220224E-2</v>
          </cell>
          <cell r="CR78">
            <v>3.7744850068371916E-2</v>
          </cell>
          <cell r="CS78">
            <v>3.4818273051297588E-2</v>
          </cell>
          <cell r="CT78">
            <v>4.0204127220839547E-2</v>
          </cell>
          <cell r="CU78">
            <v>1.9756752552028356E-2</v>
          </cell>
          <cell r="CV78">
            <v>1.8714341238973198E-2</v>
          </cell>
          <cell r="CW78">
            <v>1.9778379242177069E-2</v>
          </cell>
          <cell r="CX78">
            <v>1.7821537451871095E-2</v>
          </cell>
          <cell r="CY78">
            <v>1.9013662459252956E-2</v>
          </cell>
          <cell r="CZ78">
            <v>4.0015923781028473E-2</v>
          </cell>
          <cell r="DA78">
            <v>3.8673786306765212E-2</v>
          </cell>
          <cell r="DB78">
            <v>3.9512490880724949E-2</v>
          </cell>
          <cell r="DC78">
            <v>4.1657731082946015E-2</v>
          </cell>
          <cell r="DD78">
            <v>3.9972364174829966E-2</v>
          </cell>
          <cell r="DE78">
            <v>4.4568861946563398E-2</v>
          </cell>
          <cell r="DF78">
            <v>4.2163398344305492E-2</v>
          </cell>
          <cell r="DG78">
            <v>4.2787805693798031E-2</v>
          </cell>
          <cell r="DH78">
            <v>4.0298417987587154E-2</v>
          </cell>
          <cell r="DI78">
            <v>4.2453528289148279E-2</v>
          </cell>
        </row>
        <row r="79">
          <cell r="B79" t="str">
            <v>Provision for doubtful accounts</v>
          </cell>
          <cell r="D79">
            <v>-0.86881271992701681</v>
          </cell>
          <cell r="E79">
            <v>-5.0913967812438066E-2</v>
          </cell>
          <cell r="F79">
            <v>0.25200188412623659</v>
          </cell>
          <cell r="G79">
            <v>0.26034612490594422</v>
          </cell>
          <cell r="H79">
            <v>0.32676616915422896</v>
          </cell>
          <cell r="I79">
            <v>0.20838958052097389</v>
          </cell>
          <cell r="J79">
            <v>0.33979477843518557</v>
          </cell>
          <cell r="K79">
            <v>0.18731374395874179</v>
          </cell>
          <cell r="L79">
            <v>0.27783702239446506</v>
          </cell>
          <cell r="M79" t="str">
            <v>NA</v>
          </cell>
          <cell r="N79" t="str">
            <v>NA</v>
          </cell>
          <cell r="O79" t="str">
            <v>NA</v>
          </cell>
          <cell r="P79" t="str">
            <v>NA</v>
          </cell>
          <cell r="Q79">
            <v>0.32317979197622559</v>
          </cell>
          <cell r="R79">
            <v>0.17453170647877658</v>
          </cell>
          <cell r="S79">
            <v>0.10067945242159526</v>
          </cell>
          <cell r="T79">
            <v>-4.4635407975971875E-2</v>
          </cell>
          <cell r="U79">
            <v>-1.8014422939885311E-2</v>
          </cell>
          <cell r="V79">
            <v>4.4987808911416627E-2</v>
          </cell>
          <cell r="W79">
            <v>5.0683287975887392E-2</v>
          </cell>
          <cell r="X79">
            <v>5.047894176676504E-3</v>
          </cell>
          <cell r="Y79">
            <v>5.2542718248770104E-2</v>
          </cell>
          <cell r="Z79">
            <v>0.12649850512321836</v>
          </cell>
          <cell r="AA79">
            <v>5.933226362043853E-2</v>
          </cell>
          <cell r="AB79">
            <v>2.7099289792507975E-2</v>
          </cell>
          <cell r="AC79">
            <v>0.32259235726604341</v>
          </cell>
          <cell r="AD79">
            <v>0.25795121411582489</v>
          </cell>
          <cell r="AE79">
            <v>0.19441366693292794</v>
          </cell>
          <cell r="AF79">
            <v>0.19807119084510472</v>
          </cell>
          <cell r="AG79">
            <v>0.25568089375779612</v>
          </cell>
          <cell r="AH79">
            <v>2.9830942740145971E-2</v>
          </cell>
          <cell r="AI79">
            <v>2.117181488402764E-2</v>
          </cell>
          <cell r="AJ79">
            <v>5.8247400440091468E-2</v>
          </cell>
          <cell r="AK79">
            <v>8.3488952038508479E-2</v>
          </cell>
          <cell r="AL79">
            <v>0.25438918522037701</v>
          </cell>
          <cell r="AM79">
            <v>0.32345558344625358</v>
          </cell>
          <cell r="AN79">
            <v>0.34589218050292803</v>
          </cell>
          <cell r="AO79">
            <v>0.22100134545602801</v>
          </cell>
          <cell r="AP79">
            <v>0.28501386316679689</v>
          </cell>
          <cell r="AQ79">
            <v>6.8845008349544656E-2</v>
          </cell>
          <cell r="AR79">
            <v>8.3839672362281181E-2</v>
          </cell>
          <cell r="AS79">
            <v>0.68621428799948814</v>
          </cell>
          <cell r="AT79">
            <v>0.26479672760664474</v>
          </cell>
          <cell r="AU79">
            <v>0.28221298432983155</v>
          </cell>
          <cell r="AW79">
            <v>0.32345558344625358</v>
          </cell>
          <cell r="AX79">
            <v>0.34589218050292803</v>
          </cell>
          <cell r="AY79">
            <v>0.22100134545602801</v>
          </cell>
          <cell r="AZ79">
            <v>6.8845008349544656E-2</v>
          </cell>
          <cell r="BA79">
            <v>8.3839672362281181E-2</v>
          </cell>
          <cell r="BB79">
            <v>8.3839672362281181E-2</v>
          </cell>
          <cell r="BC79">
            <v>0.68621428799948814</v>
          </cell>
          <cell r="BD79">
            <v>0.26479672760664474</v>
          </cell>
          <cell r="BE79">
            <v>0.30636536417227722</v>
          </cell>
          <cell r="BF79">
            <v>0.33913624202595094</v>
          </cell>
          <cell r="BG79">
            <v>0.29738435569045896</v>
          </cell>
          <cell r="BH79">
            <v>-0.13476644025348161</v>
          </cell>
          <cell r="BI79">
            <v>0.2418058213979275</v>
          </cell>
          <cell r="BJ79">
            <v>2.7335741674578027</v>
          </cell>
          <cell r="BK79">
            <v>0.74966880528198221</v>
          </cell>
          <cell r="BL79">
            <v>0.44992599312452253</v>
          </cell>
          <cell r="BM79">
            <v>0.65152511896147169</v>
          </cell>
          <cell r="BN79">
            <v>0.34455157165180239</v>
          </cell>
          <cell r="BO79">
            <v>-0.55346262949154446</v>
          </cell>
          <cell r="BP79">
            <v>-6.6570608210899662E-2</v>
          </cell>
          <cell r="BQ79">
            <v>6.1752381266002132E-2</v>
          </cell>
          <cell r="BR79">
            <v>-0.17122864786993197</v>
          </cell>
          <cell r="BS79">
            <v>-1.812058251506099E-2</v>
          </cell>
          <cell r="BT79">
            <v>-3.69102203816003E-2</v>
          </cell>
          <cell r="BU79">
            <v>-4.7908970333680467E-2</v>
          </cell>
          <cell r="BV79">
            <v>0.11640691633713263</v>
          </cell>
          <cell r="BW79">
            <v>0.13351810761232641</v>
          </cell>
          <cell r="BX79">
            <v>0.15742306391613115</v>
          </cell>
          <cell r="BY79">
            <v>0.13004016002580054</v>
          </cell>
          <cell r="BZ79">
            <v>0.13412628140802374</v>
          </cell>
          <cell r="CA79">
            <v>0.10294270851419962</v>
          </cell>
          <cell r="CB79">
            <v>5.8132221476272949E-2</v>
          </cell>
          <cell r="CC79">
            <v>0.11253956659362063</v>
          </cell>
          <cell r="CD79">
            <v>0.11816069147345831</v>
          </cell>
          <cell r="CE79">
            <v>9.8220497330832712E-2</v>
          </cell>
          <cell r="CF79">
            <v>8.8139542205849741E-2</v>
          </cell>
          <cell r="CG79">
            <v>0.14062552176903931</v>
          </cell>
          <cell r="CH79">
            <v>0.11850151949075172</v>
          </cell>
          <cell r="CI79">
            <v>0.18580031965385024</v>
          </cell>
          <cell r="CJ79">
            <v>0.13361221211005803</v>
          </cell>
          <cell r="CK79">
            <v>0.16469138088679536</v>
          </cell>
          <cell r="CL79">
            <v>0.25631927488626172</v>
          </cell>
          <cell r="CM79">
            <v>0.25272120442995871</v>
          </cell>
          <cell r="CN79">
            <v>0.18636620007422455</v>
          </cell>
          <cell r="CO79">
            <v>0.21433589077018089</v>
          </cell>
          <cell r="CP79">
            <v>0.17044259387303118</v>
          </cell>
          <cell r="CQ79">
            <v>0.12519506291673665</v>
          </cell>
          <cell r="CR79">
            <v>0.13354539209412786</v>
          </cell>
          <cell r="CS79">
            <v>0.11031761156466713</v>
          </cell>
          <cell r="CT79">
            <v>0.13384060740897108</v>
          </cell>
          <cell r="CU79">
            <v>-0.19560010344246592</v>
          </cell>
          <cell r="CV79">
            <v>-0.19323262392461649</v>
          </cell>
          <cell r="CW79">
            <v>-0.19411581178056148</v>
          </cell>
          <cell r="CX79">
            <v>-0.19243288738467579</v>
          </cell>
          <cell r="CY79">
            <v>-0.19381608253116134</v>
          </cell>
          <cell r="CZ79">
            <v>-8.8886932945292818E-2</v>
          </cell>
          <cell r="DA79">
            <v>-9.3786357182752855E-2</v>
          </cell>
          <cell r="DB79">
            <v>-9.4394305784069377E-2</v>
          </cell>
          <cell r="DC79">
            <v>-9.2918536902883875E-2</v>
          </cell>
          <cell r="DD79">
            <v>-9.255090758093909E-2</v>
          </cell>
          <cell r="DE79">
            <v>-6.3713072319585451E-2</v>
          </cell>
          <cell r="DF79">
            <v>-6.9249882662698825E-2</v>
          </cell>
          <cell r="DG79">
            <v>-6.9869181136658964E-2</v>
          </cell>
          <cell r="DH79">
            <v>-6.906247237097396E-2</v>
          </cell>
          <cell r="DI79">
            <v>-6.8037408034409941E-2</v>
          </cell>
        </row>
        <row r="80">
          <cell r="B80" t="str">
            <v>Net Revenue</v>
          </cell>
          <cell r="D80">
            <v>0.24893131760719389</v>
          </cell>
          <cell r="E80">
            <v>0.17989575343966702</v>
          </cell>
          <cell r="F80">
            <v>0.22915450605819387</v>
          </cell>
          <cell r="G80">
            <v>0.13906986951406886</v>
          </cell>
          <cell r="H80">
            <v>0.25818891594576399</v>
          </cell>
          <cell r="I80">
            <v>0.21184645198863361</v>
          </cell>
          <cell r="J80">
            <v>0.34551201849381452</v>
          </cell>
          <cell r="K80">
            <v>0.26023086610197144</v>
          </cell>
          <cell r="L80">
            <v>0.27114494715290216</v>
          </cell>
          <cell r="M80" t="str">
            <v>NA</v>
          </cell>
          <cell r="N80" t="str">
            <v>NA</v>
          </cell>
          <cell r="O80" t="str">
            <v>NA</v>
          </cell>
          <cell r="P80" t="str">
            <v>NA</v>
          </cell>
          <cell r="Q80">
            <v>0.17793577205769306</v>
          </cell>
          <cell r="R80">
            <v>0.21533930774490706</v>
          </cell>
          <cell r="S80">
            <v>0.21266591581658179</v>
          </cell>
          <cell r="T80">
            <v>0.12710614030930611</v>
          </cell>
          <cell r="U80">
            <v>0.1565806873186395</v>
          </cell>
          <cell r="V80">
            <v>0.17639884016728469</v>
          </cell>
          <cell r="W80">
            <v>0.1857907067435498</v>
          </cell>
          <cell r="X80">
            <v>0.19246613620033548</v>
          </cell>
          <cell r="Y80">
            <v>0.22508731702668006</v>
          </cell>
          <cell r="Z80">
            <v>0.21137018432636823</v>
          </cell>
          <cell r="AA80">
            <v>0.20387820279422031</v>
          </cell>
          <cell r="AB80">
            <v>0.15216201560507336</v>
          </cell>
          <cell r="AC80">
            <v>0.19670470192571621</v>
          </cell>
          <cell r="AD80">
            <v>0.2515667723003352</v>
          </cell>
          <cell r="AE80">
            <v>0.21130041909073216</v>
          </cell>
          <cell r="AF80">
            <v>0.20410017293842064</v>
          </cell>
          <cell r="AG80">
            <v>0.22697589896784542</v>
          </cell>
          <cell r="AH80">
            <v>0.12162577974209055</v>
          </cell>
          <cell r="AI80">
            <v>9.81515235168402E-2</v>
          </cell>
          <cell r="AJ80">
            <v>0.11040470655216605</v>
          </cell>
          <cell r="AK80">
            <v>0.13567263156937881</v>
          </cell>
          <cell r="AL80">
            <v>0.24036781315262346</v>
          </cell>
          <cell r="AM80">
            <v>0.28742632449642969</v>
          </cell>
          <cell r="AN80">
            <v>0.25662292172691248</v>
          </cell>
          <cell r="AO80">
            <v>0.21312103125041082</v>
          </cell>
          <cell r="AP80">
            <v>0.24942011585044743</v>
          </cell>
          <cell r="AQ80">
            <v>8.8234788808617681E-2</v>
          </cell>
          <cell r="AR80">
            <v>0.1014375026635963</v>
          </cell>
          <cell r="AS80">
            <v>9.8068829016450199E-2</v>
          </cell>
          <cell r="AT80">
            <v>0.12415248669378709</v>
          </cell>
          <cell r="AU80">
            <v>0.10312457536909814</v>
          </cell>
          <cell r="AW80">
            <v>0.28742632449642969</v>
          </cell>
          <cell r="AX80">
            <v>0.25662292172691248</v>
          </cell>
          <cell r="AY80">
            <v>0.21312103125041082</v>
          </cell>
          <cell r="AZ80">
            <v>8.8234788808617681E-2</v>
          </cell>
          <cell r="BA80">
            <v>0.1014375026635963</v>
          </cell>
          <cell r="BB80">
            <v>0.1014375026635963</v>
          </cell>
          <cell r="BC80">
            <v>9.8068829016450199E-2</v>
          </cell>
          <cell r="BD80">
            <v>0.12415248669378709</v>
          </cell>
          <cell r="BE80">
            <v>0.12538038008406849</v>
          </cell>
          <cell r="BF80">
            <v>0.11214755701186507</v>
          </cell>
          <cell r="BG80">
            <v>0.11257100981972745</v>
          </cell>
          <cell r="BH80">
            <v>0.12299903963554404</v>
          </cell>
          <cell r="BI80">
            <v>8.4596131529445007E-2</v>
          </cell>
          <cell r="BJ80">
            <v>-0.12331364654499211</v>
          </cell>
          <cell r="BK80">
            <v>4.8315394302278714E-2</v>
          </cell>
          <cell r="BL80">
            <v>7.7122177210280363E-2</v>
          </cell>
          <cell r="BM80">
            <v>1.905027932960901E-2</v>
          </cell>
          <cell r="BN80">
            <v>4.8514618271673138E-2</v>
          </cell>
          <cell r="BO80">
            <v>0.28155761860693351</v>
          </cell>
          <cell r="BP80">
            <v>9.794806036656456E-2</v>
          </cell>
          <cell r="BQ80">
            <v>1.504798133971974E-3</v>
          </cell>
          <cell r="BR80">
            <v>3.3662543804531486E-2</v>
          </cell>
          <cell r="BS80">
            <v>1.48531900396629E-2</v>
          </cell>
          <cell r="BT80">
            <v>2.1371238780593771E-2</v>
          </cell>
          <cell r="BU80">
            <v>1.7552963507620145E-2</v>
          </cell>
          <cell r="BV80">
            <v>1.9966744887172982E-2</v>
          </cell>
          <cell r="BW80">
            <v>3.4153286919839765E-2</v>
          </cell>
          <cell r="BX80">
            <v>2.1340266466190583E-2</v>
          </cell>
          <cell r="BY80">
            <v>7.1321530118775955E-2</v>
          </cell>
          <cell r="BZ80">
            <v>3.6610969115081549E-2</v>
          </cell>
          <cell r="CA80">
            <v>7.8707712348185854E-2</v>
          </cell>
          <cell r="CB80">
            <v>8.2950999459538322E-2</v>
          </cell>
          <cell r="CC80">
            <v>0.13553945272645129</v>
          </cell>
          <cell r="CD80">
            <v>0.1292309096752966</v>
          </cell>
          <cell r="CE80">
            <v>0.10635699034579438</v>
          </cell>
          <cell r="CF80">
            <v>0.11953767223636036</v>
          </cell>
          <cell r="CG80">
            <v>0.11521270317725141</v>
          </cell>
          <cell r="CH80">
            <v>9.9604136712831082E-2</v>
          </cell>
          <cell r="CI80">
            <v>0.16938103891685619</v>
          </cell>
          <cell r="CJ80">
            <v>0.1266795695225198</v>
          </cell>
          <cell r="CK80">
            <v>0.17799100440262383</v>
          </cell>
          <cell r="CL80">
            <v>0.20204055967583612</v>
          </cell>
          <cell r="CM80">
            <v>0.17909218411113415</v>
          </cell>
          <cell r="CN80">
            <v>6.8136144225166229E-2</v>
          </cell>
          <cell r="CO80">
            <v>0.15409614712455544</v>
          </cell>
          <cell r="CP80">
            <v>3.5599760435381267E-2</v>
          </cell>
          <cell r="CQ80">
            <v>2.3708607141044391E-2</v>
          </cell>
          <cell r="CR80">
            <v>2.2838482664204962E-2</v>
          </cell>
          <cell r="CS80">
            <v>2.3035139294875773E-2</v>
          </cell>
          <cell r="CT80">
            <v>2.6328984794974364E-2</v>
          </cell>
          <cell r="CU80">
            <v>5.2738593824352975E-2</v>
          </cell>
          <cell r="CV80">
            <v>5.2671565215025584E-2</v>
          </cell>
          <cell r="CW80">
            <v>5.6662097986298843E-2</v>
          </cell>
          <cell r="CX80">
            <v>5.3435433176129532E-2</v>
          </cell>
          <cell r="CY80">
            <v>5.3854621981597406E-2</v>
          </cell>
          <cell r="CZ80">
            <v>5.510039874812267E-2</v>
          </cell>
          <cell r="DA80">
            <v>5.4938470459407807E-2</v>
          </cell>
          <cell r="DB80">
            <v>5.7123118647973703E-2</v>
          </cell>
          <cell r="DC80">
            <v>5.913258368251606E-2</v>
          </cell>
          <cell r="DD80">
            <v>5.6568361539529599E-2</v>
          </cell>
          <cell r="DE80">
            <v>5.551099898620282E-2</v>
          </cell>
          <cell r="DF80">
            <v>5.3915102314106678E-2</v>
          </cell>
          <cell r="DG80">
            <v>5.5480210702474775E-2</v>
          </cell>
          <cell r="DH80">
            <v>5.2460363150065525E-2</v>
          </cell>
          <cell r="DI80">
            <v>5.4337525210958804E-2</v>
          </cell>
        </row>
        <row r="81">
          <cell r="B81" t="str">
            <v>Salaries &amp; benefits</v>
          </cell>
          <cell r="D81">
            <v>-0.49085103610061254</v>
          </cell>
          <cell r="E81">
            <v>0.16309161184631527</v>
          </cell>
          <cell r="F81">
            <v>0.23368949239081416</v>
          </cell>
          <cell r="G81">
            <v>9.8774461708617922E-2</v>
          </cell>
          <cell r="H81">
            <v>0.21252070006818835</v>
          </cell>
          <cell r="I81">
            <v>0.20161614268116335</v>
          </cell>
          <cell r="J81">
            <v>0.38128402132792516</v>
          </cell>
          <cell r="K81">
            <v>0.25441982599015001</v>
          </cell>
          <cell r="L81">
            <v>0.29306541647373563</v>
          </cell>
          <cell r="M81" t="str">
            <v>NA</v>
          </cell>
          <cell r="N81" t="str">
            <v>NA</v>
          </cell>
          <cell r="O81" t="str">
            <v>NA</v>
          </cell>
          <cell r="P81" t="str">
            <v>NA</v>
          </cell>
          <cell r="Q81">
            <v>0.20856283866283043</v>
          </cell>
          <cell r="R81">
            <v>0.2004962910166046</v>
          </cell>
          <cell r="S81">
            <v>0.24858510721791527</v>
          </cell>
          <cell r="T81">
            <v>8.1981315624447326E-2</v>
          </cell>
          <cell r="U81">
            <v>0.16219196579273087</v>
          </cell>
          <cell r="V81">
            <v>0.17100511725236256</v>
          </cell>
          <cell r="W81">
            <v>0.23987011463922348</v>
          </cell>
          <cell r="X81">
            <v>0.23984662555262992</v>
          </cell>
          <cell r="Y81">
            <v>0.3098551779995391</v>
          </cell>
          <cell r="Z81">
            <v>0.21079095826394556</v>
          </cell>
          <cell r="AA81">
            <v>0.24849765951166036</v>
          </cell>
          <cell r="AB81">
            <v>0.15722452454286939</v>
          </cell>
          <cell r="AC81">
            <v>0.23391167192429019</v>
          </cell>
          <cell r="AD81">
            <v>0.28538850345191435</v>
          </cell>
          <cell r="AE81">
            <v>0.24398266367421351</v>
          </cell>
          <cell r="AF81">
            <v>0.23108502747929394</v>
          </cell>
          <cell r="AG81">
            <v>0.23889388397327171</v>
          </cell>
          <cell r="AH81">
            <v>0.12281550738664371</v>
          </cell>
          <cell r="AI81">
            <v>8.3367536531222086E-2</v>
          </cell>
          <cell r="AJ81">
            <v>9.3383329762159795E-2</v>
          </cell>
          <cell r="AK81">
            <v>0.13072162921316188</v>
          </cell>
          <cell r="AL81">
            <v>0.24844646222233213</v>
          </cell>
          <cell r="AM81">
            <v>0.32298959934294524</v>
          </cell>
          <cell r="AN81">
            <v>0.2863771351287494</v>
          </cell>
          <cell r="AO81">
            <v>0.23828392927832076</v>
          </cell>
          <cell r="AP81">
            <v>0.27377499178525389</v>
          </cell>
          <cell r="AQ81">
            <v>8.0882012934252012E-2</v>
          </cell>
          <cell r="AR81">
            <v>0.10111744892188912</v>
          </cell>
          <cell r="AS81">
            <v>0.12760944466963919</v>
          </cell>
          <cell r="AT81">
            <v>0.15727819153818645</v>
          </cell>
          <cell r="AU81">
            <v>0.11697816977931685</v>
          </cell>
          <cell r="AW81">
            <v>0.32298959934294524</v>
          </cell>
          <cell r="AX81">
            <v>0.2863771351287494</v>
          </cell>
          <cell r="AY81">
            <v>0.23828392927832076</v>
          </cell>
          <cell r="AZ81">
            <v>8.0882012934252012E-2</v>
          </cell>
          <cell r="BA81">
            <v>0.10111744892188912</v>
          </cell>
          <cell r="BB81">
            <v>0.10111744892188912</v>
          </cell>
          <cell r="BC81">
            <v>0.12760944466963919</v>
          </cell>
          <cell r="BD81">
            <v>0.15727819153818645</v>
          </cell>
          <cell r="BE81">
            <v>0.15098548510313226</v>
          </cell>
          <cell r="BF81">
            <v>0.13415221898754748</v>
          </cell>
          <cell r="BG81">
            <v>0.1325672786544827</v>
          </cell>
          <cell r="BH81">
            <v>0.1460069873508727</v>
          </cell>
          <cell r="BI81">
            <v>0.10602608669491032</v>
          </cell>
          <cell r="BJ81">
            <v>0.14986194445919399</v>
          </cell>
          <cell r="BK81">
            <v>0.13366262884917068</v>
          </cell>
          <cell r="BL81">
            <v>0.12253840106657998</v>
          </cell>
          <cell r="BM81">
            <v>8.8913177196546789E-2</v>
          </cell>
          <cell r="BN81">
            <v>8.5241337016219276E-2</v>
          </cell>
          <cell r="BO81">
            <v>4.717771820820249E-2</v>
          </cell>
          <cell r="BP81">
            <v>8.5330494433624837E-2</v>
          </cell>
          <cell r="BQ81">
            <v>2.6994096687866564E-2</v>
          </cell>
          <cell r="BR81">
            <v>9.6186954672403679E-3</v>
          </cell>
          <cell r="BS81">
            <v>2.4055288198622016E-2</v>
          </cell>
          <cell r="BT81">
            <v>1.9572694800899404E-2</v>
          </cell>
          <cell r="BU81">
            <v>2.0088670467467207E-2</v>
          </cell>
          <cell r="BV81">
            <v>-7.6741705375980018E-3</v>
          </cell>
          <cell r="BW81">
            <v>-1.1189945989563688E-3</v>
          </cell>
          <cell r="BX81">
            <v>-2.4963230467646147E-2</v>
          </cell>
          <cell r="BY81">
            <v>3.4315347402885443E-2</v>
          </cell>
          <cell r="BZ81">
            <v>3.0466159590170072E-4</v>
          </cell>
          <cell r="CA81">
            <v>9.3823309558327628E-2</v>
          </cell>
          <cell r="CB81">
            <v>9.4823873336085551E-2</v>
          </cell>
          <cell r="CC81">
            <v>0.1452275434616912</v>
          </cell>
          <cell r="CD81">
            <v>0.13189834512895016</v>
          </cell>
          <cell r="CE81">
            <v>0.11634309648597596</v>
          </cell>
          <cell r="CF81">
            <v>0.12530550429626186</v>
          </cell>
          <cell r="CG81">
            <v>0.11331065394501083</v>
          </cell>
          <cell r="CH81">
            <v>9.5679707317656293E-2</v>
          </cell>
          <cell r="CI81">
            <v>0.17803166041708995</v>
          </cell>
          <cell r="CJ81">
            <v>0.12912222611353408</v>
          </cell>
          <cell r="CK81">
            <v>0.15346880343301361</v>
          </cell>
          <cell r="CL81">
            <v>0.18259861808355216</v>
          </cell>
          <cell r="CM81">
            <v>0.15903771344185857</v>
          </cell>
          <cell r="CN81">
            <v>5.7106815086541474E-2</v>
          </cell>
          <cell r="CO81">
            <v>0.13503993730183694</v>
          </cell>
          <cell r="CP81">
            <v>3.2413114916281183E-2</v>
          </cell>
          <cell r="CQ81">
            <v>1.9462308155544061E-2</v>
          </cell>
          <cell r="CR81">
            <v>1.9031445570239169E-2</v>
          </cell>
          <cell r="CS81">
            <v>2.3590127748750911E-2</v>
          </cell>
          <cell r="CT81">
            <v>2.3683200362325962E-2</v>
          </cell>
          <cell r="CU81">
            <v>4.4696503108144992E-2</v>
          </cell>
          <cell r="CV81">
            <v>4.5527601245776372E-2</v>
          </cell>
          <cell r="CW81">
            <v>4.5666514870813968E-2</v>
          </cell>
          <cell r="CX81">
            <v>4.5016621339120988E-2</v>
          </cell>
          <cell r="CY81">
            <v>4.5218499242542398E-2</v>
          </cell>
          <cell r="CZ81">
            <v>4.6513059565293613E-2</v>
          </cell>
          <cell r="DA81">
            <v>4.674518318862364E-2</v>
          </cell>
          <cell r="DB81">
            <v>4.6795813150186216E-2</v>
          </cell>
          <cell r="DC81">
            <v>4.6741573377147683E-2</v>
          </cell>
          <cell r="DD81">
            <v>4.6697594426692079E-2</v>
          </cell>
          <cell r="DE81">
            <v>4.671057962617442E-2</v>
          </cell>
          <cell r="DF81">
            <v>4.6369404278237436E-2</v>
          </cell>
          <cell r="DG81">
            <v>4.6411117386552458E-2</v>
          </cell>
          <cell r="DH81">
            <v>4.583292193808064E-2</v>
          </cell>
          <cell r="DI81">
            <v>4.6327940897606279E-2</v>
          </cell>
        </row>
        <row r="82">
          <cell r="B82" t="str">
            <v>Supplies &amp; other</v>
          </cell>
          <cell r="D82">
            <v>-0.54532777270950095</v>
          </cell>
          <cell r="E82">
            <v>0.14846504428583707</v>
          </cell>
          <cell r="F82">
            <v>0.22800843597519127</v>
          </cell>
          <cell r="G82">
            <v>0.10937563513678317</v>
          </cell>
          <cell r="H82">
            <v>0.23702217703152062</v>
          </cell>
          <cell r="I82">
            <v>0.20098191673701504</v>
          </cell>
          <cell r="J82">
            <v>0.33460966932415848</v>
          </cell>
          <cell r="K82">
            <v>0.24540889161981227</v>
          </cell>
          <cell r="L82">
            <v>0.2279036984827687</v>
          </cell>
          <cell r="M82" t="str">
            <v>NA</v>
          </cell>
          <cell r="N82" t="str">
            <v>NA</v>
          </cell>
          <cell r="O82" t="str">
            <v>NA</v>
          </cell>
          <cell r="P82" t="str">
            <v>NA</v>
          </cell>
          <cell r="Q82">
            <v>0.17891820692072047</v>
          </cell>
          <cell r="R82">
            <v>0.24428197960638731</v>
          </cell>
          <cell r="S82">
            <v>0.22868419649047955</v>
          </cell>
          <cell r="T82">
            <v>0.1295932761835239</v>
          </cell>
          <cell r="U82">
            <v>0.1164193645083933</v>
          </cell>
          <cell r="V82">
            <v>0.17576346196720394</v>
          </cell>
          <cell r="W82">
            <v>0.14664471649718958</v>
          </cell>
          <cell r="X82">
            <v>0.17783006172785898</v>
          </cell>
          <cell r="Y82">
            <v>0.17018024941488807</v>
          </cell>
          <cell r="Z82">
            <v>0.17633831179728143</v>
          </cell>
          <cell r="AA82">
            <v>0.16806046855282175</v>
          </cell>
          <cell r="AB82">
            <v>0.13773409799395564</v>
          </cell>
          <cell r="AC82">
            <v>0.20647767310895881</v>
          </cell>
          <cell r="AD82">
            <v>0.26992051942236661</v>
          </cell>
          <cell r="AE82">
            <v>0.23810950383748475</v>
          </cell>
          <cell r="AF82">
            <v>0.21444378514944207</v>
          </cell>
          <cell r="AG82">
            <v>0.25453696150816074</v>
          </cell>
          <cell r="AH82">
            <v>0.12126247876929108</v>
          </cell>
          <cell r="AI82">
            <v>8.9120431586184878E-2</v>
          </cell>
          <cell r="AJ82">
            <v>0.11011188053785625</v>
          </cell>
          <cell r="AK82">
            <v>0.13925592915132801</v>
          </cell>
          <cell r="AL82">
            <v>0.26783074546242669</v>
          </cell>
          <cell r="AM82">
            <v>0.33044909168183256</v>
          </cell>
          <cell r="AN82">
            <v>0.29007489424156074</v>
          </cell>
          <cell r="AO82">
            <v>0.2740397839027251</v>
          </cell>
          <cell r="AP82">
            <v>0.29050273302161722</v>
          </cell>
          <cell r="AQ82">
            <v>8.6264333555423178E-2</v>
          </cell>
          <cell r="AR82">
            <v>0.11894484216044421</v>
          </cell>
          <cell r="AS82">
            <v>0.20777792184434962</v>
          </cell>
          <cell r="AT82">
            <v>0.14247075308762658</v>
          </cell>
          <cell r="AU82">
            <v>0.13938473661054385</v>
          </cell>
          <cell r="AW82">
            <v>0.33044909168183256</v>
          </cell>
          <cell r="AX82">
            <v>0.29007489424156074</v>
          </cell>
          <cell r="AY82">
            <v>0.2740397839027251</v>
          </cell>
          <cell r="AZ82">
            <v>8.6264333555423178E-2</v>
          </cell>
          <cell r="BA82">
            <v>0.11894484216044421</v>
          </cell>
          <cell r="BB82">
            <v>0.11894484216044421</v>
          </cell>
          <cell r="BC82">
            <v>0.20777792184434962</v>
          </cell>
          <cell r="BD82">
            <v>0.14247075308762658</v>
          </cell>
          <cell r="BE82">
            <v>0.16718048874971747</v>
          </cell>
          <cell r="BF82">
            <v>0.15884764139012941</v>
          </cell>
          <cell r="BG82">
            <v>-0.45076588035063958</v>
          </cell>
          <cell r="BH82">
            <v>-0.50739011788173038</v>
          </cell>
          <cell r="BI82">
            <v>-0.5241735360392481</v>
          </cell>
          <cell r="BJ82">
            <v>-0.54282513846345326</v>
          </cell>
          <cell r="BK82">
            <v>-0.50693604383505475</v>
          </cell>
          <cell r="BL82">
            <v>5.6344504494898695E-2</v>
          </cell>
          <cell r="BM82">
            <v>5.3526235869748584E-2</v>
          </cell>
          <cell r="BN82">
            <v>4.2141230068337254E-2</v>
          </cell>
          <cell r="BO82">
            <v>6.2774131098944475E-2</v>
          </cell>
          <cell r="BP82">
            <v>5.3752784503197981E-2</v>
          </cell>
          <cell r="BQ82">
            <v>-1.0352397895454168E-2</v>
          </cell>
          <cell r="BR82">
            <v>-4.0971026677877331E-3</v>
          </cell>
          <cell r="BS82">
            <v>5.6463905665803615E-2</v>
          </cell>
          <cell r="BT82">
            <v>7.136910564477672E-2</v>
          </cell>
          <cell r="BU82">
            <v>2.6578547703798971E-2</v>
          </cell>
          <cell r="BV82">
            <v>5.4598305635769062E-2</v>
          </cell>
          <cell r="BW82">
            <v>0.10390759005145811</v>
          </cell>
          <cell r="BX82">
            <v>4.9879877222952063E-2</v>
          </cell>
          <cell r="BY82">
            <v>0.10981822045999445</v>
          </cell>
          <cell r="BZ82">
            <v>7.9415726093028605E-2</v>
          </cell>
          <cell r="CA82">
            <v>9.2022389052092146E-2</v>
          </cell>
          <cell r="CB82">
            <v>7.421884483721386E-2</v>
          </cell>
          <cell r="CC82">
            <v>0.1243015130103331</v>
          </cell>
          <cell r="CD82">
            <v>7.1429426338404101E-2</v>
          </cell>
          <cell r="CE82">
            <v>8.9881484073559337E-2</v>
          </cell>
          <cell r="CF82">
            <v>7.9380279195403469E-2</v>
          </cell>
          <cell r="CG82">
            <v>4.9750259910500194E-2</v>
          </cell>
          <cell r="CH82">
            <v>3.7800469334686282E-2</v>
          </cell>
          <cell r="CI82">
            <v>0.20840268546342111</v>
          </cell>
          <cell r="CJ82">
            <v>9.4369832746813431E-2</v>
          </cell>
          <cell r="CK82">
            <v>0.2022532986672001</v>
          </cell>
          <cell r="CL82">
            <v>0.21726259358734912</v>
          </cell>
          <cell r="CM82">
            <v>0.20459684543287793</v>
          </cell>
          <cell r="CN82">
            <v>8.0482641464376892E-2</v>
          </cell>
          <cell r="CO82">
            <v>0.17248408510853053</v>
          </cell>
          <cell r="CP82">
            <v>3.2413114916280961E-2</v>
          </cell>
          <cell r="CQ82">
            <v>1.9462308155543839E-2</v>
          </cell>
          <cell r="CR82">
            <v>1.9031445570239391E-2</v>
          </cell>
          <cell r="CS82">
            <v>2.3590127748750911E-2</v>
          </cell>
          <cell r="CT82">
            <v>2.3750969746145767E-2</v>
          </cell>
          <cell r="CU82">
            <v>4.5281414077494642E-2</v>
          </cell>
          <cell r="CV82">
            <v>4.7761866122759455E-2</v>
          </cell>
          <cell r="CW82">
            <v>4.8220258899792423E-2</v>
          </cell>
          <cell r="CX82">
            <v>4.6210960808313883E-2</v>
          </cell>
          <cell r="CY82">
            <v>4.6829006732968192E-2</v>
          </cell>
          <cell r="CZ82">
            <v>5.0405196517029127E-2</v>
          </cell>
          <cell r="DA82">
            <v>5.1038434216544415E-2</v>
          </cell>
          <cell r="DB82">
            <v>5.1230229880429468E-2</v>
          </cell>
          <cell r="DC82">
            <v>5.105943022929571E-2</v>
          </cell>
          <cell r="DD82">
            <v>5.0925239824845647E-2</v>
          </cell>
          <cell r="DE82">
            <v>5.1431719365523376E-2</v>
          </cell>
          <cell r="DF82">
            <v>5.0272190132443662E-2</v>
          </cell>
          <cell r="DG82">
            <v>5.0431790591573211E-2</v>
          </cell>
          <cell r="DH82">
            <v>4.8624020492991082E-2</v>
          </cell>
          <cell r="DI82">
            <v>5.018775249130436E-2</v>
          </cell>
        </row>
        <row r="83">
          <cell r="B83" t="str">
            <v>Rent expense</v>
          </cell>
          <cell r="D83">
            <v>-0.95373387201876714</v>
          </cell>
          <cell r="E83">
            <v>0.1438028169014085</v>
          </cell>
          <cell r="F83">
            <v>0.11932028075360179</v>
          </cell>
          <cell r="G83">
            <v>9.185918591859199E-2</v>
          </cell>
          <cell r="H83">
            <v>0.14025188916876563</v>
          </cell>
          <cell r="I83">
            <v>0.11849430060970212</v>
          </cell>
          <cell r="J83">
            <v>0.27089587612577026</v>
          </cell>
          <cell r="K83">
            <v>0.20867781438428534</v>
          </cell>
          <cell r="L83">
            <v>0.3850030857848179</v>
          </cell>
          <cell r="M83" t="str">
            <v>NA</v>
          </cell>
          <cell r="N83" t="str">
            <v>NA</v>
          </cell>
          <cell r="O83" t="str">
            <v>NA</v>
          </cell>
          <cell r="P83" t="str">
            <v>NA</v>
          </cell>
          <cell r="Q83">
            <v>0.23082064611956921</v>
          </cell>
          <cell r="R83">
            <v>0.22383529101227406</v>
          </cell>
          <cell r="S83">
            <v>0.17420499176485515</v>
          </cell>
          <cell r="T83">
            <v>0.12286411716842971</v>
          </cell>
          <cell r="U83">
            <v>9.2913038686211813E-2</v>
          </cell>
          <cell r="V83">
            <v>0.14997284740240158</v>
          </cell>
          <cell r="W83">
            <v>2.6852151407311675E-2</v>
          </cell>
          <cell r="X83">
            <v>0.10638757013379352</v>
          </cell>
          <cell r="Y83">
            <v>5.9937888198757783E-2</v>
          </cell>
          <cell r="Z83">
            <v>9.2678499394917457E-2</v>
          </cell>
          <cell r="AA83">
            <v>7.1700291208647071E-2</v>
          </cell>
          <cell r="AB83">
            <v>0.14744801512287342</v>
          </cell>
          <cell r="AC83">
            <v>0.12824263701969985</v>
          </cell>
          <cell r="AD83">
            <v>0.20783279617150119</v>
          </cell>
          <cell r="AE83">
            <v>0.12468850946008292</v>
          </cell>
          <cell r="AF83">
            <v>0.15172582619339048</v>
          </cell>
          <cell r="AG83">
            <v>0.1079077429983526</v>
          </cell>
          <cell r="AH83">
            <v>4.6417149278243475E-2</v>
          </cell>
          <cell r="AI83">
            <v>8.0051750626666252E-3</v>
          </cell>
          <cell r="AJ83">
            <v>0.1262104053832267</v>
          </cell>
          <cell r="AK83">
            <v>7.1267641557558159E-2</v>
          </cell>
          <cell r="AL83">
            <v>0.27401900041305249</v>
          </cell>
          <cell r="AM83">
            <v>0.43928630431191151</v>
          </cell>
          <cell r="AN83">
            <v>0.3268089202631157</v>
          </cell>
          <cell r="AO83">
            <v>0.19352958321189151</v>
          </cell>
          <cell r="AP83">
            <v>0.30485506239955584</v>
          </cell>
          <cell r="AQ83">
            <v>0.10322915315782644</v>
          </cell>
          <cell r="AR83">
            <v>1.9398530762167132E-2</v>
          </cell>
          <cell r="AS83">
            <v>0.19038694074969786</v>
          </cell>
          <cell r="AT83">
            <v>0.13553113553113572</v>
          </cell>
          <cell r="AU83">
            <v>0.11098439923364634</v>
          </cell>
          <cell r="AW83">
            <v>0.43928630431191151</v>
          </cell>
          <cell r="AX83">
            <v>0.3268089202631157</v>
          </cell>
          <cell r="AY83">
            <v>0.19352958321189151</v>
          </cell>
          <cell r="AZ83">
            <v>0.10322915315782644</v>
          </cell>
          <cell r="BA83">
            <v>1.9398530762167132E-2</v>
          </cell>
          <cell r="BB83">
            <v>1.9398530762167132E-2</v>
          </cell>
          <cell r="BC83">
            <v>0.19038694074969786</v>
          </cell>
          <cell r="BD83">
            <v>0.13553113553113572</v>
          </cell>
          <cell r="BE83">
            <v>0.12724814858351952</v>
          </cell>
          <cell r="BF83">
            <v>0.11686807803082067</v>
          </cell>
          <cell r="BG83">
            <v>0.14806891115865328</v>
          </cell>
          <cell r="BH83">
            <v>8.100970084818937E-2</v>
          </cell>
          <cell r="BI83">
            <v>0.13118279569892466</v>
          </cell>
          <cell r="BJ83">
            <v>-0.11637728765837629</v>
          </cell>
          <cell r="BK83">
            <v>5.8925960388142906E-2</v>
          </cell>
          <cell r="BL83">
            <v>3.6975284425264876E-2</v>
          </cell>
          <cell r="BM83">
            <v>-1.0618304829919101E-2</v>
          </cell>
          <cell r="BN83">
            <v>-1.6539923954372537E-2</v>
          </cell>
          <cell r="BO83">
            <v>0.34743612438779747</v>
          </cell>
          <cell r="BP83">
            <v>7.6170869788986018E-2</v>
          </cell>
          <cell r="BQ83">
            <v>4.6770074718623045E-2</v>
          </cell>
          <cell r="BR83">
            <v>7.70728464241619E-2</v>
          </cell>
          <cell r="BS83">
            <v>0.13299826019717753</v>
          </cell>
          <cell r="BT83">
            <v>2.9078169476680404E-2</v>
          </cell>
          <cell r="BU83">
            <v>7.031295564031681E-2</v>
          </cell>
          <cell r="BV83">
            <v>0.14343799412694813</v>
          </cell>
          <cell r="BW83">
            <v>0.12040915303558042</v>
          </cell>
          <cell r="BX83">
            <v>8.9063299778194827E-2</v>
          </cell>
          <cell r="BY83">
            <v>0.19183795055108743</v>
          </cell>
          <cell r="BZ83">
            <v>0.13624821543390842</v>
          </cell>
          <cell r="CA83">
            <v>0.18439352034768874</v>
          </cell>
          <cell r="CB83">
            <v>0.20238470014166543</v>
          </cell>
          <cell r="CC83">
            <v>0.18220272599091336</v>
          </cell>
          <cell r="CD83">
            <v>0.21019745063734052</v>
          </cell>
          <cell r="CE83">
            <v>0.19517365074188797</v>
          </cell>
          <cell r="CF83">
            <v>0.20152116622744098</v>
          </cell>
          <cell r="CG83">
            <v>0.20353460972017667</v>
          </cell>
          <cell r="CH83">
            <v>0.26282136231115816</v>
          </cell>
          <cell r="CI83">
            <v>0.28462264707617857</v>
          </cell>
          <cell r="CJ83">
            <v>0.23946713746890302</v>
          </cell>
          <cell r="CK83">
            <v>0.25006940973957459</v>
          </cell>
          <cell r="CL83">
            <v>0.19211943220753791</v>
          </cell>
          <cell r="CM83">
            <v>9.8774824881286527E-2</v>
          </cell>
          <cell r="CN83">
            <v>-9.9999999999998979E-3</v>
          </cell>
          <cell r="CO83">
            <v>0.1256172871479444</v>
          </cell>
          <cell r="CP83">
            <v>-4.2000000000000037E-2</v>
          </cell>
          <cell r="CQ83">
            <v>-1.749999999999996E-2</v>
          </cell>
          <cell r="CR83">
            <v>3.0000000000000027E-2</v>
          </cell>
          <cell r="CS83">
            <v>3.0000000000000027E-2</v>
          </cell>
          <cell r="CT83">
            <v>-6.2469834184430972E-4</v>
          </cell>
          <cell r="CU83">
            <v>3.0000000000000027E-2</v>
          </cell>
          <cell r="CV83">
            <v>3.0000000000000027E-2</v>
          </cell>
          <cell r="CW83">
            <v>3.0000000000000027E-2</v>
          </cell>
          <cell r="CX83">
            <v>3.0000000000000027E-2</v>
          </cell>
          <cell r="CY83">
            <v>3.0000000000000027E-2</v>
          </cell>
          <cell r="CZ83">
            <v>3.0000000000000027E-2</v>
          </cell>
          <cell r="DA83">
            <v>3.0000000000000027E-2</v>
          </cell>
          <cell r="DB83">
            <v>3.0000000000000027E-2</v>
          </cell>
          <cell r="DC83">
            <v>3.0000000000000027E-2</v>
          </cell>
          <cell r="DD83">
            <v>2.9999999999999805E-2</v>
          </cell>
          <cell r="DE83">
            <v>3.0000000000000027E-2</v>
          </cell>
          <cell r="DF83">
            <v>3.0000000000000027E-2</v>
          </cell>
          <cell r="DG83">
            <v>3.0000000000000027E-2</v>
          </cell>
          <cell r="DH83">
            <v>3.0000000000000027E-2</v>
          </cell>
          <cell r="DI83">
            <v>3.0000000000000249E-2</v>
          </cell>
        </row>
        <row r="84">
          <cell r="B84" t="str">
            <v>Other operating expenses</v>
          </cell>
          <cell r="D84">
            <v>-1</v>
          </cell>
          <cell r="E84" t="str">
            <v>NM</v>
          </cell>
          <cell r="F84" t="str">
            <v>NM</v>
          </cell>
          <cell r="G84" t="str">
            <v>NM</v>
          </cell>
          <cell r="H84" t="str">
            <v>NM</v>
          </cell>
          <cell r="I84" t="str">
            <v>NM</v>
          </cell>
          <cell r="J84" t="str">
            <v>NM</v>
          </cell>
          <cell r="K84" t="str">
            <v>NM</v>
          </cell>
          <cell r="L84" t="str">
            <v>NM</v>
          </cell>
          <cell r="M84" t="str">
            <v>NA</v>
          </cell>
          <cell r="N84" t="str">
            <v>NA</v>
          </cell>
          <cell r="O84" t="str">
            <v>NA</v>
          </cell>
          <cell r="P84" t="str">
            <v>NA</v>
          </cell>
          <cell r="Q84" t="str">
            <v>NM</v>
          </cell>
          <cell r="R84" t="str">
            <v>NM</v>
          </cell>
          <cell r="S84" t="str">
            <v>NM</v>
          </cell>
          <cell r="T84" t="str">
            <v>NM</v>
          </cell>
          <cell r="U84" t="str">
            <v>NM</v>
          </cell>
          <cell r="V84" t="str">
            <v>NM</v>
          </cell>
          <cell r="W84" t="str">
            <v>NM</v>
          </cell>
          <cell r="X84" t="str">
            <v>NM</v>
          </cell>
          <cell r="Y84" t="str">
            <v>NM</v>
          </cell>
          <cell r="Z84" t="str">
            <v>NM</v>
          </cell>
          <cell r="AA84" t="str">
            <v>NM</v>
          </cell>
          <cell r="AB84" t="str">
            <v>NM</v>
          </cell>
          <cell r="AC84" t="str">
            <v>NM</v>
          </cell>
          <cell r="AD84" t="str">
            <v>NM</v>
          </cell>
          <cell r="AE84" t="str">
            <v>NM</v>
          </cell>
          <cell r="AF84" t="str">
            <v>NM</v>
          </cell>
          <cell r="AG84" t="str">
            <v>NM</v>
          </cell>
          <cell r="AH84" t="str">
            <v>NM</v>
          </cell>
          <cell r="AI84" t="str">
            <v>NM</v>
          </cell>
          <cell r="AJ84" t="str">
            <v>NM</v>
          </cell>
          <cell r="AK84" t="str">
            <v>NM</v>
          </cell>
          <cell r="AL84" t="str">
            <v>NM</v>
          </cell>
          <cell r="AM84" t="str">
            <v>NM</v>
          </cell>
          <cell r="AN84" t="str">
            <v>NM</v>
          </cell>
          <cell r="AO84" t="str">
            <v>NM</v>
          </cell>
          <cell r="AP84" t="str">
            <v>NM</v>
          </cell>
          <cell r="AQ84" t="str">
            <v>NM</v>
          </cell>
          <cell r="AR84" t="str">
            <v>NM</v>
          </cell>
          <cell r="AS84" t="str">
            <v>NM</v>
          </cell>
          <cell r="AT84" t="str">
            <v>NM</v>
          </cell>
          <cell r="AU84" t="str">
            <v>NM</v>
          </cell>
          <cell r="AW84" t="str">
            <v>NM</v>
          </cell>
          <cell r="AX84" t="str">
            <v>NM</v>
          </cell>
          <cell r="AY84" t="str">
            <v>NM</v>
          </cell>
          <cell r="AZ84" t="str">
            <v>NM</v>
          </cell>
          <cell r="BA84" t="str">
            <v>NM</v>
          </cell>
          <cell r="BB84" t="str">
            <v>NM</v>
          </cell>
          <cell r="BC84" t="str">
            <v>NM</v>
          </cell>
          <cell r="BD84" t="str">
            <v>NM</v>
          </cell>
          <cell r="BE84" t="str">
            <v>NM</v>
          </cell>
          <cell r="BF84" t="str">
            <v>NM</v>
          </cell>
          <cell r="BG84" t="str">
            <v>NM</v>
          </cell>
          <cell r="BH84" t="str">
            <v>NM</v>
          </cell>
          <cell r="BI84" t="str">
            <v>NM</v>
          </cell>
          <cell r="BJ84" t="str">
            <v>NM</v>
          </cell>
          <cell r="BK84" t="str">
            <v>NM</v>
          </cell>
          <cell r="BL84">
            <v>0.11101604892193739</v>
          </cell>
          <cell r="BM84">
            <v>0.13062727267553997</v>
          </cell>
          <cell r="BN84">
            <v>0.10363974964263134</v>
          </cell>
          <cell r="BO84">
            <v>9.4249517633944846E-2</v>
          </cell>
          <cell r="BP84">
            <v>0.10985949991882737</v>
          </cell>
          <cell r="BQ84">
            <v>8.7033371406126658E-3</v>
          </cell>
          <cell r="BR84">
            <v>-1.0302792373819702E-2</v>
          </cell>
          <cell r="BS84">
            <v>1.1388792849881479E-2</v>
          </cell>
          <cell r="BT84">
            <v>2.5745902063188497E-2</v>
          </cell>
          <cell r="BU84">
            <v>8.7547315070251042E-3</v>
          </cell>
          <cell r="BV84">
            <v>5.3865032560856285E-2</v>
          </cell>
          <cell r="BW84">
            <v>3.2165869088726984E-2</v>
          </cell>
          <cell r="BX84">
            <v>3.1393818178107491E-2</v>
          </cell>
          <cell r="BY84">
            <v>4.5732952225398193E-2</v>
          </cell>
          <cell r="BZ84">
            <v>4.0783644312384348E-2</v>
          </cell>
          <cell r="CA84">
            <v>2.8101086121564034E-2</v>
          </cell>
          <cell r="CB84">
            <v>7.125964466254775E-2</v>
          </cell>
          <cell r="CC84">
            <v>0.15787520962467916</v>
          </cell>
          <cell r="CD84">
            <v>0.1891525783234751</v>
          </cell>
          <cell r="CE84">
            <v>0.11169760313650312</v>
          </cell>
          <cell r="CF84">
            <v>0.15383087588548516</v>
          </cell>
          <cell r="CG84">
            <v>0.15919052546855239</v>
          </cell>
          <cell r="CH84">
            <v>0.14132640636415283</v>
          </cell>
          <cell r="CI84">
            <v>0.23993124668090915</v>
          </cell>
          <cell r="CJ84">
            <v>0.17524358778449733</v>
          </cell>
          <cell r="CK84">
            <v>0.27780783291529354</v>
          </cell>
          <cell r="CL84">
            <v>0.29201268067783692</v>
          </cell>
          <cell r="CM84">
            <v>0.24255072246761999</v>
          </cell>
          <cell r="CN84">
            <v>0.10645578188419336</v>
          </cell>
          <cell r="CO84">
            <v>0.22332049723771141</v>
          </cell>
          <cell r="CP84">
            <v>3.4947836616044281E-2</v>
          </cell>
          <cell r="CQ84">
            <v>2.1971028662110426E-2</v>
          </cell>
          <cell r="CR84">
            <v>2.1536192911709051E-2</v>
          </cell>
          <cell r="CS84">
            <v>2.6139882907391998E-2</v>
          </cell>
          <cell r="CT84">
            <v>2.6033208008043207E-2</v>
          </cell>
          <cell r="CU84">
            <v>5.363750536111711E-2</v>
          </cell>
          <cell r="CV84">
            <v>5.4354851947325145E-2</v>
          </cell>
          <cell r="CW84">
            <v>5.4471542156276254E-2</v>
          </cell>
          <cell r="CX84">
            <v>5.3915704993149127E-2</v>
          </cell>
          <cell r="CY84">
            <v>5.409818112306497E-2</v>
          </cell>
          <cell r="CZ84">
            <v>5.522726175059689E-2</v>
          </cell>
          <cell r="DA84">
            <v>5.5431979631278328E-2</v>
          </cell>
          <cell r="DB84">
            <v>5.5472697458720521E-2</v>
          </cell>
          <cell r="DC84">
            <v>5.5426535156175349E-2</v>
          </cell>
          <cell r="DD84">
            <v>5.5391655767418779E-2</v>
          </cell>
          <cell r="DE84">
            <v>5.5365714007339806E-2</v>
          </cell>
          <cell r="DF84">
            <v>5.5081590528008206E-2</v>
          </cell>
          <cell r="DG84">
            <v>5.511502113815725E-2</v>
          </cell>
          <cell r="DH84">
            <v>5.4621982019722903E-2</v>
          </cell>
          <cell r="DI84">
            <v>5.5039393496907563E-2</v>
          </cell>
        </row>
        <row r="85">
          <cell r="B85" t="str">
            <v>EBITDA</v>
          </cell>
          <cell r="D85">
            <v>-0.7611560015639256</v>
          </cell>
          <cell r="E85">
            <v>0.2825416746241789</v>
          </cell>
          <cell r="F85">
            <v>0.24131549277797815</v>
          </cell>
          <cell r="G85">
            <v>0.27391907871060672</v>
          </cell>
          <cell r="H85">
            <v>0.38069870992910615</v>
          </cell>
          <cell r="I85">
            <v>0.2513226224460976</v>
          </cell>
          <cell r="J85">
            <v>0.31664226983929145</v>
          </cell>
          <cell r="K85">
            <v>0.29262739578590069</v>
          </cell>
          <cell r="L85">
            <v>0.28315689306530212</v>
          </cell>
          <cell r="M85" t="str">
            <v>NA</v>
          </cell>
          <cell r="N85" t="str">
            <v>NA</v>
          </cell>
          <cell r="O85" t="str">
            <v>NA</v>
          </cell>
          <cell r="P85" t="str">
            <v>NA</v>
          </cell>
          <cell r="Q85">
            <v>0.12778679026651241</v>
          </cell>
          <cell r="R85">
            <v>0.20134690212511264</v>
          </cell>
          <cell r="S85">
            <v>0.15583582727661427</v>
          </cell>
          <cell r="T85">
            <v>0.19279689382782128</v>
          </cell>
          <cell r="U85">
            <v>0.2123832630765683</v>
          </cell>
          <cell r="V85">
            <v>0.18823897621365937</v>
          </cell>
          <cell r="W85">
            <v>0.16585693998056694</v>
          </cell>
          <cell r="X85">
            <v>0.15270020343998536</v>
          </cell>
          <cell r="Y85">
            <v>0.1891141746344347</v>
          </cell>
          <cell r="Z85">
            <v>0.2722089305279165</v>
          </cell>
          <cell r="AA85">
            <v>0.19344488225637857</v>
          </cell>
          <cell r="AB85">
            <v>0.16292687096636316</v>
          </cell>
          <cell r="AC85">
            <v>0.1387130674753112</v>
          </cell>
          <cell r="AD85">
            <v>0.18314282772114132</v>
          </cell>
          <cell r="AE85">
            <v>0.13264319735662622</v>
          </cell>
          <cell r="AF85">
            <v>0.15376744165308565</v>
          </cell>
          <cell r="AG85">
            <v>0.18117167113822585</v>
          </cell>
          <cell r="AH85">
            <v>0.12633855605027278</v>
          </cell>
          <cell r="AI85">
            <v>0.14168008471502946</v>
          </cell>
          <cell r="AJ85">
            <v>0.14012165601142157</v>
          </cell>
          <cell r="AK85">
            <v>0.14538916648310773</v>
          </cell>
          <cell r="AL85">
            <v>0.18351821024627779</v>
          </cell>
          <cell r="AM85">
            <v>0.1718320959237416</v>
          </cell>
          <cell r="AN85">
            <v>0.16527749542589998</v>
          </cell>
          <cell r="AO85">
            <v>9.1379263412907141E-2</v>
          </cell>
          <cell r="AP85">
            <v>0.15268216070865215</v>
          </cell>
          <cell r="AQ85">
            <v>0.10430113180760614</v>
          </cell>
          <cell r="AR85">
            <v>8.6805907690994388E-2</v>
          </cell>
          <cell r="AS85">
            <v>-0.10411396545708307</v>
          </cell>
          <cell r="AT85">
            <v>2.9692722103058067E-2</v>
          </cell>
          <cell r="AU85">
            <v>2.604585135263715E-2</v>
          </cell>
          <cell r="AW85">
            <v>0.1718320959237416</v>
          </cell>
          <cell r="AX85">
            <v>0.16527749542589998</v>
          </cell>
          <cell r="AY85">
            <v>9.1379263412907141E-2</v>
          </cell>
          <cell r="AZ85">
            <v>0.10430113180760614</v>
          </cell>
          <cell r="BA85">
            <v>8.6805907690994388E-2</v>
          </cell>
          <cell r="BB85">
            <v>8.6805907690994388E-2</v>
          </cell>
          <cell r="BC85">
            <v>-0.10411396545708307</v>
          </cell>
          <cell r="BD85">
            <v>2.9692722103058067E-2</v>
          </cell>
          <cell r="BE85">
            <v>1.3665446537511894E-2</v>
          </cell>
          <cell r="BF85">
            <v>6.041500992614246E-3</v>
          </cell>
          <cell r="BG85">
            <v>-2.5131131760406822E-2</v>
          </cell>
          <cell r="BH85">
            <v>0.11654201683229148</v>
          </cell>
          <cell r="BI85">
            <v>2.5554384817554343E-3</v>
          </cell>
          <cell r="BJ85">
            <v>-1.0534845077534629</v>
          </cell>
          <cell r="BK85">
            <v>-0.23452774286737887</v>
          </cell>
          <cell r="BL85">
            <v>-2.5627849568000793E-2</v>
          </cell>
          <cell r="BM85">
            <v>-0.26647881489878844</v>
          </cell>
          <cell r="BN85">
            <v>-8.6252718047838295E-2</v>
          </cell>
          <cell r="BO85">
            <v>-17.550225052146171</v>
          </cell>
          <cell r="BP85">
            <v>0.17013543229870898</v>
          </cell>
          <cell r="BQ85">
            <v>-6.095921575115737E-2</v>
          </cell>
          <cell r="BR85">
            <v>0.21320355165880267</v>
          </cell>
          <cell r="BS85">
            <v>-6.1819143310418156E-2</v>
          </cell>
          <cell r="BT85">
            <v>-2.6605906232587517E-2</v>
          </cell>
          <cell r="BU85">
            <v>5.6203762049042982E-3</v>
          </cell>
          <cell r="BV85">
            <v>9.7732603596556444E-3</v>
          </cell>
          <cell r="BW85">
            <v>5.7717158973290994E-2</v>
          </cell>
          <cell r="BX85">
            <v>0.11334620370892412</v>
          </cell>
          <cell r="BY85">
            <v>0.1637261916930719</v>
          </cell>
          <cell r="BZ85">
            <v>8.0988683176285825E-2</v>
          </cell>
          <cell r="CA85">
            <v>7.060792941933447E-2</v>
          </cell>
          <cell r="CB85">
            <v>5.664059107253494E-2</v>
          </cell>
          <cell r="CC85">
            <v>8.3530044616017429E-2</v>
          </cell>
          <cell r="CD85">
            <v>9.225219738714463E-2</v>
          </cell>
          <cell r="CE85">
            <v>7.5464094544755111E-2</v>
          </cell>
          <cell r="CF85">
            <v>9.2119872467430586E-2</v>
          </cell>
          <cell r="CG85">
            <v>0.11662876400800082</v>
          </cell>
          <cell r="CH85">
            <v>8.7901690282336631E-2</v>
          </cell>
          <cell r="CI85">
            <v>0.19754992628333956</v>
          </cell>
          <cell r="CJ85">
            <v>0.12391014518726129</v>
          </cell>
          <cell r="CK85">
            <v>0.11698977283856249</v>
          </cell>
          <cell r="CL85">
            <v>0.14487063719524129</v>
          </cell>
          <cell r="CM85">
            <v>0.26912339475153568</v>
          </cell>
          <cell r="CN85">
            <v>0.14426997280226672</v>
          </cell>
          <cell r="CO85">
            <v>0.16544381679752296</v>
          </cell>
          <cell r="CP85">
            <v>0.12658002026187298</v>
          </cell>
          <cell r="CQ85">
            <v>0.12288402648841679</v>
          </cell>
          <cell r="CR85">
            <v>1.6944794327567125E-2</v>
          </cell>
          <cell r="CS85">
            <v>-0.15332866453384419</v>
          </cell>
          <cell r="CT85">
            <v>2.4668623413916624E-2</v>
          </cell>
          <cell r="CU85">
            <v>5.3652036273247328E-2</v>
          </cell>
          <cell r="CV85">
            <v>4.706952959145827E-2</v>
          </cell>
          <cell r="CW85">
            <v>6.9553756168464931E-2</v>
          </cell>
          <cell r="CX85">
            <v>5.6561939384058624E-2</v>
          </cell>
          <cell r="CY85">
            <v>5.6411651931818518E-2</v>
          </cell>
          <cell r="CZ85">
            <v>5.8487499433184764E-2</v>
          </cell>
          <cell r="DA85">
            <v>5.5365399333346277E-2</v>
          </cell>
          <cell r="DB85">
            <v>6.779886984653305E-2</v>
          </cell>
          <cell r="DC85">
            <v>8.6205474157994955E-2</v>
          </cell>
          <cell r="DD85">
            <v>6.6028424485910175E-2</v>
          </cell>
          <cell r="DE85">
            <v>7.2614355799117014E-2</v>
          </cell>
          <cell r="DF85">
            <v>6.5421977360420991E-2</v>
          </cell>
          <cell r="DG85">
            <v>7.4699950185008301E-2</v>
          </cell>
          <cell r="DH85">
            <v>6.2735724674730431E-2</v>
          </cell>
          <cell r="DI85">
            <v>6.9054875989402964E-2</v>
          </cell>
        </row>
        <row r="86">
          <cell r="B86" t="str">
            <v>EBITDA (excluding HITECH)</v>
          </cell>
          <cell r="D86">
            <v>-0.7611560015639256</v>
          </cell>
          <cell r="E86">
            <v>0.2825416746241789</v>
          </cell>
          <cell r="F86">
            <v>0.24131549277797815</v>
          </cell>
          <cell r="G86">
            <v>0.27391907871060672</v>
          </cell>
          <cell r="H86">
            <v>0.38069870992910615</v>
          </cell>
          <cell r="I86">
            <v>0.2513226224460976</v>
          </cell>
          <cell r="J86">
            <v>0.31664226983929145</v>
          </cell>
          <cell r="K86">
            <v>0.29262739578590069</v>
          </cell>
          <cell r="L86">
            <v>0.28315689306530212</v>
          </cell>
          <cell r="M86" t="str">
            <v>NA</v>
          </cell>
          <cell r="N86" t="str">
            <v>NA</v>
          </cell>
          <cell r="O86" t="str">
            <v>NA</v>
          </cell>
          <cell r="P86" t="str">
            <v>NA</v>
          </cell>
          <cell r="Q86">
            <v>0.12778679026651241</v>
          </cell>
          <cell r="R86">
            <v>0.20134690212511264</v>
          </cell>
          <cell r="S86">
            <v>0.15583582727661427</v>
          </cell>
          <cell r="T86">
            <v>0.19279689382782128</v>
          </cell>
          <cell r="U86">
            <v>0.2123832630765683</v>
          </cell>
          <cell r="V86">
            <v>0.18823897621365937</v>
          </cell>
          <cell r="W86">
            <v>0.16585693998056694</v>
          </cell>
          <cell r="X86">
            <v>0.15270020343998536</v>
          </cell>
          <cell r="Y86">
            <v>0.1891141746344347</v>
          </cell>
          <cell r="Z86">
            <v>0.2722089305279165</v>
          </cell>
          <cell r="AA86">
            <v>0.19344488225637857</v>
          </cell>
          <cell r="AB86">
            <v>0.16292687096636316</v>
          </cell>
          <cell r="AC86">
            <v>0.1387130674753112</v>
          </cell>
          <cell r="AD86">
            <v>0.18314282772114132</v>
          </cell>
          <cell r="AE86">
            <v>0.13264319735662622</v>
          </cell>
          <cell r="AF86">
            <v>0.15376744165308565</v>
          </cell>
          <cell r="AG86">
            <v>0.18117167113822585</v>
          </cell>
          <cell r="AH86">
            <v>0.12633855605027278</v>
          </cell>
          <cell r="AI86">
            <v>0.14168008471502946</v>
          </cell>
          <cell r="AJ86">
            <v>0.14012165601142157</v>
          </cell>
          <cell r="AK86">
            <v>0.14538916648310773</v>
          </cell>
          <cell r="AL86">
            <v>0.18351821024627779</v>
          </cell>
          <cell r="AM86">
            <v>0.1718320959237416</v>
          </cell>
          <cell r="AN86">
            <v>0.16527749542589998</v>
          </cell>
          <cell r="AO86">
            <v>9.1379263412907141E-2</v>
          </cell>
          <cell r="AP86">
            <v>0.15268216070865215</v>
          </cell>
          <cell r="AQ86">
            <v>0.10430113180760614</v>
          </cell>
          <cell r="AR86">
            <v>8.6805907690994388E-2</v>
          </cell>
          <cell r="AS86">
            <v>-0.10411396545708307</v>
          </cell>
          <cell r="AT86">
            <v>2.9692722103058067E-2</v>
          </cell>
          <cell r="AU86">
            <v>2.604585135263715E-2</v>
          </cell>
          <cell r="AW86">
            <v>0.1718320959237416</v>
          </cell>
          <cell r="AX86">
            <v>0.16527749542589998</v>
          </cell>
          <cell r="AY86">
            <v>9.1379263412907141E-2</v>
          </cell>
          <cell r="AZ86">
            <v>0.10430113180760614</v>
          </cell>
          <cell r="BA86">
            <v>8.6805907690994388E-2</v>
          </cell>
          <cell r="BB86">
            <v>8.6805907690994388E-2</v>
          </cell>
          <cell r="BC86">
            <v>-0.10411396545708307</v>
          </cell>
          <cell r="BD86">
            <v>2.9692722103058067E-2</v>
          </cell>
          <cell r="BE86">
            <v>1.3665446537511894E-2</v>
          </cell>
          <cell r="BF86">
            <v>6.041500992614246E-3</v>
          </cell>
          <cell r="BG86">
            <v>-2.5131131760406822E-2</v>
          </cell>
          <cell r="BH86">
            <v>0.11654201683229148</v>
          </cell>
          <cell r="BI86">
            <v>2.5554384817554343E-3</v>
          </cell>
          <cell r="BJ86">
            <v>-1.0534845077534629</v>
          </cell>
          <cell r="BK86">
            <v>-0.23452774286737887</v>
          </cell>
          <cell r="BL86">
            <v>-2.5627849568000793E-2</v>
          </cell>
          <cell r="BM86">
            <v>-0.26647881489878844</v>
          </cell>
          <cell r="BN86">
            <v>-8.6252718047838295E-2</v>
          </cell>
          <cell r="BO86">
            <v>-17.550225052146171</v>
          </cell>
          <cell r="BP86">
            <v>0.17013543229870898</v>
          </cell>
          <cell r="BQ86">
            <v>-6.095921575115737E-2</v>
          </cell>
          <cell r="BR86">
            <v>0.21320355165880267</v>
          </cell>
          <cell r="BS86">
            <v>-6.1819143310418156E-2</v>
          </cell>
          <cell r="BT86">
            <v>-2.6605906232587517E-2</v>
          </cell>
          <cell r="BU86">
            <v>5.6203762049042982E-3</v>
          </cell>
          <cell r="BV86">
            <v>9.7732603596556444E-3</v>
          </cell>
          <cell r="BW86">
            <v>5.7717158973290994E-2</v>
          </cell>
          <cell r="BX86">
            <v>0.11334620370892412</v>
          </cell>
          <cell r="BY86">
            <v>0.1637261916930719</v>
          </cell>
          <cell r="BZ86">
            <v>8.0988683176285825E-2</v>
          </cell>
          <cell r="CA86">
            <v>7.060792941933447E-2</v>
          </cell>
          <cell r="CB86">
            <v>5.664059107253494E-2</v>
          </cell>
          <cell r="CC86">
            <v>8.3530044616017429E-2</v>
          </cell>
          <cell r="CD86">
            <v>9.225219738714463E-2</v>
          </cell>
          <cell r="CE86">
            <v>7.5464094544755111E-2</v>
          </cell>
          <cell r="CF86">
            <v>9.2119872467430586E-2</v>
          </cell>
          <cell r="CG86">
            <v>0.11662876400800082</v>
          </cell>
          <cell r="CH86">
            <v>8.7901690282336631E-2</v>
          </cell>
          <cell r="CI86">
            <v>-7.4252781128540946E-3</v>
          </cell>
          <cell r="CJ86">
            <v>7.2003052000771728E-2</v>
          </cell>
          <cell r="CK86">
            <v>9.5584086107756372E-2</v>
          </cell>
          <cell r="CL86">
            <v>0.13078108437045999</v>
          </cell>
          <cell r="CM86">
            <v>0.13907142550358653</v>
          </cell>
          <cell r="CN86">
            <v>4.67701017325306E-2</v>
          </cell>
          <cell r="CO86">
            <v>0.10348013317455362</v>
          </cell>
          <cell r="CP86">
            <v>6.3457756956571298E-2</v>
          </cell>
          <cell r="CQ86">
            <v>5.0076030724424569E-2</v>
          </cell>
          <cell r="CR86">
            <v>3.8788195301281414E-2</v>
          </cell>
          <cell r="CS86">
            <v>1.3464176281895224E-2</v>
          </cell>
          <cell r="CT86">
            <v>4.2792097357569725E-2</v>
          </cell>
          <cell r="CU86">
            <v>8.4631583283347966E-2</v>
          </cell>
          <cell r="CV86">
            <v>7.8513581844264602E-2</v>
          </cell>
          <cell r="CW86">
            <v>0.10611377898519048</v>
          </cell>
          <cell r="CX86">
            <v>9.6264452170447878E-2</v>
          </cell>
          <cell r="CY86">
            <v>9.0727962007469243E-2</v>
          </cell>
          <cell r="CZ86">
            <v>8.5967736060075017E-2</v>
          </cell>
          <cell r="DA86">
            <v>8.3741758565539781E-2</v>
          </cell>
          <cell r="DB86">
            <v>9.8853514899573725E-2</v>
          </cell>
          <cell r="DC86">
            <v>0.12250603237734614</v>
          </cell>
          <cell r="DD86">
            <v>9.6489875183360052E-2</v>
          </cell>
          <cell r="DE86">
            <v>8.5586815338071665E-2</v>
          </cell>
          <cell r="DF86">
            <v>7.8750890456661171E-2</v>
          </cell>
          <cell r="DG86">
            <v>8.9002168667581927E-2</v>
          </cell>
          <cell r="DH86">
            <v>7.8257780510563091E-2</v>
          </cell>
          <cell r="DI86">
            <v>8.3019584306482708E-2</v>
          </cell>
        </row>
        <row r="87">
          <cell r="B87" t="str">
            <v>Depreciation &amp; amortizaton</v>
          </cell>
          <cell r="D87">
            <v>-0.93573569659846212</v>
          </cell>
          <cell r="E87">
            <v>0.12644494017440677</v>
          </cell>
          <cell r="F87">
            <v>0.1503285624268611</v>
          </cell>
          <cell r="G87">
            <v>2.3867282259957712E-2</v>
          </cell>
          <cell r="H87">
            <v>0.26948945276673797</v>
          </cell>
          <cell r="I87">
            <v>0.23792895845875983</v>
          </cell>
          <cell r="J87">
            <v>0.32151541678824991</v>
          </cell>
          <cell r="K87">
            <v>0.34549000846428446</v>
          </cell>
          <cell r="L87">
            <v>0.37953010038018653</v>
          </cell>
          <cell r="M87" t="str">
            <v>NA</v>
          </cell>
          <cell r="N87" t="str">
            <v>NA</v>
          </cell>
          <cell r="O87" t="str">
            <v>NA</v>
          </cell>
          <cell r="P87" t="str">
            <v>NA</v>
          </cell>
          <cell r="Q87">
            <v>0.21494141205860773</v>
          </cell>
          <cell r="R87">
            <v>0.24987936858068527</v>
          </cell>
          <cell r="S87">
            <v>0.29210819854991632</v>
          </cell>
          <cell r="T87">
            <v>0.19659083787679399</v>
          </cell>
          <cell r="U87">
            <v>0.13776563448694601</v>
          </cell>
          <cell r="V87">
            <v>0.21575443062763133</v>
          </cell>
          <cell r="W87">
            <v>0.18188837414515757</v>
          </cell>
          <cell r="X87">
            <v>0.19326642926513449</v>
          </cell>
          <cell r="Y87">
            <v>0.19807269299256314</v>
          </cell>
          <cell r="Z87">
            <v>0.29270505363146371</v>
          </cell>
          <cell r="AA87">
            <v>0.21674116431093049</v>
          </cell>
          <cell r="AB87">
            <v>1.0172655156322818E-2</v>
          </cell>
          <cell r="AC87">
            <v>8.0349068547657776E-2</v>
          </cell>
          <cell r="AD87">
            <v>6.1942647315964328E-2</v>
          </cell>
          <cell r="AE87">
            <v>5.2427344782034258E-2</v>
          </cell>
          <cell r="AF87">
            <v>5.1651479381329635E-2</v>
          </cell>
          <cell r="AG87">
            <v>0.20505358462675538</v>
          </cell>
          <cell r="AH87">
            <v>0.13476750512702451</v>
          </cell>
          <cell r="AI87">
            <v>0.15271889021528851</v>
          </cell>
          <cell r="AJ87">
            <v>0.12422530791558795</v>
          </cell>
          <cell r="AK87">
            <v>0.152484055052031</v>
          </cell>
          <cell r="AL87">
            <v>0.18844635258941245</v>
          </cell>
          <cell r="AM87">
            <v>0.26802640799616428</v>
          </cell>
          <cell r="AN87">
            <v>0.2152269399707174</v>
          </cell>
          <cell r="AO87">
            <v>0.2386867171417606</v>
          </cell>
          <cell r="AP87">
            <v>0.22801827714264933</v>
          </cell>
          <cell r="AQ87">
            <v>0.1803696416475824</v>
          </cell>
          <cell r="AR87">
            <v>8.6154741128563028E-2</v>
          </cell>
          <cell r="AS87">
            <v>0.14936820452541877</v>
          </cell>
          <cell r="AT87">
            <v>0.21288941468086309</v>
          </cell>
          <cell r="AU87">
            <v>0.15709891413111943</v>
          </cell>
          <cell r="AW87">
            <v>0.26802640799616428</v>
          </cell>
          <cell r="AX87">
            <v>0.2152269399707174</v>
          </cell>
          <cell r="AY87">
            <v>0.2386867171417606</v>
          </cell>
          <cell r="AZ87">
            <v>0.1803696416475824</v>
          </cell>
          <cell r="BA87">
            <v>8.6154741128563028E-2</v>
          </cell>
          <cell r="BB87">
            <v>8.6154741128563028E-2</v>
          </cell>
          <cell r="BC87">
            <v>0.14936820452541877</v>
          </cell>
          <cell r="BD87">
            <v>0.21288941468086309</v>
          </cell>
          <cell r="BE87">
            <v>0.13479983604317525</v>
          </cell>
          <cell r="BF87">
            <v>0.14615641925313327</v>
          </cell>
          <cell r="BG87">
            <v>0.17235284666059658</v>
          </cell>
          <cell r="BH87">
            <v>0.16050929358525301</v>
          </cell>
          <cell r="BI87">
            <v>0.10685090571295874</v>
          </cell>
          <cell r="BJ87">
            <v>0.2800520130995956</v>
          </cell>
          <cell r="BK87">
            <v>0.17973460504337346</v>
          </cell>
          <cell r="BL87">
            <v>0.20268171227557241</v>
          </cell>
          <cell r="BM87">
            <v>0.18827520874182113</v>
          </cell>
          <cell r="BN87">
            <v>0.18986173181427168</v>
          </cell>
          <cell r="BO87">
            <v>0.11367997291094478</v>
          </cell>
          <cell r="BP87">
            <v>0.1711213339789881</v>
          </cell>
          <cell r="BQ87">
            <v>9.1299310554405322E-2</v>
          </cell>
          <cell r="BR87">
            <v>0.10547490590874542</v>
          </cell>
          <cell r="BS87">
            <v>5.5034385469934888E-2</v>
          </cell>
          <cell r="BT87">
            <v>2.1182074627117853E-2</v>
          </cell>
          <cell r="BU87">
            <v>6.6836255443844639E-2</v>
          </cell>
          <cell r="BV87">
            <v>6.0183090257231342E-2</v>
          </cell>
          <cell r="BW87">
            <v>1.5681078724046671E-2</v>
          </cell>
          <cell r="BX87">
            <v>9.911250020892215E-3</v>
          </cell>
          <cell r="BY87">
            <v>2.4100570672400901E-2</v>
          </cell>
          <cell r="BZ87">
            <v>2.7143278426085882E-2</v>
          </cell>
          <cell r="CA87">
            <v>1.9682841946286667E-2</v>
          </cell>
          <cell r="CB87">
            <v>2.1829230032529123E-2</v>
          </cell>
          <cell r="CC87">
            <v>1.8585330332318239E-2</v>
          </cell>
          <cell r="CD87">
            <v>1.1306370332084814E-3</v>
          </cell>
          <cell r="CE87">
            <v>1.52329859359428E-2</v>
          </cell>
          <cell r="CF87">
            <v>5.2434999597520626E-2</v>
          </cell>
          <cell r="CG87">
            <v>3.7457783236106712E-2</v>
          </cell>
          <cell r="CH87">
            <v>6.593335174744519E-2</v>
          </cell>
          <cell r="CI87">
            <v>0.18527959730244259</v>
          </cell>
          <cell r="CJ87">
            <v>8.5311905367899232E-2</v>
          </cell>
          <cell r="CK87">
            <v>0.19919843358012623</v>
          </cell>
          <cell r="CL87">
            <v>0.33505708633821918</v>
          </cell>
          <cell r="CM87">
            <v>0.39638747046718992</v>
          </cell>
          <cell r="CN87">
            <v>0.24745687347435119</v>
          </cell>
          <cell r="CO87">
            <v>0.29301851769131892</v>
          </cell>
          <cell r="CP87">
            <v>0.16288742376676546</v>
          </cell>
          <cell r="CQ87">
            <v>7.0262301352880918E-2</v>
          </cell>
          <cell r="CR87">
            <v>7.4853468009097313E-3</v>
          </cell>
          <cell r="CS87">
            <v>1.3117034409955597E-2</v>
          </cell>
          <cell r="CT87">
            <v>5.9533256085495756E-2</v>
          </cell>
          <cell r="CU87">
            <v>2.2169304073946128E-2</v>
          </cell>
          <cell r="CV87">
            <v>1.9101453436238369E-2</v>
          </cell>
          <cell r="CW87">
            <v>1.5897586010839904E-2</v>
          </cell>
          <cell r="CX87">
            <v>1.3288924266732449E-2</v>
          </cell>
          <cell r="CY87">
            <v>1.7591546354605025E-2</v>
          </cell>
          <cell r="CZ87">
            <v>1.3829319456641676E-2</v>
          </cell>
          <cell r="DA87">
            <v>1.4322354727599906E-2</v>
          </cell>
          <cell r="DB87">
            <v>1.4815217759176713E-2</v>
          </cell>
          <cell r="DC87">
            <v>1.5351983990227636E-2</v>
          </cell>
          <cell r="DD87">
            <v>1.4581725239340981E-2</v>
          </cell>
          <cell r="DE87">
            <v>1.5957980632163027E-2</v>
          </cell>
          <cell r="DF87">
            <v>1.6490508780395707E-2</v>
          </cell>
          <cell r="DG87">
            <v>1.701755606498967E-2</v>
          </cell>
          <cell r="DH87">
            <v>1.7495161745148646E-2</v>
          </cell>
          <cell r="DI87">
            <v>1.6742657211156198E-2</v>
          </cell>
        </row>
        <row r="88">
          <cell r="B88" t="str">
            <v>Operating income</v>
          </cell>
          <cell r="D88">
            <v>-0.82542030496546337</v>
          </cell>
          <cell r="E88">
            <v>0.34000223955806153</v>
          </cell>
          <cell r="F88">
            <v>0.26947075208913573</v>
          </cell>
          <cell r="G88">
            <v>0.34403387896607773</v>
          </cell>
          <cell r="H88">
            <v>0.40445365941259981</v>
          </cell>
          <cell r="I88">
            <v>0.25390865658456185</v>
          </cell>
          <cell r="J88">
            <v>0.31571335867247519</v>
          </cell>
          <cell r="K88">
            <v>0.28250637656243427</v>
          </cell>
          <cell r="L88">
            <v>0.26379923195675148</v>
          </cell>
          <cell r="M88" t="str">
            <v>NA</v>
          </cell>
          <cell r="N88" t="str">
            <v>NA</v>
          </cell>
          <cell r="O88" t="str">
            <v>NA</v>
          </cell>
          <cell r="P88" t="str">
            <v>NA</v>
          </cell>
          <cell r="Q88">
            <v>0.10867769672836713</v>
          </cell>
          <cell r="R88">
            <v>0.18788828780609057</v>
          </cell>
          <cell r="S88">
            <v>0.13116037164209282</v>
          </cell>
          <cell r="T88">
            <v>0.19188242047068016</v>
          </cell>
          <cell r="U88">
            <v>0.23382832812745336</v>
          </cell>
          <cell r="V88">
            <v>0.18162783585191189</v>
          </cell>
          <cell r="W88">
            <v>0.16117923465611095</v>
          </cell>
          <cell r="X88">
            <v>0.1443095328437829</v>
          </cell>
          <cell r="Y88">
            <v>0.18694632786261911</v>
          </cell>
          <cell r="Z88">
            <v>0.26677698106269565</v>
          </cell>
          <cell r="AA88">
            <v>0.18768582426333991</v>
          </cell>
          <cell r="AB88">
            <v>0.20829291277474415</v>
          </cell>
          <cell r="AC88">
            <v>0.15130148141646416</v>
          </cell>
          <cell r="AD88">
            <v>0.21274664730503146</v>
          </cell>
          <cell r="AE88">
            <v>0.15433738975103206</v>
          </cell>
          <cell r="AF88">
            <v>0.17962902428189387</v>
          </cell>
          <cell r="AG88">
            <v>0.17524200578061144</v>
          </cell>
          <cell r="AH88">
            <v>0.12463257405697492</v>
          </cell>
          <cell r="AI88">
            <v>0.1393190762539509</v>
          </cell>
          <cell r="AJ88">
            <v>0.1440412403040805</v>
          </cell>
          <cell r="AK88">
            <v>0.14378727375217415</v>
          </cell>
          <cell r="AL88">
            <v>0.18226355802355876</v>
          </cell>
          <cell r="AM88">
            <v>0.15218733994155076</v>
          </cell>
          <cell r="AN88">
            <v>0.15446852903674535</v>
          </cell>
          <cell r="AO88">
            <v>5.5686592778579902E-2</v>
          </cell>
          <cell r="AP88">
            <v>0.13554334749017904</v>
          </cell>
          <cell r="AQ88">
            <v>8.4833626375441007E-2</v>
          </cell>
          <cell r="AR88">
            <v>8.6952258300702079E-2</v>
          </cell>
          <cell r="AS88">
            <v>-0.16185388971444636</v>
          </cell>
          <cell r="AT88">
            <v>-2.2390569694251572E-2</v>
          </cell>
          <cell r="AU88">
            <v>-6.1964331303107079E-3</v>
          </cell>
          <cell r="AW88">
            <v>0.15218733994155076</v>
          </cell>
          <cell r="AX88">
            <v>0.15446852903674535</v>
          </cell>
          <cell r="AY88">
            <v>5.5686592778579902E-2</v>
          </cell>
          <cell r="AZ88">
            <v>8.4833626375441007E-2</v>
          </cell>
          <cell r="BA88">
            <v>8.6952258300702079E-2</v>
          </cell>
          <cell r="BB88">
            <v>8.6952258300702079E-2</v>
          </cell>
          <cell r="BC88">
            <v>-0.16185388971444636</v>
          </cell>
          <cell r="BD88">
            <v>-2.2390569694251572E-2</v>
          </cell>
          <cell r="BE88">
            <v>-2.0065439050372391E-2</v>
          </cell>
          <cell r="BF88">
            <v>-2.9198595918425441E-2</v>
          </cell>
          <cell r="BG88">
            <v>-6.9483370421603241E-2</v>
          </cell>
          <cell r="BH88">
            <v>0.10280799271646912</v>
          </cell>
          <cell r="BI88">
            <v>-3.4232212192203848E-2</v>
          </cell>
          <cell r="BJ88">
            <v>-1.4835032574175162</v>
          </cell>
          <cell r="BK88">
            <v>-0.35753809844287288</v>
          </cell>
          <cell r="BL88">
            <v>-9.0229257289117126E-2</v>
          </cell>
          <cell r="BM88">
            <v>-0.41596240051561628</v>
          </cell>
          <cell r="BN88">
            <v>-0.19787275549411021</v>
          </cell>
          <cell r="BO88">
            <v>-2.4703615077007077</v>
          </cell>
          <cell r="BP88">
            <v>0.16959786015222322</v>
          </cell>
          <cell r="BQ88">
            <v>-0.11791243064287982</v>
          </cell>
          <cell r="BR88">
            <v>0.28525195913103785</v>
          </cell>
          <cell r="BS88">
            <v>-0.13189172041873809</v>
          </cell>
          <cell r="BT88">
            <v>-5.7506416907869284E-2</v>
          </cell>
          <cell r="BU88">
            <v>-2.7801634235517292E-2</v>
          </cell>
          <cell r="BV88">
            <v>-1.3555090206185949E-2</v>
          </cell>
          <cell r="BW88">
            <v>8.1898256683356818E-2</v>
          </cell>
          <cell r="BX88">
            <v>0.18872796813525672</v>
          </cell>
          <cell r="BY88">
            <v>0.26154826747015658</v>
          </cell>
          <cell r="BZ88">
            <v>0.11324835941443578</v>
          </cell>
          <cell r="CA88">
            <v>9.5936379891734536E-2</v>
          </cell>
          <cell r="CB88">
            <v>7.5440067057837457E-2</v>
          </cell>
          <cell r="CC88">
            <v>0.12374091873226001</v>
          </cell>
          <cell r="CD88">
            <v>0.14407628216316604</v>
          </cell>
          <cell r="CE88">
            <v>0.10875849356903577</v>
          </cell>
          <cell r="CF88">
            <v>0.11048447778763038</v>
          </cell>
          <cell r="CG88">
            <v>0.15725278187758129</v>
          </cell>
          <cell r="CH88">
            <v>0.10023069838693477</v>
          </cell>
          <cell r="CI88">
            <v>0.20365656841412116</v>
          </cell>
          <cell r="CJ88">
            <v>0.14344663718026651</v>
          </cell>
          <cell r="CK88">
            <v>8.0935481057582859E-2</v>
          </cell>
          <cell r="CL88">
            <v>5.7384625305408221E-2</v>
          </cell>
          <cell r="CM88">
            <v>0.19992706718935227</v>
          </cell>
          <cell r="CN88">
            <v>9.3700427385606133E-2</v>
          </cell>
          <cell r="CO88">
            <v>0.10415484892092852</v>
          </cell>
          <cell r="CP88">
            <v>0.10891452296256032</v>
          </cell>
          <cell r="CQ88">
            <v>0.15344667424155434</v>
          </cell>
          <cell r="CR88">
            <v>2.2930206795395147E-2</v>
          </cell>
          <cell r="CS88">
            <v>-0.24636748958055621</v>
          </cell>
          <cell r="CT88">
            <v>5.0541070816467748E-3</v>
          </cell>
          <cell r="CU88">
            <v>6.9715629333425788E-2</v>
          </cell>
          <cell r="CV88">
            <v>6.2141887378487359E-2</v>
          </cell>
          <cell r="CW88">
            <v>0.10299178878608273</v>
          </cell>
          <cell r="CX88">
            <v>8.907881345429125E-2</v>
          </cell>
          <cell r="CY88">
            <v>7.9435312386156642E-2</v>
          </cell>
          <cell r="CZ88">
            <v>8.0260876403096315E-2</v>
          </cell>
          <cell r="DA88">
            <v>7.6587728952655088E-2</v>
          </cell>
          <cell r="DB88">
            <v>9.8210562009929392E-2</v>
          </cell>
          <cell r="DC88">
            <v>0.13574215078478491</v>
          </cell>
          <cell r="DD88">
            <v>9.479260760408259E-2</v>
          </cell>
          <cell r="DE88">
            <v>9.8538818035409204E-2</v>
          </cell>
          <cell r="DF88">
            <v>8.9259894622991443E-2</v>
          </cell>
          <cell r="DG88">
            <v>0.10529444792702569</v>
          </cell>
          <cell r="DH88">
            <v>9.1012540080542603E-2</v>
          </cell>
          <cell r="DI88">
            <v>9.6160090495099659E-2</v>
          </cell>
        </row>
        <row r="89">
          <cell r="B89" t="str">
            <v>Interest expense, net</v>
          </cell>
          <cell r="D89">
            <v>-1.1149224553629611</v>
          </cell>
          <cell r="E89">
            <v>-0.20066908596053523</v>
          </cell>
          <cell r="F89">
            <v>-0.49244520110661838</v>
          </cell>
          <cell r="G89">
            <v>-0.32718378756114608</v>
          </cell>
          <cell r="H89">
            <v>-0.10739509763190702</v>
          </cell>
          <cell r="I89">
            <v>-0.15731905980916916</v>
          </cell>
          <cell r="J89">
            <v>-2.9273681303507271E-2</v>
          </cell>
          <cell r="K89">
            <v>5.604551920341394E-2</v>
          </cell>
          <cell r="L89">
            <v>0.28205818965517238</v>
          </cell>
          <cell r="M89" t="str">
            <v>NA</v>
          </cell>
          <cell r="N89" t="str">
            <v>NA</v>
          </cell>
          <cell r="O89" t="str">
            <v>NA</v>
          </cell>
          <cell r="P89" t="str">
            <v>NA</v>
          </cell>
          <cell r="Q89">
            <v>0.76192477411220838</v>
          </cell>
          <cell r="R89">
            <v>3.1845588235294118</v>
          </cell>
          <cell r="S89">
            <v>8.5351906158357771</v>
          </cell>
          <cell r="T89">
            <v>1.812551953449709</v>
          </cell>
          <cell r="U89">
            <v>0.62661925323850642</v>
          </cell>
          <cell r="V89">
            <v>2.0250447227191413</v>
          </cell>
          <cell r="W89">
            <v>6.0622034791776525E-2</v>
          </cell>
          <cell r="X89">
            <v>-0.18929724742426568</v>
          </cell>
          <cell r="Y89">
            <v>-0.33500812767843957</v>
          </cell>
          <cell r="Z89">
            <v>-0.35009369144284819</v>
          </cell>
          <cell r="AA89">
            <v>-0.2126946579932979</v>
          </cell>
          <cell r="AB89">
            <v>-0.31809145129224659</v>
          </cell>
          <cell r="AC89">
            <v>-0.22496206373292871</v>
          </cell>
          <cell r="AD89">
            <v>-0.20955555555555561</v>
          </cell>
          <cell r="AE89">
            <v>-9.0821720326766053E-2</v>
          </cell>
          <cell r="AF89">
            <v>-0.22168252378567854</v>
          </cell>
          <cell r="AG89">
            <v>-8.6248785228376978E-2</v>
          </cell>
          <cell r="AH89">
            <v>-9.1532060695056261E-2</v>
          </cell>
          <cell r="AI89">
            <v>6.8878268203542259E-2</v>
          </cell>
          <cell r="AJ89">
            <v>-3.8054968287526303E-2</v>
          </cell>
          <cell r="AK89">
            <v>-4.0404040404040331E-2</v>
          </cell>
          <cell r="AL89">
            <v>0.18425950545067793</v>
          </cell>
          <cell r="AM89">
            <v>0.26831896551724133</v>
          </cell>
          <cell r="AN89">
            <v>-4.2609153077327711E-2</v>
          </cell>
          <cell r="AO89">
            <v>-7.0879120879120849E-2</v>
          </cell>
          <cell r="AP89">
            <v>8.5082132081796935E-2</v>
          </cell>
          <cell r="AQ89">
            <v>-0.27750336775931739</v>
          </cell>
          <cell r="AR89">
            <v>-0.18967714528462198</v>
          </cell>
          <cell r="AS89">
            <v>-0.21648351648351649</v>
          </cell>
          <cell r="AT89">
            <v>-0.10082791247782386</v>
          </cell>
          <cell r="AU89">
            <v>-0.20130993573900158</v>
          </cell>
          <cell r="AW89">
            <v>0.26831896551724133</v>
          </cell>
          <cell r="AX89">
            <v>-4.2609153077327711E-2</v>
          </cell>
          <cell r="AY89">
            <v>-7.0879120879120849E-2</v>
          </cell>
          <cell r="AZ89">
            <v>-0.27750336775931739</v>
          </cell>
          <cell r="BA89">
            <v>-0.18967714528462198</v>
          </cell>
          <cell r="BB89">
            <v>-0.18967714528462198</v>
          </cell>
          <cell r="BC89">
            <v>-0.21648351648351649</v>
          </cell>
          <cell r="BD89">
            <v>-0.10082791247782386</v>
          </cell>
          <cell r="BE89">
            <v>0.31417029210689873</v>
          </cell>
          <cell r="BF89">
            <v>-6.7634466149317563E-2</v>
          </cell>
          <cell r="BG89">
            <v>1.2023591087811272</v>
          </cell>
          <cell r="BH89">
            <v>2.9638849929873774</v>
          </cell>
          <cell r="BI89">
            <v>2.533706017757317</v>
          </cell>
          <cell r="BJ89">
            <v>3.929297706313549</v>
          </cell>
          <cell r="BK89">
            <v>2.6807777857501618</v>
          </cell>
          <cell r="BL89">
            <v>2.9619138300404666</v>
          </cell>
          <cell r="BM89">
            <v>4.4526315789473685</v>
          </cell>
          <cell r="BN89">
            <v>4.9273217941559651</v>
          </cell>
          <cell r="BO89">
            <v>2.0382327544852732</v>
          </cell>
          <cell r="BP89">
            <v>3.3267899959063527</v>
          </cell>
          <cell r="BQ89">
            <v>0.86866137947608779</v>
          </cell>
          <cell r="BR89">
            <v>-4.8440998020830017E-2</v>
          </cell>
          <cell r="BS89">
            <v>-0.11726195148755791</v>
          </cell>
          <cell r="BT89">
            <v>-3.2983342543617233E-2</v>
          </cell>
          <cell r="BU89">
            <v>7.3761038024869219E-2</v>
          </cell>
          <cell r="BV89">
            <v>-0.11962253231303444</v>
          </cell>
          <cell r="BW89">
            <v>-7.9838379705400975E-2</v>
          </cell>
          <cell r="BX89">
            <v>-5.1008430263579152E-2</v>
          </cell>
          <cell r="BY89">
            <v>-0.14765045880547301</v>
          </cell>
          <cell r="BZ89">
            <v>-0.10084671802359724</v>
          </cell>
          <cell r="CA89">
            <v>-4.492084071362068E-2</v>
          </cell>
          <cell r="CB89">
            <v>-7.5852741185407413E-2</v>
          </cell>
          <cell r="CC89">
            <v>-7.2585179354548446E-2</v>
          </cell>
          <cell r="CD89">
            <v>-5.4211443786756908E-3</v>
          </cell>
          <cell r="CE89">
            <v>-4.9977367858626276E-2</v>
          </cell>
          <cell r="CF89">
            <v>-2.6767107049308847E-2</v>
          </cell>
          <cell r="CG89">
            <v>3.2278113033539224E-3</v>
          </cell>
          <cell r="CH89">
            <v>-2.4633727392139093E-2</v>
          </cell>
          <cell r="CI89">
            <v>0.36092064714946104</v>
          </cell>
          <cell r="CJ89">
            <v>7.9970725046294877E-2</v>
          </cell>
          <cell r="CK89">
            <v>0.74376755790424931</v>
          </cell>
          <cell r="CL89">
            <v>0.50211830535571544</v>
          </cell>
          <cell r="CM89">
            <v>0.59147225790411451</v>
          </cell>
          <cell r="CN89">
            <v>1.61041596633138E-2</v>
          </cell>
          <cell r="CO89">
            <v>0.42148881973570518</v>
          </cell>
          <cell r="CP89">
            <v>-0.19345607021056999</v>
          </cell>
          <cell r="CQ89">
            <v>-4.888428178730797E-2</v>
          </cell>
          <cell r="CR89">
            <v>-7.1739086423435405E-2</v>
          </cell>
          <cell r="CS89">
            <v>-8.7203590615991811E-3</v>
          </cell>
          <cell r="CT89">
            <v>-8.6334057573650869E-2</v>
          </cell>
          <cell r="CU89">
            <v>5.6013994192722905E-3</v>
          </cell>
          <cell r="CV89">
            <v>-0.27419589714437442</v>
          </cell>
          <cell r="CW89">
            <v>-0.27524863004021149</v>
          </cell>
          <cell r="CX89">
            <v>-0.27607536281849676</v>
          </cell>
          <cell r="CY89">
            <v>-0.20477995023101503</v>
          </cell>
          <cell r="CZ89">
            <v>-0.28703491029752293</v>
          </cell>
          <cell r="DA89">
            <v>-1.2931019033250113E-2</v>
          </cell>
          <cell r="DB89">
            <v>-1.3228194200932242E-2</v>
          </cell>
          <cell r="DC89">
            <v>-1.3485056618200097E-2</v>
          </cell>
          <cell r="DD89">
            <v>-0.10002456554094696</v>
          </cell>
          <cell r="DE89">
            <v>-1.365254563090057E-2</v>
          </cell>
          <cell r="DF89">
            <v>-1.3768540651305061E-2</v>
          </cell>
          <cell r="DG89">
            <v>-1.3979218854405895E-2</v>
          </cell>
          <cell r="DH89">
            <v>-1.4157687305595967E-2</v>
          </cell>
          <cell r="DI89">
            <v>-1.3888759752921476E-2</v>
          </cell>
        </row>
        <row r="90">
          <cell r="B90" t="str">
            <v>Pretax income</v>
          </cell>
          <cell r="D90">
            <v>-0.94034276032842445</v>
          </cell>
          <cell r="E90">
            <v>1.3815401419989124</v>
          </cell>
          <cell r="F90">
            <v>0.81833480925348923</v>
          </cell>
          <cell r="G90">
            <v>0.42360401019040106</v>
          </cell>
          <cell r="H90">
            <v>0.44811212105104592</v>
          </cell>
          <cell r="I90">
            <v>0.27552918145112093</v>
          </cell>
          <cell r="J90">
            <v>0.32769618893226693</v>
          </cell>
          <cell r="K90">
            <v>0.28825743618643052</v>
          </cell>
          <cell r="L90">
            <v>0.26341912073983842</v>
          </cell>
          <cell r="M90" t="str">
            <v>NA</v>
          </cell>
          <cell r="N90" t="str">
            <v>NA</v>
          </cell>
          <cell r="O90" t="str">
            <v>NA</v>
          </cell>
          <cell r="P90" t="str">
            <v>NA</v>
          </cell>
          <cell r="Q90">
            <v>9.4877906950936897E-2</v>
          </cell>
          <cell r="R90">
            <v>0.1079033619217713</v>
          </cell>
          <cell r="S90">
            <v>5.8178623271449625E-2</v>
          </cell>
          <cell r="T90">
            <v>0.13076054925073621</v>
          </cell>
          <cell r="U90">
            <v>0.2048529136218844</v>
          </cell>
          <cell r="V90">
            <v>0.11896064511682369</v>
          </cell>
          <cell r="W90">
            <v>0.17131671715292995</v>
          </cell>
          <cell r="X90">
            <v>-3.415039168261047E-2</v>
          </cell>
          <cell r="Y90">
            <v>0.23590895228589592</v>
          </cell>
          <cell r="Z90">
            <v>0.3282117475078925</v>
          </cell>
          <cell r="AA90">
            <v>0.16288700882262419</v>
          </cell>
          <cell r="AB90">
            <v>0.25634433320226235</v>
          </cell>
          <cell r="AC90">
            <v>0.41985921634585388</v>
          </cell>
          <cell r="AD90">
            <v>0.23406164475750413</v>
          </cell>
          <cell r="AE90">
            <v>0.16628418883476881</v>
          </cell>
          <cell r="AF90">
            <v>0.26708126785708619</v>
          </cell>
          <cell r="AG90">
            <v>0.18819818952234146</v>
          </cell>
          <cell r="AH90">
            <v>0.13238274908963232</v>
          </cell>
          <cell r="AI90">
            <v>0.14159637897186061</v>
          </cell>
          <cell r="AJ90">
            <v>0.10145567714085035</v>
          </cell>
          <cell r="AK90">
            <v>0.13870180071851812</v>
          </cell>
          <cell r="AL90">
            <v>0.18218750633193515</v>
          </cell>
          <cell r="AM90">
            <v>0.14884697641260924</v>
          </cell>
          <cell r="AN90">
            <v>0.16043406606530142</v>
          </cell>
          <cell r="AO90">
            <v>0.10733165627620278</v>
          </cell>
          <cell r="AP90">
            <v>0.14926027420925636</v>
          </cell>
          <cell r="AQ90">
            <v>9.8663970040021365E-2</v>
          </cell>
          <cell r="AR90">
            <v>9.5736572665772623E-2</v>
          </cell>
          <cell r="AS90">
            <v>-2.9865389629101124E-2</v>
          </cell>
          <cell r="AT90">
            <v>0.1053155763342446</v>
          </cell>
          <cell r="AU90">
            <v>6.4166209441634425E-2</v>
          </cell>
          <cell r="AW90">
            <v>0.14884697641260924</v>
          </cell>
          <cell r="AX90">
            <v>0.16043406606530142</v>
          </cell>
          <cell r="AY90">
            <v>0.10733165627620278</v>
          </cell>
          <cell r="AZ90">
            <v>9.8663970040021365E-2</v>
          </cell>
          <cell r="BA90">
            <v>9.5736572665772623E-2</v>
          </cell>
          <cell r="BB90">
            <v>9.5736572665772623E-2</v>
          </cell>
          <cell r="BC90">
            <v>-2.9865389629101124E-2</v>
          </cell>
          <cell r="BD90">
            <v>0.1053155763342446</v>
          </cell>
          <cell r="BE90">
            <v>-2.8455094304300599E-2</v>
          </cell>
          <cell r="BF90">
            <v>3.4923093051614229E-2</v>
          </cell>
          <cell r="BG90">
            <v>-0.12783847834784989</v>
          </cell>
          <cell r="BH90">
            <v>-0.10338682187537607</v>
          </cell>
          <cell r="BI90">
            <v>-0.22420636398162053</v>
          </cell>
          <cell r="BJ90">
            <v>-1.5492477158501532</v>
          </cell>
          <cell r="BK90">
            <v>-0.45932357911984578</v>
          </cell>
          <cell r="BL90">
            <v>-0.24216053695822704</v>
          </cell>
          <cell r="BM90">
            <v>-0.82969979965610197</v>
          </cell>
          <cell r="BN90">
            <v>-0.70371188051334777</v>
          </cell>
          <cell r="BO90">
            <v>-1.401733639327009</v>
          </cell>
          <cell r="BP90">
            <v>-0.38430565644546788</v>
          </cell>
          <cell r="BQ90">
            <v>1.4646755327074996</v>
          </cell>
          <cell r="BR90">
            <v>0.86869528970403875</v>
          </cell>
          <cell r="BS90">
            <v>-0.43055690543298886</v>
          </cell>
          <cell r="BT90">
            <v>0.88461958301495458</v>
          </cell>
          <cell r="BU90">
            <v>0.99856927027445064</v>
          </cell>
          <cell r="BV90">
            <v>-0.68205571950560584</v>
          </cell>
          <cell r="BW90">
            <v>0.48506704339851692</v>
          </cell>
          <cell r="BX90">
            <v>1.4913238891733678</v>
          </cell>
          <cell r="BY90">
            <v>8.0490394825752043E-2</v>
          </cell>
          <cell r="BZ90">
            <v>-0.34872557871174359</v>
          </cell>
          <cell r="CA90">
            <v>-1.2169758625197979E-2</v>
          </cell>
          <cell r="CB90">
            <v>0.18173169998998628</v>
          </cell>
          <cell r="CC90">
            <v>0.36439826444393608</v>
          </cell>
          <cell r="CD90">
            <v>0.29529697662783438</v>
          </cell>
          <cell r="CE90">
            <v>0.17368906753071411</v>
          </cell>
          <cell r="CF90">
            <v>0.18160709344434212</v>
          </cell>
          <cell r="CG90">
            <v>0.25231968590676135</v>
          </cell>
          <cell r="CH90">
            <v>0.20660451570790106</v>
          </cell>
          <cell r="CI90">
            <v>-0.24622706580218134</v>
          </cell>
          <cell r="CJ90">
            <v>9.5945317878273206E-2</v>
          </cell>
          <cell r="CK90">
            <v>-0.27996008715661558</v>
          </cell>
          <cell r="CL90">
            <v>-0.17187870039358177</v>
          </cell>
          <cell r="CM90">
            <v>-2.4413588381350437E-2</v>
          </cell>
          <cell r="CN90">
            <v>0.68658051921531538</v>
          </cell>
          <cell r="CO90">
            <v>-2.226125920162958E-2</v>
          </cell>
          <cell r="CP90">
            <v>0.51415704649949667</v>
          </cell>
          <cell r="CQ90">
            <v>0.34450215604499967</v>
          </cell>
          <cell r="CR90">
            <v>9.1957278935045128E-2</v>
          </cell>
          <cell r="CS90">
            <v>-0.43151273861236172</v>
          </cell>
          <cell r="CT90">
            <v>9.248187923126161E-2</v>
          </cell>
          <cell r="CU90">
            <v>0.11258168637271249</v>
          </cell>
          <cell r="CV90">
            <v>0.30568934359350886</v>
          </cell>
          <cell r="CW90">
            <v>0.45416868869123705</v>
          </cell>
          <cell r="CX90">
            <v>0.58513596899989384</v>
          </cell>
          <cell r="CY90">
            <v>0.3217060020450635</v>
          </cell>
          <cell r="CZ90">
            <v>0.30221796311474636</v>
          </cell>
          <cell r="DA90">
            <v>0.11262081820809144</v>
          </cell>
          <cell r="DB90">
            <v>0.14977716431622001</v>
          </cell>
          <cell r="DC90">
            <v>0.22832494728682251</v>
          </cell>
          <cell r="DD90">
            <v>0.19470817887647884</v>
          </cell>
          <cell r="DE90">
            <v>0.13565788742599394</v>
          </cell>
          <cell r="DF90">
            <v>0.12605117690986889</v>
          </cell>
          <cell r="DG90">
            <v>0.15266188478985909</v>
          </cell>
          <cell r="DH90">
            <v>0.14341666720614854</v>
          </cell>
          <cell r="DI90">
            <v>0.13867686075568586</v>
          </cell>
        </row>
        <row r="91">
          <cell r="B91" t="str">
            <v>Net income from continuing ops</v>
          </cell>
          <cell r="D91">
            <v>-0.96973804248664153</v>
          </cell>
          <cell r="E91">
            <v>1.5820413436692609</v>
          </cell>
          <cell r="F91">
            <v>0.89125177216245333</v>
          </cell>
          <cell r="G91">
            <v>0.42186259811270932</v>
          </cell>
          <cell r="H91">
            <v>0.52228252442239009</v>
          </cell>
          <cell r="I91">
            <v>0.29020494642057026</v>
          </cell>
          <cell r="J91">
            <v>0.32772260030632538</v>
          </cell>
          <cell r="K91">
            <v>0.28822871821706397</v>
          </cell>
          <cell r="L91">
            <v>0.26330754602019746</v>
          </cell>
          <cell r="M91" t="str">
            <v>NA</v>
          </cell>
          <cell r="N91" t="str">
            <v>NA</v>
          </cell>
          <cell r="O91" t="str">
            <v>NA</v>
          </cell>
          <cell r="P91" t="str">
            <v>NA</v>
          </cell>
          <cell r="Q91">
            <v>9.5005992224723723E-2</v>
          </cell>
          <cell r="R91">
            <v>0.10780164755289978</v>
          </cell>
          <cell r="S91">
            <v>5.8272370930891215E-2</v>
          </cell>
          <cell r="T91">
            <v>0.13071187140387486</v>
          </cell>
          <cell r="U91">
            <v>0.20474310738296353</v>
          </cell>
          <cell r="V91">
            <v>0.11893623410857823</v>
          </cell>
          <cell r="W91">
            <v>0.17164353201913118</v>
          </cell>
          <cell r="X91">
            <v>-3.4602967100441306E-2</v>
          </cell>
          <cell r="Y91">
            <v>0.23537868242703497</v>
          </cell>
          <cell r="Z91">
            <v>0.32911813643926813</v>
          </cell>
          <cell r="AA91">
            <v>0.16288834415836262</v>
          </cell>
          <cell r="AB91">
            <v>0.25606053063865786</v>
          </cell>
          <cell r="AC91">
            <v>0.42051702913418043</v>
          </cell>
          <cell r="AD91">
            <v>0.237116258450627</v>
          </cell>
          <cell r="AE91">
            <v>0.17037094102692385</v>
          </cell>
          <cell r="AF91">
            <v>0.26909189754741392</v>
          </cell>
          <cell r="AG91">
            <v>0.20037252803867855</v>
          </cell>
          <cell r="AH91">
            <v>0.14287364954647774</v>
          </cell>
          <cell r="AI91">
            <v>0.15030981709593094</v>
          </cell>
          <cell r="AJ91">
            <v>0.16865784623486224</v>
          </cell>
          <cell r="AK91">
            <v>0.16294530097597626</v>
          </cell>
          <cell r="AL91">
            <v>0.19599524579880478</v>
          </cell>
          <cell r="AM91">
            <v>0.16103022950156776</v>
          </cell>
          <cell r="AN91">
            <v>0.17939565431842452</v>
          </cell>
          <cell r="AO91">
            <v>6.4970359209764794E-2</v>
          </cell>
          <cell r="AP91">
            <v>0.14960123712056661</v>
          </cell>
          <cell r="AQ91">
            <v>9.61063339360404E-2</v>
          </cell>
          <cell r="AR91">
            <v>9.5700446282791951E-2</v>
          </cell>
          <cell r="AS91">
            <v>-3.5801151183650237E-2</v>
          </cell>
          <cell r="AT91">
            <v>0.16193095423834225</v>
          </cell>
          <cell r="AU91">
            <v>7.481220621797724E-2</v>
          </cell>
          <cell r="AW91">
            <v>0.16103022950156776</v>
          </cell>
          <cell r="AX91">
            <v>0.17939565431842452</v>
          </cell>
          <cell r="AY91">
            <v>6.4970359209764794E-2</v>
          </cell>
          <cell r="AZ91">
            <v>9.61063339360404E-2</v>
          </cell>
          <cell r="BA91">
            <v>9.5700446282791951E-2</v>
          </cell>
          <cell r="BB91">
            <v>9.5700446282791951E-2</v>
          </cell>
          <cell r="BC91">
            <v>-3.5801151183650237E-2</v>
          </cell>
          <cell r="BD91">
            <v>0.16193095423834225</v>
          </cell>
          <cell r="BE91">
            <v>-3.9589996726017596E-2</v>
          </cell>
          <cell r="BF91">
            <v>4.3347997797370308E-2</v>
          </cell>
          <cell r="BG91">
            <v>-0.13153921042697292</v>
          </cell>
          <cell r="BH91">
            <v>-0.10715671726971876</v>
          </cell>
          <cell r="BI91">
            <v>-0.27361797036800883</v>
          </cell>
          <cell r="BJ91">
            <v>-1.5553166382588173</v>
          </cell>
          <cell r="BK91">
            <v>-0.46903694455479228</v>
          </cell>
          <cell r="BL91">
            <v>-0.24693151531097024</v>
          </cell>
          <cell r="BM91">
            <v>-0.82997110787246464</v>
          </cell>
          <cell r="BN91">
            <v>-0.6897372832234121</v>
          </cell>
          <cell r="BO91">
            <v>-1.4480804646550505</v>
          </cell>
          <cell r="BP91">
            <v>-0.36983892861341683</v>
          </cell>
          <cell r="BQ91">
            <v>1.4669319804356484</v>
          </cell>
          <cell r="BR91">
            <v>1.0532330827067584</v>
          </cell>
          <cell r="BS91">
            <v>-0.24185811663721579</v>
          </cell>
          <cell r="BT91">
            <v>0.80719780798819674</v>
          </cell>
          <cell r="BU91">
            <v>1.0270868492244483</v>
          </cell>
          <cell r="BV91">
            <v>-0.66702994926358339</v>
          </cell>
          <cell r="BW91">
            <v>0.43906547531858697</v>
          </cell>
          <cell r="BX91">
            <v>1.0842490842491013</v>
          </cell>
          <cell r="BY91">
            <v>6.7411143831817233E-2</v>
          </cell>
          <cell r="BZ91">
            <v>-0.32527151630771534</v>
          </cell>
          <cell r="CA91">
            <v>-1.21678347541474E-2</v>
          </cell>
          <cell r="CB91">
            <v>0.16323985953483633</v>
          </cell>
          <cell r="CC91">
            <v>0.27432497204026074</v>
          </cell>
          <cell r="CD91">
            <v>0.26627332076812027</v>
          </cell>
          <cell r="CE91">
            <v>0.14936848566770067</v>
          </cell>
          <cell r="CF91">
            <v>0.17392687994908695</v>
          </cell>
          <cell r="CG91">
            <v>0.24507251766456051</v>
          </cell>
          <cell r="CH91">
            <v>0.2463390170511528</v>
          </cell>
          <cell r="CI91">
            <v>-0.18571089587333356</v>
          </cell>
          <cell r="CJ91">
            <v>0.11711235427714617</v>
          </cell>
          <cell r="CK91">
            <v>-0.26660819645989231</v>
          </cell>
          <cell r="CL91">
            <v>-0.15417457305502968</v>
          </cell>
          <cell r="CM91">
            <v>-5.7540640592292913E-3</v>
          </cell>
          <cell r="CN91">
            <v>0.58688380835511023</v>
          </cell>
          <cell r="CO91">
            <v>-1.7511807155811909E-2</v>
          </cell>
          <cell r="CP91">
            <v>0.53663943574768513</v>
          </cell>
          <cell r="CQ91">
            <v>0.3535543161334338</v>
          </cell>
          <cell r="CR91">
            <v>2.5678402079307272E-2</v>
          </cell>
          <cell r="CS91">
            <v>-0.42276678074485963</v>
          </cell>
          <cell r="CT91">
            <v>8.6731023247124783E-2</v>
          </cell>
          <cell r="CU91">
            <v>0.11258168637271249</v>
          </cell>
          <cell r="CV91">
            <v>0.30568934359350886</v>
          </cell>
          <cell r="CW91">
            <v>0.45416868869123705</v>
          </cell>
          <cell r="CX91">
            <v>0.58513596899989384</v>
          </cell>
          <cell r="CY91">
            <v>0.32170600204506306</v>
          </cell>
          <cell r="CZ91">
            <v>0.30221796311474636</v>
          </cell>
          <cell r="DA91">
            <v>0.11262081820809144</v>
          </cell>
          <cell r="DB91">
            <v>0.14977716431621979</v>
          </cell>
          <cell r="DC91">
            <v>0.22832494728682251</v>
          </cell>
          <cell r="DD91">
            <v>0.19470817887647973</v>
          </cell>
          <cell r="DE91">
            <v>0.13565788742599394</v>
          </cell>
          <cell r="DF91">
            <v>0.12605117690986889</v>
          </cell>
          <cell r="DG91">
            <v>0.15266188478985909</v>
          </cell>
          <cell r="DH91">
            <v>0.14341666720614854</v>
          </cell>
          <cell r="DI91">
            <v>0.13867686075568519</v>
          </cell>
        </row>
        <row r="92">
          <cell r="B92" t="str">
            <v>Net income as reported</v>
          </cell>
          <cell r="D92">
            <v>-0.96973804248664153</v>
          </cell>
          <cell r="E92">
            <v>1.5820413436692609</v>
          </cell>
          <cell r="F92">
            <v>0.89125177216245333</v>
          </cell>
          <cell r="G92">
            <v>0.42186259811270932</v>
          </cell>
          <cell r="H92">
            <v>0.44320049620096058</v>
          </cell>
          <cell r="I92">
            <v>0.36090338662541055</v>
          </cell>
          <cell r="J92">
            <v>0.32772260030632538</v>
          </cell>
          <cell r="K92">
            <v>0.28822871821706397</v>
          </cell>
          <cell r="L92">
            <v>0.26330754602019746</v>
          </cell>
          <cell r="M92" t="str">
            <v>NA</v>
          </cell>
          <cell r="N92" t="str">
            <v>NA</v>
          </cell>
          <cell r="O92" t="str">
            <v>NA</v>
          </cell>
          <cell r="P92" t="str">
            <v>NA</v>
          </cell>
          <cell r="Q92">
            <v>9.5005992224723723E-2</v>
          </cell>
          <cell r="R92">
            <v>0.10780164755289978</v>
          </cell>
          <cell r="S92">
            <v>5.8272370930891215E-2</v>
          </cell>
          <cell r="T92">
            <v>0.13071187140387486</v>
          </cell>
          <cell r="U92">
            <v>0.20474310738296353</v>
          </cell>
          <cell r="V92">
            <v>0.11893623410857823</v>
          </cell>
          <cell r="W92">
            <v>0.17164353201913118</v>
          </cell>
          <cell r="X92">
            <v>-3.4602967100441306E-2</v>
          </cell>
          <cell r="Y92">
            <v>0.23537868242703497</v>
          </cell>
          <cell r="Z92">
            <v>0.32911813643926813</v>
          </cell>
          <cell r="AA92">
            <v>0.16288834415836262</v>
          </cell>
          <cell r="AB92">
            <v>0.25606053063865786</v>
          </cell>
          <cell r="AC92">
            <v>0.42051702913418043</v>
          </cell>
          <cell r="AD92">
            <v>0.237116258450627</v>
          </cell>
          <cell r="AE92">
            <v>0.17037094102692385</v>
          </cell>
          <cell r="AF92">
            <v>0.26909189754741392</v>
          </cell>
          <cell r="AG92">
            <v>0.20037252803867855</v>
          </cell>
          <cell r="AH92">
            <v>0.14287364954647774</v>
          </cell>
          <cell r="AI92">
            <v>0.15030981709593094</v>
          </cell>
          <cell r="AJ92">
            <v>0.16865784623486224</v>
          </cell>
          <cell r="AK92">
            <v>0.16294530097597626</v>
          </cell>
          <cell r="AL92">
            <v>0.19599524579880478</v>
          </cell>
          <cell r="AM92">
            <v>0.16103022950156776</v>
          </cell>
          <cell r="AN92">
            <v>0.17939565431842452</v>
          </cell>
          <cell r="AO92">
            <v>6.4970359209764794E-2</v>
          </cell>
          <cell r="AP92">
            <v>0.14960123712056661</v>
          </cell>
          <cell r="AQ92">
            <v>9.61063339360404E-2</v>
          </cell>
          <cell r="AR92">
            <v>9.5700446282791951E-2</v>
          </cell>
          <cell r="AS92">
            <v>-3.5801151183650237E-2</v>
          </cell>
          <cell r="AT92">
            <v>0.17036664859647588</v>
          </cell>
          <cell r="AU92">
            <v>7.6740776566963875E-2</v>
          </cell>
          <cell r="AW92">
            <v>0.16103022950156776</v>
          </cell>
          <cell r="AX92">
            <v>0.17939565431842452</v>
          </cell>
          <cell r="AY92">
            <v>6.4970359209764794E-2</v>
          </cell>
          <cell r="AZ92">
            <v>9.61063339360404E-2</v>
          </cell>
          <cell r="BA92">
            <v>9.5700446282791951E-2</v>
          </cell>
          <cell r="BB92">
            <v>9.5700446282791951E-2</v>
          </cell>
          <cell r="BC92">
            <v>-3.5801151183650237E-2</v>
          </cell>
          <cell r="BD92">
            <v>0.17036664859647588</v>
          </cell>
          <cell r="BE92">
            <v>-4.3720250837383401E-2</v>
          </cell>
          <cell r="BF92">
            <v>4.4265760351474004E-2</v>
          </cell>
          <cell r="BG92">
            <v>-0.12706880451411595</v>
          </cell>
          <cell r="BH92">
            <v>-0.10533044173039685</v>
          </cell>
          <cell r="BI92">
            <v>-0.15414162411315335</v>
          </cell>
          <cell r="BJ92">
            <v>-1.7418556266624527</v>
          </cell>
          <cell r="BK92">
            <v>-0.47612338048932579</v>
          </cell>
          <cell r="BL92">
            <v>-0.25788940606116151</v>
          </cell>
          <cell r="BM92">
            <v>-0.84533438799724336</v>
          </cell>
          <cell r="BN92">
            <v>-0.59675178972112497</v>
          </cell>
          <cell r="BO92">
            <v>-1.2250701125350567</v>
          </cell>
          <cell r="BP92">
            <v>-0.34949428260645932</v>
          </cell>
          <cell r="BQ92">
            <v>1.0652660634872011</v>
          </cell>
          <cell r="BR92">
            <v>0.46679864719953201</v>
          </cell>
          <cell r="BS92">
            <v>-0.63659247482777137</v>
          </cell>
          <cell r="BT92">
            <v>0.56175078864353378</v>
          </cell>
          <cell r="BU92">
            <v>0.52433758995049673</v>
          </cell>
          <cell r="BV92">
            <v>-0.60966319165998439</v>
          </cell>
          <cell r="BW92">
            <v>1.2099876279383621</v>
          </cell>
          <cell r="BX92">
            <v>1.909314619030289</v>
          </cell>
          <cell r="BY92">
            <v>1.0276220774629996</v>
          </cell>
          <cell r="BZ92">
            <v>-0.10528671145481749</v>
          </cell>
          <cell r="CA92">
            <v>1.6169225208772842E-2</v>
          </cell>
          <cell r="CB92">
            <v>0.16323985953483633</v>
          </cell>
          <cell r="CC92">
            <v>0.24933429403840601</v>
          </cell>
          <cell r="CD92">
            <v>-0.17226608223544759</v>
          </cell>
          <cell r="CE92">
            <v>5.0670668106215233E-2</v>
          </cell>
          <cell r="CF92">
            <v>0.16273236114491629</v>
          </cell>
          <cell r="CG92">
            <v>0.2104434187211528</v>
          </cell>
          <cell r="CH92">
            <v>0.25273319959879581</v>
          </cell>
          <cell r="CI92">
            <v>9.8838608737510159E-2</v>
          </cell>
          <cell r="CJ92">
            <v>0.18390344154939564</v>
          </cell>
          <cell r="CK92">
            <v>-0.28200669757856534</v>
          </cell>
          <cell r="CL92">
            <v>-0.18457340104458586</v>
          </cell>
          <cell r="CM92">
            <v>-3.8631677975938916E-2</v>
          </cell>
          <cell r="CN92">
            <v>0.64019851586179732</v>
          </cell>
          <cell r="CO92">
            <v>-3.078734830065577E-2</v>
          </cell>
          <cell r="CP92">
            <v>0.58470679633760381</v>
          </cell>
          <cell r="CQ92">
            <v>0.44418125737986802</v>
          </cell>
          <cell r="CR92">
            <v>5.5341049656565833E-2</v>
          </cell>
          <cell r="CS92">
            <v>-0.42276678074485963</v>
          </cell>
          <cell r="CT92">
            <v>0.11864895513872464</v>
          </cell>
          <cell r="CU92">
            <v>0.11258168637271249</v>
          </cell>
          <cell r="CV92">
            <v>0.30568934359350886</v>
          </cell>
          <cell r="CW92">
            <v>0.45416868869123705</v>
          </cell>
          <cell r="CX92">
            <v>0.58513596899989384</v>
          </cell>
          <cell r="CY92">
            <v>0.32170600204506306</v>
          </cell>
          <cell r="CZ92">
            <v>0.30221796311474636</v>
          </cell>
          <cell r="DA92">
            <v>0.11262081820809144</v>
          </cell>
          <cell r="DB92">
            <v>0.14977716431621979</v>
          </cell>
          <cell r="DC92">
            <v>0.22832494728682251</v>
          </cell>
          <cell r="DD92">
            <v>0.19470817887647973</v>
          </cell>
          <cell r="DE92">
            <v>0.13565788742599394</v>
          </cell>
          <cell r="DF92">
            <v>0.12605117690986889</v>
          </cell>
          <cell r="DG92">
            <v>0.15266188478985909</v>
          </cell>
          <cell r="DH92">
            <v>0.14341666720614854</v>
          </cell>
          <cell r="DI92">
            <v>0.13867686075568519</v>
          </cell>
        </row>
        <row r="93">
          <cell r="B93" t="str">
            <v>Operating net income</v>
          </cell>
          <cell r="D93">
            <v>-0.96973804248664153</v>
          </cell>
          <cell r="E93">
            <v>1.5820413436692609</v>
          </cell>
          <cell r="F93">
            <v>0.82478525560837102</v>
          </cell>
          <cell r="G93">
            <v>0.47365294090763799</v>
          </cell>
          <cell r="H93">
            <v>0.52228252442239009</v>
          </cell>
          <cell r="I93">
            <v>0.29020494642057026</v>
          </cell>
          <cell r="J93">
            <v>0.32772260030632538</v>
          </cell>
          <cell r="K93">
            <v>0.28822871821706397</v>
          </cell>
          <cell r="L93">
            <v>0.26330754602019746</v>
          </cell>
          <cell r="M93" t="str">
            <v>NA</v>
          </cell>
          <cell r="N93" t="str">
            <v>NA</v>
          </cell>
          <cell r="O93" t="str">
            <v>NA</v>
          </cell>
          <cell r="P93" t="str">
            <v>NA</v>
          </cell>
          <cell r="Q93">
            <v>9.5005992224723723E-2</v>
          </cell>
          <cell r="R93">
            <v>0.10780164755289978</v>
          </cell>
          <cell r="S93">
            <v>5.8272370930891215E-2</v>
          </cell>
          <cell r="T93">
            <v>0.13071187140387486</v>
          </cell>
          <cell r="U93">
            <v>0.20474310738296353</v>
          </cell>
          <cell r="V93">
            <v>0.11893623410857823</v>
          </cell>
          <cell r="W93">
            <v>0.17164353201913118</v>
          </cell>
          <cell r="X93">
            <v>0.16986659695976547</v>
          </cell>
          <cell r="Y93">
            <v>0.23537868242703497</v>
          </cell>
          <cell r="Z93">
            <v>0.32911813643926813</v>
          </cell>
          <cell r="AA93">
            <v>0.22445713754470353</v>
          </cell>
          <cell r="AB93">
            <v>0.25606053063865786</v>
          </cell>
          <cell r="AC93">
            <v>0.17223872249478234</v>
          </cell>
          <cell r="AD93">
            <v>0.23048505670693498</v>
          </cell>
          <cell r="AE93">
            <v>0.15785216285967296</v>
          </cell>
          <cell r="AF93">
            <v>0.20036402220726002</v>
          </cell>
          <cell r="AG93">
            <v>0.1821028018864177</v>
          </cell>
          <cell r="AH93">
            <v>0.12752036512796705</v>
          </cell>
          <cell r="AI93">
            <v>0.13968115767983624</v>
          </cell>
          <cell r="AJ93">
            <v>0.21384175981968712</v>
          </cell>
          <cell r="AK93">
            <v>0.16304330096593134</v>
          </cell>
          <cell r="AL93">
            <v>0.19537012203298887</v>
          </cell>
          <cell r="AM93">
            <v>0.15897008902837451</v>
          </cell>
          <cell r="AN93">
            <v>0.17599873552772038</v>
          </cell>
          <cell r="AO93">
            <v>1.4474536988761777E-2</v>
          </cell>
          <cell r="AP93">
            <v>0.13426778734689693</v>
          </cell>
          <cell r="AQ93">
            <v>0.10434575310961924</v>
          </cell>
          <cell r="AR93">
            <v>0.10265819287095979</v>
          </cell>
          <cell r="AS93">
            <v>8.4383365254303566E-2</v>
          </cell>
          <cell r="AT93">
            <v>4.2820478184520505E-2</v>
          </cell>
          <cell r="AU93">
            <v>8.4383526248927865E-2</v>
          </cell>
          <cell r="AW93">
            <v>0.15897008902837451</v>
          </cell>
          <cell r="AX93">
            <v>0.17599873552772038</v>
          </cell>
          <cell r="AY93">
            <v>1.4474536988761777E-2</v>
          </cell>
          <cell r="AZ93">
            <v>0.10434575310961924</v>
          </cell>
          <cell r="BA93">
            <v>0.10265819287095979</v>
          </cell>
          <cell r="BB93">
            <v>0.10265819287095979</v>
          </cell>
          <cell r="BC93">
            <v>8.4383365254303566E-2</v>
          </cell>
          <cell r="BD93">
            <v>4.2820478184520505E-2</v>
          </cell>
          <cell r="BE93">
            <v>-7.5486644555819993E-2</v>
          </cell>
          <cell r="BF93">
            <v>4.2242364130450794E-2</v>
          </cell>
          <cell r="BG93">
            <v>-0.10224231428485464</v>
          </cell>
          <cell r="BH93">
            <v>-0.20318745674829897</v>
          </cell>
          <cell r="BI93">
            <v>-0.14728756476683791</v>
          </cell>
          <cell r="BJ93">
            <v>-1.7049181392572925</v>
          </cell>
          <cell r="BK93">
            <v>-0.4771469026387325</v>
          </cell>
          <cell r="BL93">
            <v>-0.26621462169830479</v>
          </cell>
          <cell r="BM93">
            <v>-0.85105130981080401</v>
          </cell>
          <cell r="BN93">
            <v>-0.69478480754914285</v>
          </cell>
          <cell r="BO93">
            <v>-1.3754040377654513</v>
          </cell>
          <cell r="BP93">
            <v>-0.35672974397716195</v>
          </cell>
          <cell r="BQ93">
            <v>-0.43587965901342229</v>
          </cell>
          <cell r="BR93">
            <v>1.1616711955783954</v>
          </cell>
          <cell r="BS93">
            <v>-0.17072020136660759</v>
          </cell>
          <cell r="BT93">
            <v>-0.14480385463696777</v>
          </cell>
          <cell r="BU93">
            <v>-0.18459102159312324</v>
          </cell>
          <cell r="BV93">
            <v>5.3946161730593634E-3</v>
          </cell>
          <cell r="BW93">
            <v>0.26289303112041451</v>
          </cell>
          <cell r="BX93">
            <v>0.51674468851279576</v>
          </cell>
          <cell r="BY93">
            <v>0.88189597620924864</v>
          </cell>
          <cell r="BZ93">
            <v>0.31425956318646087</v>
          </cell>
          <cell r="CA93">
            <v>0.23968449857809704</v>
          </cell>
          <cell r="CB93">
            <v>0.26248109914408935</v>
          </cell>
          <cell r="CC93">
            <v>0.40801497022055533</v>
          </cell>
          <cell r="CD93">
            <v>0.3346572771113554</v>
          </cell>
          <cell r="CE93">
            <v>0.30303608442908692</v>
          </cell>
          <cell r="CF93">
            <v>0.21372251080898241</v>
          </cell>
          <cell r="CG93">
            <v>0.2812778577709607</v>
          </cell>
          <cell r="CH93">
            <v>0.22757447487814941</v>
          </cell>
          <cell r="CI93">
            <v>0.57163022692846632</v>
          </cell>
          <cell r="CJ93">
            <v>0.32418079109573239</v>
          </cell>
          <cell r="CK93">
            <v>9.7948445299165687E-2</v>
          </cell>
          <cell r="CL93">
            <v>5.6498356987074949E-2</v>
          </cell>
          <cell r="CM93">
            <v>3.3785287624469751E-2</v>
          </cell>
          <cell r="CN93">
            <v>-0.583627656010139</v>
          </cell>
          <cell r="CO93">
            <v>-0.1304778095473017</v>
          </cell>
          <cell r="CP93">
            <v>2.9955734924921762E-2</v>
          </cell>
          <cell r="CQ93">
            <v>8.0256269152187754E-2</v>
          </cell>
          <cell r="CR93">
            <v>-3.8089880329623016E-2</v>
          </cell>
          <cell r="CS93">
            <v>9.0672095603507863E-3</v>
          </cell>
          <cell r="CT93">
            <v>2.4930404072801782E-2</v>
          </cell>
          <cell r="CU93">
            <v>0.18515379725518888</v>
          </cell>
          <cell r="CV93">
            <v>0.18217361918902641</v>
          </cell>
          <cell r="CW93">
            <v>0.30966963310449613</v>
          </cell>
          <cell r="CX93">
            <v>0.39281210194078353</v>
          </cell>
          <cell r="CY93">
            <v>0.24195176554875109</v>
          </cell>
          <cell r="CZ93">
            <v>0.19007357048032958</v>
          </cell>
          <cell r="DA93">
            <v>0.19466522807157083</v>
          </cell>
          <cell r="DB93">
            <v>0.2574695232628379</v>
          </cell>
          <cell r="DC93">
            <v>0.41881292026132222</v>
          </cell>
          <cell r="DD93">
            <v>0.2439541612947187</v>
          </cell>
          <cell r="DE93">
            <v>0.17170531278333057</v>
          </cell>
          <cell r="DF93">
            <v>0.16463179100511405</v>
          </cell>
          <cell r="DG93">
            <v>0.2006479616177812</v>
          </cell>
          <cell r="DH93">
            <v>0.20660553038866647</v>
          </cell>
          <cell r="DI93">
            <v>0.18308280567799584</v>
          </cell>
        </row>
        <row r="94">
          <cell r="B94" t="str">
            <v>Operating EPS - Fully Diluted</v>
          </cell>
          <cell r="D94">
            <v>-1</v>
          </cell>
          <cell r="E94" t="str">
            <v>NM</v>
          </cell>
          <cell r="F94">
            <v>0.46476240527839874</v>
          </cell>
          <cell r="G94">
            <v>0.38291256715028976</v>
          </cell>
          <cell r="H94">
            <v>0.44775480811117507</v>
          </cell>
          <cell r="I94">
            <v>0.27961379196004277</v>
          </cell>
          <cell r="J94">
            <v>0.29929261044924704</v>
          </cell>
          <cell r="K94">
            <v>0.27191838131285673</v>
          </cell>
          <cell r="L94">
            <v>0.24413858714915659</v>
          </cell>
          <cell r="M94" t="str">
            <v>NA</v>
          </cell>
          <cell r="N94" t="str">
            <v>NA</v>
          </cell>
          <cell r="O94" t="str">
            <v>NA</v>
          </cell>
          <cell r="P94" t="str">
            <v>NA</v>
          </cell>
          <cell r="Q94">
            <v>9.7186842919051886E-2</v>
          </cell>
          <cell r="R94">
            <v>0.16702697572176883</v>
          </cell>
          <cell r="S94">
            <v>0.10802839560395316</v>
          </cell>
          <cell r="T94">
            <v>0.17943165486494284</v>
          </cell>
          <cell r="U94">
            <v>0.206062334846423</v>
          </cell>
          <cell r="V94">
            <v>0.15418623011995769</v>
          </cell>
          <cell r="W94">
            <v>8.6165336714633112E-2</v>
          </cell>
          <cell r="X94">
            <v>8.9292090675052727E-2</v>
          </cell>
          <cell r="Y94">
            <v>0.14943197989598822</v>
          </cell>
          <cell r="Z94">
            <v>0.27516625401813566</v>
          </cell>
          <cell r="AA94">
            <v>0.14537144781234668</v>
          </cell>
          <cell r="AB94">
            <v>0.26050549642589327</v>
          </cell>
          <cell r="AC94">
            <v>0.1832073378387149</v>
          </cell>
          <cell r="AD94">
            <v>0.2469216547476103</v>
          </cell>
          <cell r="AE94">
            <v>0.19301809259842329</v>
          </cell>
          <cell r="AF94">
            <v>0.21745016952249041</v>
          </cell>
          <cell r="AG94">
            <v>0.21017863372457835</v>
          </cell>
          <cell r="AH94">
            <v>0.14361319528010896</v>
          </cell>
          <cell r="AI94">
            <v>0.15492242656631894</v>
          </cell>
          <cell r="AJ94">
            <v>0.2421656820411342</v>
          </cell>
          <cell r="AK94">
            <v>0.18466480517367767</v>
          </cell>
          <cell r="AL94">
            <v>0.24928374118372121</v>
          </cell>
          <cell r="AM94">
            <v>0.2050638650998291</v>
          </cell>
          <cell r="AN94">
            <v>0.22474013721752062</v>
          </cell>
          <cell r="AO94">
            <v>3.5726708322424194E-2</v>
          </cell>
          <cell r="AP94">
            <v>0.17589305218037543</v>
          </cell>
          <cell r="AQ94">
            <v>9.8872661645459603E-2</v>
          </cell>
          <cell r="AR94">
            <v>9.5015858235692363E-2</v>
          </cell>
          <cell r="AS94">
            <v>6.9163737085734089E-2</v>
          </cell>
          <cell r="AT94">
            <v>2.9573888180327579E-2</v>
          </cell>
          <cell r="AU94">
            <v>7.5019472760096795E-2</v>
          </cell>
          <cell r="AW94">
            <v>0.2050638650998291</v>
          </cell>
          <cell r="AX94">
            <v>0.22474013721752062</v>
          </cell>
          <cell r="AY94">
            <v>3.5726708322424194E-2</v>
          </cell>
          <cell r="AZ94">
            <v>9.8872661645459603E-2</v>
          </cell>
          <cell r="BA94">
            <v>9.5015858235692363E-2</v>
          </cell>
          <cell r="BB94">
            <v>9.5015858235692363E-2</v>
          </cell>
          <cell r="BC94">
            <v>6.9163737085734089E-2</v>
          </cell>
          <cell r="BD94">
            <v>2.9573888180327579E-2</v>
          </cell>
          <cell r="BE94">
            <v>-6.5353521471755771E-2</v>
          </cell>
          <cell r="BF94">
            <v>3.6268424887926809E-2</v>
          </cell>
          <cell r="BG94">
            <v>-8.2075774865371987E-2</v>
          </cell>
          <cell r="BH94">
            <v>-0.17998262769404039</v>
          </cell>
          <cell r="BI94">
            <v>-0.12404866190069486</v>
          </cell>
          <cell r="BJ94">
            <v>-1.7164482072190101</v>
          </cell>
          <cell r="BK94">
            <v>-0.46562977695717678</v>
          </cell>
          <cell r="BL94">
            <v>-0.26915696895990748</v>
          </cell>
          <cell r="BM94">
            <v>-0.85300253680733418</v>
          </cell>
          <cell r="BN94">
            <v>-0.69714672443675785</v>
          </cell>
          <cell r="BO94">
            <v>-1.37023857613274</v>
          </cell>
          <cell r="BP94">
            <v>-0.36139840607787466</v>
          </cell>
          <cell r="BQ94">
            <v>-0.43433820748389795</v>
          </cell>
          <cell r="BR94">
            <v>1.170607137504474</v>
          </cell>
          <cell r="BS94">
            <v>-0.16959554748639161</v>
          </cell>
          <cell r="BT94">
            <v>-0.14567176852044594</v>
          </cell>
          <cell r="BU94">
            <v>-0.1830979830951962</v>
          </cell>
          <cell r="BV94">
            <v>-7.3461385755990705E-4</v>
          </cell>
          <cell r="BW94">
            <v>0.26219460218903068</v>
          </cell>
          <cell r="BX94">
            <v>0.50014416748699064</v>
          </cell>
          <cell r="BY94">
            <v>0.84560559664788171</v>
          </cell>
          <cell r="BZ94">
            <v>0.30205171414732668</v>
          </cell>
          <cell r="CA94">
            <v>0.21667362997838113</v>
          </cell>
          <cell r="CB94">
            <v>0.23592455757975594</v>
          </cell>
          <cell r="CC94">
            <v>0.38861473526596813</v>
          </cell>
          <cell r="CD94">
            <v>0.31772894138459695</v>
          </cell>
          <cell r="CE94">
            <v>0.28154765951840854</v>
          </cell>
          <cell r="CF94">
            <v>0.19525790557689149</v>
          </cell>
          <cell r="CG94">
            <v>0.26101214690912222</v>
          </cell>
          <cell r="CH94">
            <v>0.20759638885059406</v>
          </cell>
          <cell r="CI94">
            <v>0.54916363435192062</v>
          </cell>
          <cell r="CJ94">
            <v>0.30377059692862196</v>
          </cell>
          <cell r="CK94">
            <v>8.9480855147737959E-2</v>
          </cell>
          <cell r="CL94">
            <v>5.3217818793094951E-2</v>
          </cell>
          <cell r="CM94">
            <v>2.7102302791081945E-2</v>
          </cell>
          <cell r="CN94">
            <v>-0.58784607670409028</v>
          </cell>
          <cell r="CO94">
            <v>-0.13641830770517061</v>
          </cell>
          <cell r="CP94">
            <v>1.8194868312291224E-2</v>
          </cell>
          <cell r="CQ94">
            <v>6.9303444341534126E-2</v>
          </cell>
          <cell r="CR94">
            <v>-4.5038709909092978E-2</v>
          </cell>
          <cell r="CS94">
            <v>9.0672095603507863E-3</v>
          </cell>
          <cell r="CT94">
            <v>1.7555543759857573E-2</v>
          </cell>
          <cell r="CU94">
            <v>0.18515379725518866</v>
          </cell>
          <cell r="CV94">
            <v>0.18217361918902641</v>
          </cell>
          <cell r="CW94">
            <v>0.30966963310449613</v>
          </cell>
          <cell r="CX94">
            <v>0.39281210194078353</v>
          </cell>
          <cell r="CY94">
            <v>0.24195176554875109</v>
          </cell>
          <cell r="CZ94">
            <v>0.19007357048032958</v>
          </cell>
          <cell r="DA94">
            <v>0.19466522807157083</v>
          </cell>
          <cell r="DB94">
            <v>0.2574695232628379</v>
          </cell>
          <cell r="DC94">
            <v>0.418812920261322</v>
          </cell>
          <cell r="DD94">
            <v>0.24395416129471892</v>
          </cell>
          <cell r="DE94">
            <v>0.17170531278333079</v>
          </cell>
          <cell r="DF94">
            <v>0.16463179100511405</v>
          </cell>
          <cell r="DG94">
            <v>0.2006479616177812</v>
          </cell>
          <cell r="DH94">
            <v>0.20660553038866647</v>
          </cell>
          <cell r="DI94">
            <v>0.18308280567799584</v>
          </cell>
        </row>
        <row r="95">
          <cell r="B95" t="str">
            <v>Reported EPS - Fully Diluted</v>
          </cell>
          <cell r="D95">
            <v>-1</v>
          </cell>
          <cell r="E95" t="str">
            <v>NM</v>
          </cell>
          <cell r="F95">
            <v>0.51811534330713993</v>
          </cell>
          <cell r="G95">
            <v>0.33431122152815451</v>
          </cell>
          <cell r="H95">
            <v>0.37254446787804363</v>
          </cell>
          <cell r="I95">
            <v>0.34973187622809565</v>
          </cell>
          <cell r="J95">
            <v>0.29929261044924704</v>
          </cell>
          <cell r="K95">
            <v>0.27191838131285673</v>
          </cell>
          <cell r="L95">
            <v>0.24413858714915659</v>
          </cell>
          <cell r="M95" t="str">
            <v>NA</v>
          </cell>
          <cell r="N95" t="str">
            <v>NA</v>
          </cell>
          <cell r="O95" t="str">
            <v>NA</v>
          </cell>
          <cell r="P95" t="str">
            <v>NA</v>
          </cell>
          <cell r="Q95">
            <v>9.7186842919051886E-2</v>
          </cell>
          <cell r="R95">
            <v>0.16702697572176883</v>
          </cell>
          <cell r="S95">
            <v>0.10802839560395316</v>
          </cell>
          <cell r="T95">
            <v>0.17943165486494284</v>
          </cell>
          <cell r="U95">
            <v>0.206062334846423</v>
          </cell>
          <cell r="V95">
            <v>0.15418623011995769</v>
          </cell>
          <cell r="W95">
            <v>8.6165336714633112E-2</v>
          </cell>
          <cell r="X95">
            <v>-0.10109464187494877</v>
          </cell>
          <cell r="Y95">
            <v>0.14943197989598822</v>
          </cell>
          <cell r="Z95">
            <v>0.27516625401813566</v>
          </cell>
          <cell r="AA95">
            <v>8.7779282387611124E-2</v>
          </cell>
          <cell r="AB95">
            <v>0.26050549642589327</v>
          </cell>
          <cell r="AC95">
            <v>0.43380877985277011</v>
          </cell>
          <cell r="AD95">
            <v>0.2469216547476103</v>
          </cell>
          <cell r="AE95">
            <v>0.19301809259842329</v>
          </cell>
          <cell r="AF95">
            <v>0.2819077232696181</v>
          </cell>
          <cell r="AG95">
            <v>0.21017863372457835</v>
          </cell>
          <cell r="AH95">
            <v>0.14361319528010896</v>
          </cell>
          <cell r="AI95">
            <v>0.15492242656631894</v>
          </cell>
          <cell r="AJ95">
            <v>0.1878356092316309</v>
          </cell>
          <cell r="AK95">
            <v>0.17147243556978653</v>
          </cell>
          <cell r="AL95">
            <v>0.24928374118372121</v>
          </cell>
          <cell r="AM95">
            <v>0.2050638650998291</v>
          </cell>
          <cell r="AN95">
            <v>0.22474013721752062</v>
          </cell>
          <cell r="AO95">
            <v>8.309951566762952E-2</v>
          </cell>
          <cell r="AP95">
            <v>0.18913520392717764</v>
          </cell>
          <cell r="AQ95">
            <v>9.8872661645459603E-2</v>
          </cell>
          <cell r="AR95">
            <v>9.5015858235692363E-2</v>
          </cell>
          <cell r="AS95">
            <v>-4.1764609578862077E-2</v>
          </cell>
          <cell r="AT95">
            <v>0.17079355012257502</v>
          </cell>
          <cell r="AU95">
            <v>7.6678359309917843E-2</v>
          </cell>
          <cell r="AW95">
            <v>0.2050638650998291</v>
          </cell>
          <cell r="AX95">
            <v>0.22474013721752062</v>
          </cell>
          <cell r="AY95">
            <v>8.309951566762952E-2</v>
          </cell>
          <cell r="AZ95">
            <v>9.8872661645459603E-2</v>
          </cell>
          <cell r="BA95">
            <v>9.5015858235692363E-2</v>
          </cell>
          <cell r="BB95">
            <v>9.5015858235692363E-2</v>
          </cell>
          <cell r="BC95">
            <v>-4.1764609578862077E-2</v>
          </cell>
          <cell r="BD95">
            <v>0.17079355012257502</v>
          </cell>
          <cell r="BE95">
            <v>-3.0259972100316612E-2</v>
          </cell>
          <cell r="BF95">
            <v>4.606855998996684E-2</v>
          </cell>
          <cell r="BG95">
            <v>-0.10616074219637217</v>
          </cell>
          <cell r="BH95">
            <v>-8.3157222774358441E-2</v>
          </cell>
          <cell r="BI95">
            <v>-0.12899567971715808</v>
          </cell>
          <cell r="BJ95">
            <v>-1.7562028966516459</v>
          </cell>
          <cell r="BK95">
            <v>-0.46626478180631925</v>
          </cell>
          <cell r="BL95">
            <v>-0.25724140530484441</v>
          </cell>
          <cell r="BM95">
            <v>-0.84800424982161826</v>
          </cell>
          <cell r="BN95">
            <v>-0.59376946584533608</v>
          </cell>
          <cell r="BO95">
            <v>-1.2186380864742263</v>
          </cell>
          <cell r="BP95">
            <v>-0.34878464854509938</v>
          </cell>
          <cell r="BQ95">
            <v>1.0640202714840421</v>
          </cell>
          <cell r="BR95">
            <v>4.55440000887819E-2</v>
          </cell>
          <cell r="BS95">
            <v>-0.78960150850470101</v>
          </cell>
          <cell r="BT95">
            <v>0.16647147992323696</v>
          </cell>
          <cell r="BU95">
            <v>0.39750243188536194</v>
          </cell>
          <cell r="BV95">
            <v>-0.65837438600782705</v>
          </cell>
          <cell r="BW95">
            <v>1.6276498188432513</v>
          </cell>
          <cell r="BX95">
            <v>2.9304245919313918</v>
          </cell>
          <cell r="BY95">
            <v>1.3004933332743858</v>
          </cell>
          <cell r="BZ95">
            <v>-0.18135171302228614</v>
          </cell>
          <cell r="CA95">
            <v>1.1453753341139628E-3</v>
          </cell>
          <cell r="CB95">
            <v>0.1911394195187619</v>
          </cell>
          <cell r="CC95">
            <v>0.36791974410878758</v>
          </cell>
          <cell r="CD95">
            <v>-0.18478705999501843</v>
          </cell>
          <cell r="CE95">
            <v>6.8114555980802516E-2</v>
          </cell>
          <cell r="CF95">
            <v>0.16487648476521133</v>
          </cell>
          <cell r="CG95">
            <v>0.20639810665840064</v>
          </cell>
          <cell r="CH95">
            <v>0.21883521738581968</v>
          </cell>
          <cell r="CI95">
            <v>7.9031882499299932E-2</v>
          </cell>
          <cell r="CJ95">
            <v>0.17249706724166658</v>
          </cell>
          <cell r="CK95">
            <v>-0.32642951784061591</v>
          </cell>
          <cell r="CL95">
            <v>-0.24216218644721077</v>
          </cell>
          <cell r="CM95">
            <v>-6.0630979717551714E-2</v>
          </cell>
          <cell r="CN95">
            <v>0.76177459303117567</v>
          </cell>
          <cell r="CO95">
            <v>-5.0292726446955038E-2</v>
          </cell>
          <cell r="CP95">
            <v>0.66350186803040079</v>
          </cell>
          <cell r="CQ95">
            <v>0.55123365123411006</v>
          </cell>
          <cell r="CR95">
            <v>4.3033740727435266E-2</v>
          </cell>
          <cell r="CS95">
            <v>-0.50225129030913862</v>
          </cell>
          <cell r="CT95">
            <v>0.11601251279226044</v>
          </cell>
          <cell r="CU95">
            <v>0.11577678548081738</v>
          </cell>
          <cell r="CV95">
            <v>0.33412973035103022</v>
          </cell>
          <cell r="CW95">
            <v>0.51226200848281711</v>
          </cell>
          <cell r="CX95">
            <v>0.7148350459031303</v>
          </cell>
          <cell r="CY95">
            <v>0.35647708271094691</v>
          </cell>
          <cell r="CZ95">
            <v>0.32624844153258792</v>
          </cell>
          <cell r="DA95">
            <v>0.11554351732950674</v>
          </cell>
          <cell r="DB95">
            <v>0.1559940189297897</v>
          </cell>
          <cell r="DC95">
            <v>0.24627221890344586</v>
          </cell>
          <cell r="DD95">
            <v>0.20647178007664357</v>
          </cell>
          <cell r="DE95">
            <v>0.14021389850403287</v>
          </cell>
          <cell r="DF95">
            <v>0.13070172482470954</v>
          </cell>
          <cell r="DG95">
            <v>0.16004942918592358</v>
          </cell>
          <cell r="DH95">
            <v>0.15337036741987209</v>
          </cell>
          <cell r="DI95">
            <v>0.14484127961863025</v>
          </cell>
        </row>
        <row r="96">
          <cell r="B96" t="str">
            <v>Reported EPS Continuing operations- Fully Diluted</v>
          </cell>
          <cell r="D96">
            <v>-1</v>
          </cell>
          <cell r="E96" t="str">
            <v>NM</v>
          </cell>
          <cell r="F96">
            <v>0.51811534330713993</v>
          </cell>
          <cell r="G96">
            <v>0.33431122152815451</v>
          </cell>
          <cell r="H96">
            <v>0.44775480811117507</v>
          </cell>
          <cell r="I96">
            <v>0.27961379196004277</v>
          </cell>
          <cell r="J96">
            <v>0.29929261044924704</v>
          </cell>
          <cell r="K96">
            <v>0.27191838131285673</v>
          </cell>
          <cell r="L96">
            <v>0.24413858714915659</v>
          </cell>
          <cell r="M96" t="str">
            <v>NA</v>
          </cell>
          <cell r="N96" t="str">
            <v>NA</v>
          </cell>
          <cell r="O96" t="str">
            <v>NA</v>
          </cell>
          <cell r="P96" t="str">
            <v>NA</v>
          </cell>
          <cell r="Q96">
            <v>9.7186842919051886E-2</v>
          </cell>
          <cell r="R96">
            <v>0.16702697572176883</v>
          </cell>
          <cell r="S96">
            <v>0.10802839560395316</v>
          </cell>
          <cell r="T96">
            <v>0.17943165486494284</v>
          </cell>
          <cell r="U96">
            <v>0.206062334846423</v>
          </cell>
          <cell r="V96">
            <v>0.15418623011995769</v>
          </cell>
          <cell r="W96">
            <v>8.6165336714633112E-2</v>
          </cell>
          <cell r="X96">
            <v>-0.10109464187494877</v>
          </cell>
          <cell r="Y96">
            <v>0.14943197989598822</v>
          </cell>
          <cell r="Z96">
            <v>0.27516625401813566</v>
          </cell>
          <cell r="AA96">
            <v>8.7779282387611124E-2</v>
          </cell>
          <cell r="AB96">
            <v>0.26050549642589327</v>
          </cell>
          <cell r="AC96">
            <v>0.43380877985277011</v>
          </cell>
          <cell r="AD96">
            <v>0.2469216547476103</v>
          </cell>
          <cell r="AE96">
            <v>0.19301809259842329</v>
          </cell>
          <cell r="AF96">
            <v>0.2819077232696181</v>
          </cell>
          <cell r="AG96">
            <v>0.21017863372457835</v>
          </cell>
          <cell r="AH96">
            <v>0.14361319528010896</v>
          </cell>
          <cell r="AI96">
            <v>0.15492242656631894</v>
          </cell>
          <cell r="AJ96">
            <v>0.1878356092316309</v>
          </cell>
          <cell r="AK96">
            <v>0.17147243556978653</v>
          </cell>
          <cell r="AL96">
            <v>0.24928374118372121</v>
          </cell>
          <cell r="AM96">
            <v>0.2050638650998291</v>
          </cell>
          <cell r="AN96">
            <v>0.22474013721752062</v>
          </cell>
          <cell r="AO96">
            <v>8.309951566762952E-2</v>
          </cell>
          <cell r="AP96">
            <v>0.18913520392717764</v>
          </cell>
          <cell r="AQ96">
            <v>9.8872661645459603E-2</v>
          </cell>
          <cell r="AR96">
            <v>9.5015858235692363E-2</v>
          </cell>
          <cell r="AS96">
            <v>-4.1764609578862077E-2</v>
          </cell>
          <cell r="AT96">
            <v>0.16228489545082558</v>
          </cell>
          <cell r="AU96">
            <v>7.4732826922443873E-2</v>
          </cell>
          <cell r="AW96">
            <v>0.2050638650998291</v>
          </cell>
          <cell r="AX96">
            <v>0.22474013721752062</v>
          </cell>
          <cell r="AY96">
            <v>8.309951566762952E-2</v>
          </cell>
          <cell r="AZ96">
            <v>9.8872661645459603E-2</v>
          </cell>
          <cell r="BA96">
            <v>9.5015858235692363E-2</v>
          </cell>
          <cell r="BB96">
            <v>9.5015858235692363E-2</v>
          </cell>
          <cell r="BC96">
            <v>-4.1764609578862077E-2</v>
          </cell>
          <cell r="BD96">
            <v>0.16228489545082558</v>
          </cell>
          <cell r="BE96">
            <v>-2.6049348344328482E-2</v>
          </cell>
          <cell r="BF96">
            <v>4.5141684613473121E-2</v>
          </cell>
          <cell r="BG96">
            <v>-0.11077275721720214</v>
          </cell>
          <cell r="BH96">
            <v>-8.5054834110702915E-2</v>
          </cell>
          <cell r="BI96">
            <v>-0.2527365916482156</v>
          </cell>
          <cell r="BJ96">
            <v>-1.5656011314726168</v>
          </cell>
          <cell r="BK96">
            <v>-0.45897883583358068</v>
          </cell>
          <cell r="BL96">
            <v>-0.24622588901387654</v>
          </cell>
          <cell r="BM96">
            <v>-0.83263189092985124</v>
          </cell>
          <cell r="BN96">
            <v>-0.68560726611299749</v>
          </cell>
          <cell r="BO96">
            <v>-1.4381680872827298</v>
          </cell>
          <cell r="BP96">
            <v>-0.3692725471727466</v>
          </cell>
          <cell r="BQ96">
            <v>1.4678980821478689</v>
          </cell>
          <cell r="BR96">
            <v>0.68261297534176713</v>
          </cell>
          <cell r="BS96">
            <v>-0.47925689891809153</v>
          </cell>
          <cell r="BT96">
            <v>0.54672806789633799</v>
          </cell>
          <cell r="BU96">
            <v>0.90004640120638379</v>
          </cell>
          <cell r="BV96">
            <v>-0.70772314851881091</v>
          </cell>
          <cell r="BW96">
            <v>0.48588125731878895</v>
          </cell>
          <cell r="BX96">
            <v>1.3499291718480078</v>
          </cell>
          <cell r="BY96">
            <v>3.2752119577388994E-2</v>
          </cell>
          <cell r="BZ96">
            <v>-0.39798589147200203</v>
          </cell>
          <cell r="CA96">
            <v>-3.0622304701317549E-2</v>
          </cell>
          <cell r="CB96">
            <v>0.1911394195187619</v>
          </cell>
          <cell r="CC96">
            <v>0.40242225266320553</v>
          </cell>
          <cell r="CD96">
            <v>0.33325153501775917</v>
          </cell>
          <cell r="CE96">
            <v>0.18431837803395679</v>
          </cell>
          <cell r="CF96">
            <v>0.17742234129373236</v>
          </cell>
          <cell r="CG96">
            <v>0.24568403377037629</v>
          </cell>
          <cell r="CH96">
            <v>0.21172757513295237</v>
          </cell>
          <cell r="CI96">
            <v>-0.23449154131157635</v>
          </cell>
          <cell r="CJ96">
            <v>9.7247771166301789E-2</v>
          </cell>
          <cell r="CK96">
            <v>-0.30894178856082366</v>
          </cell>
          <cell r="CL96">
            <v>-0.20606300687730039</v>
          </cell>
          <cell r="CM96">
            <v>-2.3376596482061363E-2</v>
          </cell>
          <cell r="CN96">
            <v>0.69437740447816543</v>
          </cell>
          <cell r="CO96">
            <v>-3.5056456708021599E-2</v>
          </cell>
          <cell r="CP96">
            <v>0.60412908804057341</v>
          </cell>
          <cell r="CQ96">
            <v>0.43400346085566754</v>
          </cell>
          <cell r="CR96">
            <v>9.1308117060604488E-3</v>
          </cell>
          <cell r="CS96">
            <v>-0.50225129030913862</v>
          </cell>
          <cell r="CT96">
            <v>7.9347842015569103E-2</v>
          </cell>
          <cell r="CU96">
            <v>0.11577678548081738</v>
          </cell>
          <cell r="CV96">
            <v>0.33412973035103022</v>
          </cell>
          <cell r="CW96">
            <v>0.51226200848281711</v>
          </cell>
          <cell r="CX96">
            <v>0.7148350459031303</v>
          </cell>
          <cell r="CY96">
            <v>0.35647708271094514</v>
          </cell>
          <cell r="CZ96">
            <v>0.32624844153258792</v>
          </cell>
          <cell r="DA96">
            <v>0.11554351732950674</v>
          </cell>
          <cell r="DB96">
            <v>0.1559940189297897</v>
          </cell>
          <cell r="DC96">
            <v>0.24627221890344586</v>
          </cell>
          <cell r="DD96">
            <v>0.20647178007664646</v>
          </cell>
          <cell r="DE96">
            <v>0.14021389850403287</v>
          </cell>
          <cell r="DF96">
            <v>0.13070172482470954</v>
          </cell>
          <cell r="DG96">
            <v>0.16004942918592358</v>
          </cell>
          <cell r="DH96">
            <v>0.15337036741987209</v>
          </cell>
          <cell r="DI96">
            <v>0.14484127961862847</v>
          </cell>
        </row>
        <row r="99">
          <cell r="B99" t="str">
            <v>Statutory tax rate</v>
          </cell>
          <cell r="E99">
            <v>0.39599999999999996</v>
          </cell>
          <cell r="F99">
            <v>0.38999999999999996</v>
          </cell>
          <cell r="G99">
            <v>0.38399999999999995</v>
          </cell>
          <cell r="H99">
            <v>0.38300000000000001</v>
          </cell>
          <cell r="I99">
            <v>0.38500000000000001</v>
          </cell>
          <cell r="J99">
            <v>0.38100000000000001</v>
          </cell>
          <cell r="K99">
            <v>0.372</v>
          </cell>
          <cell r="L99">
            <v>0.38599999999999995</v>
          </cell>
          <cell r="M99">
            <v>0.38799999999999996</v>
          </cell>
          <cell r="N99">
            <v>0.38799999999999996</v>
          </cell>
          <cell r="O99">
            <v>0.38799999999999996</v>
          </cell>
          <cell r="P99">
            <v>0.38799999999999996</v>
          </cell>
          <cell r="Q99">
            <v>0.38799999999999996</v>
          </cell>
          <cell r="R99">
            <v>0.38899999999999996</v>
          </cell>
          <cell r="S99">
            <v>0.38899999999999996</v>
          </cell>
          <cell r="T99">
            <v>0.38899999999999996</v>
          </cell>
          <cell r="U99">
            <v>0.38899999999999996</v>
          </cell>
          <cell r="V99">
            <v>0.38899999999999996</v>
          </cell>
          <cell r="W99">
            <v>0.38899999999999996</v>
          </cell>
          <cell r="X99">
            <v>0.38899999999999996</v>
          </cell>
          <cell r="Y99">
            <v>0.38899999999999996</v>
          </cell>
          <cell r="Z99">
            <v>0.38899999999999996</v>
          </cell>
          <cell r="AA99">
            <v>0.38899999999999996</v>
          </cell>
          <cell r="AB99">
            <v>0.38899999999999996</v>
          </cell>
          <cell r="AC99">
            <v>0.38899999999999996</v>
          </cell>
          <cell r="AD99">
            <v>0.38899999999999996</v>
          </cell>
          <cell r="AE99">
            <v>0.38899999999999996</v>
          </cell>
          <cell r="AF99">
            <v>0.38899999999999996</v>
          </cell>
          <cell r="AG99">
            <v>0.38500000000000001</v>
          </cell>
          <cell r="AH99">
            <v>0.38500000000000001</v>
          </cell>
          <cell r="AI99">
            <v>0.38500000000000001</v>
          </cell>
          <cell r="AJ99">
            <v>0.38500000000000001</v>
          </cell>
          <cell r="AK99">
            <v>0.38500000000000001</v>
          </cell>
          <cell r="AL99">
            <v>0.38300000000000001</v>
          </cell>
          <cell r="AM99">
            <v>0.38300000000000001</v>
          </cell>
          <cell r="AN99">
            <v>0.38300000000000001</v>
          </cell>
          <cell r="AO99">
            <v>0.38300000000000001</v>
          </cell>
          <cell r="AP99">
            <v>0.38300000000000001</v>
          </cell>
          <cell r="AQ99">
            <v>0.377</v>
          </cell>
          <cell r="AR99">
            <v>0.377</v>
          </cell>
          <cell r="AS99">
            <v>0.377</v>
          </cell>
          <cell r="AT99">
            <v>0.377</v>
          </cell>
          <cell r="AU99">
            <v>0.377</v>
          </cell>
          <cell r="AW99">
            <v>0.38300000000000001</v>
          </cell>
          <cell r="AX99">
            <v>0.38300000000000001</v>
          </cell>
          <cell r="AY99">
            <v>0.38300000000000001</v>
          </cell>
          <cell r="AZ99">
            <v>0.38300000000000001</v>
          </cell>
          <cell r="BA99">
            <v>0.38300000000000001</v>
          </cell>
          <cell r="BB99">
            <v>0.377</v>
          </cell>
          <cell r="BC99">
            <v>0.377</v>
          </cell>
          <cell r="BD99">
            <v>0.377</v>
          </cell>
          <cell r="BE99">
            <v>0.377</v>
          </cell>
          <cell r="BF99">
            <v>0.377</v>
          </cell>
          <cell r="BG99">
            <v>0.38899999999999996</v>
          </cell>
          <cell r="BH99">
            <v>0.38899999999999996</v>
          </cell>
          <cell r="BI99">
            <v>0.38899999999999996</v>
          </cell>
          <cell r="BJ99">
            <v>0.38899999999999996</v>
          </cell>
          <cell r="BK99">
            <v>0.38899999999999996</v>
          </cell>
          <cell r="BL99">
            <v>0.374</v>
          </cell>
          <cell r="BM99">
            <v>0.374</v>
          </cell>
          <cell r="BN99">
            <v>0.374</v>
          </cell>
          <cell r="BO99">
            <v>0.374</v>
          </cell>
          <cell r="BP99">
            <v>0.374</v>
          </cell>
          <cell r="BQ99">
            <v>0.38400000000000001</v>
          </cell>
          <cell r="BR99">
            <v>0.38400000000000001</v>
          </cell>
          <cell r="BS99">
            <v>0.38400000000000001</v>
          </cell>
          <cell r="BT99">
            <v>0.38400000000000001</v>
          </cell>
          <cell r="BU99">
            <v>0.38400000000000001</v>
          </cell>
          <cell r="BV99">
            <v>0.38500000000000001</v>
          </cell>
          <cell r="BW99">
            <v>0.38500000000000001</v>
          </cell>
          <cell r="BX99">
            <v>0.38500000000000001</v>
          </cell>
          <cell r="BY99">
            <v>0.38500000000000001</v>
          </cell>
          <cell r="BZ99">
            <v>0.38500000000000001</v>
          </cell>
          <cell r="CA99">
            <v>0.39299999999999996</v>
          </cell>
          <cell r="CB99">
            <v>0.39299999999999996</v>
          </cell>
          <cell r="CC99">
            <v>0.39299999999999996</v>
          </cell>
          <cell r="CD99">
            <v>0.39299999999999996</v>
          </cell>
          <cell r="CE99">
            <v>0.39299999999999996</v>
          </cell>
          <cell r="CF99">
            <v>0.35499999999999998</v>
          </cell>
          <cell r="CG99">
            <v>0.35499999999999998</v>
          </cell>
          <cell r="CH99">
            <v>0.35499999999999998</v>
          </cell>
          <cell r="CI99">
            <v>0.35499999999999998</v>
          </cell>
          <cell r="CJ99">
            <v>0.35499999999999998</v>
          </cell>
          <cell r="CK99">
            <v>0.38899999999999996</v>
          </cell>
          <cell r="CL99">
            <v>0.38899999999999996</v>
          </cell>
          <cell r="CM99">
            <v>0.38899999999999996</v>
          </cell>
          <cell r="CN99">
            <v>0.38899999999999996</v>
          </cell>
          <cell r="CO99">
            <v>0.38899999999999996</v>
          </cell>
          <cell r="CP99">
            <v>0.38899999999999996</v>
          </cell>
          <cell r="CQ99">
            <v>0.38899999999999996</v>
          </cell>
          <cell r="CR99">
            <v>0.38899999999999996</v>
          </cell>
          <cell r="CS99">
            <v>0.38899999999999996</v>
          </cell>
          <cell r="CT99">
            <v>0.38899999999999996</v>
          </cell>
          <cell r="CU99">
            <v>0.38899999999999996</v>
          </cell>
          <cell r="CV99">
            <v>0.38899999999999996</v>
          </cell>
          <cell r="CW99">
            <v>0.38899999999999996</v>
          </cell>
          <cell r="CX99">
            <v>0.38899999999999996</v>
          </cell>
          <cell r="CY99">
            <v>0.38899999999999996</v>
          </cell>
          <cell r="CZ99">
            <v>0.38899999999999996</v>
          </cell>
          <cell r="DA99">
            <v>0.38899999999999996</v>
          </cell>
          <cell r="DB99">
            <v>0.38899999999999996</v>
          </cell>
          <cell r="DC99">
            <v>0.38899999999999996</v>
          </cell>
          <cell r="DD99">
            <v>0.38899999999999996</v>
          </cell>
          <cell r="DE99">
            <v>0.38899999999999996</v>
          </cell>
          <cell r="DF99">
            <v>0.38899999999999996</v>
          </cell>
          <cell r="DG99">
            <v>0.38899999999999996</v>
          </cell>
          <cell r="DH99">
            <v>0.38899999999999996</v>
          </cell>
          <cell r="DI99">
            <v>0.38899999999999996</v>
          </cell>
          <cell r="DK99" t="str">
            <v>mstag:statutoryTaxRate</v>
          </cell>
          <cell r="DL99">
            <v>0</v>
          </cell>
          <cell r="DM99" t="str">
            <v>ms_eqr_gcim_Decimal:ms_eqr_gcim_decimal</v>
          </cell>
          <cell r="DN99" t="b">
            <v>0</v>
          </cell>
          <cell r="DO99" t="b">
            <v>0</v>
          </cell>
        </row>
        <row r="100">
          <cell r="B100" t="str">
            <v>Statutory tax rate</v>
          </cell>
          <cell r="E100">
            <v>0.39599999999999996</v>
          </cell>
          <cell r="F100">
            <v>0.38999999999999996</v>
          </cell>
          <cell r="G100">
            <v>0.38399999999999995</v>
          </cell>
          <cell r="H100">
            <v>0.38300000000000001</v>
          </cell>
          <cell r="I100">
            <v>0.38500000000000001</v>
          </cell>
          <cell r="J100">
            <v>0.38100000000000001</v>
          </cell>
          <cell r="K100">
            <v>0.372</v>
          </cell>
          <cell r="L100">
            <v>0.38599999999999995</v>
          </cell>
          <cell r="M100">
            <v>0.38799999999999996</v>
          </cell>
          <cell r="N100">
            <v>0.38799999999999996</v>
          </cell>
          <cell r="O100">
            <v>0.38799999999999996</v>
          </cell>
          <cell r="P100">
            <v>0.38799999999999996</v>
          </cell>
          <cell r="Q100">
            <v>0.38799999999999996</v>
          </cell>
          <cell r="R100">
            <v>0.38899999999999996</v>
          </cell>
          <cell r="S100">
            <v>0.38899999999999996</v>
          </cell>
          <cell r="T100">
            <v>0.38899999999999996</v>
          </cell>
          <cell r="U100">
            <v>0.38899999999999996</v>
          </cell>
          <cell r="V100">
            <v>0.38899999999999996</v>
          </cell>
          <cell r="W100">
            <v>0.38899999999999996</v>
          </cell>
          <cell r="X100">
            <v>0.38899999999999996</v>
          </cell>
          <cell r="Y100">
            <v>0.38899999999999996</v>
          </cell>
          <cell r="Z100">
            <v>0.38899999999999996</v>
          </cell>
          <cell r="AA100">
            <v>0.38899999999999996</v>
          </cell>
          <cell r="AB100">
            <v>0.38899999999999996</v>
          </cell>
          <cell r="AC100">
            <v>0.38899999999999996</v>
          </cell>
          <cell r="AD100">
            <v>0.38899999999999996</v>
          </cell>
          <cell r="AE100">
            <v>0.38899999999999996</v>
          </cell>
          <cell r="AF100">
            <v>0.38899999999999996</v>
          </cell>
          <cell r="AG100">
            <v>0.38500000000000001</v>
          </cell>
          <cell r="AH100">
            <v>0.38500000000000001</v>
          </cell>
          <cell r="AI100">
            <v>0.38500000000000001</v>
          </cell>
          <cell r="AJ100">
            <v>0.38500000000000001</v>
          </cell>
          <cell r="AK100">
            <v>0.38500000000000001</v>
          </cell>
          <cell r="AL100">
            <v>0.38300000000000001</v>
          </cell>
          <cell r="AM100">
            <v>0.38300000000000001</v>
          </cell>
          <cell r="AN100">
            <v>0.38300000000000001</v>
          </cell>
          <cell r="AO100">
            <v>0.38300000000000001</v>
          </cell>
          <cell r="AP100">
            <v>0.38300000000000001</v>
          </cell>
          <cell r="AQ100">
            <v>0.377</v>
          </cell>
          <cell r="AR100">
            <v>0.377</v>
          </cell>
          <cell r="AS100">
            <v>0.377</v>
          </cell>
          <cell r="AT100">
            <v>0.377</v>
          </cell>
          <cell r="AU100">
            <v>0.377</v>
          </cell>
          <cell r="AW100">
            <v>0.38300000000000001</v>
          </cell>
          <cell r="AX100">
            <v>0.38300000000000001</v>
          </cell>
          <cell r="AY100">
            <v>0.38300000000000001</v>
          </cell>
          <cell r="AZ100">
            <v>0.38300000000000001</v>
          </cell>
          <cell r="BA100">
            <v>0.38300000000000001</v>
          </cell>
          <cell r="BB100">
            <v>0.377</v>
          </cell>
          <cell r="BC100">
            <v>0.377</v>
          </cell>
          <cell r="BD100">
            <v>0.377</v>
          </cell>
          <cell r="BE100">
            <v>0.377</v>
          </cell>
          <cell r="BF100">
            <v>0.377</v>
          </cell>
          <cell r="BG100">
            <v>0.38899999999999996</v>
          </cell>
          <cell r="BH100">
            <v>0.38899999999999996</v>
          </cell>
          <cell r="BI100">
            <v>0.38899999999999996</v>
          </cell>
          <cell r="BJ100">
            <v>0.38899999999999996</v>
          </cell>
          <cell r="BK100">
            <v>0.38899999999999996</v>
          </cell>
          <cell r="BL100">
            <v>0.374</v>
          </cell>
          <cell r="BM100">
            <v>0.374</v>
          </cell>
          <cell r="BN100">
            <v>0.374</v>
          </cell>
          <cell r="BO100">
            <v>0.374</v>
          </cell>
          <cell r="BP100">
            <v>0.374</v>
          </cell>
          <cell r="BQ100">
            <v>0.38400000000000001</v>
          </cell>
          <cell r="BR100">
            <v>0.38400000000000001</v>
          </cell>
          <cell r="BS100">
            <v>0.38400000000000001</v>
          </cell>
          <cell r="BT100">
            <v>0.38400000000000001</v>
          </cell>
          <cell r="BU100">
            <v>0.38400000000000001</v>
          </cell>
          <cell r="BV100">
            <v>0.38500000000000001</v>
          </cell>
          <cell r="BW100">
            <v>0.38500000000000001</v>
          </cell>
          <cell r="BX100">
            <v>0.38500000000000001</v>
          </cell>
          <cell r="BY100">
            <v>0.38500000000000001</v>
          </cell>
          <cell r="BZ100">
            <v>0.38500000000000001</v>
          </cell>
          <cell r="CA100">
            <v>0.39299999999999996</v>
          </cell>
          <cell r="CB100">
            <v>0.39299999999999996</v>
          </cell>
          <cell r="CC100">
            <v>0.39299999999999996</v>
          </cell>
          <cell r="CD100">
            <v>0.39299999999999996</v>
          </cell>
          <cell r="CE100">
            <v>0.39299999999999996</v>
          </cell>
          <cell r="CF100">
            <v>0.35499999999999998</v>
          </cell>
          <cell r="CG100">
            <v>0.35499999999999998</v>
          </cell>
          <cell r="CH100">
            <v>0.35499999999999998</v>
          </cell>
          <cell r="CI100">
            <v>0.35499999999999998</v>
          </cell>
          <cell r="CJ100">
            <v>0.35499999999999998</v>
          </cell>
          <cell r="CK100">
            <v>0.38899999999999996</v>
          </cell>
          <cell r="CL100">
            <v>0.38899999999999996</v>
          </cell>
          <cell r="CM100">
            <v>0.38899999999999996</v>
          </cell>
          <cell r="CN100">
            <v>0.38899999999999996</v>
          </cell>
          <cell r="CO100">
            <v>0.38899999999999996</v>
          </cell>
          <cell r="CP100">
            <v>0.38899999999999996</v>
          </cell>
          <cell r="CQ100">
            <v>0.38899999999999996</v>
          </cell>
          <cell r="CR100">
            <v>0.38899999999999996</v>
          </cell>
          <cell r="CS100">
            <v>0.38899999999999996</v>
          </cell>
          <cell r="CT100">
            <v>0.38899999999999996</v>
          </cell>
          <cell r="CU100">
            <v>0.38899999999999996</v>
          </cell>
          <cell r="CV100">
            <v>0.38899999999999996</v>
          </cell>
          <cell r="CW100">
            <v>0.38899999999999996</v>
          </cell>
          <cell r="CX100">
            <v>0.38899999999999996</v>
          </cell>
          <cell r="CY100">
            <v>0.38899999999999996</v>
          </cell>
          <cell r="CZ100">
            <v>0.38899999999999996</v>
          </cell>
          <cell r="DA100">
            <v>0.38899999999999996</v>
          </cell>
          <cell r="DB100">
            <v>0.38899999999999996</v>
          </cell>
          <cell r="DC100">
            <v>0.38899999999999996</v>
          </cell>
          <cell r="DD100">
            <v>0.38899999999999996</v>
          </cell>
          <cell r="DE100">
            <v>0.38899999999999996</v>
          </cell>
          <cell r="DF100">
            <v>0.38899999999999996</v>
          </cell>
          <cell r="DG100">
            <v>0.38899999999999996</v>
          </cell>
          <cell r="DH100">
            <v>0.38899999999999996</v>
          </cell>
          <cell r="DI100">
            <v>0.38899999999999996</v>
          </cell>
          <cell r="DK100" t="str">
            <v>mstag:statutoryTaxRate</v>
          </cell>
          <cell r="DL100">
            <v>0</v>
          </cell>
          <cell r="DM100" t="str">
            <v>ms_eqr_gcim_Decimal:ms_eqr_gcim_decimal</v>
          </cell>
          <cell r="DN100" t="b">
            <v>0</v>
          </cell>
          <cell r="DO100" t="b">
            <v>0</v>
          </cell>
        </row>
        <row r="101">
          <cell r="B101" t="str">
            <v>Unrecorded Goodwill from Poolings</v>
          </cell>
          <cell r="AW101" t="str">
            <v>ND</v>
          </cell>
          <cell r="AX101" t="str">
            <v>ND</v>
          </cell>
          <cell r="AY101" t="str">
            <v>ND</v>
          </cell>
          <cell r="AZ101" t="str">
            <v>ND</v>
          </cell>
          <cell r="BA101" t="str">
            <v>ND</v>
          </cell>
          <cell r="BB101" t="str">
            <v>ND</v>
          </cell>
          <cell r="BC101" t="str">
            <v>ND</v>
          </cell>
          <cell r="BD101" t="str">
            <v>ND</v>
          </cell>
          <cell r="BE101" t="str">
            <v>ND</v>
          </cell>
          <cell r="BF101" t="str">
            <v>ND</v>
          </cell>
          <cell r="BG101" t="str">
            <v>ND</v>
          </cell>
          <cell r="BH101" t="str">
            <v>ND</v>
          </cell>
          <cell r="BI101" t="str">
            <v>ND</v>
          </cell>
          <cell r="BJ101" t="str">
            <v>ND</v>
          </cell>
          <cell r="BK101" t="str">
            <v>ND</v>
          </cell>
          <cell r="BL101" t="str">
            <v>ND</v>
          </cell>
          <cell r="BM101" t="str">
            <v>ND</v>
          </cell>
          <cell r="BN101" t="str">
            <v>ND</v>
          </cell>
          <cell r="BO101" t="str">
            <v>ND</v>
          </cell>
          <cell r="BP101" t="str">
            <v>ND</v>
          </cell>
          <cell r="BQ101" t="str">
            <v>ND</v>
          </cell>
          <cell r="BR101" t="str">
            <v>ND</v>
          </cell>
          <cell r="BS101" t="str">
            <v>ND</v>
          </cell>
          <cell r="BT101" t="str">
            <v>ND</v>
          </cell>
          <cell r="BU101" t="str">
            <v>ND</v>
          </cell>
          <cell r="BV101" t="str">
            <v>ND</v>
          </cell>
          <cell r="BW101" t="str">
            <v>ND</v>
          </cell>
          <cell r="BX101" t="str">
            <v>ND</v>
          </cell>
          <cell r="BY101" t="str">
            <v>ND</v>
          </cell>
          <cell r="BZ101" t="str">
            <v>ND</v>
          </cell>
          <cell r="CA101" t="str">
            <v>ND</v>
          </cell>
          <cell r="CB101" t="str">
            <v>ND</v>
          </cell>
          <cell r="CC101" t="str">
            <v>ND</v>
          </cell>
          <cell r="CD101" t="str">
            <v>ND</v>
          </cell>
          <cell r="CE101" t="str">
            <v>ND</v>
          </cell>
          <cell r="CF101" t="str">
            <v>ND</v>
          </cell>
          <cell r="CG101" t="str">
            <v>ND</v>
          </cell>
          <cell r="CH101" t="str">
            <v>ND</v>
          </cell>
          <cell r="CI101" t="str">
            <v>ND</v>
          </cell>
          <cell r="CJ101" t="str">
            <v>ND</v>
          </cell>
          <cell r="CK101" t="str">
            <v>ND</v>
          </cell>
          <cell r="CL101" t="str">
            <v>ND</v>
          </cell>
          <cell r="CM101" t="str">
            <v>ND</v>
          </cell>
          <cell r="CN101" t="str">
            <v>ND</v>
          </cell>
          <cell r="CO101" t="str">
            <v>ND</v>
          </cell>
          <cell r="CP101" t="str">
            <v>ND</v>
          </cell>
          <cell r="CQ101" t="str">
            <v>ND</v>
          </cell>
          <cell r="CR101" t="str">
            <v>ND</v>
          </cell>
          <cell r="CS101" t="str">
            <v>ND</v>
          </cell>
          <cell r="CT101" t="str">
            <v>ND</v>
          </cell>
          <cell r="CU101" t="str">
            <v>ND</v>
          </cell>
          <cell r="CV101" t="str">
            <v>ND</v>
          </cell>
          <cell r="CW101" t="str">
            <v>ND</v>
          </cell>
          <cell r="CX101" t="str">
            <v>ND</v>
          </cell>
          <cell r="CY101" t="str">
            <v>ND</v>
          </cell>
          <cell r="CZ101" t="str">
            <v>ND</v>
          </cell>
          <cell r="DA101" t="str">
            <v>ND</v>
          </cell>
          <cell r="DB101" t="str">
            <v>ND</v>
          </cell>
          <cell r="DC101" t="str">
            <v>ND</v>
          </cell>
          <cell r="DD101" t="str">
            <v>ND</v>
          </cell>
          <cell r="DE101" t="str">
            <v>ND</v>
          </cell>
          <cell r="DF101" t="str">
            <v>ND</v>
          </cell>
          <cell r="DG101" t="str">
            <v>ND</v>
          </cell>
          <cell r="DH101" t="str">
            <v>ND</v>
          </cell>
          <cell r="DI101" t="str">
            <v>ND</v>
          </cell>
          <cell r="DK101" t="str">
            <v>mstag:unrecordedGoodwillFromPoolingAndAmortizedOrWrittenOffGoodwill</v>
          </cell>
          <cell r="DL101">
            <v>6</v>
          </cell>
          <cell r="DM101" t="str">
            <v>ISO4217:USD</v>
          </cell>
          <cell r="DN101" t="b">
            <v>0</v>
          </cell>
        </row>
        <row r="102">
          <cell r="AW102" t="str">
            <v>2004-Q1</v>
          </cell>
          <cell r="AX102" t="str">
            <v>2004-Q2</v>
          </cell>
          <cell r="AY102" t="str">
            <v>2004-Q3</v>
          </cell>
          <cell r="AZ102" t="str">
            <v>2004-Q4</v>
          </cell>
          <cell r="BA102" t="str">
            <v>2004-FY</v>
          </cell>
          <cell r="BB102" t="str">
            <v>2005-Q1</v>
          </cell>
          <cell r="BC102" t="str">
            <v>2005-Q2</v>
          </cell>
          <cell r="BD102" t="str">
            <v>2005-Q3</v>
          </cell>
          <cell r="BE102" t="str">
            <v>2005-Q4</v>
          </cell>
          <cell r="BF102" t="str">
            <v>2005-FY</v>
          </cell>
          <cell r="BG102" t="str">
            <v>2006-Q1</v>
          </cell>
          <cell r="BH102" t="str">
            <v>2006-Q2</v>
          </cell>
          <cell r="BI102" t="str">
            <v>2006-Q3</v>
          </cell>
          <cell r="BJ102" t="str">
            <v>2006-Q4</v>
          </cell>
          <cell r="BK102" t="str">
            <v>2006-FY</v>
          </cell>
          <cell r="BL102" t="str">
            <v>2007-Q1</v>
          </cell>
          <cell r="BM102" t="str">
            <v>2007-Q2</v>
          </cell>
          <cell r="BN102" t="str">
            <v>2007-Q3</v>
          </cell>
          <cell r="BO102" t="str">
            <v>2007-Q4</v>
          </cell>
          <cell r="BP102" t="str">
            <v>2007-FY</v>
          </cell>
          <cell r="BQ102" t="str">
            <v>2008-Q1</v>
          </cell>
          <cell r="BR102" t="str">
            <v>2008-Q2</v>
          </cell>
          <cell r="BS102" t="str">
            <v>2008-Q3</v>
          </cell>
          <cell r="BT102" t="str">
            <v>2008-Q4</v>
          </cell>
          <cell r="BU102" t="str">
            <v>2008-FY</v>
          </cell>
          <cell r="BV102" t="str">
            <v>2009-Q1</v>
          </cell>
          <cell r="BW102" t="str">
            <v>2009-Q2</v>
          </cell>
          <cell r="BX102" t="str">
            <v>2009-Q3</v>
          </cell>
          <cell r="BY102" t="str">
            <v>2009-Q4</v>
          </cell>
          <cell r="BZ102" t="str">
            <v>2009-FY</v>
          </cell>
          <cell r="CA102" t="str">
            <v>2010-Q1</v>
          </cell>
          <cell r="CB102" t="str">
            <v>2010-Q2</v>
          </cell>
          <cell r="CC102" t="str">
            <v>2010-Q3</v>
          </cell>
          <cell r="CD102" t="str">
            <v>2010-Q4</v>
          </cell>
          <cell r="CE102" t="str">
            <v>2010-FY</v>
          </cell>
          <cell r="CF102" t="str">
            <v>2011-Q1</v>
          </cell>
          <cell r="CG102" t="str">
            <v>2011-Q2</v>
          </cell>
          <cell r="CH102" t="str">
            <v>2011-Q3</v>
          </cell>
          <cell r="CI102" t="str">
            <v>2011-Q4</v>
          </cell>
          <cell r="CJ102" t="str">
            <v>2011-FY</v>
          </cell>
          <cell r="CK102" t="str">
            <v>2012-Q1</v>
          </cell>
          <cell r="CL102" t="str">
            <v>2012-Q2</v>
          </cell>
          <cell r="CM102" t="str">
            <v>2012-Q3</v>
          </cell>
          <cell r="CN102" t="str">
            <v>2012-Q4</v>
          </cell>
          <cell r="CO102" t="str">
            <v>2012-FY</v>
          </cell>
          <cell r="CP102" t="str">
            <v>2013-Q1</v>
          </cell>
          <cell r="CQ102" t="str">
            <v>2013-Q2</v>
          </cell>
          <cell r="CR102" t="str">
            <v>2013-Q3</v>
          </cell>
          <cell r="CS102" t="str">
            <v>2013-Q4</v>
          </cell>
          <cell r="CT102" t="str">
            <v>2013-FY</v>
          </cell>
          <cell r="CU102" t="str">
            <v>2014-Q1</v>
          </cell>
          <cell r="CV102" t="str">
            <v>2014-Q2</v>
          </cell>
          <cell r="CW102" t="str">
            <v>2014-Q3</v>
          </cell>
          <cell r="CX102" t="str">
            <v>2014-Q4</v>
          </cell>
          <cell r="CY102" t="str">
            <v>2014-FY</v>
          </cell>
          <cell r="CZ102" t="str">
            <v>2015-Q1</v>
          </cell>
          <cell r="DA102" t="str">
            <v>2015-Q2</v>
          </cell>
          <cell r="DB102" t="str">
            <v>2015-Q3</v>
          </cell>
          <cell r="DC102" t="str">
            <v>2015-Q4</v>
          </cell>
          <cell r="DD102" t="str">
            <v>2015-FY</v>
          </cell>
          <cell r="DE102" t="str">
            <v>2016-Q1</v>
          </cell>
          <cell r="DF102" t="str">
            <v>2016-Q2</v>
          </cell>
          <cell r="DG102" t="str">
            <v>2016-Q3</v>
          </cell>
          <cell r="DH102" t="str">
            <v>2016-Q4</v>
          </cell>
          <cell r="DI102" t="str">
            <v>2016-FY</v>
          </cell>
        </row>
        <row r="103">
          <cell r="AW103" t="str">
            <v>2004-Q1</v>
          </cell>
          <cell r="AX103" t="str">
            <v>2004-Q2</v>
          </cell>
          <cell r="AY103" t="str">
            <v>2004-Q3</v>
          </cell>
          <cell r="AZ103" t="str">
            <v>2004-Q4</v>
          </cell>
          <cell r="BA103" t="str">
            <v>2004-FY</v>
          </cell>
          <cell r="BB103" t="str">
            <v>2005-Q1</v>
          </cell>
          <cell r="BC103" t="str">
            <v>2005-Q2</v>
          </cell>
          <cell r="BD103" t="str">
            <v>2005-Q3</v>
          </cell>
          <cell r="BE103" t="str">
            <v>2005-Q4</v>
          </cell>
          <cell r="BF103" t="str">
            <v>2005-FY</v>
          </cell>
          <cell r="BG103" t="str">
            <v>2006-Q1</v>
          </cell>
          <cell r="BH103" t="str">
            <v>2006-Q2</v>
          </cell>
          <cell r="BI103" t="str">
            <v>2006-Q3</v>
          </cell>
          <cell r="BJ103" t="str">
            <v>2006-Q4</v>
          </cell>
          <cell r="BK103" t="str">
            <v>2006-FY</v>
          </cell>
          <cell r="BL103" t="str">
            <v>2007-Q1</v>
          </cell>
          <cell r="BM103" t="str">
            <v>2007-Q2</v>
          </cell>
          <cell r="BN103" t="str">
            <v>2007-Q3</v>
          </cell>
          <cell r="BO103" t="str">
            <v>2007-Q4</v>
          </cell>
          <cell r="BP103" t="str">
            <v>2007-FY</v>
          </cell>
          <cell r="BQ103" t="str">
            <v>2008-Q1</v>
          </cell>
          <cell r="BR103" t="str">
            <v>2008-Q2</v>
          </cell>
          <cell r="BS103" t="str">
            <v>2008-Q3</v>
          </cell>
          <cell r="BT103" t="str">
            <v>2008-Q4</v>
          </cell>
          <cell r="BU103" t="str">
            <v>2008-FY</v>
          </cell>
          <cell r="BV103" t="str">
            <v>2009-Q1</v>
          </cell>
          <cell r="BW103" t="str">
            <v>2009-Q2</v>
          </cell>
          <cell r="BX103" t="str">
            <v>2009-Q3</v>
          </cell>
          <cell r="BY103" t="str">
            <v>2009-Q4</v>
          </cell>
          <cell r="BZ103" t="str">
            <v>2009-FY</v>
          </cell>
          <cell r="CA103" t="str">
            <v>2010-Q1</v>
          </cell>
          <cell r="CB103" t="str">
            <v>2010-Q2</v>
          </cell>
          <cell r="CC103" t="str">
            <v>2010-Q3</v>
          </cell>
          <cell r="CD103" t="str">
            <v>2010-Q4</v>
          </cell>
          <cell r="CE103" t="str">
            <v>2010-FY</v>
          </cell>
          <cell r="CF103" t="str">
            <v>2011-Q1</v>
          </cell>
          <cell r="CG103" t="str">
            <v>2011-Q2</v>
          </cell>
          <cell r="CH103" t="str">
            <v>2011-Q3</v>
          </cell>
          <cell r="CI103" t="str">
            <v>2011-Q4</v>
          </cell>
          <cell r="CJ103" t="str">
            <v>2011-FY</v>
          </cell>
          <cell r="CK103" t="str">
            <v>2012-Q1</v>
          </cell>
          <cell r="CL103" t="str">
            <v>2012-Q2</v>
          </cell>
          <cell r="CM103" t="str">
            <v>2012-Q3</v>
          </cell>
          <cell r="CN103" t="str">
            <v>2012-Q4</v>
          </cell>
          <cell r="CO103" t="str">
            <v>2012-FY</v>
          </cell>
          <cell r="CP103" t="str">
            <v>2013-Q1</v>
          </cell>
          <cell r="CQ103" t="str">
            <v>2013-Q2</v>
          </cell>
          <cell r="CR103" t="str">
            <v>2013-Q3</v>
          </cell>
          <cell r="CS103" t="str">
            <v>2013-Q4</v>
          </cell>
          <cell r="CT103" t="str">
            <v>2013-FY</v>
          </cell>
          <cell r="CU103" t="str">
            <v>2014-Q1</v>
          </cell>
          <cell r="CV103" t="str">
            <v>2014-Q2</v>
          </cell>
          <cell r="CW103" t="str">
            <v>2014-Q3</v>
          </cell>
          <cell r="CX103" t="str">
            <v>2014-Q4</v>
          </cell>
          <cell r="CY103" t="str">
            <v>2014-FY</v>
          </cell>
          <cell r="CZ103" t="str">
            <v>2015-Q1</v>
          </cell>
          <cell r="DA103" t="str">
            <v>2015-Q2</v>
          </cell>
          <cell r="DB103" t="str">
            <v>2015-Q3</v>
          </cell>
          <cell r="DC103" t="str">
            <v>2015-Q4</v>
          </cell>
          <cell r="DD103" t="str">
            <v>2015-FY</v>
          </cell>
          <cell r="DE103" t="str">
            <v>2016-Q1</v>
          </cell>
          <cell r="DF103" t="str">
            <v>2016-Q2</v>
          </cell>
          <cell r="DG103" t="str">
            <v>2016-Q3</v>
          </cell>
          <cell r="DH103" t="str">
            <v>2016-Q4</v>
          </cell>
          <cell r="DI103" t="str">
            <v>2016-FY</v>
          </cell>
        </row>
        <row r="104">
          <cell r="B104" t="str">
            <v>Net Revenue</v>
          </cell>
          <cell r="D104">
            <v>211.79300000000001</v>
          </cell>
          <cell r="E104">
            <v>245.24700000000001</v>
          </cell>
          <cell r="F104">
            <v>301.88299999999998</v>
          </cell>
          <cell r="G104">
            <v>346.767</v>
          </cell>
          <cell r="H104">
            <v>438.36599999999999</v>
          </cell>
          <cell r="I104">
            <v>531.09400000000005</v>
          </cell>
          <cell r="J104">
            <v>714.31700000000001</v>
          </cell>
          <cell r="K104">
            <v>895.48199999999997</v>
          </cell>
          <cell r="L104">
            <v>1138.8019999999999</v>
          </cell>
          <cell r="Q104">
            <v>1355.7070000000001</v>
          </cell>
          <cell r="V104">
            <v>1577.7670000000001</v>
          </cell>
          <cell r="AA104">
            <v>1879.8009999999999</v>
          </cell>
          <cell r="AF104">
            <v>2262.6010000000001</v>
          </cell>
          <cell r="AK104">
            <v>2560.576</v>
          </cell>
          <cell r="AP104">
            <v>3205.8850000000002</v>
          </cell>
          <cell r="AU104">
            <v>3588.8220000000001</v>
          </cell>
          <cell r="BK104">
            <v>4056.5990000000002</v>
          </cell>
          <cell r="BP104">
            <v>4392.0860000000002</v>
          </cell>
          <cell r="BU104">
            <v>4451.6109999999999</v>
          </cell>
          <cell r="BZ104">
            <v>4617.143</v>
          </cell>
          <cell r="CE104">
            <v>5114.9970000000003</v>
          </cell>
          <cell r="CJ104">
            <v>5804.451</v>
          </cell>
        </row>
        <row r="105">
          <cell r="B105" t="str">
            <v>Net Revenue</v>
          </cell>
          <cell r="D105">
            <v>211.79300000000001</v>
          </cell>
          <cell r="E105">
            <v>245.24700000000001</v>
          </cell>
          <cell r="F105">
            <v>301.88299999999998</v>
          </cell>
          <cell r="G105">
            <v>346.767</v>
          </cell>
          <cell r="H105">
            <v>438.36599999999999</v>
          </cell>
          <cell r="I105">
            <v>531.09400000000005</v>
          </cell>
          <cell r="J105">
            <v>714.31700000000001</v>
          </cell>
          <cell r="K105">
            <v>895.48199999999997</v>
          </cell>
          <cell r="L105">
            <v>1138.8019999999999</v>
          </cell>
          <cell r="Q105">
            <v>1355.7070000000001</v>
          </cell>
          <cell r="V105">
            <v>1577.7670000000001</v>
          </cell>
          <cell r="AA105">
            <v>1879.8009999999999</v>
          </cell>
          <cell r="AF105">
            <v>2262.6010000000001</v>
          </cell>
          <cell r="AK105">
            <v>2560.576</v>
          </cell>
          <cell r="AP105">
            <v>3205.8850000000002</v>
          </cell>
          <cell r="AU105">
            <v>3588.8220000000001</v>
          </cell>
          <cell r="BK105">
            <v>4056.5990000000002</v>
          </cell>
          <cell r="BP105">
            <v>4392.0860000000002</v>
          </cell>
          <cell r="BU105">
            <v>4451.6109999999999</v>
          </cell>
          <cell r="BZ105">
            <v>4617.143</v>
          </cell>
          <cell r="CE105">
            <v>5114.9970000000003</v>
          </cell>
          <cell r="CJ105">
            <v>5804.451</v>
          </cell>
        </row>
        <row r="106">
          <cell r="B106" t="str">
            <v>Diluted EPS</v>
          </cell>
          <cell r="E106">
            <v>6.9647919524462698E-2</v>
          </cell>
          <cell r="F106">
            <v>0.10534979423868308</v>
          </cell>
          <cell r="G106">
            <v>0.14353909465020576</v>
          </cell>
          <cell r="H106">
            <v>0.19358024691358022</v>
          </cell>
          <cell r="I106">
            <v>0.26074074074074072</v>
          </cell>
          <cell r="J106">
            <v>0.33777777777777773</v>
          </cell>
          <cell r="K106">
            <v>0.43333333333333335</v>
          </cell>
          <cell r="L106">
            <v>0.54</v>
          </cell>
          <cell r="Q106">
            <v>0.59</v>
          </cell>
          <cell r="V106">
            <v>0.68</v>
          </cell>
          <cell r="AA106">
            <v>0.76</v>
          </cell>
          <cell r="AF106">
            <v>0.97</v>
          </cell>
          <cell r="AK106">
            <v>1.1299999999999999</v>
          </cell>
          <cell r="AP106">
            <v>1.32</v>
          </cell>
          <cell r="AU106">
            <v>1.42</v>
          </cell>
          <cell r="BK106">
            <v>0.75</v>
          </cell>
          <cell r="BP106">
            <v>0.49</v>
          </cell>
          <cell r="BU106">
            <v>0.68</v>
          </cell>
          <cell r="BZ106">
            <v>0.56000000000000005</v>
          </cell>
          <cell r="CE106">
            <v>0.6</v>
          </cell>
          <cell r="CJ106">
            <v>0.7</v>
          </cell>
        </row>
        <row r="107">
          <cell r="B107" t="str">
            <v>Check</v>
          </cell>
        </row>
        <row r="108">
          <cell r="B108" t="str">
            <v>Check</v>
          </cell>
          <cell r="D108">
            <v>0</v>
          </cell>
          <cell r="E108">
            <v>0</v>
          </cell>
          <cell r="F108">
            <v>0</v>
          </cell>
          <cell r="G108">
            <v>0</v>
          </cell>
          <cell r="H108">
            <v>0</v>
          </cell>
          <cell r="I108">
            <v>0</v>
          </cell>
          <cell r="J108">
            <v>0</v>
          </cell>
          <cell r="K108">
            <v>0</v>
          </cell>
          <cell r="L108">
            <v>0</v>
          </cell>
          <cell r="Q108">
            <v>0</v>
          </cell>
          <cell r="V108">
            <v>0</v>
          </cell>
          <cell r="AA108">
            <v>0</v>
          </cell>
          <cell r="AF108">
            <v>0</v>
          </cell>
          <cell r="AK108">
            <v>0</v>
          </cell>
          <cell r="AP108">
            <v>0</v>
          </cell>
          <cell r="AU108">
            <v>9.3369999999999891</v>
          </cell>
          <cell r="BK108">
            <v>-44.911000000000058</v>
          </cell>
          <cell r="BP108">
            <v>-17.074999999999818</v>
          </cell>
          <cell r="BU108">
            <v>0</v>
          </cell>
          <cell r="BZ108">
            <v>-47.005999999999403</v>
          </cell>
          <cell r="CE108">
            <v>-40.527000000000044</v>
          </cell>
          <cell r="CJ108">
            <v>-8.5610000000006039</v>
          </cell>
        </row>
        <row r="109">
          <cell r="B109" t="str">
            <v>Net Revenue</v>
          </cell>
          <cell r="D109">
            <v>0</v>
          </cell>
          <cell r="E109">
            <v>0</v>
          </cell>
          <cell r="F109">
            <v>0</v>
          </cell>
          <cell r="G109">
            <v>0</v>
          </cell>
          <cell r="H109">
            <v>0</v>
          </cell>
          <cell r="I109">
            <v>0</v>
          </cell>
          <cell r="J109">
            <v>0</v>
          </cell>
          <cell r="K109">
            <v>0</v>
          </cell>
          <cell r="L109">
            <v>0</v>
          </cell>
          <cell r="Q109">
            <v>0</v>
          </cell>
          <cell r="V109">
            <v>0</v>
          </cell>
          <cell r="AA109">
            <v>0</v>
          </cell>
          <cell r="AF109">
            <v>0</v>
          </cell>
          <cell r="AK109">
            <v>0</v>
          </cell>
          <cell r="AP109">
            <v>0</v>
          </cell>
          <cell r="AU109">
            <v>9.3369999999999891</v>
          </cell>
          <cell r="BK109">
            <v>-44.911000000000058</v>
          </cell>
          <cell r="BP109">
            <v>-17.074999999999818</v>
          </cell>
          <cell r="BU109">
            <v>0</v>
          </cell>
          <cell r="BZ109">
            <v>-47.005999999999403</v>
          </cell>
          <cell r="CE109">
            <v>-40.527000000000044</v>
          </cell>
          <cell r="CJ109">
            <v>-8.5610000000006039</v>
          </cell>
        </row>
        <row r="110">
          <cell r="B110" t="str">
            <v>Diluted EPS</v>
          </cell>
          <cell r="E110">
            <v>2.5157693373513423E-4</v>
          </cell>
          <cell r="F110">
            <v>-1.8582176991854826E-6</v>
          </cell>
          <cell r="G110">
            <v>2.9672025711207362E-3</v>
          </cell>
          <cell r="H110">
            <v>6.3907410128269393E-4</v>
          </cell>
          <cell r="I110">
            <v>3.2188955914913553E-4</v>
          </cell>
          <cell r="J110">
            <v>-5.825111841463726E-4</v>
          </cell>
          <cell r="K110">
            <v>2.9666622963324119E-3</v>
          </cell>
          <cell r="L110">
            <v>4.5642179399398852E-3</v>
          </cell>
          <cell r="Q110">
            <v>2.5269046956291064E-3</v>
          </cell>
          <cell r="V110">
            <v>1.946642833745571E-3</v>
          </cell>
          <cell r="AA110">
            <v>2.2427605721181187E-2</v>
          </cell>
          <cell r="AF110">
            <v>2.4500251303518183E-2</v>
          </cell>
          <cell r="AK110">
            <v>2.2373106563911227E-2</v>
          </cell>
          <cell r="AP110">
            <v>2.8818681986504391E-3</v>
          </cell>
          <cell r="AU110">
            <v>1.8874108347788354E-3</v>
          </cell>
          <cell r="BK110">
            <v>-1.0027122544594702E-3</v>
          </cell>
          <cell r="BP110">
            <v>9.3550479562853894E-4</v>
          </cell>
          <cell r="BU110">
            <v>-3.4688213968959714E-3</v>
          </cell>
          <cell r="BZ110">
            <v>4.7942016075408489E-4</v>
          </cell>
          <cell r="CE110">
            <v>2.3679243028825736E-3</v>
          </cell>
          <cell r="CJ110">
            <v>-7.2185604441987739E-4</v>
          </cell>
        </row>
      </sheetData>
      <sheetData sheetId="4" refreshError="1">
        <row r="1">
          <cell r="A1" t="str">
            <v>Health Management Associates</v>
          </cell>
        </row>
        <row r="2">
          <cell r="A2" t="str">
            <v>Andrew Schenker (212) 761-6857</v>
          </cell>
        </row>
        <row r="3">
          <cell r="A3" t="str">
            <v>Balance Sheet &amp; Cash Flow Statement</v>
          </cell>
        </row>
        <row r="4">
          <cell r="B4" t="str">
            <v>Fiscal Year ends December 31</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7">
          <cell r="B7" t="str">
            <v>Cash &amp; equivalents</v>
          </cell>
          <cell r="D7">
            <v>3.0379999999999998</v>
          </cell>
          <cell r="E7">
            <v>0.156</v>
          </cell>
          <cell r="F7">
            <v>25.248999999999999</v>
          </cell>
          <cell r="G7">
            <v>74.376000000000005</v>
          </cell>
          <cell r="H7">
            <v>109.384</v>
          </cell>
          <cell r="I7">
            <v>75.325999999999993</v>
          </cell>
          <cell r="J7">
            <v>31.172000000000001</v>
          </cell>
          <cell r="K7">
            <v>67.381</v>
          </cell>
          <cell r="L7">
            <v>12.685</v>
          </cell>
          <cell r="M7">
            <v>8.5739999999999998</v>
          </cell>
          <cell r="N7">
            <v>20.184999999999999</v>
          </cell>
          <cell r="O7">
            <v>11.722</v>
          </cell>
          <cell r="P7">
            <v>12.926</v>
          </cell>
          <cell r="Q7">
            <v>12.926</v>
          </cell>
          <cell r="R7">
            <v>24.673999999999999</v>
          </cell>
          <cell r="S7">
            <v>24.4</v>
          </cell>
          <cell r="T7">
            <v>23.34</v>
          </cell>
          <cell r="U7">
            <v>16.471</v>
          </cell>
          <cell r="V7">
            <v>16.471</v>
          </cell>
          <cell r="W7">
            <v>34.051000000000002</v>
          </cell>
          <cell r="X7">
            <v>41.548000000000002</v>
          </cell>
          <cell r="Y7">
            <v>49.649000000000001</v>
          </cell>
          <cell r="Z7">
            <v>70.263000000000005</v>
          </cell>
          <cell r="AA7">
            <v>70.263000000000005</v>
          </cell>
          <cell r="AB7">
            <v>118.16</v>
          </cell>
          <cell r="AC7">
            <v>113.015</v>
          </cell>
          <cell r="AD7">
            <v>149.62</v>
          </cell>
          <cell r="AE7">
            <v>123.736</v>
          </cell>
          <cell r="AF7">
            <v>123.736</v>
          </cell>
          <cell r="AG7">
            <v>189.30099999999999</v>
          </cell>
          <cell r="AH7">
            <v>160.66</v>
          </cell>
          <cell r="AI7">
            <v>248.274</v>
          </cell>
          <cell r="AJ7">
            <v>395.33800000000002</v>
          </cell>
          <cell r="AK7">
            <v>395.33800000000002</v>
          </cell>
          <cell r="AL7">
            <v>119.35</v>
          </cell>
          <cell r="AM7">
            <v>102.794</v>
          </cell>
          <cell r="AN7">
            <v>115.61199999999999</v>
          </cell>
          <cell r="AO7">
            <v>112.946</v>
          </cell>
          <cell r="AP7">
            <v>112.946</v>
          </cell>
          <cell r="AQ7">
            <v>192.44300000000001</v>
          </cell>
          <cell r="AR7">
            <v>88.611999999999995</v>
          </cell>
          <cell r="AS7">
            <v>109.211</v>
          </cell>
          <cell r="AT7">
            <v>78.575000000000003</v>
          </cell>
          <cell r="AU7">
            <v>78.575000000000003</v>
          </cell>
          <cell r="AW7">
            <v>102.79400000000001</v>
          </cell>
          <cell r="AX7">
            <v>115.61200000000001</v>
          </cell>
          <cell r="AY7">
            <v>112.94599999999996</v>
          </cell>
          <cell r="AZ7">
            <v>192.44299999999998</v>
          </cell>
          <cell r="BA7">
            <v>192.44299999999998</v>
          </cell>
          <cell r="BB7">
            <v>88.611999999999995</v>
          </cell>
          <cell r="BC7">
            <v>109.211</v>
          </cell>
          <cell r="BD7">
            <v>78.575000000000003</v>
          </cell>
          <cell r="BE7">
            <v>137.25899999999999</v>
          </cell>
          <cell r="BF7">
            <v>137.25899999999999</v>
          </cell>
          <cell r="BG7">
            <v>134.62299999999999</v>
          </cell>
          <cell r="BH7">
            <v>156.458</v>
          </cell>
          <cell r="BI7">
            <v>55.896000000000001</v>
          </cell>
          <cell r="BJ7">
            <v>66.813999999999993</v>
          </cell>
          <cell r="BK7">
            <v>66.813999999999993</v>
          </cell>
          <cell r="BL7">
            <v>98.575000000000003</v>
          </cell>
          <cell r="BM7">
            <v>110.41200000000001</v>
          </cell>
          <cell r="BN7">
            <v>114.621</v>
          </cell>
          <cell r="BO7">
            <v>123.98699999999999</v>
          </cell>
          <cell r="BP7">
            <v>123.98699999999999</v>
          </cell>
          <cell r="BQ7">
            <v>454.86799999999999</v>
          </cell>
          <cell r="BR7">
            <v>414.48599999999999</v>
          </cell>
          <cell r="BS7">
            <v>180.03200000000001</v>
          </cell>
          <cell r="BT7">
            <v>143.614</v>
          </cell>
          <cell r="BU7">
            <v>143.614</v>
          </cell>
          <cell r="BV7">
            <v>102.887</v>
          </cell>
          <cell r="BW7">
            <v>164.60900000000001</v>
          </cell>
          <cell r="BX7">
            <v>222.346</v>
          </cell>
          <cell r="BY7">
            <v>106.018</v>
          </cell>
          <cell r="BZ7">
            <v>106.018</v>
          </cell>
          <cell r="CA7">
            <v>107.25700000000001</v>
          </cell>
          <cell r="CB7">
            <v>112.637</v>
          </cell>
          <cell r="CC7">
            <v>245.75399999999999</v>
          </cell>
          <cell r="CD7">
            <v>101.812</v>
          </cell>
          <cell r="CE7">
            <v>101.812</v>
          </cell>
          <cell r="CF7">
            <v>95.796000000000006</v>
          </cell>
          <cell r="CG7">
            <v>90.307000000000002</v>
          </cell>
          <cell r="CH7">
            <v>88.350999999999999</v>
          </cell>
          <cell r="CI7">
            <v>64.143000000000001</v>
          </cell>
          <cell r="CJ7">
            <v>64.143000000000001</v>
          </cell>
          <cell r="CK7">
            <v>8.3960000000000008</v>
          </cell>
          <cell r="CL7">
            <v>36.299999999999997</v>
          </cell>
          <cell r="CM7">
            <v>35.218000000000004</v>
          </cell>
          <cell r="CN7">
            <v>101.84678351970692</v>
          </cell>
          <cell r="CO7">
            <v>101.84678351970692</v>
          </cell>
          <cell r="CP7">
            <v>82.711528802885624</v>
          </cell>
          <cell r="CQ7">
            <v>266.29963063639877</v>
          </cell>
          <cell r="CR7">
            <v>302.15795985884716</v>
          </cell>
          <cell r="CS7">
            <v>308.12852222410754</v>
          </cell>
          <cell r="CT7">
            <v>308.12852222410754</v>
          </cell>
          <cell r="CU7">
            <v>262.91223588791439</v>
          </cell>
          <cell r="CV7">
            <v>484.43668306244962</v>
          </cell>
          <cell r="CW7">
            <v>557.49122702025977</v>
          </cell>
          <cell r="CX7">
            <v>597.73582125164444</v>
          </cell>
          <cell r="CY7">
            <v>597.73582125164444</v>
          </cell>
          <cell r="CZ7">
            <v>550.76664329887467</v>
          </cell>
          <cell r="DA7">
            <v>786.42378725743993</v>
          </cell>
          <cell r="DB7">
            <v>867.73243893973017</v>
          </cell>
          <cell r="DC7">
            <v>917.51272469925948</v>
          </cell>
          <cell r="DD7">
            <v>917.51272469925948</v>
          </cell>
          <cell r="DE7">
            <v>871.13221927605673</v>
          </cell>
          <cell r="DF7">
            <v>1120.4027336052493</v>
          </cell>
          <cell r="DG7">
            <v>1212.5970001733556</v>
          </cell>
          <cell r="DH7">
            <v>1273.0870374260107</v>
          </cell>
          <cell r="DI7">
            <v>1273.0870374260107</v>
          </cell>
          <cell r="DU7" t="str">
            <v>mstag:cashAndCashEquivalents</v>
          </cell>
          <cell r="DV7">
            <v>6</v>
          </cell>
          <cell r="DW7" t="str">
            <v>ISO4217:USD</v>
          </cell>
          <cell r="DX7" t="b">
            <v>0</v>
          </cell>
        </row>
        <row r="8">
          <cell r="B8" t="str">
            <v>Available for sale securities</v>
          </cell>
          <cell r="D8">
            <v>0.69</v>
          </cell>
          <cell r="E8">
            <v>0.504</v>
          </cell>
          <cell r="F8">
            <v>1.0149999999999999</v>
          </cell>
          <cell r="G8">
            <v>0.96699999999999997</v>
          </cell>
          <cell r="H8">
            <v>3.1749999999999998</v>
          </cell>
          <cell r="I8">
            <v>8.16</v>
          </cell>
          <cell r="J8">
            <v>11.435</v>
          </cell>
          <cell r="K8">
            <v>13.547000000000001</v>
          </cell>
          <cell r="L8">
            <v>24.38</v>
          </cell>
          <cell r="M8">
            <v>0</v>
          </cell>
          <cell r="N8">
            <v>0</v>
          </cell>
          <cell r="O8">
            <v>0</v>
          </cell>
          <cell r="P8">
            <v>26.917000000000002</v>
          </cell>
          <cell r="Q8">
            <v>26.917000000000002</v>
          </cell>
          <cell r="R8">
            <v>0</v>
          </cell>
          <cell r="S8">
            <v>0</v>
          </cell>
          <cell r="T8">
            <v>0</v>
          </cell>
          <cell r="U8">
            <v>29.07</v>
          </cell>
          <cell r="V8">
            <v>29.07</v>
          </cell>
          <cell r="W8">
            <v>0</v>
          </cell>
          <cell r="X8">
            <v>0</v>
          </cell>
          <cell r="Y8">
            <v>0</v>
          </cell>
          <cell r="Z8">
            <v>29.195</v>
          </cell>
          <cell r="AA8">
            <v>29.195</v>
          </cell>
          <cell r="AB8">
            <v>0</v>
          </cell>
          <cell r="AC8">
            <v>0</v>
          </cell>
          <cell r="AD8">
            <v>0</v>
          </cell>
          <cell r="AE8">
            <v>36.162999999999997</v>
          </cell>
          <cell r="AF8">
            <v>36.162999999999997</v>
          </cell>
          <cell r="AG8">
            <v>0</v>
          </cell>
          <cell r="AH8">
            <v>0</v>
          </cell>
          <cell r="AI8">
            <v>0</v>
          </cell>
          <cell r="AJ8">
            <v>34.466999999999999</v>
          </cell>
          <cell r="AK8">
            <v>34.466999999999999</v>
          </cell>
          <cell r="AL8">
            <v>0</v>
          </cell>
          <cell r="AM8">
            <v>0</v>
          </cell>
          <cell r="AN8">
            <v>0</v>
          </cell>
          <cell r="AO8">
            <v>38.103000000000002</v>
          </cell>
          <cell r="AP8">
            <v>38.103000000000002</v>
          </cell>
          <cell r="AQ8">
            <v>0</v>
          </cell>
          <cell r="AR8">
            <v>0</v>
          </cell>
          <cell r="AS8">
            <v>0</v>
          </cell>
          <cell r="AT8">
            <v>47.16</v>
          </cell>
          <cell r="AU8">
            <v>47.16</v>
          </cell>
          <cell r="AW8">
            <v>0</v>
          </cell>
          <cell r="AX8">
            <v>0</v>
          </cell>
          <cell r="AY8">
            <v>38.103000000000002</v>
          </cell>
          <cell r="AZ8">
            <v>0</v>
          </cell>
          <cell r="BA8">
            <v>0</v>
          </cell>
          <cell r="BB8">
            <v>0</v>
          </cell>
          <cell r="BC8">
            <v>0</v>
          </cell>
          <cell r="BD8">
            <v>47.16</v>
          </cell>
          <cell r="BE8">
            <v>0</v>
          </cell>
          <cell r="BF8">
            <v>0</v>
          </cell>
          <cell r="BG8">
            <v>0</v>
          </cell>
          <cell r="BH8">
            <v>0</v>
          </cell>
          <cell r="BI8">
            <v>0</v>
          </cell>
          <cell r="BJ8">
            <v>51.75</v>
          </cell>
          <cell r="BK8">
            <v>51.75</v>
          </cell>
          <cell r="BL8">
            <v>0</v>
          </cell>
          <cell r="BM8">
            <v>0</v>
          </cell>
          <cell r="BN8">
            <v>0</v>
          </cell>
          <cell r="BO8">
            <v>36.993000000000002</v>
          </cell>
          <cell r="BP8">
            <v>36.993000000000002</v>
          </cell>
          <cell r="BR8">
            <v>0</v>
          </cell>
          <cell r="BS8">
            <v>0</v>
          </cell>
          <cell r="BT8">
            <v>26.824999999999999</v>
          </cell>
          <cell r="BU8">
            <v>26.824999999999999</v>
          </cell>
          <cell r="BV8">
            <v>0</v>
          </cell>
          <cell r="BW8">
            <v>0</v>
          </cell>
          <cell r="BX8">
            <v>0</v>
          </cell>
          <cell r="BY8">
            <v>36.585000000000001</v>
          </cell>
          <cell r="BZ8">
            <v>36.585000000000001</v>
          </cell>
          <cell r="CA8">
            <v>72.215999999999994</v>
          </cell>
          <cell r="CB8">
            <v>140.39500000000001</v>
          </cell>
          <cell r="CC8">
            <v>33.845999999999997</v>
          </cell>
          <cell r="CD8">
            <v>57.326999999999998</v>
          </cell>
          <cell r="CE8">
            <v>57.326999999999998</v>
          </cell>
          <cell r="CF8">
            <v>131.874</v>
          </cell>
          <cell r="CG8">
            <v>140.43</v>
          </cell>
          <cell r="CH8">
            <v>37.484999999999999</v>
          </cell>
          <cell r="CI8">
            <v>122.277</v>
          </cell>
          <cell r="CJ8">
            <v>122.277</v>
          </cell>
          <cell r="CK8">
            <v>43.040999999999997</v>
          </cell>
          <cell r="CL8">
            <v>120.01600000000001</v>
          </cell>
          <cell r="CM8">
            <v>146.56899999999999</v>
          </cell>
          <cell r="CN8">
            <v>146.56899999999999</v>
          </cell>
          <cell r="CO8">
            <v>146.56899999999999</v>
          </cell>
          <cell r="CP8">
            <v>146.56899999999999</v>
          </cell>
          <cell r="CQ8">
            <v>146.56899999999999</v>
          </cell>
          <cell r="CR8">
            <v>146.56899999999999</v>
          </cell>
          <cell r="CS8">
            <v>146.56899999999999</v>
          </cell>
          <cell r="CT8">
            <v>146.56899999999999</v>
          </cell>
          <cell r="CU8">
            <v>146.56899999999999</v>
          </cell>
          <cell r="CV8">
            <v>146.56899999999999</v>
          </cell>
          <cell r="CW8">
            <v>146.56899999999999</v>
          </cell>
          <cell r="CX8">
            <v>146.56899999999999</v>
          </cell>
          <cell r="CY8">
            <v>146.56899999999999</v>
          </cell>
          <cell r="CZ8">
            <v>146.56899999999999</v>
          </cell>
          <cell r="DA8">
            <v>146.56899999999999</v>
          </cell>
          <cell r="DB8">
            <v>146.56899999999999</v>
          </cell>
          <cell r="DC8">
            <v>146.56899999999999</v>
          </cell>
          <cell r="DD8">
            <v>146.56899999999999</v>
          </cell>
          <cell r="DE8">
            <v>146.56899999999999</v>
          </cell>
          <cell r="DF8">
            <v>146.56899999999999</v>
          </cell>
          <cell r="DG8">
            <v>146.56899999999999</v>
          </cell>
          <cell r="DH8">
            <v>146.56899999999999</v>
          </cell>
          <cell r="DI8">
            <v>146.56899999999999</v>
          </cell>
          <cell r="DU8" t="str">
            <v>mstag:shortTermInvestments</v>
          </cell>
          <cell r="DV8">
            <v>6</v>
          </cell>
          <cell r="DW8" t="str">
            <v>ISO4217:USD</v>
          </cell>
          <cell r="DX8" t="b">
            <v>0</v>
          </cell>
        </row>
        <row r="9">
          <cell r="B9" t="str">
            <v>Accounts receivable, net</v>
          </cell>
          <cell r="D9">
            <v>31.44</v>
          </cell>
          <cell r="E9">
            <v>33.055</v>
          </cell>
          <cell r="F9">
            <v>24.466999999999999</v>
          </cell>
          <cell r="G9">
            <v>34.048999999999999</v>
          </cell>
          <cell r="H9">
            <v>52.198999999999998</v>
          </cell>
          <cell r="I9">
            <v>68.89</v>
          </cell>
          <cell r="J9">
            <v>103.11199999999999</v>
          </cell>
          <cell r="K9">
            <v>119.349</v>
          </cell>
          <cell r="L9">
            <v>219.16200000000001</v>
          </cell>
          <cell r="M9">
            <v>253.28200000000001</v>
          </cell>
          <cell r="N9">
            <v>257.99599999999998</v>
          </cell>
          <cell r="O9">
            <v>298.97899999999998</v>
          </cell>
          <cell r="P9">
            <v>311.988</v>
          </cell>
          <cell r="Q9">
            <v>311.988</v>
          </cell>
          <cell r="R9">
            <v>346.25299999999999</v>
          </cell>
          <cell r="S9">
            <v>351.74099999999999</v>
          </cell>
          <cell r="T9">
            <v>333.82100000000003</v>
          </cell>
          <cell r="U9">
            <v>343.58300000000003</v>
          </cell>
          <cell r="V9">
            <v>343.58300000000003</v>
          </cell>
          <cell r="W9">
            <v>398.56900000000002</v>
          </cell>
          <cell r="X9">
            <v>392.505</v>
          </cell>
          <cell r="Y9">
            <v>375.589</v>
          </cell>
          <cell r="Z9">
            <v>350.94099999999997</v>
          </cell>
          <cell r="AA9">
            <v>350.94099999999997</v>
          </cell>
          <cell r="AB9">
            <v>381.71300000000002</v>
          </cell>
          <cell r="AC9">
            <v>440.99900000000002</v>
          </cell>
          <cell r="AD9">
            <v>445.315</v>
          </cell>
          <cell r="AE9">
            <v>418.26400000000001</v>
          </cell>
          <cell r="AF9">
            <v>418.26400000000001</v>
          </cell>
          <cell r="AG9">
            <v>463.44200000000001</v>
          </cell>
          <cell r="AH9">
            <v>495.30700000000002</v>
          </cell>
          <cell r="AI9">
            <v>481.964</v>
          </cell>
          <cell r="AJ9">
            <v>492.78699999999998</v>
          </cell>
          <cell r="AK9">
            <v>492.78699999999998</v>
          </cell>
          <cell r="AL9">
            <v>627.02499999999998</v>
          </cell>
          <cell r="AM9">
            <v>664.42700000000002</v>
          </cell>
          <cell r="AN9">
            <v>632.31399999999996</v>
          </cell>
          <cell r="AO9">
            <v>588.04600000000005</v>
          </cell>
          <cell r="AP9">
            <v>588.04600000000005</v>
          </cell>
          <cell r="AQ9">
            <v>638.24</v>
          </cell>
          <cell r="AR9">
            <v>726.14400000000001</v>
          </cell>
          <cell r="AS9">
            <v>668.48099999999999</v>
          </cell>
          <cell r="AT9">
            <v>634.28</v>
          </cell>
          <cell r="AU9">
            <v>634.28</v>
          </cell>
          <cell r="AW9">
            <v>664.42700000000002</v>
          </cell>
          <cell r="AX9">
            <v>632.31399999999996</v>
          </cell>
          <cell r="AY9">
            <v>588.04600000000005</v>
          </cell>
          <cell r="AZ9">
            <v>638.24</v>
          </cell>
          <cell r="BA9">
            <v>638.24</v>
          </cell>
          <cell r="BB9">
            <v>726.14400000000001</v>
          </cell>
          <cell r="BC9">
            <v>668.48099999999999</v>
          </cell>
          <cell r="BD9">
            <v>634.28</v>
          </cell>
          <cell r="BE9">
            <v>706.21500000000003</v>
          </cell>
          <cell r="BF9">
            <v>706.21500000000003</v>
          </cell>
          <cell r="BG9">
            <v>766.02099999999996</v>
          </cell>
          <cell r="BH9">
            <v>776.21199999999999</v>
          </cell>
          <cell r="BI9">
            <v>815.101</v>
          </cell>
          <cell r="BJ9">
            <v>581.80499999999995</v>
          </cell>
          <cell r="BK9">
            <v>581.80499999999995</v>
          </cell>
          <cell r="BL9">
            <v>668.81600000000003</v>
          </cell>
          <cell r="BM9">
            <v>642.03300000000002</v>
          </cell>
          <cell r="BN9">
            <v>649.58900000000006</v>
          </cell>
          <cell r="BO9">
            <v>590.88599999999997</v>
          </cell>
          <cell r="BP9">
            <v>590.88599999999997</v>
          </cell>
          <cell r="BQ9">
            <v>657.79899999999998</v>
          </cell>
          <cell r="BR9">
            <v>624.12199999999996</v>
          </cell>
          <cell r="BS9">
            <v>639.17600000000004</v>
          </cell>
          <cell r="BT9">
            <v>604.91899999999998</v>
          </cell>
          <cell r="BU9">
            <v>604.91899999999998</v>
          </cell>
          <cell r="BV9">
            <v>674.85199999999998</v>
          </cell>
          <cell r="BW9">
            <v>623.74800000000005</v>
          </cell>
          <cell r="BX9">
            <v>618.14300000000003</v>
          </cell>
          <cell r="BY9">
            <v>656.17100000000005</v>
          </cell>
          <cell r="BZ9">
            <v>656.17100000000005</v>
          </cell>
          <cell r="CA9">
            <v>741.53399999999999</v>
          </cell>
          <cell r="CB9">
            <v>655.48</v>
          </cell>
          <cell r="CC9">
            <v>676.63199999999995</v>
          </cell>
          <cell r="CD9">
            <v>759.13099999999997</v>
          </cell>
          <cell r="CE9">
            <v>759.13099999999997</v>
          </cell>
          <cell r="CF9">
            <v>808.95</v>
          </cell>
          <cell r="CG9">
            <v>761.77599999999995</v>
          </cell>
          <cell r="CH9">
            <v>799.13900000000001</v>
          </cell>
          <cell r="CI9">
            <v>903.51700000000005</v>
          </cell>
          <cell r="CJ9">
            <v>903.51700000000005</v>
          </cell>
          <cell r="CK9">
            <v>994.71900000000005</v>
          </cell>
          <cell r="CL9">
            <v>924.02700000000004</v>
          </cell>
          <cell r="CM9">
            <v>972.10400000000004</v>
          </cell>
          <cell r="CN9">
            <v>969.2099864040199</v>
          </cell>
          <cell r="CO9">
            <v>969.2099864040199</v>
          </cell>
          <cell r="CP9">
            <v>1038.0532898945885</v>
          </cell>
          <cell r="CQ9">
            <v>938.65256680132563</v>
          </cell>
          <cell r="CR9">
            <v>990.02416441781315</v>
          </cell>
          <cell r="CS9">
            <v>983.66858504016648</v>
          </cell>
          <cell r="CT9">
            <v>983.66858504016648</v>
          </cell>
          <cell r="CU9">
            <v>1038.4647550122779</v>
          </cell>
          <cell r="CV9">
            <v>936.64718187381936</v>
          </cell>
          <cell r="CW9">
            <v>990.46220759191374</v>
          </cell>
          <cell r="CX9">
            <v>981.56771722420478</v>
          </cell>
          <cell r="CY9">
            <v>981.56771722420478</v>
          </cell>
          <cell r="CZ9">
            <v>1059.1185807351237</v>
          </cell>
          <cell r="DA9">
            <v>952.54231567766885</v>
          </cell>
          <cell r="DB9">
            <v>1009.6984175218678</v>
          </cell>
          <cell r="DC9">
            <v>1002.0084492034713</v>
          </cell>
          <cell r="DD9">
            <v>1002.0084492034713</v>
          </cell>
          <cell r="DE9">
            <v>1072.5719761915987</v>
          </cell>
          <cell r="DF9">
            <v>971.51905648329705</v>
          </cell>
          <cell r="DG9">
            <v>1032.150325730662</v>
          </cell>
          <cell r="DH9">
            <v>1021.1145840162287</v>
          </cell>
          <cell r="DI9">
            <v>1021.1145840162287</v>
          </cell>
          <cell r="DU9" t="str">
            <v>mstag:tradeReceivablesCurrent</v>
          </cell>
          <cell r="DV9">
            <v>6</v>
          </cell>
          <cell r="DW9" t="str">
            <v>ISO4217:USD</v>
          </cell>
          <cell r="DX9" t="b">
            <v>0</v>
          </cell>
        </row>
        <row r="10">
          <cell r="B10" t="str">
            <v>Accounts receivable, gross</v>
          </cell>
          <cell r="P10">
            <v>426.78</v>
          </cell>
          <cell r="Q10">
            <v>426.78</v>
          </cell>
          <cell r="U10">
            <v>462.185</v>
          </cell>
          <cell r="V10">
            <v>462.185</v>
          </cell>
          <cell r="Z10">
            <v>467.726</v>
          </cell>
          <cell r="AA10">
            <v>467.726</v>
          </cell>
          <cell r="AE10">
            <v>556.88</v>
          </cell>
          <cell r="AF10">
            <v>556.88</v>
          </cell>
          <cell r="AJ10">
            <v>643.80199999999991</v>
          </cell>
          <cell r="AK10">
            <v>643.80199999999991</v>
          </cell>
          <cell r="AO10">
            <v>774.48500000000001</v>
          </cell>
          <cell r="AP10">
            <v>774.48500000000001</v>
          </cell>
          <cell r="AT10">
            <v>921.10899999999992</v>
          </cell>
          <cell r="AU10">
            <v>921.10899999999992</v>
          </cell>
          <cell r="BA10">
            <v>0</v>
          </cell>
          <cell r="BF10">
            <v>0</v>
          </cell>
          <cell r="BJ10">
            <v>1108.6859999999999</v>
          </cell>
          <cell r="BK10">
            <v>1108.6859999999999</v>
          </cell>
          <cell r="BO10">
            <v>1076.653</v>
          </cell>
          <cell r="BP10">
            <v>1076.653</v>
          </cell>
          <cell r="BT10">
            <v>1053.95</v>
          </cell>
          <cell r="BU10">
            <v>1053.95</v>
          </cell>
          <cell r="BY10">
            <v>1111.876</v>
          </cell>
          <cell r="BZ10">
            <v>1111.876</v>
          </cell>
          <cell r="CB10">
            <v>1119.17</v>
          </cell>
          <cell r="CC10">
            <v>1159.3689999999999</v>
          </cell>
          <cell r="CD10">
            <v>1254.617</v>
          </cell>
          <cell r="CE10">
            <v>1254.617</v>
          </cell>
          <cell r="CF10">
            <v>1322.904</v>
          </cell>
          <cell r="CG10">
            <v>1296.24</v>
          </cell>
          <cell r="CH10">
            <v>1353.855</v>
          </cell>
          <cell r="CI10">
            <v>1482.489</v>
          </cell>
          <cell r="CJ10">
            <v>1482.489</v>
          </cell>
          <cell r="CK10">
            <v>1595.64</v>
          </cell>
          <cell r="CL10">
            <v>1545.6759999999999</v>
          </cell>
          <cell r="CM10">
            <v>1687.6109999999999</v>
          </cell>
          <cell r="CN10">
            <v>1727.585889648813</v>
          </cell>
          <cell r="CO10">
            <v>1727.585889648813</v>
          </cell>
          <cell r="CP10">
            <v>1854.6240159978165</v>
          </cell>
          <cell r="CQ10">
            <v>1821.8183435484711</v>
          </cell>
          <cell r="CR10">
            <v>1954.4923766545533</v>
          </cell>
          <cell r="CS10">
            <v>2027.7204301936267</v>
          </cell>
          <cell r="CT10">
            <v>2027.7204301936267</v>
          </cell>
          <cell r="CU10">
            <v>2091.1307450738568</v>
          </cell>
          <cell r="CV10">
            <v>2005.9851606330442</v>
          </cell>
          <cell r="CW10">
            <v>2088.3809749417242</v>
          </cell>
          <cell r="CX10">
            <v>2106.4467820099676</v>
          </cell>
          <cell r="CY10">
            <v>2106.4467820099676</v>
          </cell>
          <cell r="CZ10">
            <v>2168.5309467261104</v>
          </cell>
          <cell r="DA10">
            <v>2053.4716475791352</v>
          </cell>
          <cell r="DB10">
            <v>2112.9275612621009</v>
          </cell>
          <cell r="DC10">
            <v>2105.3871664781113</v>
          </cell>
          <cell r="DD10">
            <v>2105.3871664781113</v>
          </cell>
          <cell r="DE10">
            <v>2141.1003260926436</v>
          </cell>
          <cell r="DF10">
            <v>2011.5414910026111</v>
          </cell>
          <cell r="DG10">
            <v>2053.6872471282272</v>
          </cell>
          <cell r="DH10">
            <v>2022.216444283265</v>
          </cell>
          <cell r="DI10">
            <v>2022.216444283265</v>
          </cell>
        </row>
        <row r="11">
          <cell r="B11" t="str">
            <v>Allowance for doubtful accounts</v>
          </cell>
          <cell r="P11">
            <v>-114.792</v>
          </cell>
          <cell r="Q11">
            <v>-114.792</v>
          </cell>
          <cell r="U11">
            <v>-118.602</v>
          </cell>
          <cell r="V11">
            <v>-118.602</v>
          </cell>
          <cell r="Z11">
            <v>-116.785</v>
          </cell>
          <cell r="AA11">
            <v>-116.785</v>
          </cell>
          <cell r="AE11">
            <v>-138.61600000000001</v>
          </cell>
          <cell r="AF11">
            <v>-138.61600000000001</v>
          </cell>
          <cell r="AJ11">
            <v>-151.01499999999999</v>
          </cell>
          <cell r="AK11">
            <v>-151.01499999999999</v>
          </cell>
          <cell r="AO11">
            <v>-186.43899999999999</v>
          </cell>
          <cell r="AP11">
            <v>-186.43899999999999</v>
          </cell>
          <cell r="AT11">
            <v>-286.82900000000001</v>
          </cell>
          <cell r="AU11">
            <v>-286.82900000000001</v>
          </cell>
          <cell r="BA11">
            <v>0</v>
          </cell>
          <cell r="BF11">
            <v>0</v>
          </cell>
          <cell r="BJ11">
            <v>-526.88099999999997</v>
          </cell>
          <cell r="BK11">
            <v>-526.88099999999997</v>
          </cell>
          <cell r="BO11">
            <v>-485.767</v>
          </cell>
          <cell r="BP11">
            <v>-485.767</v>
          </cell>
          <cell r="BT11">
            <v>-449.03100000000001</v>
          </cell>
          <cell r="BU11">
            <v>-449.03100000000001</v>
          </cell>
          <cell r="BY11">
            <v>-455.70499999999998</v>
          </cell>
          <cell r="BZ11">
            <v>-455.70499999999998</v>
          </cell>
          <cell r="CB11">
            <v>-463.69</v>
          </cell>
          <cell r="CC11">
            <v>-482.73700000000002</v>
          </cell>
          <cell r="CD11">
            <v>-495.48599999999999</v>
          </cell>
          <cell r="CE11">
            <v>-495.48599999999999</v>
          </cell>
          <cell r="CF11">
            <v>-513.95399999999995</v>
          </cell>
          <cell r="CG11">
            <v>-534.46400000000006</v>
          </cell>
          <cell r="CH11">
            <v>-554.71600000000001</v>
          </cell>
          <cell r="CI11">
            <v>-578.97199999999998</v>
          </cell>
          <cell r="CJ11">
            <v>-578.97199999999998</v>
          </cell>
          <cell r="CK11">
            <v>-600.92100000000005</v>
          </cell>
          <cell r="CL11">
            <v>-621.649</v>
          </cell>
          <cell r="CM11">
            <v>-715.50699999999995</v>
          </cell>
          <cell r="CN11">
            <v>-758.37590324479322</v>
          </cell>
          <cell r="CO11">
            <v>-758.37590324479322</v>
          </cell>
          <cell r="CP11">
            <v>-816.57072610322814</v>
          </cell>
          <cell r="CQ11">
            <v>-883.16577674714551</v>
          </cell>
          <cell r="CR11">
            <v>-964.4682122367401</v>
          </cell>
          <cell r="CS11">
            <v>-1044.0518451534601</v>
          </cell>
          <cell r="CT11">
            <v>-1044.0518451534601</v>
          </cell>
          <cell r="CU11">
            <v>-1052.6659900615791</v>
          </cell>
          <cell r="CV11">
            <v>-1069.3379787592248</v>
          </cell>
          <cell r="CW11">
            <v>-1097.9187673498104</v>
          </cell>
          <cell r="CX11">
            <v>-1124.8790647857629</v>
          </cell>
          <cell r="CY11">
            <v>-1124.8790647857629</v>
          </cell>
          <cell r="CZ11">
            <v>-1109.4123659909865</v>
          </cell>
          <cell r="DA11">
            <v>-1100.9293319014662</v>
          </cell>
          <cell r="DB11">
            <v>-1103.2291437402332</v>
          </cell>
          <cell r="DC11">
            <v>-1103.3787172746402</v>
          </cell>
          <cell r="DD11">
            <v>-1103.3787172746402</v>
          </cell>
          <cell r="DE11">
            <v>-1068.5283499010452</v>
          </cell>
          <cell r="DF11">
            <v>-1040.0224345193142</v>
          </cell>
          <cell r="DG11">
            <v>-1021.5369213975652</v>
          </cell>
          <cell r="DH11">
            <v>-1001.1018602670363</v>
          </cell>
          <cell r="DI11">
            <v>-1001.1018602670363</v>
          </cell>
        </row>
        <row r="12">
          <cell r="B12" t="str">
            <v>Supplies, at cost</v>
          </cell>
          <cell r="D12">
            <v>3.3130000000000002</v>
          </cell>
          <cell r="E12">
            <v>4.5570000000000004</v>
          </cell>
          <cell r="F12">
            <v>5.1040000000000001</v>
          </cell>
          <cell r="G12">
            <v>6.7320000000000002</v>
          </cell>
          <cell r="H12">
            <v>6.9880000000000004</v>
          </cell>
          <cell r="I12">
            <v>9.1129999999999995</v>
          </cell>
          <cell r="J12">
            <v>12.372</v>
          </cell>
          <cell r="K12">
            <v>15.597</v>
          </cell>
          <cell r="L12">
            <v>24.425000000000001</v>
          </cell>
          <cell r="M12">
            <v>35.933999999999997</v>
          </cell>
          <cell r="N12">
            <v>38.585999999999999</v>
          </cell>
          <cell r="O12">
            <v>42.115000000000002</v>
          </cell>
          <cell r="P12">
            <v>32.037999999999997</v>
          </cell>
          <cell r="Q12">
            <v>32.037999999999997</v>
          </cell>
          <cell r="R12">
            <v>44.466000000000001</v>
          </cell>
          <cell r="S12">
            <v>50.494999999999997</v>
          </cell>
          <cell r="T12">
            <v>52.768999999999998</v>
          </cell>
          <cell r="U12">
            <v>39.207000000000001</v>
          </cell>
          <cell r="V12">
            <v>39.207000000000001</v>
          </cell>
          <cell r="W12">
            <v>63.612000000000002</v>
          </cell>
          <cell r="X12">
            <v>66.554000000000002</v>
          </cell>
          <cell r="Y12">
            <v>66.802999999999997</v>
          </cell>
          <cell r="Z12">
            <v>50.113</v>
          </cell>
          <cell r="AA12">
            <v>50.113</v>
          </cell>
          <cell r="AB12">
            <v>79.876000000000005</v>
          </cell>
          <cell r="AC12">
            <v>83.816000000000003</v>
          </cell>
          <cell r="AD12">
            <v>83.551000000000002</v>
          </cell>
          <cell r="AE12">
            <v>59.411999999999999</v>
          </cell>
          <cell r="AF12">
            <v>59.411999999999999</v>
          </cell>
          <cell r="AG12">
            <v>86.724000000000004</v>
          </cell>
          <cell r="AH12">
            <v>88.596000000000004</v>
          </cell>
          <cell r="AI12">
            <v>88.409000000000006</v>
          </cell>
          <cell r="AJ12">
            <v>65.341999999999999</v>
          </cell>
          <cell r="AK12">
            <v>65.341999999999999</v>
          </cell>
          <cell r="AL12">
            <v>105.548</v>
          </cell>
          <cell r="AM12">
            <v>103.764</v>
          </cell>
          <cell r="AN12">
            <v>107.14700000000001</v>
          </cell>
          <cell r="AO12">
            <v>78.927000000000007</v>
          </cell>
          <cell r="AP12">
            <v>78.927000000000007</v>
          </cell>
          <cell r="AQ12">
            <v>143.53200000000001</v>
          </cell>
          <cell r="AR12">
            <v>150.96700000000001</v>
          </cell>
          <cell r="AS12">
            <v>156.624</v>
          </cell>
          <cell r="AT12">
            <v>91.864999999999995</v>
          </cell>
          <cell r="AU12">
            <v>91.864999999999995</v>
          </cell>
          <cell r="AW12">
            <v>103.764</v>
          </cell>
          <cell r="AX12">
            <v>107.14700000000001</v>
          </cell>
          <cell r="AY12">
            <v>78.927000000000007</v>
          </cell>
          <cell r="AZ12">
            <v>143.53200000000001</v>
          </cell>
          <cell r="BA12">
            <v>143.53200000000001</v>
          </cell>
          <cell r="BB12">
            <v>150.96700000000001</v>
          </cell>
          <cell r="BC12">
            <v>156.624</v>
          </cell>
          <cell r="BD12">
            <v>91.864999999999995</v>
          </cell>
          <cell r="BE12">
            <v>183.27799999999999</v>
          </cell>
          <cell r="BF12">
            <v>183.27799999999999</v>
          </cell>
          <cell r="BG12">
            <v>143.56800000000001</v>
          </cell>
          <cell r="BH12">
            <v>153.93199999999999</v>
          </cell>
          <cell r="BI12">
            <v>136.76300000000001</v>
          </cell>
          <cell r="BJ12">
            <v>107.627</v>
          </cell>
          <cell r="BK12">
            <v>107.627</v>
          </cell>
          <cell r="BL12">
            <v>148.59200000000001</v>
          </cell>
          <cell r="BM12">
            <v>149.756</v>
          </cell>
          <cell r="BN12">
            <v>145.57599999999999</v>
          </cell>
          <cell r="BO12">
            <v>113.66</v>
          </cell>
          <cell r="BP12">
            <v>113.66</v>
          </cell>
          <cell r="BQ12">
            <v>153.392</v>
          </cell>
          <cell r="BR12">
            <v>156.637</v>
          </cell>
          <cell r="BS12">
            <v>153.78</v>
          </cell>
          <cell r="BT12">
            <v>117.63200000000001</v>
          </cell>
          <cell r="BU12">
            <v>117.63200000000001</v>
          </cell>
          <cell r="BV12">
            <v>160.36000000000001</v>
          </cell>
          <cell r="BW12">
            <v>160.68600000000001</v>
          </cell>
          <cell r="BX12">
            <v>156.68899999999999</v>
          </cell>
          <cell r="BY12">
            <v>117.41800000000001</v>
          </cell>
          <cell r="BZ12">
            <v>117.41800000000001</v>
          </cell>
          <cell r="CA12">
            <v>165.1</v>
          </cell>
          <cell r="CB12">
            <v>166.792</v>
          </cell>
          <cell r="CC12">
            <v>168.84299999999999</v>
          </cell>
          <cell r="CD12">
            <v>137.92500000000001</v>
          </cell>
          <cell r="CE12">
            <v>137.92500000000001</v>
          </cell>
          <cell r="CF12">
            <v>190.70400000000001</v>
          </cell>
          <cell r="CG12">
            <v>191.047</v>
          </cell>
          <cell r="CH12">
            <v>214.495</v>
          </cell>
          <cell r="CI12">
            <v>156.529</v>
          </cell>
          <cell r="CJ12">
            <v>156.529</v>
          </cell>
          <cell r="CK12">
            <v>221.41900000000001</v>
          </cell>
          <cell r="CL12">
            <v>219.626</v>
          </cell>
          <cell r="CM12">
            <v>218.97499999999999</v>
          </cell>
          <cell r="CN12">
            <v>236.08690108252557</v>
          </cell>
          <cell r="CO12">
            <v>236.08690108252557</v>
          </cell>
          <cell r="CP12">
            <v>228.59524857252222</v>
          </cell>
          <cell r="CQ12">
            <v>215.35401869540385</v>
          </cell>
          <cell r="CR12">
            <v>204.13431755166269</v>
          </cell>
          <cell r="CS12">
            <v>221.07105336559064</v>
          </cell>
          <cell r="CT12">
            <v>221.07105336559064</v>
          </cell>
          <cell r="CU12">
            <v>233.32409727506405</v>
          </cell>
          <cell r="CV12">
            <v>220.33055842285358</v>
          </cell>
          <cell r="CW12">
            <v>208.94295714270484</v>
          </cell>
          <cell r="CX12">
            <v>225.84491305090833</v>
          </cell>
          <cell r="CY12">
            <v>225.84491305090833</v>
          </cell>
          <cell r="CZ12">
            <v>239.17918535277272</v>
          </cell>
          <cell r="DA12">
            <v>225.99574332433551</v>
          </cell>
          <cell r="DB12">
            <v>214.35445039025072</v>
          </cell>
          <cell r="DC12">
            <v>231.65651176083466</v>
          </cell>
          <cell r="DD12">
            <v>231.65651176083466</v>
          </cell>
          <cell r="DE12">
            <v>248.71705921178011</v>
          </cell>
          <cell r="DF12">
            <v>237.35704430185942</v>
          </cell>
          <cell r="DG12">
            <v>225.16472914470359</v>
          </cell>
          <cell r="DH12">
            <v>242.92058273602825</v>
          </cell>
          <cell r="DI12">
            <v>242.92058273602825</v>
          </cell>
          <cell r="DU12" t="str">
            <v>mstag:inventories</v>
          </cell>
          <cell r="DV12">
            <v>6</v>
          </cell>
          <cell r="DW12" t="str">
            <v>ISO4217:USD</v>
          </cell>
          <cell r="DX12" t="b">
            <v>0</v>
          </cell>
        </row>
        <row r="13">
          <cell r="B13" t="str">
            <v>Prepaid expenses &amp; other assets</v>
          </cell>
          <cell r="D13">
            <v>1.3859999999999999</v>
          </cell>
          <cell r="E13">
            <v>1.45</v>
          </cell>
          <cell r="F13">
            <v>1.7390000000000001</v>
          </cell>
          <cell r="G13">
            <v>2.1890000000000001</v>
          </cell>
          <cell r="H13">
            <v>2.335</v>
          </cell>
          <cell r="I13">
            <v>4.9640000000000004</v>
          </cell>
          <cell r="J13">
            <v>5.0970000000000004</v>
          </cell>
          <cell r="K13">
            <v>5.992</v>
          </cell>
          <cell r="L13">
            <v>8.5579999999999998</v>
          </cell>
          <cell r="M13">
            <v>0</v>
          </cell>
          <cell r="N13">
            <v>0</v>
          </cell>
          <cell r="O13">
            <v>0</v>
          </cell>
          <cell r="P13">
            <v>9.3239999999999998</v>
          </cell>
          <cell r="Q13">
            <v>9.3239999999999998</v>
          </cell>
          <cell r="R13">
            <v>0</v>
          </cell>
          <cell r="S13">
            <v>0</v>
          </cell>
          <cell r="T13">
            <v>0</v>
          </cell>
          <cell r="U13">
            <v>18.658999999999999</v>
          </cell>
          <cell r="V13">
            <v>18.658999999999999</v>
          </cell>
          <cell r="W13">
            <v>0</v>
          </cell>
          <cell r="X13">
            <v>0</v>
          </cell>
          <cell r="Y13">
            <v>0</v>
          </cell>
          <cell r="Z13">
            <v>19.026</v>
          </cell>
          <cell r="AA13">
            <v>19.026</v>
          </cell>
          <cell r="AB13">
            <v>0</v>
          </cell>
          <cell r="AC13">
            <v>0</v>
          </cell>
          <cell r="AD13">
            <v>0</v>
          </cell>
          <cell r="AE13">
            <v>19.622</v>
          </cell>
          <cell r="AF13">
            <v>19.622</v>
          </cell>
          <cell r="AG13">
            <v>0</v>
          </cell>
          <cell r="AH13">
            <v>0</v>
          </cell>
          <cell r="AI13">
            <v>0</v>
          </cell>
          <cell r="AJ13">
            <v>57.905000000000001</v>
          </cell>
          <cell r="AK13">
            <v>57.905000000000001</v>
          </cell>
          <cell r="AL13">
            <v>0</v>
          </cell>
          <cell r="AM13">
            <v>0</v>
          </cell>
          <cell r="AN13">
            <v>0</v>
          </cell>
          <cell r="AO13">
            <v>80.215000000000003</v>
          </cell>
          <cell r="AP13">
            <v>80.215000000000003</v>
          </cell>
          <cell r="AQ13">
            <v>0</v>
          </cell>
          <cell r="AR13">
            <v>0</v>
          </cell>
          <cell r="AS13">
            <v>0</v>
          </cell>
          <cell r="AT13">
            <v>107.70099999999999</v>
          </cell>
          <cell r="AU13">
            <v>107.70099999999999</v>
          </cell>
          <cell r="AW13">
            <v>0</v>
          </cell>
          <cell r="AX13">
            <v>0</v>
          </cell>
          <cell r="AY13">
            <v>80.215000000000003</v>
          </cell>
          <cell r="AZ13">
            <v>0</v>
          </cell>
          <cell r="BA13">
            <v>0</v>
          </cell>
          <cell r="BB13">
            <v>0</v>
          </cell>
          <cell r="BC13">
            <v>0</v>
          </cell>
          <cell r="BD13">
            <v>107.70099999999999</v>
          </cell>
          <cell r="BE13">
            <v>0</v>
          </cell>
          <cell r="BF13">
            <v>0</v>
          </cell>
          <cell r="BG13">
            <v>0</v>
          </cell>
          <cell r="BH13">
            <v>0</v>
          </cell>
          <cell r="BI13">
            <v>0</v>
          </cell>
          <cell r="BJ13">
            <v>43.164000000000001</v>
          </cell>
          <cell r="BK13">
            <v>43.164000000000001</v>
          </cell>
          <cell r="BL13">
            <v>0</v>
          </cell>
          <cell r="BM13">
            <v>0</v>
          </cell>
          <cell r="BN13">
            <v>0</v>
          </cell>
          <cell r="BO13">
            <v>36.347000000000001</v>
          </cell>
          <cell r="BP13">
            <v>36.347000000000001</v>
          </cell>
          <cell r="BQ13">
            <v>0</v>
          </cell>
          <cell r="BR13">
            <v>0</v>
          </cell>
          <cell r="BS13">
            <v>0</v>
          </cell>
          <cell r="BT13">
            <v>39.965000000000003</v>
          </cell>
          <cell r="BU13">
            <v>39.965000000000003</v>
          </cell>
          <cell r="BV13">
            <v>0</v>
          </cell>
          <cell r="BW13">
            <v>0</v>
          </cell>
          <cell r="BY13">
            <v>39.692999999999998</v>
          </cell>
          <cell r="BZ13">
            <v>39.692999999999998</v>
          </cell>
          <cell r="CA13">
            <v>0</v>
          </cell>
          <cell r="CB13">
            <v>0</v>
          </cell>
          <cell r="CC13">
            <v>0</v>
          </cell>
          <cell r="CD13">
            <v>47.238</v>
          </cell>
          <cell r="CE13">
            <v>47.238</v>
          </cell>
          <cell r="CF13">
            <v>0</v>
          </cell>
          <cell r="CG13">
            <v>0</v>
          </cell>
          <cell r="CH13">
            <v>0</v>
          </cell>
          <cell r="CI13">
            <v>59.066000000000003</v>
          </cell>
          <cell r="CJ13">
            <v>59.066000000000003</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U13" t="str">
            <v>mstag:prepaidExpensesCurrent</v>
          </cell>
          <cell r="DV13">
            <v>6</v>
          </cell>
          <cell r="DW13" t="str">
            <v>ISO4217:USD</v>
          </cell>
          <cell r="DX13" t="b">
            <v>0</v>
          </cell>
        </row>
        <row r="14">
          <cell r="B14" t="str">
            <v>Prepaid &amp; recoverable income taxes</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84.155000000000001</v>
          </cell>
          <cell r="BP14">
            <v>84.155000000000001</v>
          </cell>
          <cell r="BQ14">
            <v>26.542999999999999</v>
          </cell>
          <cell r="BR14">
            <v>6.1619999999999999</v>
          </cell>
          <cell r="BS14">
            <v>20.757999999999999</v>
          </cell>
          <cell r="BT14">
            <v>59.277999999999999</v>
          </cell>
          <cell r="BU14">
            <v>59.277999999999999</v>
          </cell>
          <cell r="BV14">
            <v>29.41</v>
          </cell>
          <cell r="BW14">
            <v>3.214</v>
          </cell>
          <cell r="BX14">
            <v>16.739000000000001</v>
          </cell>
          <cell r="BY14">
            <v>58.851999999999997</v>
          </cell>
          <cell r="BZ14">
            <v>58.851999999999997</v>
          </cell>
          <cell r="CA14">
            <v>36.569000000000003</v>
          </cell>
          <cell r="CB14">
            <v>50.113999999999997</v>
          </cell>
          <cell r="CC14">
            <v>31.634</v>
          </cell>
          <cell r="CD14">
            <v>44.960999999999999</v>
          </cell>
          <cell r="CE14">
            <v>44.960999999999999</v>
          </cell>
          <cell r="CF14">
            <v>26.254999999999999</v>
          </cell>
          <cell r="CG14">
            <v>45.34</v>
          </cell>
          <cell r="CH14">
            <v>44.994999999999997</v>
          </cell>
          <cell r="CI14">
            <v>61.756</v>
          </cell>
          <cell r="CJ14">
            <v>61.756</v>
          </cell>
          <cell r="CK14">
            <v>33.331000000000003</v>
          </cell>
          <cell r="CL14">
            <v>14.340999999999999</v>
          </cell>
          <cell r="CM14">
            <v>14.625999999999999</v>
          </cell>
          <cell r="CN14">
            <v>14.625999999999999</v>
          </cell>
          <cell r="CO14">
            <v>14.625999999999999</v>
          </cell>
          <cell r="CP14">
            <v>14.625999999999999</v>
          </cell>
          <cell r="CQ14">
            <v>14.625999999999999</v>
          </cell>
          <cell r="CR14">
            <v>14.625999999999999</v>
          </cell>
          <cell r="CS14">
            <v>14.625999999999999</v>
          </cell>
          <cell r="CT14">
            <v>14.625999999999999</v>
          </cell>
          <cell r="CU14">
            <v>14.625999999999999</v>
          </cell>
          <cell r="CV14">
            <v>14.625999999999999</v>
          </cell>
          <cell r="CW14">
            <v>14.625999999999999</v>
          </cell>
          <cell r="CX14">
            <v>14.625999999999999</v>
          </cell>
          <cell r="CY14">
            <v>14.625999999999999</v>
          </cell>
          <cell r="CZ14">
            <v>14.625999999999999</v>
          </cell>
          <cell r="DA14">
            <v>14.625999999999999</v>
          </cell>
          <cell r="DB14">
            <v>14.625999999999999</v>
          </cell>
          <cell r="DC14">
            <v>14.625999999999999</v>
          </cell>
          <cell r="DD14">
            <v>14.625999999999999</v>
          </cell>
          <cell r="DE14">
            <v>14.625999999999999</v>
          </cell>
          <cell r="DF14">
            <v>14.625999999999999</v>
          </cell>
          <cell r="DG14">
            <v>14.625999999999999</v>
          </cell>
          <cell r="DH14">
            <v>14.625999999999999</v>
          </cell>
          <cell r="DI14">
            <v>14.625999999999999</v>
          </cell>
          <cell r="DU14" t="str">
            <v>mstag:prepaidExpensesCurrent</v>
          </cell>
          <cell r="DV14">
            <v>6</v>
          </cell>
          <cell r="DW14" t="str">
            <v>ISO4217:USD</v>
          </cell>
          <cell r="DX14" t="b">
            <v>0</v>
          </cell>
        </row>
        <row r="15">
          <cell r="B15" t="str">
            <v>Restricted Funds</v>
          </cell>
          <cell r="D15">
            <v>0.84</v>
          </cell>
          <cell r="E15">
            <v>1.577</v>
          </cell>
          <cell r="F15">
            <v>0.28000000000000003</v>
          </cell>
          <cell r="G15">
            <v>0.216</v>
          </cell>
          <cell r="H15">
            <v>1.0249999999999999</v>
          </cell>
          <cell r="I15">
            <v>1.4790000000000001</v>
          </cell>
          <cell r="J15">
            <v>2.2759999999999998</v>
          </cell>
          <cell r="K15">
            <v>1.2250000000000001</v>
          </cell>
          <cell r="L15">
            <v>1.458</v>
          </cell>
          <cell r="M15">
            <v>1.7529999999999999</v>
          </cell>
          <cell r="N15">
            <v>1.8240000000000001</v>
          </cell>
          <cell r="O15">
            <v>2.089</v>
          </cell>
          <cell r="P15">
            <v>1.764</v>
          </cell>
          <cell r="Q15">
            <v>1.764</v>
          </cell>
          <cell r="R15">
            <v>2.0190000000000001</v>
          </cell>
          <cell r="S15">
            <v>1.917</v>
          </cell>
          <cell r="T15">
            <v>1.9219999999999999</v>
          </cell>
          <cell r="U15">
            <v>2.5619999999999998</v>
          </cell>
          <cell r="V15">
            <v>2.5619999999999998</v>
          </cell>
          <cell r="W15">
            <v>2.4950000000000001</v>
          </cell>
          <cell r="X15">
            <v>2.8180000000000001</v>
          </cell>
          <cell r="Y15">
            <v>3.0409999999999999</v>
          </cell>
          <cell r="Z15">
            <v>1.8919999999999999</v>
          </cell>
          <cell r="AA15">
            <v>1.8919999999999999</v>
          </cell>
          <cell r="AB15">
            <v>2.9729999999999999</v>
          </cell>
          <cell r="AC15">
            <v>4.4020000000000001</v>
          </cell>
          <cell r="AD15">
            <v>2.5270000000000001</v>
          </cell>
          <cell r="AE15">
            <v>2.6280000000000001</v>
          </cell>
          <cell r="AF15">
            <v>2.6280000000000001</v>
          </cell>
          <cell r="AG15">
            <v>3.605</v>
          </cell>
          <cell r="AH15">
            <v>4.2279999999999998</v>
          </cell>
          <cell r="AI15">
            <v>3.08</v>
          </cell>
          <cell r="AJ15">
            <v>17.47</v>
          </cell>
          <cell r="AK15">
            <v>17.47</v>
          </cell>
          <cell r="AL15">
            <v>12.587999999999999</v>
          </cell>
          <cell r="AM15">
            <v>12.471</v>
          </cell>
          <cell r="AN15">
            <v>12.541</v>
          </cell>
          <cell r="AO15">
            <v>16.852</v>
          </cell>
          <cell r="AP15">
            <v>16.852</v>
          </cell>
          <cell r="AQ15">
            <v>17.02</v>
          </cell>
          <cell r="AR15">
            <v>20.867000000000001</v>
          </cell>
          <cell r="AS15">
            <v>17.305</v>
          </cell>
          <cell r="AT15">
            <v>10.577999999999999</v>
          </cell>
          <cell r="AU15">
            <v>10.577999999999999</v>
          </cell>
          <cell r="AW15">
            <v>12.471</v>
          </cell>
          <cell r="AX15">
            <v>12.541</v>
          </cell>
          <cell r="AY15">
            <v>16.852</v>
          </cell>
          <cell r="AZ15">
            <v>17.02</v>
          </cell>
          <cell r="BA15">
            <v>17.02</v>
          </cell>
          <cell r="BB15">
            <v>20.867000000000001</v>
          </cell>
          <cell r="BC15">
            <v>17.305</v>
          </cell>
          <cell r="BD15">
            <v>10.577999999999999</v>
          </cell>
          <cell r="BE15">
            <v>15.907999999999999</v>
          </cell>
          <cell r="BF15">
            <v>15.907999999999999</v>
          </cell>
          <cell r="BG15">
            <v>14.628</v>
          </cell>
          <cell r="BH15">
            <v>25.957000000000001</v>
          </cell>
          <cell r="BI15">
            <v>22.187999999999999</v>
          </cell>
          <cell r="BJ15">
            <v>20.609000000000002</v>
          </cell>
          <cell r="BK15">
            <v>20.609000000000002</v>
          </cell>
          <cell r="BL15">
            <v>20.481999999999999</v>
          </cell>
          <cell r="BM15">
            <v>33.036999999999999</v>
          </cell>
          <cell r="BN15">
            <v>18.974</v>
          </cell>
          <cell r="BO15">
            <v>15.016</v>
          </cell>
          <cell r="BP15">
            <v>15.016</v>
          </cell>
          <cell r="BQ15">
            <v>17.454999999999998</v>
          </cell>
          <cell r="BR15">
            <v>22.087</v>
          </cell>
          <cell r="BS15">
            <v>27.748000000000001</v>
          </cell>
          <cell r="BT15">
            <v>31.471</v>
          </cell>
          <cell r="BU15">
            <v>31.471</v>
          </cell>
          <cell r="BV15">
            <v>35.856000000000002</v>
          </cell>
          <cell r="BW15">
            <v>38.268000000000001</v>
          </cell>
          <cell r="BX15">
            <v>34.475999999999999</v>
          </cell>
          <cell r="BY15">
            <v>45.430999999999997</v>
          </cell>
          <cell r="BZ15">
            <v>45.430999999999997</v>
          </cell>
          <cell r="CA15">
            <v>50.01</v>
          </cell>
          <cell r="CB15">
            <v>44.484999999999999</v>
          </cell>
          <cell r="CC15">
            <v>42.728000000000002</v>
          </cell>
          <cell r="CD15">
            <v>39.683999999999997</v>
          </cell>
          <cell r="CE15">
            <v>39.683999999999997</v>
          </cell>
          <cell r="CF15">
            <v>38.094999999999999</v>
          </cell>
          <cell r="CG15">
            <v>33.58</v>
          </cell>
          <cell r="CH15">
            <v>35.481000000000002</v>
          </cell>
          <cell r="CI15">
            <v>28.289000000000001</v>
          </cell>
          <cell r="CJ15">
            <v>28.289000000000001</v>
          </cell>
          <cell r="CK15">
            <v>27.248000000000001</v>
          </cell>
          <cell r="CL15">
            <v>24.966999999999999</v>
          </cell>
          <cell r="CM15">
            <v>28.609000000000002</v>
          </cell>
          <cell r="CN15">
            <v>28.609000000000002</v>
          </cell>
          <cell r="CO15">
            <v>28.609000000000002</v>
          </cell>
          <cell r="CP15">
            <v>28.609000000000002</v>
          </cell>
          <cell r="CQ15">
            <v>28.609000000000002</v>
          </cell>
          <cell r="CR15">
            <v>28.609000000000002</v>
          </cell>
          <cell r="CS15">
            <v>28.609000000000002</v>
          </cell>
          <cell r="CT15">
            <v>28.609000000000002</v>
          </cell>
          <cell r="CU15">
            <v>28.609000000000002</v>
          </cell>
          <cell r="CV15">
            <v>28.609000000000002</v>
          </cell>
          <cell r="CW15">
            <v>28.609000000000002</v>
          </cell>
          <cell r="CX15">
            <v>28.609000000000002</v>
          </cell>
          <cell r="CY15">
            <v>28.609000000000002</v>
          </cell>
          <cell r="CZ15">
            <v>28.609000000000002</v>
          </cell>
          <cell r="DA15">
            <v>28.609000000000002</v>
          </cell>
          <cell r="DB15">
            <v>28.609000000000002</v>
          </cell>
          <cell r="DC15">
            <v>28.609000000000002</v>
          </cell>
          <cell r="DD15">
            <v>28.609000000000002</v>
          </cell>
          <cell r="DE15">
            <v>28.609000000000002</v>
          </cell>
          <cell r="DF15">
            <v>28.609000000000002</v>
          </cell>
          <cell r="DG15">
            <v>28.609000000000002</v>
          </cell>
          <cell r="DH15">
            <v>28.609000000000002</v>
          </cell>
          <cell r="DI15">
            <v>28.609000000000002</v>
          </cell>
          <cell r="DU15" t="str">
            <v>mstag:shortTermInvestments</v>
          </cell>
          <cell r="DV15">
            <v>6</v>
          </cell>
          <cell r="DW15" t="str">
            <v>ISO4217:USD</v>
          </cell>
          <cell r="DX15" t="b">
            <v>0</v>
          </cell>
        </row>
        <row r="16">
          <cell r="B16" t="str">
            <v>Assets of discontinued operations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17.995999999999999</v>
          </cell>
          <cell r="AU16">
            <v>17.995999999999999</v>
          </cell>
          <cell r="AW16">
            <v>0</v>
          </cell>
          <cell r="AX16">
            <v>0</v>
          </cell>
          <cell r="AY16">
            <v>0</v>
          </cell>
          <cell r="AZ16">
            <v>0</v>
          </cell>
          <cell r="BA16">
            <v>0</v>
          </cell>
          <cell r="BB16">
            <v>0</v>
          </cell>
          <cell r="BC16">
            <v>0</v>
          </cell>
          <cell r="BD16">
            <v>17.995999999999999</v>
          </cell>
          <cell r="BE16">
            <v>18.082999999999998</v>
          </cell>
          <cell r="BF16">
            <v>18.082999999999998</v>
          </cell>
          <cell r="BG16">
            <v>18.388000000000002</v>
          </cell>
          <cell r="BH16">
            <v>18.440000000000001</v>
          </cell>
          <cell r="BI16">
            <v>61.027000000000001</v>
          </cell>
          <cell r="BJ16">
            <v>46.029000000000003</v>
          </cell>
          <cell r="BK16">
            <v>46.029000000000003</v>
          </cell>
          <cell r="BL16">
            <v>46.319000000000003</v>
          </cell>
          <cell r="BM16">
            <v>88.525000000000006</v>
          </cell>
          <cell r="BN16">
            <v>28.143999999999998</v>
          </cell>
          <cell r="BO16">
            <v>28.745000000000001</v>
          </cell>
          <cell r="BP16">
            <v>28.745000000000001</v>
          </cell>
          <cell r="BQ16">
            <v>51.134999999999998</v>
          </cell>
          <cell r="BR16">
            <v>48.128999999999998</v>
          </cell>
          <cell r="BS16">
            <v>33.594000000000001</v>
          </cell>
          <cell r="BT16">
            <v>18.085000000000001</v>
          </cell>
          <cell r="BU16">
            <v>18.085000000000001</v>
          </cell>
          <cell r="BV16">
            <v>18.085000000000001</v>
          </cell>
          <cell r="BW16">
            <v>18.010999999999999</v>
          </cell>
          <cell r="BX16">
            <v>99.119</v>
          </cell>
          <cell r="BY16">
            <v>12.754</v>
          </cell>
          <cell r="BZ16">
            <v>12.754</v>
          </cell>
          <cell r="CA16">
            <v>13.404</v>
          </cell>
          <cell r="CB16">
            <v>13.404</v>
          </cell>
          <cell r="CC16">
            <v>13.404</v>
          </cell>
          <cell r="CD16">
            <v>4.9939999999999998</v>
          </cell>
          <cell r="CE16">
            <v>4.9939999999999998</v>
          </cell>
          <cell r="CF16">
            <v>4.9939999999999998</v>
          </cell>
          <cell r="CG16">
            <v>6.53</v>
          </cell>
          <cell r="CH16">
            <v>13.802</v>
          </cell>
          <cell r="CI16">
            <v>14.561</v>
          </cell>
          <cell r="CJ16">
            <v>14.561</v>
          </cell>
          <cell r="CK16">
            <v>12.95</v>
          </cell>
          <cell r="CL16">
            <v>9.6189999999999998</v>
          </cell>
          <cell r="CM16">
            <v>8.1</v>
          </cell>
          <cell r="CN16">
            <v>8.1</v>
          </cell>
          <cell r="CO16">
            <v>8.1</v>
          </cell>
          <cell r="CP16">
            <v>8.1</v>
          </cell>
          <cell r="CQ16">
            <v>8.1</v>
          </cell>
          <cell r="CR16">
            <v>8.1</v>
          </cell>
          <cell r="CS16">
            <v>8.1</v>
          </cell>
          <cell r="CT16">
            <v>8.1</v>
          </cell>
          <cell r="CU16">
            <v>8.1</v>
          </cell>
          <cell r="CV16">
            <v>8.1</v>
          </cell>
          <cell r="CW16">
            <v>8.1</v>
          </cell>
          <cell r="CX16">
            <v>8.1</v>
          </cell>
          <cell r="CY16">
            <v>8.1</v>
          </cell>
          <cell r="CZ16">
            <v>8.1</v>
          </cell>
          <cell r="DA16">
            <v>8.1</v>
          </cell>
          <cell r="DB16">
            <v>8.1</v>
          </cell>
          <cell r="DC16">
            <v>8.1</v>
          </cell>
          <cell r="DD16">
            <v>8.1</v>
          </cell>
          <cell r="DE16">
            <v>8.1</v>
          </cell>
          <cell r="DF16">
            <v>8.1</v>
          </cell>
          <cell r="DG16">
            <v>8.1</v>
          </cell>
          <cell r="DH16">
            <v>8.1</v>
          </cell>
          <cell r="DI16">
            <v>8.1</v>
          </cell>
          <cell r="DU16" t="str">
            <v>mstag:assetsOfDiscontinuedOperations</v>
          </cell>
          <cell r="DV16">
            <v>6</v>
          </cell>
          <cell r="DW16" t="str">
            <v>ISO4217:USD</v>
          </cell>
          <cell r="DX16" t="b">
            <v>0</v>
          </cell>
        </row>
        <row r="17">
          <cell r="B17" t="str">
            <v>Deferred income taxes</v>
          </cell>
          <cell r="D17">
            <v>0</v>
          </cell>
          <cell r="E17">
            <v>0</v>
          </cell>
          <cell r="F17">
            <v>0</v>
          </cell>
          <cell r="G17">
            <v>0</v>
          </cell>
          <cell r="H17">
            <v>2.4580000000000002</v>
          </cell>
          <cell r="I17">
            <v>5.4459999999999997</v>
          </cell>
          <cell r="J17">
            <v>12.339</v>
          </cell>
          <cell r="K17">
            <v>13.039</v>
          </cell>
          <cell r="L17">
            <v>18.039000000000001</v>
          </cell>
          <cell r="M17">
            <v>18.039000000000001</v>
          </cell>
          <cell r="N17">
            <v>18.039000000000001</v>
          </cell>
          <cell r="O17">
            <v>18.039000000000001</v>
          </cell>
          <cell r="P17">
            <v>30.515000000000001</v>
          </cell>
          <cell r="Q17">
            <v>30.515000000000001</v>
          </cell>
          <cell r="R17">
            <v>30.515000000000001</v>
          </cell>
          <cell r="S17">
            <v>30.515000000000001</v>
          </cell>
          <cell r="T17">
            <v>30.515000000000001</v>
          </cell>
          <cell r="U17">
            <v>37.411000000000001</v>
          </cell>
          <cell r="V17">
            <v>37.411000000000001</v>
          </cell>
          <cell r="W17">
            <v>37.411000000000001</v>
          </cell>
          <cell r="X17">
            <v>37.411000000000001</v>
          </cell>
          <cell r="Y17">
            <v>37.411000000000001</v>
          </cell>
          <cell r="Z17">
            <v>43.801000000000002</v>
          </cell>
          <cell r="AA17">
            <v>43.801000000000002</v>
          </cell>
          <cell r="AB17">
            <v>43.801000000000002</v>
          </cell>
          <cell r="AC17">
            <v>43.801000000000002</v>
          </cell>
          <cell r="AD17">
            <v>43.801000000000002</v>
          </cell>
          <cell r="AE17">
            <v>35.960999999999999</v>
          </cell>
          <cell r="AF17">
            <v>35.960999999999999</v>
          </cell>
          <cell r="AG17">
            <v>35.960999999999999</v>
          </cell>
          <cell r="AH17">
            <v>48.185000000000002</v>
          </cell>
          <cell r="AI17">
            <v>44.247999999999998</v>
          </cell>
          <cell r="AJ17">
            <v>30.027000000000001</v>
          </cell>
          <cell r="AK17">
            <v>30.027000000000001</v>
          </cell>
          <cell r="AL17">
            <v>30.027000000000001</v>
          </cell>
          <cell r="AM17">
            <v>30.027000000000001</v>
          </cell>
          <cell r="AN17">
            <v>30.027000000000001</v>
          </cell>
          <cell r="AO17">
            <v>26.504999999999999</v>
          </cell>
          <cell r="AP17">
            <v>26.504999999999999</v>
          </cell>
          <cell r="AQ17">
            <v>26.504999999999999</v>
          </cell>
          <cell r="AR17">
            <v>26.504999999999999</v>
          </cell>
          <cell r="AS17">
            <v>45.573999999999998</v>
          </cell>
          <cell r="AT17">
            <v>0</v>
          </cell>
          <cell r="AU17">
            <v>0</v>
          </cell>
          <cell r="AW17">
            <v>30.027000000000001</v>
          </cell>
          <cell r="AX17">
            <v>30.027000000000001</v>
          </cell>
          <cell r="AY17">
            <v>26.504999999999999</v>
          </cell>
          <cell r="AZ17">
            <v>26.504999999999999</v>
          </cell>
          <cell r="BA17">
            <v>26.504999999999999</v>
          </cell>
          <cell r="BB17">
            <v>26.504999999999999</v>
          </cell>
          <cell r="BC17">
            <v>45.573999999999998</v>
          </cell>
          <cell r="BD17">
            <v>0</v>
          </cell>
          <cell r="BE17">
            <v>0</v>
          </cell>
          <cell r="BF17">
            <v>0</v>
          </cell>
          <cell r="BG17">
            <v>2.738</v>
          </cell>
          <cell r="BH17">
            <v>32.787999999999997</v>
          </cell>
          <cell r="BI17">
            <v>36.566000000000003</v>
          </cell>
          <cell r="BJ17">
            <v>94.206000000000003</v>
          </cell>
          <cell r="BK17">
            <v>94.206000000000003</v>
          </cell>
          <cell r="BL17">
            <v>97.085999999999999</v>
          </cell>
          <cell r="BM17">
            <v>148.28899999999999</v>
          </cell>
          <cell r="BN17">
            <v>105.825</v>
          </cell>
          <cell r="BO17">
            <v>36.317999999999998</v>
          </cell>
          <cell r="BP17">
            <v>36.317999999999998</v>
          </cell>
          <cell r="BQ17">
            <v>36.795999999999999</v>
          </cell>
          <cell r="BR17">
            <v>35.662999999999997</v>
          </cell>
          <cell r="BS17">
            <v>10.507999999999999</v>
          </cell>
          <cell r="BT17">
            <v>9.2919999999999998</v>
          </cell>
          <cell r="BU17">
            <v>9.2919999999999998</v>
          </cell>
          <cell r="BV17">
            <v>8.141</v>
          </cell>
          <cell r="BW17">
            <v>13.792</v>
          </cell>
          <cell r="BX17">
            <v>16.742999999999999</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U17" t="str">
            <v>mstag:deferredTaxAssetsCurrent</v>
          </cell>
          <cell r="DV17">
            <v>6</v>
          </cell>
          <cell r="DW17" t="str">
            <v>ISO4217:USD</v>
          </cell>
          <cell r="DX17" t="b">
            <v>0</v>
          </cell>
        </row>
        <row r="18">
          <cell r="B18" t="str">
            <v>Current Assets</v>
          </cell>
          <cell r="D18">
            <v>40.707000000000001</v>
          </cell>
          <cell r="E18">
            <v>41.298999999999999</v>
          </cell>
          <cell r="F18">
            <v>57.853999999999999</v>
          </cell>
          <cell r="G18">
            <v>118.529</v>
          </cell>
          <cell r="H18">
            <v>177.56399999999999</v>
          </cell>
          <cell r="I18">
            <v>173.37799999999999</v>
          </cell>
          <cell r="J18">
            <v>177.803</v>
          </cell>
          <cell r="K18">
            <v>236.13</v>
          </cell>
          <cell r="L18">
            <v>308.70699999999999</v>
          </cell>
          <cell r="M18">
            <v>317.58199999999999</v>
          </cell>
          <cell r="N18">
            <v>336.63</v>
          </cell>
          <cell r="O18">
            <v>372.94399999999996</v>
          </cell>
          <cell r="P18">
            <v>425.47199999999998</v>
          </cell>
          <cell r="Q18">
            <v>425.47199999999998</v>
          </cell>
          <cell r="R18">
            <v>447.92700000000002</v>
          </cell>
          <cell r="S18">
            <v>459.06799999999998</v>
          </cell>
          <cell r="T18">
            <v>442.36700000000002</v>
          </cell>
          <cell r="U18">
            <v>486.96300000000002</v>
          </cell>
          <cell r="V18">
            <v>486.96300000000002</v>
          </cell>
          <cell r="W18">
            <v>536.13800000000003</v>
          </cell>
          <cell r="X18">
            <v>540.83600000000001</v>
          </cell>
          <cell r="Y18">
            <v>532.49299999999994</v>
          </cell>
          <cell r="Z18">
            <v>565.23099999999999</v>
          </cell>
          <cell r="AA18">
            <v>565.23099999999999</v>
          </cell>
          <cell r="AB18">
            <v>626.52300000000002</v>
          </cell>
          <cell r="AC18">
            <v>686.03300000000002</v>
          </cell>
          <cell r="AD18">
            <v>724.81400000000008</v>
          </cell>
          <cell r="AE18">
            <v>695.78600000000006</v>
          </cell>
          <cell r="AF18">
            <v>695.78600000000006</v>
          </cell>
          <cell r="AG18">
            <v>779.03300000000002</v>
          </cell>
          <cell r="AH18">
            <v>796.976</v>
          </cell>
          <cell r="AI18">
            <v>865.97499999999991</v>
          </cell>
          <cell r="AJ18">
            <v>1093.336</v>
          </cell>
          <cell r="AK18">
            <v>1093.336</v>
          </cell>
          <cell r="AL18">
            <v>894.53800000000001</v>
          </cell>
          <cell r="AM18">
            <v>913.48299999999995</v>
          </cell>
          <cell r="AN18">
            <v>897.64099999999996</v>
          </cell>
          <cell r="AO18">
            <v>941.59400000000005</v>
          </cell>
          <cell r="AP18">
            <v>941.59400000000005</v>
          </cell>
          <cell r="AQ18">
            <v>1017.74</v>
          </cell>
          <cell r="AR18">
            <v>1013.095</v>
          </cell>
          <cell r="AS18">
            <v>997.19499999999994</v>
          </cell>
          <cell r="AT18">
            <v>988.15499999999997</v>
          </cell>
          <cell r="AU18">
            <v>988.15499999999997</v>
          </cell>
          <cell r="AW18">
            <v>913.48300000000006</v>
          </cell>
          <cell r="AX18">
            <v>897.64099999999996</v>
          </cell>
          <cell r="AY18">
            <v>941.59400000000005</v>
          </cell>
          <cell r="AZ18">
            <v>1017.74</v>
          </cell>
          <cell r="BA18">
            <v>1017.74</v>
          </cell>
          <cell r="BB18">
            <v>1013.095</v>
          </cell>
          <cell r="BC18">
            <v>997.19499999999994</v>
          </cell>
          <cell r="BD18">
            <v>988.15499999999997</v>
          </cell>
          <cell r="BE18">
            <v>1060.7429999999999</v>
          </cell>
          <cell r="BF18">
            <v>1060.7429999999999</v>
          </cell>
          <cell r="BG18">
            <v>1079.9659999999999</v>
          </cell>
          <cell r="BH18">
            <v>1163.7869999999998</v>
          </cell>
          <cell r="BI18">
            <v>1127.5409999999999</v>
          </cell>
          <cell r="BJ18">
            <v>1012.0039999999999</v>
          </cell>
          <cell r="BK18">
            <v>1012.0039999999999</v>
          </cell>
          <cell r="BL18">
            <v>1079.8700000000001</v>
          </cell>
          <cell r="BM18">
            <v>1172.0520000000001</v>
          </cell>
          <cell r="BN18">
            <v>1062.729</v>
          </cell>
          <cell r="BO18">
            <v>1066.107</v>
          </cell>
          <cell r="BP18">
            <v>1066.107</v>
          </cell>
          <cell r="BQ18">
            <v>1397.9879999999998</v>
          </cell>
          <cell r="BR18">
            <v>1307.2860000000001</v>
          </cell>
          <cell r="BS18">
            <v>1065.596</v>
          </cell>
          <cell r="BT18">
            <v>1051.0809999999999</v>
          </cell>
          <cell r="BU18">
            <v>1051.0809999999999</v>
          </cell>
          <cell r="BV18">
            <v>1029.5909999999999</v>
          </cell>
          <cell r="BW18">
            <v>1022.3280000000001</v>
          </cell>
          <cell r="BX18">
            <v>1164.2550000000001</v>
          </cell>
          <cell r="BY18">
            <v>1072.922</v>
          </cell>
          <cell r="BZ18">
            <v>1072.922</v>
          </cell>
          <cell r="CA18">
            <v>1186.0899999999999</v>
          </cell>
          <cell r="CB18">
            <v>1183.307</v>
          </cell>
          <cell r="CC18">
            <v>1212.8409999999999</v>
          </cell>
          <cell r="CD18">
            <v>1193.0720000000001</v>
          </cell>
          <cell r="CE18">
            <v>1193.0720000000001</v>
          </cell>
          <cell r="CF18">
            <v>1296.6680000000001</v>
          </cell>
          <cell r="CG18">
            <v>1269.01</v>
          </cell>
          <cell r="CH18">
            <v>1233.748</v>
          </cell>
          <cell r="CI18">
            <v>1410.1379999999999</v>
          </cell>
          <cell r="CJ18">
            <v>1410.1379999999999</v>
          </cell>
          <cell r="CK18">
            <v>1341.104</v>
          </cell>
          <cell r="CL18">
            <v>1348.8960000000002</v>
          </cell>
          <cell r="CM18">
            <v>1424.201</v>
          </cell>
          <cell r="CN18">
            <v>1505.0476710062524</v>
          </cell>
          <cell r="CO18">
            <v>1505.0476710062524</v>
          </cell>
          <cell r="CP18">
            <v>1547.2640672699963</v>
          </cell>
          <cell r="CQ18">
            <v>1618.2102161331281</v>
          </cell>
          <cell r="CR18">
            <v>1694.2204418283229</v>
          </cell>
          <cell r="CS18">
            <v>1710.7721606298646</v>
          </cell>
          <cell r="CT18">
            <v>1710.7721606298646</v>
          </cell>
          <cell r="CU18">
            <v>1732.6050881752562</v>
          </cell>
          <cell r="CV18">
            <v>1839.3184233591226</v>
          </cell>
          <cell r="CW18">
            <v>1954.8003917548783</v>
          </cell>
          <cell r="CX18">
            <v>2003.0524515267575</v>
          </cell>
          <cell r="CY18">
            <v>2003.0524515267575</v>
          </cell>
          <cell r="CZ18">
            <v>2046.9684093867711</v>
          </cell>
          <cell r="DA18">
            <v>2162.8658462594444</v>
          </cell>
          <cell r="DB18">
            <v>2289.6893068518484</v>
          </cell>
          <cell r="DC18">
            <v>2349.0816856635652</v>
          </cell>
          <cell r="DD18">
            <v>2349.0816856635652</v>
          </cell>
          <cell r="DE18">
            <v>2390.3252546794356</v>
          </cell>
          <cell r="DF18">
            <v>2527.1828343904058</v>
          </cell>
          <cell r="DG18">
            <v>2667.816055048721</v>
          </cell>
          <cell r="DH18">
            <v>2735.026204178268</v>
          </cell>
          <cell r="DI18">
            <v>2735.026204178268</v>
          </cell>
        </row>
        <row r="20">
          <cell r="B20" t="str">
            <v>Property &amp; equipment, net</v>
          </cell>
          <cell r="D20">
            <v>170.012</v>
          </cell>
          <cell r="E20">
            <v>181.863</v>
          </cell>
          <cell r="F20">
            <v>180.386</v>
          </cell>
          <cell r="G20">
            <v>201.709</v>
          </cell>
          <cell r="H20">
            <v>214.255</v>
          </cell>
          <cell r="I20">
            <v>283.279</v>
          </cell>
          <cell r="J20">
            <v>397.74400000000003</v>
          </cell>
          <cell r="K20">
            <v>472.71899999999999</v>
          </cell>
          <cell r="L20">
            <v>737.755</v>
          </cell>
          <cell r="M20">
            <v>779.11599999999999</v>
          </cell>
          <cell r="N20">
            <v>806.34</v>
          </cell>
          <cell r="O20">
            <v>965.83399999999995</v>
          </cell>
          <cell r="P20">
            <v>912.48900000000003</v>
          </cell>
          <cell r="Q20">
            <v>912.48900000000003</v>
          </cell>
          <cell r="R20">
            <v>924.91399999999999</v>
          </cell>
          <cell r="S20">
            <v>930.61400000000003</v>
          </cell>
          <cell r="T20">
            <v>1000.272</v>
          </cell>
          <cell r="U20">
            <v>1065.33</v>
          </cell>
          <cell r="V20">
            <v>1065.33</v>
          </cell>
          <cell r="W20">
            <v>1062.0050000000001</v>
          </cell>
          <cell r="X20">
            <v>1069.0340000000001</v>
          </cell>
          <cell r="Y20">
            <v>1094.4179999999999</v>
          </cell>
          <cell r="Z20">
            <v>1089.413</v>
          </cell>
          <cell r="AA20">
            <v>1089.413</v>
          </cell>
          <cell r="AB20">
            <v>1185.145</v>
          </cell>
          <cell r="AC20">
            <v>1204.395</v>
          </cell>
          <cell r="AD20">
            <v>1245.8599999999999</v>
          </cell>
          <cell r="AE20">
            <v>1281.7819999999999</v>
          </cell>
          <cell r="AF20">
            <v>1281.7819999999999</v>
          </cell>
          <cell r="AG20">
            <v>1292.5820000000001</v>
          </cell>
          <cell r="AH20">
            <v>1318.665</v>
          </cell>
          <cell r="AI20">
            <v>1329.7270000000001</v>
          </cell>
          <cell r="AJ20">
            <v>1427.7149999999999</v>
          </cell>
          <cell r="AK20">
            <v>1427.7149999999999</v>
          </cell>
          <cell r="AL20">
            <v>1652.585</v>
          </cell>
          <cell r="AM20">
            <v>1684.961</v>
          </cell>
          <cell r="AN20">
            <v>1703.462</v>
          </cell>
          <cell r="AO20">
            <v>1692.701</v>
          </cell>
          <cell r="AP20">
            <v>1692.701</v>
          </cell>
          <cell r="AQ20">
            <v>1712.9929999999999</v>
          </cell>
          <cell r="AR20">
            <v>1924.779</v>
          </cell>
          <cell r="AS20">
            <v>1984.829</v>
          </cell>
          <cell r="AT20">
            <v>2032.752</v>
          </cell>
          <cell r="AU20">
            <v>2032.752</v>
          </cell>
          <cell r="AW20">
            <v>1684.961</v>
          </cell>
          <cell r="AX20">
            <v>1703.462</v>
          </cell>
          <cell r="AY20">
            <v>1692.701</v>
          </cell>
          <cell r="AZ20">
            <v>1712.9929999999999</v>
          </cell>
          <cell r="BA20">
            <v>1712.9929999999999</v>
          </cell>
          <cell r="BB20">
            <v>1924.779</v>
          </cell>
          <cell r="BC20">
            <v>1984.829</v>
          </cell>
          <cell r="BD20">
            <v>2032.752</v>
          </cell>
          <cell r="BE20">
            <v>2084.9630000000002</v>
          </cell>
          <cell r="BF20">
            <v>2084.9630000000002</v>
          </cell>
          <cell r="BG20">
            <v>2174.029</v>
          </cell>
          <cell r="BH20">
            <v>2344.4140000000002</v>
          </cell>
          <cell r="BI20">
            <v>2377.9870000000001</v>
          </cell>
          <cell r="BJ20">
            <v>2427.9859999999999</v>
          </cell>
          <cell r="BK20">
            <v>2427.9859999999999</v>
          </cell>
          <cell r="BL20">
            <v>2439.346</v>
          </cell>
          <cell r="BM20">
            <v>2442.0720000000001</v>
          </cell>
          <cell r="BN20">
            <v>2459.6</v>
          </cell>
          <cell r="BO20">
            <v>2443.1889999999999</v>
          </cell>
          <cell r="BP20">
            <v>2443.1889999999999</v>
          </cell>
          <cell r="BQ20">
            <v>2405.3519999999999</v>
          </cell>
          <cell r="BR20">
            <v>2405.9270000000001</v>
          </cell>
          <cell r="BS20">
            <v>2413.145</v>
          </cell>
          <cell r="BT20">
            <v>2430.1689999999999</v>
          </cell>
          <cell r="BU20">
            <v>2430.1689999999999</v>
          </cell>
          <cell r="BV20">
            <v>2436.652</v>
          </cell>
          <cell r="BW20">
            <v>2434.067</v>
          </cell>
          <cell r="BX20">
            <v>2385.7779999999998</v>
          </cell>
          <cell r="BY20">
            <v>2498.9160000000002</v>
          </cell>
          <cell r="BZ20">
            <v>2498.9160000000002</v>
          </cell>
          <cell r="CA20">
            <v>2481.4949999999999</v>
          </cell>
          <cell r="CB20">
            <v>2488.4929999999999</v>
          </cell>
          <cell r="CC20">
            <v>2525.721</v>
          </cell>
          <cell r="CD20">
            <v>2664.6410000000001</v>
          </cell>
          <cell r="CE20">
            <v>2664.6410000000001</v>
          </cell>
          <cell r="CF20">
            <v>2677.9859999999999</v>
          </cell>
          <cell r="CG20">
            <v>2741.5459999999998</v>
          </cell>
          <cell r="CH20">
            <v>3179.72</v>
          </cell>
          <cell r="CI20">
            <v>3263.172</v>
          </cell>
          <cell r="CJ20">
            <v>3263.172</v>
          </cell>
          <cell r="CK20">
            <v>3286.029</v>
          </cell>
          <cell r="CL20">
            <v>3377.6950000000002</v>
          </cell>
          <cell r="CM20">
            <v>3415.431</v>
          </cell>
          <cell r="CN20">
            <v>3398.7853333333333</v>
          </cell>
          <cell r="CO20">
            <v>3398.7853333333333</v>
          </cell>
          <cell r="CP20">
            <v>3357.7895115089418</v>
          </cell>
          <cell r="CQ20">
            <v>3366.3903388841445</v>
          </cell>
          <cell r="CR20">
            <v>3374.4297560124737</v>
          </cell>
          <cell r="CS20">
            <v>3381.9171197313776</v>
          </cell>
          <cell r="CT20">
            <v>3381.9171197313776</v>
          </cell>
          <cell r="CU20">
            <v>3379.1696298703737</v>
          </cell>
          <cell r="CV20">
            <v>3374.7340532314547</v>
          </cell>
          <cell r="CW20">
            <v>3369.0289802231587</v>
          </cell>
          <cell r="CX20">
            <v>3365.2515769810443</v>
          </cell>
          <cell r="CY20">
            <v>3365.2515769810443</v>
          </cell>
          <cell r="CZ20">
            <v>3364.8343274617619</v>
          </cell>
          <cell r="DA20">
            <v>3362.5037423669064</v>
          </cell>
          <cell r="DB20">
            <v>3358.8889384286736</v>
          </cell>
          <cell r="DC20">
            <v>3357.4290647878402</v>
          </cell>
          <cell r="DD20">
            <v>3357.4290647878402</v>
          </cell>
          <cell r="DE20">
            <v>3359.6961776683215</v>
          </cell>
          <cell r="DF20">
            <v>3359.7017725257533</v>
          </cell>
          <cell r="DG20">
            <v>3358.3843932380946</v>
          </cell>
          <cell r="DH20">
            <v>3359.0439922381479</v>
          </cell>
          <cell r="DI20">
            <v>3359.0439922381479</v>
          </cell>
          <cell r="DU20" t="str">
            <v>mstag:propertyPlantAndEquipmentNet</v>
          </cell>
          <cell r="DV20">
            <v>6</v>
          </cell>
          <cell r="DW20" t="str">
            <v>ISO4217:USD</v>
          </cell>
          <cell r="DX20" t="b">
            <v>0</v>
          </cell>
        </row>
        <row r="21">
          <cell r="B21" t="str">
            <v>Restricted funds</v>
          </cell>
          <cell r="D21">
            <v>1.762</v>
          </cell>
          <cell r="E21">
            <v>2.1040000000000001</v>
          </cell>
          <cell r="F21">
            <v>0.95399999999999996</v>
          </cell>
          <cell r="G21">
            <v>0.98299999999999998</v>
          </cell>
          <cell r="H21">
            <v>0.34300000000000003</v>
          </cell>
          <cell r="I21">
            <v>7.1999999999999995E-2</v>
          </cell>
          <cell r="J21">
            <v>0.13600000000000001</v>
          </cell>
          <cell r="K21">
            <v>0.94399999999999995</v>
          </cell>
          <cell r="L21">
            <v>3.9319999999999999</v>
          </cell>
          <cell r="M21">
            <v>4.1100000000000003</v>
          </cell>
          <cell r="N21">
            <v>4.4939999999999998</v>
          </cell>
          <cell r="O21">
            <v>4.5549999999999997</v>
          </cell>
          <cell r="P21">
            <v>4.1310000000000002</v>
          </cell>
          <cell r="Q21">
            <v>4.1310000000000002</v>
          </cell>
          <cell r="R21">
            <v>4.1840000000000002</v>
          </cell>
          <cell r="S21">
            <v>3.2149999999999999</v>
          </cell>
          <cell r="T21">
            <v>3.0870000000000002</v>
          </cell>
          <cell r="U21">
            <v>2.0049999999999999</v>
          </cell>
          <cell r="V21">
            <v>2.0049999999999999</v>
          </cell>
          <cell r="W21">
            <v>1.9390000000000001</v>
          </cell>
          <cell r="X21">
            <v>1.944</v>
          </cell>
          <cell r="Y21">
            <v>1.9419999999999999</v>
          </cell>
          <cell r="Z21">
            <v>1.7909999999999999</v>
          </cell>
          <cell r="AA21">
            <v>1.7909999999999999</v>
          </cell>
          <cell r="AB21">
            <v>1.744</v>
          </cell>
          <cell r="AC21">
            <v>1.5109999999999999</v>
          </cell>
          <cell r="AD21">
            <v>1.46</v>
          </cell>
          <cell r="AE21">
            <v>1.45</v>
          </cell>
          <cell r="AF21">
            <v>1.45</v>
          </cell>
          <cell r="AG21">
            <v>1.226</v>
          </cell>
          <cell r="AH21">
            <v>1.038</v>
          </cell>
          <cell r="AI21">
            <v>0.98299999999999998</v>
          </cell>
          <cell r="AJ21">
            <v>15.923999999999999</v>
          </cell>
          <cell r="AK21">
            <v>15.923999999999999</v>
          </cell>
          <cell r="AL21">
            <v>22.129000000000001</v>
          </cell>
          <cell r="AM21">
            <v>42.154000000000003</v>
          </cell>
          <cell r="AN21">
            <v>52.16</v>
          </cell>
          <cell r="AO21">
            <v>55.942</v>
          </cell>
          <cell r="AP21">
            <v>55.942</v>
          </cell>
          <cell r="AQ21">
            <v>66.676000000000002</v>
          </cell>
          <cell r="AR21">
            <v>70.186000000000007</v>
          </cell>
          <cell r="AS21">
            <v>76.959999999999994</v>
          </cell>
          <cell r="AT21">
            <v>70.912999999999997</v>
          </cell>
          <cell r="AU21">
            <v>70.912999999999997</v>
          </cell>
          <cell r="AW21">
            <v>42.154000000000003</v>
          </cell>
          <cell r="AX21">
            <v>52.16</v>
          </cell>
          <cell r="AY21">
            <v>55.942</v>
          </cell>
          <cell r="AZ21">
            <v>66.676000000000002</v>
          </cell>
          <cell r="BA21">
            <v>66.676000000000002</v>
          </cell>
          <cell r="BB21">
            <v>70.186000000000007</v>
          </cell>
          <cell r="BC21">
            <v>76.959999999999994</v>
          </cell>
          <cell r="BD21">
            <v>70.912999999999997</v>
          </cell>
          <cell r="BE21">
            <v>45.7</v>
          </cell>
          <cell r="BF21">
            <v>45.7</v>
          </cell>
          <cell r="BG21">
            <v>48.253999999999998</v>
          </cell>
          <cell r="BH21">
            <v>54.305999999999997</v>
          </cell>
          <cell r="BI21">
            <v>60.427999999999997</v>
          </cell>
          <cell r="BJ21">
            <v>58.985999999999997</v>
          </cell>
          <cell r="BK21">
            <v>58.985999999999997</v>
          </cell>
          <cell r="BL21">
            <v>63.326000000000001</v>
          </cell>
          <cell r="BM21">
            <v>61.210999999999999</v>
          </cell>
          <cell r="BN21">
            <v>70.503</v>
          </cell>
          <cell r="BO21">
            <v>76.179000000000002</v>
          </cell>
          <cell r="BP21">
            <v>76.179000000000002</v>
          </cell>
          <cell r="BQ21">
            <v>74.75</v>
          </cell>
          <cell r="BR21">
            <v>63.831000000000003</v>
          </cell>
          <cell r="BS21">
            <v>53.734999999999999</v>
          </cell>
          <cell r="BT21">
            <v>37.116999999999997</v>
          </cell>
          <cell r="BU21">
            <v>37.116999999999997</v>
          </cell>
          <cell r="BV21">
            <v>27.635999999999999</v>
          </cell>
          <cell r="BW21">
            <v>23.33</v>
          </cell>
          <cell r="BX21">
            <v>32.658999999999999</v>
          </cell>
          <cell r="BY21">
            <v>38.847999999999999</v>
          </cell>
          <cell r="BZ21">
            <v>38.847999999999999</v>
          </cell>
          <cell r="CA21">
            <v>29.61</v>
          </cell>
          <cell r="CB21">
            <v>46.923000000000002</v>
          </cell>
          <cell r="CC21">
            <v>50.673999999999999</v>
          </cell>
          <cell r="CD21">
            <v>51.067</v>
          </cell>
          <cell r="CE21">
            <v>51.067</v>
          </cell>
          <cell r="CF21">
            <v>47.667999999999999</v>
          </cell>
          <cell r="CG21">
            <v>69.709999999999994</v>
          </cell>
          <cell r="CH21">
            <v>79.257000000000005</v>
          </cell>
          <cell r="CI21">
            <v>96.244</v>
          </cell>
          <cell r="CJ21">
            <v>96.244</v>
          </cell>
          <cell r="CK21">
            <v>99.953999999999994</v>
          </cell>
          <cell r="CL21">
            <v>104.497</v>
          </cell>
          <cell r="CM21">
            <v>120.161</v>
          </cell>
          <cell r="CN21">
            <v>120.161</v>
          </cell>
          <cell r="CO21">
            <v>120.161</v>
          </cell>
          <cell r="CP21">
            <v>120.161</v>
          </cell>
          <cell r="CQ21">
            <v>120.161</v>
          </cell>
          <cell r="CR21">
            <v>120.161</v>
          </cell>
          <cell r="CS21">
            <v>120.161</v>
          </cell>
          <cell r="CT21">
            <v>120.161</v>
          </cell>
          <cell r="CU21">
            <v>120.161</v>
          </cell>
          <cell r="CV21">
            <v>120.161</v>
          </cell>
          <cell r="CW21">
            <v>120.161</v>
          </cell>
          <cell r="CX21">
            <v>120.161</v>
          </cell>
          <cell r="CY21">
            <v>120.161</v>
          </cell>
          <cell r="CZ21">
            <v>120.161</v>
          </cell>
          <cell r="DA21">
            <v>120.161</v>
          </cell>
          <cell r="DB21">
            <v>120.161</v>
          </cell>
          <cell r="DC21">
            <v>120.161</v>
          </cell>
          <cell r="DD21">
            <v>120.161</v>
          </cell>
          <cell r="DE21">
            <v>120.161</v>
          </cell>
          <cell r="DF21">
            <v>120.161</v>
          </cell>
          <cell r="DG21">
            <v>120.161</v>
          </cell>
          <cell r="DH21">
            <v>120.161</v>
          </cell>
          <cell r="DI21">
            <v>120.161</v>
          </cell>
          <cell r="DU21" t="str">
            <v>mstag:longTermInvestmentsNonOperating</v>
          </cell>
          <cell r="DV21">
            <v>6</v>
          </cell>
          <cell r="DW21" t="str">
            <v>ISO4217:USD</v>
          </cell>
          <cell r="DX21" t="b">
            <v>0</v>
          </cell>
        </row>
        <row r="22">
          <cell r="B22" t="str">
            <v>Goodwill</v>
          </cell>
          <cell r="D22">
            <v>0</v>
          </cell>
          <cell r="E22">
            <v>0</v>
          </cell>
          <cell r="F22">
            <v>0</v>
          </cell>
          <cell r="G22">
            <v>0</v>
          </cell>
          <cell r="H22">
            <v>0</v>
          </cell>
          <cell r="I22">
            <v>0</v>
          </cell>
          <cell r="J22">
            <v>0</v>
          </cell>
          <cell r="K22">
            <v>0</v>
          </cell>
          <cell r="L22">
            <v>46.673999999999999</v>
          </cell>
          <cell r="M22">
            <v>45.737000000000002</v>
          </cell>
          <cell r="N22">
            <v>44.737000000000002</v>
          </cell>
          <cell r="O22">
            <v>94.616</v>
          </cell>
          <cell r="P22">
            <v>158.499</v>
          </cell>
          <cell r="Q22">
            <v>158.499</v>
          </cell>
          <cell r="R22">
            <v>156.614</v>
          </cell>
          <cell r="S22">
            <v>159.279</v>
          </cell>
          <cell r="T22">
            <v>157.23699999999999</v>
          </cell>
          <cell r="U22">
            <v>195.00399999999999</v>
          </cell>
          <cell r="V22">
            <v>195.00399999999999</v>
          </cell>
          <cell r="W22">
            <v>207.43199999999999</v>
          </cell>
          <cell r="X22">
            <v>206.833</v>
          </cell>
          <cell r="Y22">
            <v>229.96199999999999</v>
          </cell>
          <cell r="Z22">
            <v>251.315</v>
          </cell>
          <cell r="AA22">
            <v>251.315</v>
          </cell>
          <cell r="AB22">
            <v>302.28100000000001</v>
          </cell>
          <cell r="AC22">
            <v>304.11799999999999</v>
          </cell>
          <cell r="AD22">
            <v>337.13799999999998</v>
          </cell>
          <cell r="AE22">
            <v>335.31299999999999</v>
          </cell>
          <cell r="AF22">
            <v>335.31299999999999</v>
          </cell>
          <cell r="AG22">
            <v>338.29599999999999</v>
          </cell>
          <cell r="AH22">
            <v>352.43900000000002</v>
          </cell>
          <cell r="AI22">
            <v>354.44600000000003</v>
          </cell>
          <cell r="AJ22">
            <v>397.82499999999999</v>
          </cell>
          <cell r="AK22">
            <v>397.82499999999999</v>
          </cell>
          <cell r="AL22">
            <v>730.23</v>
          </cell>
          <cell r="AM22">
            <v>717.33100000000002</v>
          </cell>
          <cell r="AN22">
            <v>722.572</v>
          </cell>
          <cell r="AO22">
            <v>748.15599999999995</v>
          </cell>
          <cell r="AP22">
            <v>748.15599999999995</v>
          </cell>
          <cell r="AQ22">
            <v>754.25300000000004</v>
          </cell>
          <cell r="AR22">
            <v>824.85299999999995</v>
          </cell>
          <cell r="AS22">
            <v>858.89499999999998</v>
          </cell>
          <cell r="AT22">
            <v>848.52300000000002</v>
          </cell>
          <cell r="AU22">
            <v>848.52300000000002</v>
          </cell>
          <cell r="AW22">
            <v>717.33100000000002</v>
          </cell>
          <cell r="AX22">
            <v>722.572</v>
          </cell>
          <cell r="AY22">
            <v>748.15599999999995</v>
          </cell>
          <cell r="AZ22">
            <v>754.25300000000004</v>
          </cell>
          <cell r="BA22">
            <v>754.25300000000004</v>
          </cell>
          <cell r="BB22">
            <v>824.85299999999995</v>
          </cell>
          <cell r="BC22">
            <v>858.89499999999998</v>
          </cell>
          <cell r="BD22">
            <v>848.52300000000002</v>
          </cell>
          <cell r="BE22">
            <v>867.27800000000002</v>
          </cell>
          <cell r="BF22">
            <v>867.27800000000002</v>
          </cell>
          <cell r="BG22">
            <v>906.43899999999996</v>
          </cell>
          <cell r="BH22">
            <v>921.40200000000004</v>
          </cell>
          <cell r="BI22">
            <v>908.81700000000001</v>
          </cell>
          <cell r="BJ22">
            <v>915.32600000000002</v>
          </cell>
          <cell r="BK22">
            <v>915.32600000000002</v>
          </cell>
          <cell r="BL22">
            <v>916.55499999999995</v>
          </cell>
          <cell r="BM22">
            <v>899.29</v>
          </cell>
          <cell r="BN22">
            <v>909.58900000000006</v>
          </cell>
          <cell r="BO22">
            <v>910.14400000000001</v>
          </cell>
          <cell r="BP22">
            <v>910.14400000000001</v>
          </cell>
          <cell r="BQ22">
            <v>897.202</v>
          </cell>
          <cell r="BR22">
            <v>899.55</v>
          </cell>
          <cell r="BS22">
            <v>898.17</v>
          </cell>
          <cell r="BT22">
            <v>898.03099999999995</v>
          </cell>
          <cell r="BU22">
            <v>898.03099999999995</v>
          </cell>
          <cell r="BV22">
            <v>897.94899999999996</v>
          </cell>
          <cell r="BW22">
            <v>897.84699999999998</v>
          </cell>
          <cell r="BX22">
            <v>877.65200000000004</v>
          </cell>
          <cell r="BY22">
            <v>890.85199999999998</v>
          </cell>
          <cell r="BZ22">
            <v>890.85199999999998</v>
          </cell>
          <cell r="CA22">
            <v>908.70799999999997</v>
          </cell>
          <cell r="CB22">
            <v>908.70799999999997</v>
          </cell>
          <cell r="CC22">
            <v>917.50699999999995</v>
          </cell>
          <cell r="CD22">
            <v>913.08399999999995</v>
          </cell>
          <cell r="CE22">
            <v>913.08399999999995</v>
          </cell>
          <cell r="CF22">
            <v>914.94</v>
          </cell>
          <cell r="CG22">
            <v>911.63199999999995</v>
          </cell>
          <cell r="CH22">
            <v>1006.006</v>
          </cell>
          <cell r="CI22">
            <v>999.38</v>
          </cell>
          <cell r="CJ22">
            <v>999.38</v>
          </cell>
          <cell r="CK22">
            <v>1003.918</v>
          </cell>
          <cell r="CL22">
            <v>1019.34</v>
          </cell>
          <cell r="CM22">
            <v>1022.313</v>
          </cell>
          <cell r="CN22">
            <v>1022.313</v>
          </cell>
          <cell r="CO22">
            <v>1022.313</v>
          </cell>
          <cell r="CP22">
            <v>1022.313</v>
          </cell>
          <cell r="CQ22">
            <v>1022.313</v>
          </cell>
          <cell r="CR22">
            <v>1022.313</v>
          </cell>
          <cell r="CS22">
            <v>1022.313</v>
          </cell>
          <cell r="CT22">
            <v>1022.313</v>
          </cell>
          <cell r="CU22">
            <v>1022.313</v>
          </cell>
          <cell r="CV22">
            <v>1022.313</v>
          </cell>
          <cell r="CW22">
            <v>1022.313</v>
          </cell>
          <cell r="CX22">
            <v>1022.313</v>
          </cell>
          <cell r="CY22">
            <v>1022.313</v>
          </cell>
          <cell r="CZ22">
            <v>1022.313</v>
          </cell>
          <cell r="DA22">
            <v>1022.313</v>
          </cell>
          <cell r="DB22">
            <v>1022.313</v>
          </cell>
          <cell r="DC22">
            <v>1022.313</v>
          </cell>
          <cell r="DD22">
            <v>1022.313</v>
          </cell>
          <cell r="DE22">
            <v>1022.313</v>
          </cell>
          <cell r="DF22">
            <v>1022.313</v>
          </cell>
          <cell r="DG22">
            <v>1022.313</v>
          </cell>
          <cell r="DH22">
            <v>1022.313</v>
          </cell>
          <cell r="DI22">
            <v>1022.313</v>
          </cell>
          <cell r="DU22" t="str">
            <v>mstag:goodwill</v>
          </cell>
          <cell r="DV22">
            <v>6</v>
          </cell>
          <cell r="DW22" t="str">
            <v>ISO4217:USD</v>
          </cell>
          <cell r="DX22" t="b">
            <v>0</v>
          </cell>
        </row>
        <row r="23">
          <cell r="B23" t="str">
            <v>Deferred charges and other assets</v>
          </cell>
          <cell r="D23">
            <v>3.6190000000000002</v>
          </cell>
          <cell r="E23">
            <v>4.056</v>
          </cell>
          <cell r="F23">
            <v>3.5990000000000002</v>
          </cell>
          <cell r="G23">
            <v>4.5659999999999998</v>
          </cell>
          <cell r="H23">
            <v>6.6509999999999998</v>
          </cell>
          <cell r="I23">
            <v>10.269</v>
          </cell>
          <cell r="J23">
            <v>16.024000000000001</v>
          </cell>
          <cell r="K23">
            <v>17.768000000000001</v>
          </cell>
          <cell r="L23">
            <v>15.037000000000001</v>
          </cell>
          <cell r="M23">
            <v>14.855</v>
          </cell>
          <cell r="N23">
            <v>15.297000000000001</v>
          </cell>
          <cell r="O23">
            <v>16.585000000000001</v>
          </cell>
          <cell r="P23">
            <v>16.709</v>
          </cell>
          <cell r="Q23">
            <v>16.709</v>
          </cell>
          <cell r="R23">
            <v>19.791</v>
          </cell>
          <cell r="S23">
            <v>20.042000000000002</v>
          </cell>
          <cell r="T23">
            <v>26.539000000000001</v>
          </cell>
          <cell r="U23">
            <v>22.763000000000002</v>
          </cell>
          <cell r="V23">
            <v>22.763000000000002</v>
          </cell>
          <cell r="W23">
            <v>17.809999999999999</v>
          </cell>
          <cell r="X23">
            <v>19.931999999999999</v>
          </cell>
          <cell r="Y23">
            <v>22.321999999999999</v>
          </cell>
          <cell r="Z23">
            <v>33.826999999999998</v>
          </cell>
          <cell r="AA23">
            <v>33.826999999999998</v>
          </cell>
          <cell r="AB23">
            <v>34.97</v>
          </cell>
          <cell r="AC23">
            <v>44.079000000000001</v>
          </cell>
          <cell r="AD23">
            <v>46.183</v>
          </cell>
          <cell r="AE23">
            <v>49.985999999999997</v>
          </cell>
          <cell r="AF23">
            <v>49.985999999999997</v>
          </cell>
          <cell r="AG23">
            <v>40.753999999999998</v>
          </cell>
          <cell r="AH23">
            <v>40.942999999999998</v>
          </cell>
          <cell r="AI23">
            <v>40.344000000000001</v>
          </cell>
          <cell r="AJ23">
            <v>44.686999999999998</v>
          </cell>
          <cell r="AK23">
            <v>44.686999999999998</v>
          </cell>
          <cell r="AL23">
            <v>44.844999999999999</v>
          </cell>
          <cell r="AM23">
            <v>43.075000000000003</v>
          </cell>
          <cell r="AN23">
            <v>43.837000000000003</v>
          </cell>
          <cell r="AO23">
            <v>68.894999999999996</v>
          </cell>
          <cell r="AP23">
            <v>68.894999999999996</v>
          </cell>
          <cell r="AQ23">
            <v>80.537000000000006</v>
          </cell>
          <cell r="AR23">
            <v>116.042</v>
          </cell>
          <cell r="AS23">
            <v>72.167000000000002</v>
          </cell>
          <cell r="AT23">
            <v>47.828000000000003</v>
          </cell>
          <cell r="AU23">
            <v>47.828000000000003</v>
          </cell>
          <cell r="AW23">
            <v>43.075000000000003</v>
          </cell>
          <cell r="AX23">
            <v>43.837000000000003</v>
          </cell>
          <cell r="AY23">
            <v>68.894999999999996</v>
          </cell>
          <cell r="AZ23">
            <v>80.537000000000006</v>
          </cell>
          <cell r="BA23">
            <v>80.537000000000006</v>
          </cell>
          <cell r="BB23">
            <v>116.042</v>
          </cell>
          <cell r="BC23">
            <v>72.167000000000002</v>
          </cell>
          <cell r="BD23">
            <v>47.828000000000003</v>
          </cell>
          <cell r="BE23">
            <v>96.853999999999999</v>
          </cell>
          <cell r="BF23">
            <v>96.853999999999999</v>
          </cell>
          <cell r="BG23">
            <v>69.983999999999995</v>
          </cell>
          <cell r="BH23">
            <v>67.156000000000006</v>
          </cell>
          <cell r="BI23">
            <v>76.183000000000007</v>
          </cell>
          <cell r="BJ23">
            <v>76.650000000000006</v>
          </cell>
          <cell r="BK23">
            <v>76.650000000000006</v>
          </cell>
          <cell r="BL23">
            <v>130.74100000000001</v>
          </cell>
          <cell r="BM23">
            <v>189.453</v>
          </cell>
          <cell r="BN23">
            <v>139.57400000000001</v>
          </cell>
          <cell r="BO23">
            <v>148.30000000000001</v>
          </cell>
          <cell r="BP23">
            <v>148.30000000000001</v>
          </cell>
          <cell r="BQ23">
            <v>146.05099999999999</v>
          </cell>
          <cell r="BR23">
            <v>139.28899999999999</v>
          </cell>
          <cell r="BS23">
            <v>137.459</v>
          </cell>
          <cell r="BT23">
            <v>139.131</v>
          </cell>
          <cell r="BU23">
            <v>139.131</v>
          </cell>
          <cell r="BV23">
            <v>132.18199999999999</v>
          </cell>
          <cell r="BW23">
            <v>136.27000000000001</v>
          </cell>
          <cell r="BX23">
            <v>126.941</v>
          </cell>
          <cell r="BY23">
            <v>102.56100000000001</v>
          </cell>
          <cell r="BZ23">
            <v>102.56100000000001</v>
          </cell>
          <cell r="CA23">
            <v>95.641000000000005</v>
          </cell>
          <cell r="CB23">
            <v>92.731999999999999</v>
          </cell>
          <cell r="CC23">
            <v>93.081000000000003</v>
          </cell>
          <cell r="CD23">
            <v>88.221000000000004</v>
          </cell>
          <cell r="CE23">
            <v>88.221000000000004</v>
          </cell>
          <cell r="CF23">
            <v>107.246</v>
          </cell>
          <cell r="CG23">
            <v>110.163</v>
          </cell>
          <cell r="CH23">
            <v>185.97900000000001</v>
          </cell>
          <cell r="CI23">
            <v>235.255</v>
          </cell>
          <cell r="CJ23">
            <v>235.255</v>
          </cell>
          <cell r="CK23">
            <v>330.36799999999999</v>
          </cell>
          <cell r="CL23">
            <v>325.17899999999997</v>
          </cell>
          <cell r="CM23">
            <v>324.62200000000001</v>
          </cell>
          <cell r="CN23">
            <v>324.62200000000001</v>
          </cell>
          <cell r="CO23">
            <v>324.62200000000001</v>
          </cell>
          <cell r="CP23">
            <v>324.62200000000001</v>
          </cell>
          <cell r="CQ23">
            <v>324.62200000000001</v>
          </cell>
          <cell r="CR23">
            <v>324.62200000000001</v>
          </cell>
          <cell r="CS23">
            <v>324.62200000000001</v>
          </cell>
          <cell r="CT23">
            <v>324.62200000000001</v>
          </cell>
          <cell r="CU23">
            <v>324.62200000000001</v>
          </cell>
          <cell r="CV23">
            <v>324.62200000000001</v>
          </cell>
          <cell r="CW23">
            <v>324.62200000000001</v>
          </cell>
          <cell r="CX23">
            <v>324.62200000000001</v>
          </cell>
          <cell r="CY23">
            <v>324.62200000000001</v>
          </cell>
          <cell r="CZ23">
            <v>324.62200000000001</v>
          </cell>
          <cell r="DA23">
            <v>324.62200000000001</v>
          </cell>
          <cell r="DB23">
            <v>324.62200000000001</v>
          </cell>
          <cell r="DC23">
            <v>324.62200000000001</v>
          </cell>
          <cell r="DD23">
            <v>324.62200000000001</v>
          </cell>
          <cell r="DE23">
            <v>324.62200000000001</v>
          </cell>
          <cell r="DF23">
            <v>324.62200000000001</v>
          </cell>
          <cell r="DG23">
            <v>324.62200000000001</v>
          </cell>
          <cell r="DH23">
            <v>324.62200000000001</v>
          </cell>
          <cell r="DI23">
            <v>324.62200000000001</v>
          </cell>
          <cell r="DU23" t="str">
            <v>mstag:otherAssetsOperatingNonCurrent</v>
          </cell>
          <cell r="DV23">
            <v>6</v>
          </cell>
          <cell r="DW23" t="str">
            <v>ISO4217:USD</v>
          </cell>
          <cell r="DX23" t="b">
            <v>0</v>
          </cell>
        </row>
        <row r="24">
          <cell r="B24" t="str">
            <v>TOTAL ASSETS</v>
          </cell>
          <cell r="D24">
            <v>216.1</v>
          </cell>
          <cell r="E24">
            <v>229.32200000000003</v>
          </cell>
          <cell r="F24">
            <v>242.79300000000001</v>
          </cell>
          <cell r="G24">
            <v>325.78699999999998</v>
          </cell>
          <cell r="H24">
            <v>398.81300000000005</v>
          </cell>
          <cell r="I24">
            <v>466.99799999999999</v>
          </cell>
          <cell r="J24">
            <v>591.70699999999999</v>
          </cell>
          <cell r="K24">
            <v>727.56099999999992</v>
          </cell>
          <cell r="L24">
            <v>1112.105</v>
          </cell>
          <cell r="M24">
            <v>1161.3999999999999</v>
          </cell>
          <cell r="N24">
            <v>1207.498</v>
          </cell>
          <cell r="O24">
            <v>1454.5339999999999</v>
          </cell>
          <cell r="P24">
            <v>1517.3000000000002</v>
          </cell>
          <cell r="Q24">
            <v>1517.3000000000002</v>
          </cell>
          <cell r="R24">
            <v>1553.4299999999998</v>
          </cell>
          <cell r="S24">
            <v>1572.2179999999998</v>
          </cell>
          <cell r="T24">
            <v>1629.5020000000002</v>
          </cell>
          <cell r="U24">
            <v>1772.0649999999998</v>
          </cell>
          <cell r="V24">
            <v>1772.0649999999998</v>
          </cell>
          <cell r="W24">
            <v>1825.3240000000001</v>
          </cell>
          <cell r="X24">
            <v>1838.5790000000002</v>
          </cell>
          <cell r="Y24">
            <v>1881.1369999999997</v>
          </cell>
          <cell r="Z24">
            <v>1941.577</v>
          </cell>
          <cell r="AA24">
            <v>1941.577</v>
          </cell>
          <cell r="AB24">
            <v>2150.663</v>
          </cell>
          <cell r="AC24">
            <v>2240.136</v>
          </cell>
          <cell r="AD24">
            <v>2355.4549999999999</v>
          </cell>
          <cell r="AE24">
            <v>2364.317</v>
          </cell>
          <cell r="AF24">
            <v>2364.317</v>
          </cell>
          <cell r="AG24">
            <v>2451.8910000000001</v>
          </cell>
          <cell r="AH24">
            <v>2510.0610000000001</v>
          </cell>
          <cell r="AI24">
            <v>2591.4750000000004</v>
          </cell>
          <cell r="AJ24">
            <v>2979.4869999999996</v>
          </cell>
          <cell r="AK24">
            <v>2979.4869999999996</v>
          </cell>
          <cell r="AL24">
            <v>3344.3269999999998</v>
          </cell>
          <cell r="AM24">
            <v>3401.0039999999999</v>
          </cell>
          <cell r="AN24">
            <v>3419.672</v>
          </cell>
          <cell r="AO24">
            <v>3507.288</v>
          </cell>
          <cell r="AP24">
            <v>3507.288</v>
          </cell>
          <cell r="AQ24">
            <v>3632.1990000000001</v>
          </cell>
          <cell r="AR24">
            <v>3948.9549999999999</v>
          </cell>
          <cell r="AS24">
            <v>3990.0459999999998</v>
          </cell>
          <cell r="AT24">
            <v>3988.1710000000003</v>
          </cell>
          <cell r="AU24">
            <v>3988.1710000000003</v>
          </cell>
          <cell r="AW24">
            <v>3401.0039999999999</v>
          </cell>
          <cell r="AX24">
            <v>3419.672</v>
          </cell>
          <cell r="AY24">
            <v>3507.288</v>
          </cell>
          <cell r="AZ24">
            <v>3632.1990000000001</v>
          </cell>
          <cell r="BA24">
            <v>3632.1990000000001</v>
          </cell>
          <cell r="BB24">
            <v>3948.9549999999999</v>
          </cell>
          <cell r="BC24">
            <v>3990.0459999999998</v>
          </cell>
          <cell r="BD24">
            <v>3988.1710000000003</v>
          </cell>
          <cell r="BE24">
            <v>4155.5380000000005</v>
          </cell>
          <cell r="BF24">
            <v>4155.5380000000005</v>
          </cell>
          <cell r="BG24">
            <v>4278.6720000000005</v>
          </cell>
          <cell r="BH24">
            <v>4551.0649999999996</v>
          </cell>
          <cell r="BI24">
            <v>4550.9560000000001</v>
          </cell>
          <cell r="BJ24">
            <v>4490.9519999999993</v>
          </cell>
          <cell r="BK24">
            <v>4490.9519999999993</v>
          </cell>
          <cell r="BL24">
            <v>4629.8380000000006</v>
          </cell>
          <cell r="BM24">
            <v>4764.0780000000004</v>
          </cell>
          <cell r="BN24">
            <v>4641.9949999999999</v>
          </cell>
          <cell r="BO24">
            <v>4643.9189999999999</v>
          </cell>
          <cell r="BP24">
            <v>4643.9189999999999</v>
          </cell>
          <cell r="BQ24">
            <v>4921.3429999999998</v>
          </cell>
          <cell r="BR24">
            <v>4815.8829999999998</v>
          </cell>
          <cell r="BS24">
            <v>4568.1049999999996</v>
          </cell>
          <cell r="BT24">
            <v>4555.5290000000005</v>
          </cell>
          <cell r="BU24">
            <v>4555.5290000000005</v>
          </cell>
          <cell r="BV24">
            <v>4524.0099999999993</v>
          </cell>
          <cell r="BW24">
            <v>4513.8420000000006</v>
          </cell>
          <cell r="BX24">
            <v>4587.2849999999999</v>
          </cell>
          <cell r="BY24">
            <v>4604.0990000000002</v>
          </cell>
          <cell r="BZ24">
            <v>4604.0990000000002</v>
          </cell>
          <cell r="CA24">
            <v>4701.5439999999999</v>
          </cell>
          <cell r="CB24">
            <v>4720.1629999999996</v>
          </cell>
          <cell r="CC24">
            <v>4799.8239999999996</v>
          </cell>
          <cell r="CD24">
            <v>4910.0850000000009</v>
          </cell>
          <cell r="CE24">
            <v>4910.0850000000009</v>
          </cell>
          <cell r="CF24">
            <v>5044.5080000000007</v>
          </cell>
          <cell r="CG24">
            <v>5102.0609999999988</v>
          </cell>
          <cell r="CH24">
            <v>5684.71</v>
          </cell>
          <cell r="CI24">
            <v>6004.1889999999994</v>
          </cell>
          <cell r="CJ24">
            <v>6004.1889999999994</v>
          </cell>
          <cell r="CK24">
            <v>6061.3729999999996</v>
          </cell>
          <cell r="CL24">
            <v>6175.6070000000009</v>
          </cell>
          <cell r="CM24">
            <v>6306.7280000000001</v>
          </cell>
          <cell r="CN24">
            <v>6370.9290043395858</v>
          </cell>
          <cell r="CO24">
            <v>6370.9290043395858</v>
          </cell>
          <cell r="CP24">
            <v>6372.1495787789381</v>
          </cell>
          <cell r="CQ24">
            <v>6451.6965550172727</v>
          </cell>
          <cell r="CR24">
            <v>6535.7461978407973</v>
          </cell>
          <cell r="CS24">
            <v>6559.7852803612432</v>
          </cell>
          <cell r="CT24">
            <v>6559.7852803612432</v>
          </cell>
          <cell r="CU24">
            <v>6578.8707180456304</v>
          </cell>
          <cell r="CV24">
            <v>6681.148476590578</v>
          </cell>
          <cell r="CW24">
            <v>6790.9253719780372</v>
          </cell>
          <cell r="CX24">
            <v>6835.4000285078027</v>
          </cell>
          <cell r="CY24">
            <v>6835.4000285078027</v>
          </cell>
          <cell r="CZ24">
            <v>6878.8987368485332</v>
          </cell>
          <cell r="DA24">
            <v>6992.4655886263508</v>
          </cell>
          <cell r="DB24">
            <v>7115.674245280522</v>
          </cell>
          <cell r="DC24">
            <v>7173.6067504514058</v>
          </cell>
          <cell r="DD24">
            <v>7173.6067504514058</v>
          </cell>
          <cell r="DE24">
            <v>7217.117432347758</v>
          </cell>
          <cell r="DF24">
            <v>7353.9806069161596</v>
          </cell>
          <cell r="DG24">
            <v>7493.2964482868165</v>
          </cell>
          <cell r="DH24">
            <v>7561.1661964164168</v>
          </cell>
          <cell r="DI24">
            <v>7561.1661964164168</v>
          </cell>
        </row>
        <row r="26">
          <cell r="B26" t="str">
            <v>Accounts payable</v>
          </cell>
          <cell r="D26">
            <v>12.286</v>
          </cell>
          <cell r="E26">
            <v>11.481</v>
          </cell>
          <cell r="F26">
            <v>12.526</v>
          </cell>
          <cell r="G26">
            <v>14.327999999999999</v>
          </cell>
          <cell r="H26">
            <v>15.217000000000001</v>
          </cell>
          <cell r="I26">
            <v>21.545000000000002</v>
          </cell>
          <cell r="J26">
            <v>28.754000000000001</v>
          </cell>
          <cell r="K26">
            <v>33.942999999999998</v>
          </cell>
          <cell r="L26">
            <v>44.3</v>
          </cell>
          <cell r="M26">
            <v>49.814999999999998</v>
          </cell>
          <cell r="N26">
            <v>57.055</v>
          </cell>
          <cell r="O26">
            <v>63.609000000000002</v>
          </cell>
          <cell r="P26">
            <v>73.594999999999999</v>
          </cell>
          <cell r="Q26">
            <v>73.594999999999999</v>
          </cell>
          <cell r="R26">
            <v>81.274000000000001</v>
          </cell>
          <cell r="S26">
            <v>76.468000000000004</v>
          </cell>
          <cell r="T26">
            <v>71.561999999999998</v>
          </cell>
          <cell r="U26">
            <v>78.227000000000004</v>
          </cell>
          <cell r="V26">
            <v>78.227000000000004</v>
          </cell>
          <cell r="W26">
            <v>86.215999999999994</v>
          </cell>
          <cell r="X26">
            <v>87.34</v>
          </cell>
          <cell r="Y26">
            <v>90.18</v>
          </cell>
          <cell r="Z26">
            <v>91.861999999999995</v>
          </cell>
          <cell r="AA26">
            <v>91.861999999999995</v>
          </cell>
          <cell r="AB26">
            <v>122.81</v>
          </cell>
          <cell r="AC26">
            <v>136.02500000000001</v>
          </cell>
          <cell r="AD26">
            <v>138.52600000000001</v>
          </cell>
          <cell r="AE26">
            <v>132.22800000000001</v>
          </cell>
          <cell r="AF26">
            <v>132.22800000000001</v>
          </cell>
          <cell r="AG26">
            <v>135.18199999999999</v>
          </cell>
          <cell r="AH26">
            <v>146.63499999999999</v>
          </cell>
          <cell r="AI26">
            <v>126.247</v>
          </cell>
          <cell r="AJ26">
            <v>136.136</v>
          </cell>
          <cell r="AK26">
            <v>136.136</v>
          </cell>
          <cell r="AL26">
            <v>142.184</v>
          </cell>
          <cell r="AM26">
            <v>151.31899999999999</v>
          </cell>
          <cell r="AN26">
            <v>145.40100000000001</v>
          </cell>
          <cell r="AO26">
            <v>140.69499999999999</v>
          </cell>
          <cell r="AP26">
            <v>140.69499999999999</v>
          </cell>
          <cell r="AQ26">
            <v>140.88999999999999</v>
          </cell>
          <cell r="AR26">
            <v>161.41</v>
          </cell>
          <cell r="AS26">
            <v>166.155</v>
          </cell>
          <cell r="AT26">
            <v>181.77600000000001</v>
          </cell>
          <cell r="AU26">
            <v>181.77600000000001</v>
          </cell>
          <cell r="AW26">
            <v>151.31899999999999</v>
          </cell>
          <cell r="AX26">
            <v>145.40100000000001</v>
          </cell>
          <cell r="AY26">
            <v>140.69499999999999</v>
          </cell>
          <cell r="AZ26">
            <v>140.88999999999999</v>
          </cell>
          <cell r="BA26">
            <v>140.88999999999999</v>
          </cell>
          <cell r="BB26">
            <v>161.41</v>
          </cell>
          <cell r="BC26">
            <v>166.155</v>
          </cell>
          <cell r="BD26">
            <v>181.77600000000001</v>
          </cell>
          <cell r="BE26">
            <v>195.52199999999999</v>
          </cell>
          <cell r="BF26">
            <v>195.52199999999999</v>
          </cell>
          <cell r="BG26">
            <v>190.38499999999999</v>
          </cell>
          <cell r="BH26">
            <v>221.10900000000001</v>
          </cell>
          <cell r="BI26">
            <v>126.145</v>
          </cell>
          <cell r="BJ26">
            <v>154.22900000000001</v>
          </cell>
          <cell r="BK26">
            <v>154.22900000000001</v>
          </cell>
          <cell r="BL26">
            <v>151.96899999999999</v>
          </cell>
          <cell r="BM26">
            <v>200.833</v>
          </cell>
          <cell r="BN26">
            <v>171.095</v>
          </cell>
          <cell r="BO26">
            <v>162.13800000000001</v>
          </cell>
          <cell r="BP26">
            <v>162.13800000000001</v>
          </cell>
          <cell r="BQ26">
            <v>168.28800000000001</v>
          </cell>
          <cell r="BR26">
            <v>174.07599999999999</v>
          </cell>
          <cell r="BS26">
            <v>189.96799999999999</v>
          </cell>
          <cell r="BT26">
            <v>172.84800000000001</v>
          </cell>
          <cell r="BU26">
            <v>172.84800000000001</v>
          </cell>
          <cell r="BV26">
            <v>177.71100000000001</v>
          </cell>
          <cell r="BW26">
            <v>126.70099999999999</v>
          </cell>
          <cell r="BX26">
            <v>108.684</v>
          </cell>
          <cell r="BY26">
            <v>141.143</v>
          </cell>
          <cell r="BZ26">
            <v>141.143</v>
          </cell>
          <cell r="CA26">
            <v>157.142</v>
          </cell>
          <cell r="CB26">
            <v>156.33500000000001</v>
          </cell>
          <cell r="CC26">
            <v>116.479</v>
          </cell>
          <cell r="CD26">
            <v>172.501</v>
          </cell>
          <cell r="CE26">
            <v>172.501</v>
          </cell>
          <cell r="CF26">
            <v>188.03</v>
          </cell>
          <cell r="CG26">
            <v>169.38300000000001</v>
          </cell>
          <cell r="CH26">
            <v>169.471</v>
          </cell>
          <cell r="CI26">
            <v>198.12</v>
          </cell>
          <cell r="CJ26">
            <v>198.12</v>
          </cell>
          <cell r="CK26">
            <v>185.40100000000001</v>
          </cell>
          <cell r="CL26">
            <v>181.18600000000001</v>
          </cell>
          <cell r="CM26">
            <v>187.708</v>
          </cell>
          <cell r="CN26">
            <v>185.48539806630117</v>
          </cell>
          <cell r="CO26">
            <v>185.48539806630117</v>
          </cell>
          <cell r="CP26">
            <v>199.01233405137231</v>
          </cell>
          <cell r="CQ26">
            <v>187.48467509952809</v>
          </cell>
          <cell r="CR26">
            <v>177.71693528027103</v>
          </cell>
          <cell r="CS26">
            <v>192.46185822416123</v>
          </cell>
          <cell r="CT26">
            <v>192.46185822416123</v>
          </cell>
          <cell r="CU26">
            <v>210.83502765819037</v>
          </cell>
          <cell r="CV26">
            <v>199.09387809293997</v>
          </cell>
          <cell r="CW26">
            <v>188.80387693617905</v>
          </cell>
          <cell r="CX26">
            <v>204.07672866045937</v>
          </cell>
          <cell r="CY26">
            <v>204.07672866045937</v>
          </cell>
          <cell r="CZ26">
            <v>224.41503810877438</v>
          </cell>
          <cell r="DA26">
            <v>212.04538879814191</v>
          </cell>
          <cell r="DB26">
            <v>201.12269419332165</v>
          </cell>
          <cell r="DC26">
            <v>217.35672708423991</v>
          </cell>
          <cell r="DD26">
            <v>217.35672708423991</v>
          </cell>
          <cell r="DE26">
            <v>233.3641543221641</v>
          </cell>
          <cell r="DF26">
            <v>222.70537490051004</v>
          </cell>
          <cell r="DG26">
            <v>211.26567179009223</v>
          </cell>
          <cell r="DH26">
            <v>227.92548503627344</v>
          </cell>
          <cell r="DI26">
            <v>227.92548503627344</v>
          </cell>
          <cell r="DU26" t="str">
            <v>mstag:tradeAndOtherPayablesCurrent</v>
          </cell>
          <cell r="DV26">
            <v>6</v>
          </cell>
          <cell r="DW26" t="str">
            <v>ISO4217:USD</v>
          </cell>
          <cell r="DX26" t="b">
            <v>0</v>
          </cell>
        </row>
        <row r="27">
          <cell r="B27" t="str">
            <v>Accrued interest</v>
          </cell>
          <cell r="D27">
            <v>2.6339999999999999</v>
          </cell>
          <cell r="E27">
            <v>3.617</v>
          </cell>
          <cell r="F27">
            <v>1.4450000000000001</v>
          </cell>
          <cell r="G27">
            <v>1.3740000000000001</v>
          </cell>
          <cell r="H27">
            <v>1.454</v>
          </cell>
          <cell r="I27">
            <v>1.399</v>
          </cell>
          <cell r="J27">
            <v>1.94</v>
          </cell>
          <cell r="K27">
            <v>1.512</v>
          </cell>
          <cell r="L27">
            <v>1.6479999999999999</v>
          </cell>
          <cell r="M27">
            <v>0</v>
          </cell>
          <cell r="N27">
            <v>0</v>
          </cell>
          <cell r="O27">
            <v>0</v>
          </cell>
          <cell r="P27">
            <v>0.98899999999999999</v>
          </cell>
          <cell r="Q27">
            <v>0.98899999999999999</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U27" t="str">
            <v>mstag:otherAccruedExpenses</v>
          </cell>
          <cell r="DV27">
            <v>6</v>
          </cell>
          <cell r="DW27" t="str">
            <v>ISO4217:USD</v>
          </cell>
          <cell r="DX27" t="b">
            <v>0</v>
          </cell>
        </row>
        <row r="28">
          <cell r="B28" t="str">
            <v>Accrued payroll and related taxes</v>
          </cell>
          <cell r="D28">
            <v>3.7189999999999999</v>
          </cell>
          <cell r="E28">
            <v>5.1980000000000004</v>
          </cell>
          <cell r="F28">
            <v>5.6769999999999996</v>
          </cell>
          <cell r="G28">
            <v>7.51</v>
          </cell>
          <cell r="H28">
            <v>7.3129999999999997</v>
          </cell>
          <cell r="I28">
            <v>7.5990000000000002</v>
          </cell>
          <cell r="J28">
            <v>12.131</v>
          </cell>
          <cell r="K28">
            <v>16.866</v>
          </cell>
          <cell r="L28">
            <v>20.968</v>
          </cell>
          <cell r="M28">
            <v>0</v>
          </cell>
          <cell r="N28">
            <v>0</v>
          </cell>
          <cell r="O28">
            <v>0</v>
          </cell>
          <cell r="P28">
            <v>29.402000000000001</v>
          </cell>
          <cell r="Q28">
            <v>29.402000000000001</v>
          </cell>
          <cell r="R28">
            <v>0</v>
          </cell>
          <cell r="S28">
            <v>0</v>
          </cell>
          <cell r="T28">
            <v>0</v>
          </cell>
          <cell r="U28">
            <v>27.029</v>
          </cell>
          <cell r="V28">
            <v>27.029</v>
          </cell>
          <cell r="W28">
            <v>0</v>
          </cell>
          <cell r="X28">
            <v>0</v>
          </cell>
          <cell r="Y28">
            <v>0</v>
          </cell>
          <cell r="Z28">
            <v>31.942</v>
          </cell>
          <cell r="AA28">
            <v>31.942</v>
          </cell>
          <cell r="AB28">
            <v>0</v>
          </cell>
          <cell r="AC28">
            <v>0</v>
          </cell>
          <cell r="AD28">
            <v>0</v>
          </cell>
          <cell r="AE28">
            <v>39.396999999999998</v>
          </cell>
          <cell r="AF28">
            <v>39.396999999999998</v>
          </cell>
          <cell r="AG28">
            <v>0</v>
          </cell>
          <cell r="AH28">
            <v>0</v>
          </cell>
          <cell r="AI28">
            <v>0</v>
          </cell>
          <cell r="AJ28">
            <v>48.56</v>
          </cell>
          <cell r="AK28">
            <v>48.56</v>
          </cell>
          <cell r="AL28">
            <v>0</v>
          </cell>
          <cell r="AM28">
            <v>0</v>
          </cell>
          <cell r="AN28">
            <v>0</v>
          </cell>
          <cell r="AO28">
            <v>62.119</v>
          </cell>
          <cell r="AP28">
            <v>62.119</v>
          </cell>
          <cell r="AQ28">
            <v>0</v>
          </cell>
          <cell r="AR28">
            <v>0</v>
          </cell>
          <cell r="AS28">
            <v>0</v>
          </cell>
          <cell r="AT28">
            <v>75.766000000000005</v>
          </cell>
          <cell r="AU28">
            <v>75.766000000000005</v>
          </cell>
          <cell r="AW28">
            <v>0</v>
          </cell>
          <cell r="AX28">
            <v>0</v>
          </cell>
          <cell r="AY28">
            <v>62.119</v>
          </cell>
          <cell r="AZ28">
            <v>0</v>
          </cell>
          <cell r="BA28">
            <v>0</v>
          </cell>
          <cell r="BB28">
            <v>0</v>
          </cell>
          <cell r="BC28">
            <v>0</v>
          </cell>
          <cell r="BD28">
            <v>75.766000000000005</v>
          </cell>
          <cell r="BE28">
            <v>0</v>
          </cell>
          <cell r="BF28">
            <v>0</v>
          </cell>
          <cell r="BG28">
            <v>0</v>
          </cell>
          <cell r="BH28">
            <v>0</v>
          </cell>
          <cell r="BI28">
            <v>0</v>
          </cell>
          <cell r="BJ28">
            <v>84.266000000000005</v>
          </cell>
          <cell r="BK28">
            <v>84.266000000000005</v>
          </cell>
          <cell r="BL28">
            <v>0</v>
          </cell>
          <cell r="BM28">
            <v>0</v>
          </cell>
          <cell r="BN28">
            <v>0</v>
          </cell>
          <cell r="BO28">
            <v>81.031999999999996</v>
          </cell>
          <cell r="BP28">
            <v>81.031999999999996</v>
          </cell>
          <cell r="BQ28">
            <v>0</v>
          </cell>
          <cell r="BR28">
            <v>0</v>
          </cell>
          <cell r="BS28">
            <v>0</v>
          </cell>
          <cell r="BT28">
            <v>69.430999999999997</v>
          </cell>
          <cell r="BU28">
            <v>69.430999999999997</v>
          </cell>
          <cell r="BV28">
            <v>0</v>
          </cell>
          <cell r="BW28">
            <v>0</v>
          </cell>
          <cell r="BX28">
            <v>0</v>
          </cell>
          <cell r="BY28">
            <v>80.277000000000001</v>
          </cell>
          <cell r="BZ28">
            <v>80.277000000000001</v>
          </cell>
          <cell r="CA28">
            <v>0</v>
          </cell>
          <cell r="CB28">
            <v>0</v>
          </cell>
          <cell r="CC28">
            <v>0</v>
          </cell>
          <cell r="CD28">
            <v>83.286000000000001</v>
          </cell>
          <cell r="CE28">
            <v>83.286000000000001</v>
          </cell>
          <cell r="CF28">
            <v>0</v>
          </cell>
          <cell r="CG28">
            <v>0</v>
          </cell>
          <cell r="CH28">
            <v>0</v>
          </cell>
          <cell r="CI28">
            <v>80.281000000000006</v>
          </cell>
          <cell r="CJ28">
            <v>80.281000000000006</v>
          </cell>
          <cell r="CK28">
            <v>0</v>
          </cell>
          <cell r="CL28">
            <v>0</v>
          </cell>
          <cell r="CM28">
            <v>0</v>
          </cell>
          <cell r="CN28">
            <v>26.96683713713028</v>
          </cell>
          <cell r="CO28">
            <v>26.96683713713028</v>
          </cell>
          <cell r="CP28">
            <v>34.02234827157411</v>
          </cell>
          <cell r="CQ28">
            <v>32.925217354691753</v>
          </cell>
          <cell r="CR28">
            <v>32.471691770957065</v>
          </cell>
          <cell r="CS28">
            <v>34.50373533771868</v>
          </cell>
          <cell r="CT28">
            <v>34.50373533771868</v>
          </cell>
          <cell r="CU28">
            <v>35.543028266840913</v>
          </cell>
          <cell r="CV28">
            <v>34.424223521346676</v>
          </cell>
          <cell r="CW28">
            <v>33.954560766095959</v>
          </cell>
          <cell r="CX28">
            <v>36.056976926202012</v>
          </cell>
          <cell r="CY28">
            <v>36.056976926202012</v>
          </cell>
          <cell r="CZ28">
            <v>37.196243257747398</v>
          </cell>
          <cell r="DA28">
            <v>36.033390155978154</v>
          </cell>
          <cell r="DB28">
            <v>35.543492047302827</v>
          </cell>
          <cell r="DC28">
            <v>37.742336758956206</v>
          </cell>
          <cell r="DD28">
            <v>37.742336758956206</v>
          </cell>
          <cell r="DE28">
            <v>38.933701340232965</v>
          </cell>
          <cell r="DF28">
            <v>37.704236991636165</v>
          </cell>
          <cell r="DG28">
            <v>37.193105229038188</v>
          </cell>
          <cell r="DH28">
            <v>39.47217833339019</v>
          </cell>
          <cell r="DI28">
            <v>39.47217833339019</v>
          </cell>
          <cell r="DU28" t="str">
            <v>mstag:payrollAndBenefitsRelatedLiabilities</v>
          </cell>
          <cell r="DV28">
            <v>6</v>
          </cell>
          <cell r="DW28" t="str">
            <v>ISO4217:USD</v>
          </cell>
          <cell r="DX28" t="b">
            <v>0</v>
          </cell>
        </row>
        <row r="29">
          <cell r="B29" t="str">
            <v>Accrued expenses and other liabilities</v>
          </cell>
          <cell r="D29">
            <v>5.9969999999999999</v>
          </cell>
          <cell r="E29">
            <v>7.9969999999999999</v>
          </cell>
          <cell r="F29">
            <v>7.7279999999999998</v>
          </cell>
          <cell r="G29">
            <v>8.8119999999999994</v>
          </cell>
          <cell r="H29">
            <v>8.4749999999999996</v>
          </cell>
          <cell r="I29">
            <v>13.516999999999999</v>
          </cell>
          <cell r="J29">
            <v>15.653</v>
          </cell>
          <cell r="K29">
            <v>19.074999999999999</v>
          </cell>
          <cell r="L29">
            <v>20.056000000000001</v>
          </cell>
          <cell r="M29">
            <v>43.792000000000002</v>
          </cell>
          <cell r="N29">
            <v>42.055</v>
          </cell>
          <cell r="O29">
            <v>53.244999999999997</v>
          </cell>
          <cell r="P29">
            <v>29.614999999999998</v>
          </cell>
          <cell r="Q29">
            <v>29.614999999999998</v>
          </cell>
          <cell r="R29">
            <v>55.703000000000003</v>
          </cell>
          <cell r="S29">
            <v>57.226999999999997</v>
          </cell>
          <cell r="T29">
            <v>54.908000000000001</v>
          </cell>
          <cell r="U29">
            <v>32.908999999999999</v>
          </cell>
          <cell r="V29">
            <v>32.908999999999999</v>
          </cell>
          <cell r="W29">
            <v>88.194999999999993</v>
          </cell>
          <cell r="X29">
            <v>77.599999999999994</v>
          </cell>
          <cell r="Y29">
            <v>77.751000000000005</v>
          </cell>
          <cell r="Z29">
            <v>41.674999999999997</v>
          </cell>
          <cell r="AA29">
            <v>41.674999999999997</v>
          </cell>
          <cell r="AB29">
            <v>98.763999999999996</v>
          </cell>
          <cell r="AC29">
            <v>121.715</v>
          </cell>
          <cell r="AD29">
            <v>132.792</v>
          </cell>
          <cell r="AE29">
            <v>61.381</v>
          </cell>
          <cell r="AF29">
            <v>61.381</v>
          </cell>
          <cell r="AG29">
            <v>128.02199999999999</v>
          </cell>
          <cell r="AH29">
            <v>128.852</v>
          </cell>
          <cell r="AI29">
            <v>134.387</v>
          </cell>
          <cell r="AJ29">
            <v>63.40100000000001</v>
          </cell>
          <cell r="AK29">
            <v>63.40100000000001</v>
          </cell>
          <cell r="AL29">
            <v>149.34</v>
          </cell>
          <cell r="AM29">
            <v>130.21199999999999</v>
          </cell>
          <cell r="AN29">
            <v>137.05000000000001</v>
          </cell>
          <cell r="AO29">
            <v>91.537999999999997</v>
          </cell>
          <cell r="AP29">
            <v>91.537999999999997</v>
          </cell>
          <cell r="AQ29">
            <v>150.10300000000001</v>
          </cell>
          <cell r="AR29">
            <v>151.542</v>
          </cell>
          <cell r="AS29">
            <v>152.489</v>
          </cell>
          <cell r="AT29">
            <v>150.43600000000001</v>
          </cell>
          <cell r="AU29">
            <v>150.43600000000001</v>
          </cell>
          <cell r="AW29">
            <v>130.21199999999999</v>
          </cell>
          <cell r="AX29">
            <v>137.05000000000001</v>
          </cell>
          <cell r="AY29">
            <v>91.537999999999997</v>
          </cell>
          <cell r="AZ29">
            <v>150.10300000000001</v>
          </cell>
          <cell r="BA29">
            <v>150.10300000000001</v>
          </cell>
          <cell r="BB29">
            <v>151.542</v>
          </cell>
          <cell r="BC29">
            <v>152.489</v>
          </cell>
          <cell r="BD29">
            <v>150.43600000000001</v>
          </cell>
          <cell r="BE29">
            <v>211</v>
          </cell>
          <cell r="BF29">
            <v>211</v>
          </cell>
          <cell r="BG29">
            <v>243.34200000000001</v>
          </cell>
          <cell r="BH29">
            <v>253.68299999999999</v>
          </cell>
          <cell r="BI29">
            <v>315.673</v>
          </cell>
          <cell r="BJ29">
            <v>165.971</v>
          </cell>
          <cell r="BK29">
            <v>165.971</v>
          </cell>
          <cell r="BL29">
            <v>287.09699999999998</v>
          </cell>
          <cell r="BM29">
            <v>276.721</v>
          </cell>
          <cell r="BN29">
            <v>251.959</v>
          </cell>
          <cell r="BO29">
            <v>143.74700000000001</v>
          </cell>
          <cell r="BP29">
            <v>143.74700000000001</v>
          </cell>
          <cell r="BQ29">
            <v>250.84800000000001</v>
          </cell>
          <cell r="BR29">
            <v>253.87</v>
          </cell>
          <cell r="BS29">
            <v>267.33600000000001</v>
          </cell>
          <cell r="BT29">
            <v>171.416</v>
          </cell>
          <cell r="BU29">
            <v>171.416</v>
          </cell>
          <cell r="BV29">
            <v>277.18299999999999</v>
          </cell>
          <cell r="BW29">
            <v>299.86500000000001</v>
          </cell>
          <cell r="BX29">
            <v>306.18200000000002</v>
          </cell>
          <cell r="BY29">
            <v>213.52500000000001</v>
          </cell>
          <cell r="BZ29">
            <v>213.52500000000001</v>
          </cell>
          <cell r="CA29">
            <v>320.04899999999998</v>
          </cell>
          <cell r="CB29">
            <v>300.08</v>
          </cell>
          <cell r="CC29">
            <v>351.73399999999998</v>
          </cell>
          <cell r="CD29">
            <v>226.125</v>
          </cell>
          <cell r="CE29">
            <v>226.125</v>
          </cell>
          <cell r="CF29">
            <v>338.202</v>
          </cell>
          <cell r="CG29">
            <v>338.24200000000002</v>
          </cell>
          <cell r="CH29">
            <v>421.98700000000002</v>
          </cell>
          <cell r="CI29">
            <v>368.79</v>
          </cell>
          <cell r="CJ29">
            <v>368.79</v>
          </cell>
          <cell r="CK29">
            <v>497.59800000000001</v>
          </cell>
          <cell r="CL29">
            <v>553.39700000000005</v>
          </cell>
          <cell r="CM29">
            <v>613.26300000000003</v>
          </cell>
          <cell r="CN29">
            <v>601.91814835450441</v>
          </cell>
          <cell r="CO29">
            <v>601.91814835450441</v>
          </cell>
          <cell r="CP29">
            <v>530.7639982964489</v>
          </cell>
          <cell r="CQ29">
            <v>576.74872886024491</v>
          </cell>
          <cell r="CR29">
            <v>639.38686559616781</v>
          </cell>
          <cell r="CS29">
            <v>630.94817881259974</v>
          </cell>
          <cell r="CT29">
            <v>630.94817881259974</v>
          </cell>
          <cell r="CU29">
            <v>570.74129775681183</v>
          </cell>
          <cell r="CV29">
            <v>619.65026401387615</v>
          </cell>
          <cell r="CW29">
            <v>685.40567736863875</v>
          </cell>
          <cell r="CX29">
            <v>676.45342583687341</v>
          </cell>
          <cell r="CY29">
            <v>676.45342583687341</v>
          </cell>
          <cell r="CZ29">
            <v>615.06083937061862</v>
          </cell>
          <cell r="DA29">
            <v>666.59160973807752</v>
          </cell>
          <cell r="DB29">
            <v>735.63138245031757</v>
          </cell>
          <cell r="DC29">
            <v>726.78315840697269</v>
          </cell>
          <cell r="DD29">
            <v>726.78315840697269</v>
          </cell>
          <cell r="DE29">
            <v>655.47720355803915</v>
          </cell>
          <cell r="DF29">
            <v>716.4355777923804</v>
          </cell>
          <cell r="DG29">
            <v>788.88972400719433</v>
          </cell>
          <cell r="DH29">
            <v>779.53337920029753</v>
          </cell>
          <cell r="DI29">
            <v>779.53337920029753</v>
          </cell>
          <cell r="DU29" t="str">
            <v>mstag:otherAccruedExpenses</v>
          </cell>
          <cell r="DV29">
            <v>6</v>
          </cell>
          <cell r="DW29" t="str">
            <v>ISO4217:USD</v>
          </cell>
          <cell r="DX29" t="b">
            <v>0</v>
          </cell>
        </row>
        <row r="30">
          <cell r="B30" t="str">
            <v>Due to third party payors</v>
          </cell>
          <cell r="D30">
            <v>0</v>
          </cell>
          <cell r="E30">
            <v>0</v>
          </cell>
          <cell r="F30">
            <v>0</v>
          </cell>
          <cell r="G30">
            <v>0</v>
          </cell>
          <cell r="H30">
            <v>0</v>
          </cell>
          <cell r="I30">
            <v>0</v>
          </cell>
          <cell r="J30">
            <v>0</v>
          </cell>
          <cell r="K30">
            <v>0</v>
          </cell>
          <cell r="L30">
            <v>14.843999999999999</v>
          </cell>
          <cell r="M30">
            <v>14.843999999999999</v>
          </cell>
          <cell r="N30">
            <v>0</v>
          </cell>
          <cell r="O30">
            <v>0</v>
          </cell>
          <cell r="P30">
            <v>11.991</v>
          </cell>
          <cell r="Q30">
            <v>11.991</v>
          </cell>
          <cell r="R30">
            <v>0</v>
          </cell>
          <cell r="S30">
            <v>0</v>
          </cell>
          <cell r="T30">
            <v>0</v>
          </cell>
          <cell r="U30">
            <v>22.972000000000001</v>
          </cell>
          <cell r="V30">
            <v>22.972000000000001</v>
          </cell>
          <cell r="W30">
            <v>0</v>
          </cell>
          <cell r="X30">
            <v>0</v>
          </cell>
          <cell r="Y30">
            <v>0</v>
          </cell>
          <cell r="Z30">
            <v>14.5</v>
          </cell>
          <cell r="AA30">
            <v>14.5</v>
          </cell>
          <cell r="AB30">
            <v>0</v>
          </cell>
          <cell r="AC30">
            <v>0</v>
          </cell>
          <cell r="AD30">
            <v>0</v>
          </cell>
          <cell r="AE30">
            <v>21.9</v>
          </cell>
          <cell r="AF30">
            <v>21.9</v>
          </cell>
          <cell r="AG30">
            <v>0</v>
          </cell>
          <cell r="AH30">
            <v>0</v>
          </cell>
          <cell r="AI30">
            <v>0</v>
          </cell>
          <cell r="AJ30">
            <v>10.019</v>
          </cell>
          <cell r="AK30">
            <v>10.019</v>
          </cell>
          <cell r="AL30">
            <v>0</v>
          </cell>
          <cell r="AM30">
            <v>0</v>
          </cell>
          <cell r="AN30">
            <v>0</v>
          </cell>
          <cell r="AO30">
            <v>9.5730000000000004</v>
          </cell>
          <cell r="AP30">
            <v>9.5730000000000004</v>
          </cell>
          <cell r="AQ30">
            <v>0</v>
          </cell>
          <cell r="AR30">
            <v>0</v>
          </cell>
          <cell r="AS30">
            <v>0</v>
          </cell>
          <cell r="AT30">
            <v>12.574999999999999</v>
          </cell>
          <cell r="AU30">
            <v>12.574999999999999</v>
          </cell>
          <cell r="AW30">
            <v>0</v>
          </cell>
          <cell r="AX30">
            <v>0</v>
          </cell>
          <cell r="AY30">
            <v>9.5730000000000004</v>
          </cell>
          <cell r="AZ30">
            <v>0</v>
          </cell>
          <cell r="BA30">
            <v>0</v>
          </cell>
          <cell r="BB30">
            <v>0</v>
          </cell>
          <cell r="BC30">
            <v>0</v>
          </cell>
          <cell r="BD30">
            <v>12.574999999999999</v>
          </cell>
          <cell r="BE30">
            <v>0</v>
          </cell>
          <cell r="BF30">
            <v>0</v>
          </cell>
          <cell r="BG30">
            <v>0</v>
          </cell>
          <cell r="BH30">
            <v>0</v>
          </cell>
          <cell r="BI30">
            <v>0</v>
          </cell>
          <cell r="BJ30">
            <v>21.859000000000002</v>
          </cell>
          <cell r="BK30">
            <v>21.859000000000002</v>
          </cell>
          <cell r="BL30">
            <v>0</v>
          </cell>
          <cell r="BM30">
            <v>0</v>
          </cell>
          <cell r="BN30">
            <v>0</v>
          </cell>
          <cell r="BO30">
            <v>12.506</v>
          </cell>
          <cell r="BP30">
            <v>12.506</v>
          </cell>
          <cell r="BQ30">
            <v>0</v>
          </cell>
          <cell r="BR30">
            <v>0</v>
          </cell>
          <cell r="BS30">
            <v>0</v>
          </cell>
          <cell r="BT30">
            <v>13.442</v>
          </cell>
          <cell r="BU30">
            <v>13.442</v>
          </cell>
          <cell r="BV30">
            <v>0</v>
          </cell>
          <cell r="BW30">
            <v>0</v>
          </cell>
          <cell r="BX30">
            <v>0</v>
          </cell>
          <cell r="BY30">
            <v>11.986000000000001</v>
          </cell>
          <cell r="BZ30">
            <v>11.986000000000001</v>
          </cell>
          <cell r="CA30">
            <v>0</v>
          </cell>
          <cell r="CB30">
            <v>0</v>
          </cell>
          <cell r="CC30">
            <v>0</v>
          </cell>
          <cell r="CD30">
            <v>11.920999999999999</v>
          </cell>
          <cell r="CE30">
            <v>11.920999999999999</v>
          </cell>
          <cell r="CF30">
            <v>0</v>
          </cell>
          <cell r="CG30">
            <v>0</v>
          </cell>
          <cell r="CH30">
            <v>0</v>
          </cell>
          <cell r="CI30">
            <v>20.658000000000001</v>
          </cell>
          <cell r="CJ30">
            <v>20.658000000000001</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U30" t="str">
            <v>mstag:otherLiabilitiesOperatingCurrent</v>
          </cell>
          <cell r="DV30">
            <v>6</v>
          </cell>
          <cell r="DW30" t="str">
            <v>ISO4217:USD</v>
          </cell>
          <cell r="DX30" t="b">
            <v>0</v>
          </cell>
        </row>
        <row r="31">
          <cell r="B31" t="str">
            <v>Current maturities of L/T debt &amp; leases</v>
          </cell>
          <cell r="D31">
            <v>3.4550000000000001</v>
          </cell>
          <cell r="E31">
            <v>2.3679999999999999</v>
          </cell>
          <cell r="F31">
            <v>4.5090000000000003</v>
          </cell>
          <cell r="G31">
            <v>6.1109999999999998</v>
          </cell>
          <cell r="H31">
            <v>7.1040000000000001</v>
          </cell>
          <cell r="I31">
            <v>6.5709999999999997</v>
          </cell>
          <cell r="J31">
            <v>8.4380000000000006</v>
          </cell>
          <cell r="K31">
            <v>8.2629999999999999</v>
          </cell>
          <cell r="L31">
            <v>8.5440000000000005</v>
          </cell>
          <cell r="M31">
            <v>6.8890000000000002</v>
          </cell>
          <cell r="N31">
            <v>8.1549999999999994</v>
          </cell>
          <cell r="O31">
            <v>10.223000000000001</v>
          </cell>
          <cell r="P31">
            <v>9.3510000000000009</v>
          </cell>
          <cell r="Q31">
            <v>9.3510000000000009</v>
          </cell>
          <cell r="R31">
            <v>17.888000000000002</v>
          </cell>
          <cell r="S31">
            <v>16.88</v>
          </cell>
          <cell r="T31">
            <v>6.0069999999999997</v>
          </cell>
          <cell r="U31">
            <v>6.5229999999999997</v>
          </cell>
          <cell r="V31">
            <v>6.5229999999999997</v>
          </cell>
          <cell r="W31">
            <v>6.6449999999999996</v>
          </cell>
          <cell r="X31">
            <v>6.6189999999999998</v>
          </cell>
          <cell r="Y31">
            <v>6.6689999999999996</v>
          </cell>
          <cell r="Z31">
            <v>6.7519999999999998</v>
          </cell>
          <cell r="AA31">
            <v>6.7519999999999998</v>
          </cell>
          <cell r="AB31">
            <v>7.3220000000000001</v>
          </cell>
          <cell r="AC31">
            <v>7.2450000000000001</v>
          </cell>
          <cell r="AD31">
            <v>5.4729999999999999</v>
          </cell>
          <cell r="AE31">
            <v>7.609</v>
          </cell>
          <cell r="AF31">
            <v>7.609</v>
          </cell>
          <cell r="AG31">
            <v>7.5190000000000001</v>
          </cell>
          <cell r="AH31">
            <v>7.7290000000000001</v>
          </cell>
          <cell r="AI31">
            <v>7.7770000000000001</v>
          </cell>
          <cell r="AJ31">
            <v>9.4469999999999992</v>
          </cell>
          <cell r="AK31">
            <v>9.4469999999999992</v>
          </cell>
          <cell r="AL31">
            <v>208.90600000000001</v>
          </cell>
          <cell r="AM31">
            <v>8.8559999999999999</v>
          </cell>
          <cell r="AN31">
            <v>8.7899999999999991</v>
          </cell>
          <cell r="AO31">
            <v>9.7420000000000009</v>
          </cell>
          <cell r="AP31">
            <v>9.7420000000000009</v>
          </cell>
          <cell r="AQ31">
            <v>10.319000000000001</v>
          </cell>
          <cell r="AR31">
            <v>10.327999999999999</v>
          </cell>
          <cell r="AS31">
            <v>10.036</v>
          </cell>
          <cell r="AT31">
            <v>633.33799999999997</v>
          </cell>
          <cell r="AU31">
            <v>633.33799999999997</v>
          </cell>
          <cell r="AW31">
            <v>8.8559999999999999</v>
          </cell>
          <cell r="AX31">
            <v>8.7899999999999991</v>
          </cell>
          <cell r="AY31">
            <v>9.7420000000000009</v>
          </cell>
          <cell r="AZ31">
            <v>10.319000000000001</v>
          </cell>
          <cell r="BA31">
            <v>10.319000000000001</v>
          </cell>
          <cell r="BB31">
            <v>10.327999999999999</v>
          </cell>
          <cell r="BC31">
            <v>10.036</v>
          </cell>
          <cell r="BD31">
            <v>633.33799999999997</v>
          </cell>
          <cell r="BE31">
            <v>584.36699999999996</v>
          </cell>
          <cell r="BF31">
            <v>584.36699999999996</v>
          </cell>
          <cell r="BG31">
            <v>12.337999999999999</v>
          </cell>
          <cell r="BH31">
            <v>27.355</v>
          </cell>
          <cell r="BI31">
            <v>29.9</v>
          </cell>
          <cell r="BJ31">
            <v>44.656999999999996</v>
          </cell>
          <cell r="BK31">
            <v>44.656999999999996</v>
          </cell>
          <cell r="BL31">
            <v>49.84</v>
          </cell>
          <cell r="BM31">
            <v>50.290999999999997</v>
          </cell>
          <cell r="BN31">
            <v>376.71699999999998</v>
          </cell>
          <cell r="BO31">
            <v>197.727</v>
          </cell>
          <cell r="BP31">
            <v>197.727</v>
          </cell>
          <cell r="BQ31">
            <v>150.07300000000001</v>
          </cell>
          <cell r="BR31">
            <v>320.10300000000001</v>
          </cell>
          <cell r="BS31">
            <v>42.244999999999997</v>
          </cell>
          <cell r="BT31">
            <v>63.134</v>
          </cell>
          <cell r="BU31">
            <v>63.134</v>
          </cell>
          <cell r="BV31">
            <v>40.744</v>
          </cell>
          <cell r="BW31">
            <v>37.552999999999997</v>
          </cell>
          <cell r="BX31">
            <v>36.427999999999997</v>
          </cell>
          <cell r="BY31">
            <v>35.988999999999997</v>
          </cell>
          <cell r="BZ31">
            <v>35.988999999999997</v>
          </cell>
          <cell r="CA31">
            <v>35.936</v>
          </cell>
          <cell r="CB31">
            <v>35.643999999999998</v>
          </cell>
          <cell r="CC31">
            <v>35.338999999999999</v>
          </cell>
          <cell r="CD31">
            <v>34.744999999999997</v>
          </cell>
          <cell r="CE31">
            <v>34.744999999999997</v>
          </cell>
          <cell r="CF31">
            <v>33.667000000000002</v>
          </cell>
          <cell r="CG31">
            <v>35.659999999999997</v>
          </cell>
          <cell r="CH31">
            <v>69.86</v>
          </cell>
          <cell r="CI31">
            <v>85.509</v>
          </cell>
          <cell r="CJ31">
            <v>85.509</v>
          </cell>
          <cell r="CK31">
            <v>86.094999999999999</v>
          </cell>
          <cell r="CL31">
            <v>92.522000000000006</v>
          </cell>
          <cell r="CM31">
            <v>92.721000000000004</v>
          </cell>
          <cell r="CN31">
            <v>62.091000000000065</v>
          </cell>
          <cell r="CO31">
            <v>62.091000000000065</v>
          </cell>
          <cell r="CP31">
            <v>62.091000000000065</v>
          </cell>
          <cell r="CQ31">
            <v>62.091000000000065</v>
          </cell>
          <cell r="CR31">
            <v>46.568250000000049</v>
          </cell>
          <cell r="CS31">
            <v>46.568250000000049</v>
          </cell>
          <cell r="CT31">
            <v>46.568250000000049</v>
          </cell>
          <cell r="CU31">
            <v>62.091000000000065</v>
          </cell>
          <cell r="CV31">
            <v>62.591000000000065</v>
          </cell>
          <cell r="CW31">
            <v>47.068250000000049</v>
          </cell>
          <cell r="CX31">
            <v>47.568250000000049</v>
          </cell>
          <cell r="CY31">
            <v>47.568250000000049</v>
          </cell>
          <cell r="CZ31">
            <v>64.091000000000065</v>
          </cell>
          <cell r="DA31">
            <v>64.091000000000065</v>
          </cell>
          <cell r="DB31">
            <v>48.068250000000049</v>
          </cell>
          <cell r="DC31">
            <v>48.068250000000049</v>
          </cell>
          <cell r="DD31">
            <v>48.068250000000049</v>
          </cell>
          <cell r="DE31">
            <v>64.091000000000065</v>
          </cell>
          <cell r="DF31">
            <v>48.068250000000049</v>
          </cell>
          <cell r="DG31">
            <v>32.045500000000033</v>
          </cell>
          <cell r="DH31">
            <v>16.022750000000016</v>
          </cell>
          <cell r="DI31">
            <v>16.022750000000016</v>
          </cell>
          <cell r="DU31" t="str">
            <v>mstag:shortTermBorrowings</v>
          </cell>
          <cell r="DV31">
            <v>6</v>
          </cell>
          <cell r="DW31" t="str">
            <v>ISO4217:USD</v>
          </cell>
          <cell r="DX31" t="b">
            <v>0</v>
          </cell>
        </row>
        <row r="32">
          <cell r="B32" t="str">
            <v>Liabilities of discontinued operations</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BA32">
            <v>0</v>
          </cell>
          <cell r="BB32">
            <v>0</v>
          </cell>
          <cell r="BC32">
            <v>0</v>
          </cell>
          <cell r="BD32">
            <v>0</v>
          </cell>
          <cell r="BE32">
            <v>0</v>
          </cell>
          <cell r="BF32">
            <v>0</v>
          </cell>
          <cell r="BG32">
            <v>0</v>
          </cell>
          <cell r="BH32">
            <v>0</v>
          </cell>
          <cell r="BI32">
            <v>0.96699999999999997</v>
          </cell>
          <cell r="BJ32">
            <v>1.0389999999999999</v>
          </cell>
          <cell r="BK32">
            <v>1.0389999999999999</v>
          </cell>
          <cell r="BL32">
            <v>1.04</v>
          </cell>
          <cell r="BM32">
            <v>0.97799999999999998</v>
          </cell>
          <cell r="BN32">
            <v>0.17499999999999999</v>
          </cell>
          <cell r="BO32">
            <v>0.496</v>
          </cell>
          <cell r="BP32">
            <v>0.496</v>
          </cell>
          <cell r="BQ32">
            <v>0</v>
          </cell>
          <cell r="BR32">
            <v>0</v>
          </cell>
          <cell r="BS32">
            <v>0</v>
          </cell>
          <cell r="BT32">
            <v>0</v>
          </cell>
          <cell r="BU32">
            <v>0</v>
          </cell>
          <cell r="BV32">
            <v>0</v>
          </cell>
          <cell r="BW32">
            <v>0</v>
          </cell>
          <cell r="BX32">
            <v>8.5020000000000007</v>
          </cell>
          <cell r="BY32">
            <v>0</v>
          </cell>
          <cell r="BZ32">
            <v>0</v>
          </cell>
          <cell r="CA32">
            <v>0</v>
          </cell>
          <cell r="CB32">
            <v>0</v>
          </cell>
          <cell r="CC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U32" t="str">
            <v>mstag:liabilitiesOfDiscontinuedOperations</v>
          </cell>
          <cell r="DV32">
            <v>6</v>
          </cell>
          <cell r="DW32" t="str">
            <v>ISO4217:USD</v>
          </cell>
          <cell r="DX32" t="b">
            <v>0</v>
          </cell>
        </row>
        <row r="33">
          <cell r="B33" t="str">
            <v>Income taxes (currently payable and deferred)</v>
          </cell>
          <cell r="D33">
            <v>1.661</v>
          </cell>
          <cell r="E33">
            <v>2.012</v>
          </cell>
          <cell r="F33">
            <v>3.379</v>
          </cell>
          <cell r="G33">
            <v>5.0990000000000002</v>
          </cell>
          <cell r="H33">
            <v>0</v>
          </cell>
          <cell r="I33">
            <v>0</v>
          </cell>
          <cell r="J33">
            <v>3.98</v>
          </cell>
          <cell r="K33">
            <v>3.2210000000000001</v>
          </cell>
          <cell r="L33">
            <v>10.186</v>
          </cell>
          <cell r="M33">
            <v>27.832000000000001</v>
          </cell>
          <cell r="N33">
            <v>36.142000000000003</v>
          </cell>
          <cell r="O33">
            <v>51.988</v>
          </cell>
          <cell r="P33">
            <v>20.277999999999999</v>
          </cell>
          <cell r="Q33">
            <v>20.277999999999999</v>
          </cell>
          <cell r="R33">
            <v>27.667000000000002</v>
          </cell>
          <cell r="S33">
            <v>7.7670000000000003</v>
          </cell>
          <cell r="T33">
            <v>2.17</v>
          </cell>
          <cell r="U33">
            <v>2.1219999999999999</v>
          </cell>
          <cell r="V33">
            <v>2.1219999999999999</v>
          </cell>
          <cell r="W33">
            <v>24.013999999999999</v>
          </cell>
          <cell r="X33">
            <v>4.2850000000000001</v>
          </cell>
          <cell r="Y33">
            <v>1.931</v>
          </cell>
          <cell r="Z33">
            <v>1.3560000000000001</v>
          </cell>
          <cell r="AA33">
            <v>1.3560000000000001</v>
          </cell>
          <cell r="AB33">
            <v>29.725999999999999</v>
          </cell>
          <cell r="AC33">
            <v>18.023</v>
          </cell>
          <cell r="AD33">
            <v>21.823</v>
          </cell>
          <cell r="AE33">
            <v>11.228</v>
          </cell>
          <cell r="AF33">
            <v>11.228</v>
          </cell>
          <cell r="AG33">
            <v>34.462000000000003</v>
          </cell>
          <cell r="AH33">
            <v>2.1890000000000001</v>
          </cell>
          <cell r="AI33">
            <v>16.486999999999998</v>
          </cell>
          <cell r="AJ33">
            <v>5.4</v>
          </cell>
          <cell r="AK33">
            <v>5.4</v>
          </cell>
          <cell r="AL33">
            <v>29.082000000000001</v>
          </cell>
          <cell r="AM33">
            <v>9.141</v>
          </cell>
          <cell r="AN33">
            <v>11.028</v>
          </cell>
          <cell r="AO33">
            <v>6.4640000000000004</v>
          </cell>
          <cell r="AP33">
            <v>6.4640000000000004</v>
          </cell>
          <cell r="AQ33">
            <v>42.091999999999999</v>
          </cell>
          <cell r="AR33">
            <v>7.532</v>
          </cell>
          <cell r="AS33">
            <v>20.393999999999998</v>
          </cell>
          <cell r="AT33">
            <v>14.965999999999999</v>
          </cell>
          <cell r="AU33">
            <v>14.965999999999999</v>
          </cell>
          <cell r="AW33">
            <v>9.141</v>
          </cell>
          <cell r="AX33">
            <v>11.028</v>
          </cell>
          <cell r="AY33">
            <v>6.4640000000000004</v>
          </cell>
          <cell r="AZ33">
            <v>42.091999999999999</v>
          </cell>
          <cell r="BA33">
            <v>42.091999999999999</v>
          </cell>
          <cell r="BB33">
            <v>7.532</v>
          </cell>
          <cell r="BC33">
            <v>20.393999999999998</v>
          </cell>
          <cell r="BD33">
            <v>14.965999999999999</v>
          </cell>
          <cell r="BE33">
            <v>14.965999999999999</v>
          </cell>
          <cell r="BF33">
            <v>14.965999999999999</v>
          </cell>
          <cell r="BG33">
            <v>0</v>
          </cell>
          <cell r="BH33">
            <v>0</v>
          </cell>
          <cell r="BI33">
            <v>0</v>
          </cell>
          <cell r="BJ33">
            <v>0</v>
          </cell>
          <cell r="BK33">
            <v>0</v>
          </cell>
          <cell r="BL33">
            <v>0</v>
          </cell>
          <cell r="BM33">
            <v>73.290999999999997</v>
          </cell>
          <cell r="BN33">
            <v>21.31</v>
          </cell>
          <cell r="BO33">
            <v>0</v>
          </cell>
          <cell r="BP33">
            <v>0</v>
          </cell>
          <cell r="BQ33">
            <v>0</v>
          </cell>
          <cell r="BR33">
            <v>0</v>
          </cell>
          <cell r="BS33">
            <v>0</v>
          </cell>
          <cell r="BT33">
            <v>0</v>
          </cell>
          <cell r="BU33">
            <v>0</v>
          </cell>
          <cell r="BV33">
            <v>0</v>
          </cell>
          <cell r="BW33">
            <v>0</v>
          </cell>
          <cell r="BX33">
            <v>0</v>
          </cell>
          <cell r="BY33">
            <v>42.976999999999997</v>
          </cell>
          <cell r="BZ33">
            <v>42.976999999999997</v>
          </cell>
          <cell r="CA33">
            <v>28.952999999999999</v>
          </cell>
          <cell r="CB33">
            <v>22.843</v>
          </cell>
          <cell r="CC33">
            <v>16.513000000000002</v>
          </cell>
          <cell r="CD33">
            <v>27.052</v>
          </cell>
          <cell r="CE33">
            <v>27.052</v>
          </cell>
          <cell r="CF33">
            <v>20.434999999999999</v>
          </cell>
          <cell r="CG33">
            <v>13.818</v>
          </cell>
          <cell r="CH33">
            <v>9.5489999999999995</v>
          </cell>
          <cell r="CI33">
            <v>50.466000000000001</v>
          </cell>
          <cell r="CJ33">
            <v>50.466000000000001</v>
          </cell>
          <cell r="CK33">
            <v>31.353000000000002</v>
          </cell>
          <cell r="CL33">
            <v>20.765999999999998</v>
          </cell>
          <cell r="CM33">
            <v>8.9860000000000007</v>
          </cell>
          <cell r="CN33">
            <v>8.9860000000000007</v>
          </cell>
          <cell r="CO33">
            <v>8.9860000000000007</v>
          </cell>
          <cell r="CP33">
            <v>8.9860000000000007</v>
          </cell>
          <cell r="CQ33">
            <v>8.9860000000000007</v>
          </cell>
          <cell r="CR33">
            <v>8.9860000000000007</v>
          </cell>
          <cell r="CS33">
            <v>8.9860000000000007</v>
          </cell>
          <cell r="CT33">
            <v>8.9860000000000007</v>
          </cell>
          <cell r="CU33">
            <v>8.9860000000000007</v>
          </cell>
          <cell r="CV33">
            <v>8.9860000000000007</v>
          </cell>
          <cell r="CW33">
            <v>8.9860000000000007</v>
          </cell>
          <cell r="CX33">
            <v>8.9860000000000007</v>
          </cell>
          <cell r="CY33">
            <v>8.9860000000000007</v>
          </cell>
          <cell r="CZ33">
            <v>8.9860000000000007</v>
          </cell>
          <cell r="DA33">
            <v>8.9860000000000007</v>
          </cell>
          <cell r="DB33">
            <v>8.9860000000000007</v>
          </cell>
          <cell r="DC33">
            <v>8.9860000000000007</v>
          </cell>
          <cell r="DD33">
            <v>8.9860000000000007</v>
          </cell>
          <cell r="DE33">
            <v>8.9860000000000007</v>
          </cell>
          <cell r="DF33">
            <v>8.9860000000000007</v>
          </cell>
          <cell r="DG33">
            <v>8.9860000000000007</v>
          </cell>
          <cell r="DH33">
            <v>8.9860000000000007</v>
          </cell>
          <cell r="DI33">
            <v>8.9860000000000007</v>
          </cell>
          <cell r="DU33" t="str">
            <v>mstag:incomeTaxPayable</v>
          </cell>
          <cell r="DV33">
            <v>6</v>
          </cell>
          <cell r="DW33" t="str">
            <v>ISO4217:USD</v>
          </cell>
          <cell r="DX33" t="b">
            <v>0</v>
          </cell>
        </row>
        <row r="34">
          <cell r="B34" t="str">
            <v>Current Liabilities</v>
          </cell>
          <cell r="D34">
            <v>29.752000000000002</v>
          </cell>
          <cell r="E34">
            <v>32.672999999999995</v>
          </cell>
          <cell r="F34">
            <v>35.263999999999996</v>
          </cell>
          <cell r="G34">
            <v>43.233999999999995</v>
          </cell>
          <cell r="H34">
            <v>39.562999999999995</v>
          </cell>
          <cell r="I34">
            <v>50.631</v>
          </cell>
          <cell r="J34">
            <v>70.896000000000001</v>
          </cell>
          <cell r="K34">
            <v>82.88000000000001</v>
          </cell>
          <cell r="L34">
            <v>120.54599999999999</v>
          </cell>
          <cell r="M34">
            <v>143.172</v>
          </cell>
          <cell r="N34">
            <v>143.40700000000001</v>
          </cell>
          <cell r="O34">
            <v>179.065</v>
          </cell>
          <cell r="P34">
            <v>175.22099999999998</v>
          </cell>
          <cell r="Q34">
            <v>175.22099999999998</v>
          </cell>
          <cell r="R34">
            <v>182.53200000000001</v>
          </cell>
          <cell r="S34">
            <v>158.34199999999998</v>
          </cell>
          <cell r="T34">
            <v>134.64699999999999</v>
          </cell>
          <cell r="U34">
            <v>169.78199999999998</v>
          </cell>
          <cell r="V34">
            <v>169.78199999999998</v>
          </cell>
          <cell r="W34">
            <v>205.07000000000002</v>
          </cell>
          <cell r="X34">
            <v>175.84399999999999</v>
          </cell>
          <cell r="Y34">
            <v>176.53100000000003</v>
          </cell>
          <cell r="Z34">
            <v>188.08699999999999</v>
          </cell>
          <cell r="AA34">
            <v>188.08699999999999</v>
          </cell>
          <cell r="AB34">
            <v>258.62200000000001</v>
          </cell>
          <cell r="AC34">
            <v>283.00800000000004</v>
          </cell>
          <cell r="AD34">
            <v>298.61399999999998</v>
          </cell>
          <cell r="AE34">
            <v>273.74299999999999</v>
          </cell>
          <cell r="AF34">
            <v>273.74299999999999</v>
          </cell>
          <cell r="AG34">
            <v>305.18499999999995</v>
          </cell>
          <cell r="AH34">
            <v>285.40499999999997</v>
          </cell>
          <cell r="AI34">
            <v>284.89800000000002</v>
          </cell>
          <cell r="AJ34">
            <v>272.96299999999997</v>
          </cell>
          <cell r="AK34">
            <v>272.96299999999997</v>
          </cell>
          <cell r="AL34">
            <v>529.51200000000006</v>
          </cell>
          <cell r="AM34">
            <v>299.52799999999996</v>
          </cell>
          <cell r="AN34">
            <v>302.26900000000006</v>
          </cell>
          <cell r="AO34">
            <v>320.13099999999997</v>
          </cell>
          <cell r="AP34">
            <v>320.13099999999997</v>
          </cell>
          <cell r="AQ34">
            <v>343.404</v>
          </cell>
          <cell r="AR34">
            <v>330.81199999999995</v>
          </cell>
          <cell r="AS34">
            <v>349.07400000000001</v>
          </cell>
          <cell r="AT34">
            <v>1068.857</v>
          </cell>
          <cell r="AU34">
            <v>1068.857</v>
          </cell>
          <cell r="AW34">
            <v>299.52799999999996</v>
          </cell>
          <cell r="AX34">
            <v>302.26900000000006</v>
          </cell>
          <cell r="AY34">
            <v>320.13099999999997</v>
          </cell>
          <cell r="AZ34">
            <v>343.404</v>
          </cell>
          <cell r="BA34">
            <v>343.404</v>
          </cell>
          <cell r="BB34">
            <v>330.81199999999995</v>
          </cell>
          <cell r="BC34">
            <v>349.07400000000001</v>
          </cell>
          <cell r="BD34">
            <v>1068.857</v>
          </cell>
          <cell r="BE34">
            <v>1005.8549999999999</v>
          </cell>
          <cell r="BF34">
            <v>1005.8549999999999</v>
          </cell>
          <cell r="BG34">
            <v>446.065</v>
          </cell>
          <cell r="BH34">
            <v>502.14700000000005</v>
          </cell>
          <cell r="BI34">
            <v>472.68499999999995</v>
          </cell>
          <cell r="BJ34">
            <v>472.02099999999996</v>
          </cell>
          <cell r="BK34">
            <v>472.02099999999996</v>
          </cell>
          <cell r="BL34">
            <v>489.94599999999997</v>
          </cell>
          <cell r="BM34">
            <v>602.11400000000003</v>
          </cell>
          <cell r="BN34">
            <v>821.25599999999986</v>
          </cell>
          <cell r="BO34">
            <v>597.64599999999996</v>
          </cell>
          <cell r="BP34">
            <v>597.64599999999996</v>
          </cell>
          <cell r="BQ34">
            <v>569.20900000000006</v>
          </cell>
          <cell r="BR34">
            <v>748.04899999999998</v>
          </cell>
          <cell r="BS34">
            <v>499.54899999999998</v>
          </cell>
          <cell r="BT34">
            <v>490.27100000000002</v>
          </cell>
          <cell r="BU34">
            <v>490.27100000000002</v>
          </cell>
          <cell r="BV34">
            <v>495.63800000000003</v>
          </cell>
          <cell r="BW34">
            <v>464.11900000000003</v>
          </cell>
          <cell r="BX34">
            <v>459.79599999999999</v>
          </cell>
          <cell r="BY34">
            <v>525.89700000000005</v>
          </cell>
          <cell r="BZ34">
            <v>525.89700000000005</v>
          </cell>
          <cell r="CA34">
            <v>542.07999999999993</v>
          </cell>
          <cell r="CB34">
            <v>514.90199999999993</v>
          </cell>
          <cell r="CC34">
            <v>520.06499999999994</v>
          </cell>
          <cell r="CD34">
            <v>555.63</v>
          </cell>
          <cell r="CE34">
            <v>555.63</v>
          </cell>
          <cell r="CF34">
            <v>580.33399999999995</v>
          </cell>
          <cell r="CG34">
            <v>557.10299999999995</v>
          </cell>
          <cell r="CH34">
            <v>670.86700000000008</v>
          </cell>
          <cell r="CI34">
            <v>803.82400000000007</v>
          </cell>
          <cell r="CJ34">
            <v>803.82400000000007</v>
          </cell>
          <cell r="CK34">
            <v>800.447</v>
          </cell>
          <cell r="CL34">
            <v>847.87100000000009</v>
          </cell>
          <cell r="CM34">
            <v>902.678</v>
          </cell>
          <cell r="CN34">
            <v>885.44738355793595</v>
          </cell>
          <cell r="CO34">
            <v>885.44738355793595</v>
          </cell>
          <cell r="CP34">
            <v>834.87568061939544</v>
          </cell>
          <cell r="CQ34">
            <v>868.23562131446477</v>
          </cell>
          <cell r="CR34">
            <v>905.12974264739591</v>
          </cell>
          <cell r="CS34">
            <v>913.46802237447969</v>
          </cell>
          <cell r="CT34">
            <v>913.46802237447969</v>
          </cell>
          <cell r="CU34">
            <v>888.19635368184311</v>
          </cell>
          <cell r="CV34">
            <v>924.74536562816286</v>
          </cell>
          <cell r="CW34">
            <v>964.21836507091382</v>
          </cell>
          <cell r="CX34">
            <v>973.14138142353488</v>
          </cell>
          <cell r="CY34">
            <v>973.14138142353488</v>
          </cell>
          <cell r="CZ34">
            <v>949.74912073714052</v>
          </cell>
          <cell r="DA34">
            <v>987.74738869219766</v>
          </cell>
          <cell r="DB34">
            <v>1029.3518186909421</v>
          </cell>
          <cell r="DC34">
            <v>1038.9364722501689</v>
          </cell>
          <cell r="DD34">
            <v>1038.9364722501689</v>
          </cell>
          <cell r="DE34">
            <v>1000.8520592204362</v>
          </cell>
          <cell r="DF34">
            <v>1033.8994396845267</v>
          </cell>
          <cell r="DG34">
            <v>1078.3800010263249</v>
          </cell>
          <cell r="DH34">
            <v>1071.9397925699614</v>
          </cell>
          <cell r="DI34">
            <v>1071.9397925699614</v>
          </cell>
        </row>
        <row r="35">
          <cell r="BY35">
            <v>0</v>
          </cell>
        </row>
        <row r="36">
          <cell r="B36" t="str">
            <v>Deferred income taxes</v>
          </cell>
          <cell r="D36">
            <v>4.5489999999999995</v>
          </cell>
          <cell r="E36">
            <v>4.0990000000000002</v>
          </cell>
          <cell r="F36">
            <v>3.9990000000000001</v>
          </cell>
          <cell r="G36">
            <v>3.4990000000000001</v>
          </cell>
          <cell r="H36">
            <v>19.298999999999999</v>
          </cell>
          <cell r="I36">
            <v>18.399000000000001</v>
          </cell>
          <cell r="J36">
            <v>19.099</v>
          </cell>
          <cell r="K36">
            <v>18.699000000000002</v>
          </cell>
          <cell r="L36">
            <v>39.603000000000002</v>
          </cell>
          <cell r="M36">
            <v>39.603000000000002</v>
          </cell>
          <cell r="N36">
            <v>39.603000000000002</v>
          </cell>
          <cell r="O36">
            <v>39.603000000000002</v>
          </cell>
          <cell r="P36">
            <v>32.579000000000001</v>
          </cell>
          <cell r="Q36">
            <v>32.579000000000001</v>
          </cell>
          <cell r="R36">
            <v>32.579000000000001</v>
          </cell>
          <cell r="S36">
            <v>32.579000000000001</v>
          </cell>
          <cell r="T36">
            <v>32.579000000000001</v>
          </cell>
          <cell r="U36">
            <v>34.496000000000002</v>
          </cell>
          <cell r="V36">
            <v>34.496000000000002</v>
          </cell>
          <cell r="W36">
            <v>34.496000000000002</v>
          </cell>
          <cell r="X36">
            <v>27.896000000000001</v>
          </cell>
          <cell r="Y36">
            <v>27.896000000000001</v>
          </cell>
          <cell r="Z36">
            <v>34.286000000000001</v>
          </cell>
          <cell r="AA36">
            <v>34.286000000000001</v>
          </cell>
          <cell r="AB36">
            <v>34.286000000000001</v>
          </cell>
          <cell r="AC36">
            <v>34.286000000000001</v>
          </cell>
          <cell r="AD36">
            <v>34.286000000000001</v>
          </cell>
          <cell r="AE36">
            <v>17.861000000000001</v>
          </cell>
          <cell r="AF36">
            <v>17.861000000000001</v>
          </cell>
          <cell r="AG36">
            <v>17.861000000000001</v>
          </cell>
          <cell r="AH36">
            <v>21.401</v>
          </cell>
          <cell r="AI36">
            <v>17.405999999999999</v>
          </cell>
          <cell r="AJ36">
            <v>48.984000000000002</v>
          </cell>
          <cell r="AK36">
            <v>48.984000000000002</v>
          </cell>
          <cell r="AL36">
            <v>48.984000000000002</v>
          </cell>
          <cell r="AM36">
            <v>48.984000000000002</v>
          </cell>
          <cell r="AN36">
            <v>48.984000000000002</v>
          </cell>
          <cell r="AO36">
            <v>143.76</v>
          </cell>
          <cell r="AP36">
            <v>143.76</v>
          </cell>
          <cell r="AQ36">
            <v>152.33699999999999</v>
          </cell>
          <cell r="AR36">
            <v>168.018</v>
          </cell>
          <cell r="AS36">
            <v>182.38</v>
          </cell>
          <cell r="AT36">
            <v>121.491</v>
          </cell>
          <cell r="AU36">
            <v>121.491</v>
          </cell>
          <cell r="AW36">
            <v>48.984000000000002</v>
          </cell>
          <cell r="AX36">
            <v>48.984000000000002</v>
          </cell>
          <cell r="AY36">
            <v>143.76</v>
          </cell>
          <cell r="AZ36">
            <v>152.33699999999999</v>
          </cell>
          <cell r="BA36">
            <v>152.33699999999999</v>
          </cell>
          <cell r="BB36">
            <v>168.018</v>
          </cell>
          <cell r="BC36">
            <v>182.38</v>
          </cell>
          <cell r="BD36">
            <v>121.491</v>
          </cell>
          <cell r="BE36">
            <v>131.11199999999999</v>
          </cell>
          <cell r="BF36">
            <v>131.11199999999999</v>
          </cell>
          <cell r="BG36">
            <v>143.28700000000001</v>
          </cell>
          <cell r="BH36">
            <v>161.05099999999999</v>
          </cell>
          <cell r="BI36">
            <v>112.9</v>
          </cell>
          <cell r="BJ36">
            <v>109.79</v>
          </cell>
          <cell r="BK36">
            <v>109.79</v>
          </cell>
          <cell r="BL36">
            <v>102.501</v>
          </cell>
          <cell r="BM36">
            <v>131.54599999999999</v>
          </cell>
          <cell r="BN36">
            <v>101.227</v>
          </cell>
          <cell r="BO36">
            <v>70.456999999999994</v>
          </cell>
          <cell r="BP36">
            <v>70.456999999999994</v>
          </cell>
          <cell r="BQ36">
            <v>95.876000000000005</v>
          </cell>
          <cell r="BR36">
            <v>129.22399999999999</v>
          </cell>
          <cell r="BS36">
            <v>117.884</v>
          </cell>
          <cell r="BT36">
            <v>77.474000000000004</v>
          </cell>
          <cell r="BU36">
            <v>77.474000000000004</v>
          </cell>
          <cell r="BV36">
            <v>108.017</v>
          </cell>
          <cell r="BW36">
            <v>134.88900000000001</v>
          </cell>
          <cell r="BX36">
            <v>155.53700000000001</v>
          </cell>
          <cell r="BY36">
            <v>133.45099999999999</v>
          </cell>
          <cell r="BZ36">
            <v>133.45099999999999</v>
          </cell>
          <cell r="CA36">
            <v>146.489</v>
          </cell>
          <cell r="CB36">
            <v>133.738</v>
          </cell>
          <cell r="CC36">
            <v>136.553</v>
          </cell>
          <cell r="CD36">
            <v>157.17699999999999</v>
          </cell>
          <cell r="CE36">
            <v>157.17699999999999</v>
          </cell>
          <cell r="CF36">
            <v>184.05600000000001</v>
          </cell>
          <cell r="CG36">
            <v>189.03800000000001</v>
          </cell>
          <cell r="CH36">
            <v>231.386</v>
          </cell>
          <cell r="CI36">
            <v>234.08</v>
          </cell>
          <cell r="CJ36">
            <v>234.08</v>
          </cell>
          <cell r="CK36">
            <v>253.566</v>
          </cell>
          <cell r="CL36">
            <v>259.06400000000002</v>
          </cell>
          <cell r="CM36">
            <v>281.64400000000001</v>
          </cell>
          <cell r="CN36">
            <v>281.64400000000001</v>
          </cell>
          <cell r="CO36">
            <v>281.64400000000001</v>
          </cell>
          <cell r="CP36">
            <v>281.64400000000001</v>
          </cell>
          <cell r="CQ36">
            <v>281.64400000000001</v>
          </cell>
          <cell r="CR36">
            <v>281.64400000000001</v>
          </cell>
          <cell r="CS36">
            <v>281.64400000000001</v>
          </cell>
          <cell r="CT36">
            <v>281.64400000000001</v>
          </cell>
          <cell r="CU36">
            <v>281.64400000000001</v>
          </cell>
          <cell r="CV36">
            <v>281.64400000000001</v>
          </cell>
          <cell r="CW36">
            <v>281.64400000000001</v>
          </cell>
          <cell r="CX36">
            <v>281.64400000000001</v>
          </cell>
          <cell r="CY36">
            <v>281.64400000000001</v>
          </cell>
          <cell r="CZ36">
            <v>281.64400000000001</v>
          </cell>
          <cell r="DA36">
            <v>281.64400000000001</v>
          </cell>
          <cell r="DB36">
            <v>281.64400000000001</v>
          </cell>
          <cell r="DC36">
            <v>281.64400000000001</v>
          </cell>
          <cell r="DD36">
            <v>281.64400000000001</v>
          </cell>
          <cell r="DE36">
            <v>281.64400000000001</v>
          </cell>
          <cell r="DF36">
            <v>281.64400000000001</v>
          </cell>
          <cell r="DG36">
            <v>281.64400000000001</v>
          </cell>
          <cell r="DH36">
            <v>281.64400000000001</v>
          </cell>
          <cell r="DI36">
            <v>281.64400000000001</v>
          </cell>
          <cell r="DU36" t="str">
            <v>mstag:deferredTaxLiabilitiesNonCurrent</v>
          </cell>
          <cell r="DV36">
            <v>6</v>
          </cell>
          <cell r="DW36" t="str">
            <v>ISO4217:USD</v>
          </cell>
          <cell r="DX36" t="b">
            <v>0</v>
          </cell>
        </row>
        <row r="37">
          <cell r="B37" t="str">
            <v>Long-term debt</v>
          </cell>
          <cell r="D37">
            <v>159.32499999999999</v>
          </cell>
          <cell r="E37">
            <v>112.44200000000001</v>
          </cell>
          <cell r="F37">
            <v>63.134999999999998</v>
          </cell>
          <cell r="G37">
            <v>77.873999999999995</v>
          </cell>
          <cell r="H37">
            <v>75.769000000000005</v>
          </cell>
          <cell r="I37">
            <v>67.721000000000004</v>
          </cell>
          <cell r="J37">
            <v>68.701999999999998</v>
          </cell>
          <cell r="K37">
            <v>49.65</v>
          </cell>
          <cell r="L37">
            <v>134.21700000000001</v>
          </cell>
          <cell r="M37">
            <v>138.32</v>
          </cell>
          <cell r="N37">
            <v>135.94399999999999</v>
          </cell>
          <cell r="O37">
            <v>308.12200000000001</v>
          </cell>
          <cell r="P37">
            <v>401.52199999999999</v>
          </cell>
          <cell r="Q37">
            <v>401.52199999999999</v>
          </cell>
          <cell r="R37">
            <v>438.108</v>
          </cell>
          <cell r="S37">
            <v>430.35399999999998</v>
          </cell>
          <cell r="T37">
            <v>457.36599999999999</v>
          </cell>
          <cell r="U37">
            <v>520.15099999999995</v>
          </cell>
          <cell r="V37">
            <v>520.15099999999995</v>
          </cell>
          <cell r="W37">
            <v>492.63600000000002</v>
          </cell>
          <cell r="X37">
            <v>464.94</v>
          </cell>
          <cell r="Y37">
            <v>448.05700000000002</v>
          </cell>
          <cell r="Z37">
            <v>428.99</v>
          </cell>
          <cell r="AA37">
            <v>428.99</v>
          </cell>
          <cell r="AB37">
            <v>600.03800000000001</v>
          </cell>
          <cell r="AC37">
            <v>632.02</v>
          </cell>
          <cell r="AD37">
            <v>631.29100000000005</v>
          </cell>
          <cell r="AE37">
            <v>650.15899999999999</v>
          </cell>
          <cell r="AF37">
            <v>650.15899999999999</v>
          </cell>
          <cell r="AG37">
            <v>652.09400000000005</v>
          </cell>
          <cell r="AH37">
            <v>653.03300000000002</v>
          </cell>
          <cell r="AI37">
            <v>652.803</v>
          </cell>
          <cell r="AJ37">
            <v>924.71299999999997</v>
          </cell>
          <cell r="AK37">
            <v>924.71299999999997</v>
          </cell>
          <cell r="AL37">
            <v>926.20500000000004</v>
          </cell>
          <cell r="AM37">
            <v>1103.491</v>
          </cell>
          <cell r="AN37">
            <v>1024.1500000000001</v>
          </cell>
          <cell r="AO37">
            <v>925.51800000000003</v>
          </cell>
          <cell r="AP37">
            <v>925.51800000000003</v>
          </cell>
          <cell r="AQ37">
            <v>927.21199999999999</v>
          </cell>
          <cell r="AR37">
            <v>1093.9159999999999</v>
          </cell>
          <cell r="AS37">
            <v>1004.2859999999999</v>
          </cell>
          <cell r="AT37">
            <v>366.649</v>
          </cell>
          <cell r="AU37">
            <v>366.649</v>
          </cell>
          <cell r="AW37">
            <v>1103.491</v>
          </cell>
          <cell r="AX37">
            <v>1024.1500000000001</v>
          </cell>
          <cell r="AY37">
            <v>925.51800000000003</v>
          </cell>
          <cell r="AZ37">
            <v>927.21199999999999</v>
          </cell>
          <cell r="BA37">
            <v>927.21199999999999</v>
          </cell>
          <cell r="BB37">
            <v>1093.9159999999999</v>
          </cell>
          <cell r="BC37">
            <v>1004.2859999999999</v>
          </cell>
          <cell r="BD37">
            <v>366.649</v>
          </cell>
          <cell r="BE37">
            <v>611.24099999999999</v>
          </cell>
          <cell r="BF37">
            <v>611.24099999999999</v>
          </cell>
          <cell r="BG37">
            <v>1192.6030000000001</v>
          </cell>
          <cell r="BH37">
            <v>1318.9</v>
          </cell>
          <cell r="BI37">
            <v>1285.01</v>
          </cell>
          <cell r="BJ37">
            <v>1297.047</v>
          </cell>
          <cell r="BK37">
            <v>1297.047</v>
          </cell>
          <cell r="BL37">
            <v>3746.0250000000001</v>
          </cell>
          <cell r="BM37">
            <v>3736.4270000000001</v>
          </cell>
          <cell r="BN37">
            <v>3405.2579999999998</v>
          </cell>
          <cell r="BO37">
            <v>3566.355</v>
          </cell>
          <cell r="BP37">
            <v>3566.355</v>
          </cell>
          <cell r="BQ37">
            <v>3554.5590000000002</v>
          </cell>
          <cell r="BR37">
            <v>3266.58</v>
          </cell>
          <cell r="BS37">
            <v>3256.7579999999998</v>
          </cell>
          <cell r="BT37">
            <v>3186.893</v>
          </cell>
          <cell r="BU37">
            <v>3186.893</v>
          </cell>
          <cell r="BV37">
            <v>3061.931</v>
          </cell>
          <cell r="BW37">
            <v>3031.904</v>
          </cell>
          <cell r="BX37">
            <v>3011.355</v>
          </cell>
          <cell r="BY37">
            <v>3004.672</v>
          </cell>
          <cell r="BZ37">
            <v>3004.672</v>
          </cell>
          <cell r="CA37">
            <v>3002.0650000000001</v>
          </cell>
          <cell r="CB37">
            <v>2993.34</v>
          </cell>
          <cell r="CC37">
            <v>2990.9520000000002</v>
          </cell>
          <cell r="CD37">
            <v>2983.7190000000001</v>
          </cell>
          <cell r="CE37">
            <v>2983.7190000000001</v>
          </cell>
          <cell r="CF37">
            <v>2977.1</v>
          </cell>
          <cell r="CG37">
            <v>2984.915</v>
          </cell>
          <cell r="CH37">
            <v>3338.6849999999999</v>
          </cell>
          <cell r="CI37">
            <v>3489.489</v>
          </cell>
          <cell r="CJ37">
            <v>3489.489</v>
          </cell>
          <cell r="CK37">
            <v>3476.5360000000001</v>
          </cell>
          <cell r="CL37">
            <v>3483.444</v>
          </cell>
          <cell r="CM37">
            <v>3476.3679999999999</v>
          </cell>
          <cell r="CN37">
            <v>3491.4752500000004</v>
          </cell>
          <cell r="CO37">
            <v>3491.4752500000004</v>
          </cell>
          <cell r="CP37">
            <v>3475.9525000000003</v>
          </cell>
          <cell r="CQ37">
            <v>3460.4297500000002</v>
          </cell>
          <cell r="CR37">
            <v>3460.4297499999998</v>
          </cell>
          <cell r="CS37">
            <v>3444.9069999999997</v>
          </cell>
          <cell r="CT37">
            <v>3444.9069999999997</v>
          </cell>
          <cell r="CU37">
            <v>3413.8615000000004</v>
          </cell>
          <cell r="CV37">
            <v>3397.8387500000003</v>
          </cell>
          <cell r="CW37">
            <v>3397.8387499999999</v>
          </cell>
          <cell r="CX37">
            <v>3381.8159999999998</v>
          </cell>
          <cell r="CY37">
            <v>3381.8159999999998</v>
          </cell>
          <cell r="CZ37">
            <v>3349.2705000000001</v>
          </cell>
          <cell r="DA37">
            <v>3333.2477500000005</v>
          </cell>
          <cell r="DB37">
            <v>3333.2477499999995</v>
          </cell>
          <cell r="DC37">
            <v>3317.2249999999995</v>
          </cell>
          <cell r="DD37">
            <v>3317.2249999999995</v>
          </cell>
          <cell r="DE37">
            <v>3285.1795000000002</v>
          </cell>
          <cell r="DF37">
            <v>3285.1794999999997</v>
          </cell>
          <cell r="DG37">
            <v>3285.1795000000002</v>
          </cell>
          <cell r="DH37">
            <v>3285.1794999999997</v>
          </cell>
          <cell r="DI37">
            <v>3285.1794999999997</v>
          </cell>
          <cell r="DU37" t="str">
            <v>mstag:longTermDebt</v>
          </cell>
          <cell r="DV37">
            <v>6</v>
          </cell>
          <cell r="DW37" t="str">
            <v>ISO4217:USD</v>
          </cell>
          <cell r="DX37" t="b">
            <v>0</v>
          </cell>
        </row>
        <row r="38">
          <cell r="B38" t="str">
            <v>Other long-term liabilities</v>
          </cell>
          <cell r="D38">
            <v>1.4379999999999999</v>
          </cell>
          <cell r="E38">
            <v>4.2480000000000002</v>
          </cell>
          <cell r="F38">
            <v>5.0570000000000004</v>
          </cell>
          <cell r="G38">
            <v>8.5269999999999992</v>
          </cell>
          <cell r="H38">
            <v>11.254</v>
          </cell>
          <cell r="I38">
            <v>12.297000000000001</v>
          </cell>
          <cell r="J38">
            <v>15.271000000000001</v>
          </cell>
          <cell r="K38">
            <v>16.111999999999998</v>
          </cell>
          <cell r="L38">
            <v>60.914000000000001</v>
          </cell>
          <cell r="M38">
            <v>17.116</v>
          </cell>
          <cell r="N38">
            <v>17.364000000000001</v>
          </cell>
          <cell r="O38">
            <v>17.521000000000001</v>
          </cell>
          <cell r="P38">
            <v>17.454999999999998</v>
          </cell>
          <cell r="Q38">
            <v>17.454999999999998</v>
          </cell>
          <cell r="R38">
            <v>17.741</v>
          </cell>
          <cell r="S38">
            <v>17.931999999999999</v>
          </cell>
          <cell r="T38">
            <v>18.271000000000001</v>
          </cell>
          <cell r="U38">
            <v>17.57</v>
          </cell>
          <cell r="V38">
            <v>17.57</v>
          </cell>
          <cell r="W38">
            <v>17.765000000000001</v>
          </cell>
          <cell r="X38">
            <v>31.747</v>
          </cell>
          <cell r="Y38">
            <v>35.124000000000002</v>
          </cell>
          <cell r="Z38">
            <v>36.564999999999998</v>
          </cell>
          <cell r="AA38">
            <v>36.564999999999998</v>
          </cell>
          <cell r="AB38">
            <v>36.893999999999998</v>
          </cell>
          <cell r="AC38">
            <v>40.231999999999999</v>
          </cell>
          <cell r="AD38">
            <v>40.469000000000001</v>
          </cell>
          <cell r="AE38">
            <v>42.792999999999999</v>
          </cell>
          <cell r="AF38">
            <v>42.792999999999999</v>
          </cell>
          <cell r="AG38">
            <v>38.872999999999998</v>
          </cell>
          <cell r="AH38">
            <v>38.088000000000001</v>
          </cell>
          <cell r="AI38">
            <v>38.116</v>
          </cell>
          <cell r="AJ38">
            <v>58.402000000000001</v>
          </cell>
          <cell r="AK38">
            <v>58.402000000000001</v>
          </cell>
          <cell r="AL38">
            <v>64.013000000000005</v>
          </cell>
          <cell r="AM38">
            <v>83.478999999999999</v>
          </cell>
          <cell r="AN38">
            <v>87.491</v>
          </cell>
          <cell r="AO38">
            <v>96.802999999999997</v>
          </cell>
          <cell r="AP38">
            <v>96.802999999999997</v>
          </cell>
          <cell r="AQ38">
            <v>102.553</v>
          </cell>
          <cell r="AR38">
            <v>117.86</v>
          </cell>
          <cell r="AS38">
            <v>123.301</v>
          </cell>
          <cell r="AT38">
            <v>95.887</v>
          </cell>
          <cell r="AU38">
            <v>95.887</v>
          </cell>
          <cell r="AW38">
            <v>83.478999999999999</v>
          </cell>
          <cell r="AX38">
            <v>87.491</v>
          </cell>
          <cell r="AY38">
            <v>96.802999999999997</v>
          </cell>
          <cell r="AZ38">
            <v>102.553</v>
          </cell>
          <cell r="BA38">
            <v>102.553</v>
          </cell>
          <cell r="BB38">
            <v>117.86</v>
          </cell>
          <cell r="BC38">
            <v>123.301</v>
          </cell>
          <cell r="BD38">
            <v>95.887</v>
          </cell>
          <cell r="BE38">
            <v>86.052999999999997</v>
          </cell>
          <cell r="BF38">
            <v>86.052999999999997</v>
          </cell>
          <cell r="BG38">
            <v>87.352000000000004</v>
          </cell>
          <cell r="BH38">
            <v>97.376999999999995</v>
          </cell>
          <cell r="BI38">
            <v>138.00899999999999</v>
          </cell>
          <cell r="BJ38">
            <v>149.88200000000001</v>
          </cell>
          <cell r="BK38">
            <v>149.88200000000001</v>
          </cell>
          <cell r="BL38">
            <v>156.52799999999999</v>
          </cell>
          <cell r="BM38">
            <v>152.88900000000001</v>
          </cell>
          <cell r="BN38">
            <v>180.762</v>
          </cell>
          <cell r="BO38">
            <v>308.20999999999998</v>
          </cell>
          <cell r="BP38">
            <v>308.20999999999998</v>
          </cell>
          <cell r="BQ38">
            <v>425.59500000000003</v>
          </cell>
          <cell r="BR38">
            <v>310.21300000000002</v>
          </cell>
          <cell r="BS38">
            <v>309.65800000000002</v>
          </cell>
          <cell r="BT38">
            <v>491.036</v>
          </cell>
          <cell r="BU38">
            <v>491.036</v>
          </cell>
          <cell r="BV38">
            <v>470.233</v>
          </cell>
          <cell r="BW38">
            <v>408.71800000000002</v>
          </cell>
          <cell r="BX38">
            <v>434.70799999999997</v>
          </cell>
          <cell r="BY38">
            <v>395.98599999999999</v>
          </cell>
          <cell r="BZ38">
            <v>395.98599999999999</v>
          </cell>
          <cell r="CA38">
            <v>410.12699999999995</v>
          </cell>
          <cell r="CB38">
            <v>444.315</v>
          </cell>
          <cell r="CC38">
            <v>476.30399999999997</v>
          </cell>
          <cell r="CD38">
            <v>478.58600000000001</v>
          </cell>
          <cell r="CE38">
            <v>478.58600000000001</v>
          </cell>
          <cell r="CF38">
            <v>487.47</v>
          </cell>
          <cell r="CG38">
            <v>494.56299999999999</v>
          </cell>
          <cell r="CH38">
            <v>516.93299999999999</v>
          </cell>
          <cell r="CI38">
            <v>491.03699999999998</v>
          </cell>
          <cell r="CJ38">
            <v>491.03699999999998</v>
          </cell>
          <cell r="CK38">
            <v>499.06099999999998</v>
          </cell>
          <cell r="CL38">
            <v>478.24</v>
          </cell>
          <cell r="CM38">
            <v>477.98099999999999</v>
          </cell>
          <cell r="CN38">
            <v>477.98099999999999</v>
          </cell>
          <cell r="CO38">
            <v>477.98099999999999</v>
          </cell>
          <cell r="CP38">
            <v>477.98099999999999</v>
          </cell>
          <cell r="CQ38">
            <v>477.98099999999999</v>
          </cell>
          <cell r="CR38">
            <v>477.98099999999999</v>
          </cell>
          <cell r="CS38">
            <v>477.98099999999999</v>
          </cell>
          <cell r="CT38">
            <v>477.98099999999999</v>
          </cell>
          <cell r="CU38">
            <v>477.98099999999999</v>
          </cell>
          <cell r="CV38">
            <v>477.98099999999999</v>
          </cell>
          <cell r="CW38">
            <v>477.98099999999999</v>
          </cell>
          <cell r="CX38">
            <v>477.98099999999999</v>
          </cell>
          <cell r="CY38">
            <v>477.98099999999999</v>
          </cell>
          <cell r="CZ38">
            <v>477.98099999999999</v>
          </cell>
          <cell r="DA38">
            <v>477.98099999999999</v>
          </cell>
          <cell r="DB38">
            <v>477.98099999999999</v>
          </cell>
          <cell r="DC38">
            <v>477.98099999999999</v>
          </cell>
          <cell r="DD38">
            <v>477.98099999999999</v>
          </cell>
          <cell r="DE38">
            <v>477.98099999999999</v>
          </cell>
          <cell r="DF38">
            <v>477.98099999999999</v>
          </cell>
          <cell r="DG38">
            <v>477.98099999999999</v>
          </cell>
          <cell r="DH38">
            <v>477.98099999999999</v>
          </cell>
          <cell r="DI38">
            <v>477.98099999999999</v>
          </cell>
          <cell r="DU38" t="str">
            <v>mstag:otherLiabilitiesOperatingNonCurrent</v>
          </cell>
          <cell r="DV38">
            <v>6</v>
          </cell>
          <cell r="DW38" t="str">
            <v>ISO4217:USD</v>
          </cell>
          <cell r="DX38" t="b">
            <v>0</v>
          </cell>
        </row>
        <row r="39">
          <cell r="B39" t="str">
            <v>TOTAL LIABILITIES</v>
          </cell>
          <cell r="D39">
            <v>195.06399999999999</v>
          </cell>
          <cell r="E39">
            <v>153.46200000000002</v>
          </cell>
          <cell r="F39">
            <v>107.455</v>
          </cell>
          <cell r="G39">
            <v>133.13399999999999</v>
          </cell>
          <cell r="H39">
            <v>145.88500000000002</v>
          </cell>
          <cell r="I39">
            <v>149.048</v>
          </cell>
          <cell r="J39">
            <v>173.96800000000002</v>
          </cell>
          <cell r="K39">
            <v>167.34100000000001</v>
          </cell>
          <cell r="L39">
            <v>355.28000000000003</v>
          </cell>
          <cell r="M39">
            <v>338.21100000000001</v>
          </cell>
          <cell r="N39">
            <v>336.31799999999998</v>
          </cell>
          <cell r="O39">
            <v>544.31100000000004</v>
          </cell>
          <cell r="P39">
            <v>626.77699999999993</v>
          </cell>
          <cell r="Q39">
            <v>626.77699999999993</v>
          </cell>
          <cell r="R39">
            <v>670.96</v>
          </cell>
          <cell r="S39">
            <v>639.20699999999999</v>
          </cell>
          <cell r="T39">
            <v>642.86300000000006</v>
          </cell>
          <cell r="U39">
            <v>741.99900000000002</v>
          </cell>
          <cell r="V39">
            <v>741.99900000000002</v>
          </cell>
          <cell r="W39">
            <v>749.9670000000001</v>
          </cell>
          <cell r="X39">
            <v>700.42699999999991</v>
          </cell>
          <cell r="Y39">
            <v>687.60800000000006</v>
          </cell>
          <cell r="Z39">
            <v>687.928</v>
          </cell>
          <cell r="AA39">
            <v>687.928</v>
          </cell>
          <cell r="AB39">
            <v>929.84000000000015</v>
          </cell>
          <cell r="AC39">
            <v>989.54600000000005</v>
          </cell>
          <cell r="AD39">
            <v>1004.6600000000001</v>
          </cell>
          <cell r="AE39">
            <v>984.55600000000004</v>
          </cell>
          <cell r="AF39">
            <v>984.55600000000004</v>
          </cell>
          <cell r="AG39">
            <v>1014.013</v>
          </cell>
          <cell r="AH39">
            <v>997.92699999999991</v>
          </cell>
          <cell r="AI39">
            <v>993.22299999999996</v>
          </cell>
          <cell r="AJ39">
            <v>1305.0619999999999</v>
          </cell>
          <cell r="AK39">
            <v>1305.0619999999999</v>
          </cell>
          <cell r="AL39">
            <v>1568.7139999999999</v>
          </cell>
          <cell r="AM39">
            <v>1535.482</v>
          </cell>
          <cell r="AN39">
            <v>1462.894</v>
          </cell>
          <cell r="AO39">
            <v>1486.212</v>
          </cell>
          <cell r="AP39">
            <v>1486.212</v>
          </cell>
          <cell r="AQ39">
            <v>1525.5059999999999</v>
          </cell>
          <cell r="AR39">
            <v>1710.6059999999998</v>
          </cell>
          <cell r="AS39">
            <v>1659.0409999999999</v>
          </cell>
          <cell r="AT39">
            <v>1652.884</v>
          </cell>
          <cell r="AU39">
            <v>1652.884</v>
          </cell>
          <cell r="AW39">
            <v>1535.482</v>
          </cell>
          <cell r="AX39">
            <v>1462.894</v>
          </cell>
          <cell r="AY39">
            <v>1486.212</v>
          </cell>
          <cell r="AZ39">
            <v>1525.5059999999999</v>
          </cell>
          <cell r="BA39">
            <v>1525.5059999999999</v>
          </cell>
          <cell r="BB39">
            <v>1710.6059999999998</v>
          </cell>
          <cell r="BC39">
            <v>1659.0409999999999</v>
          </cell>
          <cell r="BD39">
            <v>1652.884</v>
          </cell>
          <cell r="BE39">
            <v>1834.261</v>
          </cell>
          <cell r="BF39">
            <v>1834.261</v>
          </cell>
          <cell r="BG39">
            <v>1869.3070000000002</v>
          </cell>
          <cell r="BH39">
            <v>2079.4749999999999</v>
          </cell>
          <cell r="BI39">
            <v>2008.604</v>
          </cell>
          <cell r="BJ39">
            <v>2028.74</v>
          </cell>
          <cell r="BK39">
            <v>2028.74</v>
          </cell>
          <cell r="BL39">
            <v>4495</v>
          </cell>
          <cell r="BM39">
            <v>4622.9760000000006</v>
          </cell>
          <cell r="BN39">
            <v>4508.5029999999997</v>
          </cell>
          <cell r="BO39">
            <v>4542.6679999999997</v>
          </cell>
          <cell r="BP39">
            <v>4542.6679999999997</v>
          </cell>
          <cell r="BQ39">
            <v>4645.2390000000005</v>
          </cell>
          <cell r="BR39">
            <v>4454.0660000000007</v>
          </cell>
          <cell r="BS39">
            <v>4183.8490000000002</v>
          </cell>
          <cell r="BT39">
            <v>4245.674</v>
          </cell>
          <cell r="BU39">
            <v>4245.674</v>
          </cell>
          <cell r="BV39">
            <v>4135.8190000000004</v>
          </cell>
          <cell r="BW39">
            <v>4039.63</v>
          </cell>
          <cell r="BX39">
            <v>4061.3959999999997</v>
          </cell>
          <cell r="BY39">
            <v>4060.0059999999999</v>
          </cell>
          <cell r="BZ39">
            <v>4060.0059999999999</v>
          </cell>
          <cell r="CA39">
            <v>4100.7610000000004</v>
          </cell>
          <cell r="CB39">
            <v>4086.2950000000001</v>
          </cell>
          <cell r="CC39">
            <v>4123.8739999999998</v>
          </cell>
          <cell r="CD39">
            <v>4175.1120000000001</v>
          </cell>
          <cell r="CE39">
            <v>4175.1120000000001</v>
          </cell>
          <cell r="CF39">
            <v>4228.96</v>
          </cell>
          <cell r="CG39">
            <v>4225.6189999999997</v>
          </cell>
          <cell r="CH39">
            <v>4757.8710000000001</v>
          </cell>
          <cell r="CI39">
            <v>5018.43</v>
          </cell>
          <cell r="CJ39">
            <v>5018.43</v>
          </cell>
          <cell r="CK39">
            <v>5029.6099999999997</v>
          </cell>
          <cell r="CL39">
            <v>5068.6189999999997</v>
          </cell>
          <cell r="CM39">
            <v>5138.6709999999994</v>
          </cell>
          <cell r="CN39">
            <v>5136.547633557936</v>
          </cell>
          <cell r="CO39">
            <v>5136.547633557936</v>
          </cell>
          <cell r="CP39">
            <v>5070.4531806193954</v>
          </cell>
          <cell r="CQ39">
            <v>5088.2903713144651</v>
          </cell>
          <cell r="CR39">
            <v>5125.184492647395</v>
          </cell>
          <cell r="CS39">
            <v>5118.0000223744792</v>
          </cell>
          <cell r="CT39">
            <v>5118.0000223744792</v>
          </cell>
          <cell r="CU39">
            <v>5061.682853681843</v>
          </cell>
          <cell r="CV39">
            <v>5082.2091156281631</v>
          </cell>
          <cell r="CW39">
            <v>5121.6821150709138</v>
          </cell>
          <cell r="CX39">
            <v>5114.5823814235346</v>
          </cell>
          <cell r="CY39">
            <v>5114.5823814235346</v>
          </cell>
          <cell r="CZ39">
            <v>5058.64462073714</v>
          </cell>
          <cell r="DA39">
            <v>5080.6201386921985</v>
          </cell>
          <cell r="DB39">
            <v>5122.2245686909419</v>
          </cell>
          <cell r="DC39">
            <v>5115.7864722501681</v>
          </cell>
          <cell r="DD39">
            <v>5115.7864722501681</v>
          </cell>
          <cell r="DE39">
            <v>5045.6565592204361</v>
          </cell>
          <cell r="DF39">
            <v>5078.7039396845257</v>
          </cell>
          <cell r="DG39">
            <v>5123.1845010263251</v>
          </cell>
          <cell r="DH39">
            <v>5116.7442925699606</v>
          </cell>
          <cell r="DI39">
            <v>5116.7442925699606</v>
          </cell>
        </row>
        <row r="41">
          <cell r="B41" t="str">
            <v xml:space="preserve">Redeemable Equity </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155.55799999999999</v>
          </cell>
          <cell r="BU41">
            <v>155.55799999999999</v>
          </cell>
          <cell r="BV41">
            <v>51.497999999999998</v>
          </cell>
          <cell r="BW41">
            <v>58.896000000000001</v>
          </cell>
          <cell r="BX41">
            <v>79.671000000000006</v>
          </cell>
          <cell r="BY41">
            <v>182.47300000000001</v>
          </cell>
          <cell r="BZ41">
            <v>182.47300000000001</v>
          </cell>
          <cell r="CA41">
            <v>187.82</v>
          </cell>
          <cell r="CB41">
            <v>187.82</v>
          </cell>
          <cell r="CC41">
            <v>201.816</v>
          </cell>
          <cell r="CD41">
            <v>201.48699999999999</v>
          </cell>
          <cell r="CE41">
            <v>201.48699999999999</v>
          </cell>
          <cell r="CF41">
            <v>201.49799999999999</v>
          </cell>
          <cell r="CG41">
            <v>203.434</v>
          </cell>
          <cell r="CH41">
            <v>204.28</v>
          </cell>
          <cell r="CI41">
            <v>200.643</v>
          </cell>
          <cell r="CJ41">
            <v>200.643</v>
          </cell>
          <cell r="CK41">
            <v>198.173</v>
          </cell>
          <cell r="CL41">
            <v>197.75200000000001</v>
          </cell>
          <cell r="CM41">
            <v>212.66300000000001</v>
          </cell>
          <cell r="CN41">
            <v>212.66300000000001</v>
          </cell>
          <cell r="CO41">
            <v>212.66300000000001</v>
          </cell>
          <cell r="CP41">
            <v>212.66300000000001</v>
          </cell>
          <cell r="CQ41">
            <v>212.66300000000001</v>
          </cell>
          <cell r="CR41">
            <v>212.66300000000001</v>
          </cell>
          <cell r="CS41">
            <v>212.66300000000001</v>
          </cell>
          <cell r="CT41">
            <v>212.66300000000001</v>
          </cell>
          <cell r="CU41">
            <v>212.66300000000001</v>
          </cell>
          <cell r="CV41">
            <v>212.66300000000001</v>
          </cell>
          <cell r="CW41">
            <v>212.66300000000001</v>
          </cell>
          <cell r="CX41">
            <v>212.66300000000001</v>
          </cell>
          <cell r="CY41">
            <v>212.66300000000001</v>
          </cell>
          <cell r="CZ41">
            <v>212.66300000000001</v>
          </cell>
          <cell r="DA41">
            <v>212.66300000000001</v>
          </cell>
          <cell r="DB41">
            <v>212.66300000000001</v>
          </cell>
          <cell r="DC41">
            <v>212.66300000000001</v>
          </cell>
          <cell r="DD41">
            <v>212.66300000000001</v>
          </cell>
          <cell r="DE41">
            <v>212.66300000000001</v>
          </cell>
          <cell r="DF41">
            <v>212.66300000000001</v>
          </cell>
          <cell r="DG41">
            <v>212.66300000000001</v>
          </cell>
          <cell r="DH41">
            <v>212.66300000000001</v>
          </cell>
          <cell r="DI41">
            <v>212.66300000000001</v>
          </cell>
          <cell r="DU41" t="str">
            <v>mstag:minorityInterestsInEquity</v>
          </cell>
          <cell r="DV41">
            <v>6</v>
          </cell>
          <cell r="DW41" t="str">
            <v>ISO4217:USD</v>
          </cell>
          <cell r="DX41" t="b">
            <v>0</v>
          </cell>
        </row>
        <row r="43">
          <cell r="B43" t="str">
            <v>Common Stock</v>
          </cell>
          <cell r="E43">
            <v>0.16800000000000001</v>
          </cell>
          <cell r="F43">
            <v>0.189</v>
          </cell>
          <cell r="G43">
            <v>0.29900000000000004</v>
          </cell>
          <cell r="H43">
            <v>0.68900000000000006</v>
          </cell>
          <cell r="I43">
            <v>0.69199999999999995</v>
          </cell>
          <cell r="J43">
            <v>1.0569999999999999</v>
          </cell>
          <cell r="K43">
            <v>1.627</v>
          </cell>
          <cell r="L43">
            <v>2.4910000000000001</v>
          </cell>
          <cell r="M43">
            <v>2.5190000000000001</v>
          </cell>
          <cell r="N43">
            <v>2.5190000000000001</v>
          </cell>
          <cell r="O43">
            <v>2.516</v>
          </cell>
          <cell r="P43">
            <v>2.5339999999999998</v>
          </cell>
          <cell r="Q43">
            <v>2.5339999999999998</v>
          </cell>
          <cell r="R43">
            <v>2.536</v>
          </cell>
          <cell r="S43">
            <v>2.536</v>
          </cell>
          <cell r="T43">
            <v>2.5529999999999999</v>
          </cell>
          <cell r="U43">
            <v>2.5539999999999998</v>
          </cell>
          <cell r="V43">
            <v>2.5539999999999998</v>
          </cell>
          <cell r="W43">
            <v>2.5609999999999999</v>
          </cell>
          <cell r="X43">
            <v>2.5750000000000002</v>
          </cell>
          <cell r="Y43">
            <v>2.5760000000000001</v>
          </cell>
          <cell r="Z43">
            <v>2.581</v>
          </cell>
          <cell r="AA43">
            <v>2.581</v>
          </cell>
          <cell r="AB43">
            <v>2.5910000000000002</v>
          </cell>
          <cell r="AC43">
            <v>2.5920000000000001</v>
          </cell>
          <cell r="AD43">
            <v>2.6080000000000001</v>
          </cell>
          <cell r="AE43">
            <v>2.6110000000000002</v>
          </cell>
          <cell r="AF43">
            <v>2.6110000000000002</v>
          </cell>
          <cell r="AG43">
            <v>2.6120000000000001</v>
          </cell>
          <cell r="AH43">
            <v>2.6120000000000001</v>
          </cell>
          <cell r="AI43">
            <v>2.6219999999999999</v>
          </cell>
          <cell r="AJ43">
            <v>2.6269999999999998</v>
          </cell>
          <cell r="AK43">
            <v>2.6269999999999998</v>
          </cell>
          <cell r="AL43">
            <v>2.653</v>
          </cell>
          <cell r="AM43">
            <v>2.6549999999999998</v>
          </cell>
          <cell r="AN43">
            <v>2.6589999999999998</v>
          </cell>
          <cell r="AO43">
            <v>2.66</v>
          </cell>
          <cell r="AP43">
            <v>2.66</v>
          </cell>
          <cell r="AQ43">
            <v>2.665</v>
          </cell>
          <cell r="AR43">
            <v>2.69</v>
          </cell>
          <cell r="AS43">
            <v>2.6970000000000001</v>
          </cell>
          <cell r="AT43">
            <v>2.706</v>
          </cell>
          <cell r="AU43">
            <v>2.706</v>
          </cell>
          <cell r="AW43">
            <v>2.6549999999999998</v>
          </cell>
          <cell r="AX43">
            <v>2.6589999999999998</v>
          </cell>
          <cell r="AY43">
            <v>2.66</v>
          </cell>
          <cell r="AZ43">
            <v>2.665</v>
          </cell>
          <cell r="BA43">
            <v>2.665</v>
          </cell>
          <cell r="BB43">
            <v>2.69</v>
          </cell>
          <cell r="BC43">
            <v>2.6970000000000001</v>
          </cell>
          <cell r="BD43">
            <v>2.706</v>
          </cell>
          <cell r="BE43">
            <v>2.7309999999999999</v>
          </cell>
          <cell r="BF43">
            <v>2.7309999999999999</v>
          </cell>
          <cell r="BG43">
            <v>2.7330000000000001</v>
          </cell>
          <cell r="BH43">
            <v>2.7349999999999999</v>
          </cell>
          <cell r="BI43">
            <v>2.7469999999999999</v>
          </cell>
          <cell r="BJ43">
            <v>2.75</v>
          </cell>
          <cell r="BK43">
            <v>2.75</v>
          </cell>
          <cell r="BL43">
            <v>2.7650000000000001</v>
          </cell>
          <cell r="BM43">
            <v>2.7679999999999998</v>
          </cell>
          <cell r="BN43">
            <v>2.7679999999999998</v>
          </cell>
          <cell r="BO43">
            <v>2.7719999999999998</v>
          </cell>
          <cell r="BP43">
            <v>2.7719999999999998</v>
          </cell>
          <cell r="BQ43">
            <v>2.7759999999999998</v>
          </cell>
          <cell r="BR43">
            <v>2.7869999999999999</v>
          </cell>
          <cell r="BS43">
            <v>2.4390000000000001</v>
          </cell>
          <cell r="BT43">
            <v>2.4420000000000002</v>
          </cell>
          <cell r="BU43">
            <v>2.4420000000000002</v>
          </cell>
          <cell r="BV43">
            <v>2.4660000000000002</v>
          </cell>
          <cell r="BW43">
            <v>2.4660000000000002</v>
          </cell>
          <cell r="BX43">
            <v>2.48</v>
          </cell>
          <cell r="BY43">
            <v>2.4849999999999999</v>
          </cell>
          <cell r="BZ43">
            <v>2.4849999999999999</v>
          </cell>
          <cell r="CA43">
            <v>2.5030000000000001</v>
          </cell>
          <cell r="CB43">
            <v>2.5059999999999998</v>
          </cell>
          <cell r="CC43">
            <v>2.5059999999999998</v>
          </cell>
          <cell r="CD43">
            <v>2.5089999999999999</v>
          </cell>
          <cell r="CE43">
            <v>2.5089999999999999</v>
          </cell>
          <cell r="CF43">
            <v>2.532</v>
          </cell>
          <cell r="CG43">
            <v>2.5409999999999999</v>
          </cell>
          <cell r="CH43">
            <v>2.5409999999999999</v>
          </cell>
          <cell r="CI43">
            <v>2.5419999999999998</v>
          </cell>
          <cell r="CJ43">
            <v>2.5419999999999998</v>
          </cell>
          <cell r="CK43">
            <v>2.5630000000000002</v>
          </cell>
          <cell r="CL43">
            <v>2.5630000000000002</v>
          </cell>
          <cell r="CM43">
            <v>2.5640000000000001</v>
          </cell>
          <cell r="CN43">
            <v>2.5640000000000001</v>
          </cell>
          <cell r="CO43">
            <v>2.5640000000000001</v>
          </cell>
          <cell r="CP43">
            <v>2.5640000000000001</v>
          </cell>
          <cell r="CQ43">
            <v>2.5640000000000001</v>
          </cell>
          <cell r="CR43">
            <v>2.5640000000000001</v>
          </cell>
          <cell r="CS43">
            <v>2.5640000000000001</v>
          </cell>
          <cell r="CT43">
            <v>2.5640000000000001</v>
          </cell>
          <cell r="CU43">
            <v>2.5640000000000001</v>
          </cell>
          <cell r="CV43">
            <v>2.5640000000000001</v>
          </cell>
          <cell r="CW43">
            <v>2.5640000000000001</v>
          </cell>
          <cell r="CX43">
            <v>2.5640000000000001</v>
          </cell>
          <cell r="CY43">
            <v>2.5640000000000001</v>
          </cell>
          <cell r="CZ43">
            <v>2.5640000000000001</v>
          </cell>
          <cell r="DA43">
            <v>2.5640000000000001</v>
          </cell>
          <cell r="DB43">
            <v>2.5640000000000001</v>
          </cell>
          <cell r="DC43">
            <v>2.5640000000000001</v>
          </cell>
          <cell r="DD43">
            <v>2.5640000000000001</v>
          </cell>
          <cell r="DE43">
            <v>2.5640000000000001</v>
          </cell>
          <cell r="DF43">
            <v>2.5640000000000001</v>
          </cell>
          <cell r="DG43">
            <v>2.5640000000000001</v>
          </cell>
          <cell r="DH43">
            <v>2.5640000000000001</v>
          </cell>
          <cell r="DI43">
            <v>2.5640000000000001</v>
          </cell>
          <cell r="DU43" t="str">
            <v>mstag:commonStock</v>
          </cell>
          <cell r="DV43">
            <v>6</v>
          </cell>
          <cell r="DW43" t="str">
            <v>ISO4217:USD</v>
          </cell>
          <cell r="DX43" t="b">
            <v>0</v>
          </cell>
        </row>
        <row r="44">
          <cell r="B44" t="str">
            <v>Accumulated and other comprehensive income</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M44">
            <v>0</v>
          </cell>
          <cell r="AN44">
            <v>0</v>
          </cell>
          <cell r="AO44">
            <v>0</v>
          </cell>
          <cell r="AP44">
            <v>0</v>
          </cell>
          <cell r="AQ44">
            <v>0</v>
          </cell>
          <cell r="AR44">
            <v>0</v>
          </cell>
          <cell r="AS44">
            <v>0</v>
          </cell>
          <cell r="AT44">
            <v>0.128</v>
          </cell>
          <cell r="AU44">
            <v>0.128</v>
          </cell>
          <cell r="AW44">
            <v>0</v>
          </cell>
          <cell r="AX44">
            <v>0</v>
          </cell>
          <cell r="AY44">
            <v>0</v>
          </cell>
          <cell r="AZ44">
            <v>0</v>
          </cell>
          <cell r="BA44">
            <v>0</v>
          </cell>
          <cell r="BB44">
            <v>0</v>
          </cell>
          <cell r="BC44">
            <v>0</v>
          </cell>
          <cell r="BD44">
            <v>0.128</v>
          </cell>
          <cell r="BE44">
            <v>-8.7999999999999995E-2</v>
          </cell>
          <cell r="BF44">
            <v>-8.7999999999999995E-2</v>
          </cell>
          <cell r="BG44">
            <v>0.13100000000000001</v>
          </cell>
          <cell r="BH44">
            <v>-1.2E-2</v>
          </cell>
          <cell r="BI44">
            <v>0.61799999999999999</v>
          </cell>
          <cell r="BJ44">
            <v>0.65400000000000003</v>
          </cell>
          <cell r="BK44">
            <v>0.65400000000000003</v>
          </cell>
          <cell r="BL44">
            <v>0.25</v>
          </cell>
          <cell r="BM44">
            <v>36.74</v>
          </cell>
          <cell r="BN44">
            <v>-10.307</v>
          </cell>
          <cell r="BO44">
            <v>-57.86</v>
          </cell>
          <cell r="BP44">
            <v>-57.86</v>
          </cell>
          <cell r="BQ44">
            <v>-121.11799999999999</v>
          </cell>
          <cell r="BR44">
            <v>-55.390999999999998</v>
          </cell>
          <cell r="BS44">
            <v>-67.718999999999994</v>
          </cell>
          <cell r="BT44">
            <v>-169.91399999999999</v>
          </cell>
          <cell r="BU44">
            <v>-169.91399999999999</v>
          </cell>
          <cell r="BV44">
            <v>-161.13300000000001</v>
          </cell>
          <cell r="BW44">
            <v>-122.188</v>
          </cell>
          <cell r="BX44">
            <v>-131.22900000000001</v>
          </cell>
          <cell r="BY44">
            <v>-120.242</v>
          </cell>
          <cell r="BZ44">
            <v>-120.242</v>
          </cell>
          <cell r="CA44">
            <v>-129.85499999999999</v>
          </cell>
          <cell r="CB44">
            <v>-143.61000000000001</v>
          </cell>
          <cell r="CC44">
            <v>-155.77199999999999</v>
          </cell>
          <cell r="CD44">
            <v>-131.124</v>
          </cell>
          <cell r="CE44">
            <v>-131.124</v>
          </cell>
          <cell r="CF44">
            <v>-114.798</v>
          </cell>
          <cell r="CG44">
            <v>-114.82899999999999</v>
          </cell>
          <cell r="CH44">
            <v>-116.867</v>
          </cell>
          <cell r="CI44">
            <v>-95.44</v>
          </cell>
          <cell r="CJ44">
            <v>-95.44</v>
          </cell>
          <cell r="CK44">
            <v>-79.427999999999997</v>
          </cell>
          <cell r="CL44">
            <v>-67.596999999999994</v>
          </cell>
          <cell r="CM44">
            <v>-53.255000000000003</v>
          </cell>
          <cell r="CN44">
            <v>-53.255000000000003</v>
          </cell>
          <cell r="CO44">
            <v>-53.255000000000003</v>
          </cell>
          <cell r="CP44">
            <v>-53.255000000000003</v>
          </cell>
          <cell r="CQ44">
            <v>-53.255000000000003</v>
          </cell>
          <cell r="CR44">
            <v>-53.255000000000003</v>
          </cell>
          <cell r="CS44">
            <v>-53.255000000000003</v>
          </cell>
          <cell r="CT44">
            <v>-53.255000000000003</v>
          </cell>
          <cell r="CU44">
            <v>-53.255000000000003</v>
          </cell>
          <cell r="CV44">
            <v>-53.255000000000003</v>
          </cell>
          <cell r="CW44">
            <v>-53.255000000000003</v>
          </cell>
          <cell r="CX44">
            <v>-53.255000000000003</v>
          </cell>
          <cell r="CY44">
            <v>-53.255000000000003</v>
          </cell>
          <cell r="CZ44">
            <v>-53.255000000000003</v>
          </cell>
          <cell r="DA44">
            <v>-53.255000000000003</v>
          </cell>
          <cell r="DB44">
            <v>-53.255000000000003</v>
          </cell>
          <cell r="DC44">
            <v>-53.255000000000003</v>
          </cell>
          <cell r="DD44">
            <v>-53.255000000000003</v>
          </cell>
          <cell r="DE44">
            <v>-53.255000000000003</v>
          </cell>
          <cell r="DF44">
            <v>-53.255000000000003</v>
          </cell>
          <cell r="DG44">
            <v>-53.255000000000003</v>
          </cell>
          <cell r="DH44">
            <v>-53.255000000000003</v>
          </cell>
          <cell r="DI44">
            <v>-53.255000000000003</v>
          </cell>
          <cell r="DU44" t="str">
            <v>mstag:accumulatedOtherComprehensiveIncomeLossAndReserves</v>
          </cell>
          <cell r="DV44">
            <v>6</v>
          </cell>
          <cell r="DW44" t="str">
            <v>ISO4217:USD</v>
          </cell>
          <cell r="DX44" t="b">
            <v>0</v>
          </cell>
        </row>
        <row r="45">
          <cell r="B45" t="str">
            <v>Additional paid in capital</v>
          </cell>
          <cell r="E45">
            <v>57.076999999999998</v>
          </cell>
          <cell r="F45">
            <v>93.855999999999995</v>
          </cell>
          <cell r="G45">
            <v>118.816</v>
          </cell>
          <cell r="H45">
            <v>132.16499999999999</v>
          </cell>
          <cell r="I45">
            <v>133.85300000000001</v>
          </cell>
          <cell r="J45">
            <v>149.191</v>
          </cell>
          <cell r="K45">
            <v>182.78</v>
          </cell>
          <cell r="L45">
            <v>241.67699999999999</v>
          </cell>
          <cell r="M45">
            <v>285.15899999999999</v>
          </cell>
          <cell r="N45">
            <v>285.44299999999998</v>
          </cell>
          <cell r="O45">
            <v>285.73200000000003</v>
          </cell>
          <cell r="P45">
            <v>294.57900000000001</v>
          </cell>
          <cell r="Q45">
            <v>294.57900000000001</v>
          </cell>
          <cell r="R45">
            <v>294.63099999999997</v>
          </cell>
          <cell r="S45">
            <v>294.685</v>
          </cell>
          <cell r="T45">
            <v>304.47300000000001</v>
          </cell>
          <cell r="U45">
            <v>308.834</v>
          </cell>
          <cell r="V45">
            <v>308.834</v>
          </cell>
          <cell r="W45">
            <v>313.94</v>
          </cell>
          <cell r="X45">
            <v>327.98099999999999</v>
          </cell>
          <cell r="Y45">
            <v>329.21899999999999</v>
          </cell>
          <cell r="Z45">
            <v>340.19200000000001</v>
          </cell>
          <cell r="AA45">
            <v>340.19200000000001</v>
          </cell>
          <cell r="AB45">
            <v>343.19299999999998</v>
          </cell>
          <cell r="AC45">
            <v>344.30799999999999</v>
          </cell>
          <cell r="AD45">
            <v>345.58699999999999</v>
          </cell>
          <cell r="AE45">
            <v>373.214</v>
          </cell>
          <cell r="AF45">
            <v>373.214</v>
          </cell>
          <cell r="AG45">
            <v>375.61500000000001</v>
          </cell>
          <cell r="AH45">
            <v>375.61500000000001</v>
          </cell>
          <cell r="AI45">
            <v>389.73399999999998</v>
          </cell>
          <cell r="AJ45">
            <v>399.78199999999998</v>
          </cell>
          <cell r="AK45">
            <v>399.78199999999998</v>
          </cell>
          <cell r="AL45">
            <v>433.39699999999999</v>
          </cell>
          <cell r="AM45">
            <v>436.54599999999999</v>
          </cell>
          <cell r="AN45">
            <v>442.012</v>
          </cell>
          <cell r="AO45">
            <v>445.27</v>
          </cell>
          <cell r="AP45">
            <v>445.27</v>
          </cell>
          <cell r="AQ45">
            <v>451.66899999999998</v>
          </cell>
          <cell r="AR45">
            <v>491.96600000000001</v>
          </cell>
          <cell r="AS45">
            <v>506.87400000000002</v>
          </cell>
          <cell r="AT45">
            <v>525.14400000000001</v>
          </cell>
          <cell r="AU45">
            <v>525.14400000000001</v>
          </cell>
          <cell r="AW45">
            <v>436.54599999999999</v>
          </cell>
          <cell r="AX45">
            <v>442.012</v>
          </cell>
          <cell r="AY45">
            <v>445.27</v>
          </cell>
          <cell r="AZ45">
            <v>451.66899999999998</v>
          </cell>
          <cell r="BA45">
            <v>451.66899999999998</v>
          </cell>
          <cell r="BB45">
            <v>491.96600000000001</v>
          </cell>
          <cell r="BC45">
            <v>506.87400000000002</v>
          </cell>
          <cell r="BD45">
            <v>525.14400000000001</v>
          </cell>
          <cell r="BE45">
            <v>589.83400000000074</v>
          </cell>
          <cell r="BF45">
            <v>589.83400000000074</v>
          </cell>
          <cell r="BG45">
            <v>585.38300000000004</v>
          </cell>
          <cell r="BH45">
            <v>593.62</v>
          </cell>
          <cell r="BI45">
            <v>629.32000000000005</v>
          </cell>
          <cell r="BJ45">
            <v>632.03700000000003</v>
          </cell>
          <cell r="BK45">
            <v>632.03700000000003</v>
          </cell>
          <cell r="BL45">
            <v>610.19600000000003</v>
          </cell>
          <cell r="BM45">
            <v>612.19100000000003</v>
          </cell>
          <cell r="BN45">
            <v>621.9</v>
          </cell>
          <cell r="BO45">
            <v>623.48500000000001</v>
          </cell>
          <cell r="BP45">
            <v>623.48500000000001</v>
          </cell>
          <cell r="BQ45">
            <v>629.88400000000001</v>
          </cell>
          <cell r="BR45">
            <v>632.50099999999998</v>
          </cell>
          <cell r="BS45">
            <v>78.626000000000005</v>
          </cell>
          <cell r="BT45">
            <v>83.550000000000182</v>
          </cell>
          <cell r="BU45">
            <v>83.550000000000182</v>
          </cell>
          <cell r="BV45">
            <v>110.577</v>
          </cell>
          <cell r="BW45">
            <v>113.14</v>
          </cell>
          <cell r="BX45">
            <v>124.154</v>
          </cell>
          <cell r="BY45">
            <v>96.531000000000006</v>
          </cell>
          <cell r="BZ45">
            <v>96.531000000000006</v>
          </cell>
          <cell r="CA45">
            <v>105.56</v>
          </cell>
          <cell r="CB45">
            <v>111.143</v>
          </cell>
          <cell r="CC45">
            <v>116.252</v>
          </cell>
          <cell r="CD45">
            <v>123.04</v>
          </cell>
          <cell r="CE45">
            <v>123.04</v>
          </cell>
          <cell r="CF45">
            <v>129.542</v>
          </cell>
          <cell r="CG45">
            <v>144.81800000000001</v>
          </cell>
          <cell r="CH45">
            <v>150.959</v>
          </cell>
          <cell r="CI45">
            <v>156.85900000000001</v>
          </cell>
          <cell r="CJ45">
            <v>156.85900000000001</v>
          </cell>
          <cell r="CK45">
            <v>156.392</v>
          </cell>
          <cell r="CL45">
            <v>163.03700000000001</v>
          </cell>
          <cell r="CM45">
            <v>169.02</v>
          </cell>
          <cell r="CN45">
            <v>175.44268078386139</v>
          </cell>
          <cell r="CO45">
            <v>175.44268078386139</v>
          </cell>
          <cell r="CP45">
            <v>182.08612387228229</v>
          </cell>
          <cell r="CQ45">
            <v>188.63445108256781</v>
          </cell>
          <cell r="CR45">
            <v>195.10299729920544</v>
          </cell>
          <cell r="CS45">
            <v>201.74930473632062</v>
          </cell>
          <cell r="CT45">
            <v>201.74930473632062</v>
          </cell>
          <cell r="CU45">
            <v>208.52400068593292</v>
          </cell>
          <cell r="CV45">
            <v>215.19487552617619</v>
          </cell>
          <cell r="CW45">
            <v>221.79135910303202</v>
          </cell>
          <cell r="CX45">
            <v>228.55611395705441</v>
          </cell>
          <cell r="CY45">
            <v>228.55611395705441</v>
          </cell>
          <cell r="CZ45">
            <v>235.60190562342603</v>
          </cell>
          <cell r="DA45">
            <v>242.53076845172004</v>
          </cell>
          <cell r="DB45">
            <v>249.38789552575125</v>
          </cell>
          <cell r="DC45">
            <v>256.43445471832456</v>
          </cell>
          <cell r="DD45">
            <v>256.43445471832456</v>
          </cell>
          <cell r="DE45">
            <v>263.79426930077898</v>
          </cell>
          <cell r="DF45">
            <v>271.0152765325754</v>
          </cell>
          <cell r="DG45">
            <v>278.16580502746791</v>
          </cell>
          <cell r="DH45">
            <v>285.4963294077578</v>
          </cell>
          <cell r="DI45">
            <v>285.4963294077578</v>
          </cell>
          <cell r="DU45" t="str">
            <v>mstag:additionalPaidInCapital</v>
          </cell>
          <cell r="DV45">
            <v>6</v>
          </cell>
          <cell r="DW45" t="str">
            <v>ISO4217:USD</v>
          </cell>
          <cell r="DX45" t="b">
            <v>0</v>
          </cell>
        </row>
        <row r="46">
          <cell r="B46" t="str">
            <v>Retained earnings</v>
          </cell>
          <cell r="E46">
            <v>18.614999999999998</v>
          </cell>
          <cell r="F46">
            <v>41.292999999999999</v>
          </cell>
          <cell r="G46">
            <v>73.537999999999997</v>
          </cell>
          <cell r="H46">
            <v>120.074</v>
          </cell>
          <cell r="I46">
            <v>183.405</v>
          </cell>
          <cell r="J46">
            <v>267.49099999999999</v>
          </cell>
          <cell r="K46">
            <v>375.81299999999999</v>
          </cell>
          <cell r="L46">
            <v>512.65700000000004</v>
          </cell>
          <cell r="M46">
            <v>543.61199999999997</v>
          </cell>
          <cell r="N46">
            <v>591.31899999999996</v>
          </cell>
          <cell r="O46">
            <v>630.07600000000002</v>
          </cell>
          <cell r="P46">
            <v>662.50199999999995</v>
          </cell>
          <cell r="Q46">
            <v>662.50199999999995</v>
          </cell>
          <cell r="R46">
            <v>696.79399999999998</v>
          </cell>
          <cell r="S46">
            <v>747.28099999999995</v>
          </cell>
          <cell r="T46">
            <v>791.10400000000004</v>
          </cell>
          <cell r="U46">
            <v>830.16899999999998</v>
          </cell>
          <cell r="V46">
            <v>830.16899999999998</v>
          </cell>
          <cell r="W46">
            <v>870.34699999999998</v>
          </cell>
          <cell r="X46">
            <v>919.08699999999999</v>
          </cell>
          <cell r="Y46">
            <v>973.22500000000002</v>
          </cell>
          <cell r="Z46">
            <v>1025.1469999999999</v>
          </cell>
          <cell r="AA46">
            <v>1025.1469999999999</v>
          </cell>
          <cell r="AB46">
            <v>1075.6130000000001</v>
          </cell>
          <cell r="AC46">
            <v>1144.854</v>
          </cell>
          <cell r="AD46">
            <v>1211.405</v>
          </cell>
          <cell r="AE46">
            <v>1271.5830000000001</v>
          </cell>
          <cell r="AF46">
            <v>1271.5830000000001</v>
          </cell>
          <cell r="AG46">
            <v>1326.376</v>
          </cell>
          <cell r="AH46">
            <v>1399.569</v>
          </cell>
          <cell r="AI46">
            <v>1470.4369999999999</v>
          </cell>
          <cell r="AJ46">
            <v>1535.3219999999999</v>
          </cell>
          <cell r="AK46">
            <v>1535.3219999999999</v>
          </cell>
          <cell r="AL46">
            <v>1601.729</v>
          </cell>
          <cell r="AM46">
            <v>1687.088</v>
          </cell>
          <cell r="AN46">
            <v>1771.4110000000001</v>
          </cell>
          <cell r="AO46">
            <v>1830.7360000000001</v>
          </cell>
          <cell r="AP46">
            <v>1830.7360000000001</v>
          </cell>
          <cell r="AQ46">
            <v>1909.287</v>
          </cell>
          <cell r="AR46">
            <v>2000.085</v>
          </cell>
          <cell r="AS46">
            <v>2076.989</v>
          </cell>
          <cell r="AT46">
            <v>2140.393</v>
          </cell>
          <cell r="AU46">
            <v>2140.393</v>
          </cell>
          <cell r="AW46">
            <v>1687.088</v>
          </cell>
          <cell r="AX46">
            <v>1771.4110000000001</v>
          </cell>
          <cell r="AY46">
            <v>1830.7360000000001</v>
          </cell>
          <cell r="AZ46">
            <v>1909.287</v>
          </cell>
          <cell r="BA46">
            <v>1909.287</v>
          </cell>
          <cell r="BB46">
            <v>2000.085</v>
          </cell>
          <cell r="BC46">
            <v>2076.989</v>
          </cell>
          <cell r="BD46">
            <v>2140.393</v>
          </cell>
          <cell r="BE46">
            <v>2204.884</v>
          </cell>
          <cell r="BF46">
            <v>2204.884</v>
          </cell>
          <cell r="BG46">
            <v>2288.84</v>
          </cell>
          <cell r="BH46">
            <v>2351.7020000000002</v>
          </cell>
          <cell r="BI46">
            <v>2400.5010000000002</v>
          </cell>
          <cell r="BJ46">
            <v>2329.7559999999999</v>
          </cell>
          <cell r="BK46">
            <v>2329.7559999999999</v>
          </cell>
          <cell r="BL46">
            <v>16.866</v>
          </cell>
          <cell r="BM46">
            <v>28.771999999999998</v>
          </cell>
          <cell r="BN46">
            <v>59.246000000000002</v>
          </cell>
          <cell r="BO46">
            <v>71.706000000000003</v>
          </cell>
          <cell r="BP46">
            <v>71.706000000000003</v>
          </cell>
          <cell r="BQ46">
            <v>205.58199999999999</v>
          </cell>
          <cell r="BR46">
            <v>217.97900000000001</v>
          </cell>
          <cell r="BS46">
            <v>224.38200000000001</v>
          </cell>
          <cell r="BT46">
            <v>238.21899999999999</v>
          </cell>
          <cell r="BU46">
            <v>238.21899999999999</v>
          </cell>
          <cell r="BV46">
            <v>284.23500000000001</v>
          </cell>
          <cell r="BW46">
            <v>316.82799999999997</v>
          </cell>
          <cell r="BX46">
            <v>342.27300000000002</v>
          </cell>
          <cell r="BY46">
            <v>376.40100000000001</v>
          </cell>
          <cell r="BZ46">
            <v>376.40100000000001</v>
          </cell>
          <cell r="CA46">
            <v>423.34100000000001</v>
          </cell>
          <cell r="CB46">
            <v>462.99799999999999</v>
          </cell>
          <cell r="CC46">
            <v>498.291</v>
          </cell>
          <cell r="CD46">
            <v>526.47</v>
          </cell>
          <cell r="CE46">
            <v>526.47</v>
          </cell>
          <cell r="CF46">
            <v>581.99400000000003</v>
          </cell>
          <cell r="CG46">
            <v>630.60500000000002</v>
          </cell>
          <cell r="CH46">
            <v>674.33299999999997</v>
          </cell>
          <cell r="CI46">
            <v>705.18</v>
          </cell>
          <cell r="CJ46">
            <v>705.18</v>
          </cell>
          <cell r="CK46">
            <v>742.87</v>
          </cell>
          <cell r="CL46">
            <v>779.82399999999996</v>
          </cell>
          <cell r="CM46">
            <v>821.16800000000001</v>
          </cell>
          <cell r="CN46">
            <v>876.06968999778849</v>
          </cell>
          <cell r="CO46">
            <v>876.06968999778849</v>
          </cell>
          <cell r="CP46">
            <v>929.49127428726069</v>
          </cell>
          <cell r="CQ46">
            <v>977.40273262024027</v>
          </cell>
          <cell r="CR46">
            <v>1010.8397078941956</v>
          </cell>
          <cell r="CS46">
            <v>1028.1669532504425</v>
          </cell>
          <cell r="CT46">
            <v>1028.1669532504425</v>
          </cell>
          <cell r="CU46">
            <v>1088.9312846990504</v>
          </cell>
          <cell r="CV46">
            <v>1156.1926829890633</v>
          </cell>
          <cell r="CW46">
            <v>1211.8807704592734</v>
          </cell>
          <cell r="CX46">
            <v>1248.7424885041592</v>
          </cell>
          <cell r="CY46">
            <v>1248.7424885041592</v>
          </cell>
          <cell r="CZ46">
            <v>1332.593572803971</v>
          </cell>
          <cell r="DA46">
            <v>1408.782024806208</v>
          </cell>
          <cell r="DB46">
            <v>1474.7170610367077</v>
          </cell>
          <cell r="DC46">
            <v>1523.119518366135</v>
          </cell>
          <cell r="DD46">
            <v>1523.119518366135</v>
          </cell>
          <cell r="DE46">
            <v>1620.1298290744542</v>
          </cell>
          <cell r="DF46">
            <v>1707.5832604133552</v>
          </cell>
          <cell r="DG46">
            <v>1785.6716558477588</v>
          </cell>
          <cell r="DH46">
            <v>1843.0313195160238</v>
          </cell>
          <cell r="DI46">
            <v>1843.0313195160238</v>
          </cell>
          <cell r="DU46" t="str">
            <v>mstag:retainedEarnings</v>
          </cell>
          <cell r="DV46">
            <v>6</v>
          </cell>
          <cell r="DW46" t="str">
            <v>ISO4217:USD</v>
          </cell>
          <cell r="DX46" t="b">
            <v>0</v>
          </cell>
        </row>
        <row r="47">
          <cell r="B47" t="str">
            <v>Treasury stock</v>
          </cell>
          <cell r="E47">
            <v>0</v>
          </cell>
          <cell r="F47">
            <v>0</v>
          </cell>
          <cell r="G47">
            <v>0</v>
          </cell>
          <cell r="H47">
            <v>0</v>
          </cell>
          <cell r="I47">
            <v>0</v>
          </cell>
          <cell r="J47">
            <v>0</v>
          </cell>
          <cell r="K47">
            <v>0</v>
          </cell>
          <cell r="L47">
            <v>0</v>
          </cell>
          <cell r="M47">
            <v>-8.1010000000000009</v>
          </cell>
          <cell r="N47">
            <v>-8.1010000000000009</v>
          </cell>
          <cell r="O47">
            <v>-8.1010000000000009</v>
          </cell>
          <cell r="P47">
            <v>-69.091999999999999</v>
          </cell>
          <cell r="Q47">
            <v>-69.091999999999999</v>
          </cell>
          <cell r="R47">
            <v>-111.491</v>
          </cell>
          <cell r="S47">
            <v>-111.491</v>
          </cell>
          <cell r="T47">
            <v>-111.491</v>
          </cell>
          <cell r="U47">
            <v>-111.491</v>
          </cell>
          <cell r="V47">
            <v>-111.491</v>
          </cell>
          <cell r="W47">
            <v>-111.491</v>
          </cell>
          <cell r="X47">
            <v>-111.491</v>
          </cell>
          <cell r="Y47">
            <v>-111.491</v>
          </cell>
          <cell r="Z47">
            <v>-114.271</v>
          </cell>
          <cell r="AA47">
            <v>-114.271</v>
          </cell>
          <cell r="AB47">
            <v>-200.57400000000001</v>
          </cell>
          <cell r="AC47">
            <v>-241.16399999999999</v>
          </cell>
          <cell r="AD47">
            <v>-241.16399999999999</v>
          </cell>
          <cell r="AE47">
            <v>-300.65600000000001</v>
          </cell>
          <cell r="AF47">
            <v>-300.65600000000001</v>
          </cell>
          <cell r="AG47">
            <v>-300.65600000000001</v>
          </cell>
          <cell r="AH47">
            <v>-300.65600000000001</v>
          </cell>
          <cell r="AI47">
            <v>-300.65600000000001</v>
          </cell>
          <cell r="AJ47">
            <v>-300.65600000000001</v>
          </cell>
          <cell r="AK47">
            <v>-300.65600000000001</v>
          </cell>
          <cell r="AL47">
            <v>-300.65600000000001</v>
          </cell>
          <cell r="AM47">
            <v>-300.65600000000001</v>
          </cell>
          <cell r="AN47">
            <v>-300.65600000000001</v>
          </cell>
          <cell r="AO47">
            <v>-300.65600000000001</v>
          </cell>
          <cell r="AP47">
            <v>-300.65600000000001</v>
          </cell>
          <cell r="AQ47">
            <v>-300.65599999999898</v>
          </cell>
          <cell r="AR47">
            <v>-300.65600000000001</v>
          </cell>
          <cell r="AS47">
            <v>-300.65600000000001</v>
          </cell>
          <cell r="AT47">
            <v>-378.91199999999998</v>
          </cell>
          <cell r="AU47">
            <v>-378.91199999999998</v>
          </cell>
          <cell r="AW47">
            <v>-300.65600000000001</v>
          </cell>
          <cell r="AX47">
            <v>-300.65600000000001</v>
          </cell>
          <cell r="AY47">
            <v>-300.65600000000001</v>
          </cell>
          <cell r="AZ47">
            <v>-300.65599999999898</v>
          </cell>
          <cell r="BA47">
            <v>-300.65599999999898</v>
          </cell>
          <cell r="BB47">
            <v>-300.65600000000001</v>
          </cell>
          <cell r="BC47">
            <v>-300.65600000000001</v>
          </cell>
          <cell r="BD47">
            <v>-378.91199999999998</v>
          </cell>
          <cell r="BE47">
            <v>-522.31299999999999</v>
          </cell>
          <cell r="BF47">
            <v>-522.31299999999999</v>
          </cell>
          <cell r="BG47">
            <v>-522.31299999999999</v>
          </cell>
          <cell r="BH47">
            <v>-532.12300000000005</v>
          </cell>
          <cell r="BI47">
            <v>-546.93700000000001</v>
          </cell>
          <cell r="BJ47">
            <v>-559.07500000000005</v>
          </cell>
          <cell r="BK47">
            <v>-559.07500000000005</v>
          </cell>
          <cell r="BL47">
            <v>-559.07500000000005</v>
          </cell>
          <cell r="BM47">
            <v>-559.07500000000005</v>
          </cell>
          <cell r="BN47">
            <v>-559.07500000000005</v>
          </cell>
          <cell r="BO47">
            <v>-559.07500000000005</v>
          </cell>
          <cell r="BP47">
            <v>-559.07500000000005</v>
          </cell>
          <cell r="BQ47">
            <v>-559.07500000000005</v>
          </cell>
          <cell r="BR47">
            <v>-559.07500000000005</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U47" t="str">
            <v>mstag:treasuryStockAndInvestmentInOwnShares</v>
          </cell>
          <cell r="DV47">
            <v>6</v>
          </cell>
          <cell r="DW47" t="str">
            <v>ISO4217:USD</v>
          </cell>
          <cell r="DX47" t="b">
            <v>1</v>
          </cell>
        </row>
        <row r="48">
          <cell r="B48" t="str">
            <v>SHAREHOLDERS' EQUITY</v>
          </cell>
          <cell r="D48">
            <v>0</v>
          </cell>
          <cell r="E48">
            <v>75.86</v>
          </cell>
          <cell r="F48">
            <v>135.33799999999999</v>
          </cell>
          <cell r="G48">
            <v>192.65300000000002</v>
          </cell>
          <cell r="H48">
            <v>252.928</v>
          </cell>
          <cell r="I48">
            <v>317.95000000000005</v>
          </cell>
          <cell r="J48">
            <v>417.73899999999998</v>
          </cell>
          <cell r="K48">
            <v>560.22</v>
          </cell>
          <cell r="L48">
            <v>756.82500000000005</v>
          </cell>
          <cell r="M48">
            <v>831.29</v>
          </cell>
          <cell r="N48">
            <v>879.28099999999995</v>
          </cell>
          <cell r="O48">
            <v>918.32400000000007</v>
          </cell>
          <cell r="P48">
            <v>959.61500000000001</v>
          </cell>
          <cell r="Q48">
            <v>959.61500000000001</v>
          </cell>
          <cell r="R48">
            <v>993.96100000000001</v>
          </cell>
          <cell r="S48">
            <v>1044.502</v>
          </cell>
          <cell r="T48">
            <v>1098.1300000000001</v>
          </cell>
          <cell r="U48">
            <v>1141.557</v>
          </cell>
          <cell r="V48">
            <v>1141.557</v>
          </cell>
          <cell r="W48">
            <v>1186.848</v>
          </cell>
          <cell r="X48">
            <v>1249.643</v>
          </cell>
          <cell r="Y48">
            <v>1305.02</v>
          </cell>
          <cell r="Z48">
            <v>1367.92</v>
          </cell>
          <cell r="AA48">
            <v>1367.92</v>
          </cell>
          <cell r="AB48">
            <v>1421.3969999999999</v>
          </cell>
          <cell r="AC48">
            <v>1491.7539999999999</v>
          </cell>
          <cell r="AD48">
            <v>1559.6</v>
          </cell>
          <cell r="AE48">
            <v>1647.4080000000001</v>
          </cell>
          <cell r="AF48">
            <v>1647.4080000000001</v>
          </cell>
          <cell r="AG48">
            <v>1704.6030000000001</v>
          </cell>
          <cell r="AH48">
            <v>1777.796</v>
          </cell>
          <cell r="AI48">
            <v>1862.7929999999999</v>
          </cell>
          <cell r="AJ48">
            <v>1937.7309999999998</v>
          </cell>
          <cell r="AK48">
            <v>1937.7309999999998</v>
          </cell>
          <cell r="AL48">
            <v>2037.779</v>
          </cell>
          <cell r="AM48">
            <v>2126.2889999999998</v>
          </cell>
          <cell r="AN48">
            <v>2216.0819999999999</v>
          </cell>
          <cell r="AO48">
            <v>2278.6660000000002</v>
          </cell>
          <cell r="AP48">
            <v>2278.6660000000002</v>
          </cell>
          <cell r="AQ48">
            <v>2363.6210000000001</v>
          </cell>
          <cell r="AR48">
            <v>2494.741</v>
          </cell>
          <cell r="AS48">
            <v>2586.56</v>
          </cell>
          <cell r="AT48">
            <v>2668.3710000000001</v>
          </cell>
          <cell r="AU48">
            <v>2668.3710000000001</v>
          </cell>
          <cell r="AW48">
            <v>2126.2889999999998</v>
          </cell>
          <cell r="AX48">
            <v>2216.0819999999999</v>
          </cell>
          <cell r="AY48">
            <v>2278.6660000000002</v>
          </cell>
          <cell r="AZ48">
            <v>2363.6210000000001</v>
          </cell>
          <cell r="BA48">
            <v>2363.6210000000001</v>
          </cell>
          <cell r="BB48">
            <v>2494.741</v>
          </cell>
          <cell r="BC48">
            <v>2586.56</v>
          </cell>
          <cell r="BD48">
            <v>2668.3710000000001</v>
          </cell>
          <cell r="BE48">
            <v>2797.3610000000008</v>
          </cell>
          <cell r="BF48">
            <v>2797.3610000000008</v>
          </cell>
          <cell r="BG48">
            <v>2877.0870000000004</v>
          </cell>
          <cell r="BH48">
            <v>2948.0450000000001</v>
          </cell>
          <cell r="BI48">
            <v>3033.1860000000001</v>
          </cell>
          <cell r="BJ48">
            <v>2965.1970000000001</v>
          </cell>
          <cell r="BK48">
            <v>2965.1970000000001</v>
          </cell>
          <cell r="BL48">
            <v>630.077</v>
          </cell>
          <cell r="BM48">
            <v>680.47100000000012</v>
          </cell>
          <cell r="BN48">
            <v>673.60699999999997</v>
          </cell>
          <cell r="BO48">
            <v>640.10300000000007</v>
          </cell>
          <cell r="BP48">
            <v>640.10300000000007</v>
          </cell>
          <cell r="BQ48">
            <v>717.12400000000002</v>
          </cell>
          <cell r="BR48">
            <v>797.87599999999998</v>
          </cell>
          <cell r="BS48">
            <v>237.72800000000001</v>
          </cell>
          <cell r="BT48">
            <v>154.2970000000002</v>
          </cell>
          <cell r="BU48">
            <v>154.2970000000002</v>
          </cell>
          <cell r="BV48">
            <v>236.14500000000001</v>
          </cell>
          <cell r="BW48">
            <v>310.24599999999998</v>
          </cell>
          <cell r="BX48">
            <v>337.678</v>
          </cell>
          <cell r="BY48">
            <v>355.17500000000001</v>
          </cell>
          <cell r="BZ48">
            <v>355.17500000000001</v>
          </cell>
          <cell r="CA48">
            <v>401.54900000000004</v>
          </cell>
          <cell r="CB48">
            <v>433.03699999999998</v>
          </cell>
          <cell r="CC48">
            <v>461.27699999999999</v>
          </cell>
          <cell r="CD48">
            <v>520.89499999999998</v>
          </cell>
          <cell r="CE48">
            <v>520.89499999999998</v>
          </cell>
          <cell r="CF48">
            <v>599.27</v>
          </cell>
          <cell r="CG48">
            <v>663.13499999999999</v>
          </cell>
          <cell r="CH48">
            <v>710.96600000000001</v>
          </cell>
          <cell r="CI48">
            <v>769.14099999999996</v>
          </cell>
          <cell r="CJ48">
            <v>769.14099999999996</v>
          </cell>
          <cell r="CK48">
            <v>822.39700000000005</v>
          </cell>
          <cell r="CL48">
            <v>877.827</v>
          </cell>
          <cell r="CM48">
            <v>939.49700000000007</v>
          </cell>
          <cell r="CN48">
            <v>1000.8213707816499</v>
          </cell>
          <cell r="CO48">
            <v>1000.8213707816499</v>
          </cell>
          <cell r="CP48">
            <v>1060.886398159543</v>
          </cell>
          <cell r="CQ48">
            <v>1115.346183702808</v>
          </cell>
          <cell r="CR48">
            <v>1155.251705193401</v>
          </cell>
          <cell r="CS48">
            <v>1179.2252579867632</v>
          </cell>
          <cell r="CT48">
            <v>1179.2252579867632</v>
          </cell>
          <cell r="CU48">
            <v>1246.7642853849834</v>
          </cell>
          <cell r="CV48">
            <v>1320.6965585152395</v>
          </cell>
          <cell r="CW48">
            <v>1382.9811295623053</v>
          </cell>
          <cell r="CX48">
            <v>1426.6076024612134</v>
          </cell>
          <cell r="CY48">
            <v>1426.6076024612134</v>
          </cell>
          <cell r="CZ48">
            <v>1517.5044784273971</v>
          </cell>
          <cell r="DA48">
            <v>1600.6217932579279</v>
          </cell>
          <cell r="DB48">
            <v>1673.4139565624589</v>
          </cell>
          <cell r="DC48">
            <v>1728.8629730844596</v>
          </cell>
          <cell r="DD48">
            <v>1728.8629730844596</v>
          </cell>
          <cell r="DE48">
            <v>1833.2330983752331</v>
          </cell>
          <cell r="DF48">
            <v>1927.9075369459306</v>
          </cell>
          <cell r="DG48">
            <v>2013.1464608752267</v>
          </cell>
          <cell r="DH48">
            <v>2077.8366489237815</v>
          </cell>
          <cell r="DI48">
            <v>2077.8366489237815</v>
          </cell>
        </row>
        <row r="49">
          <cell r="B49" t="str">
            <v>Noncontrolling interests</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32.359000000000002</v>
          </cell>
          <cell r="AE49">
            <v>33.009</v>
          </cell>
          <cell r="AF49">
            <v>33.009</v>
          </cell>
          <cell r="AG49">
            <v>33.930999999999997</v>
          </cell>
          <cell r="AH49">
            <v>34.994</v>
          </cell>
          <cell r="AI49">
            <v>36.115000000000002</v>
          </cell>
          <cell r="AJ49">
            <v>37.35</v>
          </cell>
          <cell r="AK49">
            <v>37.35</v>
          </cell>
          <cell r="AL49">
            <v>38.49</v>
          </cell>
          <cell r="AM49">
            <v>39.889000000000003</v>
          </cell>
          <cell r="AN49">
            <v>41.351999999999997</v>
          </cell>
          <cell r="AO49">
            <v>43.066000000000003</v>
          </cell>
          <cell r="AP49">
            <v>43.066000000000003</v>
          </cell>
          <cell r="AQ49">
            <v>43.728000000000002</v>
          </cell>
          <cell r="AR49">
            <v>44.264000000000003</v>
          </cell>
          <cell r="AS49">
            <v>45.100999999999999</v>
          </cell>
          <cell r="AT49">
            <v>45.828000000000003</v>
          </cell>
          <cell r="AU49">
            <v>45.828000000000003</v>
          </cell>
          <cell r="AW49">
            <v>39.889000000000003</v>
          </cell>
          <cell r="AX49">
            <v>41.351999999999997</v>
          </cell>
          <cell r="AY49">
            <v>43.066000000000003</v>
          </cell>
          <cell r="AZ49">
            <v>43.728000000000002</v>
          </cell>
          <cell r="BA49">
            <v>43.728000000000002</v>
          </cell>
          <cell r="BB49">
            <v>44.264000000000003</v>
          </cell>
          <cell r="BC49">
            <v>45.100999999999999</v>
          </cell>
          <cell r="BD49">
            <v>45.828000000000003</v>
          </cell>
          <cell r="BE49">
            <v>46.228999999999999</v>
          </cell>
          <cell r="BF49">
            <v>46.228999999999999</v>
          </cell>
          <cell r="BG49">
            <v>54.591000000000001</v>
          </cell>
          <cell r="BH49">
            <v>55.667999999999999</v>
          </cell>
          <cell r="BI49">
            <v>56.103000000000002</v>
          </cell>
          <cell r="BJ49">
            <v>56.09</v>
          </cell>
          <cell r="BK49">
            <v>56.09</v>
          </cell>
          <cell r="BL49">
            <v>63.835999999999999</v>
          </cell>
          <cell r="BM49">
            <v>19.706</v>
          </cell>
          <cell r="BN49">
            <v>18.96</v>
          </cell>
          <cell r="BO49">
            <v>20.222999999999999</v>
          </cell>
          <cell r="BP49">
            <v>20.222999999999999</v>
          </cell>
          <cell r="BQ49">
            <v>118.05500000000001</v>
          </cell>
          <cell r="BR49">
            <v>123.01600000000001</v>
          </cell>
          <cell r="BS49">
            <v>146.52799999999999</v>
          </cell>
          <cell r="BT49">
            <v>0</v>
          </cell>
          <cell r="BU49">
            <v>0</v>
          </cell>
          <cell r="BV49">
            <v>100.548</v>
          </cell>
          <cell r="BW49">
            <v>105.07</v>
          </cell>
          <cell r="BX49">
            <v>108.54</v>
          </cell>
          <cell r="BY49">
            <v>6.4450000000000003</v>
          </cell>
          <cell r="BZ49">
            <v>6.4450000000000003</v>
          </cell>
          <cell r="CA49">
            <v>11.414</v>
          </cell>
          <cell r="CB49">
            <v>13.010999999999999</v>
          </cell>
          <cell r="CC49">
            <v>12.856999999999999</v>
          </cell>
          <cell r="CD49">
            <v>12.590999999999999</v>
          </cell>
          <cell r="CE49">
            <v>12.590999999999999</v>
          </cell>
          <cell r="CF49">
            <v>14.78</v>
          </cell>
          <cell r="CG49">
            <v>9.8729999999999993</v>
          </cell>
          <cell r="CH49">
            <v>11.593</v>
          </cell>
          <cell r="CI49">
            <v>15.975</v>
          </cell>
          <cell r="CJ49">
            <v>15.975</v>
          </cell>
          <cell r="CK49">
            <v>11.193</v>
          </cell>
          <cell r="CL49">
            <v>31.408999999999999</v>
          </cell>
          <cell r="CM49">
            <v>15.897</v>
          </cell>
          <cell r="CN49">
            <v>20.896999999999998</v>
          </cell>
          <cell r="CO49">
            <v>20.896999999999998</v>
          </cell>
          <cell r="CP49">
            <v>28.146999999999998</v>
          </cell>
          <cell r="CQ49">
            <v>35.396999999999998</v>
          </cell>
          <cell r="CR49">
            <v>42.646999999999998</v>
          </cell>
          <cell r="CS49">
            <v>49.896999999999998</v>
          </cell>
          <cell r="CT49">
            <v>49.896999999999998</v>
          </cell>
          <cell r="CU49">
            <v>57.760578978804269</v>
          </cell>
          <cell r="CV49">
            <v>65.579802447175183</v>
          </cell>
          <cell r="CW49">
            <v>73.599127344817816</v>
          </cell>
          <cell r="CX49">
            <v>81.547044623053566</v>
          </cell>
          <cell r="CY49">
            <v>81.547044623053566</v>
          </cell>
          <cell r="CZ49">
            <v>90.086637683995235</v>
          </cell>
          <cell r="DA49">
            <v>98.560656676224468</v>
          </cell>
          <cell r="DB49">
            <v>107.37272002712074</v>
          </cell>
          <cell r="DC49">
            <v>116.2943051167765</v>
          </cell>
          <cell r="DD49">
            <v>116.2943051167765</v>
          </cell>
          <cell r="DE49">
            <v>125.56477475208726</v>
          </cell>
          <cell r="DF49">
            <v>134.70613028570122</v>
          </cell>
          <cell r="DG49">
            <v>144.30248638526336</v>
          </cell>
          <cell r="DH49">
            <v>153.92225492267173</v>
          </cell>
          <cell r="DI49">
            <v>153.92225492267173</v>
          </cell>
          <cell r="DU49" t="str">
            <v>mstag:minorityInterestsInEquity</v>
          </cell>
          <cell r="DV49">
            <v>6</v>
          </cell>
          <cell r="DW49" t="str">
            <v>ISO4217:USD</v>
          </cell>
          <cell r="DX49" t="b">
            <v>0</v>
          </cell>
        </row>
        <row r="50">
          <cell r="B50" t="str">
            <v>LIABILITIES &amp; EQUITY</v>
          </cell>
          <cell r="D50">
            <v>195.06399999999999</v>
          </cell>
          <cell r="E50">
            <v>229.322</v>
          </cell>
          <cell r="F50">
            <v>242.79300000000001</v>
          </cell>
          <cell r="G50">
            <v>325.78700000000003</v>
          </cell>
          <cell r="H50">
            <v>398.81299999999999</v>
          </cell>
          <cell r="I50">
            <v>466.99800000000005</v>
          </cell>
          <cell r="J50">
            <v>591.70699999999999</v>
          </cell>
          <cell r="K50">
            <v>727.56100000000004</v>
          </cell>
          <cell r="L50">
            <v>1112.105</v>
          </cell>
          <cell r="M50">
            <v>1169.501</v>
          </cell>
          <cell r="N50">
            <v>1215.5989999999999</v>
          </cell>
          <cell r="O50">
            <v>1462.6350000000002</v>
          </cell>
          <cell r="P50">
            <v>1586.3919999999998</v>
          </cell>
          <cell r="Q50">
            <v>1586.3919999999998</v>
          </cell>
          <cell r="R50">
            <v>1664.921</v>
          </cell>
          <cell r="S50">
            <v>1683.7089999999998</v>
          </cell>
          <cell r="T50">
            <v>1740.9930000000002</v>
          </cell>
          <cell r="U50">
            <v>1883.556</v>
          </cell>
          <cell r="V50">
            <v>1883.556</v>
          </cell>
          <cell r="W50">
            <v>1936.8150000000001</v>
          </cell>
          <cell r="X50">
            <v>1950.07</v>
          </cell>
          <cell r="Y50">
            <v>1992.6280000000002</v>
          </cell>
          <cell r="Z50">
            <v>2055.848</v>
          </cell>
          <cell r="AA50">
            <v>2055.848</v>
          </cell>
          <cell r="AB50">
            <v>2351.2370000000001</v>
          </cell>
          <cell r="AC50">
            <v>2481.3000000000002</v>
          </cell>
          <cell r="AD50">
            <v>2596.6190000000001</v>
          </cell>
          <cell r="AE50">
            <v>2664.973</v>
          </cell>
          <cell r="AF50">
            <v>2664.973</v>
          </cell>
          <cell r="AG50">
            <v>2752.547</v>
          </cell>
          <cell r="AH50">
            <v>2810.7170000000001</v>
          </cell>
          <cell r="AI50">
            <v>2892.1309999999994</v>
          </cell>
          <cell r="AJ50">
            <v>3280.1429999999996</v>
          </cell>
          <cell r="AK50">
            <v>3280.1429999999996</v>
          </cell>
          <cell r="AL50">
            <v>3644.9829999999997</v>
          </cell>
          <cell r="AM50">
            <v>3701.66</v>
          </cell>
          <cell r="AN50">
            <v>3720.3279999999995</v>
          </cell>
          <cell r="AO50">
            <v>3807.944</v>
          </cell>
          <cell r="AP50">
            <v>3807.944</v>
          </cell>
          <cell r="AQ50">
            <v>3932.855</v>
          </cell>
          <cell r="AR50">
            <v>4249.6109999999999</v>
          </cell>
          <cell r="AS50">
            <v>4290.7019999999993</v>
          </cell>
          <cell r="AT50">
            <v>4367.0830000000005</v>
          </cell>
          <cell r="AU50">
            <v>4367.0830000000005</v>
          </cell>
          <cell r="AW50">
            <v>3701.66</v>
          </cell>
          <cell r="AX50">
            <v>3720.3279999999995</v>
          </cell>
          <cell r="AY50">
            <v>3807.944</v>
          </cell>
          <cell r="AZ50">
            <v>3932.855</v>
          </cell>
          <cell r="BA50">
            <v>3932.855</v>
          </cell>
          <cell r="BB50">
            <v>4249.6109999999999</v>
          </cell>
          <cell r="BC50">
            <v>4290.7019999999993</v>
          </cell>
          <cell r="BD50">
            <v>4367.0830000000005</v>
          </cell>
          <cell r="BE50">
            <v>4677.8510000000015</v>
          </cell>
          <cell r="BF50">
            <v>4677.8510000000015</v>
          </cell>
          <cell r="BG50">
            <v>4800.9850000000006</v>
          </cell>
          <cell r="BH50">
            <v>5083.1880000000001</v>
          </cell>
          <cell r="BI50">
            <v>5097.893</v>
          </cell>
          <cell r="BJ50">
            <v>5050.027</v>
          </cell>
          <cell r="BK50">
            <v>5050.027</v>
          </cell>
          <cell r="BL50">
            <v>5188.9130000000005</v>
          </cell>
          <cell r="BM50">
            <v>5323.1530000000012</v>
          </cell>
          <cell r="BN50">
            <v>5201.07</v>
          </cell>
          <cell r="BO50">
            <v>5202.9939999999997</v>
          </cell>
          <cell r="BP50">
            <v>5202.9939999999997</v>
          </cell>
          <cell r="BQ50">
            <v>5480.4180000000006</v>
          </cell>
          <cell r="BR50">
            <v>5374.9580000000005</v>
          </cell>
          <cell r="BS50">
            <v>4568.1050000000005</v>
          </cell>
          <cell r="BT50">
            <v>4555.5290000000005</v>
          </cell>
          <cell r="BU50">
            <v>4555.5290000000005</v>
          </cell>
          <cell r="BV50">
            <v>4524.01</v>
          </cell>
          <cell r="BW50">
            <v>4513.8419999999996</v>
          </cell>
          <cell r="BX50">
            <v>4587.2849999999999</v>
          </cell>
          <cell r="BY50">
            <v>4604.0989999999993</v>
          </cell>
          <cell r="BZ50">
            <v>4604.0989999999993</v>
          </cell>
          <cell r="CA50">
            <v>4701.5439999999999</v>
          </cell>
          <cell r="CB50">
            <v>4720.1630000000005</v>
          </cell>
          <cell r="CC50">
            <v>4799.8239999999996</v>
          </cell>
          <cell r="CD50">
            <v>4910.085</v>
          </cell>
          <cell r="CE50">
            <v>4910.085</v>
          </cell>
          <cell r="CF50">
            <v>5044.5079999999989</v>
          </cell>
          <cell r="CG50">
            <v>5102.0609999999997</v>
          </cell>
          <cell r="CH50">
            <v>5684.71</v>
          </cell>
          <cell r="CI50">
            <v>6004.1890000000003</v>
          </cell>
          <cell r="CJ50">
            <v>6004.1890000000003</v>
          </cell>
          <cell r="CK50">
            <v>6061.3729999999996</v>
          </cell>
          <cell r="CL50">
            <v>6175.607</v>
          </cell>
          <cell r="CM50">
            <v>6306.7279999999992</v>
          </cell>
          <cell r="CN50">
            <v>6370.9290043395849</v>
          </cell>
          <cell r="CO50">
            <v>6370.9290043395849</v>
          </cell>
          <cell r="CP50">
            <v>6372.149578778939</v>
          </cell>
          <cell r="CQ50">
            <v>6451.6965550172736</v>
          </cell>
          <cell r="CR50">
            <v>6535.7461978407955</v>
          </cell>
          <cell r="CS50">
            <v>6559.7852803612423</v>
          </cell>
          <cell r="CT50">
            <v>6559.7852803612423</v>
          </cell>
          <cell r="CU50">
            <v>6578.8707180456295</v>
          </cell>
          <cell r="CV50">
            <v>6681.148476590577</v>
          </cell>
          <cell r="CW50">
            <v>6790.9253719780372</v>
          </cell>
          <cell r="CX50">
            <v>6835.4000285078018</v>
          </cell>
          <cell r="CY50">
            <v>6835.4000285078018</v>
          </cell>
          <cell r="CZ50">
            <v>6878.8987368485323</v>
          </cell>
          <cell r="DA50">
            <v>6992.4655886263499</v>
          </cell>
          <cell r="DB50">
            <v>7115.6742452805211</v>
          </cell>
          <cell r="DC50">
            <v>7173.6067504514049</v>
          </cell>
          <cell r="DD50">
            <v>7173.6067504514049</v>
          </cell>
          <cell r="DE50">
            <v>7217.1174323477571</v>
          </cell>
          <cell r="DF50">
            <v>7353.9806069161568</v>
          </cell>
          <cell r="DG50">
            <v>7493.2964482868156</v>
          </cell>
          <cell r="DH50">
            <v>7561.1661964164141</v>
          </cell>
          <cell r="DI50">
            <v>7561.1661964164141</v>
          </cell>
        </row>
        <row r="52">
          <cell r="B52" t="str">
            <v>A = L + SE?</v>
          </cell>
          <cell r="D52">
            <v>21.036000000000001</v>
          </cell>
          <cell r="E52" t="str">
            <v>ok</v>
          </cell>
          <cell r="F52" t="str">
            <v>ok</v>
          </cell>
          <cell r="G52" t="str">
            <v>ok</v>
          </cell>
          <cell r="H52" t="str">
            <v>ok</v>
          </cell>
          <cell r="I52" t="str">
            <v>ok</v>
          </cell>
          <cell r="J52" t="str">
            <v>ok</v>
          </cell>
          <cell r="K52" t="str">
            <v>ok</v>
          </cell>
          <cell r="L52" t="str">
            <v>ok</v>
          </cell>
          <cell r="M52" t="str">
            <v>ok</v>
          </cell>
          <cell r="N52" t="str">
            <v>ok</v>
          </cell>
          <cell r="O52" t="str">
            <v>ok</v>
          </cell>
          <cell r="P52" t="str">
            <v>ok</v>
          </cell>
          <cell r="Q52" t="str">
            <v>ok</v>
          </cell>
          <cell r="R52" t="str">
            <v>ok</v>
          </cell>
          <cell r="S52" t="str">
            <v>ok</v>
          </cell>
          <cell r="T52" t="str">
            <v>ok</v>
          </cell>
          <cell r="U52" t="str">
            <v>ok</v>
          </cell>
          <cell r="V52" t="str">
            <v>ok</v>
          </cell>
          <cell r="W52" t="str">
            <v>ok</v>
          </cell>
          <cell r="X52" t="str">
            <v>ok</v>
          </cell>
          <cell r="Y52" t="str">
            <v>ok</v>
          </cell>
          <cell r="Z52" t="str">
            <v>ok</v>
          </cell>
          <cell r="AA52" t="str">
            <v>ok</v>
          </cell>
          <cell r="AB52" t="str">
            <v>ok</v>
          </cell>
          <cell r="AC52" t="str">
            <v>ok</v>
          </cell>
          <cell r="AD52" t="str">
            <v>ok</v>
          </cell>
          <cell r="AE52" t="str">
            <v>ok</v>
          </cell>
          <cell r="AF52" t="str">
            <v>ok</v>
          </cell>
          <cell r="AG52" t="str">
            <v>ok</v>
          </cell>
          <cell r="AH52" t="str">
            <v>ok</v>
          </cell>
          <cell r="AI52" t="str">
            <v>ok</v>
          </cell>
          <cell r="AJ52" t="str">
            <v>ok</v>
          </cell>
          <cell r="AK52" t="str">
            <v>ok</v>
          </cell>
          <cell r="AL52" t="str">
            <v>ok</v>
          </cell>
          <cell r="AM52" t="str">
            <v>ok</v>
          </cell>
          <cell r="AN52" t="str">
            <v>ok</v>
          </cell>
          <cell r="AO52" t="str">
            <v>ok</v>
          </cell>
          <cell r="AP52" t="str">
            <v>ok</v>
          </cell>
          <cell r="AQ52" t="str">
            <v>ok</v>
          </cell>
          <cell r="AR52" t="str">
            <v>ok</v>
          </cell>
          <cell r="AS52" t="str">
            <v>ok</v>
          </cell>
          <cell r="AT52" t="str">
            <v>ok</v>
          </cell>
          <cell r="AU52" t="str">
            <v>ok</v>
          </cell>
          <cell r="AW52" t="str">
            <v>ok</v>
          </cell>
          <cell r="AX52" t="str">
            <v>ok</v>
          </cell>
          <cell r="AY52" t="str">
            <v>ok</v>
          </cell>
          <cell r="AZ52" t="str">
            <v>ok</v>
          </cell>
          <cell r="BA52" t="str">
            <v>ok</v>
          </cell>
          <cell r="BB52" t="str">
            <v>ok</v>
          </cell>
          <cell r="BC52" t="str">
            <v>ok</v>
          </cell>
          <cell r="BD52" t="str">
            <v>ok</v>
          </cell>
          <cell r="BE52" t="str">
            <v>ok</v>
          </cell>
          <cell r="BF52" t="str">
            <v>ok</v>
          </cell>
          <cell r="BG52" t="str">
            <v>ok</v>
          </cell>
          <cell r="BH52" t="str">
            <v>ok</v>
          </cell>
          <cell r="BI52" t="str">
            <v>ok</v>
          </cell>
          <cell r="BJ52" t="str">
            <v>ok</v>
          </cell>
          <cell r="BK52" t="str">
            <v>ok</v>
          </cell>
          <cell r="BL52" t="str">
            <v>ok</v>
          </cell>
          <cell r="BM52" t="str">
            <v>ok</v>
          </cell>
          <cell r="BN52" t="str">
            <v>ok</v>
          </cell>
          <cell r="BO52" t="str">
            <v>ok</v>
          </cell>
          <cell r="BP52" t="str">
            <v>ok</v>
          </cell>
          <cell r="BQ52" t="str">
            <v>ok</v>
          </cell>
          <cell r="BR52" t="str">
            <v>ok</v>
          </cell>
          <cell r="BS52" t="str">
            <v>ok</v>
          </cell>
          <cell r="BT52" t="str">
            <v>ok</v>
          </cell>
          <cell r="BU52" t="str">
            <v>ok</v>
          </cell>
          <cell r="BV52" t="str">
            <v>ok</v>
          </cell>
          <cell r="BW52" t="str">
            <v>ok</v>
          </cell>
          <cell r="BX52" t="str">
            <v>ok</v>
          </cell>
          <cell r="BY52" t="str">
            <v>ok</v>
          </cell>
          <cell r="BZ52" t="str">
            <v>ok</v>
          </cell>
          <cell r="CA52" t="str">
            <v>ok</v>
          </cell>
          <cell r="CB52" t="str">
            <v>ok</v>
          </cell>
          <cell r="CC52" t="str">
            <v>ok</v>
          </cell>
          <cell r="CD52" t="str">
            <v>ok</v>
          </cell>
          <cell r="CE52" t="str">
            <v>ok</v>
          </cell>
          <cell r="CF52" t="str">
            <v>ok</v>
          </cell>
          <cell r="CG52" t="str">
            <v>ok</v>
          </cell>
          <cell r="CH52" t="str">
            <v>ok</v>
          </cell>
          <cell r="CI52" t="str">
            <v>ok</v>
          </cell>
          <cell r="CJ52" t="str">
            <v>ok</v>
          </cell>
          <cell r="CK52" t="str">
            <v>ok</v>
          </cell>
          <cell r="CL52" t="str">
            <v>ok</v>
          </cell>
          <cell r="CM52" t="str">
            <v>ok</v>
          </cell>
          <cell r="CN52" t="str">
            <v>ok</v>
          </cell>
          <cell r="CO52" t="str">
            <v>ok</v>
          </cell>
          <cell r="CP52" t="str">
            <v>ok</v>
          </cell>
          <cell r="CQ52" t="str">
            <v>ok</v>
          </cell>
          <cell r="CR52" t="str">
            <v>ok</v>
          </cell>
          <cell r="CS52" t="str">
            <v>ok</v>
          </cell>
          <cell r="CT52" t="str">
            <v>ok</v>
          </cell>
          <cell r="CU52" t="str">
            <v>ok</v>
          </cell>
          <cell r="CV52" t="str">
            <v>ok</v>
          </cell>
          <cell r="CW52" t="str">
            <v>ok</v>
          </cell>
          <cell r="CX52" t="str">
            <v>ok</v>
          </cell>
          <cell r="CY52" t="str">
            <v>ok</v>
          </cell>
          <cell r="CZ52" t="str">
            <v>ok</v>
          </cell>
          <cell r="DA52" t="str">
            <v>ok</v>
          </cell>
          <cell r="DB52" t="str">
            <v>ok</v>
          </cell>
          <cell r="DC52" t="str">
            <v>ok</v>
          </cell>
          <cell r="DD52" t="str">
            <v>ok</v>
          </cell>
          <cell r="DE52" t="str">
            <v>ok</v>
          </cell>
          <cell r="DF52" t="str">
            <v>ok</v>
          </cell>
          <cell r="DG52" t="str">
            <v>ok</v>
          </cell>
          <cell r="DH52" t="str">
            <v>ok</v>
          </cell>
          <cell r="DI52" t="str">
            <v>ok</v>
          </cell>
        </row>
        <row r="54">
          <cell r="B54" t="str">
            <v>Net Issuance</v>
          </cell>
          <cell r="AW54">
            <v>3.1480000000000032</v>
          </cell>
          <cell r="AX54">
            <v>5.472999999999999</v>
          </cell>
          <cell r="AY54">
            <v>1.1269999999999989</v>
          </cell>
          <cell r="AZ54">
            <v>6.4039999999999999</v>
          </cell>
          <cell r="BA54">
            <v>16.152000000000001</v>
          </cell>
          <cell r="BB54">
            <v>31.122000000000003</v>
          </cell>
          <cell r="BC54">
            <v>12.131999999999998</v>
          </cell>
          <cell r="BD54">
            <v>-48.725000000000001</v>
          </cell>
          <cell r="BE54">
            <v>-123.05300000000001</v>
          </cell>
          <cell r="BF54">
            <v>-128.52399999999997</v>
          </cell>
          <cell r="BG54">
            <v>6.5220000000000002</v>
          </cell>
          <cell r="BH54">
            <v>7.1310000000000002</v>
          </cell>
          <cell r="BI54">
            <v>-2.6999999999999975</v>
          </cell>
          <cell r="BJ54">
            <v>-6.9340000000000028</v>
          </cell>
          <cell r="BK54">
            <v>4.0189999999999984</v>
          </cell>
          <cell r="BL54">
            <v>27.839999999999996</v>
          </cell>
          <cell r="BM54">
            <v>6.7390000000000025</v>
          </cell>
          <cell r="BN54">
            <v>4.7099999999999991</v>
          </cell>
          <cell r="BO54">
            <v>3.9060000000000006</v>
          </cell>
          <cell r="BP54">
            <v>43.195</v>
          </cell>
          <cell r="BQ54">
            <v>4.3</v>
          </cell>
          <cell r="BR54">
            <v>4.4319999999999995</v>
          </cell>
          <cell r="BS54">
            <v>4.8030000000000017</v>
          </cell>
          <cell r="BT54">
            <v>4.6909999999999998</v>
          </cell>
          <cell r="BU54">
            <v>18.225999999999999</v>
          </cell>
          <cell r="BV54">
            <v>2.7589999999999999</v>
          </cell>
          <cell r="BW54">
            <v>2.637</v>
          </cell>
          <cell r="BX54">
            <v>11.053999999999998</v>
          </cell>
          <cell r="BY54">
            <v>4.1160000000000014</v>
          </cell>
          <cell r="BZ54">
            <v>20.566000000000003</v>
          </cell>
          <cell r="CA54">
            <v>8.0279999999999987</v>
          </cell>
          <cell r="CB54">
            <v>6.3679999999999994</v>
          </cell>
          <cell r="CC54">
            <v>4.8280000000000021</v>
          </cell>
          <cell r="CD54">
            <v>6.6109999999999998</v>
          </cell>
          <cell r="CE54">
            <v>25.835000000000001</v>
          </cell>
          <cell r="CF54">
            <v>12.04</v>
          </cell>
          <cell r="CG54">
            <v>14.972000000000001</v>
          </cell>
          <cell r="CH54">
            <v>6.355999999999999</v>
          </cell>
          <cell r="CI54">
            <v>5.868000000000003</v>
          </cell>
          <cell r="CJ54">
            <v>39.236000000000004</v>
          </cell>
          <cell r="CK54">
            <v>6.8869999999999996</v>
          </cell>
          <cell r="CL54">
            <v>6.3170000000000011</v>
          </cell>
          <cell r="CM54">
            <v>6.2880000000000003</v>
          </cell>
          <cell r="CN54">
            <v>6.4226807838613738</v>
          </cell>
          <cell r="CO54">
            <v>25.914680783861375</v>
          </cell>
          <cell r="CP54">
            <v>6.6434430884208888</v>
          </cell>
          <cell r="CQ54">
            <v>6.5483272102855263</v>
          </cell>
          <cell r="CR54">
            <v>6.4685462166376251</v>
          </cell>
          <cell r="CS54">
            <v>6.6463074371151816</v>
          </cell>
          <cell r="CT54">
            <v>26.306623952459226</v>
          </cell>
          <cell r="CU54">
            <v>6.7746959496123038</v>
          </cell>
          <cell r="CV54">
            <v>6.670874840243262</v>
          </cell>
          <cell r="CW54">
            <v>6.5964835768558325</v>
          </cell>
          <cell r="CX54">
            <v>6.7647548540223799</v>
          </cell>
          <cell r="CY54">
            <v>26.806809220733776</v>
          </cell>
          <cell r="CZ54">
            <v>7.045791666371632</v>
          </cell>
          <cell r="DA54">
            <v>6.9288628282940063</v>
          </cell>
          <cell r="DB54">
            <v>6.8571270740312009</v>
          </cell>
          <cell r="DC54">
            <v>7.046559192573298</v>
          </cell>
          <cell r="DD54">
            <v>27.878340761270138</v>
          </cell>
          <cell r="DE54">
            <v>7.3598145824543968</v>
          </cell>
          <cell r="DF54">
            <v>7.2210072317964187</v>
          </cell>
          <cell r="DG54">
            <v>7.1505284948925301</v>
          </cell>
          <cell r="DH54">
            <v>7.3305243802898916</v>
          </cell>
          <cell r="DI54">
            <v>29.061874689433235</v>
          </cell>
          <cell r="DU54" t="str">
            <v>mstag:netIssuanceRepurchaseOfCommonStock</v>
          </cell>
          <cell r="DV54">
            <v>6</v>
          </cell>
          <cell r="DW54" t="str">
            <v>ISO4217:USD</v>
          </cell>
          <cell r="DX54" t="b">
            <v>0</v>
          </cell>
        </row>
        <row r="55">
          <cell r="B55" t="str">
            <v>Retained earnings adjustment</v>
          </cell>
          <cell r="AW55">
            <v>-4.9570000000000007</v>
          </cell>
          <cell r="AX55">
            <v>-4.9609999999999985</v>
          </cell>
          <cell r="AY55">
            <v>-4.9670000000000023</v>
          </cell>
          <cell r="AZ55">
            <v>-9.9390000000000001</v>
          </cell>
          <cell r="BA55">
            <v>-24.824000000000002</v>
          </cell>
          <cell r="BB55">
            <v>-8.9639999999999986</v>
          </cell>
          <cell r="BC55">
            <v>-9.8680000000000021</v>
          </cell>
          <cell r="BD55">
            <v>-9.8609999999999971</v>
          </cell>
          <cell r="BE55">
            <v>-14.726000000000001</v>
          </cell>
          <cell r="BF55">
            <v>-43.418999999999997</v>
          </cell>
          <cell r="BG55">
            <v>-14.436999999999999</v>
          </cell>
          <cell r="BH55">
            <v>-14.443</v>
          </cell>
          <cell r="BI55">
            <v>-14.457000000000006</v>
          </cell>
          <cell r="BJ55">
            <v>-14.539999999999997</v>
          </cell>
          <cell r="BK55">
            <v>-57.877000000000002</v>
          </cell>
          <cell r="BL55">
            <v>-2425.2170000000001</v>
          </cell>
          <cell r="BM55">
            <v>0</v>
          </cell>
          <cell r="BN55">
            <v>0</v>
          </cell>
          <cell r="BO55">
            <v>0</v>
          </cell>
          <cell r="BP55">
            <v>-2425.2170000000001</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U55" t="str">
            <v>mstag:commonDividends</v>
          </cell>
          <cell r="DV55">
            <v>6</v>
          </cell>
          <cell r="DW55" t="str">
            <v>ISO4217:USD</v>
          </cell>
          <cell r="DX55" t="b">
            <v>1</v>
          </cell>
        </row>
        <row r="57">
          <cell r="B57" t="str">
            <v>Leverage and Liquidty Ratios</v>
          </cell>
        </row>
        <row r="58">
          <cell r="B58" t="str">
            <v>Total Debt / Total Capitalization</v>
          </cell>
          <cell r="D58">
            <v>1</v>
          </cell>
          <cell r="E58">
            <v>0.60213982273037181</v>
          </cell>
          <cell r="F58">
            <v>0.33325122424648496</v>
          </cell>
          <cell r="G58">
            <v>0.30359169745298908</v>
          </cell>
          <cell r="H58">
            <v>0.24679199883264197</v>
          </cell>
          <cell r="I58">
            <v>0.18940348050438247</v>
          </cell>
          <cell r="J58">
            <v>0.15587648697964554</v>
          </cell>
          <cell r="K58">
            <v>9.3690192887291232E-2</v>
          </cell>
          <cell r="L58">
            <v>0.15869633364681088</v>
          </cell>
          <cell r="M58">
            <v>0.1487036853084335</v>
          </cell>
          <cell r="N58">
            <v>0.14080693388575113</v>
          </cell>
          <cell r="O58">
            <v>0.25742134718344195</v>
          </cell>
          <cell r="P58">
            <v>0.2998005090157666</v>
          </cell>
          <cell r="Q58">
            <v>0.2998005090157666</v>
          </cell>
          <cell r="R58">
            <v>0.31448932623519182</v>
          </cell>
          <cell r="S58">
            <v>0.29980774077986994</v>
          </cell>
          <cell r="T58">
            <v>0.29674806900787248</v>
          </cell>
          <cell r="U58">
            <v>0.31570807639949144</v>
          </cell>
          <cell r="V58">
            <v>0.31570807639949144</v>
          </cell>
          <cell r="W58">
            <v>0.29611079579320443</v>
          </cell>
          <cell r="X58">
            <v>0.27397074834911878</v>
          </cell>
          <cell r="Y58">
            <v>0.25840433789876494</v>
          </cell>
          <cell r="Z58">
            <v>0.24158739275984081</v>
          </cell>
          <cell r="AA58">
            <v>0.24158739275984081</v>
          </cell>
          <cell r="AB58">
            <v>0.29937543037436221</v>
          </cell>
          <cell r="AC58">
            <v>0.29998090115573822</v>
          </cell>
          <cell r="AD58">
            <v>0.2899173361064013</v>
          </cell>
          <cell r="AE58">
            <v>0.28534393903111949</v>
          </cell>
          <cell r="AF58">
            <v>0.28534393903111949</v>
          </cell>
          <cell r="AG58">
            <v>0.27899861941548487</v>
          </cell>
          <cell r="AH58">
            <v>0.2709642337807836</v>
          </cell>
          <cell r="AI58">
            <v>0.26178452412703157</v>
          </cell>
          <cell r="AJ58">
            <v>0.32527696907716902</v>
          </cell>
          <cell r="AK58">
            <v>0.32527696907716902</v>
          </cell>
          <cell r="AL58">
            <v>0.35775302642070794</v>
          </cell>
          <cell r="AM58">
            <v>0.34346156838866737</v>
          </cell>
          <cell r="AN58">
            <v>0.3179233627842471</v>
          </cell>
          <cell r="AO58">
            <v>0.29100234417345011</v>
          </cell>
          <cell r="AP58">
            <v>0.29100234417345011</v>
          </cell>
          <cell r="AQ58">
            <v>0.28400116080689408</v>
          </cell>
          <cell r="AR58">
            <v>0.30682095090699185</v>
          </cell>
          <cell r="AS58">
            <v>0.28168709777215695</v>
          </cell>
          <cell r="AT58">
            <v>0.27259798525661888</v>
          </cell>
          <cell r="AU58">
            <v>0.27259798525661888</v>
          </cell>
          <cell r="AW58">
            <v>0.34346156838866737</v>
          </cell>
          <cell r="AX58">
            <v>0.3179233627842471</v>
          </cell>
          <cell r="AY58">
            <v>0.29100234417345011</v>
          </cell>
          <cell r="AZ58">
            <v>0.28400116080689408</v>
          </cell>
          <cell r="BA58">
            <v>0.28400116080689408</v>
          </cell>
          <cell r="BB58">
            <v>0.30682095090699185</v>
          </cell>
          <cell r="BC58">
            <v>0.28168709777215695</v>
          </cell>
          <cell r="BD58">
            <v>0.27259798525661888</v>
          </cell>
          <cell r="BE58">
            <v>0.29942832012970794</v>
          </cell>
          <cell r="BF58">
            <v>0.29942832012970794</v>
          </cell>
          <cell r="BG58">
            <v>0.29518195367596695</v>
          </cell>
          <cell r="BH58">
            <v>0.31349812542207112</v>
          </cell>
          <cell r="BI58">
            <v>0.30241052635452392</v>
          </cell>
          <cell r="BJ58">
            <v>0.31152422588770906</v>
          </cell>
          <cell r="BK58">
            <v>0.31152422588770906</v>
          </cell>
          <cell r="BL58">
            <v>0.85764002329899491</v>
          </cell>
          <cell r="BM58">
            <v>0.84767355936809485</v>
          </cell>
          <cell r="BN58">
            <v>0.84881728133384138</v>
          </cell>
          <cell r="BO58">
            <v>0.85466028334413757</v>
          </cell>
          <cell r="BP58">
            <v>0.85466028334413757</v>
          </cell>
          <cell r="BQ58">
            <v>0.83781918314805248</v>
          </cell>
          <cell r="BR58">
            <v>0.81802594057920075</v>
          </cell>
          <cell r="BS58">
            <v>0.93278312656518125</v>
          </cell>
          <cell r="BT58">
            <v>0.95467617065825694</v>
          </cell>
          <cell r="BU58">
            <v>0.95467617065825694</v>
          </cell>
          <cell r="BV58">
            <v>0.92927291677898183</v>
          </cell>
          <cell r="BW58">
            <v>0.90820317643295878</v>
          </cell>
          <cell r="BX58">
            <v>0.90025642002669659</v>
          </cell>
          <cell r="BY58">
            <v>0.89540867109012323</v>
          </cell>
          <cell r="BZ58">
            <v>0.89540867109012323</v>
          </cell>
          <cell r="CA58">
            <v>0.88325536770798507</v>
          </cell>
          <cell r="CB58">
            <v>0.87491785867272331</v>
          </cell>
          <cell r="CC58">
            <v>0.86773677244429359</v>
          </cell>
          <cell r="CD58">
            <v>0.85282787080937539</v>
          </cell>
          <cell r="CE58">
            <v>0.85282787080937539</v>
          </cell>
          <cell r="CF58">
            <v>0.83399893131289238</v>
          </cell>
          <cell r="CG58">
            <v>0.81998175752162894</v>
          </cell>
          <cell r="CH58">
            <v>0.82741495289125333</v>
          </cell>
          <cell r="CI58">
            <v>0.82294742410406296</v>
          </cell>
          <cell r="CJ58">
            <v>0.82294742410406296</v>
          </cell>
          <cell r="CK58">
            <v>0.81245342104999096</v>
          </cell>
          <cell r="CL58">
            <v>0.80290350269983368</v>
          </cell>
          <cell r="CM58">
            <v>0.79162047701873706</v>
          </cell>
          <cell r="CN58">
            <v>0.78025116566387398</v>
          </cell>
          <cell r="CO58">
            <v>0.78025116566387398</v>
          </cell>
          <cell r="CP58">
            <v>0.76931885859271276</v>
          </cell>
          <cell r="CQ58">
            <v>0.7595131124617388</v>
          </cell>
          <cell r="CR58">
            <v>0.7522115334349132</v>
          </cell>
          <cell r="CS58">
            <v>0.74752710948382972</v>
          </cell>
          <cell r="CT58">
            <v>0.74752710948382972</v>
          </cell>
          <cell r="CU58">
            <v>0.73600697606021048</v>
          </cell>
          <cell r="CV58">
            <v>0.72376873705196532</v>
          </cell>
          <cell r="CW58">
            <v>0.71354325277464836</v>
          </cell>
          <cell r="CX58">
            <v>0.70621705188031758</v>
          </cell>
          <cell r="CY58">
            <v>0.70621705188031758</v>
          </cell>
          <cell r="CZ58">
            <v>0.69224381983479188</v>
          </cell>
          <cell r="DA58">
            <v>0.67974501210956739</v>
          </cell>
          <cell r="DB58">
            <v>0.66894097786769047</v>
          </cell>
          <cell r="DC58">
            <v>0.66061838361964276</v>
          </cell>
          <cell r="DD58">
            <v>0.66061838361964276</v>
          </cell>
          <cell r="DE58">
            <v>0.64626496372333053</v>
          </cell>
          <cell r="DF58">
            <v>0.63355813850819276</v>
          </cell>
          <cell r="DG58">
            <v>0.62232529652920743</v>
          </cell>
          <cell r="DH58">
            <v>0.61371600243688373</v>
          </cell>
          <cell r="DI58">
            <v>0.61371600243688373</v>
          </cell>
        </row>
        <row r="59">
          <cell r="B59" t="str">
            <v>Net Debt / Total Capitalization</v>
          </cell>
          <cell r="D59">
            <v>0.97709792357783509</v>
          </cell>
          <cell r="E59">
            <v>0.59867834478418203</v>
          </cell>
          <cell r="F59">
            <v>0.20386044082726551</v>
          </cell>
          <cell r="G59">
            <v>3.123938142988307E-2</v>
          </cell>
          <cell r="H59">
            <v>-8.8403548530230691E-2</v>
          </cell>
          <cell r="I59">
            <v>-2.3439611260395343E-2</v>
          </cell>
          <cell r="J59">
            <v>6.9780693866581534E-2</v>
          </cell>
          <cell r="K59">
            <v>-3.723308737763556E-2</v>
          </cell>
          <cell r="L59">
            <v>0.11749404726174043</v>
          </cell>
          <cell r="M59">
            <v>0.1399233383751545</v>
          </cell>
          <cell r="N59">
            <v>0.12108307764466768</v>
          </cell>
          <cell r="O59">
            <v>0.24794265886829864</v>
          </cell>
          <cell r="P59">
            <v>0.2707283828825936</v>
          </cell>
          <cell r="Q59">
            <v>0.2707283828825936</v>
          </cell>
          <cell r="R59">
            <v>0.29747226986731334</v>
          </cell>
          <cell r="S59">
            <v>0.28345095915094898</v>
          </cell>
          <cell r="T59">
            <v>0.28180093153839603</v>
          </cell>
          <cell r="U59">
            <v>0.28840909921947261</v>
          </cell>
          <cell r="V59">
            <v>0.28840909921947261</v>
          </cell>
          <cell r="W59">
            <v>0.27591601828804324</v>
          </cell>
          <cell r="X59">
            <v>0.2498318035884225</v>
          </cell>
          <cell r="Y59">
            <v>0.23019060705351793</v>
          </cell>
          <cell r="Z59">
            <v>0.18644513218108494</v>
          </cell>
          <cell r="AA59">
            <v>0.18644513218108494</v>
          </cell>
          <cell r="AB59">
            <v>0.24113287101412345</v>
          </cell>
          <cell r="AC59">
            <v>0.24694758704638486</v>
          </cell>
          <cell r="AD59">
            <v>0.22179565864310288</v>
          </cell>
          <cell r="AE59">
            <v>0.21597873654766489</v>
          </cell>
          <cell r="AF59">
            <v>0.21597873654766489</v>
          </cell>
          <cell r="AG59">
            <v>0.19892937024366639</v>
          </cell>
          <cell r="AH59">
            <v>0.20508103559562663</v>
          </cell>
          <cell r="AI59">
            <v>0.16339478943461788</v>
          </cell>
          <cell r="AJ59">
            <v>0.17561773758126614</v>
          </cell>
          <cell r="AK59">
            <v>0.17561773758126614</v>
          </cell>
          <cell r="AL59">
            <v>0.32013747718956537</v>
          </cell>
          <cell r="AM59">
            <v>0.31172166307050259</v>
          </cell>
          <cell r="AN59">
            <v>0.28233973177159161</v>
          </cell>
          <cell r="AO59">
            <v>0.24400406232128552</v>
          </cell>
          <cell r="AP59">
            <v>0.24400406232128552</v>
          </cell>
          <cell r="AQ59">
            <v>0.22570545070326964</v>
          </cell>
          <cell r="AR59">
            <v>0.28219956459946349</v>
          </cell>
          <cell r="AS59">
            <v>0.25135813947805008</v>
          </cell>
          <cell r="AT59">
            <v>0.23832243199818554</v>
          </cell>
          <cell r="AU59">
            <v>0.23832243199818554</v>
          </cell>
          <cell r="AW59">
            <v>0.31172166307050259</v>
          </cell>
          <cell r="AX59">
            <v>0.28233973177159161</v>
          </cell>
          <cell r="AY59">
            <v>0.24400406232128558</v>
          </cell>
          <cell r="AZ59">
            <v>0.22570545070326964</v>
          </cell>
          <cell r="BA59">
            <v>0.22570545070326964</v>
          </cell>
          <cell r="BB59">
            <v>0.28219956459946349</v>
          </cell>
          <cell r="BC59">
            <v>0.25135813947805008</v>
          </cell>
          <cell r="BD59">
            <v>0.23832243199818554</v>
          </cell>
          <cell r="BE59">
            <v>0.26505314716943701</v>
          </cell>
          <cell r="BF59">
            <v>0.26505314716943701</v>
          </cell>
          <cell r="BG59">
            <v>0.26220251306458453</v>
          </cell>
          <cell r="BH59">
            <v>0.27706424795659362</v>
          </cell>
          <cell r="BI59">
            <v>0.28955524441042702</v>
          </cell>
          <cell r="BJ59">
            <v>0.28399538322334317</v>
          </cell>
          <cell r="BK59">
            <v>0.28399538322334317</v>
          </cell>
          <cell r="BL59">
            <v>0.83536792845455277</v>
          </cell>
          <cell r="BM59">
            <v>0.8229573452119443</v>
          </cell>
          <cell r="BN59">
            <v>0.82309202254610048</v>
          </cell>
          <cell r="BO59">
            <v>0.81810868526185898</v>
          </cell>
          <cell r="BP59">
            <v>0.81810868526185898</v>
          </cell>
          <cell r="BQ59">
            <v>0.73494873982191689</v>
          </cell>
          <cell r="BR59">
            <v>0.72349283017972843</v>
          </cell>
          <cell r="BS59">
            <v>0.881879622736363</v>
          </cell>
          <cell r="BT59">
            <v>0.90461072447863367</v>
          </cell>
          <cell r="BU59">
            <v>0.90461072447863367</v>
          </cell>
          <cell r="BV59">
            <v>0.89845753889098545</v>
          </cell>
          <cell r="BW59">
            <v>0.85949800914459051</v>
          </cell>
          <cell r="BX59">
            <v>0.8345796923963974</v>
          </cell>
          <cell r="BY59">
            <v>0.85341518259421234</v>
          </cell>
          <cell r="BZ59">
            <v>0.85341518259421234</v>
          </cell>
          <cell r="CA59">
            <v>0.83107615821837166</v>
          </cell>
          <cell r="CB59">
            <v>0.80182991379890534</v>
          </cell>
          <cell r="CC59">
            <v>0.78756629261422284</v>
          </cell>
          <cell r="CD59">
            <v>0.80786520949132312</v>
          </cell>
          <cell r="CE59">
            <v>0.80786520949132312</v>
          </cell>
          <cell r="CF59">
            <v>0.77093309569957325</v>
          </cell>
          <cell r="CG59">
            <v>0.7573446335352132</v>
          </cell>
          <cell r="CH59">
            <v>0.79686860891984501</v>
          </cell>
          <cell r="CI59">
            <v>0.78003443259987759</v>
          </cell>
          <cell r="CJ59">
            <v>0.78003443259987759</v>
          </cell>
          <cell r="CK59">
            <v>0.80072327930403164</v>
          </cell>
          <cell r="CL59">
            <v>0.76780622718658009</v>
          </cell>
          <cell r="CM59">
            <v>0.75130029681146149</v>
          </cell>
          <cell r="CN59">
            <v>0.72570688788080018</v>
          </cell>
          <cell r="CO59">
            <v>0.72570688788080018</v>
          </cell>
          <cell r="CP59">
            <v>0.71946366751997159</v>
          </cell>
          <cell r="CQ59">
            <v>0.67049187995587856</v>
          </cell>
          <cell r="CR59">
            <v>0.65596465945066507</v>
          </cell>
          <cell r="CS59">
            <v>0.65017607585480808</v>
          </cell>
          <cell r="CT59">
            <v>0.65017607585480808</v>
          </cell>
          <cell r="CU59">
            <v>0.64930238323874312</v>
          </cell>
          <cell r="CV59">
            <v>0.5917902779306029</v>
          </cell>
          <cell r="CW59">
            <v>0.56771132624156817</v>
          </cell>
          <cell r="CX59">
            <v>0.55294150203061987</v>
          </cell>
          <cell r="CY59">
            <v>0.55294150203061987</v>
          </cell>
          <cell r="CZ59">
            <v>0.55082126924231445</v>
          </cell>
          <cell r="DA59">
            <v>0.4930703116627993</v>
          </cell>
          <cell r="DB59">
            <v>0.46827715454654906</v>
          </cell>
          <cell r="DC59">
            <v>0.45173556218646549</v>
          </cell>
          <cell r="DD59">
            <v>0.45173556218646549</v>
          </cell>
          <cell r="DE59">
            <v>0.44989245766368857</v>
          </cell>
          <cell r="DF59">
            <v>0.39274187962511409</v>
          </cell>
          <cell r="DG59">
            <v>0.36734006517158163</v>
          </cell>
          <cell r="DH59">
            <v>0.34979226734174423</v>
          </cell>
          <cell r="DI59">
            <v>0.34979226734174423</v>
          </cell>
        </row>
        <row r="61">
          <cell r="B61" t="str">
            <v>Debt-to-equity</v>
          </cell>
          <cell r="E61">
            <v>1.5134458212496704</v>
          </cell>
          <cell r="F61">
            <v>0.49981527730570874</v>
          </cell>
          <cell r="G61">
            <v>0.43593922752305952</v>
          </cell>
          <cell r="H61">
            <v>0.32765451037449395</v>
          </cell>
          <cell r="I61">
            <v>0.23365938040572415</v>
          </cell>
          <cell r="J61">
            <v>0.18466075707559026</v>
          </cell>
          <cell r="K61">
            <v>0.10337545964085537</v>
          </cell>
          <cell r="L61">
            <v>0.18863145377068677</v>
          </cell>
          <cell r="M61">
            <v>0.17467911318553092</v>
          </cell>
          <cell r="N61">
            <v>0.16388276330319887</v>
          </cell>
          <cell r="O61">
            <v>0.34665869562376678</v>
          </cell>
          <cell r="P61">
            <v>0.42816442010597999</v>
          </cell>
          <cell r="Q61">
            <v>0.42816442010597999</v>
          </cell>
          <cell r="R61">
            <v>0.45876649083817167</v>
          </cell>
          <cell r="S61">
            <v>0.42817917055209087</v>
          </cell>
          <cell r="T61">
            <v>0.42196552320763475</v>
          </cell>
          <cell r="U61">
            <v>0.4613646099143538</v>
          </cell>
          <cell r="V61">
            <v>0.4613646099143538</v>
          </cell>
          <cell r="W61">
            <v>0.42067813233034057</v>
          </cell>
          <cell r="X61">
            <v>0.37735497258016887</v>
          </cell>
          <cell r="Y61">
            <v>0.34844370201222968</v>
          </cell>
          <cell r="Z61">
            <v>0.31854348207497513</v>
          </cell>
          <cell r="AA61">
            <v>0.31854348207497513</v>
          </cell>
          <cell r="AB61">
            <v>0.42729793294906354</v>
          </cell>
          <cell r="AC61">
            <v>0.42853245240166948</v>
          </cell>
          <cell r="AD61">
            <v>0.40828674018979227</v>
          </cell>
          <cell r="AE61">
            <v>0.39927449666385012</v>
          </cell>
          <cell r="AF61">
            <v>0.39927449666385012</v>
          </cell>
          <cell r="AG61">
            <v>0.38695989623390314</v>
          </cell>
          <cell r="AH61">
            <v>0.37167481533314284</v>
          </cell>
          <cell r="AI61">
            <v>0.35461803861191238</v>
          </cell>
          <cell r="AJ61">
            <v>0.48208961925055649</v>
          </cell>
          <cell r="AK61">
            <v>0.48208961925055649</v>
          </cell>
          <cell r="AL61">
            <v>0.55703341726458078</v>
          </cell>
          <cell r="AM61">
            <v>0.52314008114607191</v>
          </cell>
          <cell r="AN61">
            <v>0.46611091105834535</v>
          </cell>
          <cell r="AO61">
            <v>0.41044189890049704</v>
          </cell>
          <cell r="AP61">
            <v>0.41044189890049704</v>
          </cell>
          <cell r="AQ61">
            <v>0.39665030899623921</v>
          </cell>
          <cell r="AR61">
            <v>0.44262871376227025</v>
          </cell>
          <cell r="AS61">
            <v>0.39215096498824692</v>
          </cell>
          <cell r="AT61">
            <v>0.37475560932119256</v>
          </cell>
          <cell r="AU61">
            <v>0.37475560932119256</v>
          </cell>
          <cell r="AW61">
            <v>0.52314008114607191</v>
          </cell>
          <cell r="AX61">
            <v>0.46611091105834535</v>
          </cell>
          <cell r="AY61">
            <v>0.41044189890049704</v>
          </cell>
          <cell r="AZ61">
            <v>0.39665030899623921</v>
          </cell>
          <cell r="BA61">
            <v>0.39665030899623921</v>
          </cell>
          <cell r="BB61">
            <v>0.44262871376227025</v>
          </cell>
          <cell r="BC61">
            <v>0.39215096498824692</v>
          </cell>
          <cell r="BD61">
            <v>0.37475560932119256</v>
          </cell>
          <cell r="BE61">
            <v>0.42740568700285719</v>
          </cell>
          <cell r="BF61">
            <v>0.42740568700285719</v>
          </cell>
          <cell r="BG61">
            <v>0.41880589638060994</v>
          </cell>
          <cell r="BH61">
            <v>0.45666026129180526</v>
          </cell>
          <cell r="BI61">
            <v>0.43350786928332125</v>
          </cell>
          <cell r="BJ61">
            <v>0.45248393277074</v>
          </cell>
          <cell r="BK61">
            <v>0.45248393277074</v>
          </cell>
          <cell r="BL61">
            <v>6.0244462184780598</v>
          </cell>
          <cell r="BM61">
            <v>5.5648484652542134</v>
          </cell>
          <cell r="BN61">
            <v>5.6145126164068957</v>
          </cell>
          <cell r="BO61">
            <v>5.8804317430163575</v>
          </cell>
          <cell r="BP61">
            <v>5.8804317430163575</v>
          </cell>
          <cell r="BQ61">
            <v>5.1659573518666226</v>
          </cell>
          <cell r="BR61">
            <v>4.495288741608972</v>
          </cell>
          <cell r="BS61">
            <v>13.877216819221966</v>
          </cell>
          <cell r="BT61">
            <v>21.063449062522253</v>
          </cell>
          <cell r="BU61">
            <v>21.063449062522253</v>
          </cell>
          <cell r="BV61">
            <v>13.13885536428889</v>
          </cell>
          <cell r="BW61">
            <v>9.8936231248750985</v>
          </cell>
          <cell r="BX61">
            <v>9.0257079229324972</v>
          </cell>
          <cell r="BY61">
            <v>8.5610220313929748</v>
          </cell>
          <cell r="BZ61">
            <v>8.5610220313929748</v>
          </cell>
          <cell r="CA61">
            <v>7.5657043100592949</v>
          </cell>
          <cell r="CB61">
            <v>6.9947464073508732</v>
          </cell>
          <cell r="CC61">
            <v>6.5606804588132519</v>
          </cell>
          <cell r="CD61">
            <v>5.7947647798500661</v>
          </cell>
          <cell r="CE61">
            <v>5.7947647798500661</v>
          </cell>
          <cell r="CF61">
            <v>5.0240576034174911</v>
          </cell>
          <cell r="CG61">
            <v>4.5549925731562952</v>
          </cell>
          <cell r="CH61">
            <v>4.7942447318155859</v>
          </cell>
          <cell r="CI61">
            <v>4.6480398262477234</v>
          </cell>
          <cell r="CJ61">
            <v>4.6480398262477234</v>
          </cell>
          <cell r="CK61">
            <v>4.3320087500319184</v>
          </cell>
          <cell r="CL61">
            <v>4.0736568822786268</v>
          </cell>
          <cell r="CM61">
            <v>3.7989360264056189</v>
          </cell>
          <cell r="CN61">
            <v>3.550649849957376</v>
          </cell>
          <cell r="CO61">
            <v>3.550649849957376</v>
          </cell>
          <cell r="CP61">
            <v>3.3349880874501761</v>
          </cell>
          <cell r="CQ61">
            <v>3.1582308716973215</v>
          </cell>
          <cell r="CR61">
            <v>3.0357003449848987</v>
          </cell>
          <cell r="CS61">
            <v>2.960821290379104</v>
          </cell>
          <cell r="CT61">
            <v>2.960821290379104</v>
          </cell>
          <cell r="CU61">
            <v>2.7879788832150214</v>
          </cell>
          <cell r="CV61">
            <v>2.6201550444640387</v>
          </cell>
          <cell r="CW61">
            <v>2.4909284200358295</v>
          </cell>
          <cell r="CX61">
            <v>2.4038735277195733</v>
          </cell>
          <cell r="CY61">
            <v>2.4038735277195733</v>
          </cell>
          <cell r="CZ61">
            <v>2.2493254870241279</v>
          </cell>
          <cell r="DA61">
            <v>2.1225118665197038</v>
          </cell>
          <cell r="DB61">
            <v>2.0206094174963902</v>
          </cell>
          <cell r="DC61">
            <v>1.9465355568324709</v>
          </cell>
          <cell r="DD61">
            <v>1.9465355568324709</v>
          </cell>
          <cell r="DE61">
            <v>1.8269747054907572</v>
          </cell>
          <cell r="DF61">
            <v>1.7289458576837771</v>
          </cell>
          <cell r="DG61">
            <v>1.647781254105982</v>
          </cell>
          <cell r="DH61">
            <v>1.5887689014003399</v>
          </cell>
          <cell r="DI61">
            <v>1.5887689014003399</v>
          </cell>
        </row>
        <row r="62">
          <cell r="B62" t="str">
            <v>Net debt-to-equity</v>
          </cell>
          <cell r="E62">
            <v>1.5047455839704718</v>
          </cell>
          <cell r="F62">
            <v>0.30575300359100926</v>
          </cell>
          <cell r="G62">
            <v>4.4857853238724509E-2</v>
          </cell>
          <cell r="H62">
            <v>-0.11736936993927125</v>
          </cell>
          <cell r="I62">
            <v>-2.8916496304450357E-2</v>
          </cell>
          <cell r="J62">
            <v>8.2666449625244484E-2</v>
          </cell>
          <cell r="K62">
            <v>-4.1082074899146767E-2</v>
          </cell>
          <cell r="L62">
            <v>0.13965712020612431</v>
          </cell>
          <cell r="M62">
            <v>0.16436502303648545</v>
          </cell>
          <cell r="N62">
            <v>0.14092650699833159</v>
          </cell>
          <cell r="O62">
            <v>0.33389413758107162</v>
          </cell>
          <cell r="P62">
            <v>0.38664464394574904</v>
          </cell>
          <cell r="Q62">
            <v>0.38664464394574904</v>
          </cell>
          <cell r="R62">
            <v>0.43394257923600627</v>
          </cell>
          <cell r="S62">
            <v>0.4048187557323969</v>
          </cell>
          <cell r="T62">
            <v>0.40071120905539415</v>
          </cell>
          <cell r="U62">
            <v>0.42147085077661472</v>
          </cell>
          <cell r="V62">
            <v>0.42147085077661472</v>
          </cell>
          <cell r="W62">
            <v>0.39198785354148136</v>
          </cell>
          <cell r="X62">
            <v>0.34410707698118581</v>
          </cell>
          <cell r="Y62">
            <v>0.31039907434368824</v>
          </cell>
          <cell r="Z62">
            <v>0.24583601380197675</v>
          </cell>
          <cell r="AA62">
            <v>0.24583601380197675</v>
          </cell>
          <cell r="AB62">
            <v>0.34416844836453159</v>
          </cell>
          <cell r="AC62">
            <v>0.35277264213804693</v>
          </cell>
          <cell r="AD62">
            <v>0.31235188509874329</v>
          </cell>
          <cell r="AE62">
            <v>0.30221353787282812</v>
          </cell>
          <cell r="AF62">
            <v>0.30221353787282812</v>
          </cell>
          <cell r="AG62">
            <v>0.27590705871103127</v>
          </cell>
          <cell r="AH62">
            <v>0.28130449162896087</v>
          </cell>
          <cell r="AI62">
            <v>0.2213375291833285</v>
          </cell>
          <cell r="AJ62">
            <v>0.26028122582546287</v>
          </cell>
          <cell r="AK62">
            <v>0.26028122582546287</v>
          </cell>
          <cell r="AL62">
            <v>0.49846475010293073</v>
          </cell>
          <cell r="AM62">
            <v>0.47479575918419376</v>
          </cell>
          <cell r="AN62">
            <v>0.41394136137561705</v>
          </cell>
          <cell r="AO62">
            <v>0.34415355299986922</v>
          </cell>
          <cell r="AP62">
            <v>0.34415355299986922</v>
          </cell>
          <cell r="AQ62">
            <v>0.31523158746685698</v>
          </cell>
          <cell r="AR62">
            <v>0.40710919490239666</v>
          </cell>
          <cell r="AS62">
            <v>0.3499284764320178</v>
          </cell>
          <cell r="AT62">
            <v>0.32763510021657405</v>
          </cell>
          <cell r="AU62">
            <v>0.32763510021657405</v>
          </cell>
          <cell r="AW62">
            <v>0.47479575918419376</v>
          </cell>
          <cell r="AX62">
            <v>0.41394136137561705</v>
          </cell>
          <cell r="AY62">
            <v>0.34415355299986927</v>
          </cell>
          <cell r="AZ62">
            <v>0.31523158746685698</v>
          </cell>
          <cell r="BA62">
            <v>0.31523158746685698</v>
          </cell>
          <cell r="BB62">
            <v>0.40710919490239666</v>
          </cell>
          <cell r="BC62">
            <v>0.3499284764320178</v>
          </cell>
          <cell r="BD62">
            <v>0.32763510021657405</v>
          </cell>
          <cell r="BE62">
            <v>0.37833836962765965</v>
          </cell>
          <cell r="BF62">
            <v>0.37833836962765965</v>
          </cell>
          <cell r="BG62">
            <v>0.37201447158184642</v>
          </cell>
          <cell r="BH62">
            <v>0.40358847982306917</v>
          </cell>
          <cell r="BI62">
            <v>0.41507972145460253</v>
          </cell>
          <cell r="BJ62">
            <v>0.41249873111297491</v>
          </cell>
          <cell r="BK62">
            <v>0.41249873111297491</v>
          </cell>
          <cell r="BL62">
            <v>5.8679970860704334</v>
          </cell>
          <cell r="BM62">
            <v>5.4025902646843145</v>
          </cell>
          <cell r="BN62">
            <v>5.4443525675950513</v>
          </cell>
          <cell r="BO62">
            <v>5.6289409673130724</v>
          </cell>
          <cell r="BP62">
            <v>5.6289409673130724</v>
          </cell>
          <cell r="BQ62">
            <v>4.5316625855500581</v>
          </cell>
          <cell r="BR62">
            <v>3.9758020043214737</v>
          </cell>
          <cell r="BS62">
            <v>13.119914355902541</v>
          </cell>
          <cell r="BT62">
            <v>19.958832640945683</v>
          </cell>
          <cell r="BU62">
            <v>19.958832640945683</v>
          </cell>
          <cell r="BV62">
            <v>12.703161193334603</v>
          </cell>
          <cell r="BW62">
            <v>9.3630473882016219</v>
          </cell>
          <cell r="BX62">
            <v>8.3672522343771281</v>
          </cell>
          <cell r="BY62">
            <v>8.1595213627085244</v>
          </cell>
          <cell r="BZ62">
            <v>8.1595213627085244</v>
          </cell>
          <cell r="CA62">
            <v>7.1187526304386264</v>
          </cell>
          <cell r="CB62">
            <v>6.4104268226502583</v>
          </cell>
          <cell r="CC62">
            <v>5.9545370785883547</v>
          </cell>
          <cell r="CD62">
            <v>5.4892540723178378</v>
          </cell>
          <cell r="CE62">
            <v>5.4892540723178378</v>
          </cell>
          <cell r="CF62">
            <v>4.6441453768751986</v>
          </cell>
          <cell r="CG62">
            <v>4.2070438146078857</v>
          </cell>
          <cell r="CH62">
            <v>4.6172517391830263</v>
          </cell>
          <cell r="CI62">
            <v>4.4056655411686547</v>
          </cell>
          <cell r="CJ62">
            <v>4.4056655411686547</v>
          </cell>
          <cell r="CK62">
            <v>4.2694635316033489</v>
          </cell>
          <cell r="CL62">
            <v>3.8955853488215784</v>
          </cell>
          <cell r="CM62">
            <v>3.6054420610177571</v>
          </cell>
          <cell r="CN62">
            <v>3.3024379404477973</v>
          </cell>
          <cell r="CO62">
            <v>3.3024379404477973</v>
          </cell>
          <cell r="CP62">
            <v>3.1188664280522911</v>
          </cell>
          <cell r="CQ62">
            <v>2.788060034454908</v>
          </cell>
          <cell r="CR62">
            <v>2.6472768024429505</v>
          </cell>
          <cell r="CS62">
            <v>2.5752312437408631</v>
          </cell>
          <cell r="CT62">
            <v>2.5752312437408631</v>
          </cell>
          <cell r="CU62">
            <v>2.4595437165295464</v>
          </cell>
          <cell r="CV62">
            <v>2.1423725599152474</v>
          </cell>
          <cell r="CW62">
            <v>1.9818396031529228</v>
          </cell>
          <cell r="CX62">
            <v>1.8821429411395256</v>
          </cell>
          <cell r="CY62">
            <v>1.8821429411395256</v>
          </cell>
          <cell r="CZ62">
            <v>1.7897975889440316</v>
          </cell>
          <cell r="DA62">
            <v>1.5396178991956597</v>
          </cell>
          <cell r="DB62">
            <v>1.4144823830217188</v>
          </cell>
          <cell r="DC62">
            <v>1.3310548962681266</v>
          </cell>
          <cell r="DD62">
            <v>1.3310548962681266</v>
          </cell>
          <cell r="DE62">
            <v>1.271834598006319</v>
          </cell>
          <cell r="DF62">
            <v>1.0717713255418955</v>
          </cell>
          <cell r="DG62">
            <v>0.97263613844338359</v>
          </cell>
          <cell r="DH62">
            <v>0.90553134364462129</v>
          </cell>
          <cell r="DI62">
            <v>0.90553134364462129</v>
          </cell>
        </row>
        <row r="64">
          <cell r="B64" t="str">
            <v xml:space="preserve">Total Debt /  LTM EBITDA </v>
          </cell>
          <cell r="E64">
            <v>2.4422982833074514</v>
          </cell>
          <cell r="F64">
            <v>1.1592206056243899</v>
          </cell>
          <cell r="G64">
            <v>1.1297873199079866</v>
          </cell>
          <cell r="H64">
            <v>0.80743786353849023</v>
          </cell>
          <cell r="I64">
            <v>0.57845396785847736</v>
          </cell>
          <cell r="J64">
            <v>0.45618247298919573</v>
          </cell>
          <cell r="K64">
            <v>0.26494862339991393</v>
          </cell>
          <cell r="L64">
            <v>0.50899723683037734</v>
          </cell>
          <cell r="M64">
            <v>2.1731367853935954</v>
          </cell>
          <cell r="N64">
            <v>1.5401774262505346</v>
          </cell>
          <cell r="O64">
            <v>3.8747428766172902</v>
          </cell>
          <cell r="P64">
            <v>5.5691204575951838</v>
          </cell>
          <cell r="Q64">
            <v>1.2989320805776503</v>
          </cell>
          <cell r="R64">
            <v>5.6804943069985301</v>
          </cell>
          <cell r="S64">
            <v>4.1356944701313108</v>
          </cell>
          <cell r="T64">
            <v>4.7283441667772124</v>
          </cell>
          <cell r="U64">
            <v>5.8881783422400105</v>
          </cell>
          <cell r="V64">
            <v>1.4012541937269034</v>
          </cell>
          <cell r="W64">
            <v>5.3348826772663145</v>
          </cell>
          <cell r="X64">
            <v>3.7829735345318594</v>
          </cell>
          <cell r="Y64">
            <v>3.9021556310712948</v>
          </cell>
          <cell r="Z64">
            <v>3.8292177091938062</v>
          </cell>
          <cell r="AA64">
            <v>0.97140895340049538</v>
          </cell>
          <cell r="AB64">
            <v>5.5805064500716659</v>
          </cell>
          <cell r="AC64">
            <v>4.5036422814631116</v>
          </cell>
          <cell r="AD64">
            <v>4.6184487285492555</v>
          </cell>
          <cell r="AE64">
            <v>5.1034076097076557</v>
          </cell>
          <cell r="AF64">
            <v>1.2709461261115047</v>
          </cell>
          <cell r="AG64">
            <v>5.1310188714470186</v>
          </cell>
          <cell r="AH64">
            <v>4.1329396973923718</v>
          </cell>
          <cell r="AI64">
            <v>4.1966100833502757</v>
          </cell>
          <cell r="AJ64">
            <v>6.3570786945041764</v>
          </cell>
          <cell r="AK64">
            <v>1.5758780135191894</v>
          </cell>
          <cell r="AL64">
            <v>7.4606693570649254</v>
          </cell>
          <cell r="AM64">
            <v>5.9372988379975347</v>
          </cell>
          <cell r="AN64">
            <v>5.63143318213538</v>
          </cell>
          <cell r="AO64">
            <v>5.8316705741507482</v>
          </cell>
          <cell r="AP64">
            <v>1.3687499542657271</v>
          </cell>
          <cell r="AQ64">
            <v>5.5800434485016197</v>
          </cell>
          <cell r="AR64">
            <v>5.4232756419071544</v>
          </cell>
          <cell r="AS64">
            <v>6.1725827161695879</v>
          </cell>
          <cell r="AT64">
            <v>6.0554627039203588</v>
          </cell>
          <cell r="AU64">
            <v>1.4263277857970136</v>
          </cell>
          <cell r="AW64">
            <v>5.9372988379975347</v>
          </cell>
          <cell r="AX64">
            <v>5.63143318213538</v>
          </cell>
          <cell r="AY64">
            <v>5.8316705741507482</v>
          </cell>
          <cell r="AZ64">
            <v>5.5800434485016197</v>
          </cell>
          <cell r="BA64">
            <v>1.3409314552808786</v>
          </cell>
          <cell r="BB64">
            <v>5.4232756419071544</v>
          </cell>
          <cell r="BC64">
            <v>6.1725827161695879</v>
          </cell>
          <cell r="BD64">
            <v>6.0554627039203588</v>
          </cell>
          <cell r="BE64">
            <v>7.0201454985291569</v>
          </cell>
          <cell r="BF64">
            <v>1.6997844717282633</v>
          </cell>
          <cell r="BG64">
            <v>6.0703846444494793</v>
          </cell>
          <cell r="BH64">
            <v>7.3374192001220884</v>
          </cell>
          <cell r="BI64">
            <v>7.9421961826528111</v>
          </cell>
          <cell r="BJ64">
            <v>-147.29432429465308</v>
          </cell>
          <cell r="BK64">
            <v>2.4919097217063122</v>
          </cell>
          <cell r="BL64">
            <v>19.626204707147608</v>
          </cell>
          <cell r="BM64">
            <v>28.136255897759767</v>
          </cell>
          <cell r="BN64">
            <v>24.999834743521951</v>
          </cell>
          <cell r="BO64">
            <v>24.968041072992115</v>
          </cell>
          <cell r="BP64">
            <v>5.9744583185853317</v>
          </cell>
          <cell r="BQ64">
            <v>5.071617501141982</v>
          </cell>
          <cell r="BR64">
            <v>5.4616387277976068</v>
          </cell>
          <cell r="BS64">
            <v>5.8428046946300514</v>
          </cell>
          <cell r="BT64">
            <v>5.5671176366869606</v>
          </cell>
          <cell r="BU64">
            <v>5.1297046893003149</v>
          </cell>
          <cell r="BV64">
            <v>4.8834491496745871</v>
          </cell>
          <cell r="BW64">
            <v>4.7605530042542377</v>
          </cell>
          <cell r="BX64">
            <v>4.6118715726270159</v>
          </cell>
          <cell r="BY64">
            <v>4.4396859605012295</v>
          </cell>
          <cell r="BZ64">
            <v>4.4396859605012295</v>
          </cell>
          <cell r="CA64">
            <v>4.3534910314961657</v>
          </cell>
          <cell r="CB64">
            <v>4.2805657894922797</v>
          </cell>
          <cell r="CC64">
            <v>4.1984470291837548</v>
          </cell>
          <cell r="CD64">
            <v>4.0980224446960607</v>
          </cell>
          <cell r="CE64">
            <v>4.0980224446960607</v>
          </cell>
          <cell r="CF64">
            <v>3.9896044937209538</v>
          </cell>
          <cell r="CG64">
            <v>3.8928146135763764</v>
          </cell>
          <cell r="CH64">
            <v>4.3092355616913567</v>
          </cell>
          <cell r="CI64">
            <v>4.3184962202567148</v>
          </cell>
          <cell r="CJ64">
            <v>4.3184962202567148</v>
          </cell>
          <cell r="CK64">
            <v>4.1769814285044298</v>
          </cell>
          <cell r="CL64">
            <v>4.0523616336521453</v>
          </cell>
          <cell r="CM64">
            <v>3.8271622015767206</v>
          </cell>
          <cell r="CN64">
            <v>3.6832382754559108</v>
          </cell>
          <cell r="CO64">
            <v>3.6832382754559108</v>
          </cell>
          <cell r="CP64">
            <v>3.555423011434153</v>
          </cell>
          <cell r="CQ64">
            <v>3.4407035751273707</v>
          </cell>
          <cell r="CR64">
            <v>3.4121909142775384</v>
          </cell>
          <cell r="CS64">
            <v>3.5317579267688721</v>
          </cell>
          <cell r="CT64">
            <v>3.5317579267688721</v>
          </cell>
          <cell r="CU64">
            <v>3.4653097132727835</v>
          </cell>
          <cell r="CV64">
            <v>3.4079428203505904</v>
          </cell>
          <cell r="CW64">
            <v>3.3376938976762442</v>
          </cell>
          <cell r="CX64">
            <v>3.2837109941055331</v>
          </cell>
          <cell r="CY64">
            <v>3.2837109941055331</v>
          </cell>
          <cell r="CZ64">
            <v>3.2171447496672712</v>
          </cell>
          <cell r="DA64">
            <v>3.1568590559624203</v>
          </cell>
          <cell r="DB64">
            <v>3.091886914942537</v>
          </cell>
          <cell r="DC64">
            <v>3.0227547175959772</v>
          </cell>
          <cell r="DD64">
            <v>3.0227547175959772</v>
          </cell>
          <cell r="DE64">
            <v>2.9504508522605719</v>
          </cell>
          <cell r="DF64">
            <v>2.8881537054843749</v>
          </cell>
          <cell r="DG64">
            <v>2.8240855950790769</v>
          </cell>
          <cell r="DH64">
            <v>2.7736529973761401</v>
          </cell>
          <cell r="DI64">
            <v>2.7736529973761401</v>
          </cell>
        </row>
        <row r="65">
          <cell r="B65" t="str">
            <v xml:space="preserve">Net Debt /  LTM EBITDA </v>
          </cell>
          <cell r="E65">
            <v>2.4282584186006928</v>
          </cell>
          <cell r="F65">
            <v>0.70913234966497052</v>
          </cell>
          <cell r="G65">
            <v>0.116254355166337</v>
          </cell>
          <cell r="H65">
            <v>-0.28923292769663966</v>
          </cell>
          <cell r="I65">
            <v>-7.1586520493334888E-2</v>
          </cell>
          <cell r="J65">
            <v>0.2042176476501931</v>
          </cell>
          <cell r="K65">
            <v>-0.10529229305249289</v>
          </cell>
          <cell r="L65">
            <v>0.37684642124966594</v>
          </cell>
          <cell r="M65">
            <v>0.18590402951933127</v>
          </cell>
          <cell r="N65">
            <v>0.18790877672924028</v>
          </cell>
          <cell r="O65">
            <v>0.58626155322802087</v>
          </cell>
          <cell r="P65">
            <v>1.1729725970232299</v>
          </cell>
          <cell r="Q65">
            <v>1.1729725970232299</v>
          </cell>
          <cell r="R65">
            <v>1.3079479637322984</v>
          </cell>
          <cell r="S65">
            <v>1.2279192681864382</v>
          </cell>
          <cell r="T65">
            <v>1.2216691190760431</v>
          </cell>
          <cell r="U65">
            <v>1.2800890759566756</v>
          </cell>
          <cell r="V65">
            <v>1.2800890759566756</v>
          </cell>
          <cell r="W65">
            <v>1.1954323655546504</v>
          </cell>
          <cell r="X65">
            <v>1.0599601662369418</v>
          </cell>
          <cell r="Y65">
            <v>0.95487707999877414</v>
          </cell>
          <cell r="Z65">
            <v>0.74968510835616542</v>
          </cell>
          <cell r="AA65">
            <v>0.74968510835616542</v>
          </cell>
          <cell r="AB65">
            <v>1.0547308733007772</v>
          </cell>
          <cell r="AC65">
            <v>1.093833791305866</v>
          </cell>
          <cell r="AD65">
            <v>0.96954112664395109</v>
          </cell>
          <cell r="AE65">
            <v>0.96198762612503008</v>
          </cell>
          <cell r="AF65">
            <v>0.96198762612503008</v>
          </cell>
          <cell r="AG65">
            <v>0.87538994155529948</v>
          </cell>
          <cell r="AH65">
            <v>0.90077144344399196</v>
          </cell>
          <cell r="AI65">
            <v>0.71739451948490351</v>
          </cell>
          <cell r="AJ65">
            <v>0.85081994038330766</v>
          </cell>
          <cell r="AK65">
            <v>0.85081994038330766</v>
          </cell>
          <cell r="AL65">
            <v>1.6479487458203479</v>
          </cell>
          <cell r="AM65">
            <v>1.5679916626672945</v>
          </cell>
          <cell r="AN65">
            <v>1.3694181083707662</v>
          </cell>
          <cell r="AO65">
            <v>1.1476902362815475</v>
          </cell>
          <cell r="AP65">
            <v>1.1476902362815475</v>
          </cell>
          <cell r="AQ65">
            <v>1.065684159939585</v>
          </cell>
          <cell r="AR65">
            <v>1.4196165366976641</v>
          </cell>
          <cell r="AS65">
            <v>1.2998305401174728</v>
          </cell>
          <cell r="AT65">
            <v>1.2469861302083034</v>
          </cell>
          <cell r="AU65">
            <v>1.2469861302083034</v>
          </cell>
          <cell r="AW65">
            <v>0.82892522082985065</v>
          </cell>
          <cell r="AX65">
            <v>0.74157297920861964</v>
          </cell>
          <cell r="AY65">
            <v>0.63641040997661991</v>
          </cell>
          <cell r="AZ65">
            <v>1.0656841599395852</v>
          </cell>
          <cell r="BA65">
            <v>1.0656841599395852</v>
          </cell>
          <cell r="BB65">
            <v>1.4196165366976641</v>
          </cell>
          <cell r="BC65">
            <v>1.2998305401174728</v>
          </cell>
          <cell r="BD65">
            <v>1.2469861302083034</v>
          </cell>
          <cell r="BE65">
            <v>1.5046446626897241</v>
          </cell>
          <cell r="BF65">
            <v>1.5046446626897241</v>
          </cell>
          <cell r="BG65">
            <v>1.532811759331262</v>
          </cell>
          <cell r="BH65">
            <v>1.6584339482201547</v>
          </cell>
          <cell r="BI65">
            <v>1.7538824591415403</v>
          </cell>
          <cell r="BJ65">
            <v>2.2717040845133192</v>
          </cell>
          <cell r="BK65">
            <v>2.2717040845133192</v>
          </cell>
          <cell r="BL65">
            <v>6.9323710899487603</v>
          </cell>
          <cell r="BM65">
            <v>7.5887120079926715</v>
          </cell>
          <cell r="BN65">
            <v>7.8001590934227245</v>
          </cell>
          <cell r="BO65">
            <v>5.7189462707272174</v>
          </cell>
          <cell r="BP65">
            <v>5.7189462707272174</v>
          </cell>
          <cell r="BQ65">
            <v>5.2564849516125642</v>
          </cell>
          <cell r="BR65">
            <v>4.9034397688786937</v>
          </cell>
          <cell r="BS65">
            <v>4.8918819726434757</v>
          </cell>
          <cell r="BT65">
            <v>4.8606910049402599</v>
          </cell>
          <cell r="BU65">
            <v>4.8606910049402599</v>
          </cell>
          <cell r="BV65">
            <v>4.7215103605127933</v>
          </cell>
          <cell r="BW65">
            <v>4.5052538195849996</v>
          </cell>
          <cell r="BX65">
            <v>4.2754200612538877</v>
          </cell>
          <cell r="BY65">
            <v>4.231470530689962</v>
          </cell>
          <cell r="BZ65">
            <v>4.231470530689962</v>
          </cell>
          <cell r="CA65">
            <v>4.0963041194787859</v>
          </cell>
          <cell r="CB65">
            <v>3.9229804992276858</v>
          </cell>
          <cell r="CC65">
            <v>3.8105511561960688</v>
          </cell>
          <cell r="CD65">
            <v>3.8819671285397348</v>
          </cell>
          <cell r="CE65">
            <v>3.8819671285397348</v>
          </cell>
          <cell r="CF65">
            <v>3.6879161680931491</v>
          </cell>
          <cell r="CG65">
            <v>3.5954485936984488</v>
          </cell>
          <cell r="CH65">
            <v>4.1501480430753501</v>
          </cell>
          <cell r="CI65">
            <v>4.093306145918139</v>
          </cell>
          <cell r="CJ65">
            <v>4.093306145918139</v>
          </cell>
          <cell r="CK65">
            <v>4.1166744829526785</v>
          </cell>
          <cell r="CL65">
            <v>3.8752209781968161</v>
          </cell>
          <cell r="CM65">
            <v>3.6322305719261214</v>
          </cell>
          <cell r="CN65">
            <v>3.4257576327108503</v>
          </cell>
          <cell r="CO65">
            <v>3.4257576327108503</v>
          </cell>
          <cell r="CP65">
            <v>3.3250162150848226</v>
          </cell>
          <cell r="CQ65">
            <v>3.0374245955816579</v>
          </cell>
          <cell r="CR65">
            <v>2.9755946985335489</v>
          </cell>
          <cell r="CS65">
            <v>3.0718143603932671</v>
          </cell>
          <cell r="CT65">
            <v>3.0718143603932671</v>
          </cell>
          <cell r="CU65">
            <v>3.0570822406231044</v>
          </cell>
          <cell r="CV65">
            <v>2.7865080730643337</v>
          </cell>
          <cell r="CW65">
            <v>2.65554557746845</v>
          </cell>
          <cell r="CX65">
            <v>2.5710227252100957</v>
          </cell>
          <cell r="CY65">
            <v>2.5710227252100957</v>
          </cell>
          <cell r="CZ65">
            <v>2.559895377283238</v>
          </cell>
          <cell r="DA65">
            <v>2.2899079079200684</v>
          </cell>
          <cell r="DB65">
            <v>2.164406210132594</v>
          </cell>
          <cell r="DC65">
            <v>2.0669812338907008</v>
          </cell>
          <cell r="DD65">
            <v>2.0669812338907008</v>
          </cell>
          <cell r="DE65">
            <v>2.0539340048576329</v>
          </cell>
          <cell r="DF65">
            <v>1.7903627875557684</v>
          </cell>
          <cell r="DG65">
            <v>1.6669735142251041</v>
          </cell>
          <cell r="DH65">
            <v>1.5808653626743314</v>
          </cell>
          <cell r="DI65">
            <v>1.5808653626743314</v>
          </cell>
        </row>
        <row r="66">
          <cell r="B66" t="str">
            <v>Interest Coverage (LTM EBITDA)</v>
          </cell>
          <cell r="E66">
            <v>3.3346811378307448</v>
          </cell>
          <cell r="F66">
            <v>8.1555555555555532</v>
          </cell>
          <cell r="G66">
            <v>15.441836310760284</v>
          </cell>
          <cell r="H66">
            <v>23.885734233185939</v>
          </cell>
          <cell r="I66">
            <v>35.46865506766089</v>
          </cell>
          <cell r="J66">
            <v>48.107823613086765</v>
          </cell>
          <cell r="K66">
            <v>58.885237068965523</v>
          </cell>
          <cell r="L66">
            <v>58.935700777474239</v>
          </cell>
          <cell r="M66">
            <v>49.13235294117645</v>
          </cell>
          <cell r="N66">
            <v>137.1847507331378</v>
          </cell>
          <cell r="O66">
            <v>34.147547797173736</v>
          </cell>
          <cell r="P66">
            <v>18.739395478790961</v>
          </cell>
          <cell r="Q66">
            <v>37.724031007751933</v>
          </cell>
          <cell r="R66">
            <v>14.105429625724829</v>
          </cell>
          <cell r="S66">
            <v>16.629248039366448</v>
          </cell>
          <cell r="T66">
            <v>14.48189744347569</v>
          </cell>
          <cell r="U66">
            <v>13.967207995003124</v>
          </cell>
          <cell r="V66">
            <v>14.81801695249359</v>
          </cell>
          <cell r="W66">
            <v>15.504970178926449</v>
          </cell>
          <cell r="X66">
            <v>23.644347496206379</v>
          </cell>
          <cell r="Y66">
            <v>25.895999999999994</v>
          </cell>
          <cell r="Z66">
            <v>27.341182123978861</v>
          </cell>
          <cell r="AA66">
            <v>22.462043064596898</v>
          </cell>
          <cell r="AB66">
            <v>26.442176870748312</v>
          </cell>
          <cell r="AC66">
            <v>34.739109153206073</v>
          </cell>
          <cell r="AD66">
            <v>38.761315715490582</v>
          </cell>
          <cell r="AE66">
            <v>34.061310782241002</v>
          </cell>
          <cell r="AF66">
            <v>33.29743292800616</v>
          </cell>
          <cell r="AG66">
            <v>34.1808029779314</v>
          </cell>
          <cell r="AH66">
            <v>43.070312499999986</v>
          </cell>
          <cell r="AI66">
            <v>41.401367701209878</v>
          </cell>
          <cell r="AJ66">
            <v>40.370329670329681</v>
          </cell>
          <cell r="AK66">
            <v>39.744351324170303</v>
          </cell>
          <cell r="AL66">
            <v>34.159407274360127</v>
          </cell>
          <cell r="AM66">
            <v>39.793755310110448</v>
          </cell>
          <cell r="AN66">
            <v>50.39120879120879</v>
          </cell>
          <cell r="AO66">
            <v>47.420461265523336</v>
          </cell>
          <cell r="AP66">
            <v>42.220402867029158</v>
          </cell>
          <cell r="AQ66">
            <v>52.211000621504056</v>
          </cell>
          <cell r="AR66">
            <v>53.371428571428595</v>
          </cell>
          <cell r="AS66">
            <v>57.618162692847129</v>
          </cell>
          <cell r="AT66">
            <v>54.303847418612285</v>
          </cell>
          <cell r="AU66">
            <v>54.238898344422104</v>
          </cell>
          <cell r="AW66">
            <v>39.793755310110448</v>
          </cell>
          <cell r="AX66">
            <v>50.39120879120879</v>
          </cell>
          <cell r="AY66">
            <v>47.420461265523336</v>
          </cell>
          <cell r="AZ66">
            <v>52.211000621504056</v>
          </cell>
          <cell r="BA66">
            <v>46.773080010703758</v>
          </cell>
          <cell r="BB66">
            <v>53.371428571428595</v>
          </cell>
          <cell r="BC66">
            <v>57.618162692847129</v>
          </cell>
          <cell r="BD66">
            <v>54.303847418612285</v>
          </cell>
          <cell r="BE66">
            <v>40.272168361314755</v>
          </cell>
          <cell r="BF66">
            <v>50.469110999497744</v>
          </cell>
          <cell r="BG66">
            <v>23.624732206617487</v>
          </cell>
          <cell r="BH66">
            <v>16.229809818664304</v>
          </cell>
          <cell r="BI66">
            <v>15.406662944351394</v>
          </cell>
          <cell r="BJ66">
            <v>-0.436966324474721</v>
          </cell>
          <cell r="BK66">
            <v>10.495799138384767</v>
          </cell>
          <cell r="BL66">
            <v>5.8101417928382544</v>
          </cell>
          <cell r="BM66">
            <v>2.1833327925764912</v>
          </cell>
          <cell r="BN66">
            <v>2.3750686867101023</v>
          </cell>
          <cell r="BO66">
            <v>2.3802952553880163</v>
          </cell>
          <cell r="BP66">
            <v>2.838479906289423</v>
          </cell>
          <cell r="BQ66">
            <v>2.9197157739052146</v>
          </cell>
          <cell r="BR66">
            <v>2.7836708947081292</v>
          </cell>
          <cell r="BS66">
            <v>2.524241454131539</v>
          </cell>
          <cell r="BT66">
            <v>2.5990046402890448</v>
          </cell>
          <cell r="BU66">
            <v>2.7128042201174916</v>
          </cell>
          <cell r="BV66">
            <v>2.8068520686532215</v>
          </cell>
          <cell r="BW66">
            <v>2.9046134579085594</v>
          </cell>
          <cell r="BX66">
            <v>3.0031401240598945</v>
          </cell>
          <cell r="BY66">
            <v>3.1409545560860139</v>
          </cell>
          <cell r="BZ66">
            <v>3.1409545560860139</v>
          </cell>
          <cell r="CA66">
            <v>3.2215712887559316</v>
          </cell>
          <cell r="CB66">
            <v>3.2933677743647021</v>
          </cell>
          <cell r="CC66">
            <v>3.3779564828222894</v>
          </cell>
          <cell r="CD66">
            <v>3.4797352520160838</v>
          </cell>
          <cell r="CE66">
            <v>3.4797352520160838</v>
          </cell>
          <cell r="CF66">
            <v>3.6084318338306187</v>
          </cell>
          <cell r="CG66">
            <v>3.7369472979546239</v>
          </cell>
          <cell r="CH66">
            <v>3.861670653712836</v>
          </cell>
          <cell r="CI66">
            <v>3.7164765406492597</v>
          </cell>
          <cell r="CJ66">
            <v>3.7164765406492597</v>
          </cell>
          <cell r="CK66">
            <v>3.2745044591953878</v>
          </cell>
          <cell r="CL66">
            <v>3.1005670997800476</v>
          </cell>
          <cell r="CM66">
            <v>3.0289497766798914</v>
          </cell>
          <cell r="CN66">
            <v>3.086523674482752</v>
          </cell>
          <cell r="CO66">
            <v>3.086523674482752</v>
          </cell>
          <cell r="CP66">
            <v>3.3679098044769762</v>
          </cell>
          <cell r="CQ66">
            <v>3.5072546256873993</v>
          </cell>
          <cell r="CR66">
            <v>3.5865005463440518</v>
          </cell>
          <cell r="CS66">
            <v>3.4555093853147341</v>
          </cell>
          <cell r="CT66">
            <v>3.4555093853147341</v>
          </cell>
          <cell r="CU66">
            <v>3.4997292845612926</v>
          </cell>
          <cell r="CV66">
            <v>3.8010689297434195</v>
          </cell>
          <cell r="CW66">
            <v>4.1675370487638528</v>
          </cell>
          <cell r="CX66">
            <v>4.5769372270191058</v>
          </cell>
          <cell r="CY66">
            <v>4.5769372270191058</v>
          </cell>
          <cell r="CZ66">
            <v>5.1083971256565812</v>
          </cell>
          <cell r="DA66">
            <v>5.1936827285229885</v>
          </cell>
          <cell r="DB66">
            <v>5.2903805709515375</v>
          </cell>
          <cell r="DC66">
            <v>5.3987357796978541</v>
          </cell>
          <cell r="DD66">
            <v>5.3987357796978541</v>
          </cell>
          <cell r="DE66">
            <v>5.5181015038407688</v>
          </cell>
          <cell r="DF66">
            <v>5.6238469040918488</v>
          </cell>
          <cell r="DG66">
            <v>5.7377841803161349</v>
          </cell>
          <cell r="DH66">
            <v>5.8281493931136863</v>
          </cell>
          <cell r="DI66">
            <v>5.8281493931136863</v>
          </cell>
        </row>
        <row r="68">
          <cell r="B68" t="str">
            <v>LTM EBITDA</v>
          </cell>
          <cell r="E68">
            <v>47.009000000000007</v>
          </cell>
          <cell r="F68">
            <v>58.35299999999998</v>
          </cell>
          <cell r="G68">
            <v>74.337000000000003</v>
          </cell>
          <cell r="H68">
            <v>102.63699999999997</v>
          </cell>
          <cell r="I68">
            <v>128.43200000000007</v>
          </cell>
          <cell r="J68">
            <v>169.09899999999999</v>
          </cell>
          <cell r="K68">
            <v>218.58200000000002</v>
          </cell>
          <cell r="L68">
            <v>280.47499999999991</v>
          </cell>
          <cell r="M68">
            <v>734.97599999999989</v>
          </cell>
          <cell r="N68">
            <v>659.43699999999978</v>
          </cell>
          <cell r="O68">
            <v>523.0139999999999</v>
          </cell>
          <cell r="P68">
            <v>316.31599999999997</v>
          </cell>
          <cell r="Q68">
            <v>316.31599999999997</v>
          </cell>
          <cell r="R68">
            <v>329.77</v>
          </cell>
          <cell r="S68">
            <v>344.35</v>
          </cell>
          <cell r="T68">
            <v>360.19000000000005</v>
          </cell>
          <cell r="U68">
            <v>375.85899999999987</v>
          </cell>
          <cell r="V68">
            <v>375.85899999999987</v>
          </cell>
          <cell r="W68">
            <v>389.17300000000006</v>
          </cell>
          <cell r="X68">
            <v>405.68600000000004</v>
          </cell>
          <cell r="Y68">
            <v>424.21900000000005</v>
          </cell>
          <cell r="Z68">
            <v>448.56700000000001</v>
          </cell>
          <cell r="AA68">
            <v>448.56700000000001</v>
          </cell>
          <cell r="AB68">
            <v>463.81500000000005</v>
          </cell>
          <cell r="AC68">
            <v>481.10600000000005</v>
          </cell>
          <cell r="AD68">
            <v>502.44800000000009</v>
          </cell>
          <cell r="AE68">
            <v>517.54199999999969</v>
          </cell>
          <cell r="AF68">
            <v>517.54199999999969</v>
          </cell>
          <cell r="AG68">
            <v>537.25999999999988</v>
          </cell>
          <cell r="AH68">
            <v>555.19299999999987</v>
          </cell>
          <cell r="AI68">
            <v>574.72699999999986</v>
          </cell>
          <cell r="AJ68">
            <v>592.78700000000015</v>
          </cell>
          <cell r="AK68">
            <v>592.78700000000015</v>
          </cell>
          <cell r="AL68">
            <v>616.37899999999991</v>
          </cell>
          <cell r="AM68">
            <v>643.85099999999989</v>
          </cell>
          <cell r="AN68">
            <v>669.86700000000008</v>
          </cell>
          <cell r="AO68">
            <v>683.29499999999996</v>
          </cell>
          <cell r="AP68">
            <v>683.29499999999996</v>
          </cell>
          <cell r="AQ68">
            <v>699.16399999999999</v>
          </cell>
          <cell r="AR68">
            <v>715.42700000000013</v>
          </cell>
          <cell r="AS68">
            <v>696.33</v>
          </cell>
          <cell r="AT68">
            <v>701.0920000000001</v>
          </cell>
          <cell r="AU68">
            <v>701.0920000000001</v>
          </cell>
          <cell r="AW68">
            <v>1217.9059999999999</v>
          </cell>
          <cell r="AX68">
            <v>1237.0029999999999</v>
          </cell>
          <cell r="AY68">
            <v>1232.241</v>
          </cell>
          <cell r="AZ68">
            <v>699.16399999999976</v>
          </cell>
          <cell r="BA68">
            <v>699.16399999999976</v>
          </cell>
          <cell r="BB68">
            <v>715.42700000000013</v>
          </cell>
          <cell r="BC68">
            <v>696.33</v>
          </cell>
          <cell r="BD68">
            <v>701.0920000000001</v>
          </cell>
          <cell r="BE68">
            <v>703.38800000000015</v>
          </cell>
          <cell r="BF68">
            <v>703.38800000000015</v>
          </cell>
          <cell r="BG68">
            <v>698.27100000000019</v>
          </cell>
          <cell r="BH68">
            <v>717.42200000000014</v>
          </cell>
          <cell r="BI68">
            <v>717.84400000000016</v>
          </cell>
          <cell r="BJ68">
            <v>538.42400000000021</v>
          </cell>
          <cell r="BK68">
            <v>538.42400000000021</v>
          </cell>
          <cell r="BL68">
            <v>533.33699999999976</v>
          </cell>
          <cell r="BM68">
            <v>484.44399999999985</v>
          </cell>
          <cell r="BN68">
            <v>470.16399999999976</v>
          </cell>
          <cell r="BO68">
            <v>630.02900000000034</v>
          </cell>
          <cell r="BP68">
            <v>630.02900000000034</v>
          </cell>
          <cell r="BQ68">
            <v>618.23900000000003</v>
          </cell>
          <cell r="BR68">
            <v>646.93299999999999</v>
          </cell>
          <cell r="BS68">
            <v>637.5809999999999</v>
          </cell>
          <cell r="BT68">
            <v>633.56999999999994</v>
          </cell>
          <cell r="BU68">
            <v>633.56999999999994</v>
          </cell>
          <cell r="BV68">
            <v>635.34499999999991</v>
          </cell>
          <cell r="BW68">
            <v>644.76899999999989</v>
          </cell>
          <cell r="BX68">
            <v>660.85600000000011</v>
          </cell>
          <cell r="BY68">
            <v>684.88199999999938</v>
          </cell>
          <cell r="BZ68">
            <v>684.88199999999938</v>
          </cell>
          <cell r="CA68">
            <v>697.8309999999999</v>
          </cell>
          <cell r="CB68">
            <v>707.61299999999983</v>
          </cell>
          <cell r="CC68">
            <v>720.8119999999999</v>
          </cell>
          <cell r="CD68">
            <v>736.56600000000037</v>
          </cell>
          <cell r="CE68">
            <v>736.56600000000037</v>
          </cell>
          <cell r="CF68">
            <v>754.65300000000025</v>
          </cell>
          <cell r="CG68">
            <v>775.93600000000015</v>
          </cell>
          <cell r="CH68">
            <v>790.98600000000022</v>
          </cell>
          <cell r="CI68">
            <v>827.83400000000074</v>
          </cell>
          <cell r="CJ68">
            <v>827.83400000000074</v>
          </cell>
          <cell r="CK68">
            <v>852.9200000000003</v>
          </cell>
          <cell r="CL68">
            <v>882.44000000000028</v>
          </cell>
          <cell r="CM68">
            <v>932.56800000000021</v>
          </cell>
          <cell r="CN68">
            <v>964.79401663476153</v>
          </cell>
          <cell r="CO68">
            <v>964.79401663476153</v>
          </cell>
          <cell r="CP68">
            <v>995.11183018778343</v>
          </cell>
          <cell r="CQ68">
            <v>1023.7791989592131</v>
          </cell>
          <cell r="CR68">
            <v>1027.7848127798954</v>
          </cell>
          <cell r="CS68">
            <v>988.59415690312449</v>
          </cell>
          <cell r="CT68">
            <v>988.59415690312449</v>
          </cell>
          <cell r="CU68">
            <v>1003.0712368035829</v>
          </cell>
          <cell r="CV68">
            <v>1015.4013527856112</v>
          </cell>
          <cell r="CW68">
            <v>1032.1219098007757</v>
          </cell>
          <cell r="CX68">
            <v>1044.3623863841731</v>
          </cell>
          <cell r="CY68">
            <v>1044.3623863841731</v>
          </cell>
          <cell r="CZ68">
            <v>1060.9909611163819</v>
          </cell>
          <cell r="DA68">
            <v>1076.1768865110976</v>
          </cell>
          <cell r="DB68">
            <v>1093.6092079107757</v>
          </cell>
          <cell r="DC68">
            <v>1113.3199893494655</v>
          </cell>
          <cell r="DD68">
            <v>1113.3199893494655</v>
          </cell>
          <cell r="DE68">
            <v>1135.1724423519413</v>
          </cell>
          <cell r="DF68">
            <v>1154.1102343931443</v>
          </cell>
          <cell r="DG68">
            <v>1174.6191424864073</v>
          </cell>
          <cell r="DH68">
            <v>1190.2001631505161</v>
          </cell>
          <cell r="DI68">
            <v>1190.2001631505161</v>
          </cell>
        </row>
        <row r="69">
          <cell r="B69" t="str">
            <v>LTM Interest Expense</v>
          </cell>
          <cell r="E69">
            <v>-14.097</v>
          </cell>
          <cell r="F69">
            <v>-7.1550000000000002</v>
          </cell>
          <cell r="G69">
            <v>-4.8140000000000001</v>
          </cell>
          <cell r="H69">
            <v>-4.2969999999999997</v>
          </cell>
          <cell r="I69">
            <v>-3.621</v>
          </cell>
          <cell r="J69">
            <v>-3.5150000000000001</v>
          </cell>
          <cell r="K69">
            <v>-3.7120000000000002</v>
          </cell>
          <cell r="L69">
            <v>-4.7590000000000003</v>
          </cell>
          <cell r="M69">
            <v>-13.346</v>
          </cell>
          <cell r="N69">
            <v>-10.513</v>
          </cell>
          <cell r="O69">
            <v>-9.2070000000000007</v>
          </cell>
          <cell r="P69">
            <v>-8.3849999999999998</v>
          </cell>
          <cell r="Q69">
            <v>-8.3849999999999998</v>
          </cell>
          <cell r="R69">
            <v>-12.716000000000001</v>
          </cell>
          <cell r="S69">
            <v>-18.536999999999999</v>
          </cell>
          <cell r="T69">
            <v>-22.898</v>
          </cell>
          <cell r="U69">
            <v>-25.364999999999998</v>
          </cell>
          <cell r="V69">
            <v>-25.364999999999998</v>
          </cell>
          <cell r="W69">
            <v>-25.71</v>
          </cell>
          <cell r="X69">
            <v>-24.478999999999999</v>
          </cell>
          <cell r="Y69">
            <v>-22.212</v>
          </cell>
          <cell r="Z69">
            <v>-19.97</v>
          </cell>
          <cell r="AA69">
            <v>-19.97</v>
          </cell>
          <cell r="AB69">
            <v>-18.05</v>
          </cell>
          <cell r="AC69">
            <v>-16.863999999999997</v>
          </cell>
          <cell r="AD69">
            <v>-15.920999999999999</v>
          </cell>
          <cell r="AE69">
            <v>-15.542999999999999</v>
          </cell>
          <cell r="AF69">
            <v>-15.542999999999999</v>
          </cell>
          <cell r="AG69">
            <v>-15.187999999999999</v>
          </cell>
          <cell r="AH69">
            <v>-14.814</v>
          </cell>
          <cell r="AI69">
            <v>-15.058999999999999</v>
          </cell>
          <cell r="AJ69">
            <v>-14.915000000000001</v>
          </cell>
          <cell r="AK69">
            <v>-14.915000000000001</v>
          </cell>
          <cell r="AL69">
            <v>-15.608000000000001</v>
          </cell>
          <cell r="AM69">
            <v>-16.603999999999999</v>
          </cell>
          <cell r="AN69">
            <v>-16.442</v>
          </cell>
          <cell r="AO69">
            <v>-16.184000000000001</v>
          </cell>
          <cell r="AP69">
            <v>-16.184000000000001</v>
          </cell>
          <cell r="AQ69">
            <v>-14.948</v>
          </cell>
          <cell r="AR69">
            <v>-14.055</v>
          </cell>
          <cell r="AS69">
            <v>-13.266999999999999</v>
          </cell>
          <cell r="AT69">
            <v>-12.926</v>
          </cell>
          <cell r="AU69">
            <v>-12.926</v>
          </cell>
          <cell r="AW69">
            <v>-23.527000000000001</v>
          </cell>
          <cell r="AX69">
            <v>-24.315000000000001</v>
          </cell>
          <cell r="AY69">
            <v>-24.656000000000002</v>
          </cell>
          <cell r="AZ69">
            <v>-14.948</v>
          </cell>
          <cell r="BA69">
            <v>-14.948</v>
          </cell>
          <cell r="BB69">
            <v>-14.055</v>
          </cell>
          <cell r="BC69">
            <v>-13.266999999999999</v>
          </cell>
          <cell r="BD69">
            <v>-12.926</v>
          </cell>
          <cell r="BE69">
            <v>-13.937000000000001</v>
          </cell>
          <cell r="BF69">
            <v>-13.937000000000001</v>
          </cell>
          <cell r="BG69">
            <v>-18.524000000000001</v>
          </cell>
          <cell r="BH69">
            <v>-26.976999999999997</v>
          </cell>
          <cell r="BI69">
            <v>-34.682000000000002</v>
          </cell>
          <cell r="BJ69">
            <v>-51.299000000000007</v>
          </cell>
          <cell r="BK69">
            <v>-51.299000000000007</v>
          </cell>
          <cell r="BL69">
            <v>-76.185000000000002</v>
          </cell>
          <cell r="BM69">
            <v>-126.52199999999999</v>
          </cell>
          <cell r="BN69">
            <v>-179.471</v>
          </cell>
          <cell r="BO69">
            <v>-221.96</v>
          </cell>
          <cell r="BP69">
            <v>-221.96</v>
          </cell>
          <cell r="BQ69">
            <v>-250.876</v>
          </cell>
          <cell r="BR69">
            <v>-247.89000000000001</v>
          </cell>
          <cell r="BS69">
            <v>-240.42099999999999</v>
          </cell>
          <cell r="BT69">
            <v>-233.548</v>
          </cell>
          <cell r="BU69">
            <v>-233.548</v>
          </cell>
          <cell r="BV69">
            <v>-226.35499999999999</v>
          </cell>
          <cell r="BW69">
            <v>-221.98099999999999</v>
          </cell>
          <cell r="BX69">
            <v>-220.05500000000001</v>
          </cell>
          <cell r="BY69">
            <v>-218.04900000000004</v>
          </cell>
          <cell r="BZ69">
            <v>-218.04900000000004</v>
          </cell>
          <cell r="CA69">
            <v>-216.61200000000002</v>
          </cell>
          <cell r="CB69">
            <v>-214.85999999999999</v>
          </cell>
          <cell r="CC69">
            <v>-213.387</v>
          </cell>
          <cell r="CD69">
            <v>-211.67299999999997</v>
          </cell>
          <cell r="CE69">
            <v>-211.67299999999997</v>
          </cell>
          <cell r="CF69">
            <v>-209.136</v>
          </cell>
          <cell r="CG69">
            <v>-207.63900000000001</v>
          </cell>
          <cell r="CH69">
            <v>-204.83</v>
          </cell>
          <cell r="CI69">
            <v>-222.74700000000001</v>
          </cell>
          <cell r="CJ69">
            <v>-222.74700000000001</v>
          </cell>
          <cell r="CK69">
            <v>-260.47300000000001</v>
          </cell>
          <cell r="CL69">
            <v>-284.60599999999999</v>
          </cell>
          <cell r="CM69">
            <v>-307.88493331250004</v>
          </cell>
          <cell r="CN69">
            <v>-312.58273656249997</v>
          </cell>
          <cell r="CO69">
            <v>-312.58273656249997</v>
          </cell>
          <cell r="CP69">
            <v>-295.46866987499999</v>
          </cell>
          <cell r="CQ69">
            <v>-291.90329993749998</v>
          </cell>
          <cell r="CR69">
            <v>-286.57037674999992</v>
          </cell>
          <cell r="CS69">
            <v>-286.09216374999994</v>
          </cell>
          <cell r="CT69">
            <v>-286.09216374999994</v>
          </cell>
          <cell r="CU69">
            <v>-286.61395074999996</v>
          </cell>
          <cell r="CV69">
            <v>-267.13573774999998</v>
          </cell>
          <cell r="CW69">
            <v>-247.65752474999999</v>
          </cell>
          <cell r="CX69">
            <v>-228.17931174999998</v>
          </cell>
          <cell r="CY69">
            <v>-228.17931174999998</v>
          </cell>
          <cell r="CZ69">
            <v>-207.69547374999999</v>
          </cell>
          <cell r="DA69">
            <v>-207.20882324999997</v>
          </cell>
          <cell r="DB69">
            <v>-206.71654774999999</v>
          </cell>
          <cell r="DC69">
            <v>-206.21864725</v>
          </cell>
          <cell r="DD69">
            <v>-206.21864725</v>
          </cell>
          <cell r="DE69">
            <v>-205.71793424999998</v>
          </cell>
          <cell r="DF69">
            <v>-205.21722124999997</v>
          </cell>
          <cell r="DG69">
            <v>-204.71650824999998</v>
          </cell>
          <cell r="DH69">
            <v>-204.21579524999996</v>
          </cell>
          <cell r="DI69">
            <v>-204.21579524999996</v>
          </cell>
        </row>
        <row r="71">
          <cell r="B71" t="str">
            <v>Balance Sheet Drivers</v>
          </cell>
        </row>
        <row r="72">
          <cell r="B72" t="str">
            <v>Inventory turnover</v>
          </cell>
          <cell r="W72">
            <v>9.9452403414414317</v>
          </cell>
          <cell r="X72">
            <v>8.3609365758314027</v>
          </cell>
          <cell r="Y72">
            <v>7.9727438053658526</v>
          </cell>
          <cell r="Z72">
            <v>9.5147352168111787</v>
          </cell>
          <cell r="AA72">
            <v>9.3598776061951394</v>
          </cell>
          <cell r="AB72">
            <v>8.9499957688727481</v>
          </cell>
          <cell r="AC72">
            <v>8.0212919304628123</v>
          </cell>
          <cell r="AD72">
            <v>8.0673395176078806</v>
          </cell>
          <cell r="AE72">
            <v>9.6339870851351321</v>
          </cell>
          <cell r="AF72">
            <v>9.1215019284240739</v>
          </cell>
          <cell r="AG72">
            <v>9.9874743769882546</v>
          </cell>
          <cell r="AH72">
            <v>8.3974534477614569</v>
          </cell>
          <cell r="AI72">
            <v>8.307886168776859</v>
          </cell>
          <cell r="AJ72">
            <v>9.944398382138484</v>
          </cell>
          <cell r="AK72">
            <v>9.5433648319231494</v>
          </cell>
          <cell r="AL72">
            <v>10.738580116121224</v>
          </cell>
          <cell r="AM72">
            <v>9.38364181301041</v>
          </cell>
          <cell r="AN72">
            <v>9.0194485495942747</v>
          </cell>
          <cell r="AO72">
            <v>10.497405660487576</v>
          </cell>
          <cell r="AP72">
            <v>10.384554444270806</v>
          </cell>
          <cell r="AQ72">
            <v>9.0356565079907352</v>
          </cell>
          <cell r="AR72">
            <v>7.4422144906255197</v>
          </cell>
          <cell r="AS72">
            <v>7.4491112068213674</v>
          </cell>
          <cell r="AT72">
            <v>8.9560678654833303</v>
          </cell>
          <cell r="AU72">
            <v>8.7654020243923991</v>
          </cell>
          <cell r="BG72">
            <v>5.1698157107211911</v>
          </cell>
          <cell r="BH72">
            <v>3.8356649736817801</v>
          </cell>
          <cell r="BI72">
            <v>3.6428020703007857</v>
          </cell>
          <cell r="BJ72">
            <v>4.2933995378021947</v>
          </cell>
          <cell r="BK72">
            <v>4.4023242420178148</v>
          </cell>
          <cell r="BL72">
            <v>5.0180691777997213</v>
          </cell>
          <cell r="BM72">
            <v>4.0294879480662518</v>
          </cell>
          <cell r="BN72">
            <v>3.7367084000968109</v>
          </cell>
          <cell r="BO72">
            <v>4.3016037258646982</v>
          </cell>
          <cell r="BP72">
            <v>4.4195976915595212</v>
          </cell>
          <cell r="BQ72">
            <v>4.7252202435612398</v>
          </cell>
          <cell r="BR72">
            <v>3.872361461825673</v>
          </cell>
          <cell r="BS72">
            <v>3.7661455677222961</v>
          </cell>
          <cell r="BT72">
            <v>4.4139154079246756</v>
          </cell>
          <cell r="BU72">
            <v>4.3419661315405964</v>
          </cell>
          <cell r="BV72">
            <v>4.8270669659558543</v>
          </cell>
          <cell r="BW72">
            <v>4.1167590033484638</v>
          </cell>
          <cell r="BX72">
            <v>3.8567481206226351</v>
          </cell>
          <cell r="BY72">
            <v>4.8372279565215814</v>
          </cell>
          <cell r="BZ72">
            <v>4.5705086386498026</v>
          </cell>
          <cell r="CA72">
            <v>5.1868183816803013</v>
          </cell>
          <cell r="CB72">
            <v>4.2777824058481624</v>
          </cell>
          <cell r="CC72">
            <v>4.1002424994543114</v>
          </cell>
          <cell r="CD72">
            <v>4.6309511053814356</v>
          </cell>
          <cell r="CE72">
            <v>4.6960829438232565</v>
          </cell>
          <cell r="CF72">
            <v>4.8129988528097023</v>
          </cell>
          <cell r="CG72">
            <v>3.904103131950603</v>
          </cell>
          <cell r="CH72">
            <v>3.5217198861941705</v>
          </cell>
          <cell r="CI72">
            <v>4.6268980373002941</v>
          </cell>
          <cell r="CJ72">
            <v>4.3624957898282242</v>
          </cell>
          <cell r="CK72">
            <v>4.9897054272365171</v>
          </cell>
          <cell r="CL72">
            <v>4.3745470278637155</v>
          </cell>
          <cell r="CM72">
            <v>1.0484247199766101</v>
          </cell>
          <cell r="CN72">
            <v>4.0872148777261756</v>
          </cell>
          <cell r="CO72">
            <v>4.3280797213156346</v>
          </cell>
          <cell r="CP72">
            <v>4.224887449013301</v>
          </cell>
          <cell r="CQ72">
            <v>4.1660413034846799</v>
          </cell>
          <cell r="CR72">
            <v>4.1792664998085955</v>
          </cell>
          <cell r="CS72">
            <v>4.4651604915677519</v>
          </cell>
          <cell r="CT72">
            <v>4.2199815941287468</v>
          </cell>
          <cell r="CU72">
            <v>4.5161740825059669</v>
          </cell>
          <cell r="CV72">
            <v>4.2716349446989943</v>
          </cell>
          <cell r="CW72">
            <v>4.280932790424675</v>
          </cell>
          <cell r="CX72">
            <v>4.5685424129793244</v>
          </cell>
          <cell r="CY72">
            <v>4.4005897406935128</v>
          </cell>
          <cell r="CZ72">
            <v>4.6353844994771372</v>
          </cell>
          <cell r="DA72">
            <v>4.3784641760820868</v>
          </cell>
          <cell r="DB72">
            <v>4.3870456566751628</v>
          </cell>
          <cell r="DC72">
            <v>4.6809803793019853</v>
          </cell>
          <cell r="DD72">
            <v>4.512768921213179</v>
          </cell>
          <cell r="DE72">
            <v>4.6789944569367794</v>
          </cell>
          <cell r="DF72">
            <v>4.4129164356877819</v>
          </cell>
          <cell r="DG72">
            <v>4.3994080139238889</v>
          </cell>
          <cell r="DH72">
            <v>4.6899192252447035</v>
          </cell>
          <cell r="DI72">
            <v>4.5442790926304015</v>
          </cell>
        </row>
        <row r="73">
          <cell r="B73" t="str">
            <v>Days of inventory in stock (DIOs)</v>
          </cell>
          <cell r="W73">
            <v>45.41227423077838</v>
          </cell>
          <cell r="X73">
            <v>44.642091607329768</v>
          </cell>
          <cell r="Y73">
            <v>45.866457703645658</v>
          </cell>
          <cell r="Z73">
            <v>32.885360495306571</v>
          </cell>
          <cell r="AA73">
            <v>42.201546009265094</v>
          </cell>
          <cell r="AB73">
            <v>50.119846897157558</v>
          </cell>
          <cell r="AC73">
            <v>46.599151993548311</v>
          </cell>
          <cell r="AD73">
            <v>45.17252281635843</v>
          </cell>
          <cell r="AE73">
            <v>31.489612738941567</v>
          </cell>
          <cell r="AF73">
            <v>43.345283611501465</v>
          </cell>
          <cell r="AG73">
            <v>43.375976703604501</v>
          </cell>
          <cell r="AH73">
            <v>43.929666641238846</v>
          </cell>
          <cell r="AI73">
            <v>43.887744971078305</v>
          </cell>
          <cell r="AJ73">
            <v>31.19743008235984</v>
          </cell>
          <cell r="AK73">
            <v>40.59770459957037</v>
          </cell>
          <cell r="AL73">
            <v>42.101500859136657</v>
          </cell>
          <cell r="AM73">
            <v>38.671608538243532</v>
          </cell>
          <cell r="AN73">
            <v>41.229861933103855</v>
          </cell>
          <cell r="AO73">
            <v>29.578013491054847</v>
          </cell>
          <cell r="AP73">
            <v>37.895246205384723</v>
          </cell>
          <cell r="AQ73">
            <v>52.126900603673697</v>
          </cell>
          <cell r="AR73">
            <v>50.282733378474838</v>
          </cell>
          <cell r="AS73">
            <v>49.900292280201128</v>
          </cell>
          <cell r="AT73">
            <v>30.133417952594201</v>
          </cell>
          <cell r="AU73">
            <v>45.610836053735966</v>
          </cell>
          <cell r="AW73">
            <v>38.671608538243532</v>
          </cell>
          <cell r="AX73">
            <v>40.781711259917941</v>
          </cell>
          <cell r="AY73">
            <v>29.578013491054847</v>
          </cell>
          <cell r="AZ73">
            <v>53.285276172644224</v>
          </cell>
          <cell r="BA73">
            <v>40.579152365465134</v>
          </cell>
          <cell r="BB73">
            <v>49.730175868821263</v>
          </cell>
          <cell r="BC73">
            <v>49.357897798894598</v>
          </cell>
          <cell r="BD73">
            <v>30.133417952594201</v>
          </cell>
          <cell r="BE73">
            <v>58.294932341328838</v>
          </cell>
          <cell r="BF73">
            <v>46.879105990409727</v>
          </cell>
          <cell r="BG73">
            <v>86.106931273699018</v>
          </cell>
          <cell r="BH73">
            <v>98.474579607446145</v>
          </cell>
          <cell r="BI73">
            <v>94.279732645965723</v>
          </cell>
          <cell r="BJ73">
            <v>74.878883208808489</v>
          </cell>
          <cell r="BK73">
            <v>88.435031683979844</v>
          </cell>
          <cell r="BL73">
            <v>84.366554373746169</v>
          </cell>
          <cell r="BM73">
            <v>90.93563411672072</v>
          </cell>
          <cell r="BN73">
            <v>96.297037676157601</v>
          </cell>
          <cell r="BO73">
            <v>74.405459060603249</v>
          </cell>
          <cell r="BP73">
            <v>86.501171306806924</v>
          </cell>
          <cell r="BQ73">
            <v>88.980716885633612</v>
          </cell>
          <cell r="BR73">
            <v>95.505246301457987</v>
          </cell>
          <cell r="BS73">
            <v>96.287151286640849</v>
          </cell>
          <cell r="BT73">
            <v>71.875935629985321</v>
          </cell>
          <cell r="BU73">
            <v>88.162262525929435</v>
          </cell>
          <cell r="BV73">
            <v>87.237514960287257</v>
          </cell>
          <cell r="BW73">
            <v>88.752009031537554</v>
          </cell>
          <cell r="BX73">
            <v>93.447433587014288</v>
          </cell>
          <cell r="BY73">
            <v>64.645880958935265</v>
          </cell>
          <cell r="BZ73">
            <v>83.520709634443591</v>
          </cell>
          <cell r="CA73">
            <v>82.247511928352395</v>
          </cell>
          <cell r="CB73">
            <v>85.75957148668806</v>
          </cell>
          <cell r="CC73">
            <v>89.563103605343713</v>
          </cell>
          <cell r="CD73">
            <v>70.873780985042274</v>
          </cell>
          <cell r="CE73">
            <v>82.110992001356621</v>
          </cell>
          <cell r="CF73">
            <v>88.015876678820334</v>
          </cell>
          <cell r="CG73">
            <v>93.575383903245083</v>
          </cell>
          <cell r="CH73">
            <v>109.63504136271968</v>
          </cell>
          <cell r="CI73">
            <v>66.561904321700951</v>
          </cell>
          <cell r="CJ73">
            <v>89.447051566621496</v>
          </cell>
          <cell r="CK73">
            <v>85.944681649697372</v>
          </cell>
          <cell r="CL73">
            <v>88.373258929755835</v>
          </cell>
          <cell r="CM73">
            <v>92.914827575074142</v>
          </cell>
          <cell r="CN73">
            <v>92.914827575074142</v>
          </cell>
          <cell r="CO73">
            <v>90.036898932400362</v>
          </cell>
          <cell r="CP73">
            <v>85</v>
          </cell>
          <cell r="CQ73">
            <v>85</v>
          </cell>
          <cell r="CR73">
            <v>85</v>
          </cell>
          <cell r="CS73">
            <v>85</v>
          </cell>
          <cell r="CT73">
            <v>85</v>
          </cell>
          <cell r="CU73">
            <v>83</v>
          </cell>
          <cell r="CV73">
            <v>83</v>
          </cell>
          <cell r="CW73">
            <v>83</v>
          </cell>
          <cell r="CX73">
            <v>83</v>
          </cell>
          <cell r="CY73">
            <v>83</v>
          </cell>
          <cell r="CZ73">
            <v>81</v>
          </cell>
          <cell r="DA73">
            <v>81</v>
          </cell>
          <cell r="DB73">
            <v>81</v>
          </cell>
          <cell r="DC73">
            <v>81</v>
          </cell>
          <cell r="DD73">
            <v>81</v>
          </cell>
          <cell r="DE73">
            <v>81</v>
          </cell>
          <cell r="DF73">
            <v>81</v>
          </cell>
          <cell r="DG73">
            <v>81</v>
          </cell>
          <cell r="DH73">
            <v>81</v>
          </cell>
          <cell r="DI73">
            <v>81</v>
          </cell>
        </row>
        <row r="74">
          <cell r="B74" t="str">
            <v>Payables payment period (DPOs)</v>
          </cell>
          <cell r="W74" t="str">
            <v>NM</v>
          </cell>
          <cell r="X74" t="str">
            <v>NM</v>
          </cell>
          <cell r="Y74" t="str">
            <v>NM</v>
          </cell>
          <cell r="Z74" t="str">
            <v>NM</v>
          </cell>
          <cell r="AA74" t="str">
            <v>NM</v>
          </cell>
          <cell r="AB74" t="str">
            <v>NM</v>
          </cell>
          <cell r="AC74" t="str">
            <v>NM</v>
          </cell>
          <cell r="AD74" t="str">
            <v>NM</v>
          </cell>
          <cell r="AE74" t="str">
            <v>NM</v>
          </cell>
          <cell r="AF74" t="str">
            <v>NM</v>
          </cell>
          <cell r="AG74" t="str">
            <v>NM</v>
          </cell>
          <cell r="AH74" t="str">
            <v>NM</v>
          </cell>
          <cell r="AI74" t="str">
            <v>NM</v>
          </cell>
          <cell r="AJ74" t="str">
            <v>NM</v>
          </cell>
          <cell r="AK74" t="str">
            <v>NM</v>
          </cell>
          <cell r="AL74" t="str">
            <v>NM</v>
          </cell>
          <cell r="AM74" t="str">
            <v>NM</v>
          </cell>
          <cell r="AN74" t="str">
            <v>NM</v>
          </cell>
          <cell r="AO74" t="str">
            <v>NM</v>
          </cell>
          <cell r="AP74" t="str">
            <v>NM</v>
          </cell>
          <cell r="AQ74" t="str">
            <v>NM</v>
          </cell>
          <cell r="AR74" t="str">
            <v>NM</v>
          </cell>
          <cell r="AS74" t="str">
            <v>NM</v>
          </cell>
          <cell r="AT74" t="str">
            <v>NM</v>
          </cell>
          <cell r="AU74" t="str">
            <v>NM</v>
          </cell>
          <cell r="AW74" t="str">
            <v>NM</v>
          </cell>
          <cell r="AX74" t="str">
            <v>NM</v>
          </cell>
          <cell r="AY74" t="str">
            <v>NM</v>
          </cell>
          <cell r="AZ74" t="str">
            <v>NM</v>
          </cell>
          <cell r="BA74" t="str">
            <v>NM</v>
          </cell>
          <cell r="BB74" t="str">
            <v>NM</v>
          </cell>
          <cell r="BC74" t="str">
            <v>NM</v>
          </cell>
          <cell r="BD74" t="str">
            <v>NM</v>
          </cell>
          <cell r="BE74" t="str">
            <v>NM</v>
          </cell>
          <cell r="BF74" t="str">
            <v>NM</v>
          </cell>
          <cell r="BG74">
            <v>99.714708162269233</v>
          </cell>
          <cell r="BH74">
            <v>106.54460561432661</v>
          </cell>
          <cell r="BI74">
            <v>90.972008497115425</v>
          </cell>
          <cell r="BJ74">
            <v>72.975641221503636</v>
          </cell>
          <cell r="BK74">
            <v>80.16676730190288</v>
          </cell>
          <cell r="BL74">
            <v>71.212885487030263</v>
          </cell>
          <cell r="BM74">
            <v>80.79408004670735</v>
          </cell>
          <cell r="BN74">
            <v>88.286046019598828</v>
          </cell>
          <cell r="BO74">
            <v>79.263240084802746</v>
          </cell>
          <cell r="BP74">
            <v>75.935548854814911</v>
          </cell>
          <cell r="BQ74">
            <v>77.031059624025872</v>
          </cell>
          <cell r="BR74">
            <v>79.219892492257316</v>
          </cell>
          <cell r="BS74">
            <v>85.441513515719862</v>
          </cell>
          <cell r="BT74">
            <v>84.133791066144411</v>
          </cell>
          <cell r="BU74">
            <v>104.80478313378759</v>
          </cell>
          <cell r="BV74">
            <v>84</v>
          </cell>
          <cell r="BW74">
            <v>84</v>
          </cell>
          <cell r="BX74">
            <v>84</v>
          </cell>
          <cell r="BY74">
            <v>80</v>
          </cell>
          <cell r="BZ74">
            <v>79.067703872870879</v>
          </cell>
          <cell r="CA74">
            <v>78.28309218319292</v>
          </cell>
          <cell r="CB74">
            <v>80.382887718663838</v>
          </cell>
          <cell r="CC74">
            <v>61.786516141307786</v>
          </cell>
          <cell r="CD74">
            <v>88.64091421932774</v>
          </cell>
          <cell r="CE74">
            <v>88.664981038442747</v>
          </cell>
          <cell r="CF74">
            <v>86.78174181935664</v>
          </cell>
          <cell r="CG74">
            <v>82.964292826808915</v>
          </cell>
          <cell r="CH74">
            <v>86.621879739767664</v>
          </cell>
          <cell r="CI74">
            <v>84.247931592327248</v>
          </cell>
          <cell r="CJ74">
            <v>93.051786369163665</v>
          </cell>
          <cell r="CK74">
            <v>71.964149068217012</v>
          </cell>
          <cell r="CL74">
            <v>72.905745642349899</v>
          </cell>
          <cell r="CM74">
            <v>79.647706151213683</v>
          </cell>
          <cell r="CN74">
            <v>73</v>
          </cell>
          <cell r="CO74">
            <v>74.505337528678595</v>
          </cell>
          <cell r="CP74">
            <v>74</v>
          </cell>
          <cell r="CQ74">
            <v>74</v>
          </cell>
          <cell r="CR74">
            <v>74</v>
          </cell>
          <cell r="CS74">
            <v>74</v>
          </cell>
          <cell r="CT74">
            <v>75.307770014189316</v>
          </cell>
          <cell r="CU74">
            <v>75</v>
          </cell>
          <cell r="CV74">
            <v>75</v>
          </cell>
          <cell r="CW74">
            <v>75</v>
          </cell>
          <cell r="CX74">
            <v>75</v>
          </cell>
          <cell r="CY74">
            <v>76.280380180704697</v>
          </cell>
          <cell r="CZ74">
            <v>76</v>
          </cell>
          <cell r="DA74">
            <v>76</v>
          </cell>
          <cell r="DB74">
            <v>76</v>
          </cell>
          <cell r="DC74">
            <v>76</v>
          </cell>
          <cell r="DD74">
            <v>77.307321863368998</v>
          </cell>
          <cell r="DE74">
            <v>76</v>
          </cell>
          <cell r="DF74">
            <v>76</v>
          </cell>
          <cell r="DG74">
            <v>76</v>
          </cell>
          <cell r="DH74">
            <v>76</v>
          </cell>
          <cell r="DI74">
            <v>77.403696591691258</v>
          </cell>
        </row>
        <row r="75">
          <cell r="B75" t="str">
            <v>Accounts Receivables DSOs</v>
          </cell>
          <cell r="W75">
            <v>82.607447085347403</v>
          </cell>
          <cell r="X75">
            <v>74.235478359908882</v>
          </cell>
          <cell r="Y75">
            <v>73.021912371645996</v>
          </cell>
          <cell r="Z75">
            <v>65.727717078195582</v>
          </cell>
          <cell r="AA75">
            <v>65.727717078195582</v>
          </cell>
          <cell r="AB75">
            <v>69.2874444608034</v>
          </cell>
          <cell r="AC75">
            <v>69.197426320980497</v>
          </cell>
          <cell r="AD75">
            <v>69.148758768287664</v>
          </cell>
          <cell r="AE75">
            <v>64.742827530974708</v>
          </cell>
          <cell r="AF75">
            <v>64.742827530974708</v>
          </cell>
          <cell r="AG75">
            <v>68.441876607063449</v>
          </cell>
          <cell r="AH75">
            <v>69.721406340877877</v>
          </cell>
          <cell r="AI75">
            <v>68.519298375743872</v>
          </cell>
          <cell r="AJ75">
            <v>68.946623719884784</v>
          </cell>
          <cell r="AK75">
            <v>68.946623719884784</v>
          </cell>
          <cell r="AL75">
            <v>75.420063101990209</v>
          </cell>
          <cell r="AM75">
            <v>72.505515603058853</v>
          </cell>
          <cell r="AN75">
            <v>71.173338912400084</v>
          </cell>
          <cell r="AO75">
            <v>67.787641401155781</v>
          </cell>
          <cell r="AP75">
            <v>67.787641401155781</v>
          </cell>
          <cell r="AQ75">
            <v>69.864908092013792</v>
          </cell>
          <cell r="AR75">
            <v>72.02490386376121</v>
          </cell>
          <cell r="AS75">
            <v>65.827487733659865</v>
          </cell>
          <cell r="AT75">
            <v>64.437141670862815</v>
          </cell>
          <cell r="AU75">
            <v>64.437141670862815</v>
          </cell>
          <cell r="AW75">
            <v>72.505515603058853</v>
          </cell>
          <cell r="AX75">
            <v>70.399715663352254</v>
          </cell>
          <cell r="AY75">
            <v>67.787641401155781</v>
          </cell>
          <cell r="AZ75">
            <v>71.417461605169663</v>
          </cell>
          <cell r="BA75">
            <v>71.417461605169663</v>
          </cell>
          <cell r="BB75">
            <v>71.233421403719888</v>
          </cell>
          <cell r="BC75">
            <v>65.111971562641813</v>
          </cell>
          <cell r="BD75">
            <v>64.437141670862815</v>
          </cell>
          <cell r="BE75">
            <v>69.377012139843643</v>
          </cell>
          <cell r="BF75">
            <v>69.377012139843643</v>
          </cell>
          <cell r="BG75">
            <v>66.761460693742364</v>
          </cell>
          <cell r="BH75">
            <v>69.114361363827612</v>
          </cell>
          <cell r="BI75">
            <v>75.433519999275731</v>
          </cell>
          <cell r="BJ75">
            <v>50.844858097922263</v>
          </cell>
          <cell r="BK75">
            <v>50.844858097922263</v>
          </cell>
          <cell r="BL75">
            <v>52.638131125205838</v>
          </cell>
          <cell r="BM75">
            <v>53.154181234596201</v>
          </cell>
          <cell r="BN75">
            <v>55.842648354636431</v>
          </cell>
          <cell r="BO75">
            <v>49.587341896854625</v>
          </cell>
          <cell r="BP75">
            <v>49.587341896854625</v>
          </cell>
          <cell r="BQ75">
            <v>51.935765401207043</v>
          </cell>
          <cell r="BR75">
            <v>51.384378344683199</v>
          </cell>
          <cell r="BS75">
            <v>54.352002099982073</v>
          </cell>
          <cell r="BT75">
            <v>50.055087756537439</v>
          </cell>
          <cell r="BU75">
            <v>50.055087756537439</v>
          </cell>
          <cell r="BV75">
            <v>51.124161737609462</v>
          </cell>
          <cell r="BW75">
            <v>49.124514800688566</v>
          </cell>
          <cell r="BX75">
            <v>50.689904563941802</v>
          </cell>
          <cell r="BY75">
            <v>50.358060345187155</v>
          </cell>
          <cell r="BZ75">
            <v>50.358060345187155</v>
          </cell>
          <cell r="CA75">
            <v>51.935465545645627</v>
          </cell>
          <cell r="CB75">
            <v>47.803575449976641</v>
          </cell>
          <cell r="CC75">
            <v>48.990440393528075</v>
          </cell>
          <cell r="CD75">
            <v>51.654589037904408</v>
          </cell>
          <cell r="CE75">
            <v>51.654589037904408</v>
          </cell>
          <cell r="CF75">
            <v>50.783634117606844</v>
          </cell>
          <cell r="CG75">
            <v>49.680343253642619</v>
          </cell>
          <cell r="CH75">
            <v>52.505697578422051</v>
          </cell>
          <cell r="CI75">
            <v>52.484485791533395</v>
          </cell>
          <cell r="CJ75">
            <v>52.484485791533395</v>
          </cell>
          <cell r="CK75">
            <v>53.672376458478354</v>
          </cell>
          <cell r="CL75">
            <v>49.857345300232851</v>
          </cell>
          <cell r="CM75">
            <v>53.740095313807885</v>
          </cell>
          <cell r="CN75">
            <v>52</v>
          </cell>
          <cell r="CO75">
            <v>52</v>
          </cell>
          <cell r="CP75">
            <v>52.672376458478354</v>
          </cell>
          <cell r="CQ75">
            <v>48.857345300232851</v>
          </cell>
          <cell r="CR75">
            <v>52.740095313807885</v>
          </cell>
          <cell r="CS75">
            <v>51</v>
          </cell>
          <cell r="CT75">
            <v>51</v>
          </cell>
          <cell r="CU75">
            <v>51.672376458478354</v>
          </cell>
          <cell r="CV75">
            <v>47.857345300232851</v>
          </cell>
          <cell r="CW75">
            <v>51.740095313807885</v>
          </cell>
          <cell r="CX75">
            <v>50</v>
          </cell>
          <cell r="CY75">
            <v>50</v>
          </cell>
          <cell r="CZ75">
            <v>50.672376458478354</v>
          </cell>
          <cell r="DA75">
            <v>46.857345300232851</v>
          </cell>
          <cell r="DB75">
            <v>50.740095313807885</v>
          </cell>
          <cell r="DC75">
            <v>49</v>
          </cell>
          <cell r="DD75">
            <v>49</v>
          </cell>
          <cell r="DE75">
            <v>49.672376458478354</v>
          </cell>
          <cell r="DF75">
            <v>45.857345300232851</v>
          </cell>
          <cell r="DG75">
            <v>49.740095313807885</v>
          </cell>
          <cell r="DH75">
            <v>48</v>
          </cell>
          <cell r="DI75">
            <v>48</v>
          </cell>
        </row>
        <row r="76">
          <cell r="B76" t="str">
            <v>Prepaid expenses and other assets (% of supplies &amp; rent)</v>
          </cell>
          <cell r="BK76">
            <v>7.735497733866907E-2</v>
          </cell>
          <cell r="BP76">
            <v>6.1815361747503794E-2</v>
          </cell>
          <cell r="BU76">
            <v>6.620876344593711E-2</v>
          </cell>
          <cell r="BZ76">
            <v>6.0920132973580246E-2</v>
          </cell>
          <cell r="CE76">
            <v>6.6521057678902595E-2</v>
          </cell>
          <cell r="CJ76">
            <v>7.6004812548656292E-2</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row>
        <row r="77">
          <cell r="B77" t="str">
            <v>Accrued payroll and related taxes (% of SW&amp;B)</v>
          </cell>
          <cell r="D77">
            <v>4.7597716743031204E-2</v>
          </cell>
          <cell r="E77">
            <v>5.7198190961409386E-2</v>
          </cell>
          <cell r="F77">
            <v>5.0635959826605056E-2</v>
          </cell>
          <cell r="G77">
            <v>6.0963730233464297E-2</v>
          </cell>
          <cell r="H77">
            <v>4.8959616517594132E-2</v>
          </cell>
          <cell r="I77">
            <v>4.2338271591181337E-2</v>
          </cell>
          <cell r="J77">
            <v>4.8931698915362802E-2</v>
          </cell>
          <cell r="K77">
            <v>5.4232906312702577E-2</v>
          </cell>
          <cell r="L77">
            <v>5.2141953035438525E-2</v>
          </cell>
          <cell r="M77">
            <v>0.22</v>
          </cell>
          <cell r="N77">
            <v>0.22</v>
          </cell>
          <cell r="O77">
            <v>0.22</v>
          </cell>
          <cell r="P77">
            <v>0.22056186939724692</v>
          </cell>
          <cell r="Q77">
            <v>6.0497568945047667E-2</v>
          </cell>
          <cell r="R77">
            <v>0.17399999999999999</v>
          </cell>
          <cell r="S77">
            <v>0.17399999999999999</v>
          </cell>
          <cell r="T77">
            <v>0.17399999999999999</v>
          </cell>
          <cell r="U77">
            <v>0.17446393762183238</v>
          </cell>
          <cell r="V77">
            <v>4.7493287788695375E-2</v>
          </cell>
          <cell r="W77">
            <v>0.17</v>
          </cell>
          <cell r="X77">
            <v>0.17</v>
          </cell>
          <cell r="Y77">
            <v>0.17</v>
          </cell>
          <cell r="Z77">
            <v>0.17028195518783684</v>
          </cell>
          <cell r="AA77">
            <v>4.4954857959143467E-2</v>
          </cell>
          <cell r="AB77">
            <v>0.17</v>
          </cell>
          <cell r="AC77">
            <v>0.17</v>
          </cell>
          <cell r="AD77">
            <v>0.17</v>
          </cell>
          <cell r="AE77">
            <v>0.16883222626955216</v>
          </cell>
          <cell r="AF77">
            <v>0.16883222626955216</v>
          </cell>
          <cell r="AG77">
            <v>0.18</v>
          </cell>
          <cell r="AH77">
            <v>0.18</v>
          </cell>
          <cell r="AI77">
            <v>0.19</v>
          </cell>
          <cell r="AJ77">
            <v>0.19032613339290824</v>
          </cell>
          <cell r="AK77">
            <v>0.19032613339290824</v>
          </cell>
          <cell r="AL77">
            <v>0.17</v>
          </cell>
          <cell r="AM77">
            <v>0.17</v>
          </cell>
          <cell r="AN77">
            <v>0.17</v>
          </cell>
          <cell r="AO77">
            <v>0.19661831314470923</v>
          </cell>
          <cell r="AP77">
            <v>0.19661831314470923</v>
          </cell>
          <cell r="AQ77">
            <v>0.19</v>
          </cell>
          <cell r="AR77">
            <v>0.19</v>
          </cell>
          <cell r="AS77">
            <v>0.19</v>
          </cell>
          <cell r="AT77">
            <v>0.20722211434057114</v>
          </cell>
          <cell r="AU77">
            <v>0.20722211434057114</v>
          </cell>
          <cell r="BK77">
            <v>5.1028737803873694E-2</v>
          </cell>
          <cell r="BP77">
            <v>4.5212341554266303E-2</v>
          </cell>
          <cell r="BU77">
            <v>3.7976587549459651E-2</v>
          </cell>
          <cell r="BZ77">
            <v>4.3895637338932585E-2</v>
          </cell>
          <cell r="CE77">
            <v>4.0794774648128786E-2</v>
          </cell>
          <cell r="CJ77">
            <v>3.4826060570041902E-2</v>
          </cell>
          <cell r="CK77">
            <v>0</v>
          </cell>
          <cell r="CL77">
            <v>0</v>
          </cell>
          <cell r="CM77">
            <v>0</v>
          </cell>
          <cell r="CN77">
            <v>0.04</v>
          </cell>
          <cell r="CO77">
            <v>0.04</v>
          </cell>
          <cell r="CP77">
            <v>0.05</v>
          </cell>
          <cell r="CQ77">
            <v>0.05</v>
          </cell>
          <cell r="CR77">
            <v>0.05</v>
          </cell>
          <cell r="CS77">
            <v>0.05</v>
          </cell>
          <cell r="CT77">
            <v>0.05</v>
          </cell>
          <cell r="CU77">
            <v>0.05</v>
          </cell>
          <cell r="CV77">
            <v>0.05</v>
          </cell>
          <cell r="CW77">
            <v>0.05</v>
          </cell>
          <cell r="CX77">
            <v>0.05</v>
          </cell>
          <cell r="CY77">
            <v>0.05</v>
          </cell>
          <cell r="CZ77">
            <v>0.05</v>
          </cell>
          <cell r="DA77">
            <v>0.05</v>
          </cell>
          <cell r="DB77">
            <v>0.05</v>
          </cell>
          <cell r="DC77">
            <v>0.05</v>
          </cell>
          <cell r="DD77">
            <v>0.05</v>
          </cell>
          <cell r="DE77">
            <v>0.05</v>
          </cell>
          <cell r="DF77">
            <v>0.05</v>
          </cell>
          <cell r="DG77">
            <v>0.05</v>
          </cell>
          <cell r="DH77">
            <v>0.05</v>
          </cell>
          <cell r="DI77">
            <v>0.05</v>
          </cell>
        </row>
        <row r="78">
          <cell r="B78" t="str">
            <v>Accrued expenses and other (% of supplies &amp; rent)</v>
          </cell>
          <cell r="D78">
            <v>7.8010770871816223E-2</v>
          </cell>
          <cell r="E78">
            <v>9.0613456613864538E-2</v>
          </cell>
          <cell r="F78">
            <v>7.1892384691238584E-2</v>
          </cell>
          <cell r="G78">
            <v>7.3993215329325221E-2</v>
          </cell>
          <cell r="H78">
            <v>5.7905560983608793E-2</v>
          </cell>
          <cell r="I78">
            <v>7.7310241876905314E-2</v>
          </cell>
          <cell r="J78">
            <v>6.7313729368963363E-2</v>
          </cell>
          <cell r="K78">
            <v>6.6000262963039846E-2</v>
          </cell>
          <cell r="L78">
            <v>5.6032363327522247E-2</v>
          </cell>
          <cell r="M78">
            <v>0.2</v>
          </cell>
          <cell r="N78">
            <v>0.2</v>
          </cell>
          <cell r="O78">
            <v>0.2</v>
          </cell>
          <cell r="P78">
            <v>0.25568745952946254</v>
          </cell>
          <cell r="Q78">
            <v>6.9949808089754942E-2</v>
          </cell>
          <cell r="R78">
            <v>0.24</v>
          </cell>
          <cell r="S78">
            <v>0.24</v>
          </cell>
          <cell r="T78">
            <v>0.24</v>
          </cell>
          <cell r="U78">
            <v>0.25491882010286915</v>
          </cell>
          <cell r="V78">
            <v>6.6224086095940299E-2</v>
          </cell>
          <cell r="W78">
            <v>0.27500000000000002</v>
          </cell>
          <cell r="X78">
            <v>0.27500000000000002</v>
          </cell>
          <cell r="Y78">
            <v>0.27500000000000002</v>
          </cell>
          <cell r="Z78">
            <v>0.27593672822135851</v>
          </cell>
          <cell r="AA78">
            <v>7.2255086896819545E-2</v>
          </cell>
          <cell r="AB78">
            <v>0.33</v>
          </cell>
          <cell r="AC78">
            <v>0.33</v>
          </cell>
          <cell r="AD78">
            <v>0.33</v>
          </cell>
          <cell r="AE78">
            <v>0.33042462479274776</v>
          </cell>
          <cell r="AF78">
            <v>0.33042462479274776</v>
          </cell>
          <cell r="AG78">
            <v>0.31</v>
          </cell>
          <cell r="AH78">
            <v>0.31</v>
          </cell>
          <cell r="AI78">
            <v>0.31</v>
          </cell>
          <cell r="AJ78">
            <v>0.30715306542644677</v>
          </cell>
          <cell r="AK78">
            <v>0.30715306542644677</v>
          </cell>
          <cell r="AL78">
            <v>0.24</v>
          </cell>
          <cell r="AM78">
            <v>0.24</v>
          </cell>
          <cell r="AN78">
            <v>0.24</v>
          </cell>
          <cell r="AO78">
            <v>0.34954711390123566</v>
          </cell>
          <cell r="AP78">
            <v>0.34954711390123566</v>
          </cell>
          <cell r="AQ78">
            <v>0.56679001623683123</v>
          </cell>
          <cell r="AR78">
            <v>0.5208040498046238</v>
          </cell>
          <cell r="AS78">
            <v>0.49436705105802176</v>
          </cell>
          <cell r="AT78">
            <v>0.50300930879520656</v>
          </cell>
          <cell r="AU78">
            <v>0.50300930879520656</v>
          </cell>
          <cell r="AW78">
            <v>45.296151317298424</v>
          </cell>
          <cell r="AX78">
            <v>48.788077941688485</v>
          </cell>
          <cell r="AY78">
            <v>32.15833447891368</v>
          </cell>
          <cell r="AZ78">
            <v>52.144681493788475</v>
          </cell>
          <cell r="BA78">
            <v>44.596811307922266</v>
          </cell>
          <cell r="BB78">
            <v>46.872364482416145</v>
          </cell>
          <cell r="BC78">
            <v>44.987401646279977</v>
          </cell>
          <cell r="BD78">
            <v>46.276856409159002</v>
          </cell>
          <cell r="BE78">
            <v>62.93912620572263</v>
          </cell>
          <cell r="BF78">
            <v>50.268937185894437</v>
          </cell>
          <cell r="BG78">
            <v>63.553101222845811</v>
          </cell>
          <cell r="BH78">
            <v>68.045407518105534</v>
          </cell>
          <cell r="BI78">
            <v>87.983143735704445</v>
          </cell>
          <cell r="BJ78">
            <v>46.850513629278709</v>
          </cell>
          <cell r="BK78">
            <v>66.608041526483618</v>
          </cell>
          <cell r="BL78">
            <v>69.245073683702756</v>
          </cell>
          <cell r="BM78">
            <v>68.131327041915142</v>
          </cell>
          <cell r="BN78">
            <v>65.562545430889884</v>
          </cell>
          <cell r="BO78">
            <v>37.068757322809049</v>
          </cell>
          <cell r="BP78">
            <v>60.001925869829208</v>
          </cell>
          <cell r="BQ78">
            <v>61.005684414761845</v>
          </cell>
          <cell r="BR78">
            <v>62.681229413456478</v>
          </cell>
          <cell r="BS78">
            <v>67.131164857480542</v>
          </cell>
          <cell r="BT78">
            <v>42.343689502866269</v>
          </cell>
          <cell r="BU78">
            <v>58.290442047141283</v>
          </cell>
          <cell r="BV78">
            <v>62.927170727031495</v>
          </cell>
          <cell r="BW78">
            <v>69.411428789458952</v>
          </cell>
          <cell r="BX78">
            <v>73.751558486781988</v>
          </cell>
          <cell r="BY78">
            <v>48.799652217115884</v>
          </cell>
          <cell r="BZ78">
            <v>63.722452555097078</v>
          </cell>
          <cell r="CA78">
            <v>68.239916608426796</v>
          </cell>
          <cell r="CB78">
            <v>64.257866548695873</v>
          </cell>
          <cell r="CC78">
            <v>73.933878934934484</v>
          </cell>
          <cell r="CD78">
            <v>45.263276988583826</v>
          </cell>
          <cell r="CE78">
            <v>62.923734770160252</v>
          </cell>
          <cell r="CF78">
            <v>64.078085626409163</v>
          </cell>
          <cell r="CG78">
            <v>64.854660766961644</v>
          </cell>
          <cell r="CH78">
            <v>80.005778464708925</v>
          </cell>
          <cell r="CI78">
            <v>59.970517325490142</v>
          </cell>
          <cell r="CJ78">
            <v>67.227260545892463</v>
          </cell>
          <cell r="CK78">
            <v>76.586166887668114</v>
          </cell>
          <cell r="CL78">
            <v>84.547951070131049</v>
          </cell>
          <cell r="CM78">
            <v>95.524478697539607</v>
          </cell>
          <cell r="CN78">
            <v>90</v>
          </cell>
          <cell r="CO78">
            <v>86.664649163834696</v>
          </cell>
          <cell r="CP78">
            <v>78.586166887668114</v>
          </cell>
          <cell r="CQ78">
            <v>86.547951070131049</v>
          </cell>
          <cell r="CR78">
            <v>97.524478697539607</v>
          </cell>
          <cell r="CS78">
            <v>92</v>
          </cell>
          <cell r="CT78">
            <v>88.664649163834696</v>
          </cell>
          <cell r="CU78">
            <v>80.586166887668114</v>
          </cell>
          <cell r="CV78">
            <v>88.547951070131049</v>
          </cell>
          <cell r="CW78">
            <v>99.524478697539607</v>
          </cell>
          <cell r="CX78">
            <v>94</v>
          </cell>
          <cell r="CY78">
            <v>90.664649163834696</v>
          </cell>
          <cell r="CZ78">
            <v>82.586166887668114</v>
          </cell>
          <cell r="DA78">
            <v>90.547951070131049</v>
          </cell>
          <cell r="DB78">
            <v>101.52447869753961</v>
          </cell>
          <cell r="DC78">
            <v>96</v>
          </cell>
          <cell r="DD78">
            <v>92.664649163834696</v>
          </cell>
          <cell r="DE78">
            <v>84.586166887668114</v>
          </cell>
          <cell r="DF78">
            <v>92.547951070131049</v>
          </cell>
          <cell r="DG78">
            <v>103.52447869753961</v>
          </cell>
          <cell r="DH78">
            <v>98</v>
          </cell>
          <cell r="DI78">
            <v>94.664649163834696</v>
          </cell>
        </row>
        <row r="80">
          <cell r="B80" t="str">
            <v>Fiscal Year ends December 31</v>
          </cell>
          <cell r="M80">
            <v>36160</v>
          </cell>
          <cell r="N80">
            <v>36250</v>
          </cell>
          <cell r="O80">
            <v>36341</v>
          </cell>
          <cell r="P80">
            <v>36433</v>
          </cell>
          <cell r="R80">
            <v>36525</v>
          </cell>
          <cell r="S80">
            <v>36616</v>
          </cell>
          <cell r="T80">
            <v>36707</v>
          </cell>
          <cell r="U80">
            <v>36799</v>
          </cell>
          <cell r="W80">
            <v>36891</v>
          </cell>
          <cell r="X80">
            <v>36981</v>
          </cell>
          <cell r="Y80">
            <v>37072</v>
          </cell>
          <cell r="Z80">
            <v>37164</v>
          </cell>
          <cell r="AB80">
            <v>37256</v>
          </cell>
          <cell r="AC80">
            <v>37346</v>
          </cell>
          <cell r="AD80">
            <v>37437</v>
          </cell>
          <cell r="AE80">
            <v>37529</v>
          </cell>
          <cell r="AG80">
            <v>37621</v>
          </cell>
          <cell r="AH80">
            <v>37711</v>
          </cell>
          <cell r="AI80">
            <v>37802</v>
          </cell>
          <cell r="AJ80">
            <v>37894</v>
          </cell>
          <cell r="AL80">
            <v>37986</v>
          </cell>
          <cell r="AM80">
            <v>38077</v>
          </cell>
          <cell r="AN80">
            <v>38168</v>
          </cell>
          <cell r="AO80">
            <v>38260</v>
          </cell>
          <cell r="AQ80">
            <v>38352</v>
          </cell>
          <cell r="AR80">
            <v>38442</v>
          </cell>
          <cell r="AS80">
            <v>38533</v>
          </cell>
          <cell r="AT80">
            <v>38625</v>
          </cell>
          <cell r="AW80">
            <v>38077</v>
          </cell>
          <cell r="AX80">
            <v>38168</v>
          </cell>
          <cell r="AY80">
            <v>38260</v>
          </cell>
          <cell r="AZ80">
            <v>38352</v>
          </cell>
          <cell r="BB80">
            <v>38442</v>
          </cell>
          <cell r="BC80">
            <v>38533</v>
          </cell>
          <cell r="BD80">
            <v>38625</v>
          </cell>
          <cell r="BE80">
            <v>38717</v>
          </cell>
          <cell r="BG80">
            <v>38807</v>
          </cell>
          <cell r="BH80">
            <v>38898</v>
          </cell>
          <cell r="BI80">
            <v>38990</v>
          </cell>
          <cell r="BJ80">
            <v>39082</v>
          </cell>
          <cell r="BL80">
            <v>39172</v>
          </cell>
          <cell r="BM80">
            <v>39263</v>
          </cell>
          <cell r="BN80">
            <v>39355</v>
          </cell>
          <cell r="BO80">
            <v>39447</v>
          </cell>
          <cell r="BQ80">
            <v>39538</v>
          </cell>
          <cell r="BR80">
            <v>39629</v>
          </cell>
          <cell r="BS80">
            <v>39721</v>
          </cell>
          <cell r="BT80">
            <v>39813</v>
          </cell>
          <cell r="BV80">
            <v>39903</v>
          </cell>
          <cell r="BW80">
            <v>39994</v>
          </cell>
          <cell r="BX80">
            <v>40086</v>
          </cell>
          <cell r="BY80">
            <v>40178</v>
          </cell>
          <cell r="CA80">
            <v>40268</v>
          </cell>
          <cell r="CB80">
            <v>40359</v>
          </cell>
          <cell r="CC80">
            <v>40451</v>
          </cell>
          <cell r="CD80">
            <v>40543</v>
          </cell>
          <cell r="CF80">
            <v>40633</v>
          </cell>
          <cell r="CG80">
            <v>40724</v>
          </cell>
          <cell r="CH80">
            <v>40816</v>
          </cell>
          <cell r="CI80">
            <v>40908</v>
          </cell>
          <cell r="CK80">
            <v>40999</v>
          </cell>
          <cell r="CL80">
            <v>41364</v>
          </cell>
          <cell r="CM80">
            <v>41182</v>
          </cell>
          <cell r="CN80">
            <v>41274</v>
          </cell>
          <cell r="CP80">
            <v>41364</v>
          </cell>
          <cell r="CQ80">
            <v>41455</v>
          </cell>
          <cell r="CR80">
            <v>41547</v>
          </cell>
          <cell r="CS80">
            <v>41639</v>
          </cell>
          <cell r="CU80">
            <v>41729</v>
          </cell>
          <cell r="CV80">
            <v>41820</v>
          </cell>
          <cell r="CW80">
            <v>41912</v>
          </cell>
          <cell r="CX80">
            <v>42004</v>
          </cell>
          <cell r="CZ80">
            <v>42094</v>
          </cell>
          <cell r="DA80">
            <v>42185</v>
          </cell>
          <cell r="DB80">
            <v>42277</v>
          </cell>
          <cell r="DC80">
            <v>42369</v>
          </cell>
          <cell r="DE80">
            <v>42460</v>
          </cell>
          <cell r="DF80">
            <v>42551</v>
          </cell>
          <cell r="DG80">
            <v>42643</v>
          </cell>
          <cell r="DH80">
            <v>42735</v>
          </cell>
        </row>
        <row r="81">
          <cell r="B81" t="str">
            <v>($ Million, except per share data)</v>
          </cell>
          <cell r="D81" t="str">
            <v>1990A</v>
          </cell>
          <cell r="E81" t="str">
            <v>F1991A</v>
          </cell>
          <cell r="F81" t="str">
            <v>F1992A</v>
          </cell>
          <cell r="G81" t="str">
            <v>F1993A</v>
          </cell>
          <cell r="H81" t="str">
            <v>F1994A</v>
          </cell>
          <cell r="I81" t="str">
            <v>F1995A</v>
          </cell>
          <cell r="J81" t="str">
            <v>F1996A</v>
          </cell>
          <cell r="K81" t="str">
            <v>F1997A</v>
          </cell>
          <cell r="L81" t="str">
            <v>F1998A</v>
          </cell>
          <cell r="M81" t="str">
            <v>F1Q99A</v>
          </cell>
          <cell r="N81" t="str">
            <v>F2Q99A</v>
          </cell>
          <cell r="O81" t="str">
            <v>F3Q99A</v>
          </cell>
          <cell r="P81" t="str">
            <v>F4Q99A</v>
          </cell>
          <cell r="Q81" t="str">
            <v>F1999A</v>
          </cell>
          <cell r="R81" t="str">
            <v>F1Q00A</v>
          </cell>
          <cell r="S81" t="str">
            <v>F2Q00A</v>
          </cell>
          <cell r="T81" t="str">
            <v>F3Q00A</v>
          </cell>
          <cell r="U81" t="str">
            <v>F4Q00A</v>
          </cell>
          <cell r="V81" t="str">
            <v>F2000A</v>
          </cell>
          <cell r="W81" t="str">
            <v>F1Q01A</v>
          </cell>
          <cell r="X81" t="str">
            <v>F2Q01A</v>
          </cell>
          <cell r="Y81" t="str">
            <v>F3Q01A</v>
          </cell>
          <cell r="Z81" t="str">
            <v>F4Q01A</v>
          </cell>
          <cell r="AA81" t="str">
            <v>F2001A</v>
          </cell>
          <cell r="AB81" t="str">
            <v>F1Q02A</v>
          </cell>
          <cell r="AC81" t="str">
            <v>F2Q02A</v>
          </cell>
          <cell r="AD81" t="str">
            <v>F3Q02A</v>
          </cell>
          <cell r="AE81" t="str">
            <v>F4Q02A</v>
          </cell>
          <cell r="AF81" t="str">
            <v>F2002A</v>
          </cell>
          <cell r="AG81" t="str">
            <v>F1Q03A</v>
          </cell>
          <cell r="AH81" t="str">
            <v>F2Q03A</v>
          </cell>
          <cell r="AI81" t="str">
            <v>F3Q03A</v>
          </cell>
          <cell r="AJ81" t="str">
            <v>F4Q03A</v>
          </cell>
          <cell r="AK81" t="str">
            <v>F2003A</v>
          </cell>
          <cell r="AL81" t="str">
            <v>F1Q04A</v>
          </cell>
          <cell r="AM81" t="str">
            <v>F2Q04A</v>
          </cell>
          <cell r="AN81" t="str">
            <v>F3Q04A</v>
          </cell>
          <cell r="AO81" t="str">
            <v>F4Q04A</v>
          </cell>
          <cell r="AP81" t="str">
            <v>F2004A</v>
          </cell>
          <cell r="AQ81" t="str">
            <v>F1Q05A</v>
          </cell>
          <cell r="AR81" t="str">
            <v>F2Q05A</v>
          </cell>
          <cell r="AS81" t="str">
            <v>F3Q05A</v>
          </cell>
          <cell r="AT81" t="str">
            <v>F4Q05A</v>
          </cell>
          <cell r="AU81" t="str">
            <v>F2005A</v>
          </cell>
          <cell r="AW81" t="str">
            <v>1Q04A</v>
          </cell>
          <cell r="AX81" t="str">
            <v>2Q04A</v>
          </cell>
          <cell r="AY81" t="str">
            <v>3Q04A</v>
          </cell>
          <cell r="AZ81" t="str">
            <v>4Q04A</v>
          </cell>
          <cell r="BA81" t="str">
            <v>2004A</v>
          </cell>
          <cell r="BB81" t="str">
            <v>1Q05A</v>
          </cell>
          <cell r="BC81" t="str">
            <v>2Q05A</v>
          </cell>
          <cell r="BD81" t="str">
            <v>3Q05A</v>
          </cell>
          <cell r="BE81" t="str">
            <v>4Q05A</v>
          </cell>
          <cell r="BF81" t="str">
            <v>2005A</v>
          </cell>
          <cell r="BG81" t="str">
            <v>1Q06A</v>
          </cell>
          <cell r="BH81" t="str">
            <v>2Q06A</v>
          </cell>
          <cell r="BI81" t="str">
            <v>3Q06A</v>
          </cell>
          <cell r="BJ81" t="str">
            <v>4Q06A</v>
          </cell>
          <cell r="BK81" t="str">
            <v>2006A</v>
          </cell>
          <cell r="BL81" t="str">
            <v>1Q07A</v>
          </cell>
          <cell r="BM81" t="str">
            <v>2Q07A</v>
          </cell>
          <cell r="BN81" t="str">
            <v>3Q07A</v>
          </cell>
          <cell r="BO81" t="str">
            <v>4Q07A</v>
          </cell>
          <cell r="BP81" t="str">
            <v>2007A</v>
          </cell>
          <cell r="BQ81" t="str">
            <v>1Q08A</v>
          </cell>
          <cell r="BR81" t="str">
            <v>2Q08A</v>
          </cell>
          <cell r="BS81" t="str">
            <v>3Q08A</v>
          </cell>
          <cell r="BT81" t="str">
            <v>4Q08A</v>
          </cell>
          <cell r="BU81" t="str">
            <v>2008A</v>
          </cell>
          <cell r="BV81" t="str">
            <v>1Q09A</v>
          </cell>
          <cell r="BW81" t="str">
            <v>2Q09A</v>
          </cell>
          <cell r="BX81" t="str">
            <v>3Q09A</v>
          </cell>
          <cell r="BY81" t="str">
            <v>4Q09A</v>
          </cell>
          <cell r="BZ81" t="str">
            <v>2009A</v>
          </cell>
          <cell r="CA81" t="str">
            <v>1Q10A</v>
          </cell>
          <cell r="CB81" t="str">
            <v>2Q10A</v>
          </cell>
          <cell r="CC81" t="str">
            <v>3Q10A</v>
          </cell>
          <cell r="CD81" t="str">
            <v>4Q10A</v>
          </cell>
          <cell r="CE81" t="str">
            <v>2010A</v>
          </cell>
          <cell r="CF81" t="str">
            <v>1Q11A</v>
          </cell>
          <cell r="CG81" t="str">
            <v>2Q11A</v>
          </cell>
          <cell r="CH81" t="str">
            <v>3Q11A</v>
          </cell>
          <cell r="CI81" t="str">
            <v>4Q11A</v>
          </cell>
          <cell r="CJ81" t="str">
            <v>2011A</v>
          </cell>
          <cell r="CK81" t="str">
            <v>1Q12A</v>
          </cell>
          <cell r="CL81" t="str">
            <v>2Q12A</v>
          </cell>
          <cell r="CM81" t="str">
            <v>3Q12A</v>
          </cell>
          <cell r="CN81" t="str">
            <v>4Q12E</v>
          </cell>
          <cell r="CO81" t="str">
            <v>2012E</v>
          </cell>
          <cell r="CP81" t="str">
            <v>1Q13E</v>
          </cell>
          <cell r="CQ81" t="str">
            <v>2Q13E</v>
          </cell>
          <cell r="CR81" t="str">
            <v>3Q13E</v>
          </cell>
          <cell r="CS81" t="str">
            <v>4Q13E</v>
          </cell>
          <cell r="CT81" t="str">
            <v>2013E</v>
          </cell>
          <cell r="CU81" t="str">
            <v>1Q14E</v>
          </cell>
          <cell r="CV81" t="str">
            <v>2Q14E</v>
          </cell>
          <cell r="CW81" t="str">
            <v>3Q14E</v>
          </cell>
          <cell r="CX81" t="str">
            <v>4Q14E</v>
          </cell>
          <cell r="CY81" t="str">
            <v>2014E</v>
          </cell>
          <cell r="CZ81" t="str">
            <v>1Q15E</v>
          </cell>
          <cell r="DA81" t="str">
            <v>2Q15E</v>
          </cell>
          <cell r="DB81" t="str">
            <v>3Q15E</v>
          </cell>
          <cell r="DC81" t="str">
            <v>4Q15E</v>
          </cell>
          <cell r="DD81" t="str">
            <v>2015E</v>
          </cell>
          <cell r="DE81" t="str">
            <v>1Q16E</v>
          </cell>
          <cell r="DF81" t="str">
            <v>2Q16E</v>
          </cell>
          <cell r="DG81" t="str">
            <v>3Q16E</v>
          </cell>
          <cell r="DH81" t="str">
            <v>4Q16E</v>
          </cell>
          <cell r="DI81" t="str">
            <v>2016E</v>
          </cell>
        </row>
        <row r="83">
          <cell r="B83" t="str">
            <v>Accounts Receivable</v>
          </cell>
        </row>
        <row r="84">
          <cell r="B84" t="str">
            <v>Y/Y increase in sales</v>
          </cell>
          <cell r="D84">
            <v>0.38011859768017731</v>
          </cell>
          <cell r="E84">
            <v>0.15795611752985228</v>
          </cell>
          <cell r="F84">
            <v>0.23093452723172958</v>
          </cell>
          <cell r="G84">
            <v>0.14868011779397983</v>
          </cell>
          <cell r="H84">
            <v>0.26415143309484468</v>
          </cell>
          <cell r="I84">
            <v>0.21153100377310308</v>
          </cell>
          <cell r="J84">
            <v>0.34499165872708026</v>
          </cell>
          <cell r="K84">
            <v>0.25361989144875441</v>
          </cell>
          <cell r="L84">
            <v>0.27171958788674688</v>
          </cell>
          <cell r="M84" t="str">
            <v>NA</v>
          </cell>
          <cell r="N84" t="str">
            <v>NA</v>
          </cell>
          <cell r="O84" t="str">
            <v>NA</v>
          </cell>
          <cell r="P84" t="str">
            <v>NA</v>
          </cell>
          <cell r="Q84">
            <v>0.19046770202370555</v>
          </cell>
          <cell r="R84">
            <v>0.21145285044648698</v>
          </cell>
          <cell r="S84">
            <v>0.20281797096671639</v>
          </cell>
          <cell r="T84">
            <v>0.10958569876274193</v>
          </cell>
          <cell r="U84">
            <v>0.13947037626749337</v>
          </cell>
          <cell r="V84">
            <v>0.16379645454364389</v>
          </cell>
          <cell r="W84">
            <v>0.173315427972353</v>
          </cell>
          <cell r="X84">
            <v>0.17738434620890486</v>
          </cell>
          <cell r="Y84">
            <v>0.20993150071976663</v>
          </cell>
          <cell r="Z84">
            <v>0.20420230486934909</v>
          </cell>
          <cell r="AA84">
            <v>0.19143130766456662</v>
          </cell>
          <cell r="AB84">
            <v>0.14182117138797468</v>
          </cell>
          <cell r="AC84">
            <v>0.20535224381889816</v>
          </cell>
          <cell r="AD84">
            <v>0.25205461503836624</v>
          </cell>
          <cell r="AE84">
            <v>0.20996626745409874</v>
          </cell>
          <cell r="AF84">
            <v>0.20363857663656937</v>
          </cell>
          <cell r="AG84">
            <v>0.22911090897723163</v>
          </cell>
          <cell r="AH84">
            <v>0.11470683578527741</v>
          </cell>
          <cell r="AI84">
            <v>9.2241711056650244E-2</v>
          </cell>
          <cell r="AJ84">
            <v>0.10633694284233686</v>
          </cell>
          <cell r="AK84">
            <v>0.13169577844259783</v>
          </cell>
          <cell r="AL84">
            <v>0.24143323394905636</v>
          </cell>
          <cell r="AM84">
            <v>0.28993521761189966</v>
          </cell>
          <cell r="AN84">
            <v>0.26303028617257529</v>
          </cell>
          <cell r="AO84">
            <v>0.21370890476581517</v>
          </cell>
          <cell r="AP84">
            <v>0.2520171242720386</v>
          </cell>
          <cell r="AQ84">
            <v>8.6746070665240982E-2</v>
          </cell>
          <cell r="AR84">
            <v>0.10018023592558878</v>
          </cell>
          <cell r="AS84">
            <v>0.14305289958536282</v>
          </cell>
          <cell r="AT84">
            <v>0.13470762476130327</v>
          </cell>
          <cell r="AU84">
            <v>0.11653568359438982</v>
          </cell>
          <cell r="AW84">
            <v>0.28993521761189966</v>
          </cell>
          <cell r="AX84">
            <v>0.26303028617257529</v>
          </cell>
          <cell r="AY84">
            <v>0.21370890476581517</v>
          </cell>
          <cell r="AZ84">
            <v>8.6746070665240982E-2</v>
          </cell>
          <cell r="BA84">
            <v>0.10018023592558878</v>
          </cell>
          <cell r="BB84">
            <v>0.10018023592558878</v>
          </cell>
          <cell r="BC84">
            <v>0.14305289958536282</v>
          </cell>
          <cell r="BD84">
            <v>0.13470762476130327</v>
          </cell>
          <cell r="BE84">
            <v>0.13904724142250924</v>
          </cell>
          <cell r="BF84">
            <v>0.1290821708487786</v>
          </cell>
          <cell r="BG84">
            <v>0.12557877939676154</v>
          </cell>
          <cell r="BH84">
            <v>9.3915638406274926E-2</v>
          </cell>
          <cell r="BI84">
            <v>9.7747109073401672E-2</v>
          </cell>
          <cell r="BJ84">
            <v>0.12411065421039758</v>
          </cell>
          <cell r="BK84">
            <v>0.11037474345573539</v>
          </cell>
          <cell r="BL84">
            <v>0.10736641295295635</v>
          </cell>
          <cell r="BM84">
            <v>7.5493685947049416E-2</v>
          </cell>
          <cell r="BN84">
            <v>7.6528677381097365E-2</v>
          </cell>
          <cell r="BO84">
            <v>4.1363764601280772E-2</v>
          </cell>
          <cell r="BP84">
            <v>7.5009203927334012E-2</v>
          </cell>
          <cell r="BQ84">
            <v>7.9044505055823056E-3</v>
          </cell>
          <cell r="BR84">
            <v>5.5842592668406965E-3</v>
          </cell>
          <cell r="BS84">
            <v>1.0956008705004461E-2</v>
          </cell>
          <cell r="BT84">
            <v>1.4182533992290303E-2</v>
          </cell>
          <cell r="BU84">
            <v>9.6276820011789166E-3</v>
          </cell>
          <cell r="BV84">
            <v>3.0758165216576483E-2</v>
          </cell>
          <cell r="BW84">
            <v>4.5375957093962915E-2</v>
          </cell>
          <cell r="BX84">
            <v>3.6961348129333826E-2</v>
          </cell>
          <cell r="BY84">
            <v>7.8199286579015093E-2</v>
          </cell>
          <cell r="BZ84">
            <v>4.7744063890577948E-2</v>
          </cell>
          <cell r="CA84">
            <v>8.1644883979518967E-2</v>
          </cell>
          <cell r="CB84">
            <v>7.9911515223899166E-2</v>
          </cell>
          <cell r="CC84">
            <v>0.13259256816320142</v>
          </cell>
          <cell r="CD84">
            <v>0.1278719020329171</v>
          </cell>
          <cell r="CE84">
            <v>0.10535147998059258</v>
          </cell>
          <cell r="CF84">
            <v>0.11565743385895466</v>
          </cell>
          <cell r="CG84">
            <v>0.11826217134815487</v>
          </cell>
          <cell r="CH84">
            <v>0.10198251458495133</v>
          </cell>
          <cell r="CI84">
            <v>0.1713793554867058</v>
          </cell>
          <cell r="CJ84">
            <v>0.12753078057632949</v>
          </cell>
          <cell r="CK84">
            <v>0.17638795207447333</v>
          </cell>
          <cell r="CL84">
            <v>0.20868411075906956</v>
          </cell>
          <cell r="CM84">
            <v>0.18849786180122896</v>
          </cell>
          <cell r="CN84">
            <v>8.2702538235712719E-2</v>
          </cell>
          <cell r="CO84">
            <v>0.16153246024465906</v>
          </cell>
          <cell r="CP84">
            <v>5.1691259903809517E-2</v>
          </cell>
          <cell r="CQ84">
            <v>3.6619789502220224E-2</v>
          </cell>
          <cell r="CR84">
            <v>3.7744850068371916E-2</v>
          </cell>
          <cell r="CS84">
            <v>3.4818273051297588E-2</v>
          </cell>
          <cell r="CT84">
            <v>4.0204127220839547E-2</v>
          </cell>
          <cell r="CU84">
            <v>1.9756752552028356E-2</v>
          </cell>
          <cell r="CV84">
            <v>1.8714341238973198E-2</v>
          </cell>
          <cell r="CW84">
            <v>1.9778379242177069E-2</v>
          </cell>
          <cell r="CX84">
            <v>1.7821537451871095E-2</v>
          </cell>
          <cell r="CY84">
            <v>1.9013662459252956E-2</v>
          </cell>
          <cell r="CZ84">
            <v>4.0015923781028473E-2</v>
          </cell>
          <cell r="DA84">
            <v>3.8673786306765212E-2</v>
          </cell>
          <cell r="DB84">
            <v>3.9512490880724949E-2</v>
          </cell>
          <cell r="DC84">
            <v>4.1657731082946015E-2</v>
          </cell>
          <cell r="DD84">
            <v>3.9972364174829966E-2</v>
          </cell>
          <cell r="DE84">
            <v>4.4568861946563398E-2</v>
          </cell>
          <cell r="DF84">
            <v>4.2163398344305492E-2</v>
          </cell>
          <cell r="DG84">
            <v>4.2787805693798031E-2</v>
          </cell>
          <cell r="DH84">
            <v>4.0298417987587154E-2</v>
          </cell>
          <cell r="DI84">
            <v>4.2453528289148279E-2</v>
          </cell>
        </row>
        <row r="85">
          <cell r="B85" t="str">
            <v>Y/Y increase in gross A/R</v>
          </cell>
          <cell r="D85" t="str">
            <v>NM</v>
          </cell>
          <cell r="E85" t="str">
            <v>NM</v>
          </cell>
          <cell r="F85" t="str">
            <v>NM</v>
          </cell>
          <cell r="G85" t="str">
            <v>NM</v>
          </cell>
          <cell r="H85" t="str">
            <v>NM</v>
          </cell>
          <cell r="I85" t="str">
            <v>NM</v>
          </cell>
          <cell r="J85" t="str">
            <v>NM</v>
          </cell>
          <cell r="K85" t="str">
            <v>NM</v>
          </cell>
          <cell r="L85" t="str">
            <v>NM</v>
          </cell>
          <cell r="M85" t="str">
            <v>NM</v>
          </cell>
          <cell r="N85" t="str">
            <v>NM</v>
          </cell>
          <cell r="O85" t="str">
            <v>NM</v>
          </cell>
          <cell r="P85" t="str">
            <v>NM</v>
          </cell>
          <cell r="Q85" t="str">
            <v>NM</v>
          </cell>
          <cell r="R85" t="str">
            <v>NM</v>
          </cell>
          <cell r="S85" t="str">
            <v>NM</v>
          </cell>
          <cell r="T85" t="str">
            <v>NM</v>
          </cell>
          <cell r="U85">
            <v>8.2958432916256708E-2</v>
          </cell>
          <cell r="V85">
            <v>8.2958432916256708E-2</v>
          </cell>
          <cell r="W85" t="str">
            <v>NM</v>
          </cell>
          <cell r="X85" t="str">
            <v>NM</v>
          </cell>
          <cell r="Y85" t="str">
            <v>NM</v>
          </cell>
          <cell r="Z85">
            <v>1.1988705821261991E-2</v>
          </cell>
          <cell r="AA85">
            <v>1.1988705821261991E-2</v>
          </cell>
          <cell r="AB85" t="str">
            <v>NM</v>
          </cell>
          <cell r="AC85" t="str">
            <v>NM</v>
          </cell>
          <cell r="AD85" t="str">
            <v>NM</v>
          </cell>
          <cell r="AE85">
            <v>0.19061159738821454</v>
          </cell>
          <cell r="AF85">
            <v>0.19061159738821454</v>
          </cell>
          <cell r="AG85" t="str">
            <v>NM</v>
          </cell>
          <cell r="AH85" t="str">
            <v>NM</v>
          </cell>
          <cell r="AI85" t="str">
            <v>NM</v>
          </cell>
          <cell r="AJ85">
            <v>0.1560874874299667</v>
          </cell>
          <cell r="AK85">
            <v>0.1560874874299667</v>
          </cell>
          <cell r="AL85" t="str">
            <v>NM</v>
          </cell>
          <cell r="AM85" t="str">
            <v>NM</v>
          </cell>
          <cell r="AN85" t="str">
            <v>NM</v>
          </cell>
          <cell r="AO85">
            <v>0.2029863218815724</v>
          </cell>
          <cell r="AP85">
            <v>0.2029863218815724</v>
          </cell>
          <cell r="AQ85" t="str">
            <v>NM</v>
          </cell>
          <cell r="AR85" t="str">
            <v>NM</v>
          </cell>
          <cell r="AS85" t="str">
            <v>NM</v>
          </cell>
          <cell r="AT85">
            <v>0.18931806297087728</v>
          </cell>
          <cell r="AU85">
            <v>0.18931806297087728</v>
          </cell>
          <cell r="AW85" t="str">
            <v>NM</v>
          </cell>
          <cell r="AX85" t="str">
            <v>NM</v>
          </cell>
          <cell r="BA85" t="str">
            <v>NM</v>
          </cell>
          <cell r="BB85" t="str">
            <v>NM</v>
          </cell>
          <cell r="BC85" t="str">
            <v>NM</v>
          </cell>
          <cell r="BD85" t="str">
            <v>NM</v>
          </cell>
          <cell r="BE85" t="str">
            <v>NM</v>
          </cell>
          <cell r="BF85" t="str">
            <v>NM</v>
          </cell>
          <cell r="BG85" t="str">
            <v>NM</v>
          </cell>
          <cell r="BH85" t="str">
            <v>NM</v>
          </cell>
          <cell r="BI85" t="str">
            <v>NM</v>
          </cell>
          <cell r="BJ85" t="str">
            <v>NM</v>
          </cell>
          <cell r="BK85" t="str">
            <v>NM</v>
          </cell>
          <cell r="BL85" t="str">
            <v>NM</v>
          </cell>
          <cell r="BM85" t="str">
            <v>NM</v>
          </cell>
          <cell r="BN85" t="str">
            <v>NM</v>
          </cell>
          <cell r="BO85">
            <v>-2.8892761340902573E-2</v>
          </cell>
          <cell r="BP85">
            <v>-2.8892761340902573E-2</v>
          </cell>
          <cell r="BQ85" t="str">
            <v>NM</v>
          </cell>
          <cell r="BR85" t="str">
            <v>NM</v>
          </cell>
          <cell r="BS85" t="str">
            <v>NM</v>
          </cell>
          <cell r="BT85">
            <v>-2.1086645372278667E-2</v>
          </cell>
          <cell r="BU85">
            <v>-2.1086645372278667E-2</v>
          </cell>
          <cell r="BV85" t="str">
            <v>NM</v>
          </cell>
          <cell r="BW85" t="str">
            <v>NM</v>
          </cell>
          <cell r="BX85" t="str">
            <v>NM</v>
          </cell>
          <cell r="BY85">
            <v>5.4960861520944926E-2</v>
          </cell>
          <cell r="BZ85">
            <v>5.4960861520944926E-2</v>
          </cell>
          <cell r="CA85" t="str">
            <v>NM</v>
          </cell>
          <cell r="CB85" t="str">
            <v>NM</v>
          </cell>
          <cell r="CC85" t="str">
            <v>NM</v>
          </cell>
          <cell r="CD85">
            <v>0.12837852422392415</v>
          </cell>
          <cell r="CE85">
            <v>0.12837852422392415</v>
          </cell>
          <cell r="CF85" t="str">
            <v>NM</v>
          </cell>
          <cell r="CG85">
            <v>0.1582154632450834</v>
          </cell>
          <cell r="CH85">
            <v>0.16775159591122413</v>
          </cell>
          <cell r="CI85">
            <v>0.1816267434603549</v>
          </cell>
          <cell r="CJ85">
            <v>0.1816267434603549</v>
          </cell>
          <cell r="CK85">
            <v>0.20616461965494093</v>
          </cell>
          <cell r="CL85">
            <v>0.19243041412084172</v>
          </cell>
          <cell r="CM85">
            <v>0.2465227073800369</v>
          </cell>
          <cell r="CN85">
            <v>0.16532796509708536</v>
          </cell>
          <cell r="CO85">
            <v>0.16532796509708536</v>
          </cell>
          <cell r="CP85">
            <v>0.16230729738400673</v>
          </cell>
          <cell r="CQ85">
            <v>-1.7688583867331964E-2</v>
          </cell>
          <cell r="CR85">
            <v>0.1581415247083322</v>
          </cell>
          <cell r="CS85">
            <v>0.17373060427451481</v>
          </cell>
          <cell r="CT85">
            <v>0.17373060427451481</v>
          </cell>
          <cell r="CU85">
            <v>0.12752273616428722</v>
          </cell>
          <cell r="CV85">
            <v>-4.0717484854255415E-2</v>
          </cell>
          <cell r="CW85">
            <v>6.8503003586201761E-2</v>
          </cell>
          <cell r="CX85">
            <v>3.8825052331707965E-2</v>
          </cell>
          <cell r="CY85">
            <v>3.8825052331707965E-2</v>
          </cell>
          <cell r="CZ85">
            <v>3.7013563993828491E-2</v>
          </cell>
          <cell r="DA85">
            <v>-5.3058638301050509E-2</v>
          </cell>
          <cell r="DB85">
            <v>1.1753883326322434E-2</v>
          </cell>
          <cell r="DC85">
            <v>-5.0303456080913467E-4</v>
          </cell>
          <cell r="DD85">
            <v>-5.0303456080913467E-4</v>
          </cell>
          <cell r="DE85">
            <v>-1.26494024329602E-2</v>
          </cell>
          <cell r="DF85">
            <v>-6.0510399027619677E-2</v>
          </cell>
          <cell r="DG85">
            <v>-2.8037077664171295E-2</v>
          </cell>
          <cell r="DH85">
            <v>-3.9503766109667215E-2</v>
          </cell>
          <cell r="DI85">
            <v>-3.9503766109667215E-2</v>
          </cell>
        </row>
        <row r="86">
          <cell r="B86" t="str">
            <v>Accounts receivable turnover</v>
          </cell>
          <cell r="M86">
            <v>3.092963573991149</v>
          </cell>
          <cell r="N86">
            <v>3.0097484017565961</v>
          </cell>
          <cell r="O86">
            <v>3.1603839159311486</v>
          </cell>
          <cell r="P86">
            <v>3.4133188077879271</v>
          </cell>
          <cell r="R86">
            <v>3.5571557496203665</v>
          </cell>
          <cell r="S86">
            <v>3.4160551076091079</v>
          </cell>
          <cell r="T86">
            <v>3.5058233337339142</v>
          </cell>
          <cell r="U86">
            <v>3.3212672123632387</v>
          </cell>
          <cell r="W86">
            <v>3.4181886849807825</v>
          </cell>
          <cell r="X86">
            <v>3.2883045408443214</v>
          </cell>
          <cell r="Y86">
            <v>3.2463614981308235</v>
          </cell>
          <cell r="Z86">
            <v>2.9580816624831794</v>
          </cell>
          <cell r="AB86">
            <v>2.9553165356045827</v>
          </cell>
          <cell r="AC86">
            <v>2.8371922999993102</v>
          </cell>
          <cell r="AD86">
            <v>2.9918984060113831</v>
          </cell>
          <cell r="AE86">
            <v>2.90593179845076</v>
          </cell>
          <cell r="AG86">
            <v>2.893595375267263</v>
          </cell>
          <cell r="AH86">
            <v>2.9660959794082342</v>
          </cell>
          <cell r="AI86">
            <v>3.0203375844308771</v>
          </cell>
          <cell r="AJ86">
            <v>2.9647605230261056</v>
          </cell>
          <cell r="AL86">
            <v>2.9603002036869852</v>
          </cell>
          <cell r="AM86">
            <v>3.0973525824822192</v>
          </cell>
          <cell r="AN86">
            <v>3.1730721938578879</v>
          </cell>
          <cell r="AO86">
            <v>3.0582244475518872</v>
          </cell>
          <cell r="AQ86">
            <v>2.9830073913165105</v>
          </cell>
          <cell r="AR86">
            <v>2.9743026307758043</v>
          </cell>
          <cell r="AS86">
            <v>2.9855051677042037</v>
          </cell>
          <cell r="AT86">
            <v>2.877147766323024</v>
          </cell>
          <cell r="AW86">
            <v>3.1870556309036857</v>
          </cell>
          <cell r="AX86">
            <v>3.1730721938578879</v>
          </cell>
          <cell r="AY86">
            <v>3.0582244475518872</v>
          </cell>
          <cell r="AZ86">
            <v>2.9830073913165105</v>
          </cell>
          <cell r="BB86">
            <v>2.9743026307758043</v>
          </cell>
          <cell r="BC86">
            <v>2.9855051677042037</v>
          </cell>
          <cell r="BD86">
            <v>2.877147766323024</v>
          </cell>
          <cell r="BE86">
            <v>2.8627671240775521</v>
          </cell>
          <cell r="BG86">
            <v>2.8513470067592426</v>
          </cell>
          <cell r="BH86">
            <v>3.0180507746529863</v>
          </cell>
          <cell r="BI86">
            <v>3.201479512851181</v>
          </cell>
          <cell r="BJ86">
            <v>2.6538657000398014</v>
          </cell>
          <cell r="BL86">
            <v>2.1872932394605145</v>
          </cell>
          <cell r="BM86">
            <v>2.3851810608273039</v>
          </cell>
          <cell r="BN86">
            <v>2.4138203625714709</v>
          </cell>
          <cell r="BO86">
            <v>2.2630664849609312</v>
          </cell>
          <cell r="BQ86">
            <v>2.1667800363014198</v>
          </cell>
          <cell r="BR86">
            <v>2.3195913503947798</v>
          </cell>
          <cell r="BS86">
            <v>2.3353020665228477</v>
          </cell>
          <cell r="BT86">
            <v>2.2379311151205314</v>
          </cell>
          <cell r="BU86">
            <v>0.1400347874061772</v>
          </cell>
          <cell r="BV86">
            <v>2.1544549221690152</v>
          </cell>
          <cell r="BW86">
            <v>2.2477764132335976</v>
          </cell>
          <cell r="BX86">
            <v>2.2139008452602411</v>
          </cell>
          <cell r="BY86">
            <v>2.1260358534164188</v>
          </cell>
          <cell r="CA86">
            <v>2.1753841771989362</v>
          </cell>
          <cell r="CB86">
            <v>2.2391866560558813</v>
          </cell>
          <cell r="CC86">
            <v>2.0967261869628278</v>
          </cell>
          <cell r="CD86">
            <v>2.1238170819468678</v>
          </cell>
          <cell r="CF86">
            <v>2.1875504397544434</v>
          </cell>
          <cell r="CG86">
            <v>2.25136721675447</v>
          </cell>
          <cell r="CH86">
            <v>2.2294900031708762</v>
          </cell>
          <cell r="CI86">
            <v>2.1501249546968193</v>
          </cell>
          <cell r="CK86">
            <v>2.2510711418437279</v>
          </cell>
          <cell r="CL86">
            <v>2.2753624133655812</v>
          </cell>
          <cell r="CM86">
            <v>2.2787475205610912</v>
          </cell>
          <cell r="CN86">
            <v>2.2642449881661131</v>
          </cell>
          <cell r="CP86">
            <v>2.2633675718820276</v>
          </cell>
          <cell r="CQ86">
            <v>2.261286790840503</v>
          </cell>
          <cell r="CR86">
            <v>2.2335553776024279</v>
          </cell>
          <cell r="CS86">
            <v>2.2245546958906748</v>
          </cell>
          <cell r="CU86">
            <v>2.2359595887872801</v>
          </cell>
          <cell r="CV86">
            <v>2.2179558167488485</v>
          </cell>
          <cell r="CW86">
            <v>2.1884561599190526</v>
          </cell>
          <cell r="CX86">
            <v>2.1837625160547098</v>
          </cell>
          <cell r="CZ86">
            <v>2.1696536934845545</v>
          </cell>
          <cell r="DA86">
            <v>2.1748874114207908</v>
          </cell>
          <cell r="DB86">
            <v>2.1436508880401584</v>
          </cell>
          <cell r="DC86">
            <v>2.1386098513896497</v>
          </cell>
          <cell r="DE86">
            <v>2.1115791826152948</v>
          </cell>
          <cell r="DF86">
            <v>2.1205397714892853</v>
          </cell>
          <cell r="DG86">
            <v>2.0990940101113114</v>
          </cell>
          <cell r="DH86">
            <v>2.0982339598952771</v>
          </cell>
        </row>
        <row r="87">
          <cell r="B87" t="str">
            <v>Average Days Sales Outstanding (DSOs)</v>
          </cell>
          <cell r="D87">
            <v>0</v>
          </cell>
          <cell r="E87">
            <v>0</v>
          </cell>
          <cell r="F87">
            <v>0</v>
          </cell>
          <cell r="G87">
            <v>0</v>
          </cell>
          <cell r="H87">
            <v>0</v>
          </cell>
          <cell r="I87">
            <v>0</v>
          </cell>
          <cell r="J87">
            <v>0</v>
          </cell>
          <cell r="K87">
            <v>0</v>
          </cell>
          <cell r="L87">
            <v>0</v>
          </cell>
          <cell r="M87">
            <v>0</v>
          </cell>
          <cell r="N87">
            <v>68.34371357594452</v>
          </cell>
          <cell r="O87">
            <v>77.189143565606443</v>
          </cell>
          <cell r="P87">
            <v>87.095337858599393</v>
          </cell>
          <cell r="Q87">
            <v>68.245620181941959</v>
          </cell>
          <cell r="R87">
            <v>86.073473225721031</v>
          </cell>
          <cell r="S87">
            <v>78.326292349292189</v>
          </cell>
          <cell r="T87">
            <v>77.672689012244987</v>
          </cell>
          <cell r="U87">
            <v>84.046283698479357</v>
          </cell>
          <cell r="V87">
            <v>86.445589240996952</v>
          </cell>
          <cell r="W87">
            <v>82.607447085347403</v>
          </cell>
          <cell r="X87">
            <v>74.235478359908882</v>
          </cell>
          <cell r="Y87">
            <v>73.02191237164601</v>
          </cell>
          <cell r="Z87">
            <v>71.195646730467388</v>
          </cell>
          <cell r="AA87">
            <v>73.810812953073224</v>
          </cell>
          <cell r="AB87">
            <v>69.2874444608034</v>
          </cell>
          <cell r="AC87">
            <v>69.197426320980497</v>
          </cell>
          <cell r="AD87">
            <v>69.148758768287664</v>
          </cell>
          <cell r="AE87">
            <v>70.340476078309976</v>
          </cell>
          <cell r="AF87">
            <v>73.307602621938216</v>
          </cell>
          <cell r="AG87">
            <v>68.441876607063449</v>
          </cell>
          <cell r="AH87">
            <v>69.721406340877877</v>
          </cell>
          <cell r="AI87">
            <v>68.519298375743872</v>
          </cell>
          <cell r="AJ87">
            <v>73.768957263085539</v>
          </cell>
          <cell r="AK87">
            <v>75.157976174110829</v>
          </cell>
          <cell r="AL87">
            <v>75.420063101990209</v>
          </cell>
          <cell r="AM87">
            <v>72.505515603058853</v>
          </cell>
          <cell r="AN87">
            <v>71.173338912400084</v>
          </cell>
          <cell r="AO87">
            <v>72.18000611464457</v>
          </cell>
          <cell r="AP87">
            <v>71.484327728536741</v>
          </cell>
          <cell r="AQ87">
            <v>69.864908092013792</v>
          </cell>
          <cell r="AR87">
            <v>72.024903863761224</v>
          </cell>
          <cell r="AS87">
            <v>65.827487733659865</v>
          </cell>
          <cell r="AT87">
            <v>69.228173393757899</v>
          </cell>
          <cell r="AU87">
            <v>69.486420532562633</v>
          </cell>
          <cell r="AW87">
            <v>72.505515603058853</v>
          </cell>
          <cell r="AX87">
            <v>71.173338912400084</v>
          </cell>
          <cell r="AY87">
            <v>72.18000611464457</v>
          </cell>
          <cell r="AZ87">
            <v>69.864908092013792</v>
          </cell>
          <cell r="BA87">
            <v>71.402999162772701</v>
          </cell>
          <cell r="BB87">
            <v>66.921809192455598</v>
          </cell>
          <cell r="BC87">
            <v>67.920242565270627</v>
          </cell>
          <cell r="BD87">
            <v>66.174398625429561</v>
          </cell>
          <cell r="BE87">
            <v>65.843643853783703</v>
          </cell>
          <cell r="BF87">
            <v>69.783958663785086</v>
          </cell>
          <cell r="BG87">
            <v>64.155307652082968</v>
          </cell>
          <cell r="BH87">
            <v>68.66065512335544</v>
          </cell>
          <cell r="BI87">
            <v>73.634028795577152</v>
          </cell>
          <cell r="BJ87">
            <v>86.461340149876563</v>
          </cell>
          <cell r="BK87">
            <v>56.381082820717239</v>
          </cell>
          <cell r="BL87">
            <v>72.109130213120238</v>
          </cell>
          <cell r="BM87">
            <v>54.262869133821169</v>
          </cell>
          <cell r="BN87">
            <v>55.517868339143831</v>
          </cell>
          <cell r="BO87">
            <v>76.844200102528731</v>
          </cell>
          <cell r="BP87">
            <v>97.077928204481537</v>
          </cell>
          <cell r="BQ87">
            <v>72.62060895111108</v>
          </cell>
          <cell r="BR87">
            <v>52.770703221481241</v>
          </cell>
          <cell r="BS87">
            <v>53.71194753002549</v>
          </cell>
          <cell r="BT87">
            <v>76.499959526040939</v>
          </cell>
          <cell r="BU87">
            <v>51.940365858562217</v>
          </cell>
          <cell r="BV87">
            <v>51.124161737609462</v>
          </cell>
          <cell r="BW87">
            <v>49.124514800688566</v>
          </cell>
          <cell r="BX87">
            <v>50.689904563941802</v>
          </cell>
          <cell r="BY87">
            <v>53.165788266306308</v>
          </cell>
          <cell r="BZ87">
            <v>54.212663446214961</v>
          </cell>
          <cell r="CA87">
            <v>56.993320721327855</v>
          </cell>
          <cell r="CB87">
            <v>58.042458368295229</v>
          </cell>
          <cell r="CC87">
            <v>51.44100502180364</v>
          </cell>
          <cell r="CD87">
            <v>55.555368515723053</v>
          </cell>
          <cell r="CE87">
            <v>57.803468667782354</v>
          </cell>
          <cell r="CF87">
            <v>59.062317553697191</v>
          </cell>
          <cell r="CG87">
            <v>58.838692431234236</v>
          </cell>
          <cell r="CH87">
            <v>54.968568335233002</v>
          </cell>
          <cell r="CI87">
            <v>59.587446188660763</v>
          </cell>
          <cell r="CJ87">
            <v>64.409777581742475</v>
          </cell>
          <cell r="CK87">
            <v>55.994753687775642</v>
          </cell>
          <cell r="CL87">
            <v>56.332999316352236</v>
          </cell>
          <cell r="CM87">
            <v>61.842759257222902</v>
          </cell>
          <cell r="CN87">
            <v>59.86371179302202</v>
          </cell>
          <cell r="CO87">
            <v>60.482076452850293</v>
          </cell>
          <cell r="CP87">
            <v>60.109506729436475</v>
          </cell>
          <cell r="CQ87">
            <v>56.48633657621955</v>
          </cell>
          <cell r="CR87">
            <v>60.548049208140547</v>
          </cell>
          <cell r="CS87">
            <v>58.599123438200245</v>
          </cell>
          <cell r="CT87">
            <v>58.736960159831874</v>
          </cell>
          <cell r="CU87">
            <v>58.965419875299155</v>
          </cell>
          <cell r="CV87">
            <v>55.346187821786252</v>
          </cell>
          <cell r="CW87">
            <v>59.396615645347914</v>
          </cell>
          <cell r="CX87">
            <v>57.466066651747951</v>
          </cell>
          <cell r="CY87">
            <v>57.533851589593617</v>
          </cell>
          <cell r="CZ87">
            <v>57.684810835739214</v>
          </cell>
          <cell r="DA87">
            <v>54.067349654132691</v>
          </cell>
          <cell r="DB87">
            <v>58.105586732822054</v>
          </cell>
          <cell r="DC87">
            <v>56.167485469517857</v>
          </cell>
          <cell r="DD87">
            <v>56.32487037844929</v>
          </cell>
          <cell r="DE87">
            <v>56.460201151599158</v>
          </cell>
          <cell r="DF87">
            <v>52.775650400329866</v>
          </cell>
          <cell r="DG87">
            <v>56.803364925129898</v>
          </cell>
          <cell r="DH87">
            <v>54.889835979355851</v>
          </cell>
          <cell r="DI87">
            <v>55.080339408763443</v>
          </cell>
        </row>
        <row r="89">
          <cell r="B89" t="str">
            <v>Allowance for Doubtful Accounts - Beginning</v>
          </cell>
          <cell r="V89">
            <v>-114.792</v>
          </cell>
          <cell r="AA89">
            <v>-118.602</v>
          </cell>
          <cell r="AF89">
            <v>-116.785</v>
          </cell>
          <cell r="AK89">
            <v>-138.61600000000001</v>
          </cell>
          <cell r="AP89">
            <v>-151.01499999999999</v>
          </cell>
          <cell r="AU89">
            <v>-186.43899999999999</v>
          </cell>
          <cell r="BK89">
            <v>0</v>
          </cell>
          <cell r="BP89">
            <v>-526.88099999999997</v>
          </cell>
          <cell r="BU89">
            <v>-485.767</v>
          </cell>
          <cell r="BZ89">
            <v>-449.03100000000001</v>
          </cell>
          <cell r="CB89">
            <v>-455.70499999999998</v>
          </cell>
          <cell r="CC89">
            <v>-463.69</v>
          </cell>
          <cell r="CD89">
            <v>-482.73700000000002</v>
          </cell>
          <cell r="CE89">
            <v>-455.70499999999998</v>
          </cell>
          <cell r="CF89">
            <v>-495.4860000000001</v>
          </cell>
          <cell r="CG89">
            <v>-513.95399999999995</v>
          </cell>
          <cell r="CH89">
            <v>-534.46400000000006</v>
          </cell>
          <cell r="CI89">
            <v>-554.71600000000001</v>
          </cell>
          <cell r="CJ89">
            <v>-495.4860000000001</v>
          </cell>
          <cell r="CK89">
            <v>-578.97199999999987</v>
          </cell>
          <cell r="CL89">
            <v>-600.92100000000005</v>
          </cell>
          <cell r="CM89">
            <v>-621.649</v>
          </cell>
          <cell r="CN89">
            <v>-715.50699999999995</v>
          </cell>
          <cell r="CO89">
            <v>-578.97199999999987</v>
          </cell>
          <cell r="CP89">
            <v>-758.37590324479334</v>
          </cell>
          <cell r="CQ89">
            <v>-816.57072610322814</v>
          </cell>
          <cell r="CR89">
            <v>-883.16577674714551</v>
          </cell>
          <cell r="CS89">
            <v>-964.4682122367401</v>
          </cell>
          <cell r="CT89">
            <v>-758.37590324479334</v>
          </cell>
          <cell r="CU89">
            <v>-1044.0518451534601</v>
          </cell>
          <cell r="CV89">
            <v>-1052.6659900615791</v>
          </cell>
          <cell r="CW89">
            <v>-1069.3379787592248</v>
          </cell>
          <cell r="CX89">
            <v>-1097.9187673498104</v>
          </cell>
          <cell r="CY89">
            <v>-1044.0518451534601</v>
          </cell>
          <cell r="CZ89">
            <v>-1124.8790647857631</v>
          </cell>
          <cell r="DA89">
            <v>-1109.4123659909865</v>
          </cell>
          <cell r="DB89">
            <v>-1100.9293319014662</v>
          </cell>
          <cell r="DC89">
            <v>-1103.2291437402332</v>
          </cell>
          <cell r="DD89">
            <v>-1124.8790647857631</v>
          </cell>
          <cell r="DE89">
            <v>-1103.3787172746402</v>
          </cell>
          <cell r="DF89">
            <v>-1068.5283499010452</v>
          </cell>
          <cell r="DG89">
            <v>-1040.0224345193142</v>
          </cell>
          <cell r="DH89">
            <v>-1021.5369213975652</v>
          </cell>
          <cell r="DI89">
            <v>-1103.3787172746402</v>
          </cell>
        </row>
        <row r="90">
          <cell r="B90" t="str">
            <v>Provision for bad debt</v>
          </cell>
          <cell r="V90">
            <v>-135.86199999999999</v>
          </cell>
          <cell r="AA90">
            <v>-143.923</v>
          </cell>
          <cell r="AF90">
            <v>-172.43</v>
          </cell>
          <cell r="AK90">
            <v>-186.82600000000002</v>
          </cell>
          <cell r="AP90">
            <v>-240.07400000000001</v>
          </cell>
          <cell r="AU90">
            <v>-307.82600000000002</v>
          </cell>
          <cell r="BK90">
            <v>-571.87400000000002</v>
          </cell>
          <cell r="BP90">
            <v>-533.80399999999997</v>
          </cell>
          <cell r="BU90">
            <v>-508.23</v>
          </cell>
          <cell r="BZ90">
            <v>-576.39699999999993</v>
          </cell>
          <cell r="CB90">
            <v>-149.73099999999999</v>
          </cell>
          <cell r="CC90">
            <v>-159.922</v>
          </cell>
          <cell r="CD90">
            <v>-164.553</v>
          </cell>
          <cell r="CE90">
            <v>-474.20600000000002</v>
          </cell>
          <cell r="CF90">
            <v>-172.80199999999999</v>
          </cell>
          <cell r="CG90">
            <v>-170.78700000000001</v>
          </cell>
          <cell r="CH90">
            <v>-178.87299999999999</v>
          </cell>
          <cell r="CI90">
            <v>-195.12700000000001</v>
          </cell>
          <cell r="CJ90">
            <v>-717.58899999999994</v>
          </cell>
          <cell r="CK90">
            <v>-201.261</v>
          </cell>
          <cell r="CL90">
            <v>-235.56444688548012</v>
          </cell>
          <cell r="CM90">
            <v>-224.078</v>
          </cell>
          <cell r="CN90">
            <v>-231.49207752188323</v>
          </cell>
          <cell r="CO90">
            <v>-892.39552440736338</v>
          </cell>
          <cell r="CP90">
            <v>-235.56444688548012</v>
          </cell>
          <cell r="CQ90">
            <v>-241.42522828460378</v>
          </cell>
          <cell r="CR90">
            <v>-254.002584369668</v>
          </cell>
          <cell r="CS90">
            <v>-257.02973061024016</v>
          </cell>
          <cell r="CT90">
            <v>-988.02199014999201</v>
          </cell>
          <cell r="CU90">
            <v>-189.48801670731294</v>
          </cell>
          <cell r="CV90">
            <v>-194.77399794157026</v>
          </cell>
          <cell r="CW90">
            <v>-204.69666651038935</v>
          </cell>
          <cell r="CX90">
            <v>-207.56875740520627</v>
          </cell>
          <cell r="CY90">
            <v>-796.52743856447887</v>
          </cell>
          <cell r="CZ90">
            <v>-172.64500807231349</v>
          </cell>
          <cell r="DA90">
            <v>-176.50685420070937</v>
          </cell>
          <cell r="DB90">
            <v>-185.37446677882798</v>
          </cell>
          <cell r="DC90">
            <v>-188.28177216036485</v>
          </cell>
          <cell r="DD90">
            <v>-722.80810121221566</v>
          </cell>
          <cell r="DE90">
            <v>-161.64526418738677</v>
          </cell>
          <cell r="DF90">
            <v>-164.28377525814815</v>
          </cell>
          <cell r="DG90">
            <v>-172.42250458134649</v>
          </cell>
          <cell r="DH90">
            <v>-175.27856747258164</v>
          </cell>
          <cell r="DI90">
            <v>-673.63011149946306</v>
          </cell>
        </row>
        <row r="91">
          <cell r="B91" t="str">
            <v>% of revenue</v>
          </cell>
          <cell r="V91">
            <v>8.6110306528150229E-2</v>
          </cell>
          <cell r="AA91">
            <v>7.6562891497557461E-2</v>
          </cell>
          <cell r="AF91">
            <v>7.6208752670046565E-2</v>
          </cell>
          <cell r="AK91">
            <v>7.2962489689819804E-2</v>
          </cell>
          <cell r="AP91">
            <v>7.4885406057921614E-2</v>
          </cell>
          <cell r="AU91">
            <v>8.5997287319265203E-2</v>
          </cell>
          <cell r="BK91">
            <v>0.13943011232448538</v>
          </cell>
          <cell r="BP91">
            <v>0.12106702386236293</v>
          </cell>
          <cell r="BU91">
            <v>0.11416765750646228</v>
          </cell>
          <cell r="BZ91">
            <v>0.1235803144367815</v>
          </cell>
          <cell r="CB91">
            <v>0.11999724311921825</v>
          </cell>
          <cell r="CC91">
            <v>0.12585752747196532</v>
          </cell>
          <cell r="CD91">
            <v>0.12170548770430877</v>
          </cell>
          <cell r="CE91">
            <v>9.1980175051071436E-2</v>
          </cell>
          <cell r="CF91">
            <v>0.12053366219297577</v>
          </cell>
          <cell r="CG91">
            <v>0.12239698484899519</v>
          </cell>
          <cell r="CH91">
            <v>0.12774416458845744</v>
          </cell>
          <cell r="CI91">
            <v>0.12320381569592632</v>
          </cell>
          <cell r="CJ91">
            <v>0.12344529823781542</v>
          </cell>
          <cell r="CK91">
            <v>0.11933522203735744</v>
          </cell>
          <cell r="CL91">
            <v>0.13280991498835296</v>
          </cell>
          <cell r="CM91">
            <v>0.13464712799703399</v>
          </cell>
          <cell r="CN91">
            <v>0.13500000000000001</v>
          </cell>
          <cell r="CO91">
            <v>0.13216754190136643</v>
          </cell>
          <cell r="CP91">
            <v>0.13280991498835296</v>
          </cell>
          <cell r="CQ91">
            <v>0.13809127894429332</v>
          </cell>
          <cell r="CR91">
            <v>0.14707722374116353</v>
          </cell>
          <cell r="CS91">
            <v>0.14484946919158204</v>
          </cell>
          <cell r="CT91">
            <v>0.14067452826480611</v>
          </cell>
          <cell r="CU91">
            <v>0.10476251479687591</v>
          </cell>
          <cell r="CV91">
            <v>0.10936092117569106</v>
          </cell>
          <cell r="CW91">
            <v>0.11622839969238891</v>
          </cell>
          <cell r="CX91">
            <v>0.11492748315363646</v>
          </cell>
          <cell r="CY91">
            <v>0.11129344626342255</v>
          </cell>
          <cell r="CZ91">
            <v>9.1777917997573386E-2</v>
          </cell>
          <cell r="DA91">
            <v>9.5414325524532898E-2</v>
          </cell>
          <cell r="DB91">
            <v>0.10125621530709424</v>
          </cell>
          <cell r="DC91">
            <v>0.10007950448434633</v>
          </cell>
          <cell r="DD91">
            <v>9.7111365919868187E-2</v>
          </cell>
          <cell r="DE91">
            <v>8.2264049792486457E-2</v>
          </cell>
          <cell r="DF91">
            <v>8.5213983544909333E-2</v>
          </cell>
          <cell r="DG91">
            <v>9.0317057741127429E-2</v>
          </cell>
          <cell r="DH91">
            <v>8.9558692832797396E-2</v>
          </cell>
          <cell r="DI91">
            <v>8.6818412366575851E-2</v>
          </cell>
        </row>
        <row r="93">
          <cell r="B93" t="str">
            <v>Acquisitions</v>
          </cell>
          <cell r="V93">
            <v>0</v>
          </cell>
          <cell r="AA93">
            <v>0</v>
          </cell>
          <cell r="AF93">
            <v>0</v>
          </cell>
          <cell r="AK93">
            <v>0</v>
          </cell>
          <cell r="AP93">
            <v>0</v>
          </cell>
          <cell r="AU93">
            <v>0</v>
          </cell>
          <cell r="BK93">
            <v>0</v>
          </cell>
          <cell r="BP93">
            <v>0</v>
          </cell>
          <cell r="BU93">
            <v>0</v>
          </cell>
          <cell r="BZ93">
            <v>0</v>
          </cell>
          <cell r="CE93">
            <v>0</v>
          </cell>
          <cell r="CJ93">
            <v>0</v>
          </cell>
          <cell r="CO93">
            <v>0</v>
          </cell>
          <cell r="CT93">
            <v>0</v>
          </cell>
          <cell r="CY93">
            <v>0</v>
          </cell>
          <cell r="DD93">
            <v>0</v>
          </cell>
          <cell r="DI93">
            <v>0</v>
          </cell>
        </row>
        <row r="95">
          <cell r="B95" t="str">
            <v>Write-offs</v>
          </cell>
          <cell r="V95">
            <v>132.05199999999999</v>
          </cell>
          <cell r="AA95">
            <v>145.74</v>
          </cell>
          <cell r="AF95">
            <v>150.59899999999999</v>
          </cell>
          <cell r="AK95">
            <v>174.42700000000005</v>
          </cell>
          <cell r="AP95">
            <v>204.65</v>
          </cell>
          <cell r="AU95">
            <v>207.43600000000001</v>
          </cell>
          <cell r="BK95">
            <v>44.993000000000052</v>
          </cell>
          <cell r="BP95">
            <v>574.91799999999989</v>
          </cell>
          <cell r="BU95">
            <v>544.96600000000001</v>
          </cell>
          <cell r="BZ95">
            <v>569.72299999999996</v>
          </cell>
          <cell r="CB95">
            <v>141.74599999999998</v>
          </cell>
          <cell r="CC95">
            <v>140.87499999999994</v>
          </cell>
          <cell r="CD95">
            <v>151.80400000000003</v>
          </cell>
          <cell r="CE95">
            <v>434.42499999999995</v>
          </cell>
          <cell r="CF95">
            <v>154.33400000000017</v>
          </cell>
          <cell r="CG95">
            <v>150.27699999999993</v>
          </cell>
          <cell r="CH95">
            <v>158.62100000000004</v>
          </cell>
          <cell r="CI95">
            <v>170.87100000000004</v>
          </cell>
          <cell r="CJ95">
            <v>634.10300000000018</v>
          </cell>
          <cell r="CK95">
            <v>179.31199999999978</v>
          </cell>
          <cell r="CL95">
            <v>214.8364468854802</v>
          </cell>
          <cell r="CM95">
            <v>130.22000000000003</v>
          </cell>
          <cell r="CN95">
            <v>188.62317427709002</v>
          </cell>
          <cell r="CO95">
            <v>712.99162116257003</v>
          </cell>
          <cell r="CP95">
            <v>177.36962402704532</v>
          </cell>
          <cell r="CQ95">
            <v>174.8301776406864</v>
          </cell>
          <cell r="CR95">
            <v>172.70014888007336</v>
          </cell>
          <cell r="CS95">
            <v>177.44609769352024</v>
          </cell>
          <cell r="CT95">
            <v>702.34604824132521</v>
          </cell>
          <cell r="CU95">
            <v>180.87387179919395</v>
          </cell>
          <cell r="CV95">
            <v>178.1020092439245</v>
          </cell>
          <cell r="CW95">
            <v>176.11587791980389</v>
          </cell>
          <cell r="CX95">
            <v>180.60845996925369</v>
          </cell>
          <cell r="CY95">
            <v>715.70021893217597</v>
          </cell>
          <cell r="CZ95">
            <v>188.11170686709002</v>
          </cell>
          <cell r="DA95">
            <v>184.98988829022954</v>
          </cell>
          <cell r="DB95">
            <v>183.07465494006101</v>
          </cell>
          <cell r="DC95">
            <v>188.1321986259579</v>
          </cell>
          <cell r="DD95">
            <v>744.30844872333853</v>
          </cell>
          <cell r="DE95">
            <v>196.49563156098179</v>
          </cell>
          <cell r="DF95">
            <v>192.78969063987907</v>
          </cell>
          <cell r="DG95">
            <v>190.90801770309545</v>
          </cell>
          <cell r="DH95">
            <v>195.71362860311052</v>
          </cell>
          <cell r="DI95">
            <v>775.90696850706672</v>
          </cell>
        </row>
        <row r="96">
          <cell r="B96" t="str">
            <v>% of gross receivables</v>
          </cell>
          <cell r="V96">
            <v>0.28571243116933692</v>
          </cell>
          <cell r="AA96">
            <v>0.31159268460594453</v>
          </cell>
          <cell r="AF96">
            <v>0.2704334865680218</v>
          </cell>
          <cell r="AK96">
            <v>0.27093267805940346</v>
          </cell>
          <cell r="AP96">
            <v>0.26424010794269742</v>
          </cell>
          <cell r="AU96">
            <v>0.22520244618172228</v>
          </cell>
          <cell r="BK96">
            <v>4.0582274873138161E-2</v>
          </cell>
          <cell r="BP96">
            <v>0.53398634471830742</v>
          </cell>
          <cell r="BU96">
            <v>0.51707006973765357</v>
          </cell>
          <cell r="BZ96">
            <v>0.51239796524072823</v>
          </cell>
          <cell r="CB96">
            <v>0.50661114933388129</v>
          </cell>
          <cell r="CC96">
            <v>0.48604025120561256</v>
          </cell>
          <cell r="CD96">
            <v>0.48398515244094426</v>
          </cell>
          <cell r="CE96">
            <v>0.3462610501850365</v>
          </cell>
          <cell r="CF96">
            <v>0.4666521531418763</v>
          </cell>
          <cell r="CG96">
            <v>0.46373202493365406</v>
          </cell>
          <cell r="CH96">
            <v>0.46864989234445353</v>
          </cell>
          <cell r="CI96">
            <v>0.46103815947369603</v>
          </cell>
          <cell r="CJ96">
            <v>0.42772863744688844</v>
          </cell>
          <cell r="CK96">
            <v>0.44950490085482886</v>
          </cell>
          <cell r="CL96">
            <v>0.55596760740408779</v>
          </cell>
          <cell r="CM96">
            <v>0.30864932736276318</v>
          </cell>
          <cell r="CN96">
            <v>0.43673237992337088</v>
          </cell>
          <cell r="CO96">
            <v>0.41270979662117313</v>
          </cell>
          <cell r="CP96">
            <v>0.3825457289392809</v>
          </cell>
          <cell r="CQ96">
            <v>0.3838586393858755</v>
          </cell>
          <cell r="CR96">
            <v>0.35344246095383414</v>
          </cell>
          <cell r="CS96">
            <v>0.35004055796109118</v>
          </cell>
          <cell r="CT96">
            <v>0.34637223050233718</v>
          </cell>
          <cell r="CU96">
            <v>0.34598290369989398</v>
          </cell>
          <cell r="CV96">
            <v>0.3551412298338627</v>
          </cell>
          <cell r="CW96">
            <v>0.33732519120409699</v>
          </cell>
          <cell r="CX96">
            <v>0.34296325264276067</v>
          </cell>
          <cell r="CY96">
            <v>0.33976657993194403</v>
          </cell>
          <cell r="CZ96">
            <v>0.3469845927743615</v>
          </cell>
          <cell r="DA96">
            <v>0.36034563907091988</v>
          </cell>
          <cell r="DB96">
            <v>0.34658008782980948</v>
          </cell>
          <cell r="DC96">
            <v>0.3574301232977784</v>
          </cell>
          <cell r="DD96">
            <v>0.35352568903914078</v>
          </cell>
          <cell r="DE96">
            <v>0.36709280581834741</v>
          </cell>
          <cell r="DF96">
            <v>0.38336706749963589</v>
          </cell>
          <cell r="DG96">
            <v>0.37183464613718881</v>
          </cell>
          <cell r="DH96">
            <v>0.38712696488328158</v>
          </cell>
          <cell r="DI96">
            <v>0.38369135544344352</v>
          </cell>
        </row>
        <row r="97">
          <cell r="B97" t="str">
            <v>% of revenue</v>
          </cell>
          <cell r="V97">
            <v>8.3695501300255368E-2</v>
          </cell>
          <cell r="AA97">
            <v>7.7529483174016825E-2</v>
          </cell>
          <cell r="AF97">
            <v>6.6560122619940501E-2</v>
          </cell>
          <cell r="AK97">
            <v>6.8120219825539272E-2</v>
          </cell>
          <cell r="AP97">
            <v>6.3835727108115234E-2</v>
          </cell>
          <cell r="AU97">
            <v>5.7951353337142075E-2</v>
          </cell>
          <cell r="BK97">
            <v>1.09698623189996E-2</v>
          </cell>
          <cell r="BP97">
            <v>0.13039170037111367</v>
          </cell>
          <cell r="BU97">
            <v>0.12241995088968916</v>
          </cell>
          <cell r="BZ97">
            <v>0.12214939960108478</v>
          </cell>
          <cell r="CB97">
            <v>0.11359791374649678</v>
          </cell>
          <cell r="CC97">
            <v>0.11086766787942315</v>
          </cell>
          <cell r="CD97">
            <v>0.11227616546319356</v>
          </cell>
          <cell r="CE97">
            <v>8.4263985581291043E-2</v>
          </cell>
          <cell r="CF97">
            <v>0.10765177614200498</v>
          </cell>
          <cell r="CG97">
            <v>0.10769819536705043</v>
          </cell>
          <cell r="CH97">
            <v>0.11328097103076325</v>
          </cell>
          <cell r="CI97">
            <v>0.10788849924294758</v>
          </cell>
          <cell r="CJ97">
            <v>0.10908338052630892</v>
          </cell>
          <cell r="CK97">
            <v>0.10632083381262446</v>
          </cell>
          <cell r="CL97">
            <v>0.12738287826117492</v>
          </cell>
          <cell r="CM97">
            <v>7.8248417996294908E-2</v>
          </cell>
          <cell r="CN97">
            <v>0.11</v>
          </cell>
          <cell r="CO97">
            <v>0.10559706698205129</v>
          </cell>
          <cell r="CP97">
            <v>0.1</v>
          </cell>
          <cell r="CQ97">
            <v>0.1</v>
          </cell>
          <cell r="CR97">
            <v>0.1</v>
          </cell>
          <cell r="CS97">
            <v>0.1</v>
          </cell>
          <cell r="CT97">
            <v>9.9999999999999992E-2</v>
          </cell>
          <cell r="CU97">
            <v>0.1</v>
          </cell>
          <cell r="CV97">
            <v>0.1</v>
          </cell>
          <cell r="CW97">
            <v>0.1</v>
          </cell>
          <cell r="CX97">
            <v>0.1</v>
          </cell>
          <cell r="CY97">
            <v>9.9999999999999992E-2</v>
          </cell>
          <cell r="CZ97">
            <v>0.1</v>
          </cell>
          <cell r="DA97">
            <v>0.1</v>
          </cell>
          <cell r="DB97">
            <v>0.1</v>
          </cell>
          <cell r="DC97">
            <v>0.1</v>
          </cell>
          <cell r="DD97">
            <v>0.1</v>
          </cell>
          <cell r="DE97">
            <v>0.1</v>
          </cell>
          <cell r="DF97">
            <v>0.1</v>
          </cell>
          <cell r="DG97">
            <v>0.1</v>
          </cell>
          <cell r="DH97">
            <v>0.1</v>
          </cell>
          <cell r="DI97">
            <v>9.9999999999999992E-2</v>
          </cell>
        </row>
        <row r="98">
          <cell r="B98" t="str">
            <v>Allowance for Doubtful Accounts - Ending</v>
          </cell>
          <cell r="V98">
            <v>-118.602</v>
          </cell>
          <cell r="AA98">
            <v>-116.785</v>
          </cell>
          <cell r="AF98">
            <v>-138.61600000000001</v>
          </cell>
          <cell r="AK98">
            <v>-151.01499999999999</v>
          </cell>
          <cell r="AP98">
            <v>-186.43899999999999</v>
          </cell>
          <cell r="AU98">
            <v>-286.82900000000001</v>
          </cell>
          <cell r="BK98">
            <v>-526.88099999999997</v>
          </cell>
          <cell r="BP98">
            <v>-485.767</v>
          </cell>
          <cell r="BU98">
            <v>-449.03100000000001</v>
          </cell>
          <cell r="BZ98">
            <v>-455.70499999999998</v>
          </cell>
          <cell r="CB98">
            <v>-463.69</v>
          </cell>
          <cell r="CC98">
            <v>-482.73700000000002</v>
          </cell>
          <cell r="CD98">
            <v>-495.48599999999999</v>
          </cell>
          <cell r="CE98">
            <v>-495.4860000000001</v>
          </cell>
          <cell r="CF98">
            <v>-513.95399999999995</v>
          </cell>
          <cell r="CG98">
            <v>-534.46400000000006</v>
          </cell>
          <cell r="CH98">
            <v>-554.71600000000001</v>
          </cell>
          <cell r="CI98">
            <v>-578.97199999999998</v>
          </cell>
          <cell r="CJ98">
            <v>-578.97199999999987</v>
          </cell>
          <cell r="CK98">
            <v>-600.92100000000005</v>
          </cell>
          <cell r="CL98">
            <v>-621.649</v>
          </cell>
          <cell r="CM98">
            <v>-715.50699999999995</v>
          </cell>
          <cell r="CN98">
            <v>-758.37590324479322</v>
          </cell>
          <cell r="CO98">
            <v>-758.37590324479334</v>
          </cell>
          <cell r="CP98">
            <v>-816.57072610322814</v>
          </cell>
          <cell r="CQ98">
            <v>-883.16577674714551</v>
          </cell>
          <cell r="CR98">
            <v>-964.4682122367401</v>
          </cell>
          <cell r="CS98">
            <v>-1044.0518451534601</v>
          </cell>
          <cell r="CT98">
            <v>-1044.0518451534601</v>
          </cell>
          <cell r="CU98">
            <v>-1052.6659900615791</v>
          </cell>
          <cell r="CV98">
            <v>-1069.3379787592248</v>
          </cell>
          <cell r="CW98">
            <v>-1097.9187673498104</v>
          </cell>
          <cell r="CX98">
            <v>-1124.8790647857629</v>
          </cell>
          <cell r="CY98">
            <v>-1124.8790647857631</v>
          </cell>
          <cell r="CZ98">
            <v>-1109.4123659909865</v>
          </cell>
          <cell r="DA98">
            <v>-1100.9293319014662</v>
          </cell>
          <cell r="DB98">
            <v>-1103.2291437402332</v>
          </cell>
          <cell r="DC98">
            <v>-1103.3787172746402</v>
          </cell>
          <cell r="DD98">
            <v>-1103.3787172746402</v>
          </cell>
          <cell r="DE98">
            <v>-1068.5283499010452</v>
          </cell>
          <cell r="DF98">
            <v>-1040.0224345193142</v>
          </cell>
          <cell r="DG98">
            <v>-1021.5369213975652</v>
          </cell>
          <cell r="DH98">
            <v>-1001.1018602670363</v>
          </cell>
          <cell r="DI98">
            <v>-1001.1018602670365</v>
          </cell>
        </row>
        <row r="99">
          <cell r="B99" t="str">
            <v>as a % of gross receivables</v>
          </cell>
          <cell r="V99">
            <v>0.25661153001503728</v>
          </cell>
          <cell r="AA99">
            <v>0.24968678243244977</v>
          </cell>
          <cell r="AF99">
            <v>0.2489153857204425</v>
          </cell>
          <cell r="AK99">
            <v>0.23456746018185717</v>
          </cell>
          <cell r="AP99">
            <v>0.2407264182004816</v>
          </cell>
          <cell r="AU99">
            <v>0.31139528546567241</v>
          </cell>
          <cell r="BK99">
            <v>0.47523013729766589</v>
          </cell>
          <cell r="BP99">
            <v>0.45118250727021614</v>
          </cell>
          <cell r="BU99">
            <v>0.42604582760092985</v>
          </cell>
          <cell r="BZ99">
            <v>0.40985235763700267</v>
          </cell>
          <cell r="CB99">
            <v>0.41431596629645179</v>
          </cell>
          <cell r="CC99">
            <v>0.41637908206964308</v>
          </cell>
          <cell r="CD99">
            <v>0.39493008623348802</v>
          </cell>
          <cell r="CE99">
            <v>0.39493008623348808</v>
          </cell>
          <cell r="CF99">
            <v>0.38850438127029624</v>
          </cell>
          <cell r="CG99">
            <v>0.41231870641239282</v>
          </cell>
          <cell r="CH99">
            <v>0.40973073187305881</v>
          </cell>
          <cell r="CI99">
            <v>0.39054050316730848</v>
          </cell>
          <cell r="CJ99">
            <v>0.39054050316730837</v>
          </cell>
          <cell r="CK99">
            <v>0.37660186508234939</v>
          </cell>
          <cell r="CL99">
            <v>0.4402890931313107</v>
          </cell>
          <cell r="CM99">
            <v>0.42397625993193927</v>
          </cell>
          <cell r="CN99">
            <v>0.43898014436721139</v>
          </cell>
          <cell r="CO99">
            <v>0.43898014436721144</v>
          </cell>
          <cell r="CP99">
            <v>0.4402890931313107</v>
          </cell>
          <cell r="CQ99">
            <v>0.48477159090787697</v>
          </cell>
          <cell r="CR99">
            <v>0.49346225329749904</v>
          </cell>
          <cell r="CS99">
            <v>0.51488944413000948</v>
          </cell>
          <cell r="CT99">
            <v>0.51488944413000948</v>
          </cell>
          <cell r="CU99">
            <v>0.50339558755060054</v>
          </cell>
          <cell r="CV99">
            <v>0.53307372344756809</v>
          </cell>
          <cell r="CW99">
            <v>0.52572724063455312</v>
          </cell>
          <cell r="CX99">
            <v>0.5340173197788578</v>
          </cell>
          <cell r="CY99">
            <v>0.53401731977885791</v>
          </cell>
          <cell r="CZ99">
            <v>0.51159628026793724</v>
          </cell>
          <cell r="DA99">
            <v>0.53613076820386896</v>
          </cell>
          <cell r="DB99">
            <v>0.52213297037085771</v>
          </cell>
          <cell r="DC99">
            <v>0.52407402060893649</v>
          </cell>
          <cell r="DD99">
            <v>0.52407402060893649</v>
          </cell>
          <cell r="DE99">
            <v>0.4990557130272516</v>
          </cell>
          <cell r="DF99">
            <v>0.51702758266295401</v>
          </cell>
          <cell r="DG99">
            <v>0.4974160125043533</v>
          </cell>
          <cell r="DH99">
            <v>0.49505178493485014</v>
          </cell>
          <cell r="DI99">
            <v>0.49505178493485025</v>
          </cell>
        </row>
        <row r="101">
          <cell r="B101" t="str">
            <v>Fiscal Year ends December 31</v>
          </cell>
          <cell r="M101">
            <v>36160</v>
          </cell>
          <cell r="N101">
            <v>36250</v>
          </cell>
          <cell r="O101">
            <v>36341</v>
          </cell>
          <cell r="P101">
            <v>36433</v>
          </cell>
          <cell r="R101">
            <v>36525</v>
          </cell>
          <cell r="S101">
            <v>36616</v>
          </cell>
          <cell r="T101">
            <v>36707</v>
          </cell>
          <cell r="U101">
            <v>36799</v>
          </cell>
          <cell r="W101">
            <v>36891</v>
          </cell>
          <cell r="X101">
            <v>36981</v>
          </cell>
          <cell r="Y101">
            <v>37072</v>
          </cell>
          <cell r="Z101">
            <v>37164</v>
          </cell>
          <cell r="AB101">
            <v>37256</v>
          </cell>
          <cell r="AC101">
            <v>37346</v>
          </cell>
          <cell r="AD101">
            <v>37437</v>
          </cell>
          <cell r="AE101">
            <v>37529</v>
          </cell>
          <cell r="AG101">
            <v>37621</v>
          </cell>
          <cell r="AH101">
            <v>37711</v>
          </cell>
          <cell r="AI101">
            <v>37802</v>
          </cell>
          <cell r="AJ101">
            <v>37894</v>
          </cell>
          <cell r="AL101">
            <v>37986</v>
          </cell>
          <cell r="AM101">
            <v>38077</v>
          </cell>
          <cell r="AN101">
            <v>38168</v>
          </cell>
          <cell r="AO101">
            <v>38260</v>
          </cell>
          <cell r="AQ101">
            <v>38352</v>
          </cell>
          <cell r="AR101">
            <v>38442</v>
          </cell>
          <cell r="AS101">
            <v>38533</v>
          </cell>
          <cell r="AT101">
            <v>38625</v>
          </cell>
          <cell r="AW101">
            <v>38077</v>
          </cell>
          <cell r="AX101">
            <v>38168</v>
          </cell>
          <cell r="AY101">
            <v>38260</v>
          </cell>
          <cell r="AZ101">
            <v>38352</v>
          </cell>
          <cell r="BB101">
            <v>38442</v>
          </cell>
          <cell r="BC101">
            <v>38533</v>
          </cell>
          <cell r="BD101">
            <v>38625</v>
          </cell>
          <cell r="BE101">
            <v>38717</v>
          </cell>
          <cell r="BG101">
            <v>38807</v>
          </cell>
          <cell r="BH101">
            <v>38898</v>
          </cell>
          <cell r="BI101">
            <v>38990</v>
          </cell>
          <cell r="BJ101">
            <v>39082</v>
          </cell>
          <cell r="BL101">
            <v>39172</v>
          </cell>
          <cell r="BM101">
            <v>39263</v>
          </cell>
          <cell r="BN101">
            <v>39355</v>
          </cell>
          <cell r="BO101">
            <v>39447</v>
          </cell>
          <cell r="BQ101">
            <v>39538</v>
          </cell>
          <cell r="BR101">
            <v>39629</v>
          </cell>
          <cell r="BS101">
            <v>39721</v>
          </cell>
          <cell r="BT101">
            <v>39813</v>
          </cell>
          <cell r="BU101">
            <v>0</v>
          </cell>
          <cell r="BV101">
            <v>39903</v>
          </cell>
          <cell r="BW101">
            <v>39994</v>
          </cell>
          <cell r="BX101">
            <v>40086</v>
          </cell>
          <cell r="BY101">
            <v>40178</v>
          </cell>
          <cell r="CA101">
            <v>40268</v>
          </cell>
          <cell r="CB101">
            <v>40359</v>
          </cell>
          <cell r="CC101">
            <v>40451</v>
          </cell>
          <cell r="CD101">
            <v>40543</v>
          </cell>
          <cell r="CF101">
            <v>40633</v>
          </cell>
          <cell r="CG101">
            <v>40724</v>
          </cell>
          <cell r="CH101">
            <v>40816</v>
          </cell>
          <cell r="CI101">
            <v>40908</v>
          </cell>
          <cell r="CK101">
            <v>40999</v>
          </cell>
          <cell r="CL101">
            <v>41090</v>
          </cell>
          <cell r="CM101">
            <v>41182</v>
          </cell>
          <cell r="CN101">
            <v>41274</v>
          </cell>
          <cell r="CP101">
            <v>41364</v>
          </cell>
          <cell r="CQ101">
            <v>41455</v>
          </cell>
          <cell r="CR101">
            <v>41547</v>
          </cell>
          <cell r="CS101">
            <v>41639</v>
          </cell>
          <cell r="CU101">
            <v>41729</v>
          </cell>
          <cell r="CV101">
            <v>41820</v>
          </cell>
          <cell r="CW101">
            <v>41912</v>
          </cell>
          <cell r="CX101">
            <v>42004</v>
          </cell>
          <cell r="CZ101">
            <v>42094</v>
          </cell>
          <cell r="DA101">
            <v>42185</v>
          </cell>
          <cell r="DB101">
            <v>42277</v>
          </cell>
          <cell r="DC101">
            <v>42369</v>
          </cell>
          <cell r="DE101">
            <v>42460</v>
          </cell>
          <cell r="DF101">
            <v>42551</v>
          </cell>
          <cell r="DG101">
            <v>42643</v>
          </cell>
          <cell r="DH101">
            <v>42735</v>
          </cell>
        </row>
        <row r="102">
          <cell r="B102" t="str">
            <v>($ Million, except per share data)</v>
          </cell>
          <cell r="D102" t="str">
            <v>1990A</v>
          </cell>
          <cell r="E102" t="str">
            <v>F1991A</v>
          </cell>
          <cell r="F102" t="str">
            <v>F1992A</v>
          </cell>
          <cell r="G102" t="str">
            <v>F1993A</v>
          </cell>
          <cell r="H102" t="str">
            <v>F1994A</v>
          </cell>
          <cell r="I102" t="str">
            <v>F1995A</v>
          </cell>
          <cell r="J102" t="str">
            <v>F1996A</v>
          </cell>
          <cell r="K102" t="str">
            <v>F1997A</v>
          </cell>
          <cell r="L102" t="str">
            <v>F1998A</v>
          </cell>
          <cell r="M102" t="str">
            <v>F1Q99A</v>
          </cell>
          <cell r="N102" t="str">
            <v>F2Q99A</v>
          </cell>
          <cell r="O102" t="str">
            <v>F3Q99A</v>
          </cell>
          <cell r="P102" t="str">
            <v>F4Q99A</v>
          </cell>
          <cell r="Q102" t="str">
            <v>F1999A</v>
          </cell>
          <cell r="R102" t="str">
            <v>F1Q00A</v>
          </cell>
          <cell r="S102" t="str">
            <v>F2Q00A</v>
          </cell>
          <cell r="T102" t="str">
            <v>F3Q00A</v>
          </cell>
          <cell r="U102" t="str">
            <v>F4Q00A</v>
          </cell>
          <cell r="V102" t="str">
            <v>F2000A</v>
          </cell>
          <cell r="W102" t="str">
            <v>F1Q01A</v>
          </cell>
          <cell r="X102" t="str">
            <v>F2Q01A</v>
          </cell>
          <cell r="Y102" t="str">
            <v>F3Q01A</v>
          </cell>
          <cell r="Z102" t="str">
            <v>F4Q01A</v>
          </cell>
          <cell r="AA102" t="str">
            <v>F2001A</v>
          </cell>
          <cell r="AB102" t="str">
            <v>F1Q02A</v>
          </cell>
          <cell r="AC102" t="str">
            <v>F2Q02A</v>
          </cell>
          <cell r="AD102" t="str">
            <v>F3Q02A</v>
          </cell>
          <cell r="AE102" t="str">
            <v>F4Q02A</v>
          </cell>
          <cell r="AF102" t="str">
            <v>F2002A</v>
          </cell>
          <cell r="AG102" t="str">
            <v>F1Q03A</v>
          </cell>
          <cell r="AH102" t="str">
            <v>F2Q03A</v>
          </cell>
          <cell r="AI102" t="str">
            <v>F3Q03A</v>
          </cell>
          <cell r="AJ102" t="str">
            <v>F4Q03A</v>
          </cell>
          <cell r="AK102" t="str">
            <v>F2003A</v>
          </cell>
          <cell r="AL102" t="str">
            <v>F1Q04A</v>
          </cell>
          <cell r="AM102" t="str">
            <v>F2Q04A</v>
          </cell>
          <cell r="AN102" t="str">
            <v>F3Q04A</v>
          </cell>
          <cell r="AO102" t="str">
            <v>F4Q04A</v>
          </cell>
          <cell r="AP102" t="str">
            <v>F2004A</v>
          </cell>
          <cell r="AQ102" t="str">
            <v>F1Q05A</v>
          </cell>
          <cell r="AR102" t="str">
            <v>F2Q05A</v>
          </cell>
          <cell r="AS102" t="str">
            <v>F3Q05A</v>
          </cell>
          <cell r="AT102" t="str">
            <v>F4Q05A</v>
          </cell>
          <cell r="AU102" t="str">
            <v>F2005A</v>
          </cell>
          <cell r="AW102" t="str">
            <v>1Q04A</v>
          </cell>
          <cell r="AX102" t="str">
            <v>2Q04A</v>
          </cell>
          <cell r="AY102" t="str">
            <v>3Q04A</v>
          </cell>
          <cell r="AZ102" t="str">
            <v>4Q04A</v>
          </cell>
          <cell r="BA102" t="str">
            <v>2004A</v>
          </cell>
          <cell r="BB102" t="str">
            <v>1Q05A</v>
          </cell>
          <cell r="BC102" t="str">
            <v>2Q05A</v>
          </cell>
          <cell r="BD102" t="str">
            <v>3Q05A</v>
          </cell>
          <cell r="BE102" t="str">
            <v>4Q05A</v>
          </cell>
          <cell r="BF102" t="str">
            <v>2005A</v>
          </cell>
          <cell r="BG102" t="str">
            <v>1Q06A</v>
          </cell>
          <cell r="BH102" t="str">
            <v>2Q06A</v>
          </cell>
          <cell r="BI102" t="str">
            <v>3Q06A</v>
          </cell>
          <cell r="BJ102" t="str">
            <v>4Q06A</v>
          </cell>
          <cell r="BK102" t="str">
            <v>2006A</v>
          </cell>
          <cell r="BL102" t="str">
            <v>1Q07A</v>
          </cell>
          <cell r="BM102" t="str">
            <v>2Q07A</v>
          </cell>
          <cell r="BN102" t="str">
            <v>3Q07A</v>
          </cell>
          <cell r="BO102" t="str">
            <v>4Q07A</v>
          </cell>
          <cell r="BP102" t="str">
            <v>2007A</v>
          </cell>
          <cell r="BQ102" t="str">
            <v>1Q08A</v>
          </cell>
          <cell r="BR102" t="str">
            <v>2Q08A</v>
          </cell>
          <cell r="BS102" t="str">
            <v>3Q08A</v>
          </cell>
          <cell r="BT102" t="str">
            <v>4Q08A</v>
          </cell>
          <cell r="BU102" t="str">
            <v>2008A</v>
          </cell>
          <cell r="BV102" t="str">
            <v>1Q09A</v>
          </cell>
          <cell r="BW102" t="str">
            <v>2Q09A</v>
          </cell>
          <cell r="BX102" t="str">
            <v>3Q09A</v>
          </cell>
          <cell r="BY102" t="str">
            <v>4Q09A</v>
          </cell>
          <cell r="BZ102" t="str">
            <v>2009A</v>
          </cell>
          <cell r="CA102" t="str">
            <v>1Q10A</v>
          </cell>
          <cell r="CB102" t="str">
            <v>2Q10A</v>
          </cell>
          <cell r="CC102" t="str">
            <v>3Q10A</v>
          </cell>
          <cell r="CD102" t="str">
            <v>4Q10A</v>
          </cell>
          <cell r="CE102" t="str">
            <v>2010A</v>
          </cell>
          <cell r="CF102" t="str">
            <v>1Q11A</v>
          </cell>
          <cell r="CG102" t="str">
            <v>2Q11A</v>
          </cell>
          <cell r="CH102" t="str">
            <v>3Q11A</v>
          </cell>
          <cell r="CI102" t="str">
            <v>4Q11A</v>
          </cell>
          <cell r="CJ102" t="str">
            <v>2011A</v>
          </cell>
          <cell r="CK102" t="str">
            <v>1Q12A</v>
          </cell>
          <cell r="CL102" t="str">
            <v>2Q12A</v>
          </cell>
          <cell r="CM102" t="str">
            <v>3Q12A</v>
          </cell>
          <cell r="CN102" t="str">
            <v>4Q12E</v>
          </cell>
          <cell r="CO102" t="str">
            <v>2012E</v>
          </cell>
          <cell r="CP102" t="str">
            <v>1Q13E</v>
          </cell>
          <cell r="CQ102" t="str">
            <v>2Q13E</v>
          </cell>
          <cell r="CR102" t="str">
            <v>3Q13E</v>
          </cell>
          <cell r="CS102" t="str">
            <v>4Q13E</v>
          </cell>
          <cell r="CT102" t="str">
            <v>2013E</v>
          </cell>
          <cell r="CU102" t="str">
            <v>1Q14E</v>
          </cell>
          <cell r="CV102" t="str">
            <v>2Q14E</v>
          </cell>
          <cell r="CW102" t="str">
            <v>3Q14E</v>
          </cell>
          <cell r="CX102" t="str">
            <v>4Q14E</v>
          </cell>
          <cell r="CY102" t="str">
            <v>2014E</v>
          </cell>
          <cell r="CZ102" t="str">
            <v>1Q15E</v>
          </cell>
          <cell r="DA102" t="str">
            <v>2Q15E</v>
          </cell>
          <cell r="DB102" t="str">
            <v>3Q15E</v>
          </cell>
          <cell r="DC102" t="str">
            <v>4Q15E</v>
          </cell>
          <cell r="DD102" t="str">
            <v>2015E</v>
          </cell>
          <cell r="DE102" t="str">
            <v>1Q16E</v>
          </cell>
          <cell r="DF102" t="str">
            <v>2Q16E</v>
          </cell>
          <cell r="DG102" t="str">
            <v>3Q16E</v>
          </cell>
          <cell r="DH102" t="str">
            <v>4Q16E</v>
          </cell>
          <cell r="DI102" t="str">
            <v>2016E</v>
          </cell>
        </row>
        <row r="103">
          <cell r="B103" t="str">
            <v>CASH FLOW STATEMENT</v>
          </cell>
        </row>
        <row r="105">
          <cell r="B105" t="str">
            <v>Net Income</v>
          </cell>
          <cell r="F105">
            <v>22.677999999999987</v>
          </cell>
          <cell r="G105">
            <v>32.245000000000005</v>
          </cell>
          <cell r="H105">
            <v>46.53599999999998</v>
          </cell>
          <cell r="I105">
            <v>63.331000000000081</v>
          </cell>
          <cell r="J105">
            <v>84.085999999999999</v>
          </cell>
          <cell r="K105">
            <v>108.32200000000003</v>
          </cell>
          <cell r="L105">
            <v>136.84399999999988</v>
          </cell>
          <cell r="M105">
            <v>30.954999999999981</v>
          </cell>
          <cell r="N105">
            <v>47.706999999999994</v>
          </cell>
          <cell r="O105">
            <v>38.757000000000026</v>
          </cell>
          <cell r="P105">
            <v>32.426000000000016</v>
          </cell>
          <cell r="Q105">
            <v>149.84500000000003</v>
          </cell>
          <cell r="R105">
            <v>34.291999999999994</v>
          </cell>
          <cell r="S105">
            <v>50.487000000000023</v>
          </cell>
          <cell r="T105">
            <v>43.823000000000008</v>
          </cell>
          <cell r="U105">
            <v>39.064999999999998</v>
          </cell>
          <cell r="V105">
            <v>167.66700000000003</v>
          </cell>
          <cell r="W105">
            <v>40.17800000000004</v>
          </cell>
          <cell r="X105">
            <v>48.740000000000045</v>
          </cell>
          <cell r="Y105">
            <v>54.137999999999963</v>
          </cell>
          <cell r="Z105">
            <v>51.922000000000004</v>
          </cell>
          <cell r="AA105">
            <v>194.97800000000004</v>
          </cell>
          <cell r="AB105">
            <v>50.466000000000044</v>
          </cell>
          <cell r="AC105">
            <v>69.236000000000018</v>
          </cell>
          <cell r="AD105">
            <v>66.616</v>
          </cell>
          <cell r="AE105">
            <v>60.117999999999945</v>
          </cell>
          <cell r="AF105">
            <v>246.43599999999998</v>
          </cell>
          <cell r="AG105">
            <v>59.656000000000006</v>
          </cell>
          <cell r="AH105">
            <v>78.064999999999955</v>
          </cell>
          <cell r="AI105">
            <v>75.920999999999978</v>
          </cell>
          <cell r="AJ105">
            <v>69.782000000000039</v>
          </cell>
          <cell r="AK105">
            <v>283.42399999999998</v>
          </cell>
          <cell r="AL105">
            <v>71.310999999999993</v>
          </cell>
          <cell r="AM105">
            <v>90.475000000000009</v>
          </cell>
          <cell r="AN105">
            <v>89.28300000000003</v>
          </cell>
          <cell r="AO105">
            <v>74.029999999999916</v>
          </cell>
          <cell r="AP105">
            <v>325.09899999999993</v>
          </cell>
          <cell r="AQ105">
            <v>78.752000000000052</v>
          </cell>
          <cell r="AR105">
            <v>99.76300000000009</v>
          </cell>
          <cell r="AS105">
            <v>86.77200000000002</v>
          </cell>
          <cell r="AT105">
            <v>87.788999999999959</v>
          </cell>
          <cell r="AU105">
            <v>353.07600000000014</v>
          </cell>
          <cell r="AW105">
            <v>90.475000000000009</v>
          </cell>
          <cell r="AX105">
            <v>89.28300000000003</v>
          </cell>
          <cell r="AY105">
            <v>74.029999999999916</v>
          </cell>
          <cell r="AZ105">
            <v>78.752000000000052</v>
          </cell>
          <cell r="BA105">
            <v>332.53999999999968</v>
          </cell>
          <cell r="BB105">
            <v>99.76300000000009</v>
          </cell>
          <cell r="BC105">
            <v>86.77200000000002</v>
          </cell>
          <cell r="BD105">
            <v>87.788999999999959</v>
          </cell>
          <cell r="BE105">
            <v>75.942000000000093</v>
          </cell>
          <cell r="BF105">
            <v>350.26600000000019</v>
          </cell>
          <cell r="BG105">
            <v>87.213000000000136</v>
          </cell>
          <cell r="BH105">
            <v>77.30499999999995</v>
          </cell>
          <cell r="BI105">
            <v>74.436000000000078</v>
          </cell>
          <cell r="BJ105">
            <v>-56.205000000000041</v>
          </cell>
          <cell r="BK105">
            <v>182.74900000000014</v>
          </cell>
          <cell r="BL105">
            <v>65.038999999999774</v>
          </cell>
          <cell r="BM105">
            <v>11.906000000000065</v>
          </cell>
          <cell r="BN105">
            <v>30.473999999999965</v>
          </cell>
          <cell r="BO105">
            <v>12.460000000000029</v>
          </cell>
          <cell r="BP105">
            <v>119.87899999999982</v>
          </cell>
          <cell r="BQ105">
            <v>134.67599999999993</v>
          </cell>
          <cell r="BR105">
            <v>17.782000000000021</v>
          </cell>
          <cell r="BS105">
            <v>10.971999999999912</v>
          </cell>
          <cell r="BT105">
            <v>19.803000000000054</v>
          </cell>
          <cell r="BU105">
            <v>183.23299999999992</v>
          </cell>
          <cell r="BV105">
            <v>52.56899999999991</v>
          </cell>
          <cell r="BW105">
            <v>39.298000000000002</v>
          </cell>
          <cell r="BX105">
            <v>31.921000000000074</v>
          </cell>
          <cell r="BY105">
            <v>40.152999999999892</v>
          </cell>
          <cell r="BZ105">
            <v>163.94099999999986</v>
          </cell>
          <cell r="CA105">
            <v>53.418999999999883</v>
          </cell>
          <cell r="CB105">
            <v>45.713000000000001</v>
          </cell>
          <cell r="CC105">
            <v>39.880000000000052</v>
          </cell>
          <cell r="CD105">
            <v>33.235999999999983</v>
          </cell>
          <cell r="CE105">
            <v>172.24799999999993</v>
          </cell>
          <cell r="CF105">
            <v>62.112000000000144</v>
          </cell>
          <cell r="CG105">
            <v>55.333000000000055</v>
          </cell>
          <cell r="CH105">
            <v>49.959000000000039</v>
          </cell>
          <cell r="CI105">
            <v>36.520999999999866</v>
          </cell>
          <cell r="CJ105">
            <v>203.9250000000001</v>
          </cell>
          <cell r="CK105">
            <v>44.596000000000252</v>
          </cell>
          <cell r="CL105">
            <v>45.119999999999976</v>
          </cell>
          <cell r="CM105">
            <v>48.029000000000103</v>
          </cell>
          <cell r="CN105">
            <v>59.90168999778848</v>
          </cell>
          <cell r="CO105">
            <v>197.64668999778883</v>
          </cell>
          <cell r="CP105">
            <v>70.671584289472179</v>
          </cell>
          <cell r="CQ105">
            <v>65.161458332979606</v>
          </cell>
          <cell r="CR105">
            <v>50.686975273955312</v>
          </cell>
          <cell r="CS105">
            <v>34.577245356246884</v>
          </cell>
          <cell r="CT105">
            <v>221.09726325265399</v>
          </cell>
          <cell r="CU105">
            <v>78.627910427412246</v>
          </cell>
          <cell r="CV105">
            <v>85.080621758383927</v>
          </cell>
          <cell r="CW105">
            <v>73.707412367852754</v>
          </cell>
          <cell r="CX105">
            <v>54.809635323121483</v>
          </cell>
          <cell r="CY105">
            <v>292.22557987677044</v>
          </cell>
          <cell r="CZ105">
            <v>102.3906773607535</v>
          </cell>
          <cell r="DA105">
            <v>94.662470994466275</v>
          </cell>
          <cell r="DB105">
            <v>84.747099581396014</v>
          </cell>
          <cell r="DC105">
            <v>67.324042419083156</v>
          </cell>
          <cell r="DD105">
            <v>349.12429035569892</v>
          </cell>
          <cell r="DE105">
            <v>116.28078034362986</v>
          </cell>
          <cell r="DF105">
            <v>106.59478687251507</v>
          </cell>
          <cell r="DG105">
            <v>97.684751533965809</v>
          </cell>
          <cell r="DH105">
            <v>76.979432205673433</v>
          </cell>
          <cell r="DI105">
            <v>397.5397509557842</v>
          </cell>
          <cell r="DU105" t="str">
            <v>mstag:netIncomeReported</v>
          </cell>
          <cell r="DV105">
            <v>6</v>
          </cell>
          <cell r="DW105" t="str">
            <v>ISO4217:USD</v>
          </cell>
          <cell r="DX105" t="b">
            <v>0</v>
          </cell>
        </row>
        <row r="106">
          <cell r="G106">
            <v>0</v>
          </cell>
          <cell r="H106">
            <v>0</v>
          </cell>
          <cell r="I106">
            <v>0</v>
          </cell>
          <cell r="J106">
            <v>0</v>
          </cell>
          <cell r="K106">
            <v>0</v>
          </cell>
          <cell r="L106">
            <v>0</v>
          </cell>
          <cell r="CF106" t="str">
            <v>.</v>
          </cell>
        </row>
        <row r="107">
          <cell r="B107" t="str">
            <v>Depreciation and amortization</v>
          </cell>
          <cell r="F107">
            <v>12.779</v>
          </cell>
          <cell r="G107">
            <v>13.081</v>
          </cell>
          <cell r="H107">
            <v>16.61</v>
          </cell>
          <cell r="I107">
            <v>20.562000000000001</v>
          </cell>
          <cell r="J107">
            <v>27.172999999999998</v>
          </cell>
          <cell r="K107">
            <v>36.561</v>
          </cell>
          <cell r="L107">
            <v>50.436999999999998</v>
          </cell>
          <cell r="M107">
            <v>14.507</v>
          </cell>
          <cell r="N107">
            <v>14.343999999999999</v>
          </cell>
          <cell r="O107">
            <v>15.956999999999999</v>
          </cell>
          <cell r="P107">
            <v>16.47</v>
          </cell>
          <cell r="Q107">
            <v>61.277999999999999</v>
          </cell>
          <cell r="R107">
            <v>18.132000000000001</v>
          </cell>
          <cell r="S107">
            <v>18.533999999999995</v>
          </cell>
          <cell r="T107">
            <v>19.093999999999998</v>
          </cell>
          <cell r="U107">
            <v>18.739000000000008</v>
          </cell>
          <cell r="V107">
            <v>74.498999999999995</v>
          </cell>
          <cell r="W107">
            <v>21.43</v>
          </cell>
          <cell r="X107">
            <v>22.116</v>
          </cell>
          <cell r="Y107">
            <v>22.875999999999998</v>
          </cell>
          <cell r="Z107">
            <v>24.224000000000011</v>
          </cell>
          <cell r="AA107">
            <v>90.646000000000015</v>
          </cell>
          <cell r="AB107">
            <v>21.648</v>
          </cell>
          <cell r="AC107">
            <v>23.892999999999997</v>
          </cell>
          <cell r="AD107">
            <v>24.293000000000003</v>
          </cell>
          <cell r="AE107">
            <v>25.493999999999996</v>
          </cell>
          <cell r="AF107">
            <v>95.328000000000003</v>
          </cell>
          <cell r="AG107">
            <v>26.087</v>
          </cell>
          <cell r="AH107">
            <v>27.113000000000003</v>
          </cell>
          <cell r="AI107">
            <v>28.003000000000004</v>
          </cell>
          <cell r="AJ107">
            <v>28.661000000000005</v>
          </cell>
          <cell r="AK107">
            <v>109.864</v>
          </cell>
          <cell r="AL107">
            <v>31.003</v>
          </cell>
          <cell r="AM107">
            <v>34.379999999999995</v>
          </cell>
          <cell r="AN107">
            <v>34.03</v>
          </cell>
          <cell r="AO107">
            <v>35.501999999999995</v>
          </cell>
          <cell r="AP107">
            <v>134.91499999999999</v>
          </cell>
          <cell r="AQ107">
            <v>36.594999999999999</v>
          </cell>
          <cell r="AR107">
            <v>37.341999999999999</v>
          </cell>
          <cell r="AS107">
            <v>39.113</v>
          </cell>
          <cell r="AT107">
            <v>42.123000000000005</v>
          </cell>
          <cell r="AU107">
            <v>155.173</v>
          </cell>
          <cell r="AW107">
            <v>34.379999999999995</v>
          </cell>
          <cell r="AX107">
            <v>34.03</v>
          </cell>
          <cell r="AY107">
            <v>35.501999999999995</v>
          </cell>
          <cell r="AZ107">
            <v>36.594999999999999</v>
          </cell>
          <cell r="BA107">
            <v>140.50700000000001</v>
          </cell>
          <cell r="BB107">
            <v>37.341999999999999</v>
          </cell>
          <cell r="BC107">
            <v>39.113</v>
          </cell>
          <cell r="BD107">
            <v>42.123000000000005</v>
          </cell>
          <cell r="BE107">
            <v>41.527999999999999</v>
          </cell>
          <cell r="BF107">
            <v>160.10599999999999</v>
          </cell>
          <cell r="BG107">
            <v>43.777999999999999</v>
          </cell>
          <cell r="BH107">
            <v>45.390999999999998</v>
          </cell>
          <cell r="BI107">
            <v>45.886000000000017</v>
          </cell>
          <cell r="BJ107">
            <v>53.158999999999985</v>
          </cell>
          <cell r="BK107">
            <v>188.214</v>
          </cell>
          <cell r="BL107">
            <v>52.651000000000003</v>
          </cell>
          <cell r="BM107">
            <v>55.541999999999994</v>
          </cell>
          <cell r="BN107">
            <v>58.518000000000008</v>
          </cell>
          <cell r="BO107">
            <v>60.387999999999984</v>
          </cell>
          <cell r="BP107">
            <v>227.09899999999999</v>
          </cell>
          <cell r="BQ107">
            <v>59.250999999999998</v>
          </cell>
          <cell r="BR107">
            <v>61.384999999999998</v>
          </cell>
          <cell r="BS107">
            <v>61.560000000000009</v>
          </cell>
          <cell r="BT107">
            <v>62.199999999999996</v>
          </cell>
          <cell r="BU107">
            <v>244.39599999999999</v>
          </cell>
          <cell r="BV107">
            <v>62.634</v>
          </cell>
          <cell r="BW107">
            <v>62.265000000000001</v>
          </cell>
          <cell r="BX107">
            <v>59.413000000000011</v>
          </cell>
          <cell r="BY107">
            <v>63.597999999999985</v>
          </cell>
          <cell r="BZ107">
            <v>247.91</v>
          </cell>
          <cell r="CA107">
            <v>63.798000000000002</v>
          </cell>
          <cell r="CB107">
            <v>63.563000000000002</v>
          </cell>
          <cell r="CC107">
            <v>63.222999999999999</v>
          </cell>
          <cell r="CD107">
            <v>60.879999999999995</v>
          </cell>
          <cell r="CE107">
            <v>251.464</v>
          </cell>
          <cell r="CF107">
            <v>67.040000000000006</v>
          </cell>
          <cell r="CG107">
            <v>65.122</v>
          </cell>
          <cell r="CH107">
            <v>67.265999999999977</v>
          </cell>
          <cell r="CI107">
            <v>75.098000000000027</v>
          </cell>
          <cell r="CJ107">
            <v>274.52600000000001</v>
          </cell>
          <cell r="CK107">
            <v>81.156000000000006</v>
          </cell>
          <cell r="CL107">
            <v>88.455999999999989</v>
          </cell>
          <cell r="CM107">
            <v>94.347999999999985</v>
          </cell>
          <cell r="CN107">
            <v>91.645666666666671</v>
          </cell>
          <cell r="CO107">
            <v>355.60566666666665</v>
          </cell>
          <cell r="CP107">
            <v>91.16339669877182</v>
          </cell>
          <cell r="CQ107">
            <v>91.734322373558129</v>
          </cell>
          <cell r="CR107">
            <v>92.295732620431338</v>
          </cell>
          <cell r="CS107">
            <v>92.847786029856664</v>
          </cell>
          <cell r="CT107">
            <v>368.04123772261795</v>
          </cell>
          <cell r="CU107">
            <v>93.184425760600661</v>
          </cell>
          <cell r="CV107">
            <v>93.486581260881536</v>
          </cell>
          <cell r="CW107">
            <v>93.763011968198128</v>
          </cell>
          <cell r="CX107">
            <v>94.081633226741218</v>
          </cell>
          <cell r="CY107">
            <v>374.51565221642159</v>
          </cell>
          <cell r="CZ107">
            <v>94.473102952827716</v>
          </cell>
          <cell r="DA107">
            <v>94.825529239970479</v>
          </cell>
          <cell r="DB107">
            <v>95.152131408263273</v>
          </cell>
          <cell r="DC107">
            <v>95.525972953812612</v>
          </cell>
          <cell r="DD107">
            <v>379.97673655487404</v>
          </cell>
          <cell r="DE107">
            <v>95.980702900009291</v>
          </cell>
          <cell r="DF107">
            <v>96.389250462507874</v>
          </cell>
          <cell r="DG107">
            <v>96.77138813920665</v>
          </cell>
          <cell r="DH107">
            <v>97.197215301502268</v>
          </cell>
          <cell r="DI107">
            <v>386.33855680322608</v>
          </cell>
          <cell r="DU107" t="str">
            <v>mstag:depreciation</v>
          </cell>
          <cell r="DV107">
            <v>6</v>
          </cell>
          <cell r="DW107" t="str">
            <v>ISO4217:USD</v>
          </cell>
          <cell r="DX107" t="b">
            <v>0</v>
          </cell>
        </row>
        <row r="108">
          <cell r="B108" t="str">
            <v xml:space="preserve">Other &amp; writedowns </v>
          </cell>
          <cell r="F108">
            <v>0</v>
          </cell>
          <cell r="G108">
            <v>0</v>
          </cell>
          <cell r="H108">
            <v>2.5499999999999998</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17</v>
          </cell>
          <cell r="Y108">
            <v>0</v>
          </cell>
          <cell r="Z108">
            <v>0</v>
          </cell>
          <cell r="AA108">
            <v>17</v>
          </cell>
          <cell r="AB108">
            <v>0</v>
          </cell>
          <cell r="AC108">
            <v>0</v>
          </cell>
          <cell r="AD108">
            <v>0</v>
          </cell>
          <cell r="AE108">
            <v>0</v>
          </cell>
          <cell r="AF108">
            <v>0</v>
          </cell>
          <cell r="AG108">
            <v>0</v>
          </cell>
          <cell r="AH108">
            <v>0</v>
          </cell>
          <cell r="AI108">
            <v>0</v>
          </cell>
          <cell r="AJ108">
            <v>4.931</v>
          </cell>
          <cell r="AK108">
            <v>4.931</v>
          </cell>
          <cell r="AL108">
            <v>0</v>
          </cell>
          <cell r="AM108">
            <v>0</v>
          </cell>
          <cell r="AN108">
            <v>0</v>
          </cell>
          <cell r="AO108">
            <v>0</v>
          </cell>
          <cell r="AP108">
            <v>0</v>
          </cell>
          <cell r="AQ108">
            <v>2.54</v>
          </cell>
          <cell r="AR108">
            <v>-4.0000000000000036E-2</v>
          </cell>
          <cell r="AS108">
            <v>0</v>
          </cell>
          <cell r="AT108">
            <v>0.13200000000000012</v>
          </cell>
          <cell r="AU108">
            <v>2.6320000000000001</v>
          </cell>
          <cell r="AW108">
            <v>0</v>
          </cell>
          <cell r="AX108">
            <v>0</v>
          </cell>
          <cell r="AY108">
            <v>0</v>
          </cell>
          <cell r="AZ108">
            <v>2.54</v>
          </cell>
          <cell r="BA108">
            <v>2.54</v>
          </cell>
          <cell r="BB108">
            <v>-4.0000000000000036E-2</v>
          </cell>
          <cell r="BC108">
            <v>0</v>
          </cell>
          <cell r="BD108">
            <v>0.13200000000000012</v>
          </cell>
          <cell r="BE108">
            <v>-7.2999999999999995E-2</v>
          </cell>
          <cell r="BF108">
            <v>1.9000000000000086E-2</v>
          </cell>
          <cell r="BG108">
            <v>0</v>
          </cell>
          <cell r="BH108">
            <v>0</v>
          </cell>
          <cell r="BI108">
            <v>0</v>
          </cell>
          <cell r="BJ108">
            <v>0</v>
          </cell>
          <cell r="BK108">
            <v>0</v>
          </cell>
          <cell r="BL108">
            <v>0</v>
          </cell>
          <cell r="BM108">
            <v>0</v>
          </cell>
          <cell r="BN108">
            <v>0</v>
          </cell>
          <cell r="BO108">
            <v>0</v>
          </cell>
          <cell r="BP108">
            <v>0</v>
          </cell>
          <cell r="BQ108">
            <v>0.92100000000000004</v>
          </cell>
          <cell r="BR108">
            <v>0</v>
          </cell>
          <cell r="BS108">
            <v>0</v>
          </cell>
          <cell r="BT108">
            <v>6.165</v>
          </cell>
          <cell r="BU108">
            <v>7.0860000000000003</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40.408000000000001</v>
          </cell>
          <cell r="CJ108">
            <v>40.408000000000001</v>
          </cell>
          <cell r="CK108">
            <v>36.721000000000004</v>
          </cell>
          <cell r="CL108">
            <v>22.259999999999998</v>
          </cell>
          <cell r="CM108">
            <v>23.920999999999999</v>
          </cell>
          <cell r="CN108">
            <v>0</v>
          </cell>
          <cell r="CO108">
            <v>82.902000000000001</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U108" t="str">
            <v>mstag:restructuringCostsOneTimeCashFlowStatement</v>
          </cell>
          <cell r="DV108">
            <v>6</v>
          </cell>
          <cell r="DW108" t="str">
            <v>ISO4217:USD</v>
          </cell>
          <cell r="DX108" t="b">
            <v>0</v>
          </cell>
        </row>
        <row r="109">
          <cell r="B109" t="str">
            <v>Provisions for doubtful accounts</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68.956000000000003</v>
          </cell>
          <cell r="Y109">
            <v>36.158000000000001</v>
          </cell>
          <cell r="Z109">
            <v>38.808999999999997</v>
          </cell>
          <cell r="AA109">
            <v>143.923</v>
          </cell>
          <cell r="AB109">
            <v>36.878</v>
          </cell>
          <cell r="AC109">
            <v>43.712999999999994</v>
          </cell>
          <cell r="AD109">
            <v>45.484999999999999</v>
          </cell>
          <cell r="AE109">
            <v>46.354000000000013</v>
          </cell>
          <cell r="AF109">
            <v>172.43</v>
          </cell>
          <cell r="AG109">
            <v>46.307000000000002</v>
          </cell>
          <cell r="AH109">
            <v>45.016999999999996</v>
          </cell>
          <cell r="AI109">
            <v>46.447999999999993</v>
          </cell>
          <cell r="AJ109">
            <v>49.053999999999988</v>
          </cell>
          <cell r="AK109">
            <v>186.82599999999996</v>
          </cell>
          <cell r="AL109">
            <v>58.087000000000003</v>
          </cell>
          <cell r="AM109">
            <v>59.578000000000003</v>
          </cell>
          <cell r="AN109">
            <v>62.513999999999996</v>
          </cell>
          <cell r="AO109">
            <v>59.894999999999996</v>
          </cell>
          <cell r="AP109">
            <v>240.07400000000001</v>
          </cell>
          <cell r="AQ109">
            <v>62.085999999999999</v>
          </cell>
          <cell r="AR109">
            <v>64.573000000000008</v>
          </cell>
          <cell r="AS109">
            <v>105.41199999999999</v>
          </cell>
          <cell r="AT109">
            <v>73.488000000000042</v>
          </cell>
          <cell r="AU109">
            <v>305.55900000000003</v>
          </cell>
          <cell r="AW109">
            <v>59.578000000000003</v>
          </cell>
          <cell r="AX109">
            <v>62.513999999999996</v>
          </cell>
          <cell r="AY109">
            <v>59.894999999999996</v>
          </cell>
          <cell r="AZ109">
            <v>62.085999999999999</v>
          </cell>
          <cell r="BA109">
            <v>244.07299999999998</v>
          </cell>
          <cell r="BB109">
            <v>64.573000000000008</v>
          </cell>
          <cell r="BC109">
            <v>105.41199999999999</v>
          </cell>
          <cell r="BD109">
            <v>73.488000000000042</v>
          </cell>
          <cell r="BE109">
            <v>81.106999999999999</v>
          </cell>
          <cell r="BF109">
            <v>324.58000000000004</v>
          </cell>
          <cell r="BG109">
            <v>83.775999999999996</v>
          </cell>
          <cell r="BH109">
            <v>91.206000000000003</v>
          </cell>
          <cell r="BI109">
            <v>91.739999999999966</v>
          </cell>
          <cell r="BJ109">
            <v>302.81900000000007</v>
          </cell>
          <cell r="BK109">
            <v>569.54100000000005</v>
          </cell>
          <cell r="BL109">
            <v>121.46899999999999</v>
          </cell>
          <cell r="BM109">
            <v>150.36599999999999</v>
          </cell>
          <cell r="BN109">
            <v>126.48600000000005</v>
          </cell>
          <cell r="BO109">
            <v>130.39800000000002</v>
          </cell>
          <cell r="BP109">
            <v>528.71900000000005</v>
          </cell>
          <cell r="BQ109">
            <v>128.97</v>
          </cell>
          <cell r="BR109">
            <v>124.83699999999999</v>
          </cell>
          <cell r="BS109">
            <v>124.19399999999999</v>
          </cell>
          <cell r="BT109">
            <v>130.22900000000007</v>
          </cell>
          <cell r="BU109">
            <v>508.23</v>
          </cell>
          <cell r="BV109">
            <v>143.983</v>
          </cell>
          <cell r="BW109">
            <v>141.505</v>
          </cell>
          <cell r="BX109">
            <v>134.38400000000001</v>
          </cell>
          <cell r="BY109">
            <v>147.16399999999993</v>
          </cell>
          <cell r="BZ109">
            <v>567.03599999999994</v>
          </cell>
          <cell r="CA109">
            <v>158.80500000000001</v>
          </cell>
          <cell r="CB109">
            <v>149.73099999999999</v>
          </cell>
          <cell r="CC109">
            <v>159.92200000000003</v>
          </cell>
          <cell r="CD109">
            <v>159.24399999999997</v>
          </cell>
          <cell r="CE109">
            <v>627.702</v>
          </cell>
          <cell r="CF109">
            <v>172.80199999999999</v>
          </cell>
          <cell r="CG109">
            <v>170.054</v>
          </cell>
          <cell r="CH109">
            <v>178.87300000000008</v>
          </cell>
          <cell r="CI109">
            <v>195.12699999999998</v>
          </cell>
          <cell r="CJ109">
            <v>716.85599999999999</v>
          </cell>
          <cell r="CK109">
            <v>201.261</v>
          </cell>
          <cell r="CL109">
            <v>214.56300000000002</v>
          </cell>
          <cell r="CM109">
            <v>224.07800000000003</v>
          </cell>
          <cell r="CN109">
            <v>231.49207752188323</v>
          </cell>
          <cell r="CO109">
            <v>871.39407752188322</v>
          </cell>
          <cell r="CP109">
            <v>235.56444688548012</v>
          </cell>
          <cell r="CQ109">
            <v>241.42522828460378</v>
          </cell>
          <cell r="CR109">
            <v>254.002584369668</v>
          </cell>
          <cell r="CS109">
            <v>257.02973061024016</v>
          </cell>
          <cell r="CT109">
            <v>988.02199014999201</v>
          </cell>
          <cell r="CU109">
            <v>189.48801670731294</v>
          </cell>
          <cell r="CV109">
            <v>194.77399794157026</v>
          </cell>
          <cell r="CW109">
            <v>204.69666651038935</v>
          </cell>
          <cell r="CX109">
            <v>207.56875740520627</v>
          </cell>
          <cell r="CY109">
            <v>796.52743856447887</v>
          </cell>
          <cell r="CZ109">
            <v>172.64500807231349</v>
          </cell>
          <cell r="DA109">
            <v>176.50685420070937</v>
          </cell>
          <cell r="DB109">
            <v>185.37446677882798</v>
          </cell>
          <cell r="DC109">
            <v>188.28177216036485</v>
          </cell>
          <cell r="DD109">
            <v>722.80810121221566</v>
          </cell>
          <cell r="DE109">
            <v>161.64526418738677</v>
          </cell>
          <cell r="DF109">
            <v>164.28377525814815</v>
          </cell>
          <cell r="DG109">
            <v>172.42250458134649</v>
          </cell>
          <cell r="DH109">
            <v>175.27856747258164</v>
          </cell>
          <cell r="DI109">
            <v>673.63011149946306</v>
          </cell>
          <cell r="DU109" t="str">
            <v>mstag:provisionForDoubtfulAccountsRecurringCashFlowStatement</v>
          </cell>
          <cell r="DV109">
            <v>6</v>
          </cell>
          <cell r="DW109" t="str">
            <v>ISO4217:USD</v>
          </cell>
          <cell r="DX109" t="b">
            <v>0</v>
          </cell>
        </row>
        <row r="110">
          <cell r="B110" t="str">
            <v>Stock-based compensation</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W110">
            <v>0</v>
          </cell>
          <cell r="AX110">
            <v>0</v>
          </cell>
          <cell r="AY110">
            <v>0</v>
          </cell>
          <cell r="AZ110">
            <v>0</v>
          </cell>
          <cell r="BA110">
            <v>0</v>
          </cell>
          <cell r="BB110">
            <v>0</v>
          </cell>
          <cell r="BC110">
            <v>0</v>
          </cell>
          <cell r="BD110">
            <v>0</v>
          </cell>
          <cell r="BE110">
            <v>5.1929999999999996</v>
          </cell>
          <cell r="BF110">
            <v>5.1929999999999996</v>
          </cell>
          <cell r="BG110">
            <v>4.8140000000000001</v>
          </cell>
          <cell r="BH110">
            <v>4.82</v>
          </cell>
          <cell r="BI110">
            <v>3.923</v>
          </cell>
          <cell r="BJ110">
            <v>4.7729999999999979</v>
          </cell>
          <cell r="BK110">
            <v>18.329999999999998</v>
          </cell>
          <cell r="BL110">
            <v>4.8209999999999997</v>
          </cell>
          <cell r="BM110">
            <v>5.0389999999999997</v>
          </cell>
          <cell r="BN110">
            <v>4.636000000000001</v>
          </cell>
          <cell r="BO110">
            <v>3.9060000000000006</v>
          </cell>
          <cell r="BP110">
            <v>18.402000000000001</v>
          </cell>
          <cell r="BQ110">
            <v>4.3</v>
          </cell>
          <cell r="BR110">
            <v>4.4319999999999995</v>
          </cell>
          <cell r="BS110">
            <v>4.8030000000000017</v>
          </cell>
          <cell r="BT110">
            <v>4.6909999999999998</v>
          </cell>
          <cell r="BU110">
            <v>18.225999999999999</v>
          </cell>
          <cell r="BV110">
            <v>2.7589999999999999</v>
          </cell>
          <cell r="BW110">
            <v>2.637</v>
          </cell>
          <cell r="BX110">
            <v>2.5589999999999997</v>
          </cell>
          <cell r="BY110">
            <v>2.9120000000000013</v>
          </cell>
          <cell r="BZ110">
            <v>10.867000000000001</v>
          </cell>
          <cell r="CA110">
            <v>4.4669999999999996</v>
          </cell>
          <cell r="CB110">
            <v>4.4669999999999996</v>
          </cell>
          <cell r="CC110">
            <v>4.8280000000000021</v>
          </cell>
          <cell r="CD110">
            <v>4.6039999999999992</v>
          </cell>
          <cell r="CE110">
            <v>18.366</v>
          </cell>
          <cell r="CF110">
            <v>6.4829999999999997</v>
          </cell>
          <cell r="CG110">
            <v>6.4620000000000006</v>
          </cell>
          <cell r="CH110">
            <v>6.355999999999999</v>
          </cell>
          <cell r="CI110">
            <v>5.868000000000003</v>
          </cell>
          <cell r="CJ110">
            <v>25.169</v>
          </cell>
          <cell r="CK110">
            <v>6.8869999999999996</v>
          </cell>
          <cell r="CL110">
            <v>6.3170000000000011</v>
          </cell>
          <cell r="CM110">
            <v>6.2880000000000003</v>
          </cell>
          <cell r="CN110">
            <v>6.4226807838613738</v>
          </cell>
          <cell r="CO110">
            <v>25.914680783861375</v>
          </cell>
          <cell r="CP110">
            <v>6.6434430884208888</v>
          </cell>
          <cell r="CQ110">
            <v>6.5483272102855263</v>
          </cell>
          <cell r="CR110">
            <v>6.4685462166376251</v>
          </cell>
          <cell r="CS110">
            <v>6.6463074371151816</v>
          </cell>
          <cell r="CT110">
            <v>26.306623952459226</v>
          </cell>
          <cell r="CU110">
            <v>6.7746959496123038</v>
          </cell>
          <cell r="CV110">
            <v>6.670874840243262</v>
          </cell>
          <cell r="CW110">
            <v>6.5964835768558325</v>
          </cell>
          <cell r="CX110">
            <v>6.7647548540223799</v>
          </cell>
          <cell r="CY110">
            <v>26.806809220733776</v>
          </cell>
          <cell r="CZ110">
            <v>7.045791666371632</v>
          </cell>
          <cell r="DA110">
            <v>6.9288628282940063</v>
          </cell>
          <cell r="DB110">
            <v>6.8571270740312009</v>
          </cell>
          <cell r="DC110">
            <v>7.046559192573298</v>
          </cell>
          <cell r="DD110">
            <v>27.878340761270138</v>
          </cell>
          <cell r="DE110">
            <v>7.3598145824543968</v>
          </cell>
          <cell r="DF110">
            <v>7.2210072317964187</v>
          </cell>
          <cell r="DG110">
            <v>7.1505284948925301</v>
          </cell>
          <cell r="DH110">
            <v>7.3305243802898916</v>
          </cell>
          <cell r="DI110">
            <v>29.061874689433235</v>
          </cell>
          <cell r="DU110" t="str">
            <v>mstag:stockBasedCompensationChargePreTax</v>
          </cell>
          <cell r="DV110">
            <v>6</v>
          </cell>
          <cell r="DW110" t="str">
            <v>ISO4217:USD</v>
          </cell>
          <cell r="DX110" t="b">
            <v>0</v>
          </cell>
        </row>
        <row r="111">
          <cell r="B111" t="str">
            <v>Loss/(Gain) on sale of fixed assets &amp; other</v>
          </cell>
          <cell r="F111">
            <v>0.443</v>
          </cell>
          <cell r="G111">
            <v>-0.161</v>
          </cell>
          <cell r="H111">
            <v>-4.9000000000000002E-2</v>
          </cell>
          <cell r="I111">
            <v>0.11600000000000001</v>
          </cell>
          <cell r="J111">
            <v>0.21099999999999999</v>
          </cell>
          <cell r="K111">
            <v>-9.1999999999999998E-2</v>
          </cell>
          <cell r="L111">
            <v>1.4E-2</v>
          </cell>
          <cell r="M111">
            <v>7.0000000000000007E-2</v>
          </cell>
          <cell r="N111">
            <v>-5.6000000000000008E-2</v>
          </cell>
          <cell r="O111">
            <v>6.3</v>
          </cell>
          <cell r="P111">
            <v>-6.1429999999999998</v>
          </cell>
          <cell r="Q111">
            <v>0.17100000000000026</v>
          </cell>
          <cell r="R111">
            <v>3.0000000000000001E-3</v>
          </cell>
          <cell r="S111">
            <v>1.3000000000000001E-2</v>
          </cell>
          <cell r="T111">
            <v>1.4999999999999999E-2</v>
          </cell>
          <cell r="U111">
            <v>5.4000000000000006E-2</v>
          </cell>
          <cell r="V111">
            <v>8.5000000000000006E-2</v>
          </cell>
          <cell r="W111">
            <v>4.0000000000000001E-3</v>
          </cell>
          <cell r="X111">
            <v>6.0000000000000001E-3</v>
          </cell>
          <cell r="Y111">
            <v>0</v>
          </cell>
          <cell r="Z111">
            <v>-1.6E-2</v>
          </cell>
          <cell r="AA111">
            <v>-6.0000000000000001E-3</v>
          </cell>
          <cell r="AB111">
            <v>0</v>
          </cell>
          <cell r="AC111">
            <v>5.6000000000000001E-2</v>
          </cell>
          <cell r="AD111">
            <v>0.48600000000000004</v>
          </cell>
          <cell r="AE111">
            <v>-0.48000000000000004</v>
          </cell>
          <cell r="AF111">
            <v>6.2E-2</v>
          </cell>
          <cell r="AG111">
            <v>0.01</v>
          </cell>
          <cell r="AH111">
            <v>-0.35200000000000004</v>
          </cell>
          <cell r="AI111">
            <v>-2.0999999999999956E-2</v>
          </cell>
          <cell r="AJ111">
            <v>-0.46300000000000002</v>
          </cell>
          <cell r="AK111">
            <v>-0.82600000000000007</v>
          </cell>
          <cell r="AL111">
            <v>0</v>
          </cell>
          <cell r="AM111">
            <v>-0.78900000000000003</v>
          </cell>
          <cell r="AN111">
            <v>-1.88</v>
          </cell>
          <cell r="AO111">
            <v>0.32299999999999984</v>
          </cell>
          <cell r="AP111">
            <v>-2.3460000000000001</v>
          </cell>
          <cell r="AQ111">
            <v>-0.108</v>
          </cell>
          <cell r="AR111">
            <v>-7.5999999999999998E-2</v>
          </cell>
          <cell r="AS111">
            <v>-19.076000000000001</v>
          </cell>
          <cell r="AT111">
            <v>-15.303000000000001</v>
          </cell>
          <cell r="AU111">
            <v>-34.563000000000002</v>
          </cell>
          <cell r="AW111">
            <v>-0.78900000000000003</v>
          </cell>
          <cell r="AX111">
            <v>-1.88</v>
          </cell>
          <cell r="AY111">
            <v>0.32299999999999984</v>
          </cell>
          <cell r="AZ111">
            <v>-0.108</v>
          </cell>
          <cell r="BA111">
            <v>-2.4540000000000002</v>
          </cell>
          <cell r="BB111">
            <v>-7.5999999999999998E-2</v>
          </cell>
          <cell r="BC111">
            <v>-19.076000000000001</v>
          </cell>
          <cell r="BD111">
            <v>-15.303000000000001</v>
          </cell>
          <cell r="BE111">
            <v>8.0000000000000002E-3</v>
          </cell>
          <cell r="BF111">
            <v>-34.446999999999996</v>
          </cell>
          <cell r="BG111">
            <v>-1.629</v>
          </cell>
          <cell r="BH111">
            <v>-0.38300000000000001</v>
          </cell>
          <cell r="BI111">
            <v>5.2999999999999936E-2</v>
          </cell>
          <cell r="BJ111">
            <v>-14.581000000000001</v>
          </cell>
          <cell r="BK111">
            <v>-16.540000000000003</v>
          </cell>
          <cell r="BL111">
            <v>-0.66800000000000004</v>
          </cell>
          <cell r="BM111">
            <v>-2.5919999999999996</v>
          </cell>
          <cell r="BN111">
            <v>7.9999999999998961E-3</v>
          </cell>
          <cell r="BO111">
            <v>0.73799999999999988</v>
          </cell>
          <cell r="BP111">
            <v>-2.5139999999999998</v>
          </cell>
          <cell r="BQ111">
            <v>-203.32</v>
          </cell>
          <cell r="BR111">
            <v>-6.1839999999999975</v>
          </cell>
          <cell r="BS111">
            <v>-1.6500000000000057</v>
          </cell>
          <cell r="BT111">
            <v>-0.34700000000000841</v>
          </cell>
          <cell r="BU111">
            <v>-211.501</v>
          </cell>
          <cell r="BV111">
            <v>0.112</v>
          </cell>
          <cell r="BW111">
            <v>-1.9990000000000001</v>
          </cell>
          <cell r="BX111">
            <v>-4.8999999999999835E-2</v>
          </cell>
          <cell r="BY111">
            <v>-0.69200000000000006</v>
          </cell>
          <cell r="BZ111">
            <v>-2.6280000000000001</v>
          </cell>
          <cell r="CA111">
            <v>-2.1270000000000002</v>
          </cell>
          <cell r="CB111">
            <v>-1.9059999999999993</v>
          </cell>
          <cell r="CC111">
            <v>-1.2650000000000006</v>
          </cell>
          <cell r="CD111">
            <v>0.25899999999999945</v>
          </cell>
          <cell r="CE111">
            <v>-5.0390000000000006</v>
          </cell>
          <cell r="CF111">
            <v>0.14300000000000002</v>
          </cell>
          <cell r="CG111">
            <v>0.64400000000000002</v>
          </cell>
          <cell r="CH111">
            <v>-0.39699999999999991</v>
          </cell>
          <cell r="CI111">
            <v>0.4169999999999997</v>
          </cell>
          <cell r="CJ111">
            <v>0.80699999999999983</v>
          </cell>
          <cell r="CK111">
            <v>2.02</v>
          </cell>
          <cell r="CL111">
            <v>-0.41200000000000014</v>
          </cell>
          <cell r="CM111">
            <v>-1.8440000000000001</v>
          </cell>
          <cell r="CN111">
            <v>0</v>
          </cell>
          <cell r="CO111">
            <v>-0.23600000000000021</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U111" t="str">
            <v>mstag:gainsLossesFromSaleOfOperatingAssetsOneTime</v>
          </cell>
          <cell r="DV111">
            <v>6</v>
          </cell>
          <cell r="DW111" t="str">
            <v>ISO4217:USD</v>
          </cell>
          <cell r="DX111" t="b">
            <v>1</v>
          </cell>
        </row>
        <row r="112">
          <cell r="B112" t="str">
            <v>Deferred income tax expense (benefit)</v>
          </cell>
          <cell r="F112">
            <v>-0.1</v>
          </cell>
          <cell r="G112">
            <v>-0.5</v>
          </cell>
          <cell r="H112">
            <v>-1.2</v>
          </cell>
          <cell r="I112">
            <v>-0.9</v>
          </cell>
          <cell r="J112">
            <v>0.7</v>
          </cell>
          <cell r="K112">
            <v>-0.4</v>
          </cell>
          <cell r="L112">
            <v>-2.9140000000000001</v>
          </cell>
          <cell r="M112">
            <v>0</v>
          </cell>
          <cell r="N112">
            <v>0</v>
          </cell>
          <cell r="O112">
            <v>0</v>
          </cell>
          <cell r="P112">
            <v>-5</v>
          </cell>
          <cell r="Q112">
            <v>-5</v>
          </cell>
          <cell r="R112">
            <v>0</v>
          </cell>
          <cell r="S112">
            <v>0</v>
          </cell>
          <cell r="T112">
            <v>0</v>
          </cell>
          <cell r="U112">
            <v>-4.9790000000000001</v>
          </cell>
          <cell r="V112">
            <v>-4.9790000000000001</v>
          </cell>
          <cell r="W112">
            <v>0</v>
          </cell>
          <cell r="X112">
            <v>0</v>
          </cell>
          <cell r="Y112">
            <v>0</v>
          </cell>
          <cell r="Z112">
            <v>-6.6</v>
          </cell>
          <cell r="AA112">
            <v>-6.6</v>
          </cell>
          <cell r="AB112">
            <v>0</v>
          </cell>
          <cell r="AC112">
            <v>0</v>
          </cell>
          <cell r="AD112">
            <v>0</v>
          </cell>
          <cell r="AE112">
            <v>-8.5850000000000009</v>
          </cell>
          <cell r="AF112">
            <v>-8.5850000000000009</v>
          </cell>
          <cell r="AG112">
            <v>0</v>
          </cell>
          <cell r="AH112">
            <v>0</v>
          </cell>
          <cell r="AI112">
            <v>0</v>
          </cell>
          <cell r="AJ112">
            <v>37.057000000000002</v>
          </cell>
          <cell r="AK112">
            <v>37.057000000000002</v>
          </cell>
          <cell r="AL112">
            <v>0</v>
          </cell>
          <cell r="AM112">
            <v>0</v>
          </cell>
          <cell r="AN112">
            <v>0</v>
          </cell>
          <cell r="AO112">
            <v>79.12</v>
          </cell>
          <cell r="AP112">
            <v>79.12</v>
          </cell>
          <cell r="AQ112">
            <v>8.577</v>
          </cell>
          <cell r="AR112">
            <v>15.680000000000001</v>
          </cell>
          <cell r="AS112">
            <v>0.75099999999999767</v>
          </cell>
          <cell r="AT112">
            <v>13.372000000000005</v>
          </cell>
          <cell r="AU112">
            <v>38.380000000000003</v>
          </cell>
          <cell r="AW112">
            <v>0</v>
          </cell>
          <cell r="AX112">
            <v>0</v>
          </cell>
          <cell r="AY112">
            <v>79.12</v>
          </cell>
          <cell r="AZ112">
            <v>8.577</v>
          </cell>
          <cell r="BA112">
            <v>87.697000000000003</v>
          </cell>
          <cell r="BB112">
            <v>15.680000000000001</v>
          </cell>
          <cell r="BC112">
            <v>0.75099999999999767</v>
          </cell>
          <cell r="BD112">
            <v>13.372000000000005</v>
          </cell>
          <cell r="BE112">
            <v>9.6210000000000004</v>
          </cell>
          <cell r="BF112">
            <v>39.424000000000007</v>
          </cell>
          <cell r="BG112">
            <v>-5.5289999999999999</v>
          </cell>
          <cell r="BH112">
            <v>-12.286000000000001</v>
          </cell>
          <cell r="BI112">
            <v>-35.283999999999992</v>
          </cell>
          <cell r="BJ112">
            <v>-51.399000000000015</v>
          </cell>
          <cell r="BK112">
            <v>-104.498</v>
          </cell>
          <cell r="BL112">
            <v>-1.1719999999999999</v>
          </cell>
          <cell r="BM112">
            <v>-40.499000000000002</v>
          </cell>
          <cell r="BN112">
            <v>38.283999999999999</v>
          </cell>
          <cell r="BO112">
            <v>68.28</v>
          </cell>
          <cell r="BP112">
            <v>64.893000000000001</v>
          </cell>
          <cell r="BQ112">
            <v>66.465999999999994</v>
          </cell>
          <cell r="BR112">
            <v>-9.7789999999999964</v>
          </cell>
          <cell r="BS112">
            <v>17.799999999999997</v>
          </cell>
          <cell r="BT112">
            <v>36.091999999999999</v>
          </cell>
          <cell r="BU112">
            <v>110.57899999999999</v>
          </cell>
          <cell r="BV112">
            <v>8.6470000000000002</v>
          </cell>
          <cell r="BW112">
            <v>-3.9580000000000002</v>
          </cell>
          <cell r="BX112">
            <v>25.17</v>
          </cell>
          <cell r="BY112">
            <v>60.607999999999997</v>
          </cell>
          <cell r="BZ112">
            <v>90.466999999999999</v>
          </cell>
          <cell r="CA112">
            <v>2.665</v>
          </cell>
          <cell r="CB112">
            <v>-11.363</v>
          </cell>
          <cell r="CC112">
            <v>4.702</v>
          </cell>
          <cell r="CD112">
            <v>24.307000000000002</v>
          </cell>
          <cell r="CE112">
            <v>20.311</v>
          </cell>
          <cell r="CF112">
            <v>11.695</v>
          </cell>
          <cell r="CG112">
            <v>1.92</v>
          </cell>
          <cell r="CH112">
            <v>34.76</v>
          </cell>
          <cell r="CI112">
            <v>30.784000000000006</v>
          </cell>
          <cell r="CJ112">
            <v>79.159000000000006</v>
          </cell>
          <cell r="CK112">
            <v>-9.4510000000000005</v>
          </cell>
          <cell r="CL112">
            <v>-12.640999999999998</v>
          </cell>
          <cell r="CM112">
            <v>1.9358000000000004</v>
          </cell>
          <cell r="CN112">
            <v>0</v>
          </cell>
          <cell r="CO112">
            <v>-20.156199999999998</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U112" t="str">
            <v>mstag:deferredTax</v>
          </cell>
          <cell r="DV112">
            <v>6</v>
          </cell>
          <cell r="DW112" t="str">
            <v>ISO4217:USD</v>
          </cell>
          <cell r="DX112" t="b">
            <v>0</v>
          </cell>
        </row>
        <row r="113">
          <cell r="B113" t="str">
            <v>Minority interest</v>
          </cell>
          <cell r="F113">
            <v>0</v>
          </cell>
          <cell r="G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4.3410000000000002</v>
          </cell>
          <cell r="AK113">
            <v>4.3410000000000002</v>
          </cell>
          <cell r="AL113">
            <v>0</v>
          </cell>
          <cell r="AM113">
            <v>0</v>
          </cell>
          <cell r="AN113">
            <v>0</v>
          </cell>
          <cell r="AO113">
            <v>5.7160000000000002</v>
          </cell>
          <cell r="AP113">
            <v>5.7160000000000002</v>
          </cell>
          <cell r="AQ113">
            <v>0.66200000000000003</v>
          </cell>
          <cell r="AR113">
            <v>0.89899999999999991</v>
          </cell>
          <cell r="AS113">
            <v>0.83799999999999997</v>
          </cell>
          <cell r="AT113">
            <v>0.72699999999999976</v>
          </cell>
          <cell r="AU113">
            <v>3.1259999999999999</v>
          </cell>
          <cell r="AW113">
            <v>0</v>
          </cell>
          <cell r="AX113">
            <v>0</v>
          </cell>
          <cell r="AY113">
            <v>5.7160000000000002</v>
          </cell>
          <cell r="AZ113">
            <v>0.66200000000000003</v>
          </cell>
          <cell r="BA113">
            <v>6.3780000000000001</v>
          </cell>
          <cell r="BB113">
            <v>0.89899999999999991</v>
          </cell>
          <cell r="BC113">
            <v>0.83799999999999997</v>
          </cell>
          <cell r="BD113">
            <v>0.72699999999999976</v>
          </cell>
          <cell r="BE113">
            <v>0.40100000000000002</v>
          </cell>
          <cell r="BF113">
            <v>2.8649999999999993</v>
          </cell>
          <cell r="BG113">
            <v>0.65800000000000003</v>
          </cell>
          <cell r="BH113">
            <v>1.077</v>
          </cell>
          <cell r="BI113">
            <v>0.43499999999999994</v>
          </cell>
          <cell r="BJ113">
            <v>-0.13300000000000012</v>
          </cell>
          <cell r="BK113">
            <v>2.0369999999999999</v>
          </cell>
          <cell r="BL113">
            <v>0.17100000000000001</v>
          </cell>
          <cell r="BM113">
            <v>0.217</v>
          </cell>
          <cell r="BN113">
            <v>-0.28200000000000003</v>
          </cell>
          <cell r="BO113">
            <v>0.22000000000000011</v>
          </cell>
          <cell r="BP113">
            <v>0.32600000000000007</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U113" t="str">
            <v>mstag:minorityInterestCashFlowStatement</v>
          </cell>
          <cell r="DV113">
            <v>6</v>
          </cell>
          <cell r="DW113" t="str">
            <v>ISO4217:USD</v>
          </cell>
          <cell r="DX113" t="b">
            <v>0</v>
          </cell>
        </row>
        <row r="114">
          <cell r="B114" t="str">
            <v>Losses on early extinguishment of debt</v>
          </cell>
          <cell r="F114">
            <v>-0.79700000000000004</v>
          </cell>
          <cell r="G114">
            <v>0</v>
          </cell>
          <cell r="H114">
            <v>0</v>
          </cell>
          <cell r="AW114">
            <v>0</v>
          </cell>
          <cell r="AX114">
            <v>0</v>
          </cell>
          <cell r="AY114">
            <v>0</v>
          </cell>
          <cell r="AZ114">
            <v>0</v>
          </cell>
          <cell r="BG114">
            <v>0</v>
          </cell>
          <cell r="BH114">
            <v>0</v>
          </cell>
          <cell r="BI114">
            <v>0</v>
          </cell>
          <cell r="BJ114">
            <v>0</v>
          </cell>
          <cell r="BL114">
            <v>0</v>
          </cell>
          <cell r="BM114">
            <v>0</v>
          </cell>
          <cell r="BN114">
            <v>0</v>
          </cell>
          <cell r="BO114">
            <v>0</v>
          </cell>
          <cell r="BP114">
            <v>0</v>
          </cell>
          <cell r="BQ114">
            <v>0</v>
          </cell>
          <cell r="BR114">
            <v>9.9659999999999993</v>
          </cell>
          <cell r="BS114">
            <v>9.4949999999999992</v>
          </cell>
          <cell r="BT114">
            <v>-26.405000000000001</v>
          </cell>
          <cell r="BU114">
            <v>-6.9440000000000026</v>
          </cell>
          <cell r="BV114">
            <v>-16.734999999999999</v>
          </cell>
          <cell r="BW114">
            <v>0</v>
          </cell>
          <cell r="BX114">
            <v>0.5329999999999977</v>
          </cell>
          <cell r="BY114">
            <v>0</v>
          </cell>
          <cell r="BZ114">
            <v>-16.202000000000002</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U114" t="str">
            <v>mstag:gainLossOnRedemptionAndExtinguishmentOfDebtCashFlowStatement</v>
          </cell>
          <cell r="DV114">
            <v>6</v>
          </cell>
          <cell r="DW114" t="str">
            <v>ISO4217:USD</v>
          </cell>
          <cell r="DX114" t="b">
            <v>1</v>
          </cell>
        </row>
        <row r="115">
          <cell r="B115" t="str">
            <v>Write-off of deferred financing costs</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W115">
            <v>0</v>
          </cell>
          <cell r="AX115">
            <v>0</v>
          </cell>
          <cell r="AY115">
            <v>0</v>
          </cell>
          <cell r="AZ115">
            <v>0</v>
          </cell>
          <cell r="BA115">
            <v>0</v>
          </cell>
          <cell r="BB115">
            <v>0</v>
          </cell>
          <cell r="BC115">
            <v>0</v>
          </cell>
          <cell r="BD115">
            <v>0</v>
          </cell>
          <cell r="BE115">
            <v>0</v>
          </cell>
          <cell r="BF115">
            <v>0</v>
          </cell>
          <cell r="BG115">
            <v>4.6280000000000001</v>
          </cell>
          <cell r="BH115">
            <v>0</v>
          </cell>
          <cell r="BI115">
            <v>2.9740000000000002</v>
          </cell>
          <cell r="BJ115">
            <v>0</v>
          </cell>
          <cell r="BK115">
            <v>7.6020000000000003</v>
          </cell>
          <cell r="BL115">
            <v>0.76100000000000001</v>
          </cell>
          <cell r="BM115">
            <v>0</v>
          </cell>
          <cell r="BN115">
            <v>0</v>
          </cell>
          <cell r="BO115">
            <v>0</v>
          </cell>
          <cell r="BP115">
            <v>0.76100000000000001</v>
          </cell>
          <cell r="BQ115">
            <v>0.629</v>
          </cell>
          <cell r="BR115">
            <v>0.8680000000000001</v>
          </cell>
          <cell r="BS115">
            <v>0</v>
          </cell>
          <cell r="BT115">
            <v>0</v>
          </cell>
          <cell r="BU115">
            <v>1.4970000000000001</v>
          </cell>
          <cell r="BV115">
            <v>0.19400000000000001</v>
          </cell>
          <cell r="BW115">
            <v>0.25</v>
          </cell>
          <cell r="BX115">
            <v>0</v>
          </cell>
          <cell r="BY115">
            <v>0</v>
          </cell>
          <cell r="BZ115">
            <v>0.44400000000000001</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U115" t="str">
            <v>mstag:otherCashFlow</v>
          </cell>
          <cell r="DV115">
            <v>6</v>
          </cell>
          <cell r="DW115" t="str">
            <v>ISO4217:USD</v>
          </cell>
          <cell r="DX115" t="b">
            <v>0</v>
          </cell>
        </row>
        <row r="116">
          <cell r="B116" t="str">
            <v>Equity comp excess tax benefit</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W116">
            <v>0</v>
          </cell>
          <cell r="AX116">
            <v>0</v>
          </cell>
          <cell r="AY116">
            <v>0</v>
          </cell>
          <cell r="AZ116">
            <v>0</v>
          </cell>
          <cell r="BA116">
            <v>0</v>
          </cell>
          <cell r="BB116">
            <v>0</v>
          </cell>
          <cell r="BC116">
            <v>0</v>
          </cell>
          <cell r="BD116">
            <v>0</v>
          </cell>
          <cell r="BE116">
            <v>-0.80800000000000005</v>
          </cell>
          <cell r="BF116">
            <v>-0.80800000000000005</v>
          </cell>
          <cell r="BG116">
            <v>-1.9E-2</v>
          </cell>
          <cell r="BH116">
            <v>-1.9E-2</v>
          </cell>
          <cell r="BI116">
            <v>-1.3100000000000003</v>
          </cell>
          <cell r="BJ116">
            <v>-2.0999999999999717E-2</v>
          </cell>
          <cell r="BK116">
            <v>-1.369</v>
          </cell>
          <cell r="BL116">
            <v>-0.23100000000000001</v>
          </cell>
          <cell r="BM116">
            <v>-4.200000000000001E-2</v>
          </cell>
          <cell r="BN116">
            <v>0</v>
          </cell>
          <cell r="BO116">
            <v>0</v>
          </cell>
          <cell r="BP116">
            <v>-0.27300000000000002</v>
          </cell>
          <cell r="BQ116">
            <v>1.1879999999999999</v>
          </cell>
          <cell r="BR116">
            <v>-1.1879999999999999</v>
          </cell>
          <cell r="BS116">
            <v>0</v>
          </cell>
          <cell r="BT116">
            <v>0</v>
          </cell>
          <cell r="BU116">
            <v>0</v>
          </cell>
          <cell r="BV116">
            <v>-0.14399999999999999</v>
          </cell>
          <cell r="BW116">
            <v>0</v>
          </cell>
          <cell r="BX116">
            <v>-5.0000000000000044E-3</v>
          </cell>
          <cell r="BY116">
            <v>-6.9000000000000006E-2</v>
          </cell>
          <cell r="BZ116">
            <v>-0.218</v>
          </cell>
          <cell r="CA116">
            <v>0</v>
          </cell>
          <cell r="CB116">
            <v>-1.1120000000000001</v>
          </cell>
          <cell r="CC116">
            <v>0</v>
          </cell>
          <cell r="CD116">
            <v>-0.16599999999999993</v>
          </cell>
          <cell r="CE116">
            <v>-1.278</v>
          </cell>
          <cell r="CF116">
            <v>-2.8969999999999998</v>
          </cell>
          <cell r="CG116">
            <v>-2.2000000000000242E-2</v>
          </cell>
          <cell r="CH116">
            <v>0</v>
          </cell>
          <cell r="CI116">
            <v>-8.0000000000000071E-2</v>
          </cell>
          <cell r="CJ116">
            <v>-2.9990000000000001</v>
          </cell>
          <cell r="CK116">
            <v>-1.4</v>
          </cell>
          <cell r="CL116">
            <v>-7.0000000000001172E-3</v>
          </cell>
          <cell r="CM116">
            <v>-3.6999999999999922E-2</v>
          </cell>
          <cell r="CN116">
            <v>0</v>
          </cell>
          <cell r="CO116">
            <v>-1.444</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U116" t="str">
            <v>mstag:taxBenefitFromExerciseOfEsosCashFlowStatement</v>
          </cell>
          <cell r="DV116">
            <v>6</v>
          </cell>
          <cell r="DW116" t="str">
            <v>ISO4217:USD</v>
          </cell>
          <cell r="DX116" t="b">
            <v>0</v>
          </cell>
        </row>
        <row r="117">
          <cell r="AW117">
            <v>0</v>
          </cell>
          <cell r="AX117">
            <v>0</v>
          </cell>
          <cell r="AY117">
            <v>0</v>
          </cell>
          <cell r="AZ117">
            <v>0</v>
          </cell>
        </row>
        <row r="118">
          <cell r="B118" t="str">
            <v>Accounts receivable</v>
          </cell>
          <cell r="F118">
            <v>-6.2249999999999996</v>
          </cell>
          <cell r="G118">
            <v>-10.021000000000001</v>
          </cell>
          <cell r="H118">
            <v>-21.491</v>
          </cell>
          <cell r="I118">
            <v>-11.912000000000001</v>
          </cell>
          <cell r="J118">
            <v>-19.898</v>
          </cell>
          <cell r="K118">
            <v>-12.648</v>
          </cell>
          <cell r="L118">
            <v>-63.381999999999998</v>
          </cell>
          <cell r="M118">
            <v>-11.829000000000001</v>
          </cell>
          <cell r="N118">
            <v>-19.558</v>
          </cell>
          <cell r="O118">
            <v>-8.5240000000000009</v>
          </cell>
          <cell r="P118">
            <v>-25.144000000000005</v>
          </cell>
          <cell r="Q118">
            <v>-65.055000000000007</v>
          </cell>
          <cell r="R118">
            <v>-19.338999999999999</v>
          </cell>
          <cell r="S118">
            <v>-7.0980000000000025</v>
          </cell>
          <cell r="T118">
            <v>17.920000000000002</v>
          </cell>
          <cell r="U118">
            <v>-15.86</v>
          </cell>
          <cell r="V118">
            <v>-24.376999999999999</v>
          </cell>
          <cell r="W118">
            <v>-25.934000000000001</v>
          </cell>
          <cell r="X118">
            <v>-62.893000000000001</v>
          </cell>
          <cell r="Y118">
            <v>-15.740999999999996</v>
          </cell>
          <cell r="Z118">
            <v>-44.720000000000027</v>
          </cell>
          <cell r="AA118">
            <v>-149.28800000000001</v>
          </cell>
          <cell r="AB118">
            <v>-23.69</v>
          </cell>
          <cell r="AC118">
            <v>-101.02800000000001</v>
          </cell>
          <cell r="AD118">
            <v>-32.534000000000006</v>
          </cell>
          <cell r="AE118">
            <v>-52.719999999999985</v>
          </cell>
          <cell r="AF118">
            <v>-209.97199999999998</v>
          </cell>
          <cell r="AG118">
            <v>-52.822000000000003</v>
          </cell>
          <cell r="AH118">
            <v>-77.99799999999999</v>
          </cell>
          <cell r="AI118">
            <v>-33.165999999999997</v>
          </cell>
          <cell r="AJ118">
            <v>-101.84399999999999</v>
          </cell>
          <cell r="AK118">
            <v>-265.83</v>
          </cell>
          <cell r="AL118">
            <v>-158.71700000000001</v>
          </cell>
          <cell r="AM118">
            <v>-96.978999999999985</v>
          </cell>
          <cell r="AN118">
            <v>-30.402999999999992</v>
          </cell>
          <cell r="AO118">
            <v>-57.769000000000034</v>
          </cell>
          <cell r="AP118">
            <v>-343.86800000000005</v>
          </cell>
          <cell r="AQ118">
            <v>-70.278000000000006</v>
          </cell>
          <cell r="AR118">
            <v>-123.61</v>
          </cell>
          <cell r="AS118">
            <v>-58.053000000000011</v>
          </cell>
          <cell r="AT118">
            <v>-76.524999999999991</v>
          </cell>
          <cell r="AU118">
            <v>-328.46600000000001</v>
          </cell>
          <cell r="AW118">
            <v>-96.978999999999985</v>
          </cell>
          <cell r="AX118">
            <v>-30.402999999999992</v>
          </cell>
          <cell r="AY118">
            <v>-57.769000000000034</v>
          </cell>
          <cell r="AZ118">
            <v>-70.278000000000006</v>
          </cell>
          <cell r="BA118">
            <v>-255.42900000000003</v>
          </cell>
          <cell r="BB118">
            <v>-123.61</v>
          </cell>
          <cell r="BC118">
            <v>-58.053000000000011</v>
          </cell>
          <cell r="BD118">
            <v>-76.524999999999991</v>
          </cell>
          <cell r="BE118">
            <v>-107.514</v>
          </cell>
          <cell r="BF118">
            <v>-365.702</v>
          </cell>
          <cell r="BG118">
            <v>-141.67099999999999</v>
          </cell>
          <cell r="BH118">
            <v>-102.864</v>
          </cell>
          <cell r="BI118">
            <v>-132.26299999999998</v>
          </cell>
          <cell r="BJ118">
            <v>-122.42400000000004</v>
          </cell>
          <cell r="BK118">
            <v>-499.22200000000004</v>
          </cell>
          <cell r="BL118">
            <v>-173.02500000000001</v>
          </cell>
          <cell r="BM118">
            <v>-120.88899999999998</v>
          </cell>
          <cell r="BN118">
            <v>-138.489</v>
          </cell>
          <cell r="BO118">
            <v>-115.71199999999996</v>
          </cell>
          <cell r="BP118">
            <v>-548.11500000000001</v>
          </cell>
          <cell r="BQ118">
            <v>-170.75299999999999</v>
          </cell>
          <cell r="BR118">
            <v>-90.187999999999988</v>
          </cell>
          <cell r="BS118">
            <v>-142.988</v>
          </cell>
          <cell r="BT118">
            <v>-128.68500000000006</v>
          </cell>
          <cell r="BU118">
            <v>-532.61400000000003</v>
          </cell>
          <cell r="BV118">
            <v>-190.791</v>
          </cell>
          <cell r="BW118">
            <v>-90.475000000000023</v>
          </cell>
          <cell r="BX118">
            <v>-139.03100000000001</v>
          </cell>
          <cell r="BY118">
            <v>-185.80200000000002</v>
          </cell>
          <cell r="BZ118">
            <v>-606.09900000000005</v>
          </cell>
          <cell r="CA118">
            <v>-245.691</v>
          </cell>
          <cell r="CB118">
            <v>-64.539000000000016</v>
          </cell>
          <cell r="CC118">
            <v>-181.13</v>
          </cell>
          <cell r="CD118">
            <v>-243.97399999999993</v>
          </cell>
          <cell r="CE118">
            <v>-735.33399999999995</v>
          </cell>
          <cell r="CF118">
            <v>-236.41200000000001</v>
          </cell>
          <cell r="CG118">
            <v>-118.75800000000001</v>
          </cell>
          <cell r="CH118">
            <v>-218.732</v>
          </cell>
          <cell r="CI118">
            <v>-296.99599999999998</v>
          </cell>
          <cell r="CJ118">
            <v>-870.89800000000002</v>
          </cell>
          <cell r="CK118">
            <v>-297.78199999999998</v>
          </cell>
          <cell r="CL118">
            <v>-149.19400000000002</v>
          </cell>
          <cell r="CM118">
            <v>-272.51900000000001</v>
          </cell>
          <cell r="CN118">
            <v>-228.59806392590306</v>
          </cell>
          <cell r="CO118">
            <v>-948.09306392590304</v>
          </cell>
          <cell r="CP118">
            <v>-304.40775037604868</v>
          </cell>
          <cell r="CQ118">
            <v>-142.02450519134101</v>
          </cell>
          <cell r="CR118">
            <v>-305.37418198615546</v>
          </cell>
          <cell r="CS118">
            <v>-250.67415123259357</v>
          </cell>
          <cell r="CT118">
            <v>-1002.4805887861387</v>
          </cell>
          <cell r="CU118">
            <v>-244.28418667942435</v>
          </cell>
          <cell r="CV118">
            <v>-92.956424803111673</v>
          </cell>
          <cell r="CW118">
            <v>-258.5116922284837</v>
          </cell>
          <cell r="CX118">
            <v>-198.6742670374974</v>
          </cell>
          <cell r="CY118">
            <v>-794.42657074851718</v>
          </cell>
          <cell r="CZ118">
            <v>-250.19587158323239</v>
          </cell>
          <cell r="DA118">
            <v>-69.930589143254593</v>
          </cell>
          <cell r="DB118">
            <v>-242.53056862302699</v>
          </cell>
          <cell r="DC118">
            <v>-180.59180384196844</v>
          </cell>
          <cell r="DD118">
            <v>-743.24883319148239</v>
          </cell>
          <cell r="DE118">
            <v>-232.20879117551411</v>
          </cell>
          <cell r="DF118">
            <v>-63.230855549846638</v>
          </cell>
          <cell r="DG118">
            <v>-233.05377382871137</v>
          </cell>
          <cell r="DH118">
            <v>-164.24282575814837</v>
          </cell>
          <cell r="DI118">
            <v>-692.73624631222049</v>
          </cell>
          <cell r="DU118" t="str">
            <v>mstag:netDecreaseInTradeReceivables</v>
          </cell>
          <cell r="DV118">
            <v>6</v>
          </cell>
          <cell r="DW118" t="str">
            <v>ISO4217:USD</v>
          </cell>
          <cell r="DX118" t="b">
            <v>0</v>
          </cell>
        </row>
        <row r="119">
          <cell r="B119" t="str">
            <v>Supplies, prepaid expenses and other current assets</v>
          </cell>
          <cell r="F119">
            <v>-0.83600000000000008</v>
          </cell>
          <cell r="G119">
            <v>-0.65299999999999991</v>
          </cell>
          <cell r="H119">
            <v>-0.59800000000000009</v>
          </cell>
          <cell r="I119">
            <v>-0.76900000000000002</v>
          </cell>
          <cell r="J119">
            <v>-1.071</v>
          </cell>
          <cell r="K119">
            <v>-2.8499999999999996</v>
          </cell>
          <cell r="L119">
            <v>-3.5960000000000001</v>
          </cell>
          <cell r="M119">
            <v>-2.8839999999999999</v>
          </cell>
          <cell r="N119">
            <v>-2.653</v>
          </cell>
          <cell r="O119">
            <v>0.20099999999999962</v>
          </cell>
          <cell r="P119">
            <v>1.0609999999999999</v>
          </cell>
          <cell r="Q119">
            <v>-4.2750000000000004</v>
          </cell>
          <cell r="R119">
            <v>-3.1040000000000001</v>
          </cell>
          <cell r="S119">
            <v>-6.028999999999999</v>
          </cell>
          <cell r="T119">
            <v>-2.2740000000000009</v>
          </cell>
          <cell r="U119">
            <v>-2.5410000000000004</v>
          </cell>
          <cell r="V119">
            <v>-13.948</v>
          </cell>
          <cell r="W119">
            <v>-5.7460000000000004</v>
          </cell>
          <cell r="X119">
            <v>-2.9420000000000002</v>
          </cell>
          <cell r="Y119">
            <v>0.35100000000000087</v>
          </cell>
          <cell r="Z119">
            <v>-1.9130000000000003</v>
          </cell>
          <cell r="AA119">
            <v>-10.25</v>
          </cell>
          <cell r="AB119">
            <v>-7.1470000000000002</v>
          </cell>
          <cell r="AC119">
            <v>-4.1400000000000006</v>
          </cell>
          <cell r="AD119">
            <v>2.5710000000000015</v>
          </cell>
          <cell r="AE119">
            <v>4.0599999999999996</v>
          </cell>
          <cell r="AF119">
            <v>-4.6559999999999997</v>
          </cell>
          <cell r="AG119">
            <v>-7.5149999999999997</v>
          </cell>
          <cell r="AH119">
            <v>-1.8709999999999996</v>
          </cell>
          <cell r="AI119">
            <v>8.6999999999999744E-2</v>
          </cell>
          <cell r="AJ119">
            <v>-33.056999999999995</v>
          </cell>
          <cell r="AK119">
            <v>-42.355999999999995</v>
          </cell>
          <cell r="AL119">
            <v>26.724</v>
          </cell>
          <cell r="AM119">
            <v>1.7830000000000013</v>
          </cell>
          <cell r="AN119">
            <v>-3.3830000000000027</v>
          </cell>
          <cell r="AO119">
            <v>-53.646999999999998</v>
          </cell>
          <cell r="AP119">
            <v>-28.523</v>
          </cell>
          <cell r="AQ119">
            <v>16.565999999999999</v>
          </cell>
          <cell r="AR119">
            <v>-1.4829999999999988</v>
          </cell>
          <cell r="AS119">
            <v>-4.6050000000000004</v>
          </cell>
          <cell r="AT119">
            <v>-17.033999999999999</v>
          </cell>
          <cell r="AU119">
            <v>-6.5559999999999992</v>
          </cell>
          <cell r="AW119">
            <v>1.7830000000000013</v>
          </cell>
          <cell r="AX119">
            <v>-3.3830000000000027</v>
          </cell>
          <cell r="AY119">
            <v>-53.646999999999998</v>
          </cell>
          <cell r="AZ119">
            <v>16.565999999999999</v>
          </cell>
          <cell r="BA119">
            <v>-38.680999999999997</v>
          </cell>
          <cell r="BB119">
            <v>-1.4829999999999988</v>
          </cell>
          <cell r="BC119">
            <v>-4.6050000000000004</v>
          </cell>
          <cell r="BD119">
            <v>-17.033999999999999</v>
          </cell>
          <cell r="BE119">
            <v>26.106000000000002</v>
          </cell>
          <cell r="BF119">
            <v>2.9840000000000018</v>
          </cell>
          <cell r="BG119">
            <v>39.99</v>
          </cell>
          <cell r="BH119">
            <v>-8.9380000000000024</v>
          </cell>
          <cell r="BI119">
            <v>-26.481000000000002</v>
          </cell>
          <cell r="BJ119">
            <v>-18.245999999999999</v>
          </cell>
          <cell r="BK119">
            <v>-13.675000000000001</v>
          </cell>
          <cell r="BL119">
            <v>2.0459999999999998</v>
          </cell>
          <cell r="BM119">
            <v>-4.57</v>
          </cell>
          <cell r="BN119">
            <v>3.06</v>
          </cell>
          <cell r="BO119">
            <v>1.8900000000000006</v>
          </cell>
          <cell r="BP119">
            <v>2.4260000000000002</v>
          </cell>
          <cell r="BQ119">
            <v>-3.2810000000000001</v>
          </cell>
          <cell r="BR119">
            <v>-4.0120000000000005</v>
          </cell>
          <cell r="BS119">
            <v>0.75700000000000101</v>
          </cell>
          <cell r="BT119">
            <v>-4.0560000000000009</v>
          </cell>
          <cell r="BU119">
            <v>-10.592000000000001</v>
          </cell>
          <cell r="BV119">
            <v>-2.7709999999999999</v>
          </cell>
          <cell r="BW119">
            <v>-0.32600000000000007</v>
          </cell>
          <cell r="BX119">
            <v>-0.371</v>
          </cell>
          <cell r="BY119">
            <v>-0.42200000000000015</v>
          </cell>
          <cell r="BZ119">
            <v>-3.89</v>
          </cell>
          <cell r="CA119">
            <v>-7.6479999999999997</v>
          </cell>
          <cell r="CB119">
            <v>-1.6920000000000002</v>
          </cell>
          <cell r="CC119">
            <v>-0.47000000000000064</v>
          </cell>
          <cell r="CD119">
            <v>-10.775999999999998</v>
          </cell>
          <cell r="CE119">
            <v>-20.585999999999999</v>
          </cell>
          <cell r="CF119">
            <v>-5.5259999999999998</v>
          </cell>
          <cell r="CG119">
            <v>-1.1960000000000006</v>
          </cell>
          <cell r="CH119">
            <v>-5.5289999999999999</v>
          </cell>
          <cell r="CI119">
            <v>0.871999999999999</v>
          </cell>
          <cell r="CJ119">
            <v>-11.379000000000001</v>
          </cell>
          <cell r="CK119">
            <v>-5.516</v>
          </cell>
          <cell r="CL119">
            <v>2.843</v>
          </cell>
          <cell r="CM119">
            <v>0.71100000000000008</v>
          </cell>
          <cell r="CN119">
            <v>-17.111901082525577</v>
          </cell>
          <cell r="CO119">
            <v>-19.073901082525577</v>
          </cell>
          <cell r="CP119">
            <v>7.4916525100033482</v>
          </cell>
          <cell r="CQ119">
            <v>13.241229877118371</v>
          </cell>
          <cell r="CR119">
            <v>11.219701143741162</v>
          </cell>
          <cell r="CS119">
            <v>-16.936735813927953</v>
          </cell>
          <cell r="CT119">
            <v>15.015847716934928</v>
          </cell>
          <cell r="CU119">
            <v>-12.253043909473405</v>
          </cell>
          <cell r="CV119">
            <v>12.993538852210463</v>
          </cell>
          <cell r="CW119">
            <v>11.387601280148743</v>
          </cell>
          <cell r="CX119">
            <v>-16.90195590820349</v>
          </cell>
          <cell r="CY119">
            <v>-4.7738596853176887</v>
          </cell>
          <cell r="CZ119">
            <v>-13.334272301864388</v>
          </cell>
          <cell r="DA119">
            <v>13.183442028437213</v>
          </cell>
          <cell r="DB119">
            <v>11.641292934084788</v>
          </cell>
          <cell r="DC119">
            <v>-17.302061370583942</v>
          </cell>
          <cell r="DD119">
            <v>-5.8115987099263293</v>
          </cell>
          <cell r="DE119">
            <v>-17.06054745094545</v>
          </cell>
          <cell r="DF119">
            <v>11.360014909920693</v>
          </cell>
          <cell r="DG119">
            <v>12.192315157155832</v>
          </cell>
          <cell r="DH119">
            <v>-17.755853591324666</v>
          </cell>
          <cell r="DI119">
            <v>-11.26407097519359</v>
          </cell>
          <cell r="DU119" t="str">
            <v>mstag:netDecreaseInInventories</v>
          </cell>
          <cell r="DV119">
            <v>6</v>
          </cell>
          <cell r="DW119" t="str">
            <v>ISO4217:USD</v>
          </cell>
          <cell r="DX119" t="b">
            <v>0</v>
          </cell>
        </row>
        <row r="120">
          <cell r="B120" t="str">
            <v>Prepaid and recoverable tax items</v>
          </cell>
          <cell r="F120">
            <v>14.302</v>
          </cell>
          <cell r="G120">
            <v>1.617</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0.47899999999999998</v>
          </cell>
          <cell r="AF120">
            <v>0.47899999999999998</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-9.3320000000000007</v>
          </cell>
          <cell r="AU120">
            <v>-9.3320000000000007</v>
          </cell>
          <cell r="AW120">
            <v>0</v>
          </cell>
          <cell r="AX120">
            <v>0</v>
          </cell>
          <cell r="AY120">
            <v>0</v>
          </cell>
          <cell r="AZ120">
            <v>0</v>
          </cell>
          <cell r="BA120">
            <v>0</v>
          </cell>
          <cell r="BB120">
            <v>0</v>
          </cell>
          <cell r="BC120">
            <v>0</v>
          </cell>
          <cell r="BD120">
            <v>-9.3320000000000007</v>
          </cell>
          <cell r="BE120">
            <v>0</v>
          </cell>
          <cell r="BF120">
            <v>-9.3320000000000007</v>
          </cell>
          <cell r="BG120">
            <v>0</v>
          </cell>
          <cell r="BH120">
            <v>0</v>
          </cell>
          <cell r="BI120">
            <v>0</v>
          </cell>
          <cell r="BJ120">
            <v>6.7519999999999998</v>
          </cell>
          <cell r="BK120">
            <v>6.7519999999999998</v>
          </cell>
          <cell r="BL120">
            <v>0</v>
          </cell>
          <cell r="BM120">
            <v>0</v>
          </cell>
          <cell r="BN120">
            <v>0</v>
          </cell>
          <cell r="BO120">
            <v>0</v>
          </cell>
          <cell r="BP120">
            <v>0</v>
          </cell>
          <cell r="BQ120">
            <v>77.427000000000007</v>
          </cell>
          <cell r="BR120">
            <v>23.345999999999989</v>
          </cell>
          <cell r="BS120">
            <v>-19.573999999999998</v>
          </cell>
          <cell r="BT120">
            <v>-28.903999999999996</v>
          </cell>
          <cell r="BU120">
            <v>52.295000000000002</v>
          </cell>
          <cell r="BV120">
            <v>33.213999999999999</v>
          </cell>
          <cell r="BW120">
            <v>26.810000000000002</v>
          </cell>
          <cell r="BX120">
            <v>-12.258000000000003</v>
          </cell>
          <cell r="BY120">
            <v>-48.074999999999996</v>
          </cell>
          <cell r="BZ120">
            <v>-0.3089999999999975</v>
          </cell>
          <cell r="CA120">
            <v>26.335000000000001</v>
          </cell>
          <cell r="CB120">
            <v>-12.008000000000001</v>
          </cell>
          <cell r="CC120">
            <v>14.327</v>
          </cell>
          <cell r="CD120">
            <v>2.5399999999999991</v>
          </cell>
          <cell r="CE120">
            <v>31.193999999999999</v>
          </cell>
          <cell r="CF120">
            <v>22.478999999999999</v>
          </cell>
          <cell r="CG120">
            <v>-12.030999999999999</v>
          </cell>
          <cell r="CH120">
            <v>-10.456</v>
          </cell>
          <cell r="CI120">
            <v>-18.978999999999999</v>
          </cell>
          <cell r="CJ120">
            <v>-18.986999999999998</v>
          </cell>
          <cell r="CK120">
            <v>31.38</v>
          </cell>
          <cell r="CL120">
            <v>22.550999999999998</v>
          </cell>
          <cell r="CM120">
            <v>-1.2894999999999968</v>
          </cell>
          <cell r="CN120">
            <v>0</v>
          </cell>
          <cell r="CO120">
            <v>52.641500000000001</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U120" t="str">
            <v>mstag:netDecreaseInPrepaidExpenses</v>
          </cell>
          <cell r="DV120">
            <v>6</v>
          </cell>
          <cell r="DW120" t="str">
            <v>ISO4217:USD</v>
          </cell>
          <cell r="DX120" t="b">
            <v>0</v>
          </cell>
        </row>
        <row r="121">
          <cell r="B121" t="str">
            <v>Deferred charges and other assets</v>
          </cell>
          <cell r="F121">
            <v>0.185</v>
          </cell>
          <cell r="G121">
            <v>-1.401</v>
          </cell>
          <cell r="H121">
            <v>-2.6139999999999999</v>
          </cell>
          <cell r="I121">
            <v>-3.3279999999999998</v>
          </cell>
          <cell r="J121">
            <v>-7.0339999999999998</v>
          </cell>
          <cell r="K121">
            <v>-3.302</v>
          </cell>
          <cell r="L121">
            <v>-3.706</v>
          </cell>
          <cell r="M121">
            <v>-4.0000000000000001E-3</v>
          </cell>
          <cell r="N121">
            <v>-0.66</v>
          </cell>
          <cell r="O121">
            <v>-36.925000000000004</v>
          </cell>
          <cell r="P121">
            <v>33.634999999999998</v>
          </cell>
          <cell r="Q121">
            <v>-3.9540000000000077</v>
          </cell>
          <cell r="R121">
            <v>-3.2429999999999999</v>
          </cell>
          <cell r="S121">
            <v>-3.6999999999999997</v>
          </cell>
          <cell r="T121">
            <v>-6.5850000000000009</v>
          </cell>
          <cell r="U121">
            <v>3.1020000000000003</v>
          </cell>
          <cell r="V121">
            <v>-10.426</v>
          </cell>
          <cell r="W121">
            <v>-9.98</v>
          </cell>
          <cell r="X121">
            <v>4.4110000000000005</v>
          </cell>
          <cell r="Y121">
            <v>-0.29400000000000048</v>
          </cell>
          <cell r="Z121">
            <v>-0.15499999999999936</v>
          </cell>
          <cell r="AA121">
            <v>-6.0179999999999998</v>
          </cell>
          <cell r="AB121">
            <v>0.89800000000000002</v>
          </cell>
          <cell r="AC121">
            <v>-7.01</v>
          </cell>
          <cell r="AD121">
            <v>-0.58700000000000008</v>
          </cell>
          <cell r="AE121">
            <v>5.6640000000000006</v>
          </cell>
          <cell r="AF121">
            <v>-1.0349999999999993</v>
          </cell>
          <cell r="AG121">
            <v>8.7289999999999992</v>
          </cell>
          <cell r="AH121">
            <v>-4.4939999999999989</v>
          </cell>
          <cell r="AI121">
            <v>-2.7230000000000008</v>
          </cell>
          <cell r="AJ121">
            <v>0.65600000000000058</v>
          </cell>
          <cell r="AK121">
            <v>2.1680000000000001</v>
          </cell>
          <cell r="AL121">
            <v>-2.3940000000000001</v>
          </cell>
          <cell r="AM121">
            <v>0.31700000000000017</v>
          </cell>
          <cell r="AN121">
            <v>-2.7530000000000001</v>
          </cell>
          <cell r="AO121">
            <v>0.20199999999999996</v>
          </cell>
          <cell r="AP121">
            <v>-4.6280000000000001</v>
          </cell>
          <cell r="AQ121">
            <v>-13.125999999999999</v>
          </cell>
          <cell r="AR121">
            <v>6.9329999999999998</v>
          </cell>
          <cell r="AS121">
            <v>7.1189999999999998</v>
          </cell>
          <cell r="AT121">
            <v>7.5229999999999997</v>
          </cell>
          <cell r="AU121">
            <v>8.4489999999999998</v>
          </cell>
          <cell r="AW121">
            <v>0.31700000000000017</v>
          </cell>
          <cell r="AX121">
            <v>-2.7530000000000001</v>
          </cell>
          <cell r="AY121">
            <v>0.20199999999999996</v>
          </cell>
          <cell r="AZ121">
            <v>-13.125999999999999</v>
          </cell>
          <cell r="BA121">
            <v>-15.36</v>
          </cell>
          <cell r="BB121">
            <v>6.9329999999999998</v>
          </cell>
          <cell r="BC121">
            <v>7.1189999999999998</v>
          </cell>
          <cell r="BD121">
            <v>7.5229999999999997</v>
          </cell>
          <cell r="BE121">
            <v>-7.9489999999999998</v>
          </cell>
          <cell r="BF121">
            <v>13.625999999999999</v>
          </cell>
          <cell r="BG121">
            <v>-6.9059999999999997</v>
          </cell>
          <cell r="BH121">
            <v>17.986999999999998</v>
          </cell>
          <cell r="BI121">
            <v>-9.2010000000000005</v>
          </cell>
          <cell r="BJ121">
            <v>1.3790000000000022</v>
          </cell>
          <cell r="BK121">
            <v>3.2590000000000012</v>
          </cell>
          <cell r="BL121">
            <v>-0.75800000000000001</v>
          </cell>
          <cell r="BM121">
            <v>0.75800000000000001</v>
          </cell>
          <cell r="BN121">
            <v>0</v>
          </cell>
          <cell r="BO121">
            <v>-13.878</v>
          </cell>
          <cell r="BP121">
            <v>-13.878</v>
          </cell>
          <cell r="BQ121">
            <v>-0.46300000000000002</v>
          </cell>
          <cell r="BR121">
            <v>1.4279999999999999</v>
          </cell>
          <cell r="BS121">
            <v>0.66500000000000004</v>
          </cell>
          <cell r="BT121">
            <v>-6.7439999999999998</v>
          </cell>
          <cell r="BU121">
            <v>-5.1139999999999999</v>
          </cell>
          <cell r="BV121">
            <v>-1.2529999999999999</v>
          </cell>
          <cell r="BW121">
            <v>-8.59</v>
          </cell>
          <cell r="BX121">
            <v>6.2170000000000005</v>
          </cell>
          <cell r="BY121">
            <v>-7.6560000000000024</v>
          </cell>
          <cell r="BZ121">
            <v>-11.282000000000002</v>
          </cell>
          <cell r="CA121">
            <v>-3.9129999999999998</v>
          </cell>
          <cell r="CB121">
            <v>-3.7349999999999999</v>
          </cell>
          <cell r="CC121">
            <v>-5.7119999999999997</v>
          </cell>
          <cell r="CD121">
            <v>18.981000000000002</v>
          </cell>
          <cell r="CE121">
            <v>5.6210000000000022</v>
          </cell>
          <cell r="CF121">
            <v>-4.43</v>
          </cell>
          <cell r="CG121">
            <v>1.0969999999999995</v>
          </cell>
          <cell r="CH121">
            <v>1.7490000000000001</v>
          </cell>
          <cell r="CI121">
            <v>-4.2010000000000005</v>
          </cell>
          <cell r="CJ121">
            <v>-5.7850000000000001</v>
          </cell>
          <cell r="CK121">
            <v>-6.4249999999999998</v>
          </cell>
          <cell r="CL121">
            <v>6.4429999999999996</v>
          </cell>
          <cell r="CM121">
            <v>-1.8569999999999998</v>
          </cell>
          <cell r="CN121">
            <v>0</v>
          </cell>
          <cell r="CO121">
            <v>-1.839</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U121" t="str">
            <v>mstag:netDecreaseInOtherAssets</v>
          </cell>
          <cell r="DV121">
            <v>6</v>
          </cell>
          <cell r="DW121" t="str">
            <v>ISO4217:USD</v>
          </cell>
          <cell r="DX121" t="b">
            <v>0</v>
          </cell>
        </row>
        <row r="122">
          <cell r="B122" t="str">
            <v>Accounts payable</v>
          </cell>
          <cell r="F122">
            <v>1.0449999999999999</v>
          </cell>
          <cell r="G122">
            <v>1.181</v>
          </cell>
          <cell r="H122">
            <v>0.88700000000000001</v>
          </cell>
          <cell r="I122">
            <v>5.6189999999999998</v>
          </cell>
          <cell r="J122">
            <v>3.37</v>
          </cell>
          <cell r="K122">
            <v>2.4249999999999998</v>
          </cell>
          <cell r="L122">
            <v>5.1820000000000004</v>
          </cell>
          <cell r="M122">
            <v>5.5149999999999997</v>
          </cell>
          <cell r="N122">
            <v>7.2400000000000011</v>
          </cell>
          <cell r="O122">
            <v>1.4919999999999991</v>
          </cell>
          <cell r="P122">
            <v>8.6310000000000002</v>
          </cell>
          <cell r="Q122">
            <v>22.878</v>
          </cell>
          <cell r="R122">
            <v>7.6790000000000003</v>
          </cell>
          <cell r="S122">
            <v>-4.806</v>
          </cell>
          <cell r="T122">
            <v>-4.9060000000000006</v>
          </cell>
          <cell r="U122">
            <v>6.6650000000000009</v>
          </cell>
          <cell r="V122">
            <v>4.6320000000000006</v>
          </cell>
          <cell r="W122">
            <v>7.9889999999999999</v>
          </cell>
          <cell r="X122">
            <v>1.1239999999999997</v>
          </cell>
          <cell r="Y122">
            <v>2.8400000000000007</v>
          </cell>
          <cell r="Z122">
            <v>1.3619999999999992</v>
          </cell>
          <cell r="AA122">
            <v>13.314999999999998</v>
          </cell>
          <cell r="AB122">
            <v>21.974</v>
          </cell>
          <cell r="AC122">
            <v>11.156000000000002</v>
          </cell>
          <cell r="AD122">
            <v>2.9139999999999944</v>
          </cell>
          <cell r="AE122">
            <v>-6.2979999999999983</v>
          </cell>
          <cell r="AF122">
            <v>29.745999999999999</v>
          </cell>
          <cell r="AG122">
            <v>2.5539999999999998</v>
          </cell>
          <cell r="AH122">
            <v>11.56</v>
          </cell>
          <cell r="AI122">
            <v>-18.335000000000001</v>
          </cell>
          <cell r="AJ122">
            <v>9.8870000000000005</v>
          </cell>
          <cell r="AK122">
            <v>5.6660000000000004</v>
          </cell>
          <cell r="AL122">
            <v>2.5099999999999998</v>
          </cell>
          <cell r="AM122">
            <v>8.798</v>
          </cell>
          <cell r="AN122">
            <v>-5.9180000000000001</v>
          </cell>
          <cell r="AO122">
            <v>-5.1779999999999999</v>
          </cell>
          <cell r="AP122">
            <v>0.21199999999999974</v>
          </cell>
          <cell r="AQ122">
            <v>0.32800000000000001</v>
          </cell>
          <cell r="AR122">
            <v>20.528000000000002</v>
          </cell>
          <cell r="AS122">
            <v>4.7449999999999966</v>
          </cell>
          <cell r="AT122">
            <v>3.6889999999999996</v>
          </cell>
          <cell r="AU122">
            <v>29.29</v>
          </cell>
          <cell r="AW122">
            <v>8.798</v>
          </cell>
          <cell r="AX122">
            <v>-5.9180000000000001</v>
          </cell>
          <cell r="AY122">
            <v>-5.1779999999999999</v>
          </cell>
          <cell r="AZ122">
            <v>0.32800000000000001</v>
          </cell>
          <cell r="BA122">
            <v>-1.97</v>
          </cell>
          <cell r="BB122">
            <v>20.528000000000002</v>
          </cell>
          <cell r="BC122">
            <v>4.7449999999999966</v>
          </cell>
          <cell r="BD122">
            <v>3.6889999999999996</v>
          </cell>
          <cell r="BE122">
            <v>13.487</v>
          </cell>
          <cell r="BF122">
            <v>42.448999999999998</v>
          </cell>
          <cell r="BG122">
            <v>3.9590000000000001</v>
          </cell>
          <cell r="BH122">
            <v>25.132999999999999</v>
          </cell>
          <cell r="BI122">
            <v>-26.869</v>
          </cell>
          <cell r="BJ122">
            <v>25.6</v>
          </cell>
          <cell r="BK122">
            <v>27.823</v>
          </cell>
          <cell r="BL122">
            <v>5.548</v>
          </cell>
          <cell r="BM122">
            <v>42.233999999999995</v>
          </cell>
          <cell r="BN122">
            <v>-28.887999999999998</v>
          </cell>
          <cell r="BO122">
            <v>-4.8109999999999982</v>
          </cell>
          <cell r="BP122">
            <v>14.083</v>
          </cell>
          <cell r="BQ122">
            <v>9.5259999999999998</v>
          </cell>
          <cell r="BR122">
            <v>3.5000000000000142E-2</v>
          </cell>
          <cell r="BS122">
            <v>16.920999999999999</v>
          </cell>
          <cell r="BT122">
            <v>3.1780000000000008</v>
          </cell>
          <cell r="BU122">
            <v>29.66</v>
          </cell>
          <cell r="BV122">
            <v>7.516</v>
          </cell>
          <cell r="BW122">
            <v>-50.564</v>
          </cell>
          <cell r="BX122">
            <v>-14.119000000000002</v>
          </cell>
          <cell r="BY122">
            <v>36.126000000000005</v>
          </cell>
          <cell r="BZ122">
            <v>-21.040999999999997</v>
          </cell>
          <cell r="CA122">
            <v>30.64</v>
          </cell>
          <cell r="CB122">
            <v>-18.613</v>
          </cell>
          <cell r="CC122">
            <v>-41.213000000000001</v>
          </cell>
          <cell r="CD122">
            <v>60.843000000000004</v>
          </cell>
          <cell r="CE122">
            <v>31.657000000000004</v>
          </cell>
          <cell r="CF122">
            <v>-6.6920000000000002</v>
          </cell>
          <cell r="CG122">
            <v>0.20399999999999974</v>
          </cell>
          <cell r="CH122">
            <v>0.64500000000000046</v>
          </cell>
          <cell r="CI122">
            <v>29.222999999999999</v>
          </cell>
          <cell r="CJ122">
            <v>23.38</v>
          </cell>
          <cell r="CK122">
            <v>-13.292999999999999</v>
          </cell>
          <cell r="CL122">
            <v>-3.9649999999999999</v>
          </cell>
          <cell r="CM122">
            <v>6.734</v>
          </cell>
          <cell r="CN122">
            <v>-2.2226019336988259</v>
          </cell>
          <cell r="CO122">
            <v>-12.746601933698825</v>
          </cell>
          <cell r="CP122">
            <v>13.526935985071134</v>
          </cell>
          <cell r="CQ122">
            <v>-11.527658951844217</v>
          </cell>
          <cell r="CR122">
            <v>-9.7677398192570593</v>
          </cell>
          <cell r="CS122">
            <v>14.744922943890202</v>
          </cell>
          <cell r="CT122">
            <v>6.9764601578600605</v>
          </cell>
          <cell r="CU122">
            <v>18.373169434029137</v>
          </cell>
          <cell r="CV122">
            <v>-11.741149565250396</v>
          </cell>
          <cell r="CW122">
            <v>-10.290001156760923</v>
          </cell>
          <cell r="CX122">
            <v>15.272851724280315</v>
          </cell>
          <cell r="CY122">
            <v>11.614870436298133</v>
          </cell>
          <cell r="CZ122">
            <v>20.338309448315016</v>
          </cell>
          <cell r="DA122">
            <v>-12.369649310632468</v>
          </cell>
          <cell r="DB122">
            <v>-10.922694604820265</v>
          </cell>
          <cell r="DC122">
            <v>16.234032890918257</v>
          </cell>
          <cell r="DD122">
            <v>13.27999842378054</v>
          </cell>
          <cell r="DE122">
            <v>16.00742723792419</v>
          </cell>
          <cell r="DF122">
            <v>-10.65877942165406</v>
          </cell>
          <cell r="DG122">
            <v>-11.43970311041781</v>
          </cell>
          <cell r="DH122">
            <v>16.659813246181216</v>
          </cell>
          <cell r="DI122">
            <v>10.568757952033536</v>
          </cell>
          <cell r="DU122" t="str">
            <v>mstag:netIncreaseInTradeAndOtherPayables</v>
          </cell>
          <cell r="DV122">
            <v>6</v>
          </cell>
          <cell r="DW122" t="str">
            <v>ISO4217:USD</v>
          </cell>
          <cell r="DX122" t="b">
            <v>0</v>
          </cell>
        </row>
        <row r="123">
          <cell r="B123" t="str">
            <v>Accrued expenses and other liabilities</v>
          </cell>
          <cell r="F123">
            <v>-1.863</v>
          </cell>
          <cell r="G123">
            <v>1.25</v>
          </cell>
          <cell r="H123">
            <v>0.128</v>
          </cell>
          <cell r="I123">
            <v>3.448</v>
          </cell>
          <cell r="J123">
            <v>0.73699999999999999</v>
          </cell>
          <cell r="K123">
            <v>4.9379999999999997</v>
          </cell>
          <cell r="L123">
            <v>-4.6580000000000004</v>
          </cell>
          <cell r="M123">
            <v>1.0109999999999999</v>
          </cell>
          <cell r="N123">
            <v>-1.7359999999999998</v>
          </cell>
          <cell r="O123">
            <v>-0.79</v>
          </cell>
          <cell r="P123">
            <v>4.8859999999999992</v>
          </cell>
          <cell r="Q123">
            <v>3.3709999999999996</v>
          </cell>
          <cell r="R123">
            <v>-4.3029999999999999</v>
          </cell>
          <cell r="S123">
            <v>7.4510000000000005</v>
          </cell>
          <cell r="T123">
            <v>-2.3190000000000008</v>
          </cell>
          <cell r="U123">
            <v>0.95600000000000041</v>
          </cell>
          <cell r="V123">
            <v>1.7850000000000001</v>
          </cell>
          <cell r="W123">
            <v>5.3760000000000003</v>
          </cell>
          <cell r="X123">
            <v>-10.595000000000001</v>
          </cell>
          <cell r="Y123">
            <v>-0.80899999999999928</v>
          </cell>
          <cell r="Z123">
            <v>8.0809999999999995</v>
          </cell>
          <cell r="AA123">
            <v>2.0529999999999999</v>
          </cell>
          <cell r="AB123">
            <v>1.216</v>
          </cell>
          <cell r="AC123">
            <v>15.199</v>
          </cell>
          <cell r="AD123">
            <v>1.1030000000000009</v>
          </cell>
          <cell r="AE123">
            <v>-9.6029999999999998</v>
          </cell>
          <cell r="AF123">
            <v>7.9150000000000009</v>
          </cell>
          <cell r="AG123">
            <v>5.1509999999999998</v>
          </cell>
          <cell r="AH123">
            <v>0.41500000000000004</v>
          </cell>
          <cell r="AI123">
            <v>4.8320000000000007</v>
          </cell>
          <cell r="AJ123">
            <v>-16.902000000000001</v>
          </cell>
          <cell r="AK123">
            <v>-6.5040000000000013</v>
          </cell>
          <cell r="AL123">
            <v>18.259</v>
          </cell>
          <cell r="AM123">
            <v>-14.969000000000001</v>
          </cell>
          <cell r="AN123">
            <v>3.1910000000000025</v>
          </cell>
          <cell r="AO123">
            <v>-3.2730000000000015</v>
          </cell>
          <cell r="AP123">
            <v>3.2080000000000002</v>
          </cell>
          <cell r="AQ123">
            <v>-7.2619999999999996</v>
          </cell>
          <cell r="AR123">
            <v>-4.0390000000000006</v>
          </cell>
          <cell r="AS123">
            <v>-2.3140000000000009</v>
          </cell>
          <cell r="AT123">
            <v>61.170999999999999</v>
          </cell>
          <cell r="AU123">
            <v>47.555999999999997</v>
          </cell>
          <cell r="AW123">
            <v>-14.969000000000001</v>
          </cell>
          <cell r="AX123">
            <v>3.1910000000000025</v>
          </cell>
          <cell r="AY123">
            <v>-3.2730000000000015</v>
          </cell>
          <cell r="AZ123">
            <v>-7.2619999999999996</v>
          </cell>
          <cell r="BA123">
            <v>-22.312999999999999</v>
          </cell>
          <cell r="BB123">
            <v>-4.0390000000000006</v>
          </cell>
          <cell r="BC123">
            <v>-2.3140000000000009</v>
          </cell>
          <cell r="BD123">
            <v>61.170999999999999</v>
          </cell>
          <cell r="BE123">
            <v>5.4089999999999998</v>
          </cell>
          <cell r="BF123">
            <v>60.226999999999997</v>
          </cell>
          <cell r="BG123">
            <v>26.440999999999999</v>
          </cell>
          <cell r="BH123">
            <v>-9.3129999999999988</v>
          </cell>
          <cell r="BI123">
            <v>87.492999999999995</v>
          </cell>
          <cell r="BJ123">
            <v>-62.730000000000004</v>
          </cell>
          <cell r="BK123">
            <v>41.890999999999991</v>
          </cell>
          <cell r="BL123">
            <v>-6.4539999999999997</v>
          </cell>
          <cell r="BM123">
            <v>15.925000000000001</v>
          </cell>
          <cell r="BN123">
            <v>-18.853000000000002</v>
          </cell>
          <cell r="BO123">
            <v>-33.520999999999994</v>
          </cell>
          <cell r="BP123">
            <v>-42.902999999999992</v>
          </cell>
          <cell r="BQ123">
            <v>11.859</v>
          </cell>
          <cell r="BR123">
            <v>0.18800000000000061</v>
          </cell>
          <cell r="BS123">
            <v>10.321999999999997</v>
          </cell>
          <cell r="BT123">
            <v>-36.218000000000004</v>
          </cell>
          <cell r="BU123">
            <v>-13.849000000000004</v>
          </cell>
          <cell r="BV123">
            <v>15.294</v>
          </cell>
          <cell r="BW123">
            <v>21.636999999999997</v>
          </cell>
          <cell r="BX123">
            <v>10.391000000000005</v>
          </cell>
          <cell r="BY123">
            <v>-19.451000000000004</v>
          </cell>
          <cell r="BZ123">
            <v>27.870999999999999</v>
          </cell>
          <cell r="CA123">
            <v>-1.1000000000000001</v>
          </cell>
          <cell r="CB123">
            <v>9.1719999999999988</v>
          </cell>
          <cell r="CC123">
            <v>65.650999999999996</v>
          </cell>
          <cell r="CD123">
            <v>-46.724000000000004</v>
          </cell>
          <cell r="CE123">
            <v>26.998999999999995</v>
          </cell>
          <cell r="CF123">
            <v>29.431000000000001</v>
          </cell>
          <cell r="CG123">
            <v>-14.997000000000002</v>
          </cell>
          <cell r="CH123">
            <v>71.215000000000003</v>
          </cell>
          <cell r="CI123">
            <v>1.7819999999999929</v>
          </cell>
          <cell r="CJ123">
            <v>87.430999999999997</v>
          </cell>
          <cell r="CK123">
            <v>-9.4619999999999997</v>
          </cell>
          <cell r="CL123">
            <v>-16.440999999999999</v>
          </cell>
          <cell r="CM123">
            <v>37.257999999999996</v>
          </cell>
          <cell r="CN123">
            <v>15.621985491634632</v>
          </cell>
          <cell r="CO123">
            <v>26.976985491634629</v>
          </cell>
          <cell r="CP123">
            <v>-64.098638923611702</v>
          </cell>
          <cell r="CQ123">
            <v>44.887599646913714</v>
          </cell>
          <cell r="CR123">
            <v>62.184611152188154</v>
          </cell>
          <cell r="CS123">
            <v>-6.4066432168064011</v>
          </cell>
          <cell r="CT123">
            <v>36.566928658683764</v>
          </cell>
          <cell r="CU123">
            <v>-59.167588126665692</v>
          </cell>
          <cell r="CV123">
            <v>47.790161511570091</v>
          </cell>
          <cell r="CW123">
            <v>65.285750599511857</v>
          </cell>
          <cell r="CX123">
            <v>-6.8498353716593101</v>
          </cell>
          <cell r="CY123">
            <v>47.058488612756946</v>
          </cell>
          <cell r="CZ123">
            <v>-60.253320134709384</v>
          </cell>
          <cell r="DA123">
            <v>50.367917265689698</v>
          </cell>
          <cell r="DB123">
            <v>68.549874603564717</v>
          </cell>
          <cell r="DC123">
            <v>-6.6493793316915344</v>
          </cell>
          <cell r="DD123">
            <v>52.015092402853497</v>
          </cell>
          <cell r="DE123">
            <v>-70.114590267656808</v>
          </cell>
          <cell r="DF123">
            <v>59.728909885744542</v>
          </cell>
          <cell r="DG123">
            <v>71.943014452215948</v>
          </cell>
          <cell r="DH123">
            <v>-7.0772717025448628</v>
          </cell>
          <cell r="DI123">
            <v>54.480062367758819</v>
          </cell>
          <cell r="DU123" t="str">
            <v>mstag:netIncreaseInAccruedExpenses</v>
          </cell>
          <cell r="DV123">
            <v>6</v>
          </cell>
          <cell r="DW123" t="str">
            <v>ISO4217:USD</v>
          </cell>
          <cell r="DX123" t="b">
            <v>0</v>
          </cell>
        </row>
        <row r="124">
          <cell r="B124" t="str">
            <v>Income taxes - currently payable</v>
          </cell>
          <cell r="F124">
            <v>2.117</v>
          </cell>
          <cell r="G124">
            <v>1.72</v>
          </cell>
          <cell r="H124">
            <v>2.7959999999999998</v>
          </cell>
          <cell r="I124">
            <v>-2.988</v>
          </cell>
          <cell r="J124">
            <v>3.3210000000000002</v>
          </cell>
          <cell r="K124">
            <v>-1.4590000000000001</v>
          </cell>
          <cell r="L124">
            <v>1.9650000000000001</v>
          </cell>
          <cell r="M124">
            <v>17.646000000000001</v>
          </cell>
          <cell r="N124">
            <v>8.3099999999999987</v>
          </cell>
          <cell r="O124">
            <v>15.846000000000004</v>
          </cell>
          <cell r="P124">
            <v>-31.71</v>
          </cell>
          <cell r="Q124">
            <v>10.092000000000006</v>
          </cell>
          <cell r="R124">
            <v>7.3890000000000002</v>
          </cell>
          <cell r="S124">
            <v>-19.899999999999999</v>
          </cell>
          <cell r="T124">
            <v>-5.5970000000000022</v>
          </cell>
          <cell r="U124">
            <v>-4.7999999999999154E-2</v>
          </cell>
          <cell r="V124">
            <v>-18.155999999999999</v>
          </cell>
          <cell r="W124">
            <v>21.891999999999999</v>
          </cell>
          <cell r="X124">
            <v>-19.728999999999999</v>
          </cell>
          <cell r="Y124">
            <v>-2.3539999999999992</v>
          </cell>
          <cell r="Z124">
            <v>-0.57499999999999929</v>
          </cell>
          <cell r="AA124">
            <v>-0.76599999999999824</v>
          </cell>
          <cell r="AB124">
            <v>28.37</v>
          </cell>
          <cell r="AC124">
            <v>-11.702999999999999</v>
          </cell>
          <cell r="AD124">
            <v>3.8000000000000007</v>
          </cell>
          <cell r="AE124">
            <v>7.7929999999999957</v>
          </cell>
          <cell r="AF124">
            <v>28.259999999999998</v>
          </cell>
          <cell r="AG124">
            <v>23.864999999999998</v>
          </cell>
          <cell r="AH124">
            <v>-44.497</v>
          </cell>
          <cell r="AI124">
            <v>20.27</v>
          </cell>
          <cell r="AJ124">
            <v>-0.14699999999999847</v>
          </cell>
          <cell r="AK124">
            <v>-0.50900000000000034</v>
          </cell>
          <cell r="AL124">
            <v>39.682000000000002</v>
          </cell>
          <cell r="AM124">
            <v>-19.941000000000003</v>
          </cell>
          <cell r="AN124">
            <v>1.8870000000000005</v>
          </cell>
          <cell r="AO124">
            <v>-5.3960000000000008</v>
          </cell>
          <cell r="AP124">
            <v>16.231999999999999</v>
          </cell>
          <cell r="AQ124">
            <v>35.628999999999998</v>
          </cell>
          <cell r="AR124">
            <v>-25.36</v>
          </cell>
          <cell r="AS124">
            <v>11.942</v>
          </cell>
          <cell r="AT124">
            <v>-22.210999999999999</v>
          </cell>
          <cell r="AU124">
            <v>0</v>
          </cell>
          <cell r="AW124">
            <v>-19.941000000000003</v>
          </cell>
          <cell r="AX124">
            <v>1.8870000000000005</v>
          </cell>
          <cell r="AY124">
            <v>-5.3960000000000008</v>
          </cell>
          <cell r="AZ124">
            <v>35.628999999999998</v>
          </cell>
          <cell r="BA124">
            <v>12.178999999999995</v>
          </cell>
          <cell r="BB124">
            <v>-25.36</v>
          </cell>
          <cell r="BC124">
            <v>11.942</v>
          </cell>
          <cell r="BD124">
            <v>-22.210999999999999</v>
          </cell>
          <cell r="BE124">
            <v>0</v>
          </cell>
          <cell r="BF124">
            <v>-35.628999999999998</v>
          </cell>
          <cell r="BG124">
            <v>0</v>
          </cell>
          <cell r="BH124">
            <v>0</v>
          </cell>
          <cell r="BI124">
            <v>0</v>
          </cell>
          <cell r="BJ124">
            <v>0</v>
          </cell>
          <cell r="BK124">
            <v>0</v>
          </cell>
          <cell r="BL124">
            <v>0</v>
          </cell>
          <cell r="BM124">
            <v>38.957999999999998</v>
          </cell>
          <cell r="BN124">
            <v>-46.955999999999996</v>
          </cell>
          <cell r="BO124">
            <v>-55.885000000000005</v>
          </cell>
          <cell r="BP124">
            <v>-63.883000000000003</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U124" t="str">
            <v>mstag:netIncreaseInIncomeTaxPayableReceivable</v>
          </cell>
          <cell r="DV124">
            <v>6</v>
          </cell>
          <cell r="DW124" t="str">
            <v>ISO4217:USD</v>
          </cell>
          <cell r="DX124" t="b">
            <v>0</v>
          </cell>
        </row>
        <row r="125">
          <cell r="B125" t="str">
            <v>Other long-term liabilities</v>
          </cell>
          <cell r="F125">
            <v>0.80900000000000005</v>
          </cell>
          <cell r="G125">
            <v>3.4159999999999999</v>
          </cell>
          <cell r="H125">
            <v>2.6110000000000002</v>
          </cell>
          <cell r="I125">
            <v>1.0429999999999999</v>
          </cell>
          <cell r="J125">
            <v>2.9740000000000002</v>
          </cell>
          <cell r="K125">
            <v>0.84099999999999997</v>
          </cell>
          <cell r="L125">
            <v>1.7649999999999999</v>
          </cell>
          <cell r="M125">
            <v>-0.76200000000000001</v>
          </cell>
          <cell r="N125">
            <v>0.248</v>
          </cell>
          <cell r="O125">
            <v>0.15700000000000003</v>
          </cell>
          <cell r="P125">
            <v>-0.64500000000000002</v>
          </cell>
          <cell r="Q125">
            <v>-1.002</v>
          </cell>
          <cell r="R125">
            <v>0.28599999999999998</v>
          </cell>
          <cell r="S125">
            <v>0.191</v>
          </cell>
          <cell r="T125">
            <v>0.33900000000000002</v>
          </cell>
          <cell r="U125">
            <v>-0.70100000000000007</v>
          </cell>
          <cell r="V125">
            <v>0.11499999999999999</v>
          </cell>
          <cell r="W125">
            <v>-0.17799999999999999</v>
          </cell>
          <cell r="X125">
            <v>-6.1850000000000005</v>
          </cell>
          <cell r="Y125">
            <v>0.37700000000000072</v>
          </cell>
          <cell r="Z125">
            <v>7.0409999999999995</v>
          </cell>
          <cell r="AA125">
            <v>1.0549999999999997</v>
          </cell>
          <cell r="AB125">
            <v>-2.1709999999999998</v>
          </cell>
          <cell r="AC125">
            <v>3.5369999999999999</v>
          </cell>
          <cell r="AD125">
            <v>-1.9499999999999997</v>
          </cell>
          <cell r="AE125">
            <v>-1.6880000000000002</v>
          </cell>
          <cell r="AF125">
            <v>-2.2719999999999998</v>
          </cell>
          <cell r="AG125">
            <v>-1.548</v>
          </cell>
          <cell r="AH125">
            <v>4.1970000000000001</v>
          </cell>
          <cell r="AI125">
            <v>-3.2240000000000002</v>
          </cell>
          <cell r="AJ125">
            <v>16.185000000000002</v>
          </cell>
          <cell r="AK125">
            <v>15.610000000000003</v>
          </cell>
          <cell r="AL125">
            <v>6.7510000000000003</v>
          </cell>
          <cell r="AM125">
            <v>20.864999999999998</v>
          </cell>
          <cell r="AN125">
            <v>5.4750000000000023</v>
          </cell>
          <cell r="AO125">
            <v>-0.30000000000000338</v>
          </cell>
          <cell r="AP125">
            <v>32.790999999999997</v>
          </cell>
          <cell r="AQ125">
            <v>5.4470000000000001</v>
          </cell>
          <cell r="AR125">
            <v>10.248000000000001</v>
          </cell>
          <cell r="AS125">
            <v>11.108999999999998</v>
          </cell>
          <cell r="AT125">
            <v>-27.413</v>
          </cell>
          <cell r="AU125">
            <v>-0.60900000000000176</v>
          </cell>
          <cell r="AW125">
            <v>20.864999999999998</v>
          </cell>
          <cell r="AX125">
            <v>5.4750000000000023</v>
          </cell>
          <cell r="AY125">
            <v>-0.30000000000000338</v>
          </cell>
          <cell r="AZ125">
            <v>5.4470000000000001</v>
          </cell>
          <cell r="BA125">
            <v>31.486999999999995</v>
          </cell>
          <cell r="BB125">
            <v>10.248000000000001</v>
          </cell>
          <cell r="BC125">
            <v>11.108999999999998</v>
          </cell>
          <cell r="BD125">
            <v>-27.413</v>
          </cell>
          <cell r="BE125">
            <v>-3.931</v>
          </cell>
          <cell r="BF125">
            <v>-9.9870000000000019</v>
          </cell>
          <cell r="BG125">
            <v>0.25600000000000001</v>
          </cell>
          <cell r="BH125">
            <v>6.9289999999999994</v>
          </cell>
          <cell r="BI125">
            <v>13.431000000000001</v>
          </cell>
          <cell r="BJ125">
            <v>11.872999999999998</v>
          </cell>
          <cell r="BK125">
            <v>32.488999999999997</v>
          </cell>
          <cell r="BL125">
            <v>5.306</v>
          </cell>
          <cell r="BM125">
            <v>-5.306</v>
          </cell>
          <cell r="BN125">
            <v>0</v>
          </cell>
          <cell r="BO125">
            <v>19.402999999999999</v>
          </cell>
          <cell r="BP125">
            <v>19.402999999999999</v>
          </cell>
          <cell r="BQ125">
            <v>0</v>
          </cell>
          <cell r="BR125">
            <v>-1.321</v>
          </cell>
          <cell r="BS125">
            <v>-7.8010000000000002</v>
          </cell>
          <cell r="BT125">
            <v>4.0220000000000002</v>
          </cell>
          <cell r="BU125">
            <v>-5.0999999999999996</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U125" t="str">
            <v>mstag:netIncreaseInOtherLiabilitiesOperating</v>
          </cell>
          <cell r="DV125">
            <v>6</v>
          </cell>
          <cell r="DW125" t="str">
            <v>ISO4217:USD</v>
          </cell>
          <cell r="DX125" t="b">
            <v>0</v>
          </cell>
        </row>
        <row r="126">
          <cell r="B126" t="str">
            <v>Total Change in Working Capital</v>
          </cell>
          <cell r="F126">
            <v>9.5340000000000007</v>
          </cell>
          <cell r="G126">
            <v>-2.8910000000000013</v>
          </cell>
          <cell r="H126">
            <v>-18.280999999999999</v>
          </cell>
          <cell r="I126">
            <v>-8.8870000000000005</v>
          </cell>
          <cell r="J126">
            <v>-17.600999999999999</v>
          </cell>
          <cell r="K126">
            <v>-12.055000000000001</v>
          </cell>
          <cell r="L126">
            <v>-66.429999999999993</v>
          </cell>
          <cell r="M126">
            <v>8.6929999999999978</v>
          </cell>
          <cell r="N126">
            <v>-8.8089999999999993</v>
          </cell>
          <cell r="O126">
            <v>-28.543000000000003</v>
          </cell>
          <cell r="P126">
            <v>-9.2860000000000085</v>
          </cell>
          <cell r="Q126">
            <v>-37.945000000000014</v>
          </cell>
          <cell r="R126">
            <v>-14.635</v>
          </cell>
          <cell r="S126">
            <v>-33.890999999999998</v>
          </cell>
          <cell r="T126">
            <v>-3.4220000000000037</v>
          </cell>
          <cell r="U126">
            <v>-8.4269999999999978</v>
          </cell>
          <cell r="V126">
            <v>-60.375</v>
          </cell>
          <cell r="W126">
            <v>-6.5809999999999986</v>
          </cell>
          <cell r="X126">
            <v>-96.809000000000012</v>
          </cell>
          <cell r="Y126">
            <v>-15.62999999999999</v>
          </cell>
          <cell r="Z126">
            <v>-30.87900000000003</v>
          </cell>
          <cell r="AA126">
            <v>-149.899</v>
          </cell>
          <cell r="AB126">
            <v>19.45</v>
          </cell>
          <cell r="AC126">
            <v>-93.989000000000004</v>
          </cell>
          <cell r="AD126">
            <v>-24.683000000000007</v>
          </cell>
          <cell r="AE126">
            <v>-52.312999999999988</v>
          </cell>
          <cell r="AF126">
            <v>-151.53499999999997</v>
          </cell>
          <cell r="AG126">
            <v>-21.586000000000006</v>
          </cell>
          <cell r="AH126">
            <v>-112.68799999999997</v>
          </cell>
          <cell r="AI126">
            <v>-32.258999999999993</v>
          </cell>
          <cell r="AJ126">
            <v>-125.22199999999998</v>
          </cell>
          <cell r="AK126">
            <v>-291.755</v>
          </cell>
          <cell r="AL126">
            <v>-67.185000000000031</v>
          </cell>
          <cell r="AM126">
            <v>-100.12599999999999</v>
          </cell>
          <cell r="AN126">
            <v>-31.903999999999989</v>
          </cell>
          <cell r="AO126">
            <v>-125.36100000000002</v>
          </cell>
          <cell r="AP126">
            <v>-324.57600000000008</v>
          </cell>
          <cell r="AQ126">
            <v>-32.696000000000005</v>
          </cell>
          <cell r="AR126">
            <v>-116.78299999999999</v>
          </cell>
          <cell r="AS126">
            <v>-30.05700000000002</v>
          </cell>
          <cell r="AT126">
            <v>-80.132000000000005</v>
          </cell>
          <cell r="AU126">
            <v>-259.66799999999995</v>
          </cell>
          <cell r="AW126">
            <v>-100.12599999999999</v>
          </cell>
          <cell r="AX126">
            <v>-31.903999999999989</v>
          </cell>
          <cell r="AY126">
            <v>-125.36100000000002</v>
          </cell>
          <cell r="AZ126">
            <v>-32.696000000000005</v>
          </cell>
          <cell r="BA126">
            <v>-290.0870000000001</v>
          </cell>
          <cell r="BB126">
            <v>-116.78299999999999</v>
          </cell>
          <cell r="BC126">
            <v>-30.05700000000002</v>
          </cell>
          <cell r="BD126">
            <v>-80.132000000000005</v>
          </cell>
          <cell r="BE126">
            <v>-74.391999999999982</v>
          </cell>
          <cell r="BF126">
            <v>-301.36400000000003</v>
          </cell>
          <cell r="BG126">
            <v>-77.930999999999983</v>
          </cell>
          <cell r="BH126">
            <v>-71.066000000000017</v>
          </cell>
          <cell r="BI126">
            <v>-93.889999999999972</v>
          </cell>
          <cell r="BJ126">
            <v>-157.79600000000005</v>
          </cell>
          <cell r="BK126">
            <v>-400.68300000000005</v>
          </cell>
          <cell r="BL126">
            <v>-167.33700000000002</v>
          </cell>
          <cell r="BM126">
            <v>-32.889999999999986</v>
          </cell>
          <cell r="BN126">
            <v>-230.126</v>
          </cell>
          <cell r="BO126">
            <v>-202.51399999999998</v>
          </cell>
          <cell r="BP126">
            <v>-632.86700000000008</v>
          </cell>
          <cell r="BQ126">
            <v>-75.684999999999988</v>
          </cell>
          <cell r="BR126">
            <v>-70.524000000000001</v>
          </cell>
          <cell r="BS126">
            <v>-141.69800000000001</v>
          </cell>
          <cell r="BT126">
            <v>-197.4070000000001</v>
          </cell>
          <cell r="BU126">
            <v>-485.31399999999996</v>
          </cell>
          <cell r="BV126">
            <v>-138.79099999999997</v>
          </cell>
          <cell r="BW126">
            <v>-101.50800000000001</v>
          </cell>
          <cell r="BX126">
            <v>-149.17099999999999</v>
          </cell>
          <cell r="BY126">
            <v>-225.28</v>
          </cell>
          <cell r="BZ126">
            <v>-614.75000000000011</v>
          </cell>
          <cell r="CA126">
            <v>-201.37699999999998</v>
          </cell>
          <cell r="CB126">
            <v>-91.41500000000002</v>
          </cell>
          <cell r="CC126">
            <v>-148.54699999999997</v>
          </cell>
          <cell r="CD126">
            <v>-219.10999999999996</v>
          </cell>
          <cell r="CE126">
            <v>-660.44899999999996</v>
          </cell>
          <cell r="CF126">
            <v>-201.15</v>
          </cell>
          <cell r="CG126">
            <v>-145.68100000000001</v>
          </cell>
          <cell r="CH126">
            <v>-161.10799999999998</v>
          </cell>
          <cell r="CI126">
            <v>-288.29899999999998</v>
          </cell>
          <cell r="CJ126">
            <v>-796.23799999999994</v>
          </cell>
          <cell r="CK126">
            <v>-301.09800000000001</v>
          </cell>
          <cell r="CL126">
            <v>-137.76300000000003</v>
          </cell>
          <cell r="CM126">
            <v>-230.96250000000003</v>
          </cell>
          <cell r="CN126">
            <v>-232.31058145049283</v>
          </cell>
          <cell r="CO126">
            <v>-902.13408145049289</v>
          </cell>
          <cell r="CP126">
            <v>-347.4878008045859</v>
          </cell>
          <cell r="CQ126">
            <v>-95.423334619153138</v>
          </cell>
          <cell r="CR126">
            <v>-241.73760950948315</v>
          </cell>
          <cell r="CS126">
            <v>-259.27260731943772</v>
          </cell>
          <cell r="CT126">
            <v>-943.92135225265997</v>
          </cell>
          <cell r="CU126">
            <v>-297.33164928153428</v>
          </cell>
          <cell r="CV126">
            <v>-43.913874004581515</v>
          </cell>
          <cell r="CW126">
            <v>-192.12834150558399</v>
          </cell>
          <cell r="CX126">
            <v>-207.15320659307989</v>
          </cell>
          <cell r="CY126">
            <v>-740.52707138477979</v>
          </cell>
          <cell r="CZ126">
            <v>-303.44515457149112</v>
          </cell>
          <cell r="DA126">
            <v>-18.748879159760151</v>
          </cell>
          <cell r="DB126">
            <v>-173.26209569019775</v>
          </cell>
          <cell r="DC126">
            <v>-188.30921165332566</v>
          </cell>
          <cell r="DD126">
            <v>-683.76534107477471</v>
          </cell>
          <cell r="DE126">
            <v>-303.3765016561922</v>
          </cell>
          <cell r="DF126">
            <v>-2.8007101758354622</v>
          </cell>
          <cell r="DG126">
            <v>-160.3581473297574</v>
          </cell>
          <cell r="DH126">
            <v>-172.41613780583668</v>
          </cell>
          <cell r="DI126">
            <v>-638.95149696762178</v>
          </cell>
        </row>
        <row r="128">
          <cell r="B128" t="str">
            <v>Discontinued operations</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W128">
            <v>0</v>
          </cell>
          <cell r="AX128">
            <v>0</v>
          </cell>
          <cell r="AY128">
            <v>0</v>
          </cell>
          <cell r="AZ128">
            <v>0</v>
          </cell>
          <cell r="BA128">
            <v>0</v>
          </cell>
          <cell r="BB128">
            <v>0</v>
          </cell>
          <cell r="BC128">
            <v>0</v>
          </cell>
          <cell r="BD128">
            <v>0</v>
          </cell>
          <cell r="BE128">
            <v>0</v>
          </cell>
          <cell r="BF128">
            <v>0</v>
          </cell>
          <cell r="BG128">
            <v>-0.45</v>
          </cell>
          <cell r="BH128">
            <v>-0.15999999999999998</v>
          </cell>
          <cell r="BI128">
            <v>-11.057</v>
          </cell>
          <cell r="BJ128">
            <v>13.984</v>
          </cell>
          <cell r="BK128">
            <v>2.3170000000000002</v>
          </cell>
          <cell r="BL128">
            <v>0.624</v>
          </cell>
          <cell r="BM128">
            <v>0.45299999999999996</v>
          </cell>
          <cell r="BN128">
            <v>-10.387</v>
          </cell>
          <cell r="BO128">
            <v>7.34</v>
          </cell>
          <cell r="BP128">
            <v>-1.9700000000000006</v>
          </cell>
          <cell r="BQ128">
            <v>27.731999999999999</v>
          </cell>
          <cell r="BR128">
            <v>9.5260000000000034</v>
          </cell>
          <cell r="BS128">
            <v>4.3249999999999957</v>
          </cell>
          <cell r="BT128">
            <v>14.494</v>
          </cell>
          <cell r="BU128">
            <v>56.076999999999998</v>
          </cell>
          <cell r="BV128">
            <v>1.508</v>
          </cell>
          <cell r="BW128">
            <v>0</v>
          </cell>
          <cell r="BX128">
            <v>-2.5499999999999998</v>
          </cell>
          <cell r="BY128">
            <v>-3.5440000000000005</v>
          </cell>
          <cell r="BZ128">
            <v>-4.5860000000000003</v>
          </cell>
          <cell r="CA128">
            <v>0</v>
          </cell>
          <cell r="CB128">
            <v>0</v>
          </cell>
          <cell r="CC128">
            <v>0</v>
          </cell>
          <cell r="CD128">
            <v>13.8</v>
          </cell>
          <cell r="CE128">
            <v>13.8</v>
          </cell>
          <cell r="CF128">
            <v>0.59799999999999998</v>
          </cell>
          <cell r="CG128">
            <v>0.83900000000000008</v>
          </cell>
          <cell r="CH128">
            <v>-0.25500000000000012</v>
          </cell>
          <cell r="CI128">
            <v>1.2269999999999999</v>
          </cell>
          <cell r="CJ128">
            <v>2.4089999999999998</v>
          </cell>
          <cell r="CK128">
            <v>1.395</v>
          </cell>
          <cell r="CL128">
            <v>3.0210000000000004</v>
          </cell>
          <cell r="CM128">
            <v>1.3889999999999993</v>
          </cell>
          <cell r="CN128">
            <v>0</v>
          </cell>
          <cell r="CO128">
            <v>5.8049999999999997</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U128" t="str">
            <v>mstag:netCashFlowFromDiscontinuedOperations</v>
          </cell>
          <cell r="DV128">
            <v>6</v>
          </cell>
          <cell r="DW128" t="str">
            <v>ISO4217:USD</v>
          </cell>
          <cell r="DX128" t="b">
            <v>0</v>
          </cell>
        </row>
        <row r="129">
          <cell r="B129" t="str">
            <v>Cash Flow from Operations</v>
          </cell>
          <cell r="F129">
            <v>44.536999999999985</v>
          </cell>
          <cell r="G129">
            <v>41.774000000000008</v>
          </cell>
          <cell r="H129">
            <v>46.165999999999976</v>
          </cell>
          <cell r="I129">
            <v>74.222000000000079</v>
          </cell>
          <cell r="J129">
            <v>94.568999999999988</v>
          </cell>
          <cell r="K129">
            <v>132.33600000000001</v>
          </cell>
          <cell r="L129">
            <v>117.95099999999989</v>
          </cell>
          <cell r="M129">
            <v>54.22499999999998</v>
          </cell>
          <cell r="N129">
            <v>53.185999999999993</v>
          </cell>
          <cell r="O129">
            <v>32.471000000000018</v>
          </cell>
          <cell r="P129">
            <v>28.467000000000006</v>
          </cell>
          <cell r="Q129">
            <v>168.34900000000002</v>
          </cell>
          <cell r="R129">
            <v>37.791999999999994</v>
          </cell>
          <cell r="S129">
            <v>35.143000000000022</v>
          </cell>
          <cell r="T129">
            <v>59.51</v>
          </cell>
          <cell r="U129">
            <v>44.452000000000005</v>
          </cell>
          <cell r="V129">
            <v>176.89700000000002</v>
          </cell>
          <cell r="W129">
            <v>55.031000000000041</v>
          </cell>
          <cell r="X129">
            <v>60.009000000000029</v>
          </cell>
          <cell r="Y129">
            <v>97.541999999999973</v>
          </cell>
          <cell r="Z129">
            <v>77.45999999999998</v>
          </cell>
          <cell r="AA129">
            <v>290.04200000000003</v>
          </cell>
          <cell r="AB129">
            <v>128.44200000000004</v>
          </cell>
          <cell r="AC129">
            <v>42.90900000000002</v>
          </cell>
          <cell r="AD129">
            <v>112.19699999999999</v>
          </cell>
          <cell r="AE129">
            <v>70.587999999999965</v>
          </cell>
          <cell r="AF129">
            <v>354.13600000000008</v>
          </cell>
          <cell r="AG129">
            <v>110.47399999999999</v>
          </cell>
          <cell r="AH129">
            <v>37.154999999999987</v>
          </cell>
          <cell r="AI129">
            <v>118.09199999999998</v>
          </cell>
          <cell r="AJ129">
            <v>68.141000000000048</v>
          </cell>
          <cell r="AK129">
            <v>333.86199999999997</v>
          </cell>
          <cell r="AL129">
            <v>93.21599999999998</v>
          </cell>
          <cell r="AM129">
            <v>83.518000000000015</v>
          </cell>
          <cell r="AN129">
            <v>152.04300000000003</v>
          </cell>
          <cell r="AO129">
            <v>129.22499999999988</v>
          </cell>
          <cell r="AP129">
            <v>458.0019999999999</v>
          </cell>
          <cell r="AQ129">
            <v>156.40800000000004</v>
          </cell>
          <cell r="AR129">
            <v>101.35800000000012</v>
          </cell>
          <cell r="AS129">
            <v>183.75299999999999</v>
          </cell>
          <cell r="AT129">
            <v>122.19600000000003</v>
          </cell>
          <cell r="AU129">
            <v>563.71500000000015</v>
          </cell>
          <cell r="AW129">
            <v>83.518000000000015</v>
          </cell>
          <cell r="AX129">
            <v>152.04300000000003</v>
          </cell>
          <cell r="AY129">
            <v>129.22499999999988</v>
          </cell>
          <cell r="AZ129">
            <v>156.40800000000004</v>
          </cell>
          <cell r="BA129">
            <v>521.19399999999962</v>
          </cell>
          <cell r="BB129">
            <v>101.35800000000012</v>
          </cell>
          <cell r="BC129">
            <v>183.75299999999999</v>
          </cell>
          <cell r="BD129">
            <v>122.19600000000003</v>
          </cell>
          <cell r="BE129">
            <v>138.5270000000001</v>
          </cell>
          <cell r="BF129">
            <v>545.83400000000017</v>
          </cell>
          <cell r="BG129">
            <v>139.30900000000017</v>
          </cell>
          <cell r="BH129">
            <v>135.88499999999991</v>
          </cell>
          <cell r="BI129">
            <v>77.906000000000091</v>
          </cell>
          <cell r="BJ129">
            <v>94.59999999999998</v>
          </cell>
          <cell r="BK129">
            <v>447.70000000000022</v>
          </cell>
          <cell r="BL129">
            <v>76.127999999999759</v>
          </cell>
          <cell r="BM129">
            <v>147.50000000000006</v>
          </cell>
          <cell r="BN129">
            <v>17.611000000000018</v>
          </cell>
          <cell r="BO129">
            <v>81.216000000000122</v>
          </cell>
          <cell r="BP129">
            <v>322.4549999999997</v>
          </cell>
          <cell r="BQ129">
            <v>145.12799999999993</v>
          </cell>
          <cell r="BR129">
            <v>141.12100000000001</v>
          </cell>
          <cell r="BS129">
            <v>89.800999999999902</v>
          </cell>
          <cell r="BT129">
            <v>49.514999999999986</v>
          </cell>
          <cell r="BU129">
            <v>425.56499999999994</v>
          </cell>
          <cell r="BV129">
            <v>116.73599999999989</v>
          </cell>
          <cell r="BW129">
            <v>138.48999999999998</v>
          </cell>
          <cell r="BX129">
            <v>102.20500000000011</v>
          </cell>
          <cell r="BY129">
            <v>84.84999999999981</v>
          </cell>
          <cell r="BZ129">
            <v>442.28099999999961</v>
          </cell>
          <cell r="CA129">
            <v>79.649999999999892</v>
          </cell>
          <cell r="CB129">
            <v>157.67799999999997</v>
          </cell>
          <cell r="CC129">
            <v>122.74300000000011</v>
          </cell>
          <cell r="CD129">
            <v>77.053999999999959</v>
          </cell>
          <cell r="CE129">
            <v>437.12499999999994</v>
          </cell>
          <cell r="CF129">
            <v>116.82600000000015</v>
          </cell>
          <cell r="CG129">
            <v>154.67100000000002</v>
          </cell>
          <cell r="CH129">
            <v>175.45400000000015</v>
          </cell>
          <cell r="CI129">
            <v>97.070999999999884</v>
          </cell>
          <cell r="CJ129">
            <v>544.02200000000039</v>
          </cell>
          <cell r="CK129">
            <v>62.087000000000238</v>
          </cell>
          <cell r="CL129">
            <v>228.9139999999999</v>
          </cell>
          <cell r="CM129">
            <v>167.14530000000013</v>
          </cell>
          <cell r="CN129">
            <v>157.15153351970693</v>
          </cell>
          <cell r="CO129">
            <v>615.29783351970707</v>
          </cell>
          <cell r="CP129">
            <v>56.555070157559101</v>
          </cell>
          <cell r="CQ129">
            <v>309.44600158227388</v>
          </cell>
          <cell r="CR129">
            <v>161.71622897120915</v>
          </cell>
          <cell r="CS129">
            <v>131.82846211402114</v>
          </cell>
          <cell r="CT129">
            <v>659.54576282506309</v>
          </cell>
          <cell r="CU129">
            <v>70.743399563403841</v>
          </cell>
          <cell r="CV129">
            <v>336.09820179649751</v>
          </cell>
          <cell r="CW129">
            <v>186.63523291771207</v>
          </cell>
          <cell r="CX129">
            <v>156.0715742160115</v>
          </cell>
          <cell r="CY129">
            <v>749.54840849362483</v>
          </cell>
          <cell r="CZ129">
            <v>73.109425480775258</v>
          </cell>
          <cell r="DA129">
            <v>354.17483810368003</v>
          </cell>
          <cell r="DB129">
            <v>198.86872915232075</v>
          </cell>
          <cell r="DC129">
            <v>169.86913507250821</v>
          </cell>
          <cell r="DD129">
            <v>796.02212780928414</v>
          </cell>
          <cell r="DE129">
            <v>77.890060357288121</v>
          </cell>
          <cell r="DF129">
            <v>371.68810964913212</v>
          </cell>
          <cell r="DG129">
            <v>213.67102541965409</v>
          </cell>
          <cell r="DH129">
            <v>184.36960155421053</v>
          </cell>
          <cell r="DI129">
            <v>847.61879698028474</v>
          </cell>
        </row>
        <row r="130">
          <cell r="B130" t="str">
            <v>% of net income + D&amp;A</v>
          </cell>
          <cell r="F130">
            <v>1.2560848351524383</v>
          </cell>
          <cell r="G130">
            <v>0.92163438203238757</v>
          </cell>
          <cell r="H130">
            <v>0.73109935704557671</v>
          </cell>
          <cell r="I130">
            <v>0.8847222056667422</v>
          </cell>
          <cell r="J130">
            <v>0.84998966375753859</v>
          </cell>
          <cell r="K130">
            <v>0.91339908753960075</v>
          </cell>
          <cell r="L130">
            <v>0.629807615294664</v>
          </cell>
          <cell r="M130">
            <v>1.192754388280322</v>
          </cell>
          <cell r="N130">
            <v>0.85713364812815263</v>
          </cell>
          <cell r="O130">
            <v>0.5934678510070549</v>
          </cell>
          <cell r="P130">
            <v>0.58219486256544495</v>
          </cell>
          <cell r="Q130">
            <v>0.79739772549651156</v>
          </cell>
          <cell r="R130">
            <v>0.72089119487257747</v>
          </cell>
          <cell r="S130">
            <v>0.50916387766042237</v>
          </cell>
          <cell r="T130">
            <v>0.94584929351367675</v>
          </cell>
          <cell r="U130">
            <v>0.76901252508476925</v>
          </cell>
          <cell r="V130">
            <v>0.73047826697389395</v>
          </cell>
          <cell r="W130">
            <v>0.89324438384625382</v>
          </cell>
          <cell r="X130">
            <v>0.84691486959467066</v>
          </cell>
          <cell r="Y130">
            <v>1.2665489391539204</v>
          </cell>
          <cell r="Z130">
            <v>1.0172563233787719</v>
          </cell>
          <cell r="AA130">
            <v>1.0154678878525614</v>
          </cell>
          <cell r="AB130">
            <v>1.7810965970546628</v>
          </cell>
          <cell r="AC130">
            <v>0.46074799471700556</v>
          </cell>
          <cell r="AD130">
            <v>1.2341682341682341</v>
          </cell>
          <cell r="AE130">
            <v>0.82451058262860366</v>
          </cell>
          <cell r="AF130">
            <v>1.0362004190025869</v>
          </cell>
          <cell r="AG130">
            <v>1.2884317087109149</v>
          </cell>
          <cell r="AH130">
            <v>0.3532582859533363</v>
          </cell>
          <cell r="AI130">
            <v>1.136330395288865</v>
          </cell>
          <cell r="AJ130">
            <v>0.69218735715083879</v>
          </cell>
          <cell r="AK130">
            <v>0.84889953418360076</v>
          </cell>
          <cell r="AL130">
            <v>0.91107766288093506</v>
          </cell>
          <cell r="AM130">
            <v>0.66891994713868097</v>
          </cell>
          <cell r="AN130">
            <v>1.2329843568804586</v>
          </cell>
          <cell r="AO130">
            <v>1.1797922068436619</v>
          </cell>
          <cell r="AP130">
            <v>0.99562622007156298</v>
          </cell>
          <cell r="AQ130">
            <v>1.3559780488439228</v>
          </cell>
          <cell r="AR130">
            <v>0.73927282010138262</v>
          </cell>
          <cell r="AS130">
            <v>1.4596893990546924</v>
          </cell>
          <cell r="AT130">
            <v>0.94060594864215819</v>
          </cell>
          <cell r="AU130">
            <v>1.1091315477256227</v>
          </cell>
          <cell r="AW130">
            <v>0.66891994713868097</v>
          </cell>
          <cell r="AX130">
            <v>1.2329843568804586</v>
          </cell>
          <cell r="AY130">
            <v>1.1797922068436619</v>
          </cell>
          <cell r="AZ130">
            <v>1.3559780488439228</v>
          </cell>
          <cell r="BA130">
            <v>1.1017805841702832</v>
          </cell>
          <cell r="BB130">
            <v>0.73927282010138262</v>
          </cell>
          <cell r="BC130">
            <v>1.4596893990546924</v>
          </cell>
          <cell r="BD130">
            <v>0.94060594864215819</v>
          </cell>
          <cell r="BE130">
            <v>1.1792542776879202</v>
          </cell>
          <cell r="BF130">
            <v>1.0694826518696166</v>
          </cell>
          <cell r="BG130">
            <v>1.0635005458390274</v>
          </cell>
          <cell r="BH130">
            <v>1.1074933168155439</v>
          </cell>
          <cell r="BI130">
            <v>0.64747926397500066</v>
          </cell>
          <cell r="BJ130">
            <v>-31.057124097176047</v>
          </cell>
          <cell r="BK130">
            <v>1.2068589050660041</v>
          </cell>
          <cell r="BL130">
            <v>0.64685189905684348</v>
          </cell>
          <cell r="BM130">
            <v>2.1868698849484036</v>
          </cell>
          <cell r="BN130">
            <v>0.197894192736426</v>
          </cell>
          <cell r="BO130">
            <v>1.1148693169338912</v>
          </cell>
          <cell r="BP130">
            <v>0.92932404936335977</v>
          </cell>
          <cell r="BQ130">
            <v>0.74836407514167691</v>
          </cell>
          <cell r="BR130">
            <v>1.7825735470587489</v>
          </cell>
          <cell r="BS130">
            <v>1.2380880163238295</v>
          </cell>
          <cell r="BT130">
            <v>0.60381937246198258</v>
          </cell>
          <cell r="BU130">
            <v>0.99517338627642193</v>
          </cell>
          <cell r="BV130">
            <v>1.013306945131637</v>
          </cell>
          <cell r="BW130">
            <v>1.3635871331094984</v>
          </cell>
          <cell r="BX130">
            <v>1.1190246786519809</v>
          </cell>
          <cell r="BY130">
            <v>0.81782344266561202</v>
          </cell>
          <cell r="BZ130">
            <v>1.0738859441885529</v>
          </cell>
          <cell r="CA130">
            <v>0.67950894494825809</v>
          </cell>
          <cell r="CB130">
            <v>1.4429334895127928</v>
          </cell>
          <cell r="CC130">
            <v>1.1904891225279579</v>
          </cell>
          <cell r="CD130">
            <v>0.81871307747885558</v>
          </cell>
          <cell r="CE130">
            <v>1.0316559361075448</v>
          </cell>
          <cell r="CF130">
            <v>0.90456206640237868</v>
          </cell>
          <cell r="CG130">
            <v>1.2840562865800502</v>
          </cell>
          <cell r="CH130">
            <v>1.496728513542334</v>
          </cell>
          <cell r="CI130">
            <v>0.86966376692140213</v>
          </cell>
          <cell r="CJ130">
            <v>1.1370485169850209</v>
          </cell>
          <cell r="CK130">
            <v>0.49372574591259072</v>
          </cell>
          <cell r="CL130">
            <v>1.7137360004791278</v>
          </cell>
          <cell r="CM130">
            <v>1.1739627889336059</v>
          </cell>
          <cell r="CN130">
            <v>1.0369797070605469</v>
          </cell>
          <cell r="CO130">
            <v>1.1121467917991752</v>
          </cell>
          <cell r="CP130">
            <v>0.34946134520612304</v>
          </cell>
          <cell r="CQ130">
            <v>1.972302889145696</v>
          </cell>
          <cell r="CR130">
            <v>1.1310194872701664</v>
          </cell>
          <cell r="CS130">
            <v>1.0345570307499081</v>
          </cell>
          <cell r="CT130">
            <v>1.1195088450903099</v>
          </cell>
          <cell r="CU130">
            <v>0.41174808010287389</v>
          </cell>
          <cell r="CV130">
            <v>1.882194468601472</v>
          </cell>
          <cell r="CW130">
            <v>1.1144369739172844</v>
          </cell>
          <cell r="CX130">
            <v>1.0482251628055956</v>
          </cell>
          <cell r="CY130">
            <v>1.1241968734113907</v>
          </cell>
          <cell r="CZ130">
            <v>0.37137062675683868</v>
          </cell>
          <cell r="DA130">
            <v>1.8691148656669068</v>
          </cell>
          <cell r="DB130">
            <v>1.1054451320236707</v>
          </cell>
          <cell r="DC130">
            <v>1.0431017441634254</v>
          </cell>
          <cell r="DD130">
            <v>1.0917857723809232</v>
          </cell>
          <cell r="DE130">
            <v>0.36695334060152557</v>
          </cell>
          <cell r="DF130">
            <v>1.8311198975497021</v>
          </cell>
          <cell r="DG130">
            <v>1.0988134690875617</v>
          </cell>
          <cell r="DH130">
            <v>1.0585207844617339</v>
          </cell>
          <cell r="DI130">
            <v>1.0813142659904684</v>
          </cell>
        </row>
        <row r="132">
          <cell r="B132" t="str">
            <v>Acquisitions</v>
          </cell>
          <cell r="F132">
            <v>0</v>
          </cell>
          <cell r="G132">
            <v>-25.593</v>
          </cell>
          <cell r="H132">
            <v>-1.2949999999999999</v>
          </cell>
          <cell r="I132">
            <v>-73.959999999999994</v>
          </cell>
          <cell r="J132">
            <v>-99.638999999999996</v>
          </cell>
          <cell r="K132">
            <v>-51.466999999999999</v>
          </cell>
          <cell r="L132">
            <v>-169.48400000000001</v>
          </cell>
          <cell r="M132">
            <v>-7.0209999999999999</v>
          </cell>
          <cell r="N132">
            <v>-0.24399999999999977</v>
          </cell>
          <cell r="O132">
            <v>-160.79100000000003</v>
          </cell>
          <cell r="P132">
            <v>-15.910999999999987</v>
          </cell>
          <cell r="Q132">
            <v>-183.96699999999998</v>
          </cell>
          <cell r="R132">
            <v>0</v>
          </cell>
          <cell r="S132">
            <v>0</v>
          </cell>
          <cell r="T132">
            <v>-55.603000000000002</v>
          </cell>
          <cell r="U132">
            <v>-74.798999999999978</v>
          </cell>
          <cell r="V132">
            <v>-130.40199999999999</v>
          </cell>
          <cell r="W132">
            <v>0</v>
          </cell>
          <cell r="X132">
            <v>0</v>
          </cell>
          <cell r="Y132">
            <v>-60.198</v>
          </cell>
          <cell r="Z132">
            <v>-40.696000000000005</v>
          </cell>
          <cell r="AA132">
            <v>-100.89400000000001</v>
          </cell>
          <cell r="AB132">
            <v>-186.52</v>
          </cell>
          <cell r="AC132">
            <v>-0.43599999999997863</v>
          </cell>
          <cell r="AD132">
            <v>-80.164000000000016</v>
          </cell>
          <cell r="AE132">
            <v>-33.058999999999969</v>
          </cell>
          <cell r="AF132">
            <v>-300.17899999999997</v>
          </cell>
          <cell r="AG132">
            <v>-9.5559999999999992</v>
          </cell>
          <cell r="AH132">
            <v>-9.8010000000000002</v>
          </cell>
          <cell r="AI132">
            <v>8.8000000000000966E-2</v>
          </cell>
          <cell r="AJ132">
            <v>-107.208</v>
          </cell>
          <cell r="AK132">
            <v>-126.477</v>
          </cell>
          <cell r="AL132">
            <v>-527.49800000000005</v>
          </cell>
          <cell r="AM132">
            <v>8.4820000000000846</v>
          </cell>
          <cell r="AN132">
            <v>1.2419999999999618</v>
          </cell>
          <cell r="AO132">
            <v>-0.16999999999995907</v>
          </cell>
          <cell r="AP132">
            <v>-517.94399999999996</v>
          </cell>
          <cell r="AQ132">
            <v>-20.108000000000001</v>
          </cell>
          <cell r="AR132">
            <v>-319.90999999999997</v>
          </cell>
          <cell r="AS132">
            <v>-1.8560000000000549</v>
          </cell>
          <cell r="AT132">
            <v>-0.115999999999989</v>
          </cell>
          <cell r="AU132">
            <v>-341.99</v>
          </cell>
          <cell r="AW132">
            <v>8.4820000000000846</v>
          </cell>
          <cell r="AX132">
            <v>1.2419999999999618</v>
          </cell>
          <cell r="AY132">
            <v>-0.16999999999995907</v>
          </cell>
          <cell r="AZ132">
            <v>-20.108000000000001</v>
          </cell>
          <cell r="BA132">
            <v>-10.553999999999913</v>
          </cell>
          <cell r="BB132">
            <v>-319.90999999999997</v>
          </cell>
          <cell r="BC132">
            <v>-1.8560000000000549</v>
          </cell>
          <cell r="BD132">
            <v>-0.115999999999989</v>
          </cell>
          <cell r="BE132">
            <v>-89.043999999999997</v>
          </cell>
          <cell r="BF132">
            <v>-410.92599999999999</v>
          </cell>
          <cell r="BG132">
            <v>-38.146999999999998</v>
          </cell>
          <cell r="BH132">
            <v>-144.41900000000001</v>
          </cell>
          <cell r="BI132">
            <v>-2.3039999999999949</v>
          </cell>
          <cell r="BJ132">
            <v>0</v>
          </cell>
          <cell r="BK132">
            <v>-184.87</v>
          </cell>
          <cell r="BL132">
            <v>0</v>
          </cell>
          <cell r="BM132">
            <v>-36.127000000000002</v>
          </cell>
          <cell r="BN132">
            <v>0</v>
          </cell>
          <cell r="BO132">
            <v>-2.4719999999999942</v>
          </cell>
          <cell r="BP132">
            <v>-38.598999999999997</v>
          </cell>
          <cell r="BQ132">
            <v>-2.42</v>
          </cell>
          <cell r="BR132">
            <v>0</v>
          </cell>
          <cell r="BS132">
            <v>0</v>
          </cell>
          <cell r="BT132">
            <v>-6.1059999999999999</v>
          </cell>
          <cell r="BU132">
            <v>-8.5259999999999998</v>
          </cell>
          <cell r="BV132">
            <v>0</v>
          </cell>
          <cell r="BW132">
            <v>0</v>
          </cell>
          <cell r="BX132">
            <v>-0.56899999999999995</v>
          </cell>
          <cell r="BY132">
            <v>-138.19500000000002</v>
          </cell>
          <cell r="BZ132">
            <v>-138.76400000000001</v>
          </cell>
          <cell r="CA132">
            <v>-10.959</v>
          </cell>
          <cell r="CB132">
            <v>0</v>
          </cell>
          <cell r="CC132">
            <v>-26.947999999999997</v>
          </cell>
          <cell r="CD132">
            <v>-153.54700000000003</v>
          </cell>
          <cell r="CE132">
            <v>-191.45400000000001</v>
          </cell>
          <cell r="CF132">
            <v>-3.6960000000000002</v>
          </cell>
          <cell r="CG132">
            <v>-39.195</v>
          </cell>
          <cell r="CH132">
            <v>-530.54799999999989</v>
          </cell>
          <cell r="CI132">
            <v>-8.6510000000001437</v>
          </cell>
          <cell r="CJ132">
            <v>-582.09</v>
          </cell>
          <cell r="CK132">
            <v>-81.617000000000004</v>
          </cell>
          <cell r="CL132">
            <v>14.944000000000003</v>
          </cell>
          <cell r="CM132">
            <v>-4.8019999999999925</v>
          </cell>
          <cell r="CN132">
            <v>0</v>
          </cell>
          <cell r="CO132">
            <v>-71.474999999999994</v>
          </cell>
          <cell r="CQ132">
            <v>0</v>
          </cell>
          <cell r="CR132">
            <v>0</v>
          </cell>
          <cell r="CS132">
            <v>0</v>
          </cell>
          <cell r="CT132">
            <v>0</v>
          </cell>
          <cell r="CV132">
            <v>0</v>
          </cell>
          <cell r="CW132">
            <v>0</v>
          </cell>
          <cell r="CX132">
            <v>0</v>
          </cell>
          <cell r="CY132">
            <v>0</v>
          </cell>
          <cell r="DA132">
            <v>0</v>
          </cell>
          <cell r="DB132">
            <v>0</v>
          </cell>
          <cell r="DC132">
            <v>0</v>
          </cell>
          <cell r="DD132">
            <v>0</v>
          </cell>
          <cell r="DF132">
            <v>0</v>
          </cell>
          <cell r="DG132">
            <v>0</v>
          </cell>
          <cell r="DH132">
            <v>0</v>
          </cell>
          <cell r="DI132">
            <v>0</v>
          </cell>
          <cell r="DU132" t="str">
            <v>mstag:netDisposalsAcquisitions</v>
          </cell>
          <cell r="DV132">
            <v>6</v>
          </cell>
          <cell r="DW132" t="str">
            <v>ISO4217:USD</v>
          </cell>
          <cell r="DX132" t="b">
            <v>0</v>
          </cell>
        </row>
        <row r="133">
          <cell r="B133" t="str">
            <v>Capital expenditures</v>
          </cell>
          <cell r="F133">
            <v>-14.347</v>
          </cell>
          <cell r="G133">
            <v>-7.492</v>
          </cell>
          <cell r="H133">
            <v>-22.536000000000001</v>
          </cell>
          <cell r="I133">
            <v>-22.937999999999999</v>
          </cell>
          <cell r="J133">
            <v>-41.238999999999997</v>
          </cell>
          <cell r="K133">
            <v>-59.348999999999997</v>
          </cell>
          <cell r="L133">
            <v>-67.930999999999997</v>
          </cell>
          <cell r="M133">
            <v>-38</v>
          </cell>
          <cell r="N133">
            <v>-39.320999999999998</v>
          </cell>
          <cell r="O133">
            <v>-31.748999999999995</v>
          </cell>
          <cell r="P133">
            <v>-50.322000000000003</v>
          </cell>
          <cell r="Q133">
            <v>-159.392</v>
          </cell>
          <cell r="R133">
            <v>-28.524999999999999</v>
          </cell>
          <cell r="S133">
            <v>-27.917000000000002</v>
          </cell>
          <cell r="T133">
            <v>-30.824000000000005</v>
          </cell>
          <cell r="U133">
            <v>-33.437999999999995</v>
          </cell>
          <cell r="V133">
            <v>-120.70400000000001</v>
          </cell>
          <cell r="W133">
            <v>-16.52</v>
          </cell>
          <cell r="X133">
            <v>-37.216999999999999</v>
          </cell>
          <cell r="Y133">
            <v>-13.440999999999999</v>
          </cell>
          <cell r="Z133">
            <v>-6.2949999999999982</v>
          </cell>
          <cell r="AA133">
            <v>-73.472999999999999</v>
          </cell>
          <cell r="AB133">
            <v>-20.582000000000001</v>
          </cell>
          <cell r="AC133">
            <v>-35.616999999999997</v>
          </cell>
          <cell r="AD133">
            <v>-25.713999999999999</v>
          </cell>
          <cell r="AE133">
            <v>-34.134</v>
          </cell>
          <cell r="AF133">
            <v>-116.047</v>
          </cell>
          <cell r="AG133">
            <v>-32.015000000000001</v>
          </cell>
          <cell r="AH133">
            <v>-52.194000000000003</v>
          </cell>
          <cell r="AI133">
            <v>-39.111999999999995</v>
          </cell>
          <cell r="AJ133">
            <v>-42.25</v>
          </cell>
          <cell r="AK133">
            <v>-165.571</v>
          </cell>
          <cell r="AL133">
            <v>-53.941000000000003</v>
          </cell>
          <cell r="AM133">
            <v>-64.465999999999994</v>
          </cell>
          <cell r="AN133">
            <v>-55.161999999999992</v>
          </cell>
          <cell r="AO133">
            <v>-28.090999999999994</v>
          </cell>
          <cell r="AP133">
            <v>-201.65999999999997</v>
          </cell>
          <cell r="AQ133">
            <v>-43.509</v>
          </cell>
          <cell r="AR133">
            <v>-66.879000000000005</v>
          </cell>
          <cell r="AS133">
            <v>-93.887000000000015</v>
          </cell>
          <cell r="AT133">
            <v>-69.066000000000003</v>
          </cell>
          <cell r="AU133">
            <v>-273.34100000000001</v>
          </cell>
          <cell r="AW133">
            <v>-64.465999999999994</v>
          </cell>
          <cell r="AX133">
            <v>-55.161999999999992</v>
          </cell>
          <cell r="AY133">
            <v>-28.090999999999994</v>
          </cell>
          <cell r="AZ133">
            <v>-43.509</v>
          </cell>
          <cell r="BA133">
            <v>-191.22800000000001</v>
          </cell>
          <cell r="BB133">
            <v>-66.879000000000005</v>
          </cell>
          <cell r="BC133">
            <v>-93.887000000000015</v>
          </cell>
          <cell r="BD133">
            <v>-69.066000000000003</v>
          </cell>
          <cell r="BE133">
            <v>-74.477000000000004</v>
          </cell>
          <cell r="BF133">
            <v>-304.30900000000003</v>
          </cell>
          <cell r="BG133">
            <v>-95.24</v>
          </cell>
          <cell r="BH133">
            <v>-82.367000000000004</v>
          </cell>
          <cell r="BI133">
            <v>-76.882999999999996</v>
          </cell>
          <cell r="BJ133">
            <v>-84.046000000000006</v>
          </cell>
          <cell r="BK133">
            <v>-338.536</v>
          </cell>
          <cell r="BL133">
            <v>-69.734999999999999</v>
          </cell>
          <cell r="BM133">
            <v>-76.341999999999999</v>
          </cell>
          <cell r="BN133">
            <v>-67.277999999999977</v>
          </cell>
          <cell r="BO133">
            <v>-57.243000000000052</v>
          </cell>
          <cell r="BP133">
            <v>-270.59800000000001</v>
          </cell>
          <cell r="BQ133">
            <v>-46.805</v>
          </cell>
          <cell r="BR133">
            <v>-46.707000000000001</v>
          </cell>
          <cell r="BS133">
            <v>-65.937999999999988</v>
          </cell>
          <cell r="BT133">
            <v>-58.729000000000021</v>
          </cell>
          <cell r="BU133">
            <v>-218.179</v>
          </cell>
          <cell r="BV133">
            <v>-65.171000000000006</v>
          </cell>
          <cell r="BW133">
            <v>-50.345999999999989</v>
          </cell>
          <cell r="BX133">
            <v>-43.229000000000013</v>
          </cell>
          <cell r="BY133">
            <v>-41.316999999999979</v>
          </cell>
          <cell r="BZ133">
            <v>-200.06299999999999</v>
          </cell>
          <cell r="CA133">
            <v>-32.898000000000003</v>
          </cell>
          <cell r="CB133">
            <v>-59.588000000000001</v>
          </cell>
          <cell r="CC133">
            <v>-55.430999999999997</v>
          </cell>
          <cell r="CD133">
            <v>-61.521999999999991</v>
          </cell>
          <cell r="CE133">
            <v>-209.43899999999999</v>
          </cell>
          <cell r="CF133">
            <v>-47.463000000000001</v>
          </cell>
          <cell r="CG133">
            <v>-85.570999999999998</v>
          </cell>
          <cell r="CH133">
            <v>-69.784999999999997</v>
          </cell>
          <cell r="CI133">
            <v>-99.227000000000004</v>
          </cell>
          <cell r="CJ133">
            <v>-302.04599999999999</v>
          </cell>
          <cell r="CK133">
            <v>-80.816999999999993</v>
          </cell>
          <cell r="CL133">
            <v>-113.35800000000002</v>
          </cell>
          <cell r="CM133">
            <v>-88.248999999999967</v>
          </cell>
          <cell r="CN133">
            <v>-75</v>
          </cell>
          <cell r="CO133">
            <v>-357.42399999999998</v>
          </cell>
          <cell r="CP133">
            <v>-50.167574874380378</v>
          </cell>
          <cell r="CQ133">
            <v>-100.33514974876076</v>
          </cell>
          <cell r="CR133">
            <v>-100.33514974876076</v>
          </cell>
          <cell r="CS133">
            <v>-100.33514974876076</v>
          </cell>
          <cell r="CT133">
            <v>-351.17302412066266</v>
          </cell>
          <cell r="CU133">
            <v>-90.436935899596975</v>
          </cell>
          <cell r="CV133">
            <v>-89.05100462196225</v>
          </cell>
          <cell r="CW133">
            <v>-88.057938959901946</v>
          </cell>
          <cell r="CX133">
            <v>-90.304229984626843</v>
          </cell>
          <cell r="CY133">
            <v>-357.85010946608799</v>
          </cell>
          <cell r="CZ133">
            <v>-94.05585343354501</v>
          </cell>
          <cell r="DA133">
            <v>-92.494944145114772</v>
          </cell>
          <cell r="DB133">
            <v>-91.537327470030505</v>
          </cell>
          <cell r="DC133">
            <v>-94.066099312978949</v>
          </cell>
          <cell r="DD133">
            <v>-372.15422436166926</v>
          </cell>
          <cell r="DE133">
            <v>-98.247815780490896</v>
          </cell>
          <cell r="DF133">
            <v>-96.394845319939535</v>
          </cell>
          <cell r="DG133">
            <v>-95.454008851547727</v>
          </cell>
          <cell r="DH133">
            <v>-97.856814301555261</v>
          </cell>
          <cell r="DI133">
            <v>-387.95348425353336</v>
          </cell>
          <cell r="DU133" t="str">
            <v>mstag:capitalExpenditures</v>
          </cell>
          <cell r="DV133">
            <v>6</v>
          </cell>
          <cell r="DW133" t="str">
            <v>ISO4217:USD</v>
          </cell>
          <cell r="DX133" t="b">
            <v>1</v>
          </cell>
        </row>
        <row r="134">
          <cell r="B134" t="str">
            <v>Proceeds from sale of assets</v>
          </cell>
          <cell r="F134">
            <v>2.7090000000000001</v>
          </cell>
          <cell r="G134">
            <v>2.5999999999999999E-2</v>
          </cell>
          <cell r="H134">
            <v>5.2190000000000003</v>
          </cell>
          <cell r="I134">
            <v>5.7000000000000002E-2</v>
          </cell>
          <cell r="J134">
            <v>2.7E-2</v>
          </cell>
          <cell r="K134">
            <v>0.38800000000000001</v>
          </cell>
          <cell r="L134">
            <v>4.0469999999999997</v>
          </cell>
          <cell r="M134">
            <v>1E-3</v>
          </cell>
          <cell r="N134">
            <v>6.9999999999999993E-2</v>
          </cell>
          <cell r="O134">
            <v>1.2000000000000011E-2</v>
          </cell>
          <cell r="P134">
            <v>2.7999999999999997E-2</v>
          </cell>
          <cell r="Q134">
            <v>0.111</v>
          </cell>
          <cell r="R134">
            <v>1.0999999999999999E-2</v>
          </cell>
          <cell r="S134">
            <v>0.13699999999999998</v>
          </cell>
          <cell r="T134">
            <v>1.0000000000000113E-3</v>
          </cell>
          <cell r="U134">
            <v>5.800000000000001E-2</v>
          </cell>
          <cell r="V134">
            <v>0.20700000000000002</v>
          </cell>
          <cell r="W134">
            <v>2.7919999999999998</v>
          </cell>
          <cell r="X134">
            <v>0.13700000000000001</v>
          </cell>
          <cell r="Y134">
            <v>0</v>
          </cell>
          <cell r="Z134">
            <v>0.42800000000000038</v>
          </cell>
          <cell r="AA134">
            <v>3.3570000000000002</v>
          </cell>
          <cell r="AB134">
            <v>40.052</v>
          </cell>
          <cell r="AC134">
            <v>0.68200000000000216</v>
          </cell>
          <cell r="AD134">
            <v>-0.32900000000000063</v>
          </cell>
          <cell r="AE134">
            <v>0.66899999999999693</v>
          </cell>
          <cell r="AF134">
            <v>41.073999999999998</v>
          </cell>
          <cell r="AG134">
            <v>0.12</v>
          </cell>
          <cell r="AH134">
            <v>0.35199999999999998</v>
          </cell>
          <cell r="AI134">
            <v>0.30200000000000005</v>
          </cell>
          <cell r="AJ134">
            <v>0.48599999999999999</v>
          </cell>
          <cell r="AK134">
            <v>1.26</v>
          </cell>
          <cell r="AL134">
            <v>5.3999999999999999E-2</v>
          </cell>
          <cell r="AM134">
            <v>0.78799999999999992</v>
          </cell>
          <cell r="AN134">
            <v>3.6670000000000007</v>
          </cell>
          <cell r="AO134">
            <v>5.794999999999999</v>
          </cell>
          <cell r="AP134">
            <v>10.303999999999998</v>
          </cell>
          <cell r="AQ134">
            <v>0.33700000000000002</v>
          </cell>
          <cell r="AR134">
            <v>7.5999999999999956E-2</v>
          </cell>
          <cell r="AS134">
            <v>26.161999999999999</v>
          </cell>
          <cell r="AT134">
            <v>13.637000000000004</v>
          </cell>
          <cell r="AU134">
            <v>40.212000000000003</v>
          </cell>
          <cell r="AW134">
            <v>0.78799999999999992</v>
          </cell>
          <cell r="AX134">
            <v>3.6670000000000007</v>
          </cell>
          <cell r="AY134">
            <v>5.794999999999999</v>
          </cell>
          <cell r="AZ134">
            <v>0.33700000000000002</v>
          </cell>
          <cell r="BA134">
            <v>10.587</v>
          </cell>
          <cell r="BB134">
            <v>7.5999999999999956E-2</v>
          </cell>
          <cell r="BC134">
            <v>26.161999999999999</v>
          </cell>
          <cell r="BD134">
            <v>13.637000000000004</v>
          </cell>
          <cell r="BE134">
            <v>11.259</v>
          </cell>
          <cell r="BF134">
            <v>51.134</v>
          </cell>
          <cell r="BG134">
            <v>3.7269999999999999</v>
          </cell>
          <cell r="BH134">
            <v>0.61100000000000021</v>
          </cell>
          <cell r="BI134">
            <v>1.0990000000000006</v>
          </cell>
          <cell r="BJ134">
            <v>0.61399999999999944</v>
          </cell>
          <cell r="BK134">
            <v>6.0510000000000002</v>
          </cell>
          <cell r="BL134">
            <v>18.585000000000001</v>
          </cell>
          <cell r="BM134">
            <v>3.3930000000000007</v>
          </cell>
          <cell r="BN134">
            <v>0.58299999999999841</v>
          </cell>
          <cell r="BO134">
            <v>9.7839999999999989</v>
          </cell>
          <cell r="BP134">
            <v>32.344999999999999</v>
          </cell>
          <cell r="BQ134">
            <v>3.6779999999999999</v>
          </cell>
          <cell r="BR134">
            <v>3.6559999999999997</v>
          </cell>
          <cell r="BS134">
            <v>7.105999999999999</v>
          </cell>
          <cell r="BT134">
            <v>3.272000000000002</v>
          </cell>
          <cell r="BU134">
            <v>17.712</v>
          </cell>
          <cell r="BV134">
            <v>0.71299999999999997</v>
          </cell>
          <cell r="BW134">
            <v>3.2880000000000003</v>
          </cell>
          <cell r="BX134">
            <v>0.65199999999999936</v>
          </cell>
          <cell r="BY134">
            <v>0.79500000000000093</v>
          </cell>
          <cell r="BZ134">
            <v>5.4480000000000004</v>
          </cell>
          <cell r="CA134">
            <v>2.1419999999999999</v>
          </cell>
          <cell r="CB134">
            <v>4.7000000000000153E-2</v>
          </cell>
          <cell r="CC134">
            <v>0.1160000000000001</v>
          </cell>
          <cell r="CD134">
            <v>0.84499999999999975</v>
          </cell>
          <cell r="CE134">
            <v>3.15</v>
          </cell>
          <cell r="CF134">
            <v>0.13700000000000001</v>
          </cell>
          <cell r="CG134">
            <v>1.1919999999999999</v>
          </cell>
          <cell r="CH134">
            <v>0.46300000000000008</v>
          </cell>
          <cell r="CI134">
            <v>0.97300000000000009</v>
          </cell>
          <cell r="CJ134">
            <v>2.7650000000000001</v>
          </cell>
          <cell r="CK134">
            <v>0.80800000000000005</v>
          </cell>
          <cell r="CL134">
            <v>0.55899999999999994</v>
          </cell>
          <cell r="CM134">
            <v>0.56499999999999995</v>
          </cell>
          <cell r="CN134">
            <v>0</v>
          </cell>
          <cell r="CO134">
            <v>1.9319999999999999</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U134" t="str">
            <v>mstag:proceedsFromSaleOfppeAndIntangibleAssetsOnetime</v>
          </cell>
          <cell r="DV134">
            <v>6</v>
          </cell>
          <cell r="DW134" t="str">
            <v>ISO4217:USD</v>
          </cell>
          <cell r="DX134" t="b">
            <v>0</v>
          </cell>
        </row>
        <row r="135">
          <cell r="B135" t="str">
            <v>Proceeds from sale of discontinued operations</v>
          </cell>
          <cell r="F135">
            <v>0</v>
          </cell>
          <cell r="G135">
            <v>0</v>
          </cell>
          <cell r="H135">
            <v>0</v>
          </cell>
          <cell r="AG135">
            <v>0</v>
          </cell>
          <cell r="AH135">
            <v>0</v>
          </cell>
          <cell r="AI135">
            <v>0</v>
          </cell>
          <cell r="AJ135">
            <v>0</v>
          </cell>
          <cell r="AL135">
            <v>0</v>
          </cell>
          <cell r="AM135">
            <v>0</v>
          </cell>
          <cell r="AN135">
            <v>0</v>
          </cell>
          <cell r="AO135">
            <v>0</v>
          </cell>
          <cell r="AW135">
            <v>0</v>
          </cell>
          <cell r="AX135">
            <v>0</v>
          </cell>
          <cell r="AY135">
            <v>0</v>
          </cell>
          <cell r="AZ135">
            <v>0</v>
          </cell>
          <cell r="BB135">
            <v>0</v>
          </cell>
          <cell r="BC135">
            <v>0</v>
          </cell>
          <cell r="BD135">
            <v>0</v>
          </cell>
          <cell r="BE135">
            <v>0</v>
          </cell>
          <cell r="BG135">
            <v>0</v>
          </cell>
          <cell r="BH135">
            <v>0</v>
          </cell>
          <cell r="BI135">
            <v>37.195999999999998</v>
          </cell>
          <cell r="BJ135">
            <v>0</v>
          </cell>
          <cell r="BK135">
            <v>37.195999999999998</v>
          </cell>
          <cell r="BL135">
            <v>0</v>
          </cell>
          <cell r="BM135">
            <v>0</v>
          </cell>
          <cell r="BN135">
            <v>70</v>
          </cell>
          <cell r="BO135">
            <v>0</v>
          </cell>
          <cell r="BP135">
            <v>70</v>
          </cell>
          <cell r="BQ135">
            <v>0</v>
          </cell>
          <cell r="BR135">
            <v>3.5</v>
          </cell>
          <cell r="BS135">
            <v>14.666</v>
          </cell>
          <cell r="BT135">
            <v>0</v>
          </cell>
          <cell r="BU135">
            <v>18.166</v>
          </cell>
          <cell r="BV135">
            <v>0</v>
          </cell>
          <cell r="BW135">
            <v>0</v>
          </cell>
          <cell r="BX135">
            <v>0</v>
          </cell>
          <cell r="BY135">
            <v>0</v>
          </cell>
          <cell r="BZ135">
            <v>0</v>
          </cell>
          <cell r="CA135">
            <v>0</v>
          </cell>
          <cell r="CB135">
            <v>0</v>
          </cell>
          <cell r="CC135">
            <v>0</v>
          </cell>
          <cell r="CD135">
            <v>26.36</v>
          </cell>
          <cell r="CE135">
            <v>26.36</v>
          </cell>
          <cell r="CF135">
            <v>0</v>
          </cell>
          <cell r="CG135">
            <v>0</v>
          </cell>
          <cell r="CH135">
            <v>4.851</v>
          </cell>
          <cell r="CI135">
            <v>0</v>
          </cell>
          <cell r="CJ135">
            <v>4.851</v>
          </cell>
          <cell r="CK135">
            <v>0</v>
          </cell>
          <cell r="CL135">
            <v>1.3919999999999999</v>
          </cell>
          <cell r="CM135">
            <v>0</v>
          </cell>
          <cell r="CN135">
            <v>0</v>
          </cell>
          <cell r="CO135">
            <v>1.3919999999999999</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U135" t="str">
            <v>mstag:proceedsFromSaleOfppeAndIntangibleAssetsOnetime</v>
          </cell>
          <cell r="DV135">
            <v>6</v>
          </cell>
          <cell r="DW135" t="str">
            <v>ISO4217:USD</v>
          </cell>
          <cell r="DX135" t="b">
            <v>0</v>
          </cell>
        </row>
        <row r="136">
          <cell r="B136" t="str">
            <v>Decrease (increase) in restricted funds, net</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-29.315999999999999</v>
          </cell>
          <cell r="AK136">
            <v>-29.315999999999999</v>
          </cell>
          <cell r="AL136">
            <v>-1.323</v>
          </cell>
          <cell r="AM136">
            <v>-19.908000000000001</v>
          </cell>
          <cell r="AN136">
            <v>-10.076999999999998</v>
          </cell>
          <cell r="AO136">
            <v>31.308</v>
          </cell>
          <cell r="AP136">
            <v>0</v>
          </cell>
          <cell r="AQ136">
            <v>0</v>
          </cell>
          <cell r="AR136">
            <v>0</v>
          </cell>
          <cell r="AS136">
            <v>0</v>
          </cell>
          <cell r="AT136" t="e">
            <v>#REF!</v>
          </cell>
          <cell r="AU136" t="e">
            <v>#REF!</v>
          </cell>
          <cell r="AW136">
            <v>-19.908000000000001</v>
          </cell>
          <cell r="AX136">
            <v>-10.076999999999998</v>
          </cell>
          <cell r="AY136">
            <v>31.308</v>
          </cell>
          <cell r="AZ136">
            <v>0</v>
          </cell>
          <cell r="BA136">
            <v>1.3230000000000004</v>
          </cell>
          <cell r="BB136">
            <v>0</v>
          </cell>
          <cell r="BC136">
            <v>0</v>
          </cell>
          <cell r="BD136" t="e">
            <v>#REF!</v>
          </cell>
          <cell r="BE136">
            <v>19.882999999999999</v>
          </cell>
          <cell r="BF136" t="e">
            <v>#REF!</v>
          </cell>
          <cell r="BG136">
            <v>-2.7040000000000002</v>
          </cell>
          <cell r="BH136">
            <v>-17.524000000000001</v>
          </cell>
          <cell r="BI136">
            <v>-1.3430000000000004</v>
          </cell>
          <cell r="BJ136">
            <v>3.0760000000000001</v>
          </cell>
          <cell r="BK136">
            <v>-18.495000000000001</v>
          </cell>
          <cell r="BL136">
            <v>-2.7730000000000001</v>
          </cell>
          <cell r="BM136">
            <v>-9.4939999999999998</v>
          </cell>
          <cell r="BN136">
            <v>4.6289999999999996</v>
          </cell>
          <cell r="BO136">
            <v>-3.0359999999999991</v>
          </cell>
          <cell r="BP136">
            <v>-10.673999999999999</v>
          </cell>
          <cell r="BQ136">
            <v>-2.923</v>
          </cell>
          <cell r="BR136">
            <v>5.7029999999999994</v>
          </cell>
          <cell r="BS136">
            <v>2.6110000000000007</v>
          </cell>
          <cell r="BT136">
            <v>9.1189999999999998</v>
          </cell>
          <cell r="BU136">
            <v>14.51</v>
          </cell>
          <cell r="BV136">
            <v>3.677</v>
          </cell>
          <cell r="BW136">
            <v>3.9709999999999996</v>
          </cell>
          <cell r="BX136">
            <v>-3.4009999999999998</v>
          </cell>
          <cell r="BY136">
            <v>7.343</v>
          </cell>
          <cell r="BZ136">
            <v>11.59</v>
          </cell>
          <cell r="CA136">
            <v>6.0780000000000003</v>
          </cell>
          <cell r="CB136">
            <v>-15.099</v>
          </cell>
          <cell r="CC136">
            <v>1.0860000000000012</v>
          </cell>
          <cell r="CD136">
            <v>2.1769999999999996</v>
          </cell>
          <cell r="CE136">
            <v>-5.758</v>
          </cell>
          <cell r="CF136">
            <v>5.6959999999999997</v>
          </cell>
          <cell r="CG136">
            <v>-17.254999999999999</v>
          </cell>
          <cell r="CH136">
            <v>-16.701000000000001</v>
          </cell>
          <cell r="CI136">
            <v>-7.0489999999999977</v>
          </cell>
          <cell r="CJ136">
            <v>-35.308999999999997</v>
          </cell>
          <cell r="CK136">
            <v>0.78200000000000003</v>
          </cell>
          <cell r="CL136">
            <v>-2.5649999999999999</v>
          </cell>
          <cell r="CM136">
            <v>-16.939999999999998</v>
          </cell>
          <cell r="CN136">
            <v>0</v>
          </cell>
          <cell r="CO136">
            <v>-18.722999999999999</v>
          </cell>
          <cell r="CP136">
            <v>0</v>
          </cell>
          <cell r="CQ136">
            <v>0</v>
          </cell>
          <cell r="CR136">
            <v>0</v>
          </cell>
          <cell r="CS136">
            <v>0</v>
          </cell>
          <cell r="CT136">
            <v>0</v>
          </cell>
          <cell r="CU136">
            <v>0</v>
          </cell>
          <cell r="CV136">
            <v>0</v>
          </cell>
          <cell r="CW136">
            <v>0</v>
          </cell>
          <cell r="CX136">
            <v>0</v>
          </cell>
          <cell r="CY136">
            <v>0</v>
          </cell>
          <cell r="CZ136">
            <v>0</v>
          </cell>
          <cell r="DA136">
            <v>0</v>
          </cell>
          <cell r="DB136">
            <v>0</v>
          </cell>
          <cell r="DC136">
            <v>0</v>
          </cell>
          <cell r="DD136">
            <v>0</v>
          </cell>
          <cell r="DE136">
            <v>0</v>
          </cell>
          <cell r="DF136">
            <v>0</v>
          </cell>
          <cell r="DG136">
            <v>0</v>
          </cell>
          <cell r="DH136">
            <v>0</v>
          </cell>
          <cell r="DI136">
            <v>0</v>
          </cell>
          <cell r="DU136" t="str">
            <v>mstag:netDecreaseInInvestmentsNonOperating</v>
          </cell>
          <cell r="DV136">
            <v>6</v>
          </cell>
          <cell r="DW136" t="str">
            <v>ISO4217:USD</v>
          </cell>
          <cell r="DX136" t="b">
            <v>0</v>
          </cell>
        </row>
        <row r="137">
          <cell r="B137" t="str">
            <v>Other</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32</v>
          </cell>
          <cell r="AE137">
            <v>0</v>
          </cell>
          <cell r="AF137">
            <v>32</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cell r="BM137">
            <v>0</v>
          </cell>
          <cell r="BN137">
            <v>0</v>
          </cell>
          <cell r="BO137">
            <v>0</v>
          </cell>
          <cell r="BP137">
            <v>0</v>
          </cell>
          <cell r="BQ137">
            <v>0</v>
          </cell>
          <cell r="BR137">
            <v>0</v>
          </cell>
          <cell r="BS137">
            <v>0</v>
          </cell>
          <cell r="BT137">
            <v>0</v>
          </cell>
          <cell r="BU137">
            <v>0</v>
          </cell>
          <cell r="BV137">
            <v>0</v>
          </cell>
          <cell r="BW137">
            <v>0</v>
          </cell>
          <cell r="BX137">
            <v>0</v>
          </cell>
          <cell r="BY137">
            <v>-36.527000000000001</v>
          </cell>
          <cell r="BZ137">
            <v>-36.527000000000001</v>
          </cell>
          <cell r="CA137">
            <v>-35.129999999999995</v>
          </cell>
          <cell r="CB137">
            <v>-64.564999999999969</v>
          </cell>
          <cell r="CC137">
            <v>107.02400000000003</v>
          </cell>
          <cell r="CD137">
            <v>-24.172000000000139</v>
          </cell>
          <cell r="CE137">
            <v>-16.843000000000075</v>
          </cell>
          <cell r="CF137">
            <v>-74.586000000000013</v>
          </cell>
          <cell r="CG137">
            <v>-8.4129999999998972</v>
          </cell>
          <cell r="CH137">
            <v>102.8549999999999</v>
          </cell>
          <cell r="CI137">
            <v>-84.038000000000011</v>
          </cell>
          <cell r="CJ137">
            <v>-64.182000000000016</v>
          </cell>
          <cell r="CK137">
            <v>81.485000000000014</v>
          </cell>
          <cell r="CL137">
            <v>-77.103000000000065</v>
          </cell>
          <cell r="CM137">
            <v>-23.350000000000023</v>
          </cell>
          <cell r="CN137">
            <v>0</v>
          </cell>
          <cell r="CO137">
            <v>-18.968000000000075</v>
          </cell>
          <cell r="CP137">
            <v>0</v>
          </cell>
          <cell r="CQ137">
            <v>0</v>
          </cell>
          <cell r="CR137">
            <v>0</v>
          </cell>
          <cell r="CS137">
            <v>0</v>
          </cell>
          <cell r="CT137">
            <v>0</v>
          </cell>
          <cell r="CU137">
            <v>0</v>
          </cell>
          <cell r="CV137">
            <v>0</v>
          </cell>
          <cell r="CW137">
            <v>0</v>
          </cell>
          <cell r="CX137">
            <v>0</v>
          </cell>
          <cell r="CY137">
            <v>0</v>
          </cell>
          <cell r="CZ137">
            <v>0</v>
          </cell>
          <cell r="DA137">
            <v>0</v>
          </cell>
          <cell r="DB137">
            <v>0</v>
          </cell>
          <cell r="DC137">
            <v>0</v>
          </cell>
          <cell r="DD137">
            <v>0</v>
          </cell>
          <cell r="DE137">
            <v>0</v>
          </cell>
          <cell r="DF137">
            <v>0</v>
          </cell>
          <cell r="DG137">
            <v>0</v>
          </cell>
          <cell r="DH137">
            <v>0</v>
          </cell>
          <cell r="DI137">
            <v>0</v>
          </cell>
          <cell r="DU137" t="str">
            <v>mstag:netDecreaseInInvestmentsNonOperating</v>
          </cell>
          <cell r="DV137">
            <v>6</v>
          </cell>
          <cell r="DW137" t="str">
            <v>ISO4217:USD</v>
          </cell>
          <cell r="DX137" t="b">
            <v>0</v>
          </cell>
        </row>
        <row r="138">
          <cell r="B138" t="str">
            <v>Cash Flow from Investing</v>
          </cell>
          <cell r="F138">
            <v>-11.638</v>
          </cell>
          <cell r="G138">
            <v>-33.058999999999997</v>
          </cell>
          <cell r="H138">
            <v>-18.612000000000002</v>
          </cell>
          <cell r="I138">
            <v>-96.840999999999994</v>
          </cell>
          <cell r="J138">
            <v>-140.851</v>
          </cell>
          <cell r="K138">
            <v>-110.428</v>
          </cell>
          <cell r="L138">
            <v>-233.36800000000002</v>
          </cell>
          <cell r="M138">
            <v>-45.02</v>
          </cell>
          <cell r="N138">
            <v>-39.494999999999997</v>
          </cell>
          <cell r="O138">
            <v>-192.52800000000002</v>
          </cell>
          <cell r="P138">
            <v>-66.204999999999984</v>
          </cell>
          <cell r="Q138">
            <v>-343.24799999999999</v>
          </cell>
          <cell r="R138">
            <v>-28.513999999999999</v>
          </cell>
          <cell r="S138">
            <v>-27.78</v>
          </cell>
          <cell r="T138">
            <v>-86.426000000000002</v>
          </cell>
          <cell r="U138">
            <v>-108.17899999999996</v>
          </cell>
          <cell r="V138">
            <v>-250.899</v>
          </cell>
          <cell r="W138">
            <v>-13.728</v>
          </cell>
          <cell r="X138">
            <v>-37.08</v>
          </cell>
          <cell r="Y138">
            <v>-73.638999999999996</v>
          </cell>
          <cell r="Z138">
            <v>-46.563000000000002</v>
          </cell>
          <cell r="AA138">
            <v>-171.01000000000002</v>
          </cell>
          <cell r="AB138">
            <v>-167.05</v>
          </cell>
          <cell r="AC138">
            <v>-35.370999999999974</v>
          </cell>
          <cell r="AD138">
            <v>-74.207000000000022</v>
          </cell>
          <cell r="AE138">
            <v>-66.523999999999972</v>
          </cell>
          <cell r="AF138">
            <v>-343.15199999999999</v>
          </cell>
          <cell r="AG138">
            <v>-41.451000000000001</v>
          </cell>
          <cell r="AH138">
            <v>-61.643000000000008</v>
          </cell>
          <cell r="AI138">
            <v>-38.721999999999994</v>
          </cell>
          <cell r="AJ138">
            <v>-178.28800000000001</v>
          </cell>
          <cell r="AK138">
            <v>-320.10399999999998</v>
          </cell>
          <cell r="AL138">
            <v>-582.70800000000008</v>
          </cell>
          <cell r="AM138">
            <v>-75.103999999999914</v>
          </cell>
          <cell r="AN138">
            <v>-60.330000000000027</v>
          </cell>
          <cell r="AO138">
            <v>8.8420000000000449</v>
          </cell>
          <cell r="AP138">
            <v>-709.3</v>
          </cell>
          <cell r="AQ138">
            <v>-63.28</v>
          </cell>
          <cell r="AR138">
            <v>-386.71299999999997</v>
          </cell>
          <cell r="AS138">
            <v>-69.581000000000074</v>
          </cell>
          <cell r="AT138" t="e">
            <v>#REF!</v>
          </cell>
          <cell r="AU138" t="e">
            <v>#REF!</v>
          </cell>
          <cell r="AW138">
            <v>-75.103999999999914</v>
          </cell>
          <cell r="AX138">
            <v>-60.330000000000027</v>
          </cell>
          <cell r="AY138">
            <v>8.8420000000000449</v>
          </cell>
          <cell r="AZ138">
            <v>-63.28</v>
          </cell>
          <cell r="BA138">
            <v>-189.87199999999993</v>
          </cell>
          <cell r="BB138">
            <v>-386.71299999999997</v>
          </cell>
          <cell r="BC138">
            <v>-69.581000000000074</v>
          </cell>
          <cell r="BD138" t="e">
            <v>#REF!</v>
          </cell>
          <cell r="BE138">
            <v>-132.37899999999999</v>
          </cell>
          <cell r="BF138" t="e">
            <v>#REF!</v>
          </cell>
          <cell r="BG138">
            <v>-132.364</v>
          </cell>
          <cell r="BH138">
            <v>-243.69900000000001</v>
          </cell>
          <cell r="BI138">
            <v>-42.234999999999985</v>
          </cell>
          <cell r="BJ138">
            <v>-80.356000000000009</v>
          </cell>
          <cell r="BK138">
            <v>-498.65399999999988</v>
          </cell>
          <cell r="BL138">
            <v>-53.923000000000002</v>
          </cell>
          <cell r="BM138">
            <v>-118.57</v>
          </cell>
          <cell r="BN138">
            <v>7.9340000000000206</v>
          </cell>
          <cell r="BO138">
            <v>-52.967000000000048</v>
          </cell>
          <cell r="BP138">
            <v>-217.52599999999998</v>
          </cell>
          <cell r="BQ138">
            <v>-48.470000000000006</v>
          </cell>
          <cell r="BR138">
            <v>-33.847999999999999</v>
          </cell>
          <cell r="BS138">
            <v>-41.554999999999978</v>
          </cell>
          <cell r="BT138">
            <v>-52.444000000000017</v>
          </cell>
          <cell r="BU138">
            <v>-176.31700000000004</v>
          </cell>
          <cell r="BV138">
            <v>-60.781000000000013</v>
          </cell>
          <cell r="BW138">
            <v>-43.086999999999996</v>
          </cell>
          <cell r="BX138">
            <v>-46.547000000000011</v>
          </cell>
          <cell r="BY138">
            <v>-207.90100000000001</v>
          </cell>
          <cell r="BZ138">
            <v>-358.31600000000003</v>
          </cell>
          <cell r="CA138">
            <v>-70.766999999999996</v>
          </cell>
          <cell r="CB138">
            <v>-139.20499999999998</v>
          </cell>
          <cell r="CC138">
            <v>25.847000000000037</v>
          </cell>
          <cell r="CD138">
            <v>-209.85900000000018</v>
          </cell>
          <cell r="CE138">
            <v>-393.98400000000009</v>
          </cell>
          <cell r="CF138">
            <v>-119.91200000000001</v>
          </cell>
          <cell r="CG138">
            <v>-149.2419999999999</v>
          </cell>
          <cell r="CH138">
            <v>-508.86500000000001</v>
          </cell>
          <cell r="CI138">
            <v>-197.99200000000013</v>
          </cell>
          <cell r="CJ138">
            <v>-976.01099999999997</v>
          </cell>
          <cell r="CK138">
            <v>-79.35899999999998</v>
          </cell>
          <cell r="CL138">
            <v>-176.13100000000009</v>
          </cell>
          <cell r="CM138">
            <v>-132.77599999999998</v>
          </cell>
          <cell r="CN138">
            <v>-75</v>
          </cell>
          <cell r="CO138">
            <v>-463.26600000000008</v>
          </cell>
          <cell r="CP138">
            <v>-50.167574874380378</v>
          </cell>
          <cell r="CQ138">
            <v>-100.33514974876076</v>
          </cell>
          <cell r="CR138">
            <v>-100.33514974876076</v>
          </cell>
          <cell r="CS138">
            <v>-100.33514974876076</v>
          </cell>
          <cell r="CT138">
            <v>-351.17302412066266</v>
          </cell>
          <cell r="CU138">
            <v>-90.436935899596975</v>
          </cell>
          <cell r="CV138">
            <v>-89.05100462196225</v>
          </cell>
          <cell r="CW138">
            <v>-88.057938959901946</v>
          </cell>
          <cell r="CX138">
            <v>-90.304229984626843</v>
          </cell>
          <cell r="CY138">
            <v>-357.85010946608799</v>
          </cell>
          <cell r="CZ138">
            <v>-94.05585343354501</v>
          </cell>
          <cell r="DA138">
            <v>-92.494944145114772</v>
          </cell>
          <cell r="DB138">
            <v>-91.537327470030505</v>
          </cell>
          <cell r="DC138">
            <v>-94.066099312978949</v>
          </cell>
          <cell r="DD138">
            <v>-372.15422436166926</v>
          </cell>
          <cell r="DE138">
            <v>-98.247815780490896</v>
          </cell>
          <cell r="DF138">
            <v>-96.394845319939535</v>
          </cell>
          <cell r="DG138">
            <v>-95.454008851547727</v>
          </cell>
          <cell r="DH138">
            <v>-97.856814301555261</v>
          </cell>
          <cell r="DI138">
            <v>-387.95348425353336</v>
          </cell>
        </row>
        <row r="140">
          <cell r="B140" t="str">
            <v>Proceeds from long-term borrowings</v>
          </cell>
          <cell r="F140">
            <v>43.463999999999999</v>
          </cell>
          <cell r="G140">
            <v>20.244</v>
          </cell>
          <cell r="H140">
            <v>7.1180000000000003</v>
          </cell>
          <cell r="I140">
            <v>1.097</v>
          </cell>
          <cell r="J140">
            <v>0.70799999999999996</v>
          </cell>
          <cell r="K140">
            <v>0.52</v>
          </cell>
          <cell r="L140">
            <v>80.995999999999995</v>
          </cell>
          <cell r="M140">
            <v>0.13300000000000001</v>
          </cell>
          <cell r="N140">
            <v>0.21000000000000002</v>
          </cell>
          <cell r="O140">
            <v>155.88899999999998</v>
          </cell>
          <cell r="P140">
            <v>93.413000000000039</v>
          </cell>
          <cell r="Q140">
            <v>249.64500000000001</v>
          </cell>
          <cell r="R140">
            <v>47.405000000000001</v>
          </cell>
          <cell r="S140">
            <v>0.40500000000000114</v>
          </cell>
          <cell r="T140">
            <v>55.403999999999996</v>
          </cell>
          <cell r="U140">
            <v>343.90300000000002</v>
          </cell>
          <cell r="V140">
            <v>447.11700000000002</v>
          </cell>
          <cell r="W140">
            <v>2.673</v>
          </cell>
          <cell r="X140">
            <v>2.641</v>
          </cell>
          <cell r="Y140">
            <v>22.643999999999998</v>
          </cell>
          <cell r="Z140">
            <v>7.6330000000000027</v>
          </cell>
          <cell r="AA140">
            <v>35.591000000000001</v>
          </cell>
          <cell r="AB140">
            <v>172.63900000000001</v>
          </cell>
          <cell r="AC140">
            <v>279.57299999999998</v>
          </cell>
          <cell r="AD140">
            <v>3.2450000000000045</v>
          </cell>
          <cell r="AE140">
            <v>23.857000000000028</v>
          </cell>
          <cell r="AF140">
            <v>479.31400000000002</v>
          </cell>
          <cell r="AG140">
            <v>3.2389999999999999</v>
          </cell>
          <cell r="AH140">
            <v>3.2519999999999998</v>
          </cell>
          <cell r="AI140">
            <v>3.2910000000000004</v>
          </cell>
          <cell r="AJ140">
            <v>566.02299999999991</v>
          </cell>
          <cell r="AK140">
            <v>575.80499999999995</v>
          </cell>
          <cell r="AL140">
            <v>278.185</v>
          </cell>
          <cell r="AM140">
            <v>3.1469999999999914</v>
          </cell>
          <cell r="AN140">
            <v>2.6150000000000091</v>
          </cell>
          <cell r="AO140">
            <v>4.9889999999999759</v>
          </cell>
          <cell r="AP140">
            <v>288.93599999999998</v>
          </cell>
          <cell r="AQ140">
            <v>5.2469999999999999</v>
          </cell>
          <cell r="AR140">
            <v>181.71300000000002</v>
          </cell>
          <cell r="AS140">
            <v>-1.4210854715202004E-14</v>
          </cell>
          <cell r="AT140">
            <v>25.22499999999998</v>
          </cell>
          <cell r="AU140">
            <v>212.185</v>
          </cell>
          <cell r="AW140">
            <v>3.1469999999999914</v>
          </cell>
          <cell r="AX140">
            <v>2.6150000000000091</v>
          </cell>
          <cell r="AY140">
            <v>4.9889999999999759</v>
          </cell>
          <cell r="AZ140">
            <v>5.2469999999999999</v>
          </cell>
          <cell r="BA140">
            <v>15.997999999999976</v>
          </cell>
          <cell r="BB140">
            <v>181.71300000000002</v>
          </cell>
          <cell r="BC140">
            <v>-1.4210854715202004E-14</v>
          </cell>
          <cell r="BD140">
            <v>25.22499999999998</v>
          </cell>
          <cell r="BE140">
            <v>195</v>
          </cell>
          <cell r="BF140">
            <v>401.93799999999999</v>
          </cell>
          <cell r="BG140">
            <v>285</v>
          </cell>
          <cell r="BH140">
            <v>546.70699999999999</v>
          </cell>
          <cell r="BI140">
            <v>0.71600000000000819</v>
          </cell>
          <cell r="BJ140">
            <v>34.524999999999977</v>
          </cell>
          <cell r="BK140">
            <v>866.94799999999998</v>
          </cell>
          <cell r="BL140">
            <v>2706.598</v>
          </cell>
          <cell r="BM140">
            <v>0.13700000000017099</v>
          </cell>
          <cell r="BN140">
            <v>0.87300000000004729</v>
          </cell>
          <cell r="BO140">
            <v>0</v>
          </cell>
          <cell r="BP140">
            <v>2707.6080000000002</v>
          </cell>
          <cell r="BQ140">
            <v>0</v>
          </cell>
          <cell r="BR140">
            <v>244.452</v>
          </cell>
          <cell r="BS140">
            <v>1.9000000000005457E-2</v>
          </cell>
          <cell r="BT140">
            <v>0</v>
          </cell>
          <cell r="BU140">
            <v>244.471</v>
          </cell>
          <cell r="BV140">
            <v>0</v>
          </cell>
          <cell r="BW140">
            <v>0</v>
          </cell>
          <cell r="BX140">
            <v>0</v>
          </cell>
          <cell r="BY140">
            <v>38</v>
          </cell>
          <cell r="BZ140">
            <v>38</v>
          </cell>
          <cell r="CA140">
            <v>0</v>
          </cell>
          <cell r="CB140">
            <v>0</v>
          </cell>
          <cell r="CC140">
            <v>0</v>
          </cell>
          <cell r="CD140">
            <v>0</v>
          </cell>
          <cell r="CE140">
            <v>0</v>
          </cell>
          <cell r="CF140">
            <v>0</v>
          </cell>
          <cell r="CG140">
            <v>0</v>
          </cell>
          <cell r="CH140">
            <v>370.7</v>
          </cell>
          <cell r="CI140">
            <v>2986.27</v>
          </cell>
          <cell r="CJ140">
            <v>3356.97</v>
          </cell>
          <cell r="CK140">
            <v>0</v>
          </cell>
          <cell r="CL140">
            <v>17</v>
          </cell>
          <cell r="CM140">
            <v>0</v>
          </cell>
          <cell r="CN140">
            <v>0</v>
          </cell>
          <cell r="CO140">
            <v>17</v>
          </cell>
          <cell r="CP140">
            <v>0</v>
          </cell>
          <cell r="CQ140">
            <v>0</v>
          </cell>
          <cell r="CR140">
            <v>0</v>
          </cell>
          <cell r="CS140">
            <v>0</v>
          </cell>
          <cell r="CT140">
            <v>0</v>
          </cell>
          <cell r="CU140">
            <v>0</v>
          </cell>
          <cell r="CV140">
            <v>0</v>
          </cell>
          <cell r="CW140">
            <v>0</v>
          </cell>
          <cell r="CX140">
            <v>0</v>
          </cell>
          <cell r="CY140">
            <v>0</v>
          </cell>
          <cell r="CZ140">
            <v>0</v>
          </cell>
          <cell r="DA140">
            <v>0</v>
          </cell>
          <cell r="DB140">
            <v>0</v>
          </cell>
          <cell r="DC140">
            <v>0</v>
          </cell>
          <cell r="DD140">
            <v>0</v>
          </cell>
          <cell r="DE140">
            <v>0</v>
          </cell>
          <cell r="DF140">
            <v>0</v>
          </cell>
          <cell r="DG140">
            <v>0</v>
          </cell>
          <cell r="DH140">
            <v>0</v>
          </cell>
          <cell r="DI140">
            <v>0</v>
          </cell>
          <cell r="DU140" t="str">
            <v>mstag:proceedsFromIssuanceAndCashUsedToRepayLongTermDebt</v>
          </cell>
          <cell r="DV140">
            <v>6</v>
          </cell>
          <cell r="DW140" t="str">
            <v>ISO4217:USD</v>
          </cell>
          <cell r="DX140" t="b">
            <v>0</v>
          </cell>
        </row>
        <row r="141">
          <cell r="B141" t="str">
            <v>Principal payments on debt/cap leases</v>
          </cell>
          <cell r="F141">
            <v>-89</v>
          </cell>
          <cell r="G141">
            <v>-4.9370000000000003</v>
          </cell>
          <cell r="H141">
            <v>-10.239000000000001</v>
          </cell>
          <cell r="I141">
            <v>-14.044</v>
          </cell>
          <cell r="J141">
            <v>-7.1870000000000003</v>
          </cell>
          <cell r="K141">
            <v>-20.620999999999999</v>
          </cell>
          <cell r="L141">
            <v>-39.85</v>
          </cell>
          <cell r="M141">
            <v>-7.7610000000000001</v>
          </cell>
          <cell r="N141">
            <v>-2.12</v>
          </cell>
          <cell r="O141">
            <v>-4.2540000000000004</v>
          </cell>
          <cell r="P141">
            <v>-3.0939999999999968</v>
          </cell>
          <cell r="Q141">
            <v>-17.228999999999999</v>
          </cell>
          <cell r="R141">
            <v>-2.282</v>
          </cell>
          <cell r="S141">
            <v>-9.1669999999999998</v>
          </cell>
          <cell r="T141">
            <v>-39.475999999999999</v>
          </cell>
          <cell r="U141">
            <v>-291.84900000000005</v>
          </cell>
          <cell r="V141">
            <v>-342.77400000000006</v>
          </cell>
          <cell r="W141">
            <v>-31.640999999999998</v>
          </cell>
          <cell r="X141">
            <v>-31.801000000000002</v>
          </cell>
          <cell r="Y141">
            <v>-39.463000000000001</v>
          </cell>
          <cell r="Z141">
            <v>-26.193000000000019</v>
          </cell>
          <cell r="AA141">
            <v>-129.09800000000001</v>
          </cell>
          <cell r="AB141">
            <v>-2.09</v>
          </cell>
          <cell r="AC141">
            <v>-251.304</v>
          </cell>
          <cell r="AD141">
            <v>-7.8510000000000026</v>
          </cell>
          <cell r="AE141">
            <v>-2.2370000000000267</v>
          </cell>
          <cell r="AF141">
            <v>-263.48200000000003</v>
          </cell>
          <cell r="AG141">
            <v>-1.4</v>
          </cell>
          <cell r="AH141">
            <v>-2.097</v>
          </cell>
          <cell r="AI141">
            <v>-3.472</v>
          </cell>
          <cell r="AJ141">
            <v>-311.34900000000005</v>
          </cell>
          <cell r="AK141">
            <v>-318.31800000000004</v>
          </cell>
          <cell r="AL141">
            <v>-77.418000000000006</v>
          </cell>
          <cell r="AM141">
            <v>-26.307999999999993</v>
          </cell>
          <cell r="AN141">
            <v>-82.021999999999991</v>
          </cell>
          <cell r="AO141">
            <v>-102.48200000000003</v>
          </cell>
          <cell r="AP141">
            <v>-288.23</v>
          </cell>
          <cell r="AQ141">
            <v>-2.976</v>
          </cell>
          <cell r="AR141">
            <v>-15</v>
          </cell>
          <cell r="AS141">
            <v>-89.921999999999997</v>
          </cell>
          <cell r="AT141">
            <v>-58.849000000000018</v>
          </cell>
          <cell r="AU141">
            <v>-166.74700000000001</v>
          </cell>
          <cell r="AW141">
            <v>-26.307999999999993</v>
          </cell>
          <cell r="AX141">
            <v>-82.021999999999991</v>
          </cell>
          <cell r="AY141">
            <v>-102.48200000000003</v>
          </cell>
          <cell r="AZ141">
            <v>-2.976</v>
          </cell>
          <cell r="BA141">
            <v>-213.78800000000001</v>
          </cell>
          <cell r="BB141">
            <v>-15</v>
          </cell>
          <cell r="BC141">
            <v>-89.921999999999997</v>
          </cell>
          <cell r="BD141">
            <v>-58.849000000000018</v>
          </cell>
          <cell r="BE141">
            <v>-1.1719999999999999</v>
          </cell>
          <cell r="BF141">
            <v>-164.94300000000001</v>
          </cell>
          <cell r="BG141">
            <v>-279.01</v>
          </cell>
          <cell r="BH141">
            <v>-405.88300000000004</v>
          </cell>
          <cell r="BI141">
            <v>-39.107999999999947</v>
          </cell>
          <cell r="BJ141">
            <v>-19.47199999999998</v>
          </cell>
          <cell r="BK141">
            <v>-743.47299999999996</v>
          </cell>
          <cell r="BL141">
            <v>-300.47399999999999</v>
          </cell>
          <cell r="BM141">
            <v>-13.302999999999997</v>
          </cell>
          <cell r="BN141">
            <v>-11.725999999999999</v>
          </cell>
          <cell r="BO141">
            <v>-19.084000000000003</v>
          </cell>
          <cell r="BP141">
            <v>-344.58699999999999</v>
          </cell>
          <cell r="BQ141">
            <v>-62.094999999999999</v>
          </cell>
          <cell r="BR141">
            <v>-376.10199999999998</v>
          </cell>
          <cell r="BS141">
            <v>-294.09699999999998</v>
          </cell>
          <cell r="BT141">
            <v>-34.636000000000109</v>
          </cell>
          <cell r="BU141">
            <v>-766.93000000000006</v>
          </cell>
          <cell r="BV141">
            <v>-29.108000000000001</v>
          </cell>
          <cell r="BW141">
            <v>-38.896000000000001</v>
          </cell>
          <cell r="BX141">
            <v>-10.837999999999997</v>
          </cell>
          <cell r="BY141">
            <v>-48.376000000000005</v>
          </cell>
          <cell r="BZ141">
            <v>-127.218</v>
          </cell>
          <cell r="CA141">
            <v>-9.4450000000000003</v>
          </cell>
          <cell r="CB141">
            <v>-10.547000000000001</v>
          </cell>
          <cell r="CC141">
            <v>-10.361000000000001</v>
          </cell>
          <cell r="CD141">
            <v>-9.7939999999999969</v>
          </cell>
          <cell r="CE141">
            <v>-40.146999999999998</v>
          </cell>
          <cell r="CF141">
            <v>-9.0180000000000007</v>
          </cell>
          <cell r="CG141">
            <v>-10.722999999999999</v>
          </cell>
          <cell r="CH141">
            <v>-14.305999999999997</v>
          </cell>
          <cell r="CI141">
            <v>-2835.3330000000001</v>
          </cell>
          <cell r="CJ141">
            <v>-2869.38</v>
          </cell>
          <cell r="CK141">
            <v>-20.798999999999999</v>
          </cell>
          <cell r="CL141">
            <v>-40.273000000000003</v>
          </cell>
          <cell r="CM141">
            <v>-27.491</v>
          </cell>
          <cell r="CN141">
            <v>-15.522750000000016</v>
          </cell>
          <cell r="CO141">
            <v>-104.08575000000002</v>
          </cell>
          <cell r="CP141">
            <v>-15.522750000000016</v>
          </cell>
          <cell r="CQ141">
            <v>-15.522750000000016</v>
          </cell>
          <cell r="CR141">
            <v>-15.522750000000016</v>
          </cell>
          <cell r="CS141">
            <v>-15.522750000000016</v>
          </cell>
          <cell r="CT141">
            <v>-62.091000000000065</v>
          </cell>
          <cell r="CU141">
            <v>-15.522750000000016</v>
          </cell>
          <cell r="CV141">
            <v>-15.522750000000016</v>
          </cell>
          <cell r="CW141">
            <v>-15.522750000000016</v>
          </cell>
          <cell r="CX141">
            <v>-15.522750000000016</v>
          </cell>
          <cell r="CY141">
            <v>-62.091000000000065</v>
          </cell>
          <cell r="CZ141">
            <v>-16.022750000000016</v>
          </cell>
          <cell r="DA141">
            <v>-16.022750000000016</v>
          </cell>
          <cell r="DB141">
            <v>-16.022750000000016</v>
          </cell>
          <cell r="DC141">
            <v>-16.022750000000016</v>
          </cell>
          <cell r="DD141">
            <v>-64.091000000000065</v>
          </cell>
          <cell r="DE141">
            <v>-16.022750000000016</v>
          </cell>
          <cell r="DF141">
            <v>-16.022750000000016</v>
          </cell>
          <cell r="DG141">
            <v>-16.022750000000016</v>
          </cell>
          <cell r="DH141">
            <v>-16.022750000000016</v>
          </cell>
          <cell r="DI141">
            <v>-64.091000000000065</v>
          </cell>
          <cell r="DU141" t="str">
            <v>mstag:proceedsFromIssuanceAndCashUsedToRepayLongTermDebt</v>
          </cell>
          <cell r="DV141">
            <v>6</v>
          </cell>
          <cell r="DW141" t="str">
            <v>ISO4217:USD</v>
          </cell>
          <cell r="DX141" t="b">
            <v>0</v>
          </cell>
        </row>
        <row r="142">
          <cell r="B142" t="str">
            <v>Proceeds from issuance of common stock, net</v>
          </cell>
          <cell r="F142">
            <v>36.799999999999997</v>
          </cell>
          <cell r="G142">
            <v>25.07</v>
          </cell>
          <cell r="H142">
            <v>10.744</v>
          </cell>
          <cell r="I142">
            <v>1.6910000000000001</v>
          </cell>
          <cell r="J142">
            <v>9.468</v>
          </cell>
          <cell r="K142">
            <v>34.158999999999999</v>
          </cell>
          <cell r="L142">
            <v>20.706</v>
          </cell>
          <cell r="M142">
            <v>2.5640000000000001</v>
          </cell>
          <cell r="N142">
            <v>0.28500000000000014</v>
          </cell>
          <cell r="O142">
            <v>0.2849999999999997</v>
          </cell>
          <cell r="P142">
            <v>8.8650000000000002</v>
          </cell>
          <cell r="Q142">
            <v>11.999000000000001</v>
          </cell>
          <cell r="R142">
            <v>5.3999999999999999E-2</v>
          </cell>
          <cell r="S142">
            <v>5.3999999999999999E-2</v>
          </cell>
          <cell r="T142">
            <v>9.8049999999999997</v>
          </cell>
          <cell r="U142">
            <v>4.3620000000000001</v>
          </cell>
          <cell r="V142">
            <v>14.275</v>
          </cell>
          <cell r="W142">
            <v>5.1120000000000001</v>
          </cell>
          <cell r="X142">
            <v>14.055999999999999</v>
          </cell>
          <cell r="Y142">
            <v>1.2379999999999995</v>
          </cell>
          <cell r="Z142">
            <v>10.979000000000001</v>
          </cell>
          <cell r="AA142">
            <v>31.384999999999998</v>
          </cell>
          <cell r="AB142">
            <v>3.0110000000000001</v>
          </cell>
          <cell r="AC142">
            <v>1.1159999999999997</v>
          </cell>
          <cell r="AD142">
            <v>1.2949999999999999</v>
          </cell>
          <cell r="AE142">
            <v>9.2370000000000019</v>
          </cell>
          <cell r="AF142">
            <v>14.659000000000002</v>
          </cell>
          <cell r="AG142">
            <v>0.31900000000000001</v>
          </cell>
          <cell r="AH142">
            <v>0</v>
          </cell>
          <cell r="AI142">
            <v>12.093999999999999</v>
          </cell>
          <cell r="AJ142">
            <v>8.8509999999999991</v>
          </cell>
          <cell r="AK142">
            <v>21.263999999999999</v>
          </cell>
          <cell r="AL142">
            <v>17.640999999999998</v>
          </cell>
          <cell r="AM142">
            <v>3.1480000000000032</v>
          </cell>
          <cell r="AN142">
            <v>5.472999999999999</v>
          </cell>
          <cell r="AO142">
            <v>1.1269999999999989</v>
          </cell>
          <cell r="AP142">
            <v>27.388999999999999</v>
          </cell>
          <cell r="AQ142">
            <v>6.4039999999999999</v>
          </cell>
          <cell r="AR142">
            <v>31.122000000000003</v>
          </cell>
          <cell r="AS142">
            <v>12.131999999999998</v>
          </cell>
          <cell r="AT142">
            <v>13.098999999999997</v>
          </cell>
          <cell r="AU142">
            <v>62.756999999999998</v>
          </cell>
          <cell r="AW142">
            <v>3.1480000000000032</v>
          </cell>
          <cell r="AX142">
            <v>5.472999999999999</v>
          </cell>
          <cell r="AY142">
            <v>1.1269999999999989</v>
          </cell>
          <cell r="AZ142">
            <v>6.4039999999999999</v>
          </cell>
          <cell r="BA142">
            <v>16.152000000000001</v>
          </cell>
          <cell r="BB142">
            <v>31.122000000000003</v>
          </cell>
          <cell r="BC142">
            <v>12.131999999999998</v>
          </cell>
          <cell r="BD142">
            <v>13.098999999999997</v>
          </cell>
          <cell r="BE142">
            <v>31.587</v>
          </cell>
          <cell r="BF142">
            <v>87.94</v>
          </cell>
          <cell r="BG142">
            <v>1.708</v>
          </cell>
          <cell r="BH142">
            <v>3.492</v>
          </cell>
          <cell r="BI142">
            <v>16.82</v>
          </cell>
          <cell r="BJ142">
            <v>0.43100000000000027</v>
          </cell>
          <cell r="BK142">
            <v>22.451000000000001</v>
          </cell>
          <cell r="BL142">
            <v>23.018999999999998</v>
          </cell>
          <cell r="BM142">
            <v>1.7000000000000028</v>
          </cell>
          <cell r="BN142">
            <v>7.3999999999998067E-2</v>
          </cell>
          <cell r="BO142">
            <v>0</v>
          </cell>
          <cell r="BP142">
            <v>24.792999999999999</v>
          </cell>
          <cell r="BQ142">
            <v>0</v>
          </cell>
          <cell r="BR142">
            <v>0</v>
          </cell>
          <cell r="BS142">
            <v>0</v>
          </cell>
          <cell r="BT142">
            <v>0</v>
          </cell>
          <cell r="BU142">
            <v>0</v>
          </cell>
          <cell r="BV142">
            <v>0</v>
          </cell>
          <cell r="BW142">
            <v>0</v>
          </cell>
          <cell r="BX142">
            <v>8.4949999999999992</v>
          </cell>
          <cell r="BY142">
            <v>1.2040000000000006</v>
          </cell>
          <cell r="BZ142">
            <v>9.6989999999999998</v>
          </cell>
          <cell r="CA142">
            <v>3.5609999999999999</v>
          </cell>
          <cell r="CB142">
            <v>1.9009999999999998</v>
          </cell>
          <cell r="CC142">
            <v>0</v>
          </cell>
          <cell r="CD142">
            <v>2.0070000000000006</v>
          </cell>
          <cell r="CE142">
            <v>7.4690000000000003</v>
          </cell>
          <cell r="CF142">
            <v>5.5570000000000004</v>
          </cell>
          <cell r="CG142">
            <v>8.51</v>
          </cell>
          <cell r="CH142">
            <v>0</v>
          </cell>
          <cell r="CI142">
            <v>0</v>
          </cell>
          <cell r="CJ142">
            <v>14.067</v>
          </cell>
          <cell r="CK142">
            <v>0</v>
          </cell>
          <cell r="CL142">
            <v>0</v>
          </cell>
          <cell r="CO142">
            <v>0</v>
          </cell>
          <cell r="CT142">
            <v>0</v>
          </cell>
          <cell r="CY142">
            <v>0</v>
          </cell>
          <cell r="DD142">
            <v>0</v>
          </cell>
          <cell r="DI142">
            <v>0</v>
          </cell>
          <cell r="DU142" t="str">
            <v>mstag:proceedsFromIssuanceOfCommonStock</v>
          </cell>
          <cell r="DV142">
            <v>6</v>
          </cell>
          <cell r="DW142" t="str">
            <v>ISO4217:USD</v>
          </cell>
          <cell r="DX142" t="b">
            <v>0</v>
          </cell>
        </row>
        <row r="143">
          <cell r="B143" t="str">
            <v>Purchase of treasury stock, at cost</v>
          </cell>
          <cell r="F143">
            <v>0</v>
          </cell>
          <cell r="H143">
            <v>0</v>
          </cell>
          <cell r="I143">
            <v>0</v>
          </cell>
          <cell r="J143">
            <v>0</v>
          </cell>
          <cell r="K143">
            <v>0</v>
          </cell>
          <cell r="L143">
            <v>0</v>
          </cell>
          <cell r="M143">
            <v>-8.1010000000000009</v>
          </cell>
          <cell r="N143">
            <v>0</v>
          </cell>
          <cell r="O143">
            <v>0</v>
          </cell>
          <cell r="P143">
            <v>-60.991</v>
          </cell>
          <cell r="Q143">
            <v>-69.091999999999999</v>
          </cell>
          <cell r="R143">
            <v>-42.399000000000001</v>
          </cell>
          <cell r="S143">
            <v>0</v>
          </cell>
          <cell r="T143">
            <v>0</v>
          </cell>
          <cell r="U143">
            <v>0</v>
          </cell>
          <cell r="V143">
            <v>-42.399000000000001</v>
          </cell>
          <cell r="W143">
            <v>0</v>
          </cell>
          <cell r="X143">
            <v>0</v>
          </cell>
          <cell r="Y143">
            <v>0</v>
          </cell>
          <cell r="Z143">
            <v>-2.78</v>
          </cell>
          <cell r="AA143">
            <v>-2.78</v>
          </cell>
          <cell r="AB143">
            <v>-86.021000000000001</v>
          </cell>
          <cell r="AC143">
            <v>-40.872</v>
          </cell>
          <cell r="AD143">
            <v>0</v>
          </cell>
          <cell r="AE143">
            <v>-59.491999999999976</v>
          </cell>
          <cell r="AF143">
            <v>-186.38499999999999</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-61.823999999999998</v>
          </cell>
          <cell r="AU143">
            <v>-61.823999999999998</v>
          </cell>
          <cell r="AW143">
            <v>0</v>
          </cell>
          <cell r="AX143">
            <v>0</v>
          </cell>
          <cell r="AY143">
            <v>0</v>
          </cell>
          <cell r="AZ143">
            <v>0</v>
          </cell>
          <cell r="BA143">
            <v>0</v>
          </cell>
          <cell r="BB143">
            <v>0</v>
          </cell>
          <cell r="BC143">
            <v>0</v>
          </cell>
          <cell r="BD143">
            <v>-61.823999999999998</v>
          </cell>
          <cell r="BE143">
            <v>-159.833</v>
          </cell>
          <cell r="BF143">
            <v>-221.65699999999998</v>
          </cell>
          <cell r="BG143">
            <v>0</v>
          </cell>
          <cell r="BH143">
            <v>-1.181</v>
          </cell>
          <cell r="BI143">
            <v>-23.442999999999998</v>
          </cell>
          <cell r="BJ143">
            <v>-12.138000000000002</v>
          </cell>
          <cell r="BK143">
            <v>-36.762</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E143">
            <v>0</v>
          </cell>
          <cell r="CF143">
            <v>0</v>
          </cell>
          <cell r="CG143">
            <v>0</v>
          </cell>
          <cell r="CH143">
            <v>0</v>
          </cell>
          <cell r="CI143">
            <v>0</v>
          </cell>
          <cell r="CJ143">
            <v>0</v>
          </cell>
          <cell r="CK143">
            <v>0</v>
          </cell>
          <cell r="CL143">
            <v>0</v>
          </cell>
          <cell r="CO143">
            <v>0</v>
          </cell>
          <cell r="CT143">
            <v>0</v>
          </cell>
          <cell r="CY143">
            <v>0</v>
          </cell>
          <cell r="DD143">
            <v>0</v>
          </cell>
          <cell r="DI143">
            <v>0</v>
          </cell>
          <cell r="DU143" t="str">
            <v>mstag:fundsUsedToRepurchaseCommonStock</v>
          </cell>
          <cell r="DV143">
            <v>6</v>
          </cell>
          <cell r="DW143" t="str">
            <v>ISO4217:USD</v>
          </cell>
          <cell r="DX143" t="b">
            <v>1</v>
          </cell>
        </row>
        <row r="144">
          <cell r="B144" t="str">
            <v>Investments of minority partners</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W144">
            <v>0</v>
          </cell>
          <cell r="AX144">
            <v>0</v>
          </cell>
          <cell r="AY144">
            <v>0</v>
          </cell>
          <cell r="AZ144">
            <v>0</v>
          </cell>
          <cell r="BB144">
            <v>0</v>
          </cell>
          <cell r="BC144">
            <v>0</v>
          </cell>
          <cell r="BD144">
            <v>0</v>
          </cell>
          <cell r="BE144">
            <v>0</v>
          </cell>
          <cell r="BF144">
            <v>0</v>
          </cell>
          <cell r="BG144">
            <v>0</v>
          </cell>
          <cell r="BH144">
            <v>0</v>
          </cell>
          <cell r="BI144">
            <v>0</v>
          </cell>
          <cell r="BJ144">
            <v>0</v>
          </cell>
          <cell r="BK144">
            <v>0</v>
          </cell>
          <cell r="BL144">
            <v>7.6989999999999998</v>
          </cell>
          <cell r="BM144">
            <v>0.75699999999999967</v>
          </cell>
          <cell r="BN144">
            <v>-8.6999999999999744E-2</v>
          </cell>
          <cell r="BO144">
            <v>0</v>
          </cell>
          <cell r="BP144">
            <v>8.3689999999999998</v>
          </cell>
          <cell r="BQ144">
            <v>302.87799999999999</v>
          </cell>
          <cell r="BR144">
            <v>6.0000000000002274E-2</v>
          </cell>
          <cell r="BS144">
            <v>19.547000000000025</v>
          </cell>
          <cell r="BT144">
            <v>5.1699999999999591</v>
          </cell>
          <cell r="BU144">
            <v>327.65499999999997</v>
          </cell>
          <cell r="BV144">
            <v>2.63</v>
          </cell>
          <cell r="BW144">
            <v>7.3980000000000006</v>
          </cell>
          <cell r="BX144">
            <v>11.184000000000001</v>
          </cell>
          <cell r="BY144">
            <v>33.583999999999989</v>
          </cell>
          <cell r="BZ144">
            <v>54.795999999999992</v>
          </cell>
          <cell r="CA144">
            <v>2.5470000000000002</v>
          </cell>
          <cell r="CB144">
            <v>0</v>
          </cell>
          <cell r="CC144">
            <v>0</v>
          </cell>
          <cell r="CD144">
            <v>0</v>
          </cell>
          <cell r="CE144">
            <v>2.5470000000000002</v>
          </cell>
          <cell r="CF144">
            <v>0</v>
          </cell>
          <cell r="CG144">
            <v>0</v>
          </cell>
          <cell r="CH144">
            <v>0</v>
          </cell>
          <cell r="CI144">
            <v>0</v>
          </cell>
          <cell r="CJ144">
            <v>0</v>
          </cell>
          <cell r="CK144">
            <v>1.786</v>
          </cell>
          <cell r="CL144">
            <v>1.8050000000000002</v>
          </cell>
          <cell r="CM144">
            <v>0</v>
          </cell>
          <cell r="CN144">
            <v>0</v>
          </cell>
          <cell r="CO144">
            <v>3.5910000000000002</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U144" t="str">
            <v>mstag:netIncreaseInMinorityInterestsInShareholdersEquity</v>
          </cell>
          <cell r="DV144">
            <v>6</v>
          </cell>
          <cell r="DW144" t="str">
            <v>ISO4217:USD</v>
          </cell>
          <cell r="DX144" t="b">
            <v>0</v>
          </cell>
        </row>
        <row r="145">
          <cell r="B145" t="str">
            <v>Cash distributions to minority shareholders</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-0.66700000000000004</v>
          </cell>
          <cell r="AT145">
            <v>0</v>
          </cell>
          <cell r="AU145">
            <v>-0.66700000000000004</v>
          </cell>
          <cell r="AW145">
            <v>0</v>
          </cell>
          <cell r="AX145">
            <v>0</v>
          </cell>
          <cell r="AY145">
            <v>0</v>
          </cell>
          <cell r="AZ145">
            <v>0</v>
          </cell>
          <cell r="BA145">
            <v>0</v>
          </cell>
          <cell r="BB145">
            <v>0</v>
          </cell>
          <cell r="BC145">
            <v>-0.66700000000000004</v>
          </cell>
          <cell r="BD145">
            <v>0</v>
          </cell>
          <cell r="BE145">
            <v>0</v>
          </cell>
          <cell r="BF145">
            <v>-0.66700000000000004</v>
          </cell>
          <cell r="BG145">
            <v>-1.8959999999999999</v>
          </cell>
          <cell r="BH145">
            <v>0</v>
          </cell>
          <cell r="BI145">
            <v>0</v>
          </cell>
          <cell r="BJ145">
            <v>0.11999999999999988</v>
          </cell>
          <cell r="BK145">
            <v>-1.776</v>
          </cell>
          <cell r="BL145">
            <v>-0.124</v>
          </cell>
          <cell r="BM145">
            <v>-2.3729999999999998</v>
          </cell>
          <cell r="BN145">
            <v>-0.37700000000000033</v>
          </cell>
          <cell r="BO145">
            <v>-0.15099999999999991</v>
          </cell>
          <cell r="BP145">
            <v>-3.0249999999999999</v>
          </cell>
          <cell r="BQ145">
            <v>-1.8029999999999999</v>
          </cell>
          <cell r="BR145">
            <v>-0.48399999999999999</v>
          </cell>
          <cell r="BS145">
            <v>-0.60400000000000009</v>
          </cell>
          <cell r="BT145">
            <v>-1.3940000000000001</v>
          </cell>
          <cell r="BU145">
            <v>-4.2850000000000001</v>
          </cell>
          <cell r="BV145">
            <v>-12.695</v>
          </cell>
          <cell r="BW145">
            <v>-2.1829999999999998</v>
          </cell>
          <cell r="BX145">
            <v>-3.0060000000000002</v>
          </cell>
          <cell r="BY145">
            <v>-17.493000000000002</v>
          </cell>
          <cell r="BZ145">
            <v>-35.377000000000002</v>
          </cell>
          <cell r="CA145">
            <v>-5.407</v>
          </cell>
          <cell r="CB145">
            <v>-4.4589999999999996</v>
          </cell>
          <cell r="CC145">
            <v>-5.1120000000000001</v>
          </cell>
          <cell r="CD145">
            <v>-5.6519999999999992</v>
          </cell>
          <cell r="CE145">
            <v>-20.63</v>
          </cell>
          <cell r="CF145">
            <v>-4.5460000000000003</v>
          </cell>
          <cell r="CG145">
            <v>-11.739000000000001</v>
          </cell>
          <cell r="CH145">
            <v>-5.5429999999999984</v>
          </cell>
          <cell r="CI145">
            <v>-6.4559999999999986</v>
          </cell>
          <cell r="CJ145">
            <v>-28.283999999999999</v>
          </cell>
          <cell r="CK145">
            <v>-17.885999999999999</v>
          </cell>
          <cell r="CL145">
            <v>-5.3949999999999996</v>
          </cell>
          <cell r="CM145">
            <v>-7.5340000000000025</v>
          </cell>
          <cell r="CN145">
            <v>0</v>
          </cell>
          <cell r="CO145">
            <v>-30.815000000000001</v>
          </cell>
          <cell r="CP145">
            <v>-10</v>
          </cell>
          <cell r="CQ145">
            <v>-10</v>
          </cell>
          <cell r="CR145">
            <v>-10</v>
          </cell>
          <cell r="CS145">
            <v>-10</v>
          </cell>
          <cell r="CT145">
            <v>-40</v>
          </cell>
          <cell r="CU145">
            <v>-10</v>
          </cell>
          <cell r="CV145">
            <v>-10</v>
          </cell>
          <cell r="CW145">
            <v>-10</v>
          </cell>
          <cell r="CX145">
            <v>-10</v>
          </cell>
          <cell r="CY145">
            <v>-40</v>
          </cell>
          <cell r="CZ145">
            <v>-10</v>
          </cell>
          <cell r="DA145">
            <v>-10</v>
          </cell>
          <cell r="DB145">
            <v>-10</v>
          </cell>
          <cell r="DC145">
            <v>-10</v>
          </cell>
          <cell r="DD145">
            <v>-40</v>
          </cell>
          <cell r="DE145">
            <v>-10</v>
          </cell>
          <cell r="DF145">
            <v>-10</v>
          </cell>
          <cell r="DG145">
            <v>-10</v>
          </cell>
          <cell r="DH145">
            <v>-10</v>
          </cell>
          <cell r="DI145">
            <v>-40</v>
          </cell>
          <cell r="DU145" t="str">
            <v>mstag:netIncreaseInMinorityInterestsInShareholdersEquity</v>
          </cell>
          <cell r="DV145">
            <v>6</v>
          </cell>
          <cell r="DW145" t="str">
            <v>ISO4217:USD</v>
          </cell>
          <cell r="DX145" t="b">
            <v>0</v>
          </cell>
        </row>
        <row r="146">
          <cell r="B146" t="str">
            <v>Proceeds from sale of equity put options</v>
          </cell>
          <cell r="F146">
            <v>0</v>
          </cell>
          <cell r="H146">
            <v>0</v>
          </cell>
          <cell r="I146">
            <v>0</v>
          </cell>
          <cell r="J146">
            <v>0</v>
          </cell>
          <cell r="K146">
            <v>0</v>
          </cell>
          <cell r="L146">
            <v>2.09</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U146" t="str">
            <v>mstag:otherCashFlowsFromUsedInFinancingActivities</v>
          </cell>
          <cell r="DV146">
            <v>6</v>
          </cell>
          <cell r="DW146" t="str">
            <v>ISO4217:USD</v>
          </cell>
          <cell r="DX146" t="b">
            <v>0</v>
          </cell>
        </row>
        <row r="147">
          <cell r="B147" t="str">
            <v>Payment of interest on debentures</v>
          </cell>
          <cell r="F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-1.222</v>
          </cell>
          <cell r="AA147">
            <v>-1.222</v>
          </cell>
          <cell r="AB147">
            <v>0</v>
          </cell>
          <cell r="AC147">
            <v>0</v>
          </cell>
          <cell r="AD147">
            <v>0</v>
          </cell>
          <cell r="AE147">
            <v>-1.222</v>
          </cell>
          <cell r="AF147">
            <v>-1.222</v>
          </cell>
          <cell r="AG147">
            <v>0</v>
          </cell>
          <cell r="AH147">
            <v>0</v>
          </cell>
          <cell r="AI147">
            <v>0</v>
          </cell>
          <cell r="AJ147">
            <v>-1.222</v>
          </cell>
          <cell r="AK147">
            <v>-1.222</v>
          </cell>
          <cell r="AL147">
            <v>0</v>
          </cell>
          <cell r="AM147">
            <v>0</v>
          </cell>
          <cell r="AN147">
            <v>0</v>
          </cell>
          <cell r="AO147">
            <v>0</v>
          </cell>
          <cell r="AP147">
            <v>0</v>
          </cell>
          <cell r="AQ147">
            <v>0</v>
          </cell>
          <cell r="AR147">
            <v>0</v>
          </cell>
          <cell r="AS147">
            <v>0</v>
          </cell>
          <cell r="AT147">
            <v>0</v>
          </cell>
          <cell r="AU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cell r="BY147">
            <v>0</v>
          </cell>
          <cell r="BZ147">
            <v>0</v>
          </cell>
          <cell r="CA147">
            <v>0</v>
          </cell>
          <cell r="CB147">
            <v>0</v>
          </cell>
          <cell r="CC147">
            <v>0</v>
          </cell>
          <cell r="CD147">
            <v>0</v>
          </cell>
          <cell r="CE147">
            <v>0</v>
          </cell>
          <cell r="CF147">
            <v>0</v>
          </cell>
          <cell r="CG147">
            <v>0</v>
          </cell>
          <cell r="CH147">
            <v>0</v>
          </cell>
          <cell r="CI147">
            <v>0</v>
          </cell>
          <cell r="CJ147">
            <v>0</v>
          </cell>
          <cell r="CK147">
            <v>0</v>
          </cell>
          <cell r="CL147">
            <v>0</v>
          </cell>
          <cell r="CM147">
            <v>0</v>
          </cell>
          <cell r="CN147">
            <v>0</v>
          </cell>
          <cell r="CO147">
            <v>0</v>
          </cell>
          <cell r="CP147">
            <v>0</v>
          </cell>
          <cell r="CQ147">
            <v>0</v>
          </cell>
          <cell r="CR147">
            <v>0</v>
          </cell>
          <cell r="CS147">
            <v>0</v>
          </cell>
          <cell r="CT147">
            <v>0</v>
          </cell>
          <cell r="CU147">
            <v>0</v>
          </cell>
          <cell r="CV147">
            <v>0</v>
          </cell>
          <cell r="CW147">
            <v>0</v>
          </cell>
          <cell r="CX147">
            <v>0</v>
          </cell>
          <cell r="CY147">
            <v>0</v>
          </cell>
          <cell r="CZ147">
            <v>0</v>
          </cell>
          <cell r="DA147">
            <v>0</v>
          </cell>
          <cell r="DB147">
            <v>0</v>
          </cell>
          <cell r="DC147">
            <v>0</v>
          </cell>
          <cell r="DD147">
            <v>0</v>
          </cell>
          <cell r="DE147">
            <v>0</v>
          </cell>
          <cell r="DF147">
            <v>0</v>
          </cell>
          <cell r="DG147">
            <v>0</v>
          </cell>
          <cell r="DH147">
            <v>0</v>
          </cell>
          <cell r="DI147">
            <v>0</v>
          </cell>
          <cell r="DU147" t="str">
            <v>mstag:otherCashFlowsFromUsedInFinancingActivities</v>
          </cell>
          <cell r="DV147">
            <v>6</v>
          </cell>
          <cell r="DW147" t="str">
            <v>ISO4217:USD</v>
          </cell>
          <cell r="DX147" t="b">
            <v>0</v>
          </cell>
        </row>
        <row r="148">
          <cell r="B148" t="str">
            <v>Payment of financing costs</v>
          </cell>
          <cell r="F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-1.4650000000000001</v>
          </cell>
          <cell r="AR148">
            <v>0</v>
          </cell>
          <cell r="AS148">
            <v>-2.0359999999999996</v>
          </cell>
          <cell r="AT148">
            <v>2.9999999999994476E-3</v>
          </cell>
          <cell r="AU148">
            <v>-3.4980000000000002</v>
          </cell>
          <cell r="AW148">
            <v>0</v>
          </cell>
          <cell r="AX148">
            <v>0</v>
          </cell>
          <cell r="AY148">
            <v>0</v>
          </cell>
          <cell r="AZ148">
            <v>-1.4650000000000001</v>
          </cell>
          <cell r="BA148">
            <v>-1.4650000000000001</v>
          </cell>
          <cell r="BB148">
            <v>0</v>
          </cell>
          <cell r="BC148">
            <v>-2.0359999999999996</v>
          </cell>
          <cell r="BD148">
            <v>2.9999999999994476E-3</v>
          </cell>
          <cell r="BE148">
            <v>0</v>
          </cell>
          <cell r="BF148">
            <v>-2.0330000000000004</v>
          </cell>
          <cell r="BG148">
            <v>0</v>
          </cell>
          <cell r="BH148">
            <v>-0.49399999999999999</v>
          </cell>
          <cell r="BI148">
            <v>-2.9950000000000001</v>
          </cell>
          <cell r="BJ148">
            <v>-7.8999999999999959E-2</v>
          </cell>
          <cell r="BK148">
            <v>-3.5679999999999996</v>
          </cell>
          <cell r="BL148">
            <v>-1.855</v>
          </cell>
          <cell r="BM148">
            <v>-1.4220000000000002</v>
          </cell>
          <cell r="BN148">
            <v>0</v>
          </cell>
          <cell r="BO148">
            <v>0</v>
          </cell>
          <cell r="BP148">
            <v>-3.2770000000000001</v>
          </cell>
          <cell r="BQ148">
            <v>0</v>
          </cell>
          <cell r="BR148">
            <v>-8.7999999999999995E-2</v>
          </cell>
          <cell r="BS148">
            <v>-0.26200000000000001</v>
          </cell>
          <cell r="BT148">
            <v>2.7755575615628914E-17</v>
          </cell>
          <cell r="BU148">
            <v>-0.35</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U148" t="str">
            <v>mstag:otherCashFlowsFromUsedInFinancingActivities</v>
          </cell>
          <cell r="DV148">
            <v>6</v>
          </cell>
          <cell r="DW148" t="str">
            <v>ISO4217:USD</v>
          </cell>
          <cell r="DX148" t="b">
            <v>0</v>
          </cell>
        </row>
        <row r="149">
          <cell r="B149" t="str">
            <v>Decrease (increase) in funds held by trustee</v>
          </cell>
          <cell r="F149">
            <v>0.93</v>
          </cell>
          <cell r="G149">
            <v>3.5000000000000003E-2</v>
          </cell>
          <cell r="H149">
            <v>-0.16900000000000001</v>
          </cell>
          <cell r="I149">
            <v>-0.183</v>
          </cell>
          <cell r="J149">
            <v>-0.86099999999999999</v>
          </cell>
          <cell r="K149">
            <v>0.24299999999999999</v>
          </cell>
          <cell r="L149">
            <v>-3.2210000000000001</v>
          </cell>
          <cell r="M149">
            <v>-0.151</v>
          </cell>
          <cell r="N149">
            <v>-0.45499999999999996</v>
          </cell>
          <cell r="O149">
            <v>-0.32600000000000007</v>
          </cell>
          <cell r="P149">
            <v>0.74900000000000011</v>
          </cell>
          <cell r="Q149">
            <v>-0.18299999999999994</v>
          </cell>
          <cell r="R149">
            <v>-0.308</v>
          </cell>
          <cell r="S149">
            <v>1.071</v>
          </cell>
          <cell r="T149">
            <v>0.12300000000000005</v>
          </cell>
          <cell r="U149">
            <v>0.44200000000000012</v>
          </cell>
          <cell r="V149">
            <v>1.3280000000000001</v>
          </cell>
          <cell r="W149">
            <v>0.13300000000000001</v>
          </cell>
          <cell r="X149">
            <v>-0.32800000000000001</v>
          </cell>
          <cell r="Y149">
            <v>-0.22099999999999997</v>
          </cell>
          <cell r="Z149">
            <v>1.3</v>
          </cell>
          <cell r="AA149">
            <v>0.88400000000000012</v>
          </cell>
          <cell r="AB149">
            <v>-1.034</v>
          </cell>
          <cell r="AC149">
            <v>-1.196</v>
          </cell>
          <cell r="AD149">
            <v>1.9259999999999999</v>
          </cell>
          <cell r="AE149">
            <v>-9.0999999999999748E-2</v>
          </cell>
          <cell r="AF149">
            <v>-0.3949999999999998</v>
          </cell>
          <cell r="AG149">
            <v>-0.753</v>
          </cell>
          <cell r="AH149">
            <v>-0.43499999999999994</v>
          </cell>
          <cell r="AI149">
            <v>1.2029999999999998</v>
          </cell>
          <cell r="AJ149">
            <v>-1.4999999999999902E-2</v>
          </cell>
          <cell r="AK149">
            <v>0</v>
          </cell>
          <cell r="AL149">
            <v>0</v>
          </cell>
          <cell r="AM149">
            <v>0</v>
          </cell>
          <cell r="AN149">
            <v>0</v>
          </cell>
          <cell r="AO149">
            <v>-39.4</v>
          </cell>
          <cell r="AP149">
            <v>-39.4</v>
          </cell>
          <cell r="AQ149">
            <v>-10.901999999999999</v>
          </cell>
          <cell r="AR149">
            <v>-7.3469999999999995</v>
          </cell>
          <cell r="AS149">
            <v>-3.2119999999999997</v>
          </cell>
          <cell r="AT149">
            <v>21.460999999999999</v>
          </cell>
          <cell r="AU149">
            <v>0</v>
          </cell>
          <cell r="AW149">
            <v>0</v>
          </cell>
          <cell r="AX149">
            <v>0</v>
          </cell>
          <cell r="AY149">
            <v>-39.4</v>
          </cell>
          <cell r="AZ149">
            <v>-10.901999999999999</v>
          </cell>
          <cell r="BA149">
            <v>-50.302</v>
          </cell>
          <cell r="BB149">
            <v>-7.3469999999999995</v>
          </cell>
          <cell r="BC149">
            <v>-3.2119999999999997</v>
          </cell>
          <cell r="BD149">
            <v>21.460999999999999</v>
          </cell>
          <cell r="BE149">
            <v>0</v>
          </cell>
          <cell r="BF149">
            <v>10.901999999999999</v>
          </cell>
          <cell r="BG149">
            <v>0</v>
          </cell>
          <cell r="BH149">
            <v>0</v>
          </cell>
          <cell r="BI149">
            <v>0</v>
          </cell>
          <cell r="BJ149">
            <v>0</v>
          </cell>
          <cell r="BK149">
            <v>0</v>
          </cell>
          <cell r="BL149">
            <v>0</v>
          </cell>
          <cell r="BM149">
            <v>0</v>
          </cell>
          <cell r="BN149">
            <v>0</v>
          </cell>
          <cell r="BO149">
            <v>0</v>
          </cell>
          <cell r="BP149">
            <v>0</v>
          </cell>
          <cell r="BQ149">
            <v>0</v>
          </cell>
          <cell r="BR149">
            <v>0</v>
          </cell>
          <cell r="BS149">
            <v>0</v>
          </cell>
          <cell r="BT149">
            <v>0</v>
          </cell>
          <cell r="BU149">
            <v>0</v>
          </cell>
          <cell r="BV149">
            <v>0</v>
          </cell>
          <cell r="BW149">
            <v>0</v>
          </cell>
          <cell r="BY149">
            <v>0</v>
          </cell>
          <cell r="BZ149">
            <v>0</v>
          </cell>
          <cell r="CA149">
            <v>0</v>
          </cell>
          <cell r="CB149">
            <v>0</v>
          </cell>
          <cell r="CD149">
            <v>0</v>
          </cell>
          <cell r="CE149">
            <v>0</v>
          </cell>
          <cell r="CF149">
            <v>0</v>
          </cell>
          <cell r="CG149">
            <v>0</v>
          </cell>
          <cell r="CH149">
            <v>0</v>
          </cell>
          <cell r="CI149">
            <v>0</v>
          </cell>
          <cell r="CJ149">
            <v>0</v>
          </cell>
          <cell r="CL149">
            <v>0</v>
          </cell>
          <cell r="CM149">
            <v>0</v>
          </cell>
          <cell r="CN149">
            <v>0</v>
          </cell>
          <cell r="CO149">
            <v>0</v>
          </cell>
          <cell r="CP149">
            <v>0</v>
          </cell>
          <cell r="CQ149">
            <v>0</v>
          </cell>
          <cell r="CR149">
            <v>0</v>
          </cell>
          <cell r="CS149">
            <v>0</v>
          </cell>
          <cell r="CT149">
            <v>0</v>
          </cell>
          <cell r="CU149">
            <v>0</v>
          </cell>
          <cell r="CV149">
            <v>0</v>
          </cell>
          <cell r="CW149">
            <v>0</v>
          </cell>
          <cell r="CX149">
            <v>0</v>
          </cell>
          <cell r="CY149">
            <v>0</v>
          </cell>
          <cell r="CZ149">
            <v>0</v>
          </cell>
          <cell r="DA149">
            <v>0</v>
          </cell>
          <cell r="DB149">
            <v>0</v>
          </cell>
          <cell r="DC149">
            <v>0</v>
          </cell>
          <cell r="DD149">
            <v>0</v>
          </cell>
          <cell r="DE149">
            <v>0</v>
          </cell>
          <cell r="DF149">
            <v>0</v>
          </cell>
          <cell r="DG149">
            <v>0</v>
          </cell>
          <cell r="DH149">
            <v>0</v>
          </cell>
          <cell r="DI149">
            <v>0</v>
          </cell>
          <cell r="DU149" t="str">
            <v>mstag:netDecreaseInInvestmentsNonOperating</v>
          </cell>
          <cell r="DV149">
            <v>6</v>
          </cell>
          <cell r="DW149" t="str">
            <v>ISO4217:USD</v>
          </cell>
          <cell r="DX149" t="b">
            <v>0</v>
          </cell>
        </row>
        <row r="150">
          <cell r="B150" t="str">
            <v>Payment of dividends</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-4.8630000000000004</v>
          </cell>
          <cell r="AH150">
            <v>-4.8730000000000002</v>
          </cell>
          <cell r="AI150">
            <v>-4.871999999999999</v>
          </cell>
          <cell r="AJ150">
            <v>-5.0769999999999973</v>
          </cell>
          <cell r="AK150">
            <v>-19.684999999999999</v>
          </cell>
          <cell r="AL150">
            <v>-4.9039999999999999</v>
          </cell>
          <cell r="AM150">
            <v>-4.9570000000000007</v>
          </cell>
          <cell r="AN150">
            <v>-4.9609999999999985</v>
          </cell>
          <cell r="AO150">
            <v>-4.9670000000000023</v>
          </cell>
          <cell r="AP150">
            <v>-19.789000000000001</v>
          </cell>
          <cell r="AQ150">
            <v>-9.9390000000000001</v>
          </cell>
          <cell r="AR150">
            <v>-8.9639999999999986</v>
          </cell>
          <cell r="AS150">
            <v>-9.8680000000000021</v>
          </cell>
          <cell r="AT150">
            <v>-9.8609999999999971</v>
          </cell>
          <cell r="AU150">
            <v>-38.631999999999998</v>
          </cell>
          <cell r="AW150">
            <v>-4.9570000000000007</v>
          </cell>
          <cell r="AX150">
            <v>-4.9609999999999985</v>
          </cell>
          <cell r="AY150">
            <v>-4.9670000000000023</v>
          </cell>
          <cell r="AZ150">
            <v>-9.9390000000000001</v>
          </cell>
          <cell r="BA150">
            <v>-24.824000000000002</v>
          </cell>
          <cell r="BB150">
            <v>-8.9639999999999986</v>
          </cell>
          <cell r="BC150">
            <v>-9.8680000000000021</v>
          </cell>
          <cell r="BD150">
            <v>-9.8609999999999971</v>
          </cell>
          <cell r="BE150">
            <v>-14.726000000000001</v>
          </cell>
          <cell r="BF150">
            <v>-43.418999999999997</v>
          </cell>
          <cell r="BG150">
            <v>-14.436999999999999</v>
          </cell>
          <cell r="BH150">
            <v>-14.443</v>
          </cell>
          <cell r="BI150">
            <v>-14.457000000000006</v>
          </cell>
          <cell r="BJ150">
            <v>-14.539999999999997</v>
          </cell>
          <cell r="BK150">
            <v>-57.877000000000002</v>
          </cell>
          <cell r="BL150">
            <v>-2425.2170000000001</v>
          </cell>
          <cell r="BM150">
            <v>0</v>
          </cell>
          <cell r="BN150">
            <v>0</v>
          </cell>
          <cell r="BO150">
            <v>0</v>
          </cell>
          <cell r="BP150">
            <v>-2425.2170000000001</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U150" t="str">
            <v>mstag:cashDividendsPaid</v>
          </cell>
          <cell r="DV150">
            <v>6</v>
          </cell>
          <cell r="DW150" t="str">
            <v>ISO4217:USD</v>
          </cell>
          <cell r="DX150" t="b">
            <v>1</v>
          </cell>
        </row>
        <row r="151">
          <cell r="B151" t="str">
            <v>Equity comp excess tax benefit</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W151">
            <v>0</v>
          </cell>
          <cell r="AX151">
            <v>0</v>
          </cell>
          <cell r="AY151">
            <v>0</v>
          </cell>
          <cell r="AZ151">
            <v>0</v>
          </cell>
          <cell r="BA151">
            <v>0</v>
          </cell>
          <cell r="BB151">
            <v>0</v>
          </cell>
          <cell r="BC151">
            <v>0</v>
          </cell>
          <cell r="BD151">
            <v>0</v>
          </cell>
          <cell r="BE151">
            <v>0.80800000000000005</v>
          </cell>
          <cell r="BF151">
            <v>0.80800000000000005</v>
          </cell>
          <cell r="BG151">
            <v>1.9E-2</v>
          </cell>
          <cell r="BH151">
            <v>1.9E-2</v>
          </cell>
          <cell r="BI151">
            <v>1.3100000000000003</v>
          </cell>
          <cell r="BJ151">
            <v>2.0999999999999717E-2</v>
          </cell>
          <cell r="BK151">
            <v>1.369</v>
          </cell>
          <cell r="BL151">
            <v>0.23100000000000001</v>
          </cell>
          <cell r="BM151">
            <v>4.200000000000001E-2</v>
          </cell>
          <cell r="BN151">
            <v>0</v>
          </cell>
          <cell r="BO151">
            <v>0</v>
          </cell>
          <cell r="BP151">
            <v>0.27300000000000002</v>
          </cell>
          <cell r="BQ151">
            <v>0</v>
          </cell>
          <cell r="BR151">
            <v>0</v>
          </cell>
          <cell r="BS151">
            <v>0</v>
          </cell>
          <cell r="BT151">
            <v>0</v>
          </cell>
          <cell r="BU151">
            <v>0</v>
          </cell>
          <cell r="BV151">
            <v>0.14399999999999999</v>
          </cell>
          <cell r="BW151">
            <v>0</v>
          </cell>
          <cell r="BX151">
            <v>5.0000000000000044E-3</v>
          </cell>
          <cell r="BY151">
            <v>6.9000000000000006E-2</v>
          </cell>
          <cell r="BZ151">
            <v>0.218</v>
          </cell>
          <cell r="CA151">
            <v>1.1000000000000001</v>
          </cell>
          <cell r="CB151">
            <v>1.2000000000000011E-2</v>
          </cell>
          <cell r="CC151">
            <v>0</v>
          </cell>
          <cell r="CD151">
            <v>0.16599999999999993</v>
          </cell>
          <cell r="CE151">
            <v>1.278</v>
          </cell>
          <cell r="CF151">
            <v>2.8969999999999998</v>
          </cell>
          <cell r="CG151">
            <v>2.2000000000000242E-2</v>
          </cell>
          <cell r="CH151">
            <v>0</v>
          </cell>
          <cell r="CI151">
            <v>8.0000000000000071E-2</v>
          </cell>
          <cell r="CJ151">
            <v>2.9990000000000001</v>
          </cell>
          <cell r="CK151">
            <v>1.4</v>
          </cell>
          <cell r="CL151">
            <v>7.0000000000001172E-3</v>
          </cell>
          <cell r="CM151">
            <v>3.6999999999999922E-2</v>
          </cell>
          <cell r="CN151">
            <v>0</v>
          </cell>
          <cell r="CO151">
            <v>1.444</v>
          </cell>
          <cell r="CP151">
            <v>0</v>
          </cell>
          <cell r="CQ151">
            <v>0</v>
          </cell>
          <cell r="CR151">
            <v>0</v>
          </cell>
          <cell r="CS151">
            <v>0</v>
          </cell>
          <cell r="CT151">
            <v>0</v>
          </cell>
          <cell r="CU151">
            <v>0</v>
          </cell>
          <cell r="CV151">
            <v>0</v>
          </cell>
          <cell r="CW151">
            <v>0</v>
          </cell>
          <cell r="CX151">
            <v>0</v>
          </cell>
          <cell r="CY151">
            <v>0</v>
          </cell>
          <cell r="CZ151">
            <v>0</v>
          </cell>
          <cell r="DA151">
            <v>0</v>
          </cell>
          <cell r="DB151">
            <v>0</v>
          </cell>
          <cell r="DC151">
            <v>0</v>
          </cell>
          <cell r="DD151">
            <v>0</v>
          </cell>
          <cell r="DE151">
            <v>0</v>
          </cell>
          <cell r="DF151">
            <v>0</v>
          </cell>
          <cell r="DG151">
            <v>0</v>
          </cell>
          <cell r="DH151">
            <v>0</v>
          </cell>
          <cell r="DI151">
            <v>0</v>
          </cell>
          <cell r="DU151" t="str">
            <v>mstag:taxBenefitFromExerciseOfEsosCashFlowStatement</v>
          </cell>
          <cell r="DV151">
            <v>6</v>
          </cell>
          <cell r="DW151" t="str">
            <v>ISO4217:USD</v>
          </cell>
          <cell r="DX151" t="b">
            <v>0</v>
          </cell>
        </row>
        <row r="152">
          <cell r="B152" t="str">
            <v>Other</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-16</v>
          </cell>
          <cell r="AU152">
            <v>-16</v>
          </cell>
          <cell r="AW152">
            <v>0</v>
          </cell>
          <cell r="AX152">
            <v>0</v>
          </cell>
          <cell r="AY152">
            <v>0</v>
          </cell>
          <cell r="AZ152">
            <v>0</v>
          </cell>
          <cell r="BA152">
            <v>0</v>
          </cell>
          <cell r="BB152">
            <v>0</v>
          </cell>
          <cell r="BC152">
            <v>0</v>
          </cell>
          <cell r="BD152">
            <v>-16</v>
          </cell>
          <cell r="BE152">
            <v>0</v>
          </cell>
          <cell r="BF152">
            <v>-16</v>
          </cell>
          <cell r="BG152">
            <v>0</v>
          </cell>
          <cell r="BH152">
            <v>0</v>
          </cell>
          <cell r="BI152">
            <v>-67.349999999999994</v>
          </cell>
          <cell r="BJ152">
            <v>0</v>
          </cell>
          <cell r="BK152">
            <v>-67.349999999999994</v>
          </cell>
          <cell r="BL152">
            <v>0</v>
          </cell>
          <cell r="BM152">
            <v>0</v>
          </cell>
          <cell r="BN152">
            <v>0.216</v>
          </cell>
          <cell r="BO152">
            <v>0</v>
          </cell>
          <cell r="BP152">
            <v>0.216</v>
          </cell>
          <cell r="BQ152">
            <v>0</v>
          </cell>
          <cell r="BR152">
            <v>0</v>
          </cell>
          <cell r="BS152">
            <v>0</v>
          </cell>
          <cell r="BT152">
            <v>0</v>
          </cell>
          <cell r="BU152">
            <v>0</v>
          </cell>
          <cell r="BV152">
            <v>-59.338000000000001</v>
          </cell>
          <cell r="BW152">
            <v>0</v>
          </cell>
          <cell r="BX152">
            <v>-8.3759999999999977</v>
          </cell>
          <cell r="BY152">
            <v>0</v>
          </cell>
          <cell r="BZ152">
            <v>-67.713999999999999</v>
          </cell>
          <cell r="CA152">
            <v>0</v>
          </cell>
          <cell r="CB152">
            <v>0</v>
          </cell>
          <cell r="CC152">
            <v>0</v>
          </cell>
          <cell r="CD152">
            <v>0</v>
          </cell>
          <cell r="CE152">
            <v>0</v>
          </cell>
          <cell r="CF152">
            <v>0</v>
          </cell>
          <cell r="CG152">
            <v>0</v>
          </cell>
          <cell r="CH152">
            <v>-10.625</v>
          </cell>
          <cell r="CI152">
            <v>-64.524000000000001</v>
          </cell>
          <cell r="CJ152">
            <v>-75.149000000000001</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U152" t="str">
            <v>mstag:otherCashFlowsFromUsedInFinancingActivities</v>
          </cell>
          <cell r="DV152">
            <v>6</v>
          </cell>
          <cell r="DW152" t="str">
            <v>ISO4217:USD</v>
          </cell>
          <cell r="DX152" t="b">
            <v>0</v>
          </cell>
        </row>
        <row r="153">
          <cell r="B153" t="str">
            <v>Cash Flow from Financing</v>
          </cell>
          <cell r="F153">
            <v>-7.8060000000000045</v>
          </cell>
          <cell r="G153">
            <v>40.411999999999992</v>
          </cell>
          <cell r="H153">
            <v>7.4539999999999997</v>
          </cell>
          <cell r="I153">
            <v>-11.439</v>
          </cell>
          <cell r="J153">
            <v>2.1280000000000001</v>
          </cell>
          <cell r="K153">
            <v>14.301</v>
          </cell>
          <cell r="L153">
            <v>60.720999999999989</v>
          </cell>
          <cell r="M153">
            <v>-13.316000000000001</v>
          </cell>
          <cell r="N153">
            <v>-2.08</v>
          </cell>
          <cell r="O153">
            <v>151.59399999999999</v>
          </cell>
          <cell r="P153">
            <v>38.942000000000043</v>
          </cell>
          <cell r="Q153">
            <v>175.14</v>
          </cell>
          <cell r="R153">
            <v>2.470000000000006</v>
          </cell>
          <cell r="S153">
            <v>-7.6369999999999987</v>
          </cell>
          <cell r="T153">
            <v>25.855999999999998</v>
          </cell>
          <cell r="U153">
            <v>56.857999999999976</v>
          </cell>
          <cell r="V153">
            <v>77.546999999999969</v>
          </cell>
          <cell r="W153">
            <v>-23.722999999999995</v>
          </cell>
          <cell r="X153">
            <v>-15.432000000000004</v>
          </cell>
          <cell r="Y153">
            <v>-15.802000000000003</v>
          </cell>
          <cell r="Z153">
            <v>-10.283000000000014</v>
          </cell>
          <cell r="AA153">
            <v>-65.239999999999995</v>
          </cell>
          <cell r="AB153">
            <v>86.504999999999995</v>
          </cell>
          <cell r="AC153">
            <v>-12.683000000000023</v>
          </cell>
          <cell r="AD153">
            <v>-1.3849999999999982</v>
          </cell>
          <cell r="AE153">
            <v>-29.947999999999976</v>
          </cell>
          <cell r="AF153">
            <v>42.48899999999999</v>
          </cell>
          <cell r="AG153">
            <v>-3.4580000000000006</v>
          </cell>
          <cell r="AH153">
            <v>-4.1530000000000005</v>
          </cell>
          <cell r="AI153">
            <v>8.2439999999999998</v>
          </cell>
          <cell r="AJ153">
            <v>257.2109999999999</v>
          </cell>
          <cell r="AK153">
            <v>257.84399999999994</v>
          </cell>
          <cell r="AL153">
            <v>213.50399999999999</v>
          </cell>
          <cell r="AM153">
            <v>-24.97</v>
          </cell>
          <cell r="AN153">
            <v>-78.894999999999982</v>
          </cell>
          <cell r="AO153">
            <v>-140.73300000000006</v>
          </cell>
          <cell r="AP153">
            <v>-31.09400000000004</v>
          </cell>
          <cell r="AQ153">
            <v>-13.630999999999998</v>
          </cell>
          <cell r="AR153">
            <v>181.52400000000003</v>
          </cell>
          <cell r="AS153">
            <v>-93.573000000000036</v>
          </cell>
          <cell r="AT153">
            <v>-86.746000000000038</v>
          </cell>
          <cell r="AU153">
            <v>-12.426000000000002</v>
          </cell>
          <cell r="AW153">
            <v>-24.97</v>
          </cell>
          <cell r="AX153">
            <v>-78.894999999999982</v>
          </cell>
          <cell r="AY153">
            <v>-140.73300000000006</v>
          </cell>
          <cell r="AZ153">
            <v>-13.630999999999998</v>
          </cell>
          <cell r="BA153">
            <v>-258.22900000000004</v>
          </cell>
          <cell r="BB153">
            <v>181.52400000000003</v>
          </cell>
          <cell r="BC153">
            <v>-93.573000000000036</v>
          </cell>
          <cell r="BD153">
            <v>-86.746000000000038</v>
          </cell>
          <cell r="BE153">
            <v>51.663999999999994</v>
          </cell>
          <cell r="BF153">
            <v>52.868999999999971</v>
          </cell>
          <cell r="BG153">
            <v>-8.6159999999999908</v>
          </cell>
          <cell r="BH153">
            <v>128.21699999999993</v>
          </cell>
          <cell r="BI153">
            <v>-128.50699999999995</v>
          </cell>
          <cell r="BJ153">
            <v>-11.132000000000001</v>
          </cell>
          <cell r="BK153">
            <v>-20.037999999999975</v>
          </cell>
          <cell r="BL153">
            <v>9.8769999999997307</v>
          </cell>
          <cell r="BM153">
            <v>-14.461999999999824</v>
          </cell>
          <cell r="BN153">
            <v>-11.026999999999955</v>
          </cell>
          <cell r="BO153">
            <v>-19.235000000000003</v>
          </cell>
          <cell r="BP153">
            <v>-34.846999999999781</v>
          </cell>
          <cell r="BQ153">
            <v>238.98</v>
          </cell>
          <cell r="BR153">
            <v>-132.16199999999998</v>
          </cell>
          <cell r="BS153">
            <v>-275.39699999999993</v>
          </cell>
          <cell r="BT153">
            <v>-30.860000000000149</v>
          </cell>
          <cell r="BU153">
            <v>-199.43900000000008</v>
          </cell>
          <cell r="BV153">
            <v>-98.367000000000004</v>
          </cell>
          <cell r="BW153">
            <v>-33.680999999999997</v>
          </cell>
          <cell r="BX153">
            <v>-2.5359999999999951</v>
          </cell>
          <cell r="BY153">
            <v>6.9879999999999827</v>
          </cell>
          <cell r="BZ153">
            <v>-127.596</v>
          </cell>
          <cell r="CA153">
            <v>-7.6440000000000001</v>
          </cell>
          <cell r="CB153">
            <v>-13.093</v>
          </cell>
          <cell r="CC153">
            <v>-15.473000000000001</v>
          </cell>
          <cell r="CD153">
            <v>-13.272999999999996</v>
          </cell>
          <cell r="CE153">
            <v>-49.482999999999997</v>
          </cell>
          <cell r="CF153">
            <v>-5.1100000000000012</v>
          </cell>
          <cell r="CG153">
            <v>-13.93</v>
          </cell>
          <cell r="CH153">
            <v>340.226</v>
          </cell>
          <cell r="CI153">
            <v>80.036999999999921</v>
          </cell>
          <cell r="CJ153">
            <v>401.22299999999973</v>
          </cell>
          <cell r="CK153">
            <v>-35.499000000000002</v>
          </cell>
          <cell r="CL153">
            <v>-26.856000000000002</v>
          </cell>
          <cell r="CM153">
            <v>-34.988000000000007</v>
          </cell>
          <cell r="CN153">
            <v>-15.522750000000016</v>
          </cell>
          <cell r="CO153">
            <v>-112.86575000000002</v>
          </cell>
          <cell r="CP153">
            <v>-25.522750000000016</v>
          </cell>
          <cell r="CQ153">
            <v>-25.522750000000016</v>
          </cell>
          <cell r="CR153">
            <v>-25.522750000000016</v>
          </cell>
          <cell r="CS153">
            <v>-25.522750000000016</v>
          </cell>
          <cell r="CT153">
            <v>-102.09100000000007</v>
          </cell>
          <cell r="CU153">
            <v>-25.522750000000016</v>
          </cell>
          <cell r="CV153">
            <v>-25.522750000000016</v>
          </cell>
          <cell r="CW153">
            <v>-25.522750000000016</v>
          </cell>
          <cell r="CX153">
            <v>-25.522750000000016</v>
          </cell>
          <cell r="CY153">
            <v>-102.09100000000007</v>
          </cell>
          <cell r="CZ153">
            <v>-26.022750000000016</v>
          </cell>
          <cell r="DA153">
            <v>-26.022750000000016</v>
          </cell>
          <cell r="DB153">
            <v>-26.022750000000016</v>
          </cell>
          <cell r="DC153">
            <v>-26.022750000000016</v>
          </cell>
          <cell r="DD153">
            <v>-104.09100000000007</v>
          </cell>
          <cell r="DE153">
            <v>-26.022750000000016</v>
          </cell>
          <cell r="DF153">
            <v>-26.022750000000016</v>
          </cell>
          <cell r="DG153">
            <v>-26.022750000000016</v>
          </cell>
          <cell r="DH153">
            <v>-26.022750000000016</v>
          </cell>
          <cell r="DI153">
            <v>-104.09100000000007</v>
          </cell>
        </row>
        <row r="155">
          <cell r="B155" t="str">
            <v>Discontinued ops: chgs rel. to op activities</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0.52700000000000002</v>
          </cell>
          <cell r="AU155">
            <v>0.52700000000000002</v>
          </cell>
          <cell r="AW155">
            <v>0</v>
          </cell>
          <cell r="AX155">
            <v>0</v>
          </cell>
          <cell r="AY155">
            <v>0</v>
          </cell>
          <cell r="AZ155">
            <v>0</v>
          </cell>
          <cell r="BA155">
            <v>0</v>
          </cell>
          <cell r="BB155">
            <v>0</v>
          </cell>
          <cell r="BC155">
            <v>0</v>
          </cell>
          <cell r="BD155">
            <v>0.52700000000000002</v>
          </cell>
          <cell r="BE155">
            <v>0.96099999999999997</v>
          </cell>
          <cell r="BF155">
            <v>1.488</v>
          </cell>
          <cell r="BG155">
            <v>-0.66</v>
          </cell>
          <cell r="BH155">
            <v>1.484</v>
          </cell>
          <cell r="BI155">
            <v>-6.4969999999999999</v>
          </cell>
          <cell r="BJ155">
            <v>8.0310000000000006</v>
          </cell>
          <cell r="BK155">
            <v>2.3580000000000005</v>
          </cell>
          <cell r="BL155">
            <v>-5.3999999999999999E-2</v>
          </cell>
          <cell r="BM155">
            <v>-1.9970000000000001</v>
          </cell>
          <cell r="BN155">
            <v>-10.231</v>
          </cell>
          <cell r="BO155">
            <v>0.97000000000000064</v>
          </cell>
          <cell r="BP155">
            <v>-11.311999999999999</v>
          </cell>
          <cell r="BQ155">
            <v>-3.0270000000000001</v>
          </cell>
          <cell r="BR155">
            <v>-16.866</v>
          </cell>
          <cell r="BS155">
            <v>-7.22</v>
          </cell>
          <cell r="BT155">
            <v>-2.9640000000000031</v>
          </cell>
          <cell r="BU155">
            <v>-30.077000000000002</v>
          </cell>
          <cell r="BV155">
            <v>1.7210000000000001</v>
          </cell>
          <cell r="BW155">
            <v>0</v>
          </cell>
          <cell r="BX155">
            <v>5.024</v>
          </cell>
          <cell r="BY155">
            <v>0.14299999999999979</v>
          </cell>
          <cell r="BZ155">
            <v>6.8879999999999999</v>
          </cell>
          <cell r="CA155">
            <v>0</v>
          </cell>
          <cell r="CB155">
            <v>0</v>
          </cell>
          <cell r="CC155">
            <v>0</v>
          </cell>
          <cell r="CD155">
            <v>3.238</v>
          </cell>
          <cell r="CE155">
            <v>3.238</v>
          </cell>
          <cell r="CF155">
            <v>2.1800000000000002</v>
          </cell>
          <cell r="CG155">
            <v>3.0680000000000001</v>
          </cell>
          <cell r="CH155">
            <v>2.7559999999999998</v>
          </cell>
          <cell r="CI155">
            <v>-2.0130000000000003</v>
          </cell>
          <cell r="CJ155">
            <v>5.9909999999999997</v>
          </cell>
          <cell r="CK155">
            <v>-2.96</v>
          </cell>
          <cell r="CL155">
            <v>2.0960000000000001</v>
          </cell>
          <cell r="CM155">
            <v>-0.46300000000000008</v>
          </cell>
          <cell r="CN155">
            <v>0</v>
          </cell>
          <cell r="CO155">
            <v>-1.327</v>
          </cell>
          <cell r="CP155">
            <v>0</v>
          </cell>
          <cell r="CQ155">
            <v>0</v>
          </cell>
          <cell r="CR155">
            <v>0</v>
          </cell>
          <cell r="CS155">
            <v>0</v>
          </cell>
          <cell r="CT155">
            <v>0</v>
          </cell>
          <cell r="CU155">
            <v>0</v>
          </cell>
          <cell r="CV155">
            <v>0</v>
          </cell>
          <cell r="CW155">
            <v>0</v>
          </cell>
          <cell r="CX155">
            <v>0</v>
          </cell>
          <cell r="CY155">
            <v>0</v>
          </cell>
          <cell r="CZ155">
            <v>0</v>
          </cell>
          <cell r="DA155">
            <v>0</v>
          </cell>
          <cell r="DB155">
            <v>0</v>
          </cell>
          <cell r="DC155">
            <v>0</v>
          </cell>
          <cell r="DD155">
            <v>0</v>
          </cell>
          <cell r="DE155">
            <v>0</v>
          </cell>
          <cell r="DF155">
            <v>0</v>
          </cell>
          <cell r="DG155">
            <v>0</v>
          </cell>
          <cell r="DH155">
            <v>0</v>
          </cell>
          <cell r="DI155">
            <v>0</v>
          </cell>
          <cell r="DU155" t="str">
            <v>mstag:netCashFlowFromDiscontinuedOperations</v>
          </cell>
          <cell r="DV155">
            <v>6</v>
          </cell>
          <cell r="DW155" t="str">
            <v>ISO4217:USD</v>
          </cell>
          <cell r="DX155" t="b">
            <v>0</v>
          </cell>
        </row>
        <row r="156">
          <cell r="B156" t="str">
            <v>Discontinued ops: chgs rel. to investing activities</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-0.21199999999999999</v>
          </cell>
          <cell r="AU156">
            <v>-0.21199999999999999</v>
          </cell>
          <cell r="AW156">
            <v>0</v>
          </cell>
          <cell r="AX156">
            <v>0</v>
          </cell>
          <cell r="AY156">
            <v>0</v>
          </cell>
          <cell r="AZ156">
            <v>0</v>
          </cell>
          <cell r="BA156">
            <v>0</v>
          </cell>
          <cell r="BB156">
            <v>0</v>
          </cell>
          <cell r="BC156">
            <v>0</v>
          </cell>
          <cell r="BD156">
            <v>-0.21199999999999999</v>
          </cell>
          <cell r="BE156">
            <v>-8.8999999999999996E-2</v>
          </cell>
          <cell r="BF156">
            <v>-0.30099999999999999</v>
          </cell>
          <cell r="BG156">
            <v>-0.30499999999999999</v>
          </cell>
          <cell r="BH156">
            <v>-5.1999999999999991E-2</v>
          </cell>
          <cell r="BI156">
            <v>-1.1519999999999999</v>
          </cell>
          <cell r="BJ156">
            <v>-0.20600000000000013</v>
          </cell>
          <cell r="BK156">
            <v>-1.7150000000000001</v>
          </cell>
          <cell r="BL156">
            <v>-0.26300000000000001</v>
          </cell>
          <cell r="BM156">
            <v>-0.51</v>
          </cell>
          <cell r="BN156">
            <v>-4.8999999999999932E-2</v>
          </cell>
          <cell r="BO156">
            <v>-0.59399999999999997</v>
          </cell>
          <cell r="BP156">
            <v>-1.4159999999999999</v>
          </cell>
          <cell r="BQ156">
            <v>-0.871</v>
          </cell>
          <cell r="BR156">
            <v>0.56000000000000005</v>
          </cell>
          <cell r="BS156">
            <v>0.17199999999999993</v>
          </cell>
          <cell r="BT156">
            <v>0.34000000000000008</v>
          </cell>
          <cell r="BU156">
            <v>0.20100000000000007</v>
          </cell>
          <cell r="BV156">
            <v>3.0000000000000001E-3</v>
          </cell>
          <cell r="BW156">
            <v>0</v>
          </cell>
          <cell r="BX156">
            <v>-0.443</v>
          </cell>
          <cell r="BY156">
            <v>0</v>
          </cell>
          <cell r="BZ156">
            <v>-0.44</v>
          </cell>
          <cell r="CA156">
            <v>0</v>
          </cell>
          <cell r="CB156">
            <v>0</v>
          </cell>
          <cell r="CC156">
            <v>0</v>
          </cell>
          <cell r="CD156">
            <v>-1.1020000000000001</v>
          </cell>
          <cell r="CE156">
            <v>-1.1020000000000001</v>
          </cell>
          <cell r="CF156">
            <v>0</v>
          </cell>
          <cell r="CG156">
            <v>-5.6000000000000001E-2</v>
          </cell>
          <cell r="CH156">
            <v>-11.527000000000001</v>
          </cell>
          <cell r="CI156">
            <v>-1.3109999999999991</v>
          </cell>
          <cell r="CJ156">
            <v>-12.893999999999998</v>
          </cell>
          <cell r="CK156">
            <v>-1.6E-2</v>
          </cell>
          <cell r="CL156">
            <v>-0.11900000000000001</v>
          </cell>
          <cell r="CM156">
            <v>0</v>
          </cell>
          <cell r="CN156">
            <v>0</v>
          </cell>
          <cell r="CO156">
            <v>-0.13500000000000001</v>
          </cell>
          <cell r="CP156">
            <v>0</v>
          </cell>
          <cell r="CQ156">
            <v>0</v>
          </cell>
          <cell r="CR156">
            <v>0</v>
          </cell>
          <cell r="CS156">
            <v>0</v>
          </cell>
          <cell r="CT156">
            <v>0</v>
          </cell>
          <cell r="CU156">
            <v>0</v>
          </cell>
          <cell r="CV156">
            <v>0</v>
          </cell>
          <cell r="CW156">
            <v>0</v>
          </cell>
          <cell r="CX156">
            <v>0</v>
          </cell>
          <cell r="CY156">
            <v>0</v>
          </cell>
          <cell r="CZ156">
            <v>0</v>
          </cell>
          <cell r="DA156">
            <v>0</v>
          </cell>
          <cell r="DB156">
            <v>0</v>
          </cell>
          <cell r="DC156">
            <v>0</v>
          </cell>
          <cell r="DD156">
            <v>0</v>
          </cell>
          <cell r="DE156">
            <v>0</v>
          </cell>
          <cell r="DF156">
            <v>0</v>
          </cell>
          <cell r="DG156">
            <v>0</v>
          </cell>
          <cell r="DH156">
            <v>0</v>
          </cell>
          <cell r="DI156">
            <v>0</v>
          </cell>
          <cell r="DU156" t="str">
            <v>mstag:netCashFlowFromDiscontinuedOperations</v>
          </cell>
          <cell r="DV156">
            <v>6</v>
          </cell>
          <cell r="DW156" t="str">
            <v>ISO4217:USD</v>
          </cell>
          <cell r="DX156" t="b">
            <v>0</v>
          </cell>
        </row>
        <row r="157">
          <cell r="B157" t="str">
            <v>Discontinued ops: chgs rel. to financing activities</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W157">
            <v>0</v>
          </cell>
          <cell r="AX157">
            <v>0</v>
          </cell>
          <cell r="AY157">
            <v>0</v>
          </cell>
          <cell r="AZ157">
            <v>0</v>
          </cell>
          <cell r="BA157">
            <v>0</v>
          </cell>
          <cell r="BB157">
            <v>0</v>
          </cell>
          <cell r="BC157">
            <v>0</v>
          </cell>
          <cell r="BD157">
            <v>0</v>
          </cell>
          <cell r="BE157">
            <v>0</v>
          </cell>
          <cell r="BF157">
            <v>0</v>
          </cell>
          <cell r="BG157">
            <v>0</v>
          </cell>
          <cell r="BH157">
            <v>0</v>
          </cell>
          <cell r="BI157">
            <v>-7.6999999999999999E-2</v>
          </cell>
          <cell r="BJ157">
            <v>-1.9000000000000003E-2</v>
          </cell>
          <cell r="BK157">
            <v>-9.6000000000000002E-2</v>
          </cell>
          <cell r="BL157">
            <v>-4.0000000000000001E-3</v>
          </cell>
          <cell r="BM157">
            <v>-0.124</v>
          </cell>
          <cell r="BN157">
            <v>-2.9000000000000001E-2</v>
          </cell>
          <cell r="BO157">
            <v>-2.3999999999999997E-2</v>
          </cell>
          <cell r="BP157">
            <v>-0.18099999999999999</v>
          </cell>
          <cell r="BQ157">
            <v>-0.85899999999999999</v>
          </cell>
          <cell r="BR157">
            <v>0.81299999999999994</v>
          </cell>
          <cell r="BS157">
            <v>-0.25499999999999989</v>
          </cell>
          <cell r="BT157">
            <v>-5.0000000000001155E-3</v>
          </cell>
          <cell r="BU157">
            <v>-0.30600000000000005</v>
          </cell>
          <cell r="BV157">
            <v>-3.9E-2</v>
          </cell>
          <cell r="BW157">
            <v>0</v>
          </cell>
          <cell r="BX157">
            <v>3.4000000000000002E-2</v>
          </cell>
          <cell r="BY157">
            <v>-0.40799999999999997</v>
          </cell>
          <cell r="BZ157">
            <v>-0.41299999999999998</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U157" t="str">
            <v>mstag:netCashFlowFromDiscontinuedOperations</v>
          </cell>
          <cell r="DV157">
            <v>6</v>
          </cell>
          <cell r="DW157" t="str">
            <v>ISO4217:USD</v>
          </cell>
          <cell r="DX157" t="b">
            <v>0</v>
          </cell>
        </row>
        <row r="158">
          <cell r="AW158">
            <v>0</v>
          </cell>
        </row>
        <row r="159">
          <cell r="B159" t="str">
            <v>Cash &amp; equivalents - beg balance</v>
          </cell>
          <cell r="F159">
            <v>0.156</v>
          </cell>
          <cell r="G159">
            <v>25.248999999999981</v>
          </cell>
          <cell r="H159">
            <v>74.376000000000005</v>
          </cell>
          <cell r="I159">
            <v>109.38399999999999</v>
          </cell>
          <cell r="J159">
            <v>75.326000000000079</v>
          </cell>
          <cell r="K159">
            <v>31.172000000000068</v>
          </cell>
          <cell r="L159">
            <v>67.381000000000085</v>
          </cell>
          <cell r="M159">
            <v>12.684999999999945</v>
          </cell>
          <cell r="N159">
            <v>8.5739999999999217</v>
          </cell>
          <cell r="O159">
            <v>20.184999999999917</v>
          </cell>
          <cell r="P159">
            <v>11.721999999999895</v>
          </cell>
          <cell r="Q159">
            <v>12.684999999999945</v>
          </cell>
          <cell r="R159">
            <v>12.925999999999959</v>
          </cell>
          <cell r="S159">
            <v>24.67399999999996</v>
          </cell>
          <cell r="T159">
            <v>24.399999999999984</v>
          </cell>
          <cell r="U159">
            <v>23.339999999999979</v>
          </cell>
          <cell r="V159">
            <v>12.925999999999959</v>
          </cell>
          <cell r="W159">
            <v>16.470999999999947</v>
          </cell>
          <cell r="X159">
            <v>34.050999999999988</v>
          </cell>
          <cell r="Y159">
            <v>41.548000000000016</v>
          </cell>
          <cell r="Z159">
            <v>49.648999999999987</v>
          </cell>
          <cell r="AA159">
            <v>16.470999999999947</v>
          </cell>
          <cell r="AB159">
            <v>70.262999999999963</v>
          </cell>
          <cell r="AC159">
            <v>118.15999999999998</v>
          </cell>
          <cell r="AD159">
            <v>113.015</v>
          </cell>
          <cell r="AE159">
            <v>149.61999999999998</v>
          </cell>
          <cell r="AF159">
            <v>70.262999999999963</v>
          </cell>
          <cell r="AG159">
            <v>123.73600000000005</v>
          </cell>
          <cell r="AH159">
            <v>189.30100000000004</v>
          </cell>
          <cell r="AI159">
            <v>160.66000000000003</v>
          </cell>
          <cell r="AJ159">
            <v>248.274</v>
          </cell>
          <cell r="AK159">
            <v>123.73600000000005</v>
          </cell>
          <cell r="AL159">
            <v>395.33799999999997</v>
          </cell>
          <cell r="AM159">
            <v>119.34999999999991</v>
          </cell>
          <cell r="AN159">
            <v>102.79400000000001</v>
          </cell>
          <cell r="AO159">
            <v>115.61200000000004</v>
          </cell>
          <cell r="AP159">
            <v>395.33799999999997</v>
          </cell>
          <cell r="AQ159">
            <v>112.94599999999986</v>
          </cell>
          <cell r="AR159">
            <v>192.4429999999999</v>
          </cell>
          <cell r="AS159">
            <v>88.61200000000008</v>
          </cell>
          <cell r="AT159">
            <v>109.21099999999996</v>
          </cell>
          <cell r="AU159">
            <v>112.94599999999986</v>
          </cell>
          <cell r="AW159">
            <v>119.34999999999991</v>
          </cell>
          <cell r="AX159">
            <v>102.79400000000001</v>
          </cell>
          <cell r="AY159">
            <v>115.61200000000004</v>
          </cell>
          <cell r="AZ159">
            <v>112.9459999999999</v>
          </cell>
          <cell r="BA159">
            <v>119.34999999999991</v>
          </cell>
          <cell r="BB159">
            <v>192.4429999999999</v>
          </cell>
          <cell r="BC159">
            <v>88.61200000000008</v>
          </cell>
          <cell r="BD159">
            <v>109.21099999999996</v>
          </cell>
          <cell r="BE159" t="e">
            <v>#REF!</v>
          </cell>
          <cell r="BF159">
            <v>192.4429999999999</v>
          </cell>
          <cell r="BG159" t="e">
            <v>#REF!</v>
          </cell>
          <cell r="BH159" t="e">
            <v>#REF!</v>
          </cell>
          <cell r="BI159" t="e">
            <v>#REF!</v>
          </cell>
          <cell r="BJ159" t="e">
            <v>#REF!</v>
          </cell>
          <cell r="BK159" t="e">
            <v>#REF!</v>
          </cell>
          <cell r="BL159" t="e">
            <v>#REF!</v>
          </cell>
          <cell r="BM159" t="e">
            <v>#REF!</v>
          </cell>
          <cell r="BN159" t="e">
            <v>#REF!</v>
          </cell>
          <cell r="BO159" t="e">
            <v>#REF!</v>
          </cell>
          <cell r="BP159" t="e">
            <v>#REF!</v>
          </cell>
          <cell r="BQ159" t="e">
            <v>#REF!</v>
          </cell>
          <cell r="BR159" t="e">
            <v>#REF!</v>
          </cell>
          <cell r="BS159" t="e">
            <v>#REF!</v>
          </cell>
          <cell r="BT159" t="e">
            <v>#REF!</v>
          </cell>
          <cell r="BU159" t="e">
            <v>#REF!</v>
          </cell>
          <cell r="BV159">
            <v>143.614</v>
          </cell>
          <cell r="BW159">
            <v>102.887</v>
          </cell>
          <cell r="BX159">
            <v>164.60900000000001</v>
          </cell>
          <cell r="BY159">
            <v>222.346</v>
          </cell>
          <cell r="BZ159">
            <v>143.614</v>
          </cell>
          <cell r="CA159">
            <v>106.018</v>
          </cell>
          <cell r="CB159">
            <v>107.25700000000001</v>
          </cell>
          <cell r="CC159">
            <v>112.637</v>
          </cell>
          <cell r="CD159">
            <v>245.75399999999999</v>
          </cell>
          <cell r="CE159">
            <v>106.018</v>
          </cell>
          <cell r="CF159">
            <v>101.812</v>
          </cell>
          <cell r="CG159">
            <v>95.796000000000006</v>
          </cell>
          <cell r="CH159">
            <v>90.307000000000002</v>
          </cell>
          <cell r="CI159">
            <v>88.350999999999999</v>
          </cell>
          <cell r="CJ159">
            <v>101.812</v>
          </cell>
          <cell r="CK159">
            <v>64.143000000000001</v>
          </cell>
          <cell r="CL159">
            <v>8.3960000000000008</v>
          </cell>
          <cell r="CM159">
            <v>36.299999999999997</v>
          </cell>
          <cell r="CN159">
            <v>35.218300000000141</v>
          </cell>
          <cell r="CO159">
            <v>64.143000000000001</v>
          </cell>
          <cell r="CP159">
            <v>101.84708351970706</v>
          </cell>
          <cell r="CQ159">
            <v>82.711828802885762</v>
          </cell>
          <cell r="CR159">
            <v>266.29993063639887</v>
          </cell>
          <cell r="CS159">
            <v>302.15825985884726</v>
          </cell>
          <cell r="CT159">
            <v>101.84678351970692</v>
          </cell>
          <cell r="CU159">
            <v>308.12882222410764</v>
          </cell>
          <cell r="CV159">
            <v>262.91253588791449</v>
          </cell>
          <cell r="CW159">
            <v>484.43698306244971</v>
          </cell>
          <cell r="CX159">
            <v>557.49152702025981</v>
          </cell>
          <cell r="CY159">
            <v>308.12852222410754</v>
          </cell>
          <cell r="CZ159">
            <v>597.73612125164448</v>
          </cell>
          <cell r="DA159">
            <v>550.76694329887471</v>
          </cell>
          <cell r="DB159">
            <v>786.42408725743985</v>
          </cell>
          <cell r="DC159">
            <v>867.7327389397301</v>
          </cell>
          <cell r="DD159">
            <v>597.73582125164444</v>
          </cell>
          <cell r="DE159">
            <v>917.5130246992594</v>
          </cell>
          <cell r="DF159">
            <v>871.13251927605666</v>
          </cell>
          <cell r="DG159">
            <v>1120.4030336052492</v>
          </cell>
          <cell r="DH159">
            <v>1212.5973001733555</v>
          </cell>
          <cell r="DI159">
            <v>917.51272469925948</v>
          </cell>
        </row>
        <row r="160">
          <cell r="B160" t="str">
            <v>Change in cash &amp; equivalents</v>
          </cell>
          <cell r="F160">
            <v>25.092999999999982</v>
          </cell>
          <cell r="G160">
            <v>49.127000000000002</v>
          </cell>
          <cell r="H160">
            <v>35.007999999999974</v>
          </cell>
          <cell r="I160">
            <v>-34.057999999999915</v>
          </cell>
          <cell r="J160">
            <v>-44.154000000000011</v>
          </cell>
          <cell r="K160">
            <v>36.209000000000017</v>
          </cell>
          <cell r="L160">
            <v>-54.69600000000014</v>
          </cell>
          <cell r="M160">
            <v>-4.1110000000000237</v>
          </cell>
          <cell r="N160">
            <v>11.610999999999995</v>
          </cell>
          <cell r="O160">
            <v>-8.4630000000000223</v>
          </cell>
          <cell r="P160">
            <v>1.2040000000000646</v>
          </cell>
          <cell r="Q160">
            <v>0.24100000000001387</v>
          </cell>
          <cell r="R160">
            <v>11.748000000000001</v>
          </cell>
          <cell r="S160">
            <v>-0.27399999999997782</v>
          </cell>
          <cell r="T160">
            <v>-1.0600000000000058</v>
          </cell>
          <cell r="U160">
            <v>-6.8689999999999785</v>
          </cell>
          <cell r="V160">
            <v>3.5449999999999875</v>
          </cell>
          <cell r="W160">
            <v>17.580000000000044</v>
          </cell>
          <cell r="X160">
            <v>7.4970000000000265</v>
          </cell>
          <cell r="Y160">
            <v>8.1009999999999742</v>
          </cell>
          <cell r="Z160">
            <v>20.613999999999962</v>
          </cell>
          <cell r="AA160">
            <v>53.792000000000016</v>
          </cell>
          <cell r="AB160">
            <v>47.89700000000002</v>
          </cell>
          <cell r="AC160">
            <v>-5.1449999999999765</v>
          </cell>
          <cell r="AD160">
            <v>36.604999999999968</v>
          </cell>
          <cell r="AE160">
            <v>-25.883999999999983</v>
          </cell>
          <cell r="AF160">
            <v>53.473000000000084</v>
          </cell>
          <cell r="AG160">
            <v>65.564999999999998</v>
          </cell>
          <cell r="AH160">
            <v>-28.64100000000002</v>
          </cell>
          <cell r="AI160">
            <v>87.61399999999999</v>
          </cell>
          <cell r="AJ160">
            <v>147.06399999999994</v>
          </cell>
          <cell r="AK160">
            <v>271.60199999999992</v>
          </cell>
          <cell r="AL160">
            <v>-275.98800000000006</v>
          </cell>
          <cell r="AM160">
            <v>-16.555999999999898</v>
          </cell>
          <cell r="AN160">
            <v>12.818000000000026</v>
          </cell>
          <cell r="AO160">
            <v>-2.6660000000001389</v>
          </cell>
          <cell r="AP160">
            <v>-282.39200000000011</v>
          </cell>
          <cell r="AQ160">
            <v>79.497000000000043</v>
          </cell>
          <cell r="AR160">
            <v>-103.83099999999982</v>
          </cell>
          <cell r="AS160">
            <v>20.598999999999876</v>
          </cell>
          <cell r="AT160" t="e">
            <v>#REF!</v>
          </cell>
          <cell r="AU160" t="e">
            <v>#REF!</v>
          </cell>
          <cell r="AW160">
            <v>-16.555999999999898</v>
          </cell>
          <cell r="AX160">
            <v>12.818000000000026</v>
          </cell>
          <cell r="AY160">
            <v>-2.6660000000001389</v>
          </cell>
          <cell r="AZ160">
            <v>79.497000000000043</v>
          </cell>
          <cell r="BA160">
            <v>73.09299999999962</v>
          </cell>
          <cell r="BB160">
            <v>-103.83099999999982</v>
          </cell>
          <cell r="BC160">
            <v>20.598999999999876</v>
          </cell>
          <cell r="BD160" t="e">
            <v>#REF!</v>
          </cell>
          <cell r="BE160">
            <v>58.684000000000104</v>
          </cell>
          <cell r="BF160" t="e">
            <v>#REF!</v>
          </cell>
          <cell r="BG160">
            <v>-2.6359999999998274</v>
          </cell>
          <cell r="BH160">
            <v>21.834999999999823</v>
          </cell>
          <cell r="BI160">
            <v>-100.56199999999984</v>
          </cell>
          <cell r="BJ160">
            <v>10.917999999999971</v>
          </cell>
          <cell r="BK160">
            <v>-70.444999999999879</v>
          </cell>
          <cell r="BL160">
            <v>31.760999999999484</v>
          </cell>
          <cell r="BM160">
            <v>11.83700000000024</v>
          </cell>
          <cell r="BN160">
            <v>4.2090000000000831</v>
          </cell>
          <cell r="BO160">
            <v>9.3660000000000725</v>
          </cell>
          <cell r="BP160">
            <v>57.172999999999938</v>
          </cell>
          <cell r="BQ160">
            <v>330.88099999999997</v>
          </cell>
          <cell r="BR160">
            <v>-40.381999999999962</v>
          </cell>
          <cell r="BS160">
            <v>-234.45400000000001</v>
          </cell>
          <cell r="BT160">
            <v>-36.418000000000184</v>
          </cell>
          <cell r="BU160">
            <v>19.626999999999825</v>
          </cell>
          <cell r="BV160">
            <v>-40.727000000000125</v>
          </cell>
          <cell r="BW160">
            <v>61.721999999999994</v>
          </cell>
          <cell r="BX160">
            <v>57.737000000000108</v>
          </cell>
          <cell r="BY160">
            <v>-116.32800000000022</v>
          </cell>
          <cell r="BZ160">
            <v>-37.59600000000043</v>
          </cell>
          <cell r="CA160">
            <v>1.238999999999896</v>
          </cell>
          <cell r="CB160">
            <v>5.3799999999999848</v>
          </cell>
          <cell r="CC160">
            <v>133.11700000000013</v>
          </cell>
          <cell r="CD160">
            <v>-143.94200000000023</v>
          </cell>
          <cell r="CE160">
            <v>-4.2060000000001478</v>
          </cell>
          <cell r="CF160">
            <v>-6.0159999999998579</v>
          </cell>
          <cell r="CG160">
            <v>-5.4889999999998835</v>
          </cell>
          <cell r="CH160">
            <v>-1.9559999999998325</v>
          </cell>
          <cell r="CI160">
            <v>-24.208000000000325</v>
          </cell>
          <cell r="CJ160">
            <v>-37.668999999999897</v>
          </cell>
          <cell r="CK160">
            <v>-55.746999999999744</v>
          </cell>
          <cell r="CL160">
            <v>27.903999999999815</v>
          </cell>
          <cell r="CM160">
            <v>-1.0816999999998549</v>
          </cell>
          <cell r="CN160">
            <v>66.628783519706914</v>
          </cell>
          <cell r="CO160">
            <v>37.70408351970697</v>
          </cell>
          <cell r="CP160">
            <v>-19.135254716821294</v>
          </cell>
          <cell r="CQ160">
            <v>183.58810183351312</v>
          </cell>
          <cell r="CR160">
            <v>35.858329222448376</v>
          </cell>
          <cell r="CS160">
            <v>5.9705623652603634</v>
          </cell>
          <cell r="CT160">
            <v>206.28173870440037</v>
          </cell>
          <cell r="CU160">
            <v>-45.21628633619315</v>
          </cell>
          <cell r="CV160">
            <v>221.52444717453523</v>
          </cell>
          <cell r="CW160">
            <v>73.054543957810111</v>
          </cell>
          <cell r="CX160">
            <v>40.244594231384639</v>
          </cell>
          <cell r="CY160">
            <v>289.60729902753678</v>
          </cell>
          <cell r="CZ160">
            <v>-46.969177952769769</v>
          </cell>
          <cell r="DA160">
            <v>235.6571439585652</v>
          </cell>
          <cell r="DB160">
            <v>81.308651682290233</v>
          </cell>
          <cell r="DC160">
            <v>49.780285759529249</v>
          </cell>
          <cell r="DD160">
            <v>319.77690344761481</v>
          </cell>
          <cell r="DE160">
            <v>-46.380505423202791</v>
          </cell>
          <cell r="DF160">
            <v>249.27051432919257</v>
          </cell>
          <cell r="DG160">
            <v>92.194266568106343</v>
          </cell>
          <cell r="DH160">
            <v>60.490037252655256</v>
          </cell>
          <cell r="DI160">
            <v>355.57431272675132</v>
          </cell>
        </row>
        <row r="161">
          <cell r="B161" t="str">
            <v>Cash &amp; equivalents - ending balance</v>
          </cell>
          <cell r="F161">
            <v>25.248999999999981</v>
          </cell>
          <cell r="G161">
            <v>74.375999999999976</v>
          </cell>
          <cell r="H161">
            <v>109.38399999999999</v>
          </cell>
          <cell r="I161">
            <v>75.326000000000079</v>
          </cell>
          <cell r="J161">
            <v>31.172000000000068</v>
          </cell>
          <cell r="K161">
            <v>67.381000000000085</v>
          </cell>
          <cell r="L161">
            <v>12.684999999999945</v>
          </cell>
          <cell r="M161">
            <v>8.5739999999999217</v>
          </cell>
          <cell r="N161">
            <v>20.184999999999917</v>
          </cell>
          <cell r="O161">
            <v>11.721999999999895</v>
          </cell>
          <cell r="P161">
            <v>12.925999999999959</v>
          </cell>
          <cell r="Q161">
            <v>12.925999999999959</v>
          </cell>
          <cell r="R161">
            <v>24.67399999999996</v>
          </cell>
          <cell r="S161">
            <v>24.399999999999984</v>
          </cell>
          <cell r="T161">
            <v>23.339999999999979</v>
          </cell>
          <cell r="U161">
            <v>16.471</v>
          </cell>
          <cell r="V161">
            <v>16.470999999999947</v>
          </cell>
          <cell r="W161">
            <v>34.050999999999988</v>
          </cell>
          <cell r="X161">
            <v>41.548000000000016</v>
          </cell>
          <cell r="Y161">
            <v>49.648999999999987</v>
          </cell>
          <cell r="Z161">
            <v>70.262999999999948</v>
          </cell>
          <cell r="AA161">
            <v>70.262999999999963</v>
          </cell>
          <cell r="AB161">
            <v>118.15999999999998</v>
          </cell>
          <cell r="AC161">
            <v>113.015</v>
          </cell>
          <cell r="AD161">
            <v>149.61999999999998</v>
          </cell>
          <cell r="AE161">
            <v>123.73599999999999</v>
          </cell>
          <cell r="AF161">
            <v>123.73600000000005</v>
          </cell>
          <cell r="AG161">
            <v>189.30100000000004</v>
          </cell>
          <cell r="AH161">
            <v>160.66000000000003</v>
          </cell>
          <cell r="AI161">
            <v>248.274</v>
          </cell>
          <cell r="AJ161">
            <v>395.33799999999997</v>
          </cell>
          <cell r="AK161">
            <v>395.33799999999997</v>
          </cell>
          <cell r="AL161">
            <v>119.34999999999991</v>
          </cell>
          <cell r="AM161">
            <v>102.79400000000001</v>
          </cell>
          <cell r="AN161">
            <v>115.61200000000004</v>
          </cell>
          <cell r="AO161">
            <v>112.9459999999999</v>
          </cell>
          <cell r="AP161">
            <v>112.94599999999986</v>
          </cell>
          <cell r="AQ161">
            <v>192.4429999999999</v>
          </cell>
          <cell r="AR161">
            <v>88.61200000000008</v>
          </cell>
          <cell r="AS161">
            <v>109.21099999999996</v>
          </cell>
          <cell r="AT161" t="e">
            <v>#REF!</v>
          </cell>
          <cell r="AU161" t="e">
            <v>#REF!</v>
          </cell>
          <cell r="AW161">
            <v>102.79400000000001</v>
          </cell>
          <cell r="AX161">
            <v>115.61200000000004</v>
          </cell>
          <cell r="AY161">
            <v>112.9459999999999</v>
          </cell>
          <cell r="AZ161">
            <v>192.44299999999993</v>
          </cell>
          <cell r="BA161">
            <v>192.44299999999953</v>
          </cell>
          <cell r="BB161">
            <v>88.61200000000008</v>
          </cell>
          <cell r="BC161">
            <v>109.21099999999996</v>
          </cell>
          <cell r="BD161" t="e">
            <v>#REF!</v>
          </cell>
          <cell r="BE161" t="e">
            <v>#REF!</v>
          </cell>
          <cell r="BF161" t="e">
            <v>#REF!</v>
          </cell>
          <cell r="BG161" t="e">
            <v>#REF!</v>
          </cell>
          <cell r="BH161" t="e">
            <v>#REF!</v>
          </cell>
          <cell r="BI161" t="e">
            <v>#REF!</v>
          </cell>
          <cell r="BJ161" t="e">
            <v>#REF!</v>
          </cell>
          <cell r="BK161" t="e">
            <v>#REF!</v>
          </cell>
          <cell r="BL161" t="e">
            <v>#REF!</v>
          </cell>
          <cell r="BM161" t="e">
            <v>#REF!</v>
          </cell>
          <cell r="BN161" t="e">
            <v>#REF!</v>
          </cell>
          <cell r="BO161" t="e">
            <v>#REF!</v>
          </cell>
          <cell r="BP161" t="e">
            <v>#REF!</v>
          </cell>
          <cell r="BQ161" t="e">
            <v>#REF!</v>
          </cell>
          <cell r="BR161" t="e">
            <v>#REF!</v>
          </cell>
          <cell r="BS161" t="e">
            <v>#REF!</v>
          </cell>
          <cell r="BT161" t="e">
            <v>#REF!</v>
          </cell>
          <cell r="BU161" t="e">
            <v>#REF!</v>
          </cell>
          <cell r="BV161">
            <v>102.88699999999989</v>
          </cell>
          <cell r="BW161">
            <v>164.60899999999998</v>
          </cell>
          <cell r="BX161">
            <v>222.34600000000012</v>
          </cell>
          <cell r="BY161">
            <v>106.01799999999979</v>
          </cell>
          <cell r="BZ161">
            <v>106.01799999999957</v>
          </cell>
          <cell r="CA161">
            <v>107.25699999999989</v>
          </cell>
          <cell r="CB161">
            <v>112.63699999999999</v>
          </cell>
          <cell r="CC161">
            <v>245.75400000000013</v>
          </cell>
          <cell r="CD161">
            <v>101.81199999999976</v>
          </cell>
          <cell r="CE161">
            <v>101.81199999999986</v>
          </cell>
          <cell r="CF161">
            <v>95.796000000000134</v>
          </cell>
          <cell r="CG161">
            <v>90.30700000000013</v>
          </cell>
          <cell r="CH161">
            <v>88.35100000000017</v>
          </cell>
          <cell r="CI161">
            <v>64.143000000000001</v>
          </cell>
          <cell r="CJ161">
            <v>64.1430000000001</v>
          </cell>
          <cell r="CK161">
            <v>8.3960000000002566</v>
          </cell>
          <cell r="CL161">
            <v>36.299999999999812</v>
          </cell>
          <cell r="CM161">
            <v>35.218300000000141</v>
          </cell>
          <cell r="CN161">
            <v>101.84708351970706</v>
          </cell>
          <cell r="CO161">
            <v>101.84708351970697</v>
          </cell>
          <cell r="CP161">
            <v>82.711828802885762</v>
          </cell>
          <cell r="CQ161">
            <v>266.29993063639887</v>
          </cell>
          <cell r="CR161">
            <v>302.15825985884726</v>
          </cell>
          <cell r="CS161">
            <v>308.12882222410764</v>
          </cell>
          <cell r="CT161">
            <v>308.12852222410731</v>
          </cell>
          <cell r="CU161">
            <v>262.91253588791449</v>
          </cell>
          <cell r="CV161">
            <v>484.43698306244971</v>
          </cell>
          <cell r="CW161">
            <v>557.49152702025981</v>
          </cell>
          <cell r="CX161">
            <v>597.73612125164448</v>
          </cell>
          <cell r="CY161">
            <v>597.73582125164432</v>
          </cell>
          <cell r="CZ161">
            <v>550.76694329887471</v>
          </cell>
          <cell r="DA161">
            <v>786.42408725743985</v>
          </cell>
          <cell r="DB161">
            <v>867.7327389397301</v>
          </cell>
          <cell r="DC161">
            <v>917.5130246992594</v>
          </cell>
          <cell r="DD161">
            <v>917.51272469925925</v>
          </cell>
          <cell r="DE161">
            <v>871.13251927605666</v>
          </cell>
          <cell r="DF161">
            <v>1120.4030336052492</v>
          </cell>
          <cell r="DG161">
            <v>1212.5973001733555</v>
          </cell>
          <cell r="DH161">
            <v>1273.0873374260107</v>
          </cell>
          <cell r="DI161">
            <v>1273.0870374260107</v>
          </cell>
        </row>
        <row r="163">
          <cell r="B163" t="str">
            <v>Check</v>
          </cell>
          <cell r="F163" t="str">
            <v>ok</v>
          </cell>
          <cell r="G163" t="str">
            <v>ok</v>
          </cell>
          <cell r="H163" t="str">
            <v>ok</v>
          </cell>
          <cell r="I163" t="str">
            <v>ok</v>
          </cell>
          <cell r="J163" t="str">
            <v>ok</v>
          </cell>
          <cell r="K163" t="str">
            <v>ok</v>
          </cell>
          <cell r="L163" t="str">
            <v>ok</v>
          </cell>
          <cell r="M163" t="str">
            <v>ok</v>
          </cell>
          <cell r="N163" t="str">
            <v>ok</v>
          </cell>
          <cell r="O163" t="str">
            <v>ok</v>
          </cell>
          <cell r="P163" t="str">
            <v>ok</v>
          </cell>
          <cell r="Q163" t="str">
            <v>ok</v>
          </cell>
          <cell r="R163" t="str">
            <v>ok</v>
          </cell>
          <cell r="S163" t="str">
            <v>ok</v>
          </cell>
          <cell r="T163" t="str">
            <v>ok</v>
          </cell>
          <cell r="U163" t="str">
            <v>ok</v>
          </cell>
          <cell r="V163">
            <v>-5.3290705182007514E-14</v>
          </cell>
          <cell r="W163" t="str">
            <v>ok</v>
          </cell>
          <cell r="X163" t="str">
            <v>ok</v>
          </cell>
          <cell r="Y163" t="str">
            <v>ok</v>
          </cell>
          <cell r="Z163">
            <v>-5.6843418860808015E-14</v>
          </cell>
          <cell r="AA163" t="str">
            <v>ok</v>
          </cell>
          <cell r="AB163" t="str">
            <v>ok</v>
          </cell>
          <cell r="AC163" t="str">
            <v>ok</v>
          </cell>
          <cell r="AD163" t="str">
            <v>ok</v>
          </cell>
          <cell r="AE163" t="str">
            <v>ok</v>
          </cell>
          <cell r="AF163" t="str">
            <v>ok</v>
          </cell>
          <cell r="AG163" t="str">
            <v>ok</v>
          </cell>
          <cell r="AH163" t="str">
            <v>ok</v>
          </cell>
          <cell r="AI163" t="str">
            <v>ok</v>
          </cell>
          <cell r="AJ163" t="str">
            <v>ok</v>
          </cell>
          <cell r="AK163" t="str">
            <v>ok</v>
          </cell>
          <cell r="AL163" t="str">
            <v>ok</v>
          </cell>
          <cell r="AM163" t="str">
            <v>ok</v>
          </cell>
          <cell r="AN163" t="str">
            <v>ok</v>
          </cell>
          <cell r="AO163" t="str">
            <v>ok</v>
          </cell>
          <cell r="AP163" t="str">
            <v>ok</v>
          </cell>
          <cell r="AQ163" t="str">
            <v>ok</v>
          </cell>
          <cell r="AR163" t="str">
            <v>ok</v>
          </cell>
          <cell r="AS163" t="str">
            <v>ok</v>
          </cell>
          <cell r="AT163" t="e">
            <v>#REF!</v>
          </cell>
          <cell r="AU163" t="e">
            <v>#REF!</v>
          </cell>
          <cell r="AW163" t="str">
            <v>ok</v>
          </cell>
          <cell r="AX163" t="str">
            <v>ok</v>
          </cell>
          <cell r="AY163" t="str">
            <v>ok</v>
          </cell>
          <cell r="AZ163" t="str">
            <v>ok</v>
          </cell>
          <cell r="BA163" t="str">
            <v>ok</v>
          </cell>
          <cell r="BB163" t="str">
            <v>ok</v>
          </cell>
          <cell r="BC163" t="str">
            <v>ok</v>
          </cell>
          <cell r="BD163" t="e">
            <v>#REF!</v>
          </cell>
          <cell r="BE163" t="e">
            <v>#REF!</v>
          </cell>
          <cell r="BF163" t="e">
            <v>#REF!</v>
          </cell>
          <cell r="BG163" t="e">
            <v>#REF!</v>
          </cell>
          <cell r="BH163" t="e">
            <v>#REF!</v>
          </cell>
          <cell r="BI163" t="e">
            <v>#REF!</v>
          </cell>
          <cell r="BJ163" t="e">
            <v>#REF!</v>
          </cell>
          <cell r="BK163" t="e">
            <v>#REF!</v>
          </cell>
          <cell r="BL163" t="e">
            <v>#REF!</v>
          </cell>
          <cell r="BM163" t="e">
            <v>#REF!</v>
          </cell>
          <cell r="BN163" t="e">
            <v>#REF!</v>
          </cell>
          <cell r="BO163" t="e">
            <v>#REF!</v>
          </cell>
          <cell r="BP163" t="e">
            <v>#REF!</v>
          </cell>
          <cell r="BQ163" t="e">
            <v>#REF!</v>
          </cell>
          <cell r="BR163" t="e">
            <v>#REF!</v>
          </cell>
          <cell r="BS163" t="e">
            <v>#REF!</v>
          </cell>
          <cell r="BT163" t="e">
            <v>#REF!</v>
          </cell>
          <cell r="BU163" t="e">
            <v>#REF!</v>
          </cell>
          <cell r="BV163">
            <v>-1.1368683772161603E-13</v>
          </cell>
          <cell r="BW163">
            <v>0</v>
          </cell>
          <cell r="BX163">
            <v>0</v>
          </cell>
          <cell r="BY163">
            <v>-2.1316282072803006E-13</v>
          </cell>
          <cell r="BZ163">
            <v>-4.2632564145606011E-13</v>
          </cell>
          <cell r="CA163">
            <v>-1.1368683772161603E-13</v>
          </cell>
          <cell r="CB163">
            <v>0</v>
          </cell>
          <cell r="CC163">
            <v>0</v>
          </cell>
          <cell r="CD163">
            <v>-2.4158453015843406E-13</v>
          </cell>
          <cell r="CE163">
            <v>-1.4210854715202004E-13</v>
          </cell>
          <cell r="CF163">
            <v>1.2789769243681803E-13</v>
          </cell>
          <cell r="CG163">
            <v>1.2789769243681803E-13</v>
          </cell>
          <cell r="CH163">
            <v>1.7053025658242404E-13</v>
          </cell>
          <cell r="CI163">
            <v>0</v>
          </cell>
          <cell r="CJ163">
            <v>0</v>
          </cell>
          <cell r="CK163">
            <v>2.5579538487363607E-13</v>
          </cell>
          <cell r="CL163">
            <v>-1.8474111129762605E-13</v>
          </cell>
          <cell r="CM163">
            <v>3.0000000013785666E-4</v>
          </cell>
          <cell r="CN163">
            <v>3.0000000013785666E-4</v>
          </cell>
          <cell r="CO163">
            <v>3.0000000005259153E-4</v>
          </cell>
          <cell r="CP163">
            <v>3.0000000013785666E-4</v>
          </cell>
          <cell r="CQ163">
            <v>3.000000000952241E-4</v>
          </cell>
          <cell r="CR163">
            <v>3.000000000952241E-4</v>
          </cell>
          <cell r="CS163">
            <v>3.000000000952241E-4</v>
          </cell>
          <cell r="CT163">
            <v>0</v>
          </cell>
          <cell r="CU163">
            <v>3.000000000952241E-4</v>
          </cell>
          <cell r="CV163">
            <v>3.000000000952241E-4</v>
          </cell>
          <cell r="CW163">
            <v>3.0000000003838068E-4</v>
          </cell>
          <cell r="CX163">
            <v>3.0000000003838068E-4</v>
          </cell>
          <cell r="CY163">
            <v>0</v>
          </cell>
          <cell r="CZ163">
            <v>3.0000000003838068E-4</v>
          </cell>
          <cell r="DA163">
            <v>2.9999999992469384E-4</v>
          </cell>
          <cell r="DB163">
            <v>2.9999999992469384E-4</v>
          </cell>
          <cell r="DC163">
            <v>2.9999999992469384E-4</v>
          </cell>
          <cell r="DD163">
            <v>0</v>
          </cell>
          <cell r="DE163">
            <v>2.9999999992469384E-4</v>
          </cell>
          <cell r="DF163">
            <v>2.9999999992469384E-4</v>
          </cell>
          <cell r="DG163">
            <v>2.9999999992469384E-4</v>
          </cell>
          <cell r="DH163">
            <v>2.9999999992469384E-4</v>
          </cell>
          <cell r="DI163">
            <v>0</v>
          </cell>
        </row>
        <row r="165">
          <cell r="B165" t="str">
            <v>Free cash flow</v>
          </cell>
          <cell r="AW165">
            <v>19.052000000000021</v>
          </cell>
          <cell r="AX165">
            <v>96.881000000000043</v>
          </cell>
          <cell r="AY165">
            <v>101.13399999999989</v>
          </cell>
          <cell r="AZ165">
            <v>112.89900000000004</v>
          </cell>
          <cell r="BA165">
            <v>329.96600000000001</v>
          </cell>
          <cell r="BB165">
            <v>34.479000000000113</v>
          </cell>
          <cell r="BC165">
            <v>89.865999999999971</v>
          </cell>
          <cell r="BD165">
            <v>53.130000000000024</v>
          </cell>
          <cell r="BE165">
            <v>64.050000000000097</v>
          </cell>
          <cell r="BF165">
            <v>241.5250000000002</v>
          </cell>
          <cell r="BG165">
            <v>44.069000000000173</v>
          </cell>
          <cell r="BH165">
            <v>53.517999999999901</v>
          </cell>
          <cell r="BI165">
            <v>1.0230000000000956</v>
          </cell>
          <cell r="BJ165">
            <v>10.553999999999974</v>
          </cell>
          <cell r="BK165">
            <v>109.16400000000014</v>
          </cell>
          <cell r="BL165">
            <v>6.3929999999997591</v>
          </cell>
          <cell r="BM165">
            <v>71.158000000000058</v>
          </cell>
          <cell r="BN165">
            <v>-49.666999999999959</v>
          </cell>
          <cell r="BO165">
            <v>23.97300000000007</v>
          </cell>
          <cell r="BP165">
            <v>51.856999999999928</v>
          </cell>
          <cell r="BQ165">
            <v>98.322999999999922</v>
          </cell>
          <cell r="BR165">
            <v>94.414000000000016</v>
          </cell>
          <cell r="BS165">
            <v>23.862999999999914</v>
          </cell>
          <cell r="BT165">
            <v>-9.2140000000000342</v>
          </cell>
          <cell r="BU165">
            <v>207.38599999999983</v>
          </cell>
          <cell r="BV165">
            <v>51.564999999999884</v>
          </cell>
          <cell r="BW165">
            <v>88.143999999999991</v>
          </cell>
          <cell r="BX165">
            <v>58.976000000000099</v>
          </cell>
          <cell r="BY165">
            <v>43.532999999999831</v>
          </cell>
          <cell r="BZ165">
            <v>242.21799999999985</v>
          </cell>
          <cell r="CA165">
            <v>46.751999999999889</v>
          </cell>
          <cell r="CB165">
            <v>98.089999999999975</v>
          </cell>
          <cell r="CC165">
            <v>67.312000000000111</v>
          </cell>
          <cell r="CD165">
            <v>15.531999999999968</v>
          </cell>
          <cell r="CE165">
            <v>227.68599999999998</v>
          </cell>
          <cell r="CF165">
            <v>69.363000000000142</v>
          </cell>
          <cell r="CG165">
            <v>69.100000000000023</v>
          </cell>
          <cell r="CH165">
            <v>105.66900000000015</v>
          </cell>
          <cell r="CI165">
            <v>-2.1560000000001196</v>
          </cell>
          <cell r="CJ165">
            <v>241.9760000000002</v>
          </cell>
          <cell r="CK165">
            <v>-18.729999999999755</v>
          </cell>
          <cell r="CL165">
            <v>115.55599999999988</v>
          </cell>
          <cell r="CM165">
            <v>78.896300000000167</v>
          </cell>
          <cell r="CN165">
            <v>82.151533519706931</v>
          </cell>
          <cell r="CO165">
            <v>257.8738335197072</v>
          </cell>
          <cell r="CP165">
            <v>6.3874952831787226</v>
          </cell>
          <cell r="CQ165">
            <v>209.11085183351312</v>
          </cell>
          <cell r="CR165">
            <v>61.381079222448392</v>
          </cell>
          <cell r="CS165">
            <v>31.49331236526038</v>
          </cell>
          <cell r="CT165">
            <v>308.3727387044006</v>
          </cell>
          <cell r="CU165">
            <v>-19.693536336193134</v>
          </cell>
          <cell r="CV165">
            <v>247.04719717453526</v>
          </cell>
          <cell r="CW165">
            <v>98.577293957810127</v>
          </cell>
          <cell r="CX165">
            <v>65.767344231384655</v>
          </cell>
          <cell r="CY165">
            <v>391.6982990275369</v>
          </cell>
          <cell r="CZ165">
            <v>-20.946427952769753</v>
          </cell>
          <cell r="DA165">
            <v>261.67989395856523</v>
          </cell>
          <cell r="DB165">
            <v>107.33140168229025</v>
          </cell>
          <cell r="DC165">
            <v>75.803035759529266</v>
          </cell>
          <cell r="DD165">
            <v>423.86790344761505</v>
          </cell>
          <cell r="DE165">
            <v>-20.357755423202775</v>
          </cell>
          <cell r="DF165">
            <v>275.2932643291926</v>
          </cell>
          <cell r="DG165">
            <v>118.21701656810636</v>
          </cell>
          <cell r="DH165">
            <v>86.512787252655272</v>
          </cell>
          <cell r="DI165">
            <v>459.66531272675149</v>
          </cell>
        </row>
        <row r="166">
          <cell r="B166" t="str">
            <v>y/y growth</v>
          </cell>
          <cell r="BB166">
            <v>0.80973126180978761</v>
          </cell>
          <cell r="BC166">
            <v>-7.2408418575366396E-2</v>
          </cell>
          <cell r="BD166">
            <v>-0.47465738525125001</v>
          </cell>
          <cell r="BE166">
            <v>-0.43267876597666877</v>
          </cell>
          <cell r="BF166">
            <v>-0.26803064558166534</v>
          </cell>
          <cell r="BG166">
            <v>0.27814031729458599</v>
          </cell>
          <cell r="BH166">
            <v>-0.40446887588186942</v>
          </cell>
          <cell r="BI166">
            <v>-0.98074534161490501</v>
          </cell>
          <cell r="BJ166">
            <v>-0.83522248243559782</v>
          </cell>
          <cell r="BK166">
            <v>-0.54802194389814696</v>
          </cell>
          <cell r="BL166">
            <v>-0.85493203839434218</v>
          </cell>
          <cell r="BM166">
            <v>0.32960872977316402</v>
          </cell>
          <cell r="BN166" t="str">
            <v>nm</v>
          </cell>
          <cell r="BO166">
            <v>1.2714610574190002</v>
          </cell>
          <cell r="BP166">
            <v>-0.52496244183064145</v>
          </cell>
          <cell r="BQ166">
            <v>14.379790395745914</v>
          </cell>
          <cell r="BR166">
            <v>0.32682200174260001</v>
          </cell>
          <cell r="BS166" t="str">
            <v>nm</v>
          </cell>
          <cell r="BT166" t="str">
            <v>nm</v>
          </cell>
          <cell r="BU166">
            <v>2.999190080413447</v>
          </cell>
          <cell r="BV166">
            <v>-0.47555505832816403</v>
          </cell>
          <cell r="BW166">
            <v>-6.6409642637744626E-2</v>
          </cell>
          <cell r="BX166">
            <v>1.4714411431924028</v>
          </cell>
          <cell r="BY166" t="str">
            <v>nm</v>
          </cell>
          <cell r="BZ166">
            <v>0.16795733559642434</v>
          </cell>
          <cell r="CA166">
            <v>-9.3338504799767352E-2</v>
          </cell>
          <cell r="CB166">
            <v>0.11283808313668531</v>
          </cell>
          <cell r="CC166">
            <v>0.14134563212154094</v>
          </cell>
          <cell r="CD166">
            <v>-0.64321319458801307</v>
          </cell>
          <cell r="CE166">
            <v>-5.9995541206681047E-2</v>
          </cell>
          <cell r="CF166">
            <v>0.48363706365503734</v>
          </cell>
          <cell r="CG166">
            <v>-0.29554490773779141</v>
          </cell>
          <cell r="CH166">
            <v>0.56983895887806013</v>
          </cell>
          <cell r="CI166" t="str">
            <v>nm</v>
          </cell>
          <cell r="CJ166">
            <v>6.2761873808667268E-2</v>
          </cell>
          <cell r="CK166" t="str">
            <v>nm</v>
          </cell>
          <cell r="CL166">
            <v>-0.90756157332592302</v>
          </cell>
          <cell r="CM166">
            <v>-0.25336380584655804</v>
          </cell>
          <cell r="CN166" t="str">
            <v>nm</v>
          </cell>
          <cell r="CO166">
            <v>6.5700042647646839E-2</v>
          </cell>
          <cell r="CP166" t="str">
            <v>nm</v>
          </cell>
          <cell r="CQ166" t="str">
            <v>nm</v>
          </cell>
          <cell r="CR166">
            <v>-0.22200306956792315</v>
          </cell>
          <cell r="CS166">
            <v>-0.61664364600442179</v>
          </cell>
          <cell r="CT166">
            <v>0.19582795390845331</v>
          </cell>
          <cell r="CU166" t="str">
            <v>nm</v>
          </cell>
          <cell r="CV166" t="str">
            <v>nm</v>
          </cell>
          <cell r="CW166">
            <v>0.60598828183780573</v>
          </cell>
          <cell r="CX166">
            <v>1.0882955552154385</v>
          </cell>
          <cell r="CY166">
            <v>0.2702105272768951</v>
          </cell>
          <cell r="CZ166" t="str">
            <v>nm</v>
          </cell>
          <cell r="DA166" t="str">
            <v>nm</v>
          </cell>
          <cell r="DB166">
            <v>8.8804504293116038E-2</v>
          </cell>
          <cell r="DC166">
            <v>0.15259383886380973</v>
          </cell>
          <cell r="DD166">
            <v>8.2128527236255744E-2</v>
          </cell>
          <cell r="DE166" t="str">
            <v>nm</v>
          </cell>
          <cell r="DF166" t="str">
            <v>nm</v>
          </cell>
          <cell r="DG166">
            <v>0.10142059746912113</v>
          </cell>
          <cell r="DH166">
            <v>0.14128393916967474</v>
          </cell>
          <cell r="DI166">
            <v>8.445416363912206E-2</v>
          </cell>
        </row>
        <row r="168">
          <cell r="B168" t="str">
            <v>Free cash flow per share</v>
          </cell>
          <cell r="AW168">
            <v>7.7082734875365724E-2</v>
          </cell>
          <cell r="AX168">
            <v>0.39201492295740015</v>
          </cell>
          <cell r="AY168">
            <v>0.40995561320659069</v>
          </cell>
          <cell r="AZ168">
            <v>0.45638069520856678</v>
          </cell>
          <cell r="BA168">
            <v>1.335390586347462</v>
          </cell>
          <cell r="BB168">
            <v>0.13853219118639754</v>
          </cell>
          <cell r="BC168">
            <v>0.35852609573356087</v>
          </cell>
          <cell r="BD168">
            <v>0.21263141886348455</v>
          </cell>
          <cell r="BE168">
            <v>0.26175228956628033</v>
          </cell>
          <cell r="BF168">
            <v>0.97182599878484099</v>
          </cell>
          <cell r="BG168">
            <v>0.18104099909621302</v>
          </cell>
          <cell r="BH168">
            <v>0.21973140198964489</v>
          </cell>
          <cell r="BI168">
            <v>4.2057227429702993E-3</v>
          </cell>
          <cell r="BJ168">
            <v>4.3836367487819661E-2</v>
          </cell>
          <cell r="BK168">
            <v>0.4486068874825353</v>
          </cell>
          <cell r="BL168">
            <v>2.6157937806872991E-2</v>
          </cell>
          <cell r="BM168">
            <v>0.28832953799525129</v>
          </cell>
          <cell r="BN168">
            <v>-0.20260915324899936</v>
          </cell>
          <cell r="BO168">
            <v>9.8202508622879395E-2</v>
          </cell>
          <cell r="BP168">
            <v>0.21155846751985741</v>
          </cell>
          <cell r="BQ168">
            <v>0.40340289003585844</v>
          </cell>
          <cell r="BR168">
            <v>0.38414341397521345</v>
          </cell>
          <cell r="BS168">
            <v>9.7477584199668774E-2</v>
          </cell>
          <cell r="BT168">
            <v>-3.7705736477251471E-2</v>
          </cell>
          <cell r="BU168">
            <v>0.84761169080111587</v>
          </cell>
          <cell r="BV168">
            <v>0.21027284701238386</v>
          </cell>
          <cell r="BW168">
            <v>0.35843424937173157</v>
          </cell>
          <cell r="BX168">
            <v>0.23827339059608788</v>
          </cell>
          <cell r="BY168">
            <v>0.17471134281276646</v>
          </cell>
          <cell r="BZ168">
            <v>0.98077865284554433</v>
          </cell>
          <cell r="CA168">
            <v>0.1871075412119243</v>
          </cell>
          <cell r="CB168">
            <v>0.390488777776893</v>
          </cell>
          <cell r="CC168">
            <v>0.26820521811198106</v>
          </cell>
          <cell r="CD168">
            <v>6.1544069865119615E-2</v>
          </cell>
          <cell r="CE168">
            <v>0.90673261491163093</v>
          </cell>
          <cell r="CF168">
            <v>0.27337650309190642</v>
          </cell>
          <cell r="CG168">
            <v>0.27073089505749609</v>
          </cell>
          <cell r="CH168">
            <v>0.41418682679794983</v>
          </cell>
          <cell r="CI168">
            <v>-8.4208223972008171E-3</v>
          </cell>
          <cell r="CJ168">
            <v>0.94878782294333841</v>
          </cell>
          <cell r="CK168">
            <v>-7.3250188698429614E-2</v>
          </cell>
          <cell r="CL168">
            <v>2.46952772674588E-2</v>
          </cell>
          <cell r="CM168">
            <v>0.30724772571499848</v>
          </cell>
          <cell r="CN168">
            <v>0.3176135258461581</v>
          </cell>
          <cell r="CO168">
            <v>1.0042153195717296</v>
          </cell>
          <cell r="CP168">
            <v>2.46952772674588E-2</v>
          </cell>
          <cell r="CQ168">
            <v>0.80846250943816333</v>
          </cell>
          <cell r="CR168">
            <v>0.23731098077928783</v>
          </cell>
          <cell r="CS168">
            <v>0.12175916324806352</v>
          </cell>
          <cell r="CT168">
            <v>1.1922279307329735</v>
          </cell>
          <cell r="CU168">
            <v>-7.6138974455264019E-2</v>
          </cell>
          <cell r="CV168">
            <v>0.9551316692851809</v>
          </cell>
          <cell r="CW168">
            <v>0.38111865428297298</v>
          </cell>
          <cell r="CX168">
            <v>0.25426911941768199</v>
          </cell>
          <cell r="CY168">
            <v>1.514380468530572</v>
          </cell>
          <cell r="CZ168">
            <v>-8.0982892843574253E-2</v>
          </cell>
          <cell r="DA168">
            <v>1.0117044710223344</v>
          </cell>
          <cell r="DB168">
            <v>0.41496370745343192</v>
          </cell>
          <cell r="DC168">
            <v>0.29306902045414657</v>
          </cell>
          <cell r="DD168">
            <v>1.6387543060863388</v>
          </cell>
          <cell r="DE168">
            <v>-7.8706972362556166E-2</v>
          </cell>
          <cell r="DF168">
            <v>1.0643363620755595</v>
          </cell>
          <cell r="DG168">
            <v>0.45704957459136059</v>
          </cell>
          <cell r="DH168">
            <v>0.33447496611250632</v>
          </cell>
          <cell r="DI168">
            <v>1.7771539304168702</v>
          </cell>
        </row>
        <row r="169">
          <cell r="B169" t="str">
            <v>CUMULATIVE CASH FLOW STATEMENT</v>
          </cell>
        </row>
        <row r="170">
          <cell r="B170" t="str">
            <v>Fiscal Year ends December 31</v>
          </cell>
          <cell r="M170">
            <v>36160</v>
          </cell>
          <cell r="N170">
            <v>36250</v>
          </cell>
          <cell r="O170">
            <v>36341</v>
          </cell>
          <cell r="P170">
            <v>36433</v>
          </cell>
          <cell r="R170">
            <v>36525</v>
          </cell>
          <cell r="S170">
            <v>36616</v>
          </cell>
          <cell r="T170">
            <v>36707</v>
          </cell>
          <cell r="U170">
            <v>36799</v>
          </cell>
          <cell r="W170">
            <v>36891</v>
          </cell>
          <cell r="X170">
            <v>36981</v>
          </cell>
          <cell r="Y170">
            <v>37072</v>
          </cell>
          <cell r="Z170">
            <v>37164</v>
          </cell>
          <cell r="AB170">
            <v>37256</v>
          </cell>
          <cell r="AC170">
            <v>37346</v>
          </cell>
          <cell r="AD170">
            <v>37437</v>
          </cell>
          <cell r="AE170">
            <v>37529</v>
          </cell>
          <cell r="AG170">
            <v>37621</v>
          </cell>
          <cell r="AH170">
            <v>37711</v>
          </cell>
          <cell r="AI170">
            <v>37802</v>
          </cell>
          <cell r="AJ170">
            <v>37894</v>
          </cell>
          <cell r="AL170">
            <v>37986</v>
          </cell>
          <cell r="AM170">
            <v>38077</v>
          </cell>
          <cell r="AN170">
            <v>38168</v>
          </cell>
          <cell r="AO170">
            <v>38260</v>
          </cell>
          <cell r="AQ170">
            <v>38352</v>
          </cell>
          <cell r="AR170">
            <v>38442</v>
          </cell>
          <cell r="AS170">
            <v>38533</v>
          </cell>
          <cell r="AT170">
            <v>38625</v>
          </cell>
          <cell r="AW170">
            <v>38077</v>
          </cell>
          <cell r="AX170">
            <v>38168</v>
          </cell>
          <cell r="AY170">
            <v>38260</v>
          </cell>
          <cell r="AZ170">
            <v>38352</v>
          </cell>
          <cell r="BB170">
            <v>38442</v>
          </cell>
          <cell r="BC170">
            <v>38533</v>
          </cell>
          <cell r="BD170">
            <v>38625</v>
          </cell>
          <cell r="BE170">
            <v>38717</v>
          </cell>
          <cell r="BG170">
            <v>38807</v>
          </cell>
          <cell r="BH170">
            <v>38898</v>
          </cell>
          <cell r="BI170">
            <v>38990</v>
          </cell>
          <cell r="BJ170">
            <v>39082</v>
          </cell>
          <cell r="BL170">
            <v>39172</v>
          </cell>
          <cell r="BM170">
            <v>39263</v>
          </cell>
          <cell r="BN170">
            <v>39355</v>
          </cell>
          <cell r="BO170">
            <v>39447</v>
          </cell>
          <cell r="BQ170">
            <v>39538</v>
          </cell>
          <cell r="BR170">
            <v>39629</v>
          </cell>
          <cell r="BS170">
            <v>39721</v>
          </cell>
          <cell r="BT170">
            <v>39813</v>
          </cell>
          <cell r="BV170">
            <v>39903</v>
          </cell>
          <cell r="BW170">
            <v>39994</v>
          </cell>
          <cell r="BX170">
            <v>40086</v>
          </cell>
          <cell r="BY170">
            <v>40178</v>
          </cell>
          <cell r="CA170">
            <v>40268</v>
          </cell>
          <cell r="CB170">
            <v>40359</v>
          </cell>
          <cell r="CC170">
            <v>40451</v>
          </cell>
          <cell r="CD170">
            <v>40543</v>
          </cell>
          <cell r="CF170">
            <v>40633</v>
          </cell>
          <cell r="CG170">
            <v>40724</v>
          </cell>
          <cell r="CH170">
            <v>40816</v>
          </cell>
          <cell r="CI170">
            <v>40908</v>
          </cell>
          <cell r="CK170">
            <v>40999</v>
          </cell>
          <cell r="CL170">
            <v>41364</v>
          </cell>
          <cell r="CM170">
            <v>41182</v>
          </cell>
          <cell r="CN170">
            <v>41274</v>
          </cell>
          <cell r="CP170">
            <v>41364</v>
          </cell>
          <cell r="CQ170">
            <v>41455</v>
          </cell>
          <cell r="CR170">
            <v>41547</v>
          </cell>
          <cell r="CS170">
            <v>41639</v>
          </cell>
          <cell r="CU170">
            <v>41729</v>
          </cell>
          <cell r="CV170">
            <v>41820</v>
          </cell>
          <cell r="CW170">
            <v>41912</v>
          </cell>
          <cell r="CX170">
            <v>42004</v>
          </cell>
          <cell r="CZ170">
            <v>42094</v>
          </cell>
          <cell r="DA170">
            <v>42185</v>
          </cell>
          <cell r="DB170">
            <v>42277</v>
          </cell>
          <cell r="DC170">
            <v>42369</v>
          </cell>
          <cell r="DE170">
            <v>42460</v>
          </cell>
          <cell r="DF170">
            <v>42551</v>
          </cell>
          <cell r="DG170">
            <v>42643</v>
          </cell>
          <cell r="DH170">
            <v>42735</v>
          </cell>
        </row>
        <row r="171">
          <cell r="B171" t="str">
            <v>($ Million, except per share data)</v>
          </cell>
          <cell r="F171" t="str">
            <v>F1992A</v>
          </cell>
          <cell r="G171" t="str">
            <v>F1993A</v>
          </cell>
          <cell r="H171" t="str">
            <v>F1994A</v>
          </cell>
          <cell r="I171" t="str">
            <v>F1995A</v>
          </cell>
          <cell r="J171" t="str">
            <v>F1996A</v>
          </cell>
          <cell r="K171" t="str">
            <v>F1997A</v>
          </cell>
          <cell r="L171" t="str">
            <v>F1998A</v>
          </cell>
          <cell r="M171" t="str">
            <v>F1Q99A</v>
          </cell>
          <cell r="N171" t="str">
            <v>F2Q99A</v>
          </cell>
          <cell r="O171" t="str">
            <v>F3Q99A</v>
          </cell>
          <cell r="P171" t="str">
            <v>F4Q99A</v>
          </cell>
          <cell r="Q171" t="str">
            <v>F1999A</v>
          </cell>
          <cell r="R171" t="str">
            <v>F1Q00A</v>
          </cell>
          <cell r="S171" t="str">
            <v>F2Q00A</v>
          </cell>
          <cell r="T171" t="str">
            <v>F3Q00A</v>
          </cell>
          <cell r="U171" t="str">
            <v>F4Q00A</v>
          </cell>
          <cell r="V171" t="str">
            <v>F2000A</v>
          </cell>
          <cell r="W171" t="str">
            <v>F1Q01A</v>
          </cell>
          <cell r="X171" t="str">
            <v>F2Q01A</v>
          </cell>
          <cell r="Y171" t="str">
            <v>F3Q01A</v>
          </cell>
          <cell r="Z171" t="str">
            <v>F4Q01A</v>
          </cell>
          <cell r="AA171" t="str">
            <v>F2001A</v>
          </cell>
          <cell r="AB171" t="str">
            <v>F1Q02A</v>
          </cell>
          <cell r="AC171" t="str">
            <v>F2Q02A</v>
          </cell>
          <cell r="AD171" t="str">
            <v>F3Q02A</v>
          </cell>
          <cell r="AE171" t="str">
            <v>F4Q02A</v>
          </cell>
          <cell r="AF171" t="str">
            <v>F2002A</v>
          </cell>
          <cell r="AG171" t="str">
            <v>F1Q03A</v>
          </cell>
          <cell r="AH171" t="str">
            <v>F2Q03A</v>
          </cell>
          <cell r="AI171" t="str">
            <v>F3Q03A</v>
          </cell>
          <cell r="AJ171" t="str">
            <v>F4Q03A</v>
          </cell>
          <cell r="AK171" t="str">
            <v>F2003A</v>
          </cell>
          <cell r="AL171" t="str">
            <v>F1Q04A</v>
          </cell>
          <cell r="AM171" t="str">
            <v>F2Q04A</v>
          </cell>
          <cell r="AN171" t="str">
            <v>F3Q04A</v>
          </cell>
          <cell r="AO171" t="str">
            <v>F4Q04A</v>
          </cell>
          <cell r="AP171" t="str">
            <v>F2004A</v>
          </cell>
          <cell r="AQ171" t="str">
            <v>F1Q05A</v>
          </cell>
          <cell r="AR171" t="str">
            <v>F2Q05A</v>
          </cell>
          <cell r="AS171" t="str">
            <v>F3Q05A</v>
          </cell>
          <cell r="AT171" t="str">
            <v>F4Q05A</v>
          </cell>
          <cell r="AU171" t="str">
            <v>F2005A</v>
          </cell>
          <cell r="AW171" t="str">
            <v>1Q04A</v>
          </cell>
          <cell r="AX171" t="str">
            <v>2Q04A</v>
          </cell>
          <cell r="AY171" t="str">
            <v>3Q04A</v>
          </cell>
          <cell r="AZ171" t="str">
            <v>4Q04A</v>
          </cell>
          <cell r="BA171" t="str">
            <v>2004A</v>
          </cell>
          <cell r="BB171" t="str">
            <v>1Q05A</v>
          </cell>
          <cell r="BC171" t="str">
            <v>2Q05A</v>
          </cell>
          <cell r="BD171" t="str">
            <v>3Q05A</v>
          </cell>
          <cell r="BE171" t="str">
            <v>4Q05A</v>
          </cell>
          <cell r="BF171" t="str">
            <v>2005A</v>
          </cell>
          <cell r="BG171" t="str">
            <v>1Q06A</v>
          </cell>
          <cell r="BH171" t="str">
            <v>2Q06A</v>
          </cell>
          <cell r="BI171" t="str">
            <v>3Q06A</v>
          </cell>
          <cell r="BJ171" t="str">
            <v>4Q06A</v>
          </cell>
          <cell r="BK171" t="str">
            <v>2006A</v>
          </cell>
          <cell r="BL171" t="str">
            <v>1Q07A</v>
          </cell>
          <cell r="BM171" t="str">
            <v>2Q07A</v>
          </cell>
          <cell r="BN171" t="str">
            <v>3Q07A</v>
          </cell>
          <cell r="BO171" t="str">
            <v>4Q07A</v>
          </cell>
          <cell r="BP171" t="str">
            <v>2007A</v>
          </cell>
          <cell r="BQ171" t="str">
            <v>1Q08A</v>
          </cell>
          <cell r="BR171" t="str">
            <v>2Q08A</v>
          </cell>
          <cell r="BS171" t="str">
            <v>3Q08A</v>
          </cell>
          <cell r="BT171" t="str">
            <v>4Q08A</v>
          </cell>
          <cell r="BU171" t="str">
            <v>2008A</v>
          </cell>
          <cell r="BV171" t="str">
            <v>1Q09A</v>
          </cell>
          <cell r="BW171" t="str">
            <v>2Q09A</v>
          </cell>
          <cell r="BX171" t="str">
            <v>3Q09A</v>
          </cell>
          <cell r="BY171" t="str">
            <v>4Q09A</v>
          </cell>
          <cell r="BZ171" t="str">
            <v>2009A</v>
          </cell>
          <cell r="CA171" t="str">
            <v>1Q10A</v>
          </cell>
          <cell r="CB171" t="str">
            <v>2Q10A</v>
          </cell>
          <cell r="CC171" t="str">
            <v>3Q10A</v>
          </cell>
          <cell r="CD171" t="str">
            <v>4Q10A</v>
          </cell>
          <cell r="CE171" t="str">
            <v>2010A</v>
          </cell>
          <cell r="CF171" t="str">
            <v>1Q11A</v>
          </cell>
          <cell r="CG171" t="str">
            <v>2Q11A</v>
          </cell>
          <cell r="CH171" t="str">
            <v>3Q11A</v>
          </cell>
          <cell r="CI171" t="str">
            <v>4Q11A</v>
          </cell>
          <cell r="CJ171" t="str">
            <v>2011A</v>
          </cell>
          <cell r="CK171" t="str">
            <v>1Q12A</v>
          </cell>
          <cell r="CL171" t="str">
            <v>1Q13E</v>
          </cell>
          <cell r="CM171" t="str">
            <v>3Q12A</v>
          </cell>
          <cell r="CN171" t="str">
            <v>4Q12E</v>
          </cell>
          <cell r="CO171" t="str">
            <v>2012E</v>
          </cell>
          <cell r="CP171" t="str">
            <v>1Q13E</v>
          </cell>
          <cell r="CQ171" t="str">
            <v>2Q13E</v>
          </cell>
          <cell r="CR171" t="str">
            <v>3Q13E</v>
          </cell>
          <cell r="CS171" t="str">
            <v>4Q13E</v>
          </cell>
          <cell r="CT171" t="str">
            <v>2013E</v>
          </cell>
          <cell r="CU171" t="str">
            <v>1Q14E</v>
          </cell>
          <cell r="CV171" t="str">
            <v>2Q14E</v>
          </cell>
          <cell r="CW171" t="str">
            <v>3Q14E</v>
          </cell>
          <cell r="CX171" t="str">
            <v>4Q14E</v>
          </cell>
          <cell r="CY171" t="str">
            <v>2014E</v>
          </cell>
          <cell r="CZ171" t="str">
            <v>1Q15E</v>
          </cell>
          <cell r="DA171" t="str">
            <v>2Q15E</v>
          </cell>
          <cell r="DB171" t="str">
            <v>3Q15E</v>
          </cell>
          <cell r="DC171" t="str">
            <v>4Q15E</v>
          </cell>
          <cell r="DD171" t="str">
            <v>2015E</v>
          </cell>
          <cell r="DE171" t="str">
            <v>1Q16E</v>
          </cell>
          <cell r="DF171" t="str">
            <v>2Q16E</v>
          </cell>
          <cell r="DG171" t="str">
            <v>3Q16E</v>
          </cell>
          <cell r="DH171" t="str">
            <v>4Q16E</v>
          </cell>
          <cell r="DI171" t="str">
            <v>2016E</v>
          </cell>
        </row>
        <row r="173">
          <cell r="B173" t="str">
            <v>Net Income</v>
          </cell>
          <cell r="F173">
            <v>22.677999999999987</v>
          </cell>
          <cell r="G173">
            <v>32.245000000000005</v>
          </cell>
          <cell r="H173">
            <v>46.53599999999998</v>
          </cell>
          <cell r="I173">
            <v>63.331000000000081</v>
          </cell>
          <cell r="J173">
            <v>84.085999999999999</v>
          </cell>
          <cell r="K173">
            <v>108.32200000000003</v>
          </cell>
          <cell r="L173">
            <v>136.84399999999988</v>
          </cell>
          <cell r="M173">
            <v>30.954999999999981</v>
          </cell>
          <cell r="N173">
            <v>78.661999999999978</v>
          </cell>
          <cell r="O173">
            <v>117.41900000000001</v>
          </cell>
          <cell r="P173">
            <v>149.84500000000003</v>
          </cell>
          <cell r="Q173">
            <v>149.84500000000003</v>
          </cell>
          <cell r="R173">
            <v>34.291999999999994</v>
          </cell>
          <cell r="S173">
            <v>84.779000000000025</v>
          </cell>
          <cell r="T173">
            <v>128.60200000000003</v>
          </cell>
          <cell r="U173">
            <v>167.66700000000003</v>
          </cell>
          <cell r="V173">
            <v>167.66700000000003</v>
          </cell>
          <cell r="W173">
            <v>40.17800000000004</v>
          </cell>
          <cell r="X173">
            <v>88.918000000000092</v>
          </cell>
          <cell r="Y173">
            <v>143.05600000000004</v>
          </cell>
          <cell r="Z173">
            <v>194.97800000000004</v>
          </cell>
          <cell r="AA173">
            <v>194.97800000000004</v>
          </cell>
          <cell r="AB173">
            <v>50.466000000000044</v>
          </cell>
          <cell r="AC173">
            <v>119.70200000000006</v>
          </cell>
          <cell r="AD173">
            <v>186.31800000000004</v>
          </cell>
          <cell r="AE173">
            <v>246.43599999999998</v>
          </cell>
          <cell r="AF173">
            <v>246.43599999999998</v>
          </cell>
          <cell r="AG173">
            <v>59.656000000000006</v>
          </cell>
          <cell r="AH173">
            <v>137.72099999999995</v>
          </cell>
          <cell r="AI173">
            <v>213.64199999999994</v>
          </cell>
          <cell r="AJ173">
            <v>283.42399999999998</v>
          </cell>
          <cell r="AK173">
            <v>283.42399999999998</v>
          </cell>
          <cell r="AL173">
            <v>71.310999999999993</v>
          </cell>
          <cell r="AM173">
            <v>161.786</v>
          </cell>
          <cell r="AN173">
            <v>251.06900000000002</v>
          </cell>
          <cell r="AO173">
            <v>325.09899999999993</v>
          </cell>
          <cell r="AP173">
            <v>325.09899999999993</v>
          </cell>
          <cell r="AQ173">
            <v>78.752000000000052</v>
          </cell>
          <cell r="AR173">
            <v>178.51500000000016</v>
          </cell>
          <cell r="AS173">
            <v>265.28700000000015</v>
          </cell>
          <cell r="AT173">
            <v>353.07600000000014</v>
          </cell>
          <cell r="AU173">
            <v>353.07600000000014</v>
          </cell>
          <cell r="AW173">
            <v>90.475000000000009</v>
          </cell>
          <cell r="AX173">
            <v>179.75800000000004</v>
          </cell>
          <cell r="AY173">
            <v>253.78799999999995</v>
          </cell>
          <cell r="AZ173">
            <v>332.54</v>
          </cell>
          <cell r="BA173">
            <v>332.53999999999968</v>
          </cell>
          <cell r="BB173">
            <v>99.76300000000009</v>
          </cell>
          <cell r="BC173">
            <v>186.53500000000011</v>
          </cell>
          <cell r="BD173">
            <v>274.32400000000007</v>
          </cell>
          <cell r="BE173">
            <v>350.26600000000019</v>
          </cell>
          <cell r="BF173">
            <v>350.26600000000019</v>
          </cell>
          <cell r="BG173">
            <v>87.213000000000136</v>
          </cell>
          <cell r="BH173">
            <v>164.51800000000009</v>
          </cell>
          <cell r="BI173">
            <v>238.95400000000018</v>
          </cell>
          <cell r="BJ173">
            <v>182.74900000000014</v>
          </cell>
          <cell r="BK173">
            <v>182.74900000000014</v>
          </cell>
          <cell r="BL173">
            <v>65.038999999999774</v>
          </cell>
          <cell r="BM173">
            <v>76.944999999999837</v>
          </cell>
          <cell r="BN173">
            <v>107.4189999999998</v>
          </cell>
          <cell r="BO173">
            <v>119.87899999999982</v>
          </cell>
          <cell r="BP173">
            <v>119.87899999999982</v>
          </cell>
          <cell r="BQ173">
            <v>134.67599999999993</v>
          </cell>
          <cell r="BR173">
            <v>152.45799999999994</v>
          </cell>
          <cell r="BS173">
            <v>163.42999999999986</v>
          </cell>
          <cell r="BT173">
            <v>183.23299999999992</v>
          </cell>
          <cell r="BU173">
            <v>183.23299999999992</v>
          </cell>
          <cell r="BV173">
            <v>52.56899999999991</v>
          </cell>
          <cell r="BW173">
            <v>91.866999999999905</v>
          </cell>
          <cell r="BX173">
            <v>123.78799999999998</v>
          </cell>
          <cell r="BY173">
            <v>163.94099999999986</v>
          </cell>
          <cell r="BZ173">
            <v>163.94099999999986</v>
          </cell>
          <cell r="CA173">
            <v>53.418999999999883</v>
          </cell>
          <cell r="CB173">
            <v>99.131999999999891</v>
          </cell>
          <cell r="CC173">
            <v>139.01199999999994</v>
          </cell>
          <cell r="CD173">
            <v>172.24799999999993</v>
          </cell>
          <cell r="CE173">
            <v>172.24799999999993</v>
          </cell>
          <cell r="CF173">
            <v>62.112000000000144</v>
          </cell>
          <cell r="CG173">
            <v>117.44500000000019</v>
          </cell>
          <cell r="CH173">
            <v>167.40400000000022</v>
          </cell>
          <cell r="CI173">
            <v>203.9250000000001</v>
          </cell>
          <cell r="CJ173">
            <v>203.9250000000001</v>
          </cell>
          <cell r="CK173">
            <v>44.596000000000252</v>
          </cell>
          <cell r="CL173">
            <v>89.716000000000236</v>
          </cell>
          <cell r="CM173">
            <v>137.74500000000035</v>
          </cell>
          <cell r="CN173">
            <v>197.64668999778883</v>
          </cell>
          <cell r="CO173">
            <v>197.64668999778883</v>
          </cell>
          <cell r="CP173">
            <v>70.671584289472179</v>
          </cell>
          <cell r="CQ173">
            <v>135.83304262245179</v>
          </cell>
          <cell r="CR173">
            <v>186.5200178964071</v>
          </cell>
          <cell r="CS173">
            <v>221.09726325265399</v>
          </cell>
          <cell r="CT173">
            <v>221.09726325265399</v>
          </cell>
          <cell r="CU173">
            <v>78.627910427412246</v>
          </cell>
          <cell r="CV173">
            <v>163.70853218579617</v>
          </cell>
          <cell r="CW173">
            <v>237.41594455364893</v>
          </cell>
          <cell r="CX173">
            <v>292.22557987677044</v>
          </cell>
          <cell r="CY173">
            <v>292.22557987677044</v>
          </cell>
          <cell r="CZ173">
            <v>102.3906773607535</v>
          </cell>
          <cell r="DA173">
            <v>197.05314835521978</v>
          </cell>
          <cell r="DB173">
            <v>281.80024793661579</v>
          </cell>
          <cell r="DC173">
            <v>349.12429035569892</v>
          </cell>
          <cell r="DD173">
            <v>349.12429035569892</v>
          </cell>
          <cell r="DE173">
            <v>116.28078034362986</v>
          </cell>
          <cell r="DF173">
            <v>222.87556721614493</v>
          </cell>
          <cell r="DG173">
            <v>320.56031875011075</v>
          </cell>
          <cell r="DH173">
            <v>397.5397509557842</v>
          </cell>
          <cell r="DI173">
            <v>397.5397509557842</v>
          </cell>
        </row>
        <row r="175">
          <cell r="B175" t="str">
            <v>Depreciation &amp; amortization</v>
          </cell>
          <cell r="F175">
            <v>12.779</v>
          </cell>
          <cell r="G175">
            <v>13.081</v>
          </cell>
          <cell r="H175">
            <v>16.61</v>
          </cell>
          <cell r="I175">
            <v>20.562000000000001</v>
          </cell>
          <cell r="J175">
            <v>27.172999999999998</v>
          </cell>
          <cell r="K175">
            <v>36.561</v>
          </cell>
          <cell r="L175">
            <v>50.436999999999998</v>
          </cell>
          <cell r="M175">
            <v>14.507</v>
          </cell>
          <cell r="N175">
            <v>28.850999999999999</v>
          </cell>
          <cell r="O175">
            <v>44.808</v>
          </cell>
          <cell r="P175">
            <v>61.277999999999999</v>
          </cell>
          <cell r="Q175">
            <v>61.277999999999999</v>
          </cell>
          <cell r="R175">
            <v>18.132000000000001</v>
          </cell>
          <cell r="S175">
            <v>36.665999999999997</v>
          </cell>
          <cell r="T175">
            <v>55.759999999999991</v>
          </cell>
          <cell r="U175">
            <v>74.498999999999995</v>
          </cell>
          <cell r="V175">
            <v>74.498999999999995</v>
          </cell>
          <cell r="W175">
            <v>21.43</v>
          </cell>
          <cell r="X175">
            <v>43.545999999999999</v>
          </cell>
          <cell r="Y175">
            <v>66.421999999999997</v>
          </cell>
          <cell r="Z175">
            <v>90.646000000000015</v>
          </cell>
          <cell r="AA175">
            <v>90.646000000000015</v>
          </cell>
          <cell r="AB175">
            <v>21.648</v>
          </cell>
          <cell r="AC175">
            <v>45.540999999999997</v>
          </cell>
          <cell r="AD175">
            <v>69.834000000000003</v>
          </cell>
          <cell r="AE175">
            <v>95.328000000000003</v>
          </cell>
          <cell r="AF175">
            <v>95.328000000000003</v>
          </cell>
          <cell r="AG175">
            <v>26.087</v>
          </cell>
          <cell r="AH175">
            <v>53.2</v>
          </cell>
          <cell r="AI175">
            <v>81.203000000000003</v>
          </cell>
          <cell r="AJ175">
            <v>109.864</v>
          </cell>
          <cell r="AK175">
            <v>109.864</v>
          </cell>
          <cell r="AL175">
            <v>31.003</v>
          </cell>
          <cell r="AM175">
            <v>65.382999999999996</v>
          </cell>
          <cell r="AN175">
            <v>99.412999999999997</v>
          </cell>
          <cell r="AO175">
            <v>134.91499999999999</v>
          </cell>
          <cell r="AP175">
            <v>134.91499999999999</v>
          </cell>
          <cell r="AQ175">
            <v>36.594999999999999</v>
          </cell>
          <cell r="AR175">
            <v>73.936999999999998</v>
          </cell>
          <cell r="AS175">
            <v>113.05</v>
          </cell>
          <cell r="AT175">
            <v>155.173</v>
          </cell>
          <cell r="AU175">
            <v>155.173</v>
          </cell>
          <cell r="AW175">
            <v>34.379999999999995</v>
          </cell>
          <cell r="AX175">
            <v>68.41</v>
          </cell>
          <cell r="AY175">
            <v>103.91199999999999</v>
          </cell>
          <cell r="AZ175">
            <v>140.50700000000001</v>
          </cell>
          <cell r="BA175">
            <v>140.50700000000001</v>
          </cell>
          <cell r="BB175">
            <v>37.341999999999999</v>
          </cell>
          <cell r="BC175">
            <v>76.454999999999998</v>
          </cell>
          <cell r="BD175">
            <v>118.578</v>
          </cell>
          <cell r="BE175">
            <v>160.10599999999999</v>
          </cell>
          <cell r="BF175">
            <v>160.10599999999999</v>
          </cell>
          <cell r="BG175">
            <v>43.777999999999999</v>
          </cell>
          <cell r="BH175">
            <v>89.168999999999997</v>
          </cell>
          <cell r="BI175">
            <v>135.05500000000001</v>
          </cell>
          <cell r="BJ175">
            <v>188.214</v>
          </cell>
          <cell r="BK175">
            <v>188.214</v>
          </cell>
          <cell r="BL175">
            <v>52.651000000000003</v>
          </cell>
          <cell r="BM175">
            <v>108.193</v>
          </cell>
          <cell r="BN175">
            <v>166.71100000000001</v>
          </cell>
          <cell r="BO175">
            <v>227.09899999999999</v>
          </cell>
          <cell r="BP175">
            <v>227.09899999999999</v>
          </cell>
          <cell r="BQ175">
            <v>59.250999999999998</v>
          </cell>
          <cell r="BR175">
            <v>120.636</v>
          </cell>
          <cell r="BS175">
            <v>182.196</v>
          </cell>
          <cell r="BT175">
            <v>244.39599999999999</v>
          </cell>
          <cell r="BU175">
            <v>244.39599999999999</v>
          </cell>
          <cell r="BV175">
            <v>62.634</v>
          </cell>
          <cell r="BW175">
            <v>124.899</v>
          </cell>
          <cell r="BX175">
            <v>184.31200000000001</v>
          </cell>
          <cell r="BY175">
            <v>247.91</v>
          </cell>
          <cell r="BZ175">
            <v>247.91</v>
          </cell>
          <cell r="CA175">
            <v>63.798000000000002</v>
          </cell>
          <cell r="CB175">
            <v>127.361</v>
          </cell>
          <cell r="CC175">
            <v>190.584</v>
          </cell>
          <cell r="CD175">
            <v>251.464</v>
          </cell>
          <cell r="CE175">
            <v>251.464</v>
          </cell>
          <cell r="CF175">
            <v>67.040000000000006</v>
          </cell>
          <cell r="CG175">
            <v>132.16200000000001</v>
          </cell>
          <cell r="CH175">
            <v>199.428</v>
          </cell>
          <cell r="CI175">
            <v>274.52600000000001</v>
          </cell>
          <cell r="CJ175">
            <v>274.52600000000001</v>
          </cell>
          <cell r="CK175">
            <v>81.156000000000006</v>
          </cell>
          <cell r="CL175">
            <v>169.61199999999999</v>
          </cell>
          <cell r="CM175">
            <v>263.95999999999998</v>
          </cell>
          <cell r="CN175">
            <v>355.60566666666665</v>
          </cell>
          <cell r="CO175">
            <v>355.60566666666665</v>
          </cell>
          <cell r="CP175">
            <v>91.16339669877182</v>
          </cell>
          <cell r="CQ175">
            <v>182.89771907232995</v>
          </cell>
          <cell r="CR175">
            <v>275.1934516927613</v>
          </cell>
          <cell r="CS175">
            <v>368.04123772261795</v>
          </cell>
          <cell r="CT175">
            <v>368.04123772261795</v>
          </cell>
          <cell r="CU175">
            <v>93.184425760600661</v>
          </cell>
          <cell r="CV175">
            <v>186.67100702148218</v>
          </cell>
          <cell r="CW175">
            <v>280.43401898968034</v>
          </cell>
          <cell r="CX175">
            <v>374.51565221642159</v>
          </cell>
          <cell r="CY175">
            <v>374.51565221642159</v>
          </cell>
          <cell r="CZ175">
            <v>94.473102952827716</v>
          </cell>
          <cell r="DA175">
            <v>189.29863219279821</v>
          </cell>
          <cell r="DB175">
            <v>284.45076360106145</v>
          </cell>
          <cell r="DC175">
            <v>379.97673655487404</v>
          </cell>
          <cell r="DD175">
            <v>379.97673655487404</v>
          </cell>
          <cell r="DE175">
            <v>95.980702900009291</v>
          </cell>
          <cell r="DF175">
            <v>192.36995336251715</v>
          </cell>
          <cell r="DG175">
            <v>289.14134150172379</v>
          </cell>
          <cell r="DH175">
            <v>386.33855680322608</v>
          </cell>
          <cell r="DI175">
            <v>386.33855680322608</v>
          </cell>
        </row>
        <row r="176">
          <cell r="B176" t="str">
            <v xml:space="preserve">Other &amp; writedowns </v>
          </cell>
          <cell r="F176">
            <v>0</v>
          </cell>
          <cell r="G176">
            <v>0</v>
          </cell>
          <cell r="H176">
            <v>2.5499999999999998</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17</v>
          </cell>
          <cell r="Y176">
            <v>17</v>
          </cell>
          <cell r="Z176">
            <v>17</v>
          </cell>
          <cell r="AA176">
            <v>17</v>
          </cell>
          <cell r="AB176">
            <v>0</v>
          </cell>
          <cell r="AC176">
            <v>0</v>
          </cell>
          <cell r="AD176">
            <v>0</v>
          </cell>
          <cell r="AE176">
            <v>0</v>
          </cell>
          <cell r="AF176">
            <v>0</v>
          </cell>
          <cell r="AG176">
            <v>0</v>
          </cell>
          <cell r="AH176">
            <v>0</v>
          </cell>
          <cell r="AI176">
            <v>0</v>
          </cell>
          <cell r="AJ176">
            <v>4.931</v>
          </cell>
          <cell r="AK176">
            <v>4.931</v>
          </cell>
          <cell r="AL176">
            <v>0</v>
          </cell>
          <cell r="AM176">
            <v>0</v>
          </cell>
          <cell r="AN176">
            <v>0</v>
          </cell>
          <cell r="AO176">
            <v>0</v>
          </cell>
          <cell r="AP176">
            <v>0</v>
          </cell>
          <cell r="AQ176">
            <v>2.54</v>
          </cell>
          <cell r="AR176">
            <v>2.5</v>
          </cell>
          <cell r="AS176">
            <v>2.5</v>
          </cell>
          <cell r="AT176">
            <v>2.6320000000000001</v>
          </cell>
          <cell r="AU176">
            <v>2.6320000000000001</v>
          </cell>
          <cell r="AW176">
            <v>0</v>
          </cell>
          <cell r="AX176">
            <v>0</v>
          </cell>
          <cell r="AY176">
            <v>0</v>
          </cell>
          <cell r="AZ176">
            <v>2.54</v>
          </cell>
          <cell r="BA176">
            <v>2.54</v>
          </cell>
          <cell r="BB176">
            <v>-4.0000000000000036E-2</v>
          </cell>
          <cell r="BC176">
            <v>-4.0000000000000036E-2</v>
          </cell>
          <cell r="BD176">
            <v>9.2000000000000082E-2</v>
          </cell>
          <cell r="BE176">
            <v>1.9000000000000086E-2</v>
          </cell>
          <cell r="BF176">
            <v>1.9000000000000086E-2</v>
          </cell>
          <cell r="BG176">
            <v>0</v>
          </cell>
          <cell r="BH176">
            <v>0</v>
          </cell>
          <cell r="BI176">
            <v>0</v>
          </cell>
          <cell r="BJ176">
            <v>0</v>
          </cell>
          <cell r="BK176">
            <v>0</v>
          </cell>
          <cell r="BL176">
            <v>0</v>
          </cell>
          <cell r="BM176">
            <v>0</v>
          </cell>
          <cell r="BN176">
            <v>0</v>
          </cell>
          <cell r="BO176">
            <v>0</v>
          </cell>
          <cell r="BP176">
            <v>0</v>
          </cell>
          <cell r="BQ176">
            <v>0.92100000000000004</v>
          </cell>
          <cell r="BR176">
            <v>0.92100000000000004</v>
          </cell>
          <cell r="BS176">
            <v>0.92100000000000004</v>
          </cell>
          <cell r="BT176">
            <v>7.0860000000000003</v>
          </cell>
          <cell r="BU176">
            <v>7.0860000000000003</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40.408000000000001</v>
          </cell>
          <cell r="CJ176">
            <v>40.408000000000001</v>
          </cell>
          <cell r="CK176">
            <v>36.721000000000004</v>
          </cell>
          <cell r="CL176">
            <v>58.981000000000002</v>
          </cell>
          <cell r="CM176">
            <v>82.902000000000001</v>
          </cell>
          <cell r="CN176">
            <v>82.902000000000001</v>
          </cell>
          <cell r="CO176">
            <v>82.902000000000001</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row>
        <row r="177">
          <cell r="B177" t="str">
            <v>Provisions for doubtful accounts</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68.956000000000003</v>
          </cell>
          <cell r="Y177">
            <v>105.114</v>
          </cell>
          <cell r="Z177">
            <v>143.923</v>
          </cell>
          <cell r="AA177">
            <v>143.923</v>
          </cell>
          <cell r="AB177">
            <v>36.878</v>
          </cell>
          <cell r="AC177">
            <v>80.590999999999994</v>
          </cell>
          <cell r="AD177">
            <v>126.07599999999999</v>
          </cell>
          <cell r="AE177">
            <v>172.43</v>
          </cell>
          <cell r="AF177">
            <v>172.43</v>
          </cell>
          <cell r="AG177">
            <v>46.307000000000002</v>
          </cell>
          <cell r="AH177">
            <v>91.323999999999998</v>
          </cell>
          <cell r="AI177">
            <v>137.77199999999999</v>
          </cell>
          <cell r="AJ177">
            <v>186.82599999999996</v>
          </cell>
          <cell r="AK177">
            <v>186.82599999999996</v>
          </cell>
          <cell r="AL177">
            <v>58.087000000000003</v>
          </cell>
          <cell r="AM177">
            <v>117.66500000000001</v>
          </cell>
          <cell r="AN177">
            <v>180.179</v>
          </cell>
          <cell r="AO177">
            <v>240.07400000000001</v>
          </cell>
          <cell r="AP177">
            <v>240.07400000000001</v>
          </cell>
          <cell r="AQ177">
            <v>62.085999999999999</v>
          </cell>
          <cell r="AR177">
            <v>126.65900000000001</v>
          </cell>
          <cell r="AS177">
            <v>232.071</v>
          </cell>
          <cell r="AT177">
            <v>305.55900000000003</v>
          </cell>
          <cell r="AU177">
            <v>305.55900000000003</v>
          </cell>
          <cell r="AW177">
            <v>59.578000000000003</v>
          </cell>
          <cell r="AX177">
            <v>122.092</v>
          </cell>
          <cell r="AY177">
            <v>181.98699999999999</v>
          </cell>
          <cell r="AZ177">
            <v>244.07299999999998</v>
          </cell>
          <cell r="BA177">
            <v>244.07299999999998</v>
          </cell>
          <cell r="BB177">
            <v>64.573000000000008</v>
          </cell>
          <cell r="BC177">
            <v>169.98500000000001</v>
          </cell>
          <cell r="BD177">
            <v>243.47300000000007</v>
          </cell>
          <cell r="BE177">
            <v>324.58000000000004</v>
          </cell>
          <cell r="BF177">
            <v>324.58000000000004</v>
          </cell>
          <cell r="BG177">
            <v>83.775999999999996</v>
          </cell>
          <cell r="BH177">
            <v>174.982</v>
          </cell>
          <cell r="BI177">
            <v>266.72199999999998</v>
          </cell>
          <cell r="BJ177">
            <v>569.54100000000005</v>
          </cell>
          <cell r="BK177">
            <v>569.54100000000005</v>
          </cell>
          <cell r="BL177">
            <v>121.46899999999999</v>
          </cell>
          <cell r="BM177">
            <v>271.83499999999998</v>
          </cell>
          <cell r="BN177">
            <v>398.32100000000003</v>
          </cell>
          <cell r="BO177">
            <v>528.71900000000005</v>
          </cell>
          <cell r="BP177">
            <v>528.71900000000005</v>
          </cell>
          <cell r="BQ177">
            <v>128.97</v>
          </cell>
          <cell r="BR177">
            <v>253.80699999999999</v>
          </cell>
          <cell r="BS177">
            <v>378.00099999999998</v>
          </cell>
          <cell r="BT177">
            <v>508.23</v>
          </cell>
          <cell r="BU177">
            <v>508.23</v>
          </cell>
          <cell r="BV177">
            <v>143.983</v>
          </cell>
          <cell r="BW177">
            <v>285.488</v>
          </cell>
          <cell r="BX177">
            <v>419.87200000000001</v>
          </cell>
          <cell r="BY177">
            <v>567.03599999999994</v>
          </cell>
          <cell r="BZ177">
            <v>567.03599999999994</v>
          </cell>
          <cell r="CA177">
            <v>158.80500000000001</v>
          </cell>
          <cell r="CB177">
            <v>308.536</v>
          </cell>
          <cell r="CC177">
            <v>468.45800000000003</v>
          </cell>
          <cell r="CD177">
            <v>627.702</v>
          </cell>
          <cell r="CE177">
            <v>627.702</v>
          </cell>
          <cell r="CF177">
            <v>172.80199999999999</v>
          </cell>
          <cell r="CG177">
            <v>342.85599999999999</v>
          </cell>
          <cell r="CH177">
            <v>521.72900000000004</v>
          </cell>
          <cell r="CI177">
            <v>716.85599999999999</v>
          </cell>
          <cell r="CJ177">
            <v>716.85599999999999</v>
          </cell>
          <cell r="CK177">
            <v>201.261</v>
          </cell>
          <cell r="CL177">
            <v>415.82400000000001</v>
          </cell>
          <cell r="CM177">
            <v>639.90200000000004</v>
          </cell>
          <cell r="CN177">
            <v>871.39407752188322</v>
          </cell>
          <cell r="CO177">
            <v>871.39407752188322</v>
          </cell>
          <cell r="CP177">
            <v>235.56444688548012</v>
          </cell>
          <cell r="CQ177">
            <v>476.9896751700839</v>
          </cell>
          <cell r="CR177">
            <v>730.9922595397519</v>
          </cell>
          <cell r="CS177">
            <v>988.02199014999201</v>
          </cell>
          <cell r="CT177">
            <v>988.02199014999201</v>
          </cell>
          <cell r="CU177">
            <v>189.48801670731294</v>
          </cell>
          <cell r="CV177">
            <v>384.26201464888322</v>
          </cell>
          <cell r="CW177">
            <v>588.9586811592726</v>
          </cell>
          <cell r="CX177">
            <v>796.52743856447887</v>
          </cell>
          <cell r="CY177">
            <v>796.52743856447887</v>
          </cell>
          <cell r="CZ177">
            <v>172.64500807231349</v>
          </cell>
          <cell r="DA177">
            <v>349.15186227302286</v>
          </cell>
          <cell r="DB177">
            <v>534.52632905185078</v>
          </cell>
          <cell r="DC177">
            <v>722.80810121221566</v>
          </cell>
          <cell r="DD177">
            <v>722.80810121221566</v>
          </cell>
          <cell r="DE177">
            <v>161.64526418738677</v>
          </cell>
          <cell r="DF177">
            <v>325.92903944553495</v>
          </cell>
          <cell r="DG177">
            <v>498.35154402688147</v>
          </cell>
          <cell r="DH177">
            <v>673.63011149946306</v>
          </cell>
          <cell r="DI177">
            <v>673.63011149946306</v>
          </cell>
        </row>
        <row r="178">
          <cell r="B178" t="str">
            <v>Stock-based compensation</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W178">
            <v>0</v>
          </cell>
          <cell r="AX178">
            <v>0</v>
          </cell>
          <cell r="AY178">
            <v>0</v>
          </cell>
          <cell r="AZ178">
            <v>0</v>
          </cell>
          <cell r="BA178">
            <v>0</v>
          </cell>
          <cell r="BB178">
            <v>0</v>
          </cell>
          <cell r="BC178">
            <v>0</v>
          </cell>
          <cell r="BD178">
            <v>0</v>
          </cell>
          <cell r="BE178">
            <v>5.1929999999999996</v>
          </cell>
          <cell r="BF178">
            <v>5.1929999999999996</v>
          </cell>
          <cell r="BG178">
            <v>4.8140000000000001</v>
          </cell>
          <cell r="BH178">
            <v>9.6340000000000003</v>
          </cell>
          <cell r="BI178">
            <v>13.557</v>
          </cell>
          <cell r="BJ178">
            <v>18.329999999999998</v>
          </cell>
          <cell r="BK178">
            <v>18.329999999999998</v>
          </cell>
          <cell r="BL178">
            <v>4.8209999999999997</v>
          </cell>
          <cell r="BM178">
            <v>9.86</v>
          </cell>
          <cell r="BN178">
            <v>14.496</v>
          </cell>
          <cell r="BO178">
            <v>18.402000000000001</v>
          </cell>
          <cell r="BP178">
            <v>18.402000000000001</v>
          </cell>
          <cell r="BQ178">
            <v>4.3</v>
          </cell>
          <cell r="BR178">
            <v>8.7319999999999993</v>
          </cell>
          <cell r="BS178">
            <v>13.535</v>
          </cell>
          <cell r="BT178">
            <v>18.225999999999999</v>
          </cell>
          <cell r="BU178">
            <v>18.225999999999999</v>
          </cell>
          <cell r="BV178">
            <v>2.7589999999999999</v>
          </cell>
          <cell r="BW178">
            <v>5.3959999999999999</v>
          </cell>
          <cell r="BX178">
            <v>7.9550000000000001</v>
          </cell>
          <cell r="BY178">
            <v>10.867000000000001</v>
          </cell>
          <cell r="BZ178">
            <v>10.867000000000001</v>
          </cell>
          <cell r="CA178">
            <v>4.4669999999999996</v>
          </cell>
          <cell r="CB178">
            <v>8.9339999999999993</v>
          </cell>
          <cell r="CC178">
            <v>13.762</v>
          </cell>
          <cell r="CD178">
            <v>18.366</v>
          </cell>
          <cell r="CE178">
            <v>18.366</v>
          </cell>
          <cell r="CF178">
            <v>6.4829999999999997</v>
          </cell>
          <cell r="CG178">
            <v>12.945</v>
          </cell>
          <cell r="CH178">
            <v>19.300999999999998</v>
          </cell>
          <cell r="CI178">
            <v>25.169</v>
          </cell>
          <cell r="CJ178">
            <v>25.169</v>
          </cell>
          <cell r="CK178">
            <v>6.8869999999999996</v>
          </cell>
          <cell r="CL178">
            <v>13.204000000000001</v>
          </cell>
          <cell r="CM178">
            <v>19.492000000000001</v>
          </cell>
          <cell r="CN178">
            <v>25.914680783861375</v>
          </cell>
          <cell r="CO178">
            <v>25.914680783861375</v>
          </cell>
          <cell r="CP178">
            <v>6.6434430884208888</v>
          </cell>
          <cell r="CQ178">
            <v>13.191770298706416</v>
          </cell>
          <cell r="CR178">
            <v>19.660316515344043</v>
          </cell>
          <cell r="CS178">
            <v>26.306623952459226</v>
          </cell>
          <cell r="CT178">
            <v>26.306623952459226</v>
          </cell>
          <cell r="CU178">
            <v>6.7746959496123038</v>
          </cell>
          <cell r="CV178">
            <v>13.445570789855566</v>
          </cell>
          <cell r="CW178">
            <v>20.042054366711398</v>
          </cell>
          <cell r="CX178">
            <v>26.806809220733776</v>
          </cell>
          <cell r="CY178">
            <v>26.806809220733776</v>
          </cell>
          <cell r="CZ178">
            <v>7.045791666371632</v>
          </cell>
          <cell r="DA178">
            <v>13.974654494665639</v>
          </cell>
          <cell r="DB178">
            <v>20.83178156869684</v>
          </cell>
          <cell r="DC178">
            <v>27.878340761270138</v>
          </cell>
          <cell r="DD178">
            <v>27.878340761270138</v>
          </cell>
          <cell r="DE178">
            <v>7.3598145824543968</v>
          </cell>
          <cell r="DF178">
            <v>14.580821814250815</v>
          </cell>
          <cell r="DG178">
            <v>21.731350309143345</v>
          </cell>
          <cell r="DH178">
            <v>29.061874689433235</v>
          </cell>
          <cell r="DI178">
            <v>29.061874689433235</v>
          </cell>
        </row>
        <row r="179">
          <cell r="B179" t="str">
            <v>Loss/(Gain) on sale of fixed assets and other</v>
          </cell>
          <cell r="F179">
            <v>0.443</v>
          </cell>
          <cell r="G179">
            <v>-0.161</v>
          </cell>
          <cell r="H179">
            <v>-4.9000000000000002E-2</v>
          </cell>
          <cell r="I179">
            <v>0.11600000000000001</v>
          </cell>
          <cell r="J179">
            <v>0.21099999999999999</v>
          </cell>
          <cell r="K179">
            <v>-9.1999999999999998E-2</v>
          </cell>
          <cell r="L179">
            <v>1.4E-2</v>
          </cell>
          <cell r="M179">
            <v>7.0000000000000007E-2</v>
          </cell>
          <cell r="N179">
            <v>1.3999999999999999E-2</v>
          </cell>
          <cell r="O179">
            <v>6.3140000000000001</v>
          </cell>
          <cell r="P179">
            <v>0.17100000000000026</v>
          </cell>
          <cell r="Q179">
            <v>0.17100000000000026</v>
          </cell>
          <cell r="R179">
            <v>3.0000000000000001E-3</v>
          </cell>
          <cell r="S179">
            <v>1.6E-2</v>
          </cell>
          <cell r="T179">
            <v>3.1E-2</v>
          </cell>
          <cell r="U179">
            <v>8.5000000000000006E-2</v>
          </cell>
          <cell r="V179">
            <v>8.5000000000000006E-2</v>
          </cell>
          <cell r="W179">
            <v>4.0000000000000001E-3</v>
          </cell>
          <cell r="X179">
            <v>0.01</v>
          </cell>
          <cell r="Y179">
            <v>0.01</v>
          </cell>
          <cell r="Z179">
            <v>-6.0000000000000001E-3</v>
          </cell>
          <cell r="AA179">
            <v>-6.0000000000000001E-3</v>
          </cell>
          <cell r="AB179">
            <v>0</v>
          </cell>
          <cell r="AC179">
            <v>5.6000000000000001E-2</v>
          </cell>
          <cell r="AD179">
            <v>0.54200000000000004</v>
          </cell>
          <cell r="AE179">
            <v>6.2E-2</v>
          </cell>
          <cell r="AF179">
            <v>6.2E-2</v>
          </cell>
          <cell r="AG179">
            <v>0.01</v>
          </cell>
          <cell r="AH179">
            <v>-0.34200000000000003</v>
          </cell>
          <cell r="AI179">
            <v>-0.36299999999999999</v>
          </cell>
          <cell r="AJ179">
            <v>-0.82600000000000007</v>
          </cell>
          <cell r="AK179">
            <v>-0.82600000000000007</v>
          </cell>
          <cell r="AL179">
            <v>0</v>
          </cell>
          <cell r="AM179">
            <v>-0.78900000000000003</v>
          </cell>
          <cell r="AN179">
            <v>-2.669</v>
          </cell>
          <cell r="AO179">
            <v>-2.3460000000000001</v>
          </cell>
          <cell r="AP179">
            <v>-2.3460000000000001</v>
          </cell>
          <cell r="AQ179">
            <v>-0.108</v>
          </cell>
          <cell r="AR179">
            <v>-0.184</v>
          </cell>
          <cell r="AS179">
            <v>-19.260000000000002</v>
          </cell>
          <cell r="AT179">
            <v>-34.563000000000002</v>
          </cell>
          <cell r="AU179">
            <v>-34.563000000000002</v>
          </cell>
          <cell r="AW179">
            <v>-0.78900000000000003</v>
          </cell>
          <cell r="AX179">
            <v>-2.669</v>
          </cell>
          <cell r="AY179">
            <v>-2.3460000000000001</v>
          </cell>
          <cell r="AZ179">
            <v>-2.4540000000000002</v>
          </cell>
          <cell r="BA179">
            <v>-2.4540000000000002</v>
          </cell>
          <cell r="BB179">
            <v>-7.5999999999999998E-2</v>
          </cell>
          <cell r="BC179">
            <v>-19.152000000000001</v>
          </cell>
          <cell r="BD179">
            <v>-34.454999999999998</v>
          </cell>
          <cell r="BE179">
            <v>-34.446999999999996</v>
          </cell>
          <cell r="BF179">
            <v>-34.446999999999996</v>
          </cell>
          <cell r="BG179">
            <v>-1.629</v>
          </cell>
          <cell r="BH179">
            <v>-2.012</v>
          </cell>
          <cell r="BI179">
            <v>-1.9590000000000001</v>
          </cell>
          <cell r="BJ179">
            <v>-16.540000000000003</v>
          </cell>
          <cell r="BK179">
            <v>-16.540000000000003</v>
          </cell>
          <cell r="BL179">
            <v>-0.66800000000000004</v>
          </cell>
          <cell r="BM179">
            <v>-3.26</v>
          </cell>
          <cell r="BN179">
            <v>-3.2519999999999998</v>
          </cell>
          <cell r="BO179">
            <v>-2.5139999999999998</v>
          </cell>
          <cell r="BP179">
            <v>-2.5139999999999998</v>
          </cell>
          <cell r="BQ179">
            <v>-203.32</v>
          </cell>
          <cell r="BR179">
            <v>-209.50399999999999</v>
          </cell>
          <cell r="BS179">
            <v>-211.154</v>
          </cell>
          <cell r="BT179">
            <v>-211.501</v>
          </cell>
          <cell r="BU179">
            <v>-211.501</v>
          </cell>
          <cell r="BV179">
            <v>0.112</v>
          </cell>
          <cell r="BW179">
            <v>-1.887</v>
          </cell>
          <cell r="BX179">
            <v>-1.9359999999999999</v>
          </cell>
          <cell r="BY179">
            <v>-2.6280000000000001</v>
          </cell>
          <cell r="BZ179">
            <v>-2.6280000000000001</v>
          </cell>
          <cell r="CA179">
            <v>-2.1270000000000002</v>
          </cell>
          <cell r="CB179">
            <v>-4.0329999999999995</v>
          </cell>
          <cell r="CC179">
            <v>-5.298</v>
          </cell>
          <cell r="CD179">
            <v>-5.0390000000000006</v>
          </cell>
          <cell r="CE179">
            <v>-5.0390000000000006</v>
          </cell>
          <cell r="CF179">
            <v>0.14300000000000002</v>
          </cell>
          <cell r="CG179">
            <v>0.78700000000000003</v>
          </cell>
          <cell r="CH179">
            <v>0.39000000000000012</v>
          </cell>
          <cell r="CI179">
            <v>0.80699999999999983</v>
          </cell>
          <cell r="CJ179">
            <v>0.80699999999999983</v>
          </cell>
          <cell r="CK179">
            <v>2.02</v>
          </cell>
          <cell r="CL179">
            <v>1.6079999999999999</v>
          </cell>
          <cell r="CM179">
            <v>-0.23600000000000021</v>
          </cell>
          <cell r="CN179">
            <v>-0.23600000000000021</v>
          </cell>
          <cell r="CO179">
            <v>-0.23600000000000021</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row>
        <row r="180">
          <cell r="B180" t="str">
            <v>Deferred income taxes and other</v>
          </cell>
          <cell r="F180">
            <v>-0.1</v>
          </cell>
          <cell r="G180">
            <v>-0.5</v>
          </cell>
          <cell r="H180">
            <v>-1.2</v>
          </cell>
          <cell r="I180">
            <v>-0.9</v>
          </cell>
          <cell r="J180">
            <v>0.7</v>
          </cell>
          <cell r="K180">
            <v>-0.4</v>
          </cell>
          <cell r="L180">
            <v>-2.9140000000000001</v>
          </cell>
          <cell r="M180">
            <v>0</v>
          </cell>
          <cell r="N180">
            <v>0</v>
          </cell>
          <cell r="O180">
            <v>0</v>
          </cell>
          <cell r="P180">
            <v>-5</v>
          </cell>
          <cell r="Q180">
            <v>-5</v>
          </cell>
          <cell r="R180">
            <v>0</v>
          </cell>
          <cell r="S180">
            <v>0</v>
          </cell>
          <cell r="T180">
            <v>0</v>
          </cell>
          <cell r="U180">
            <v>-4.9790000000000001</v>
          </cell>
          <cell r="V180">
            <v>-4.9790000000000001</v>
          </cell>
          <cell r="W180">
            <v>0</v>
          </cell>
          <cell r="X180">
            <v>0</v>
          </cell>
          <cell r="Y180">
            <v>0</v>
          </cell>
          <cell r="Z180">
            <v>-6.6</v>
          </cell>
          <cell r="AA180">
            <v>-6.6</v>
          </cell>
          <cell r="AB180">
            <v>0</v>
          </cell>
          <cell r="AC180">
            <v>0</v>
          </cell>
          <cell r="AD180">
            <v>0</v>
          </cell>
          <cell r="AE180">
            <v>-8.5850000000000009</v>
          </cell>
          <cell r="AF180">
            <v>-8.5850000000000009</v>
          </cell>
          <cell r="AG180">
            <v>0</v>
          </cell>
          <cell r="AH180">
            <v>0</v>
          </cell>
          <cell r="AI180">
            <v>0</v>
          </cell>
          <cell r="AJ180">
            <v>37.057000000000002</v>
          </cell>
          <cell r="AK180">
            <v>37.057000000000002</v>
          </cell>
          <cell r="AL180">
            <v>0</v>
          </cell>
          <cell r="AM180">
            <v>0</v>
          </cell>
          <cell r="AN180">
            <v>0</v>
          </cell>
          <cell r="AO180">
            <v>79.12</v>
          </cell>
          <cell r="AP180">
            <v>79.12</v>
          </cell>
          <cell r="AQ180">
            <v>8.577</v>
          </cell>
          <cell r="AR180">
            <v>24.257000000000001</v>
          </cell>
          <cell r="AS180">
            <v>25.007999999999999</v>
          </cell>
          <cell r="AT180">
            <v>38.380000000000003</v>
          </cell>
          <cell r="AU180">
            <v>38.380000000000003</v>
          </cell>
          <cell r="AW180">
            <v>0</v>
          </cell>
          <cell r="AX180">
            <v>0</v>
          </cell>
          <cell r="AY180">
            <v>79.12</v>
          </cell>
          <cell r="AZ180">
            <v>87.697000000000003</v>
          </cell>
          <cell r="BA180">
            <v>87.697000000000003</v>
          </cell>
          <cell r="BB180">
            <v>15.680000000000001</v>
          </cell>
          <cell r="BC180">
            <v>16.430999999999997</v>
          </cell>
          <cell r="BD180">
            <v>29.803000000000004</v>
          </cell>
          <cell r="BE180">
            <v>39.424000000000007</v>
          </cell>
          <cell r="BF180">
            <v>39.424000000000007</v>
          </cell>
          <cell r="BG180">
            <v>-5.5289999999999999</v>
          </cell>
          <cell r="BH180">
            <v>-17.815000000000001</v>
          </cell>
          <cell r="BI180">
            <v>-53.09899999999999</v>
          </cell>
          <cell r="BJ180">
            <v>-104.498</v>
          </cell>
          <cell r="BK180">
            <v>-104.498</v>
          </cell>
          <cell r="BL180">
            <v>-1.1719999999999999</v>
          </cell>
          <cell r="BM180">
            <v>-41.670999999999999</v>
          </cell>
          <cell r="BN180">
            <v>-3.3870000000000005</v>
          </cell>
          <cell r="BO180">
            <v>64.893000000000001</v>
          </cell>
          <cell r="BP180">
            <v>64.893000000000001</v>
          </cell>
          <cell r="BQ180">
            <v>66.465999999999994</v>
          </cell>
          <cell r="BR180">
            <v>56.686999999999998</v>
          </cell>
          <cell r="BS180">
            <v>74.486999999999995</v>
          </cell>
          <cell r="BT180">
            <v>110.57899999999999</v>
          </cell>
          <cell r="BU180">
            <v>110.57899999999999</v>
          </cell>
          <cell r="BV180">
            <v>8.6470000000000002</v>
          </cell>
          <cell r="BW180">
            <v>4.6890000000000001</v>
          </cell>
          <cell r="BX180">
            <v>29.859000000000002</v>
          </cell>
          <cell r="BY180">
            <v>90.466999999999999</v>
          </cell>
          <cell r="BZ180">
            <v>90.466999999999999</v>
          </cell>
          <cell r="CA180">
            <v>2.665</v>
          </cell>
          <cell r="CB180">
            <v>-8.6980000000000004</v>
          </cell>
          <cell r="CC180">
            <v>-3.9960000000000004</v>
          </cell>
          <cell r="CD180">
            <v>20.311</v>
          </cell>
          <cell r="CE180">
            <v>20.311</v>
          </cell>
          <cell r="CF180">
            <v>11.695</v>
          </cell>
          <cell r="CG180">
            <v>13.615</v>
          </cell>
          <cell r="CH180">
            <v>48.375</v>
          </cell>
          <cell r="CI180">
            <v>79.159000000000006</v>
          </cell>
          <cell r="CJ180">
            <v>79.159000000000006</v>
          </cell>
          <cell r="CK180">
            <v>-9.4510000000000005</v>
          </cell>
          <cell r="CL180">
            <v>-22.091999999999999</v>
          </cell>
          <cell r="CM180">
            <v>-20.156199999999998</v>
          </cell>
          <cell r="CN180">
            <v>-20.156199999999998</v>
          </cell>
          <cell r="CO180">
            <v>-20.156199999999998</v>
          </cell>
          <cell r="CP180">
            <v>0</v>
          </cell>
          <cell r="CQ180">
            <v>0</v>
          </cell>
          <cell r="CR180">
            <v>0</v>
          </cell>
          <cell r="CS180">
            <v>0</v>
          </cell>
          <cell r="CT180">
            <v>0</v>
          </cell>
          <cell r="CU180">
            <v>0</v>
          </cell>
          <cell r="CV180">
            <v>0</v>
          </cell>
          <cell r="CW180">
            <v>0</v>
          </cell>
          <cell r="CX180">
            <v>0</v>
          </cell>
          <cell r="CY180">
            <v>0</v>
          </cell>
          <cell r="CZ180">
            <v>0</v>
          </cell>
          <cell r="DA180">
            <v>0</v>
          </cell>
          <cell r="DB180">
            <v>0</v>
          </cell>
          <cell r="DC180">
            <v>0</v>
          </cell>
          <cell r="DD180">
            <v>0</v>
          </cell>
          <cell r="DE180">
            <v>0</v>
          </cell>
          <cell r="DF180">
            <v>0</v>
          </cell>
          <cell r="DG180">
            <v>0</v>
          </cell>
          <cell r="DH180">
            <v>0</v>
          </cell>
          <cell r="DI180">
            <v>0</v>
          </cell>
        </row>
        <row r="181">
          <cell r="B181" t="str">
            <v>Minority interest</v>
          </cell>
          <cell r="F181">
            <v>0</v>
          </cell>
          <cell r="G181">
            <v>0</v>
          </cell>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4.3410000000000002</v>
          </cell>
          <cell r="AK181">
            <v>4.3410000000000002</v>
          </cell>
          <cell r="AL181">
            <v>0</v>
          </cell>
          <cell r="AM181">
            <v>0</v>
          </cell>
          <cell r="AN181">
            <v>0</v>
          </cell>
          <cell r="AO181">
            <v>5.7160000000000002</v>
          </cell>
          <cell r="AP181">
            <v>5.7160000000000002</v>
          </cell>
          <cell r="AQ181">
            <v>0.66200000000000003</v>
          </cell>
          <cell r="AR181">
            <v>1.5609999999999999</v>
          </cell>
          <cell r="AS181">
            <v>2.399</v>
          </cell>
          <cell r="AT181">
            <v>3.1259999999999999</v>
          </cell>
          <cell r="AU181">
            <v>3.1259999999999999</v>
          </cell>
          <cell r="AW181">
            <v>0</v>
          </cell>
          <cell r="AX181">
            <v>0</v>
          </cell>
          <cell r="AY181">
            <v>5.7160000000000002</v>
          </cell>
          <cell r="AZ181">
            <v>6.3780000000000001</v>
          </cell>
          <cell r="BA181">
            <v>6.3780000000000001</v>
          </cell>
          <cell r="BB181">
            <v>0.89899999999999991</v>
          </cell>
          <cell r="BC181">
            <v>1.7369999999999999</v>
          </cell>
          <cell r="BD181">
            <v>2.4639999999999995</v>
          </cell>
          <cell r="BE181">
            <v>2.8649999999999993</v>
          </cell>
          <cell r="BF181">
            <v>2.8649999999999993</v>
          </cell>
          <cell r="BG181">
            <v>0.65800000000000003</v>
          </cell>
          <cell r="BH181">
            <v>1.7349999999999999</v>
          </cell>
          <cell r="BI181">
            <v>2.17</v>
          </cell>
          <cell r="BJ181">
            <v>2.0369999999999999</v>
          </cell>
          <cell r="BK181">
            <v>2.0369999999999999</v>
          </cell>
          <cell r="BL181">
            <v>0.17100000000000001</v>
          </cell>
          <cell r="BM181">
            <v>0.38800000000000001</v>
          </cell>
          <cell r="BN181">
            <v>0.10599999999999998</v>
          </cell>
          <cell r="BO181">
            <v>0.32600000000000007</v>
          </cell>
          <cell r="BP181">
            <v>0.32600000000000007</v>
          </cell>
          <cell r="BQ181">
            <v>0</v>
          </cell>
          <cell r="BR181">
            <v>0</v>
          </cell>
          <cell r="BS181">
            <v>0</v>
          </cell>
          <cell r="BT181">
            <v>0</v>
          </cell>
          <cell r="BU181">
            <v>0</v>
          </cell>
          <cell r="BV181">
            <v>0</v>
          </cell>
          <cell r="BW181">
            <v>0</v>
          </cell>
          <cell r="BX181">
            <v>0</v>
          </cell>
          <cell r="BY181">
            <v>0</v>
          </cell>
          <cell r="BZ181">
            <v>0</v>
          </cell>
          <cell r="CA181">
            <v>0</v>
          </cell>
          <cell r="CB181">
            <v>0</v>
          </cell>
          <cell r="CC181">
            <v>0</v>
          </cell>
          <cell r="CD181">
            <v>0</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0</v>
          </cell>
          <cell r="CX181">
            <v>0</v>
          </cell>
          <cell r="CY181">
            <v>0</v>
          </cell>
          <cell r="CZ181">
            <v>0</v>
          </cell>
          <cell r="DA181">
            <v>0</v>
          </cell>
          <cell r="DB181">
            <v>0</v>
          </cell>
          <cell r="DC181">
            <v>0</v>
          </cell>
          <cell r="DD181">
            <v>0</v>
          </cell>
          <cell r="DE181">
            <v>0</v>
          </cell>
          <cell r="DF181">
            <v>0</v>
          </cell>
          <cell r="DG181">
            <v>0</v>
          </cell>
          <cell r="DH181">
            <v>0</v>
          </cell>
          <cell r="DI181">
            <v>0</v>
          </cell>
        </row>
        <row r="182">
          <cell r="B182" t="str">
            <v>Losses on early extinguishment of debt</v>
          </cell>
          <cell r="F182">
            <v>-0.79700000000000004</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cell r="BQ182">
            <v>0</v>
          </cell>
          <cell r="BR182">
            <v>9.9659999999999993</v>
          </cell>
          <cell r="BS182">
            <v>19.460999999999999</v>
          </cell>
          <cell r="BT182">
            <v>-6.9440000000000026</v>
          </cell>
          <cell r="BU182">
            <v>-6.9440000000000026</v>
          </cell>
          <cell r="BV182">
            <v>-16.734999999999999</v>
          </cell>
          <cell r="BW182">
            <v>-16.734999999999999</v>
          </cell>
          <cell r="BX182">
            <v>-16.202000000000002</v>
          </cell>
          <cell r="BY182">
            <v>-16.202000000000002</v>
          </cell>
          <cell r="BZ182">
            <v>-16.202000000000002</v>
          </cell>
          <cell r="CA182">
            <v>0</v>
          </cell>
          <cell r="CB182">
            <v>0</v>
          </cell>
          <cell r="CC182">
            <v>0</v>
          </cell>
          <cell r="CD182">
            <v>0</v>
          </cell>
          <cell r="CE182">
            <v>0</v>
          </cell>
          <cell r="CF182">
            <v>0</v>
          </cell>
          <cell r="CG182">
            <v>0</v>
          </cell>
          <cell r="CH182">
            <v>0</v>
          </cell>
          <cell r="CI182">
            <v>0</v>
          </cell>
          <cell r="CJ182">
            <v>0</v>
          </cell>
          <cell r="CK182">
            <v>0</v>
          </cell>
          <cell r="CL182">
            <v>0</v>
          </cell>
          <cell r="CM182">
            <v>0</v>
          </cell>
          <cell r="CN182">
            <v>0</v>
          </cell>
          <cell r="CO182">
            <v>0</v>
          </cell>
        </row>
        <row r="183">
          <cell r="B183" t="str">
            <v>Write-off of deferred financing costs</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W183">
            <v>0</v>
          </cell>
          <cell r="AX183">
            <v>0</v>
          </cell>
          <cell r="AY183">
            <v>0</v>
          </cell>
          <cell r="AZ183">
            <v>0</v>
          </cell>
          <cell r="BA183">
            <v>0</v>
          </cell>
          <cell r="BB183">
            <v>0</v>
          </cell>
          <cell r="BC183">
            <v>0</v>
          </cell>
          <cell r="BD183">
            <v>0</v>
          </cell>
          <cell r="BE183">
            <v>0</v>
          </cell>
          <cell r="BF183">
            <v>0</v>
          </cell>
          <cell r="BG183">
            <v>4.6280000000000001</v>
          </cell>
          <cell r="BH183">
            <v>4.6280000000000001</v>
          </cell>
          <cell r="BI183">
            <v>7.6020000000000003</v>
          </cell>
          <cell r="BJ183">
            <v>7.6020000000000003</v>
          </cell>
          <cell r="BK183">
            <v>7.6020000000000003</v>
          </cell>
          <cell r="BL183">
            <v>0.76100000000000001</v>
          </cell>
          <cell r="BM183">
            <v>0.76100000000000001</v>
          </cell>
          <cell r="BN183">
            <v>0.76100000000000001</v>
          </cell>
          <cell r="BO183">
            <v>0.76100000000000001</v>
          </cell>
          <cell r="BP183">
            <v>0.76100000000000001</v>
          </cell>
          <cell r="BQ183">
            <v>0.629</v>
          </cell>
          <cell r="BR183">
            <v>1.4970000000000001</v>
          </cell>
          <cell r="BS183">
            <v>1.4970000000000001</v>
          </cell>
          <cell r="BT183">
            <v>1.4970000000000001</v>
          </cell>
          <cell r="BU183">
            <v>1.4970000000000001</v>
          </cell>
          <cell r="BV183">
            <v>0.19400000000000001</v>
          </cell>
          <cell r="BW183">
            <v>0.44400000000000001</v>
          </cell>
          <cell r="BX183">
            <v>0.44400000000000001</v>
          </cell>
          <cell r="BY183">
            <v>0.44400000000000001</v>
          </cell>
          <cell r="BZ183">
            <v>0.44400000000000001</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row>
        <row r="184">
          <cell r="B184" t="str">
            <v>Equity comp excess tax benefit</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W184">
            <v>0</v>
          </cell>
          <cell r="AX184">
            <v>0</v>
          </cell>
          <cell r="AY184">
            <v>0</v>
          </cell>
          <cell r="AZ184">
            <v>0</v>
          </cell>
          <cell r="BA184">
            <v>0</v>
          </cell>
          <cell r="BB184">
            <v>0</v>
          </cell>
          <cell r="BC184">
            <v>0</v>
          </cell>
          <cell r="BD184">
            <v>0</v>
          </cell>
          <cell r="BE184">
            <v>-0.80800000000000005</v>
          </cell>
          <cell r="BF184">
            <v>-0.80800000000000005</v>
          </cell>
          <cell r="BG184">
            <v>-1.9E-2</v>
          </cell>
          <cell r="BH184">
            <v>-3.7999999999999999E-2</v>
          </cell>
          <cell r="BI184">
            <v>-1.3480000000000003</v>
          </cell>
          <cell r="BJ184">
            <v>-1.369</v>
          </cell>
          <cell r="BK184">
            <v>-1.369</v>
          </cell>
          <cell r="BL184">
            <v>-0.23100000000000001</v>
          </cell>
          <cell r="BM184">
            <v>-0.27300000000000002</v>
          </cell>
          <cell r="BN184">
            <v>-0.27300000000000002</v>
          </cell>
          <cell r="BO184">
            <v>-0.27300000000000002</v>
          </cell>
          <cell r="BP184">
            <v>-0.27300000000000002</v>
          </cell>
          <cell r="BQ184">
            <v>1.1879999999999999</v>
          </cell>
          <cell r="BR184">
            <v>0</v>
          </cell>
          <cell r="BS184">
            <v>0</v>
          </cell>
          <cell r="BT184">
            <v>0</v>
          </cell>
          <cell r="BU184">
            <v>0</v>
          </cell>
          <cell r="BV184">
            <v>-0.14399999999999999</v>
          </cell>
          <cell r="BW184">
            <v>-0.14399999999999999</v>
          </cell>
          <cell r="BX184">
            <v>-0.14899999999999999</v>
          </cell>
          <cell r="BY184">
            <v>-0.218</v>
          </cell>
          <cell r="BZ184">
            <v>-0.218</v>
          </cell>
          <cell r="CA184">
            <v>0</v>
          </cell>
          <cell r="CB184">
            <v>-1.1120000000000001</v>
          </cell>
          <cell r="CC184">
            <v>-1.1120000000000001</v>
          </cell>
          <cell r="CD184">
            <v>-1.278</v>
          </cell>
          <cell r="CE184">
            <v>-1.278</v>
          </cell>
          <cell r="CF184">
            <v>-2.8969999999999998</v>
          </cell>
          <cell r="CG184">
            <v>-2.919</v>
          </cell>
          <cell r="CH184">
            <v>-2.919</v>
          </cell>
          <cell r="CI184">
            <v>-2.9990000000000001</v>
          </cell>
          <cell r="CJ184">
            <v>-2.9990000000000001</v>
          </cell>
          <cell r="CK184">
            <v>-1.4</v>
          </cell>
          <cell r="CL184">
            <v>-1.407</v>
          </cell>
          <cell r="CM184">
            <v>-1.444</v>
          </cell>
          <cell r="CN184">
            <v>-1.444</v>
          </cell>
          <cell r="CO184">
            <v>-1.444</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row>
        <row r="185">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row>
        <row r="186">
          <cell r="B186" t="str">
            <v>Accounts receivable</v>
          </cell>
          <cell r="F186">
            <v>-6.2249999999999996</v>
          </cell>
          <cell r="G186">
            <v>-10.021000000000001</v>
          </cell>
          <cell r="H186">
            <v>-21.491</v>
          </cell>
          <cell r="I186">
            <v>-11.912000000000001</v>
          </cell>
          <cell r="J186">
            <v>-19.898</v>
          </cell>
          <cell r="K186">
            <v>-12.648</v>
          </cell>
          <cell r="L186">
            <v>-63.381999999999998</v>
          </cell>
          <cell r="M186">
            <v>-11.829000000000001</v>
          </cell>
          <cell r="N186">
            <v>-31.387</v>
          </cell>
          <cell r="O186">
            <v>-39.911000000000001</v>
          </cell>
          <cell r="P186">
            <v>-65.055000000000007</v>
          </cell>
          <cell r="Q186">
            <v>-65.055000000000007</v>
          </cell>
          <cell r="R186">
            <v>-19.338999999999999</v>
          </cell>
          <cell r="S186">
            <v>-26.437000000000001</v>
          </cell>
          <cell r="T186">
            <v>-8.5169999999999995</v>
          </cell>
          <cell r="U186">
            <v>-24.376999999999999</v>
          </cell>
          <cell r="V186">
            <v>-24.376999999999999</v>
          </cell>
          <cell r="W186">
            <v>-25.934000000000001</v>
          </cell>
          <cell r="X186">
            <v>-88.826999999999998</v>
          </cell>
          <cell r="Y186">
            <v>-104.568</v>
          </cell>
          <cell r="Z186">
            <v>-149.28800000000001</v>
          </cell>
          <cell r="AA186">
            <v>-149.28800000000001</v>
          </cell>
          <cell r="AB186">
            <v>-23.69</v>
          </cell>
          <cell r="AC186">
            <v>-124.718</v>
          </cell>
          <cell r="AD186">
            <v>-157.25200000000001</v>
          </cell>
          <cell r="AE186">
            <v>-209.97199999999998</v>
          </cell>
          <cell r="AF186">
            <v>-209.97199999999998</v>
          </cell>
          <cell r="AG186">
            <v>-52.822000000000003</v>
          </cell>
          <cell r="AH186">
            <v>-130.82</v>
          </cell>
          <cell r="AI186">
            <v>-163.98599999999999</v>
          </cell>
          <cell r="AJ186">
            <v>-265.83</v>
          </cell>
          <cell r="AK186">
            <v>-265.83</v>
          </cell>
          <cell r="AL186">
            <v>-158.71700000000001</v>
          </cell>
          <cell r="AM186">
            <v>-255.696</v>
          </cell>
          <cell r="AN186">
            <v>-286.09899999999999</v>
          </cell>
          <cell r="AO186">
            <v>-343.86800000000005</v>
          </cell>
          <cell r="AP186">
            <v>-343.86800000000005</v>
          </cell>
          <cell r="AQ186">
            <v>-70.278000000000006</v>
          </cell>
          <cell r="AR186">
            <v>-193.88800000000001</v>
          </cell>
          <cell r="AS186">
            <v>-251.94100000000003</v>
          </cell>
          <cell r="AT186">
            <v>-328.46600000000001</v>
          </cell>
          <cell r="AU186">
            <v>-328.46600000000001</v>
          </cell>
          <cell r="AW186">
            <v>-96.978999999999985</v>
          </cell>
          <cell r="AX186">
            <v>-127.38199999999998</v>
          </cell>
          <cell r="AY186">
            <v>-185.15100000000001</v>
          </cell>
          <cell r="AZ186">
            <v>-255.42900000000003</v>
          </cell>
          <cell r="BA186">
            <v>-255.42900000000003</v>
          </cell>
          <cell r="BB186">
            <v>-123.61</v>
          </cell>
          <cell r="BC186">
            <v>-181.66300000000001</v>
          </cell>
          <cell r="BD186">
            <v>-258.18799999999999</v>
          </cell>
          <cell r="BE186">
            <v>-365.702</v>
          </cell>
          <cell r="BF186">
            <v>-365.702</v>
          </cell>
          <cell r="BG186">
            <v>-141.67099999999999</v>
          </cell>
          <cell r="BH186">
            <v>-244.535</v>
          </cell>
          <cell r="BI186">
            <v>-376.798</v>
          </cell>
          <cell r="BJ186">
            <v>-499.22200000000004</v>
          </cell>
          <cell r="BK186">
            <v>-499.22200000000004</v>
          </cell>
          <cell r="BL186">
            <v>-173.02500000000001</v>
          </cell>
          <cell r="BM186">
            <v>-293.91399999999999</v>
          </cell>
          <cell r="BN186">
            <v>-432.40300000000002</v>
          </cell>
          <cell r="BO186">
            <v>-548.11500000000001</v>
          </cell>
          <cell r="BP186">
            <v>-548.11500000000001</v>
          </cell>
          <cell r="BQ186">
            <v>-170.75299999999999</v>
          </cell>
          <cell r="BR186">
            <v>-260.94099999999997</v>
          </cell>
          <cell r="BS186">
            <v>-403.92899999999997</v>
          </cell>
          <cell r="BT186">
            <v>-532.61400000000003</v>
          </cell>
          <cell r="BU186">
            <v>-532.61400000000003</v>
          </cell>
          <cell r="BV186">
            <v>-190.791</v>
          </cell>
          <cell r="BW186">
            <v>-281.26600000000002</v>
          </cell>
          <cell r="BX186">
            <v>-420.29700000000003</v>
          </cell>
          <cell r="BY186">
            <v>-606.09900000000005</v>
          </cell>
          <cell r="BZ186">
            <v>-606.09900000000005</v>
          </cell>
          <cell r="CA186">
            <v>-245.691</v>
          </cell>
          <cell r="CB186">
            <v>-310.23</v>
          </cell>
          <cell r="CC186">
            <v>-491.36</v>
          </cell>
          <cell r="CD186">
            <v>-735.33399999999995</v>
          </cell>
          <cell r="CE186">
            <v>-735.33399999999995</v>
          </cell>
          <cell r="CF186">
            <v>-236.41200000000001</v>
          </cell>
          <cell r="CG186">
            <v>-355.17</v>
          </cell>
          <cell r="CH186">
            <v>-573.90200000000004</v>
          </cell>
          <cell r="CI186">
            <v>-870.89800000000002</v>
          </cell>
          <cell r="CJ186">
            <v>-870.89800000000002</v>
          </cell>
          <cell r="CK186">
            <v>-297.78199999999998</v>
          </cell>
          <cell r="CL186">
            <v>-446.976</v>
          </cell>
          <cell r="CM186">
            <v>-719.495</v>
          </cell>
          <cell r="CN186">
            <v>-948.09306392590304</v>
          </cell>
          <cell r="CO186">
            <v>-948.09306392590304</v>
          </cell>
          <cell r="CP186">
            <v>-304.40775037604868</v>
          </cell>
          <cell r="CQ186">
            <v>-446.43225556738969</v>
          </cell>
          <cell r="CR186">
            <v>-751.80643755354515</v>
          </cell>
          <cell r="CS186">
            <v>-1002.4805887861387</v>
          </cell>
          <cell r="CT186">
            <v>-1002.4805887861387</v>
          </cell>
          <cell r="CU186">
            <v>-244.28418667942435</v>
          </cell>
          <cell r="CV186">
            <v>-337.240611482536</v>
          </cell>
          <cell r="CW186">
            <v>-595.75230371101975</v>
          </cell>
          <cell r="CX186">
            <v>-794.42657074851718</v>
          </cell>
          <cell r="CY186">
            <v>-794.42657074851718</v>
          </cell>
          <cell r="CZ186">
            <v>-250.19587158323239</v>
          </cell>
          <cell r="DA186">
            <v>-320.12646072648698</v>
          </cell>
          <cell r="DB186">
            <v>-562.657029349514</v>
          </cell>
          <cell r="DC186">
            <v>-743.24883319148239</v>
          </cell>
          <cell r="DD186">
            <v>-743.24883319148239</v>
          </cell>
          <cell r="DE186">
            <v>-232.20879117551411</v>
          </cell>
          <cell r="DF186">
            <v>-295.43964672536072</v>
          </cell>
          <cell r="DG186">
            <v>-528.49342055407215</v>
          </cell>
          <cell r="DH186">
            <v>-692.73624631222049</v>
          </cell>
          <cell r="DI186">
            <v>-692.73624631222049</v>
          </cell>
        </row>
        <row r="187">
          <cell r="B187" t="str">
            <v>Supplies</v>
          </cell>
          <cell r="F187">
            <v>-0.83600000000000008</v>
          </cell>
          <cell r="G187">
            <v>-0.65299999999999991</v>
          </cell>
          <cell r="H187">
            <v>-0.59800000000000009</v>
          </cell>
          <cell r="I187">
            <v>-0.76900000000000002</v>
          </cell>
          <cell r="J187">
            <v>-1.071</v>
          </cell>
          <cell r="K187">
            <v>-2.8499999999999996</v>
          </cell>
          <cell r="L187">
            <v>-3.5960000000000001</v>
          </cell>
          <cell r="M187">
            <v>-2.8839999999999999</v>
          </cell>
          <cell r="N187">
            <v>-5.5369999999999999</v>
          </cell>
          <cell r="O187">
            <v>-5.3360000000000003</v>
          </cell>
          <cell r="P187">
            <v>-4.2750000000000004</v>
          </cell>
          <cell r="Q187">
            <v>-4.2750000000000004</v>
          </cell>
          <cell r="R187">
            <v>-3.1040000000000001</v>
          </cell>
          <cell r="S187">
            <v>-9.1329999999999991</v>
          </cell>
          <cell r="T187">
            <v>-11.407</v>
          </cell>
          <cell r="U187">
            <v>-13.948</v>
          </cell>
          <cell r="V187">
            <v>-13.948</v>
          </cell>
          <cell r="W187">
            <v>-5.7460000000000004</v>
          </cell>
          <cell r="X187">
            <v>-8.6880000000000006</v>
          </cell>
          <cell r="Y187">
            <v>-8.3369999999999997</v>
          </cell>
          <cell r="Z187">
            <v>-10.25</v>
          </cell>
          <cell r="AA187">
            <v>-10.25</v>
          </cell>
          <cell r="AB187">
            <v>-7.1470000000000002</v>
          </cell>
          <cell r="AC187">
            <v>-11.287000000000001</v>
          </cell>
          <cell r="AD187">
            <v>-8.7159999999999993</v>
          </cell>
          <cell r="AE187">
            <v>-4.6559999999999997</v>
          </cell>
          <cell r="AF187">
            <v>-4.6559999999999997</v>
          </cell>
          <cell r="AG187">
            <v>-7.5149999999999997</v>
          </cell>
          <cell r="AH187">
            <v>-9.3859999999999992</v>
          </cell>
          <cell r="AI187">
            <v>-9.2989999999999995</v>
          </cell>
          <cell r="AJ187">
            <v>-42.355999999999995</v>
          </cell>
          <cell r="AK187">
            <v>-42.355999999999995</v>
          </cell>
          <cell r="AL187">
            <v>26.724</v>
          </cell>
          <cell r="AM187">
            <v>28.507000000000001</v>
          </cell>
          <cell r="AN187">
            <v>25.123999999999999</v>
          </cell>
          <cell r="AO187">
            <v>-28.523</v>
          </cell>
          <cell r="AP187">
            <v>-28.523</v>
          </cell>
          <cell r="AQ187">
            <v>16.565999999999999</v>
          </cell>
          <cell r="AR187">
            <v>15.083</v>
          </cell>
          <cell r="AS187">
            <v>10.478</v>
          </cell>
          <cell r="AT187">
            <v>-6.5559999999999992</v>
          </cell>
          <cell r="AU187">
            <v>-6.5559999999999992</v>
          </cell>
          <cell r="AW187">
            <v>1.7830000000000013</v>
          </cell>
          <cell r="AX187">
            <v>-1.6000000000000014</v>
          </cell>
          <cell r="AY187">
            <v>-55.247</v>
          </cell>
          <cell r="AZ187">
            <v>-38.680999999999997</v>
          </cell>
          <cell r="BA187">
            <v>-38.680999999999997</v>
          </cell>
          <cell r="BB187">
            <v>-1.4829999999999988</v>
          </cell>
          <cell r="BC187">
            <v>-6.0879999999999992</v>
          </cell>
          <cell r="BD187">
            <v>-23.122</v>
          </cell>
          <cell r="BE187">
            <v>2.9840000000000018</v>
          </cell>
          <cell r="BF187">
            <v>2.9840000000000018</v>
          </cell>
          <cell r="BG187">
            <v>39.99</v>
          </cell>
          <cell r="BH187">
            <v>31.052</v>
          </cell>
          <cell r="BI187">
            <v>4.570999999999998</v>
          </cell>
          <cell r="BJ187">
            <v>-13.675000000000001</v>
          </cell>
          <cell r="BK187">
            <v>-13.675000000000001</v>
          </cell>
          <cell r="BL187">
            <v>2.0459999999999998</v>
          </cell>
          <cell r="BM187">
            <v>-2.5240000000000005</v>
          </cell>
          <cell r="BN187">
            <v>0.53599999999999959</v>
          </cell>
          <cell r="BO187">
            <v>2.4260000000000002</v>
          </cell>
          <cell r="BP187">
            <v>2.4260000000000002</v>
          </cell>
          <cell r="BQ187">
            <v>-3.2810000000000001</v>
          </cell>
          <cell r="BR187">
            <v>-7.293000000000001</v>
          </cell>
          <cell r="BS187">
            <v>-6.5359999999999996</v>
          </cell>
          <cell r="BT187">
            <v>-10.592000000000001</v>
          </cell>
          <cell r="BU187">
            <v>-10.592000000000001</v>
          </cell>
          <cell r="BV187">
            <v>-2.7709999999999999</v>
          </cell>
          <cell r="BW187">
            <v>-3.097</v>
          </cell>
          <cell r="BX187">
            <v>-3.468</v>
          </cell>
          <cell r="BY187">
            <v>-3.89</v>
          </cell>
          <cell r="BZ187">
            <v>-3.89</v>
          </cell>
          <cell r="CA187">
            <v>-7.6479999999999997</v>
          </cell>
          <cell r="CB187">
            <v>-9.34</v>
          </cell>
          <cell r="CC187">
            <v>-9.81</v>
          </cell>
          <cell r="CD187">
            <v>-20.585999999999999</v>
          </cell>
          <cell r="CE187">
            <v>-20.585999999999999</v>
          </cell>
          <cell r="CF187">
            <v>-5.5259999999999998</v>
          </cell>
          <cell r="CG187">
            <v>-6.7220000000000004</v>
          </cell>
          <cell r="CH187">
            <v>-12.251000000000001</v>
          </cell>
          <cell r="CI187">
            <v>-11.379000000000001</v>
          </cell>
          <cell r="CJ187">
            <v>-11.379000000000001</v>
          </cell>
          <cell r="CK187">
            <v>-5.516</v>
          </cell>
          <cell r="CL187">
            <v>-2.673</v>
          </cell>
          <cell r="CM187">
            <v>-1.962</v>
          </cell>
          <cell r="CN187">
            <v>-19.073901082525577</v>
          </cell>
          <cell r="CO187">
            <v>-19.073901082525577</v>
          </cell>
          <cell r="CP187">
            <v>7.4916525100033482</v>
          </cell>
          <cell r="CQ187">
            <v>20.73288238712172</v>
          </cell>
          <cell r="CR187">
            <v>31.952583530862881</v>
          </cell>
          <cell r="CS187">
            <v>15.015847716934928</v>
          </cell>
          <cell r="CT187">
            <v>15.015847716934928</v>
          </cell>
          <cell r="CU187">
            <v>-12.253043909473405</v>
          </cell>
          <cell r="CV187">
            <v>0.74049494273705818</v>
          </cell>
          <cell r="CW187">
            <v>12.128096222885802</v>
          </cell>
          <cell r="CX187">
            <v>-4.7738596853176887</v>
          </cell>
          <cell r="CY187">
            <v>-4.7738596853176887</v>
          </cell>
          <cell r="CZ187">
            <v>-13.334272301864388</v>
          </cell>
          <cell r="DA187">
            <v>-0.15083027342717514</v>
          </cell>
          <cell r="DB187">
            <v>11.490462660657613</v>
          </cell>
          <cell r="DC187">
            <v>-5.8115987099263293</v>
          </cell>
          <cell r="DD187">
            <v>-5.8115987099263293</v>
          </cell>
          <cell r="DE187">
            <v>-17.06054745094545</v>
          </cell>
          <cell r="DF187">
            <v>-5.7005325410247565</v>
          </cell>
          <cell r="DG187">
            <v>6.4917826161310757</v>
          </cell>
          <cell r="DH187">
            <v>-11.26407097519359</v>
          </cell>
          <cell r="DI187">
            <v>-11.26407097519359</v>
          </cell>
        </row>
        <row r="188">
          <cell r="B188" t="str">
            <v>Prepaid expenses and other assets</v>
          </cell>
          <cell r="F188">
            <v>14.302</v>
          </cell>
          <cell r="G188">
            <v>1.617</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0.47899999999999998</v>
          </cell>
          <cell r="AF188">
            <v>0.47899999999999998</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-9.3320000000000007</v>
          </cell>
          <cell r="AU188">
            <v>-9.3320000000000007</v>
          </cell>
          <cell r="AW188">
            <v>0</v>
          </cell>
          <cell r="AX188">
            <v>0</v>
          </cell>
          <cell r="AY188">
            <v>0</v>
          </cell>
          <cell r="AZ188">
            <v>0</v>
          </cell>
          <cell r="BA188">
            <v>0</v>
          </cell>
          <cell r="BB188">
            <v>0</v>
          </cell>
          <cell r="BC188">
            <v>0</v>
          </cell>
          <cell r="BD188">
            <v>-9.3320000000000007</v>
          </cell>
          <cell r="BE188">
            <v>-9.3320000000000007</v>
          </cell>
          <cell r="BF188">
            <v>-9.3320000000000007</v>
          </cell>
          <cell r="BG188">
            <v>0</v>
          </cell>
          <cell r="BH188">
            <v>0</v>
          </cell>
          <cell r="BI188">
            <v>0</v>
          </cell>
          <cell r="BJ188">
            <v>6.7519999999999998</v>
          </cell>
          <cell r="BK188">
            <v>6.7519999999999998</v>
          </cell>
          <cell r="BL188">
            <v>0</v>
          </cell>
          <cell r="BM188">
            <v>0</v>
          </cell>
          <cell r="BN188">
            <v>0</v>
          </cell>
          <cell r="BO188">
            <v>0</v>
          </cell>
          <cell r="BP188">
            <v>0</v>
          </cell>
          <cell r="BQ188">
            <v>77.427000000000007</v>
          </cell>
          <cell r="BR188">
            <v>100.773</v>
          </cell>
          <cell r="BS188">
            <v>81.198999999999998</v>
          </cell>
          <cell r="BT188">
            <v>52.295000000000002</v>
          </cell>
          <cell r="BU188">
            <v>52.295000000000002</v>
          </cell>
          <cell r="BV188">
            <v>33.213999999999999</v>
          </cell>
          <cell r="BW188">
            <v>60.024000000000001</v>
          </cell>
          <cell r="BX188">
            <v>47.765999999999998</v>
          </cell>
          <cell r="BY188">
            <v>-0.3089999999999975</v>
          </cell>
          <cell r="BZ188">
            <v>-0.3089999999999975</v>
          </cell>
          <cell r="CA188">
            <v>26.335000000000001</v>
          </cell>
          <cell r="CB188">
            <v>14.327</v>
          </cell>
          <cell r="CC188">
            <v>28.654</v>
          </cell>
          <cell r="CD188">
            <v>31.193999999999999</v>
          </cell>
          <cell r="CE188">
            <v>31.193999999999999</v>
          </cell>
          <cell r="CF188">
            <v>22.478999999999999</v>
          </cell>
          <cell r="CG188">
            <v>10.448</v>
          </cell>
          <cell r="CH188">
            <v>-7.9999999999991189E-3</v>
          </cell>
          <cell r="CI188">
            <v>-18.986999999999998</v>
          </cell>
          <cell r="CJ188">
            <v>-18.986999999999998</v>
          </cell>
          <cell r="CK188">
            <v>31.38</v>
          </cell>
          <cell r="CL188">
            <v>53.930999999999997</v>
          </cell>
          <cell r="CM188">
            <v>52.641500000000001</v>
          </cell>
          <cell r="CN188">
            <v>52.641500000000001</v>
          </cell>
          <cell r="CO188">
            <v>52.641500000000001</v>
          </cell>
          <cell r="CP188">
            <v>0</v>
          </cell>
          <cell r="CQ188">
            <v>0</v>
          </cell>
          <cell r="CR188">
            <v>0</v>
          </cell>
          <cell r="CS188">
            <v>0</v>
          </cell>
          <cell r="CT188">
            <v>0</v>
          </cell>
          <cell r="CU188">
            <v>0</v>
          </cell>
          <cell r="CV188">
            <v>0</v>
          </cell>
          <cell r="CW188">
            <v>0</v>
          </cell>
          <cell r="CX188">
            <v>0</v>
          </cell>
          <cell r="CY188">
            <v>0</v>
          </cell>
          <cell r="CZ188">
            <v>0</v>
          </cell>
          <cell r="DA188">
            <v>0</v>
          </cell>
          <cell r="DB188">
            <v>0</v>
          </cell>
          <cell r="DC188">
            <v>0</v>
          </cell>
          <cell r="DD188">
            <v>0</v>
          </cell>
          <cell r="DE188">
            <v>0</v>
          </cell>
          <cell r="DF188">
            <v>0</v>
          </cell>
          <cell r="DG188">
            <v>0</v>
          </cell>
          <cell r="DH188">
            <v>0</v>
          </cell>
          <cell r="DI188">
            <v>0</v>
          </cell>
        </row>
        <row r="189">
          <cell r="B189" t="str">
            <v>Deferred charges and other assets</v>
          </cell>
          <cell r="F189">
            <v>0.185</v>
          </cell>
          <cell r="G189">
            <v>-1.401</v>
          </cell>
          <cell r="H189">
            <v>-2.6139999999999999</v>
          </cell>
          <cell r="I189">
            <v>-3.3279999999999998</v>
          </cell>
          <cell r="J189">
            <v>-7.0339999999999998</v>
          </cell>
          <cell r="K189">
            <v>-3.302</v>
          </cell>
          <cell r="L189">
            <v>-3.706</v>
          </cell>
          <cell r="M189">
            <v>-4.0000000000000001E-3</v>
          </cell>
          <cell r="N189">
            <v>-0.66400000000000003</v>
          </cell>
          <cell r="O189">
            <v>-37.589000000000006</v>
          </cell>
          <cell r="P189">
            <v>-3.9540000000000077</v>
          </cell>
          <cell r="Q189">
            <v>-3.9540000000000077</v>
          </cell>
          <cell r="R189">
            <v>-3.2429999999999999</v>
          </cell>
          <cell r="S189">
            <v>-6.9429999999999996</v>
          </cell>
          <cell r="T189">
            <v>-13.528</v>
          </cell>
          <cell r="U189">
            <v>-10.426</v>
          </cell>
          <cell r="V189">
            <v>-10.426</v>
          </cell>
          <cell r="W189">
            <v>-9.98</v>
          </cell>
          <cell r="X189">
            <v>-5.569</v>
          </cell>
          <cell r="Y189">
            <v>-5.8630000000000004</v>
          </cell>
          <cell r="Z189">
            <v>-6.0179999999999998</v>
          </cell>
          <cell r="AA189">
            <v>-6.0179999999999998</v>
          </cell>
          <cell r="AB189">
            <v>0.89800000000000002</v>
          </cell>
          <cell r="AC189">
            <v>-6.1120000000000001</v>
          </cell>
          <cell r="AD189">
            <v>-6.6989999999999998</v>
          </cell>
          <cell r="AE189">
            <v>-1.0349999999999993</v>
          </cell>
          <cell r="AF189">
            <v>-1.0349999999999993</v>
          </cell>
          <cell r="AG189">
            <v>8.7289999999999992</v>
          </cell>
          <cell r="AH189">
            <v>4.2350000000000003</v>
          </cell>
          <cell r="AI189">
            <v>1.5119999999999996</v>
          </cell>
          <cell r="AJ189">
            <v>2.1680000000000001</v>
          </cell>
          <cell r="AK189">
            <v>2.1680000000000001</v>
          </cell>
          <cell r="AL189">
            <v>-2.3940000000000001</v>
          </cell>
          <cell r="AM189">
            <v>-2.077</v>
          </cell>
          <cell r="AN189">
            <v>-4.83</v>
          </cell>
          <cell r="AO189">
            <v>-4.6280000000000001</v>
          </cell>
          <cell r="AP189">
            <v>-4.6280000000000001</v>
          </cell>
          <cell r="AQ189">
            <v>-13.125999999999999</v>
          </cell>
          <cell r="AR189">
            <v>-6.1929999999999996</v>
          </cell>
          <cell r="AS189">
            <v>0.92600000000000016</v>
          </cell>
          <cell r="AT189">
            <v>8.4489999999999998</v>
          </cell>
          <cell r="AU189">
            <v>8.4489999999999998</v>
          </cell>
          <cell r="AW189">
            <v>0.31700000000000017</v>
          </cell>
          <cell r="AX189">
            <v>-2.4359999999999999</v>
          </cell>
          <cell r="AY189">
            <v>-2.234</v>
          </cell>
          <cell r="AZ189">
            <v>-15.36</v>
          </cell>
          <cell r="BA189">
            <v>-15.36</v>
          </cell>
          <cell r="BB189">
            <v>6.9329999999999998</v>
          </cell>
          <cell r="BC189">
            <v>14.052</v>
          </cell>
          <cell r="BD189">
            <v>21.574999999999999</v>
          </cell>
          <cell r="BE189">
            <v>13.625999999999999</v>
          </cell>
          <cell r="BF189">
            <v>13.625999999999999</v>
          </cell>
          <cell r="BG189">
            <v>-6.9059999999999997</v>
          </cell>
          <cell r="BH189">
            <v>11.081</v>
          </cell>
          <cell r="BI189">
            <v>1.879999999999999</v>
          </cell>
          <cell r="BJ189">
            <v>3.2590000000000012</v>
          </cell>
          <cell r="BK189">
            <v>3.2590000000000012</v>
          </cell>
          <cell r="BL189">
            <v>-0.75800000000000001</v>
          </cell>
          <cell r="BM189">
            <v>0</v>
          </cell>
          <cell r="BN189">
            <v>0</v>
          </cell>
          <cell r="BO189">
            <v>-13.878</v>
          </cell>
          <cell r="BP189">
            <v>-13.878</v>
          </cell>
          <cell r="BQ189">
            <v>-0.46300000000000002</v>
          </cell>
          <cell r="BR189">
            <v>0.96499999999999986</v>
          </cell>
          <cell r="BS189">
            <v>1.63</v>
          </cell>
          <cell r="BT189">
            <v>-5.1139999999999999</v>
          </cell>
          <cell r="BU189">
            <v>-5.1139999999999999</v>
          </cell>
          <cell r="BV189">
            <v>-1.2529999999999999</v>
          </cell>
          <cell r="BW189">
            <v>-9.843</v>
          </cell>
          <cell r="BX189">
            <v>-3.6259999999999994</v>
          </cell>
          <cell r="BY189">
            <v>-11.282000000000002</v>
          </cell>
          <cell r="BZ189">
            <v>-11.282000000000002</v>
          </cell>
          <cell r="CA189">
            <v>-3.9129999999999998</v>
          </cell>
          <cell r="CB189">
            <v>-7.6479999999999997</v>
          </cell>
          <cell r="CC189">
            <v>-13.36</v>
          </cell>
          <cell r="CD189">
            <v>5.6210000000000022</v>
          </cell>
          <cell r="CE189">
            <v>5.6210000000000022</v>
          </cell>
          <cell r="CF189">
            <v>-4.43</v>
          </cell>
          <cell r="CG189">
            <v>-3.3330000000000002</v>
          </cell>
          <cell r="CH189">
            <v>-1.5840000000000001</v>
          </cell>
          <cell r="CI189">
            <v>-5.7850000000000001</v>
          </cell>
          <cell r="CJ189">
            <v>-5.7850000000000001</v>
          </cell>
          <cell r="CK189">
            <v>-6.4249999999999998</v>
          </cell>
          <cell r="CL189">
            <v>1.7999999999999794E-2</v>
          </cell>
          <cell r="CM189">
            <v>-1.839</v>
          </cell>
          <cell r="CN189">
            <v>-1.839</v>
          </cell>
          <cell r="CO189">
            <v>-1.839</v>
          </cell>
          <cell r="CP189">
            <v>0</v>
          </cell>
          <cell r="CQ189">
            <v>0</v>
          </cell>
          <cell r="CR189">
            <v>0</v>
          </cell>
          <cell r="CS189">
            <v>0</v>
          </cell>
          <cell r="CT189">
            <v>0</v>
          </cell>
          <cell r="CU189">
            <v>0</v>
          </cell>
          <cell r="CV189">
            <v>0</v>
          </cell>
          <cell r="CW189">
            <v>0</v>
          </cell>
          <cell r="CX189">
            <v>0</v>
          </cell>
          <cell r="CY189">
            <v>0</v>
          </cell>
          <cell r="CZ189">
            <v>0</v>
          </cell>
          <cell r="DA189">
            <v>0</v>
          </cell>
          <cell r="DB189">
            <v>0</v>
          </cell>
          <cell r="DC189">
            <v>0</v>
          </cell>
          <cell r="DD189">
            <v>0</v>
          </cell>
          <cell r="DE189">
            <v>0</v>
          </cell>
          <cell r="DF189">
            <v>0</v>
          </cell>
          <cell r="DG189">
            <v>0</v>
          </cell>
          <cell r="DH189">
            <v>0</v>
          </cell>
          <cell r="DI189">
            <v>0</v>
          </cell>
        </row>
        <row r="190">
          <cell r="B190" t="str">
            <v>Accounts payable</v>
          </cell>
          <cell r="F190">
            <v>1.0449999999999999</v>
          </cell>
          <cell r="G190">
            <v>1.181</v>
          </cell>
          <cell r="H190">
            <v>0.88700000000000001</v>
          </cell>
          <cell r="I190">
            <v>5.6189999999999998</v>
          </cell>
          <cell r="J190">
            <v>3.37</v>
          </cell>
          <cell r="K190">
            <v>2.4249999999999998</v>
          </cell>
          <cell r="L190">
            <v>5.1820000000000004</v>
          </cell>
          <cell r="M190">
            <v>5.5149999999999997</v>
          </cell>
          <cell r="N190">
            <v>12.755000000000001</v>
          </cell>
          <cell r="O190">
            <v>14.247</v>
          </cell>
          <cell r="P190">
            <v>22.878</v>
          </cell>
          <cell r="Q190">
            <v>22.878</v>
          </cell>
          <cell r="R190">
            <v>7.6790000000000003</v>
          </cell>
          <cell r="S190">
            <v>2.8730000000000002</v>
          </cell>
          <cell r="T190">
            <v>-2.0330000000000004</v>
          </cell>
          <cell r="U190">
            <v>4.6320000000000006</v>
          </cell>
          <cell r="V190">
            <v>4.6320000000000006</v>
          </cell>
          <cell r="W190">
            <v>7.9889999999999999</v>
          </cell>
          <cell r="X190">
            <v>9.1129999999999995</v>
          </cell>
          <cell r="Y190">
            <v>11.952999999999999</v>
          </cell>
          <cell r="Z190">
            <v>13.314999999999998</v>
          </cell>
          <cell r="AA190">
            <v>13.314999999999998</v>
          </cell>
          <cell r="AB190">
            <v>21.974</v>
          </cell>
          <cell r="AC190">
            <v>33.130000000000003</v>
          </cell>
          <cell r="AD190">
            <v>36.043999999999997</v>
          </cell>
          <cell r="AE190">
            <v>29.745999999999999</v>
          </cell>
          <cell r="AF190">
            <v>29.745999999999999</v>
          </cell>
          <cell r="AG190">
            <v>2.5539999999999998</v>
          </cell>
          <cell r="AH190">
            <v>14.114000000000001</v>
          </cell>
          <cell r="AI190">
            <v>-4.2210000000000001</v>
          </cell>
          <cell r="AJ190">
            <v>5.6660000000000004</v>
          </cell>
          <cell r="AK190">
            <v>5.6660000000000004</v>
          </cell>
          <cell r="AL190">
            <v>2.5099999999999998</v>
          </cell>
          <cell r="AM190">
            <v>11.308</v>
          </cell>
          <cell r="AN190">
            <v>5.39</v>
          </cell>
          <cell r="AO190">
            <v>0.21199999999999974</v>
          </cell>
          <cell r="AP190">
            <v>0.21199999999999974</v>
          </cell>
          <cell r="AQ190">
            <v>0.32800000000000001</v>
          </cell>
          <cell r="AR190">
            <v>20.856000000000002</v>
          </cell>
          <cell r="AS190">
            <v>25.600999999999999</v>
          </cell>
          <cell r="AT190">
            <v>29.29</v>
          </cell>
          <cell r="AU190">
            <v>29.29</v>
          </cell>
          <cell r="AW190">
            <v>8.798</v>
          </cell>
          <cell r="AX190">
            <v>2.88</v>
          </cell>
          <cell r="AY190">
            <v>-2.298</v>
          </cell>
          <cell r="AZ190">
            <v>-1.97</v>
          </cell>
          <cell r="BA190">
            <v>-1.97</v>
          </cell>
          <cell r="BB190">
            <v>20.528000000000002</v>
          </cell>
          <cell r="BC190">
            <v>25.273</v>
          </cell>
          <cell r="BD190">
            <v>28.962</v>
          </cell>
          <cell r="BE190">
            <v>42.448999999999998</v>
          </cell>
          <cell r="BF190">
            <v>42.448999999999998</v>
          </cell>
          <cell r="BG190">
            <v>3.9590000000000001</v>
          </cell>
          <cell r="BH190">
            <v>29.091999999999999</v>
          </cell>
          <cell r="BI190">
            <v>2.222999999999999</v>
          </cell>
          <cell r="BJ190">
            <v>27.823</v>
          </cell>
          <cell r="BK190">
            <v>27.823</v>
          </cell>
          <cell r="BL190">
            <v>5.548</v>
          </cell>
          <cell r="BM190">
            <v>47.781999999999996</v>
          </cell>
          <cell r="BN190">
            <v>18.893999999999998</v>
          </cell>
          <cell r="BO190">
            <v>14.083</v>
          </cell>
          <cell r="BP190">
            <v>14.083</v>
          </cell>
          <cell r="BQ190">
            <v>9.5259999999999998</v>
          </cell>
          <cell r="BR190">
            <v>9.5609999999999999</v>
          </cell>
          <cell r="BS190">
            <v>26.481999999999999</v>
          </cell>
          <cell r="BT190">
            <v>29.66</v>
          </cell>
          <cell r="BU190">
            <v>29.66</v>
          </cell>
          <cell r="BV190">
            <v>7.516</v>
          </cell>
          <cell r="BW190">
            <v>-43.048000000000002</v>
          </cell>
          <cell r="BX190">
            <v>-57.167000000000002</v>
          </cell>
          <cell r="BY190">
            <v>-21.040999999999997</v>
          </cell>
          <cell r="BZ190">
            <v>-21.040999999999997</v>
          </cell>
          <cell r="CA190">
            <v>30.64</v>
          </cell>
          <cell r="CB190">
            <v>12.027000000000001</v>
          </cell>
          <cell r="CC190">
            <v>-29.186</v>
          </cell>
          <cell r="CD190">
            <v>31.657000000000004</v>
          </cell>
          <cell r="CE190">
            <v>31.657000000000004</v>
          </cell>
          <cell r="CF190">
            <v>-6.6920000000000002</v>
          </cell>
          <cell r="CG190">
            <v>-6.4880000000000004</v>
          </cell>
          <cell r="CH190">
            <v>-5.843</v>
          </cell>
          <cell r="CI190">
            <v>23.38</v>
          </cell>
          <cell r="CJ190">
            <v>23.38</v>
          </cell>
          <cell r="CK190">
            <v>-13.292999999999999</v>
          </cell>
          <cell r="CL190">
            <v>-17.257999999999999</v>
          </cell>
          <cell r="CM190">
            <v>-10.523999999999999</v>
          </cell>
          <cell r="CN190">
            <v>-12.746601933698825</v>
          </cell>
          <cell r="CO190">
            <v>-12.746601933698825</v>
          </cell>
          <cell r="CP190">
            <v>13.526935985071134</v>
          </cell>
          <cell r="CQ190">
            <v>1.9992770332269174</v>
          </cell>
          <cell r="CR190">
            <v>-7.7684627860301418</v>
          </cell>
          <cell r="CS190">
            <v>6.9764601578600605</v>
          </cell>
          <cell r="CT190">
            <v>6.9764601578600605</v>
          </cell>
          <cell r="CU190">
            <v>18.373169434029137</v>
          </cell>
          <cell r="CV190">
            <v>6.6320198687787411</v>
          </cell>
          <cell r="CW190">
            <v>-3.6579812879821816</v>
          </cell>
          <cell r="CX190">
            <v>11.614870436298133</v>
          </cell>
          <cell r="CY190">
            <v>11.614870436298133</v>
          </cell>
          <cell r="CZ190">
            <v>20.338309448315016</v>
          </cell>
          <cell r="DA190">
            <v>7.9686601376825479</v>
          </cell>
          <cell r="DB190">
            <v>-2.954034467137717</v>
          </cell>
          <cell r="DC190">
            <v>13.27999842378054</v>
          </cell>
          <cell r="DD190">
            <v>13.27999842378054</v>
          </cell>
          <cell r="DE190">
            <v>16.00742723792419</v>
          </cell>
          <cell r="DF190">
            <v>5.3486478162701303</v>
          </cell>
          <cell r="DG190">
            <v>-6.0910552941476794</v>
          </cell>
          <cell r="DH190">
            <v>10.568757952033536</v>
          </cell>
          <cell r="DI190">
            <v>10.568757952033536</v>
          </cell>
        </row>
        <row r="191">
          <cell r="B191" t="str">
            <v>Accrued payroll, interest and other liabilities</v>
          </cell>
          <cell r="F191">
            <v>-1.863</v>
          </cell>
          <cell r="G191">
            <v>1.25</v>
          </cell>
          <cell r="H191">
            <v>0.128</v>
          </cell>
          <cell r="I191">
            <v>3.448</v>
          </cell>
          <cell r="J191">
            <v>0.73699999999999999</v>
          </cell>
          <cell r="K191">
            <v>4.9379999999999997</v>
          </cell>
          <cell r="L191">
            <v>-4.6580000000000004</v>
          </cell>
          <cell r="M191">
            <v>1.0109999999999999</v>
          </cell>
          <cell r="N191">
            <v>-0.72499999999999987</v>
          </cell>
          <cell r="O191">
            <v>-1.5149999999999999</v>
          </cell>
          <cell r="P191">
            <v>3.3709999999999996</v>
          </cell>
          <cell r="Q191">
            <v>3.3709999999999996</v>
          </cell>
          <cell r="R191">
            <v>-4.3029999999999999</v>
          </cell>
          <cell r="S191">
            <v>3.1480000000000006</v>
          </cell>
          <cell r="T191">
            <v>0.82899999999999974</v>
          </cell>
          <cell r="U191">
            <v>1.7850000000000001</v>
          </cell>
          <cell r="V191">
            <v>1.7850000000000001</v>
          </cell>
          <cell r="W191">
            <v>5.3760000000000003</v>
          </cell>
          <cell r="X191">
            <v>-5.2190000000000003</v>
          </cell>
          <cell r="Y191">
            <v>-6.0279999999999996</v>
          </cell>
          <cell r="Z191">
            <v>2.0529999999999999</v>
          </cell>
          <cell r="AA191">
            <v>2.0529999999999999</v>
          </cell>
          <cell r="AB191">
            <v>1.216</v>
          </cell>
          <cell r="AC191">
            <v>16.414999999999999</v>
          </cell>
          <cell r="AD191">
            <v>17.518000000000001</v>
          </cell>
          <cell r="AE191">
            <v>7.9150000000000009</v>
          </cell>
          <cell r="AF191">
            <v>7.9150000000000009</v>
          </cell>
          <cell r="AG191">
            <v>5.1509999999999998</v>
          </cell>
          <cell r="AH191">
            <v>5.5659999999999998</v>
          </cell>
          <cell r="AI191">
            <v>10.398</v>
          </cell>
          <cell r="AJ191">
            <v>-6.5040000000000013</v>
          </cell>
          <cell r="AK191">
            <v>-6.5040000000000013</v>
          </cell>
          <cell r="AL191">
            <v>18.259</v>
          </cell>
          <cell r="AM191">
            <v>3.2899999999999991</v>
          </cell>
          <cell r="AN191">
            <v>6.4810000000000016</v>
          </cell>
          <cell r="AO191">
            <v>3.2080000000000002</v>
          </cell>
          <cell r="AP191">
            <v>3.2080000000000002</v>
          </cell>
          <cell r="AQ191">
            <v>-7.2619999999999996</v>
          </cell>
          <cell r="AR191">
            <v>-11.301</v>
          </cell>
          <cell r="AS191">
            <v>-13.615000000000002</v>
          </cell>
          <cell r="AT191">
            <v>47.555999999999997</v>
          </cell>
          <cell r="AU191">
            <v>47.555999999999997</v>
          </cell>
          <cell r="AW191">
            <v>-14.969000000000001</v>
          </cell>
          <cell r="AX191">
            <v>-11.777999999999999</v>
          </cell>
          <cell r="AY191">
            <v>-15.051</v>
          </cell>
          <cell r="AZ191">
            <v>-22.312999999999999</v>
          </cell>
          <cell r="BA191">
            <v>-22.312999999999999</v>
          </cell>
          <cell r="BB191">
            <v>-4.0390000000000006</v>
          </cell>
          <cell r="BC191">
            <v>-6.3530000000000015</v>
          </cell>
          <cell r="BD191">
            <v>54.817999999999998</v>
          </cell>
          <cell r="BE191">
            <v>60.226999999999997</v>
          </cell>
          <cell r="BF191">
            <v>60.226999999999997</v>
          </cell>
          <cell r="BG191">
            <v>26.440999999999999</v>
          </cell>
          <cell r="BH191">
            <v>17.128</v>
          </cell>
          <cell r="BI191">
            <v>104.621</v>
          </cell>
          <cell r="BJ191">
            <v>41.890999999999991</v>
          </cell>
          <cell r="BK191">
            <v>41.890999999999991</v>
          </cell>
          <cell r="BL191">
            <v>-6.4539999999999997</v>
          </cell>
          <cell r="BM191">
            <v>9.4710000000000001</v>
          </cell>
          <cell r="BN191">
            <v>-9.3820000000000014</v>
          </cell>
          <cell r="BO191">
            <v>-42.902999999999992</v>
          </cell>
          <cell r="BP191">
            <v>-42.902999999999992</v>
          </cell>
          <cell r="BQ191">
            <v>11.859</v>
          </cell>
          <cell r="BR191">
            <v>12.047000000000001</v>
          </cell>
          <cell r="BS191">
            <v>22.369</v>
          </cell>
          <cell r="BT191">
            <v>-13.849000000000004</v>
          </cell>
          <cell r="BU191">
            <v>-13.849000000000004</v>
          </cell>
          <cell r="BV191">
            <v>15.294</v>
          </cell>
          <cell r="BW191">
            <v>36.930999999999997</v>
          </cell>
          <cell r="BX191">
            <v>47.322000000000003</v>
          </cell>
          <cell r="BY191">
            <v>27.870999999999999</v>
          </cell>
          <cell r="BZ191">
            <v>27.870999999999999</v>
          </cell>
          <cell r="CA191">
            <v>-1.1000000000000001</v>
          </cell>
          <cell r="CB191">
            <v>8.0719999999999992</v>
          </cell>
          <cell r="CC191">
            <v>73.722999999999999</v>
          </cell>
          <cell r="CD191">
            <v>26.998999999999995</v>
          </cell>
          <cell r="CE191">
            <v>26.998999999999995</v>
          </cell>
          <cell r="CF191">
            <v>29.431000000000001</v>
          </cell>
          <cell r="CG191">
            <v>14.433999999999999</v>
          </cell>
          <cell r="CH191">
            <v>85.649000000000001</v>
          </cell>
          <cell r="CI191">
            <v>87.430999999999997</v>
          </cell>
          <cell r="CJ191">
            <v>87.430999999999997</v>
          </cell>
          <cell r="CK191">
            <v>-9.4619999999999997</v>
          </cell>
          <cell r="CL191">
            <v>-25.902999999999999</v>
          </cell>
          <cell r="CM191">
            <v>11.354999999999997</v>
          </cell>
          <cell r="CN191">
            <v>26.976985491634629</v>
          </cell>
          <cell r="CO191">
            <v>26.976985491634629</v>
          </cell>
          <cell r="CP191">
            <v>-64.098638923611702</v>
          </cell>
          <cell r="CQ191">
            <v>-19.211039276697988</v>
          </cell>
          <cell r="CR191">
            <v>42.973571875490165</v>
          </cell>
          <cell r="CS191">
            <v>36.566928658683764</v>
          </cell>
          <cell r="CT191">
            <v>36.566928658683764</v>
          </cell>
          <cell r="CU191">
            <v>-59.167588126665692</v>
          </cell>
          <cell r="CV191">
            <v>-11.377426615095601</v>
          </cell>
          <cell r="CW191">
            <v>53.908323984416256</v>
          </cell>
          <cell r="CX191">
            <v>47.058488612756946</v>
          </cell>
          <cell r="CY191">
            <v>47.058488612756946</v>
          </cell>
          <cell r="CZ191">
            <v>-60.253320134709384</v>
          </cell>
          <cell r="DA191">
            <v>-9.8854028690196856</v>
          </cell>
          <cell r="DB191">
            <v>58.664471734545032</v>
          </cell>
          <cell r="DC191">
            <v>52.015092402853497</v>
          </cell>
          <cell r="DD191">
            <v>52.015092402853497</v>
          </cell>
          <cell r="DE191">
            <v>-70.114590267656808</v>
          </cell>
          <cell r="DF191">
            <v>-10.385680381912266</v>
          </cell>
          <cell r="DG191">
            <v>61.557334070303682</v>
          </cell>
          <cell r="DH191">
            <v>54.480062367758819</v>
          </cell>
          <cell r="DI191">
            <v>54.480062367758819</v>
          </cell>
        </row>
        <row r="192">
          <cell r="B192" t="str">
            <v>Income taxes - currently payable</v>
          </cell>
          <cell r="F192">
            <v>2.117</v>
          </cell>
          <cell r="G192">
            <v>1.72</v>
          </cell>
          <cell r="H192">
            <v>2.7959999999999998</v>
          </cell>
          <cell r="I192">
            <v>-2.988</v>
          </cell>
          <cell r="J192">
            <v>3.3210000000000002</v>
          </cell>
          <cell r="K192">
            <v>-1.4590000000000001</v>
          </cell>
          <cell r="L192">
            <v>1.9650000000000001</v>
          </cell>
          <cell r="M192">
            <v>17.646000000000001</v>
          </cell>
          <cell r="N192">
            <v>25.956</v>
          </cell>
          <cell r="O192">
            <v>41.802000000000007</v>
          </cell>
          <cell r="P192">
            <v>10.092000000000006</v>
          </cell>
          <cell r="Q192">
            <v>10.092000000000006</v>
          </cell>
          <cell r="R192">
            <v>7.3890000000000002</v>
          </cell>
          <cell r="S192">
            <v>-12.510999999999999</v>
          </cell>
          <cell r="T192">
            <v>-18.108000000000001</v>
          </cell>
          <cell r="U192">
            <v>-18.155999999999999</v>
          </cell>
          <cell r="V192">
            <v>-18.155999999999999</v>
          </cell>
          <cell r="W192">
            <v>21.891999999999999</v>
          </cell>
          <cell r="X192">
            <v>2.1630000000000003</v>
          </cell>
          <cell r="Y192">
            <v>-0.19099999999999895</v>
          </cell>
          <cell r="Z192">
            <v>-0.76599999999999824</v>
          </cell>
          <cell r="AA192">
            <v>-0.76599999999999824</v>
          </cell>
          <cell r="AB192">
            <v>28.37</v>
          </cell>
          <cell r="AC192">
            <v>16.667000000000002</v>
          </cell>
          <cell r="AD192">
            <v>20.467000000000002</v>
          </cell>
          <cell r="AE192">
            <v>28.259999999999998</v>
          </cell>
          <cell r="AF192">
            <v>28.259999999999998</v>
          </cell>
          <cell r="AG192">
            <v>23.864999999999998</v>
          </cell>
          <cell r="AH192">
            <v>-20.632000000000001</v>
          </cell>
          <cell r="AI192">
            <v>-0.36200000000000188</v>
          </cell>
          <cell r="AJ192">
            <v>-0.50900000000000034</v>
          </cell>
          <cell r="AK192">
            <v>-0.50900000000000034</v>
          </cell>
          <cell r="AL192">
            <v>39.682000000000002</v>
          </cell>
          <cell r="AM192">
            <v>19.741</v>
          </cell>
          <cell r="AN192">
            <v>21.628</v>
          </cell>
          <cell r="AO192">
            <v>16.231999999999999</v>
          </cell>
          <cell r="AP192">
            <v>16.231999999999999</v>
          </cell>
          <cell r="AQ192">
            <v>35.628999999999998</v>
          </cell>
          <cell r="AR192">
            <v>10.268999999999998</v>
          </cell>
          <cell r="AS192">
            <v>22.210999999999999</v>
          </cell>
          <cell r="AT192">
            <v>0</v>
          </cell>
          <cell r="AU192">
            <v>0</v>
          </cell>
          <cell r="AW192">
            <v>-19.941000000000003</v>
          </cell>
          <cell r="AX192">
            <v>-18.054000000000002</v>
          </cell>
          <cell r="AY192">
            <v>-23.450000000000003</v>
          </cell>
          <cell r="AZ192">
            <v>12.178999999999995</v>
          </cell>
          <cell r="BA192">
            <v>12.178999999999995</v>
          </cell>
          <cell r="BB192">
            <v>-25.36</v>
          </cell>
          <cell r="BC192">
            <v>-13.417999999999999</v>
          </cell>
          <cell r="BD192">
            <v>-35.628999999999998</v>
          </cell>
          <cell r="BE192">
            <v>-35.628999999999998</v>
          </cell>
          <cell r="BF192">
            <v>-35.628999999999998</v>
          </cell>
          <cell r="BG192">
            <v>0</v>
          </cell>
          <cell r="BH192">
            <v>0</v>
          </cell>
          <cell r="BI192">
            <v>0</v>
          </cell>
          <cell r="BJ192">
            <v>0</v>
          </cell>
          <cell r="BK192">
            <v>0</v>
          </cell>
          <cell r="BL192">
            <v>0</v>
          </cell>
          <cell r="BM192">
            <v>38.957999999999998</v>
          </cell>
          <cell r="BN192">
            <v>-7.9979999999999976</v>
          </cell>
          <cell r="BO192">
            <v>-63.883000000000003</v>
          </cell>
          <cell r="BP192">
            <v>-63.883000000000003</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row>
        <row r="193">
          <cell r="B193" t="str">
            <v>Other long-term liabilities</v>
          </cell>
          <cell r="F193">
            <v>0.80900000000000005</v>
          </cell>
          <cell r="G193">
            <v>3.4159999999999999</v>
          </cell>
          <cell r="H193">
            <v>2.6110000000000002</v>
          </cell>
          <cell r="I193">
            <v>1.0429999999999999</v>
          </cell>
          <cell r="J193">
            <v>2.9740000000000002</v>
          </cell>
          <cell r="K193">
            <v>0.84099999999999997</v>
          </cell>
          <cell r="L193">
            <v>1.7649999999999999</v>
          </cell>
          <cell r="M193">
            <v>-0.76200000000000001</v>
          </cell>
          <cell r="N193">
            <v>-0.51400000000000001</v>
          </cell>
          <cell r="O193">
            <v>-0.35699999999999998</v>
          </cell>
          <cell r="P193">
            <v>-1.002</v>
          </cell>
          <cell r="Q193">
            <v>-1.002</v>
          </cell>
          <cell r="R193">
            <v>0.28599999999999998</v>
          </cell>
          <cell r="S193">
            <v>0.47699999999999998</v>
          </cell>
          <cell r="T193">
            <v>0.81600000000000006</v>
          </cell>
          <cell r="U193">
            <v>0.11499999999999999</v>
          </cell>
          <cell r="V193">
            <v>0.11499999999999999</v>
          </cell>
          <cell r="W193">
            <v>-0.17799999999999999</v>
          </cell>
          <cell r="X193">
            <v>-6.3630000000000004</v>
          </cell>
          <cell r="Y193">
            <v>-5.9859999999999998</v>
          </cell>
          <cell r="Z193">
            <v>1.0549999999999997</v>
          </cell>
          <cell r="AA193">
            <v>1.0549999999999997</v>
          </cell>
          <cell r="AB193">
            <v>-2.1709999999999998</v>
          </cell>
          <cell r="AC193">
            <v>1.3660000000000001</v>
          </cell>
          <cell r="AD193">
            <v>-0.58399999999999963</v>
          </cell>
          <cell r="AE193">
            <v>-2.2719999999999998</v>
          </cell>
          <cell r="AF193">
            <v>-2.2719999999999998</v>
          </cell>
          <cell r="AG193">
            <v>-1.548</v>
          </cell>
          <cell r="AH193">
            <v>2.649</v>
          </cell>
          <cell r="AI193">
            <v>-0.57500000000000018</v>
          </cell>
          <cell r="AJ193">
            <v>15.610000000000003</v>
          </cell>
          <cell r="AK193">
            <v>15.610000000000003</v>
          </cell>
          <cell r="AL193">
            <v>6.7510000000000003</v>
          </cell>
          <cell r="AM193">
            <v>27.616</v>
          </cell>
          <cell r="AN193">
            <v>33.091000000000001</v>
          </cell>
          <cell r="AO193">
            <v>32.790999999999997</v>
          </cell>
          <cell r="AP193">
            <v>32.790999999999997</v>
          </cell>
          <cell r="AQ193">
            <v>5.4470000000000001</v>
          </cell>
          <cell r="AR193">
            <v>15.695</v>
          </cell>
          <cell r="AS193">
            <v>26.803999999999998</v>
          </cell>
          <cell r="AT193">
            <v>-0.60900000000000176</v>
          </cell>
          <cell r="AU193">
            <v>-0.60900000000000176</v>
          </cell>
          <cell r="AW193">
            <v>20.864999999999998</v>
          </cell>
          <cell r="AX193">
            <v>26.34</v>
          </cell>
          <cell r="AY193">
            <v>26.039999999999996</v>
          </cell>
          <cell r="AZ193">
            <v>31.486999999999995</v>
          </cell>
          <cell r="BA193">
            <v>31.486999999999995</v>
          </cell>
          <cell r="BB193">
            <v>10.248000000000001</v>
          </cell>
          <cell r="BC193">
            <v>21.356999999999999</v>
          </cell>
          <cell r="BD193">
            <v>-6.0560000000000009</v>
          </cell>
          <cell r="BE193">
            <v>-9.9870000000000019</v>
          </cell>
          <cell r="BF193">
            <v>-9.9870000000000019</v>
          </cell>
          <cell r="BG193">
            <v>0.25600000000000001</v>
          </cell>
          <cell r="BH193">
            <v>7.1849999999999996</v>
          </cell>
          <cell r="BI193">
            <v>20.616</v>
          </cell>
          <cell r="BJ193">
            <v>32.488999999999997</v>
          </cell>
          <cell r="BK193">
            <v>32.488999999999997</v>
          </cell>
          <cell r="BL193">
            <v>5.306</v>
          </cell>
          <cell r="BM193">
            <v>0</v>
          </cell>
          <cell r="BN193">
            <v>0</v>
          </cell>
          <cell r="BO193">
            <v>19.402999999999999</v>
          </cell>
          <cell r="BP193">
            <v>19.402999999999999</v>
          </cell>
          <cell r="BQ193">
            <v>0</v>
          </cell>
          <cell r="BR193">
            <v>-1.321</v>
          </cell>
          <cell r="BS193">
            <v>-9.1219999999999999</v>
          </cell>
          <cell r="BT193">
            <v>-5.0999999999999996</v>
          </cell>
          <cell r="BU193">
            <v>-5.0999999999999996</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row>
        <row r="194">
          <cell r="B194" t="str">
            <v>Total Change in Working Capital</v>
          </cell>
          <cell r="F194">
            <v>9.5340000000000007</v>
          </cell>
          <cell r="G194">
            <v>-2.8910000000000013</v>
          </cell>
          <cell r="H194">
            <v>-18.280999999999999</v>
          </cell>
          <cell r="I194">
            <v>-8.8870000000000005</v>
          </cell>
          <cell r="J194">
            <v>-17.600999999999999</v>
          </cell>
          <cell r="K194">
            <v>-12.055000000000001</v>
          </cell>
          <cell r="L194">
            <v>-66.429999999999993</v>
          </cell>
          <cell r="M194">
            <v>8.6929999999999978</v>
          </cell>
          <cell r="N194">
            <v>-0.11600000000000033</v>
          </cell>
          <cell r="O194">
            <v>-28.659000000000006</v>
          </cell>
          <cell r="P194">
            <v>-37.945000000000014</v>
          </cell>
          <cell r="Q194">
            <v>-37.945000000000014</v>
          </cell>
          <cell r="R194">
            <v>-14.635</v>
          </cell>
          <cell r="S194">
            <v>-48.526000000000003</v>
          </cell>
          <cell r="T194">
            <v>-51.947999999999993</v>
          </cell>
          <cell r="U194">
            <v>-60.375</v>
          </cell>
          <cell r="V194">
            <v>-60.375</v>
          </cell>
          <cell r="W194">
            <v>-6.5809999999999986</v>
          </cell>
          <cell r="X194">
            <v>-103.39</v>
          </cell>
          <cell r="Y194">
            <v>-119.02000000000001</v>
          </cell>
          <cell r="Z194">
            <v>-149.899</v>
          </cell>
          <cell r="AA194">
            <v>-149.899</v>
          </cell>
          <cell r="AB194">
            <v>19.45</v>
          </cell>
          <cell r="AC194">
            <v>-74.539000000000001</v>
          </cell>
          <cell r="AD194">
            <v>-99.222000000000051</v>
          </cell>
          <cell r="AE194">
            <v>-151.53499999999997</v>
          </cell>
          <cell r="AF194">
            <v>-151.53499999999997</v>
          </cell>
          <cell r="AG194">
            <v>-21.586000000000006</v>
          </cell>
          <cell r="AH194">
            <v>-134.27399999999997</v>
          </cell>
          <cell r="AI194">
            <v>-166.53299999999999</v>
          </cell>
          <cell r="AJ194">
            <v>-291.755</v>
          </cell>
          <cell r="AK194">
            <v>-291.755</v>
          </cell>
          <cell r="AL194">
            <v>-67.185000000000031</v>
          </cell>
          <cell r="AM194">
            <v>-167.31100000000004</v>
          </cell>
          <cell r="AN194">
            <v>-199.21499999999997</v>
          </cell>
          <cell r="AO194">
            <v>-324.57600000000008</v>
          </cell>
          <cell r="AP194">
            <v>-324.57600000000008</v>
          </cell>
          <cell r="AQ194">
            <v>-32.696000000000005</v>
          </cell>
          <cell r="AR194">
            <v>-149.47900000000001</v>
          </cell>
          <cell r="AS194">
            <v>-179.53600000000003</v>
          </cell>
          <cell r="AT194">
            <v>-259.66799999999995</v>
          </cell>
          <cell r="AU194">
            <v>-259.66799999999995</v>
          </cell>
          <cell r="AW194">
            <v>-100.12599999999999</v>
          </cell>
          <cell r="AX194">
            <v>-132.02999999999997</v>
          </cell>
          <cell r="AY194">
            <v>-257.39100000000002</v>
          </cell>
          <cell r="AZ194">
            <v>-290.0870000000001</v>
          </cell>
          <cell r="BA194">
            <v>-290.0870000000001</v>
          </cell>
          <cell r="BB194">
            <v>-116.78299999999999</v>
          </cell>
          <cell r="BC194">
            <v>-146.84000000000003</v>
          </cell>
          <cell r="BD194">
            <v>-226.97200000000004</v>
          </cell>
          <cell r="BE194">
            <v>-301.36400000000003</v>
          </cell>
          <cell r="BF194">
            <v>-301.36400000000003</v>
          </cell>
          <cell r="BG194">
            <v>-77.930999999999983</v>
          </cell>
          <cell r="BH194">
            <v>-148.99700000000001</v>
          </cell>
          <cell r="BI194">
            <v>-242.887</v>
          </cell>
          <cell r="BJ194">
            <v>-400.68300000000005</v>
          </cell>
          <cell r="BK194">
            <v>-400.68300000000005</v>
          </cell>
          <cell r="BL194">
            <v>-167.33700000000002</v>
          </cell>
          <cell r="BM194">
            <v>-200.227</v>
          </cell>
          <cell r="BN194">
            <v>-430.35300000000001</v>
          </cell>
          <cell r="BO194">
            <v>-632.86700000000008</v>
          </cell>
          <cell r="BP194">
            <v>-632.86700000000008</v>
          </cell>
          <cell r="BQ194">
            <v>-75.684999999999988</v>
          </cell>
          <cell r="BR194">
            <v>-146.20899999999997</v>
          </cell>
          <cell r="BS194">
            <v>-287.90699999999998</v>
          </cell>
          <cell r="BT194">
            <v>-485.31399999999996</v>
          </cell>
          <cell r="BU194">
            <v>-485.31399999999996</v>
          </cell>
          <cell r="BV194">
            <v>-138.79099999999997</v>
          </cell>
          <cell r="BW194">
            <v>-240.29900000000004</v>
          </cell>
          <cell r="BX194">
            <v>-389.47</v>
          </cell>
          <cell r="BY194">
            <v>-614.75000000000011</v>
          </cell>
          <cell r="BZ194">
            <v>-614.75000000000011</v>
          </cell>
          <cell r="CA194">
            <v>-201.37699999999998</v>
          </cell>
          <cell r="CB194">
            <v>-292.79200000000003</v>
          </cell>
          <cell r="CC194">
            <v>-441.339</v>
          </cell>
          <cell r="CD194">
            <v>-660.44899999999996</v>
          </cell>
          <cell r="CE194">
            <v>-660.44899999999996</v>
          </cell>
          <cell r="CF194">
            <v>-201.15</v>
          </cell>
          <cell r="CG194">
            <v>-346.83100000000002</v>
          </cell>
          <cell r="CH194">
            <v>-507.93899999999996</v>
          </cell>
          <cell r="CI194">
            <v>-796.23799999999994</v>
          </cell>
          <cell r="CJ194">
            <v>-796.23799999999994</v>
          </cell>
          <cell r="CK194">
            <v>-301.09800000000001</v>
          </cell>
          <cell r="CL194">
            <v>-438.86100000000005</v>
          </cell>
          <cell r="CM194">
            <v>-669.82350000000008</v>
          </cell>
          <cell r="CN194">
            <v>-902.13408145049289</v>
          </cell>
          <cell r="CO194">
            <v>-902.13408145049289</v>
          </cell>
          <cell r="CP194">
            <v>-347.4878008045859</v>
          </cell>
          <cell r="CQ194">
            <v>-442.91113542373904</v>
          </cell>
          <cell r="CR194">
            <v>-684.64874493322225</v>
          </cell>
          <cell r="CS194">
            <v>-943.92135225265997</v>
          </cell>
          <cell r="CT194">
            <v>-943.92135225265997</v>
          </cell>
          <cell r="CU194">
            <v>-297.33164928153428</v>
          </cell>
          <cell r="CV194">
            <v>-341.24552328611577</v>
          </cell>
          <cell r="CW194">
            <v>-533.37386479169982</v>
          </cell>
          <cell r="CX194">
            <v>-740.52707138477979</v>
          </cell>
          <cell r="CY194">
            <v>-740.52707138477979</v>
          </cell>
          <cell r="CZ194">
            <v>-303.44515457149112</v>
          </cell>
          <cell r="DA194">
            <v>-322.1940337312513</v>
          </cell>
          <cell r="DB194">
            <v>-495.45612942144908</v>
          </cell>
          <cell r="DC194">
            <v>-683.76534107477471</v>
          </cell>
          <cell r="DD194">
            <v>-683.76534107477471</v>
          </cell>
          <cell r="DE194">
            <v>-303.3765016561922</v>
          </cell>
          <cell r="DF194">
            <v>-306.17721183202764</v>
          </cell>
          <cell r="DG194">
            <v>-466.5353591617851</v>
          </cell>
          <cell r="DH194">
            <v>-638.95149696762178</v>
          </cell>
          <cell r="DI194">
            <v>-638.95149696762178</v>
          </cell>
        </row>
        <row r="196">
          <cell r="B196" t="str">
            <v>Discontinued operations</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W196">
            <v>0</v>
          </cell>
          <cell r="AX196">
            <v>0</v>
          </cell>
          <cell r="AY196">
            <v>0</v>
          </cell>
          <cell r="AZ196">
            <v>0</v>
          </cell>
          <cell r="BA196">
            <v>0</v>
          </cell>
          <cell r="BB196">
            <v>0</v>
          </cell>
          <cell r="BC196">
            <v>0</v>
          </cell>
          <cell r="BD196">
            <v>0</v>
          </cell>
          <cell r="BE196">
            <v>0</v>
          </cell>
          <cell r="BF196">
            <v>0</v>
          </cell>
          <cell r="BG196">
            <v>-0.45</v>
          </cell>
          <cell r="BH196">
            <v>-0.61</v>
          </cell>
          <cell r="BI196">
            <v>-11.667</v>
          </cell>
          <cell r="BJ196">
            <v>2.3170000000000002</v>
          </cell>
          <cell r="BK196">
            <v>2.3170000000000002</v>
          </cell>
          <cell r="BL196">
            <v>0.624</v>
          </cell>
          <cell r="BM196">
            <v>1.077</v>
          </cell>
          <cell r="BN196">
            <v>-9.31</v>
          </cell>
          <cell r="BO196">
            <v>-1.9700000000000006</v>
          </cell>
          <cell r="BP196">
            <v>-1.9700000000000006</v>
          </cell>
          <cell r="BQ196">
            <v>27.731999999999999</v>
          </cell>
          <cell r="BR196">
            <v>37.258000000000003</v>
          </cell>
          <cell r="BS196">
            <v>41.582999999999998</v>
          </cell>
          <cell r="BT196">
            <v>56.076999999999998</v>
          </cell>
          <cell r="BU196">
            <v>56.076999999999998</v>
          </cell>
          <cell r="BV196">
            <v>1.508</v>
          </cell>
          <cell r="BW196">
            <v>1.508</v>
          </cell>
          <cell r="BX196">
            <v>-1.0419999999999998</v>
          </cell>
          <cell r="BY196">
            <v>-4.5860000000000003</v>
          </cell>
          <cell r="BZ196">
            <v>-4.5860000000000003</v>
          </cell>
          <cell r="CA196">
            <v>0</v>
          </cell>
          <cell r="CB196">
            <v>0</v>
          </cell>
          <cell r="CC196">
            <v>0</v>
          </cell>
          <cell r="CD196">
            <v>13.8</v>
          </cell>
          <cell r="CE196">
            <v>13.8</v>
          </cell>
          <cell r="CF196">
            <v>0.59799999999999998</v>
          </cell>
          <cell r="CG196">
            <v>1.4370000000000001</v>
          </cell>
          <cell r="CH196">
            <v>1.1819999999999999</v>
          </cell>
          <cell r="CI196">
            <v>2.4089999999999998</v>
          </cell>
          <cell r="CJ196">
            <v>2.4089999999999998</v>
          </cell>
          <cell r="CK196">
            <v>1.395</v>
          </cell>
          <cell r="CL196">
            <v>4.4160000000000004</v>
          </cell>
          <cell r="CM196">
            <v>5.8049999999999997</v>
          </cell>
          <cell r="CN196">
            <v>5.8049999999999997</v>
          </cell>
          <cell r="CO196">
            <v>5.8049999999999997</v>
          </cell>
          <cell r="CP196">
            <v>0</v>
          </cell>
          <cell r="CQ196">
            <v>0</v>
          </cell>
          <cell r="CR196">
            <v>0</v>
          </cell>
          <cell r="CS196">
            <v>0</v>
          </cell>
          <cell r="CT196">
            <v>0</v>
          </cell>
          <cell r="CU196">
            <v>0</v>
          </cell>
          <cell r="CV196">
            <v>0</v>
          </cell>
          <cell r="CW196">
            <v>0</v>
          </cell>
          <cell r="CX196">
            <v>0</v>
          </cell>
          <cell r="CY196">
            <v>0</v>
          </cell>
          <cell r="CZ196">
            <v>0</v>
          </cell>
          <cell r="DA196">
            <v>0</v>
          </cell>
          <cell r="DB196">
            <v>0</v>
          </cell>
          <cell r="DC196">
            <v>0</v>
          </cell>
          <cell r="DD196">
            <v>0</v>
          </cell>
          <cell r="DE196">
            <v>0</v>
          </cell>
          <cell r="DF196">
            <v>0</v>
          </cell>
          <cell r="DG196">
            <v>0</v>
          </cell>
          <cell r="DH196">
            <v>0</v>
          </cell>
          <cell r="DI196">
            <v>0</v>
          </cell>
        </row>
        <row r="197">
          <cell r="B197" t="str">
            <v>Cash Flow from Operations</v>
          </cell>
          <cell r="F197">
            <v>44.536999999999985</v>
          </cell>
          <cell r="G197">
            <v>41.774000000000008</v>
          </cell>
          <cell r="H197">
            <v>46.165999999999976</v>
          </cell>
          <cell r="I197">
            <v>74.222000000000079</v>
          </cell>
          <cell r="J197">
            <v>94.568999999999988</v>
          </cell>
          <cell r="K197">
            <v>132.33600000000001</v>
          </cell>
          <cell r="L197">
            <v>117.95099999999989</v>
          </cell>
          <cell r="M197">
            <v>54.22499999999998</v>
          </cell>
          <cell r="N197">
            <v>107.41099999999997</v>
          </cell>
          <cell r="O197">
            <v>139.88200000000001</v>
          </cell>
          <cell r="P197">
            <v>168.34900000000002</v>
          </cell>
          <cell r="Q197">
            <v>168.34900000000002</v>
          </cell>
          <cell r="R197">
            <v>37.791999999999994</v>
          </cell>
          <cell r="S197">
            <v>72.935000000000002</v>
          </cell>
          <cell r="T197">
            <v>132.44500000000005</v>
          </cell>
          <cell r="U197">
            <v>176.89700000000002</v>
          </cell>
          <cell r="V197">
            <v>176.89700000000002</v>
          </cell>
          <cell r="W197">
            <v>55.031000000000041</v>
          </cell>
          <cell r="X197">
            <v>115.04000000000009</v>
          </cell>
          <cell r="Y197">
            <v>212.58200000000002</v>
          </cell>
          <cell r="Z197">
            <v>290.04200000000003</v>
          </cell>
          <cell r="AA197">
            <v>290.04200000000003</v>
          </cell>
          <cell r="AB197">
            <v>128.44200000000004</v>
          </cell>
          <cell r="AC197">
            <v>171.35100000000006</v>
          </cell>
          <cell r="AD197">
            <v>283.548</v>
          </cell>
          <cell r="AE197">
            <v>354.13600000000008</v>
          </cell>
          <cell r="AF197">
            <v>354.13600000000008</v>
          </cell>
          <cell r="AG197">
            <v>110.47399999999999</v>
          </cell>
          <cell r="AH197">
            <v>147.62899999999993</v>
          </cell>
          <cell r="AI197">
            <v>265.72099999999989</v>
          </cell>
          <cell r="AJ197">
            <v>333.86199999999997</v>
          </cell>
          <cell r="AK197">
            <v>333.86199999999997</v>
          </cell>
          <cell r="AL197">
            <v>93.21599999999998</v>
          </cell>
          <cell r="AM197">
            <v>176.73399999999998</v>
          </cell>
          <cell r="AN197">
            <v>328.77699999999999</v>
          </cell>
          <cell r="AO197">
            <v>458.0019999999999</v>
          </cell>
          <cell r="AP197">
            <v>458.0019999999999</v>
          </cell>
          <cell r="AQ197">
            <v>156.40800000000004</v>
          </cell>
          <cell r="AR197">
            <v>257.76600000000019</v>
          </cell>
          <cell r="AS197">
            <v>441.51900000000001</v>
          </cell>
          <cell r="AT197">
            <v>563.71500000000015</v>
          </cell>
          <cell r="AU197">
            <v>563.71500000000015</v>
          </cell>
          <cell r="AW197">
            <v>83.518000000000015</v>
          </cell>
          <cell r="AX197">
            <v>235.56100000000004</v>
          </cell>
          <cell r="AY197">
            <v>364.78599999999989</v>
          </cell>
          <cell r="AZ197">
            <v>521.19399999999985</v>
          </cell>
          <cell r="BA197">
            <v>521.19399999999962</v>
          </cell>
          <cell r="BB197">
            <v>101.35800000000012</v>
          </cell>
          <cell r="BC197">
            <v>285.11100000000005</v>
          </cell>
          <cell r="BD197">
            <v>407.30700000000019</v>
          </cell>
          <cell r="BE197">
            <v>545.83400000000017</v>
          </cell>
          <cell r="BF197">
            <v>545.83400000000017</v>
          </cell>
          <cell r="BG197">
            <v>139.30900000000017</v>
          </cell>
          <cell r="BH197">
            <v>275.19400000000007</v>
          </cell>
          <cell r="BI197">
            <v>353.10000000000025</v>
          </cell>
          <cell r="BJ197">
            <v>447.70000000000022</v>
          </cell>
          <cell r="BK197">
            <v>447.70000000000022</v>
          </cell>
          <cell r="BL197">
            <v>76.127999999999759</v>
          </cell>
          <cell r="BM197">
            <v>223.62799999999979</v>
          </cell>
          <cell r="BN197">
            <v>241.23899999999981</v>
          </cell>
          <cell r="BO197">
            <v>322.4549999999997</v>
          </cell>
          <cell r="BP197">
            <v>322.4549999999997</v>
          </cell>
          <cell r="BQ197">
            <v>145.12799999999993</v>
          </cell>
          <cell r="BR197">
            <v>286.24899999999997</v>
          </cell>
          <cell r="BS197">
            <v>376.04999999999984</v>
          </cell>
          <cell r="BT197">
            <v>425.56499999999994</v>
          </cell>
          <cell r="BU197">
            <v>425.56499999999994</v>
          </cell>
          <cell r="BV197">
            <v>116.73599999999989</v>
          </cell>
          <cell r="BW197">
            <v>255.22599999999991</v>
          </cell>
          <cell r="BX197">
            <v>357.43099999999998</v>
          </cell>
          <cell r="BY197">
            <v>442.28099999999961</v>
          </cell>
          <cell r="BZ197">
            <v>442.28099999999961</v>
          </cell>
          <cell r="CA197">
            <v>79.649999999999892</v>
          </cell>
          <cell r="CB197">
            <v>237.32799999999986</v>
          </cell>
          <cell r="CC197">
            <v>360.07100000000008</v>
          </cell>
          <cell r="CD197">
            <v>437.12499999999994</v>
          </cell>
          <cell r="CE197">
            <v>437.12499999999994</v>
          </cell>
          <cell r="CF197">
            <v>116.82600000000015</v>
          </cell>
          <cell r="CG197">
            <v>271.49700000000018</v>
          </cell>
          <cell r="CH197">
            <v>446.95100000000036</v>
          </cell>
          <cell r="CI197">
            <v>544.02200000000039</v>
          </cell>
          <cell r="CJ197">
            <v>544.02200000000039</v>
          </cell>
          <cell r="CK197">
            <v>62.087000000000238</v>
          </cell>
          <cell r="CL197">
            <v>291.00100000000009</v>
          </cell>
          <cell r="CM197">
            <v>458.14630000000039</v>
          </cell>
          <cell r="CN197">
            <v>615.29783351970707</v>
          </cell>
          <cell r="CO197">
            <v>615.29783351970707</v>
          </cell>
          <cell r="CP197">
            <v>56.555070157559101</v>
          </cell>
          <cell r="CQ197">
            <v>366.00107173983298</v>
          </cell>
          <cell r="CR197">
            <v>527.71730071104218</v>
          </cell>
          <cell r="CS197">
            <v>659.54576282506309</v>
          </cell>
          <cell r="CT197">
            <v>659.54576282506309</v>
          </cell>
          <cell r="CU197">
            <v>70.743399563403841</v>
          </cell>
          <cell r="CV197">
            <v>406.8416013599014</v>
          </cell>
          <cell r="CW197">
            <v>593.47683427761331</v>
          </cell>
          <cell r="CX197">
            <v>749.54840849362483</v>
          </cell>
          <cell r="CY197">
            <v>749.54840849362483</v>
          </cell>
          <cell r="CZ197">
            <v>73.109425480775258</v>
          </cell>
          <cell r="DA197">
            <v>427.28426358445512</v>
          </cell>
          <cell r="DB197">
            <v>626.15299273677579</v>
          </cell>
          <cell r="DC197">
            <v>796.02212780928414</v>
          </cell>
          <cell r="DD197">
            <v>796.02212780928414</v>
          </cell>
          <cell r="DE197">
            <v>77.890060357288121</v>
          </cell>
          <cell r="DF197">
            <v>449.57817000642024</v>
          </cell>
          <cell r="DG197">
            <v>663.24919542607415</v>
          </cell>
          <cell r="DH197">
            <v>847.61879698028474</v>
          </cell>
          <cell r="DI197">
            <v>847.61879698028474</v>
          </cell>
        </row>
        <row r="200">
          <cell r="B200" t="str">
            <v>Acquisitions</v>
          </cell>
          <cell r="F200">
            <v>0</v>
          </cell>
          <cell r="G200">
            <v>-25.593</v>
          </cell>
          <cell r="H200">
            <v>-1.2949999999999999</v>
          </cell>
          <cell r="I200">
            <v>-73.959999999999994</v>
          </cell>
          <cell r="J200">
            <v>-99.638999999999996</v>
          </cell>
          <cell r="K200">
            <v>-51.466999999999999</v>
          </cell>
          <cell r="L200">
            <v>-169.48400000000001</v>
          </cell>
          <cell r="M200">
            <v>-7.0209999999999999</v>
          </cell>
          <cell r="N200">
            <v>-7.2649999999999997</v>
          </cell>
          <cell r="O200">
            <v>-168.05600000000001</v>
          </cell>
          <cell r="P200">
            <v>-183.96699999999998</v>
          </cell>
          <cell r="Q200">
            <v>-183.96699999999998</v>
          </cell>
          <cell r="R200">
            <v>0</v>
          </cell>
          <cell r="S200">
            <v>0</v>
          </cell>
          <cell r="T200">
            <v>-55.603000000000002</v>
          </cell>
          <cell r="U200">
            <v>-130.40199999999999</v>
          </cell>
          <cell r="V200">
            <v>-130.40199999999999</v>
          </cell>
          <cell r="W200">
            <v>0</v>
          </cell>
          <cell r="X200">
            <v>0</v>
          </cell>
          <cell r="Y200">
            <v>-60.198</v>
          </cell>
          <cell r="Z200">
            <v>-100.89400000000001</v>
          </cell>
          <cell r="AA200">
            <v>-100.89400000000001</v>
          </cell>
          <cell r="AB200">
            <v>-186.52</v>
          </cell>
          <cell r="AC200">
            <v>-186.95599999999999</v>
          </cell>
          <cell r="AD200">
            <v>-267.12</v>
          </cell>
          <cell r="AE200">
            <v>-300.17899999999997</v>
          </cell>
          <cell r="AF200">
            <v>-300.17899999999997</v>
          </cell>
          <cell r="AG200">
            <v>-9.5559999999999992</v>
          </cell>
          <cell r="AH200">
            <v>-19.356999999999999</v>
          </cell>
          <cell r="AI200">
            <v>-19.268999999999998</v>
          </cell>
          <cell r="AJ200">
            <v>-126.477</v>
          </cell>
          <cell r="AK200">
            <v>-126.477</v>
          </cell>
          <cell r="AL200">
            <v>-527.49800000000005</v>
          </cell>
          <cell r="AM200">
            <v>-519.01599999999996</v>
          </cell>
          <cell r="AN200">
            <v>-517.774</v>
          </cell>
          <cell r="AO200">
            <v>-517.94399999999996</v>
          </cell>
          <cell r="AP200">
            <v>-517.94399999999996</v>
          </cell>
          <cell r="AQ200">
            <v>-20.108000000000001</v>
          </cell>
          <cell r="AR200">
            <v>-340.01799999999997</v>
          </cell>
          <cell r="AS200">
            <v>-341.87400000000002</v>
          </cell>
          <cell r="AT200">
            <v>-341.99</v>
          </cell>
          <cell r="AU200">
            <v>-341.99</v>
          </cell>
          <cell r="AW200">
            <v>8.4820000000000846</v>
          </cell>
          <cell r="AX200">
            <v>9.7240000000000464</v>
          </cell>
          <cell r="AY200">
            <v>9.5540000000000873</v>
          </cell>
          <cell r="AZ200">
            <v>-10.553999999999913</v>
          </cell>
          <cell r="BA200">
            <v>-10.553999999999913</v>
          </cell>
          <cell r="BB200">
            <v>-319.90999999999997</v>
          </cell>
          <cell r="BC200">
            <v>-321.76600000000002</v>
          </cell>
          <cell r="BD200">
            <v>-321.88200000000001</v>
          </cell>
          <cell r="BE200">
            <v>-410.92599999999999</v>
          </cell>
          <cell r="BF200">
            <v>-410.92599999999999</v>
          </cell>
          <cell r="BG200">
            <v>-38.146999999999998</v>
          </cell>
          <cell r="BH200">
            <v>-182.566</v>
          </cell>
          <cell r="BI200">
            <v>-184.87</v>
          </cell>
          <cell r="BJ200">
            <v>-184.87</v>
          </cell>
          <cell r="BK200">
            <v>-184.87</v>
          </cell>
          <cell r="BL200">
            <v>0</v>
          </cell>
          <cell r="BM200">
            <v>-36.127000000000002</v>
          </cell>
          <cell r="BN200">
            <v>-36.127000000000002</v>
          </cell>
          <cell r="BO200">
            <v>-38.598999999999997</v>
          </cell>
          <cell r="BP200">
            <v>-38.598999999999997</v>
          </cell>
          <cell r="BQ200">
            <v>-2.42</v>
          </cell>
          <cell r="BR200">
            <v>-2.42</v>
          </cell>
          <cell r="BS200">
            <v>-2.42</v>
          </cell>
          <cell r="BT200">
            <v>-8.5259999999999998</v>
          </cell>
          <cell r="BU200">
            <v>-8.5259999999999998</v>
          </cell>
          <cell r="BV200">
            <v>0</v>
          </cell>
          <cell r="BW200">
            <v>0</v>
          </cell>
          <cell r="BX200">
            <v>-0.56899999999999995</v>
          </cell>
          <cell r="BY200">
            <v>-138.76400000000001</v>
          </cell>
          <cell r="BZ200">
            <v>-138.76400000000001</v>
          </cell>
          <cell r="CA200">
            <v>-10.959</v>
          </cell>
          <cell r="CB200">
            <v>-10.959</v>
          </cell>
          <cell r="CC200">
            <v>-37.906999999999996</v>
          </cell>
          <cell r="CD200">
            <v>-191.45400000000001</v>
          </cell>
          <cell r="CE200">
            <v>-191.45400000000001</v>
          </cell>
          <cell r="CF200">
            <v>-3.6960000000000002</v>
          </cell>
          <cell r="CG200">
            <v>-42.890999999999998</v>
          </cell>
          <cell r="CH200">
            <v>-573.43899999999985</v>
          </cell>
          <cell r="CI200">
            <v>-582.09</v>
          </cell>
          <cell r="CJ200">
            <v>-582.09</v>
          </cell>
          <cell r="CK200">
            <v>-81.617000000000004</v>
          </cell>
          <cell r="CL200">
            <v>-66.673000000000002</v>
          </cell>
          <cell r="CM200">
            <v>-71.474999999999994</v>
          </cell>
          <cell r="CN200">
            <v>-71.474999999999994</v>
          </cell>
          <cell r="CO200">
            <v>-71.474999999999994</v>
          </cell>
          <cell r="CP200">
            <v>0</v>
          </cell>
          <cell r="CQ200">
            <v>0</v>
          </cell>
          <cell r="CR200">
            <v>0</v>
          </cell>
          <cell r="CS200">
            <v>0</v>
          </cell>
          <cell r="CT200">
            <v>0</v>
          </cell>
          <cell r="CU200">
            <v>0</v>
          </cell>
          <cell r="CV200">
            <v>0</v>
          </cell>
          <cell r="CW200">
            <v>0</v>
          </cell>
          <cell r="CX200">
            <v>0</v>
          </cell>
          <cell r="CY200">
            <v>0</v>
          </cell>
          <cell r="CZ200">
            <v>0</v>
          </cell>
          <cell r="DA200">
            <v>0</v>
          </cell>
          <cell r="DB200">
            <v>0</v>
          </cell>
          <cell r="DC200">
            <v>0</v>
          </cell>
          <cell r="DD200">
            <v>0</v>
          </cell>
          <cell r="DE200">
            <v>0</v>
          </cell>
          <cell r="DF200">
            <v>0</v>
          </cell>
          <cell r="DG200">
            <v>0</v>
          </cell>
          <cell r="DH200">
            <v>0</v>
          </cell>
          <cell r="DI200">
            <v>0</v>
          </cell>
        </row>
        <row r="201">
          <cell r="B201" t="str">
            <v>Capital expenditures</v>
          </cell>
          <cell r="F201">
            <v>-14.347</v>
          </cell>
          <cell r="G201">
            <v>-7.492</v>
          </cell>
          <cell r="H201">
            <v>-22.536000000000001</v>
          </cell>
          <cell r="I201">
            <v>-22.937999999999999</v>
          </cell>
          <cell r="J201">
            <v>-41.238999999999997</v>
          </cell>
          <cell r="K201">
            <v>-59.348999999999997</v>
          </cell>
          <cell r="L201">
            <v>-67.930999999999997</v>
          </cell>
          <cell r="M201">
            <v>-38</v>
          </cell>
          <cell r="N201">
            <v>-77.320999999999998</v>
          </cell>
          <cell r="O201">
            <v>-109.07</v>
          </cell>
          <cell r="P201">
            <v>-159.392</v>
          </cell>
          <cell r="Q201">
            <v>-159.392</v>
          </cell>
          <cell r="R201">
            <v>-28.524999999999999</v>
          </cell>
          <cell r="S201">
            <v>-56.442</v>
          </cell>
          <cell r="T201">
            <v>-87.266000000000005</v>
          </cell>
          <cell r="U201">
            <v>-120.70400000000001</v>
          </cell>
          <cell r="V201">
            <v>-120.70400000000001</v>
          </cell>
          <cell r="W201">
            <v>-16.52</v>
          </cell>
          <cell r="X201">
            <v>-53.736999999999995</v>
          </cell>
          <cell r="Y201">
            <v>-67.177999999999997</v>
          </cell>
          <cell r="Z201">
            <v>-73.472999999999999</v>
          </cell>
          <cell r="AA201">
            <v>-73.472999999999999</v>
          </cell>
          <cell r="AB201">
            <v>-20.582000000000001</v>
          </cell>
          <cell r="AC201">
            <v>-56.198999999999998</v>
          </cell>
          <cell r="AD201">
            <v>-81.912999999999997</v>
          </cell>
          <cell r="AE201">
            <v>-116.047</v>
          </cell>
          <cell r="AF201">
            <v>-116.047</v>
          </cell>
          <cell r="AG201">
            <v>-32.015000000000001</v>
          </cell>
          <cell r="AH201">
            <v>-84.209000000000003</v>
          </cell>
          <cell r="AI201">
            <v>-123.321</v>
          </cell>
          <cell r="AJ201">
            <v>-165.571</v>
          </cell>
          <cell r="AK201">
            <v>-165.571</v>
          </cell>
          <cell r="AL201">
            <v>-53.941000000000003</v>
          </cell>
          <cell r="AM201">
            <v>-118.407</v>
          </cell>
          <cell r="AN201">
            <v>-173.56899999999999</v>
          </cell>
          <cell r="AO201">
            <v>-201.65999999999997</v>
          </cell>
          <cell r="AP201">
            <v>-201.65999999999997</v>
          </cell>
          <cell r="AQ201">
            <v>-43.509</v>
          </cell>
          <cell r="AR201">
            <v>-110.38800000000001</v>
          </cell>
          <cell r="AS201">
            <v>-204.27500000000003</v>
          </cell>
          <cell r="AT201">
            <v>-273.34100000000001</v>
          </cell>
          <cell r="AU201">
            <v>-273.34100000000001</v>
          </cell>
          <cell r="AW201">
            <v>-64.465999999999994</v>
          </cell>
          <cell r="AX201">
            <v>-119.62799999999999</v>
          </cell>
          <cell r="AY201">
            <v>-147.71899999999999</v>
          </cell>
          <cell r="AZ201">
            <v>-191.22800000000001</v>
          </cell>
          <cell r="BA201">
            <v>-191.22800000000001</v>
          </cell>
          <cell r="BB201">
            <v>-66.879000000000005</v>
          </cell>
          <cell r="BC201">
            <v>-160.76600000000002</v>
          </cell>
          <cell r="BD201">
            <v>-229.83200000000002</v>
          </cell>
          <cell r="BE201">
            <v>-304.30900000000003</v>
          </cell>
          <cell r="BF201">
            <v>-304.30900000000003</v>
          </cell>
          <cell r="BG201">
            <v>-95.24</v>
          </cell>
          <cell r="BH201">
            <v>-177.607</v>
          </cell>
          <cell r="BI201">
            <v>-254.49</v>
          </cell>
          <cell r="BJ201">
            <v>-338.536</v>
          </cell>
          <cell r="BK201">
            <v>-338.536</v>
          </cell>
          <cell r="BL201">
            <v>-69.734999999999999</v>
          </cell>
          <cell r="BM201">
            <v>-146.077</v>
          </cell>
          <cell r="BN201">
            <v>-213.35499999999996</v>
          </cell>
          <cell r="BO201">
            <v>-270.59800000000001</v>
          </cell>
          <cell r="BP201">
            <v>-270.59800000000001</v>
          </cell>
          <cell r="BQ201">
            <v>-46.805</v>
          </cell>
          <cell r="BR201">
            <v>-93.512</v>
          </cell>
          <cell r="BS201">
            <v>-159.44999999999999</v>
          </cell>
          <cell r="BT201">
            <v>-218.179</v>
          </cell>
          <cell r="BU201">
            <v>-218.179</v>
          </cell>
          <cell r="BV201">
            <v>-65.171000000000006</v>
          </cell>
          <cell r="BW201">
            <v>-115.517</v>
          </cell>
          <cell r="BX201">
            <v>-158.74600000000001</v>
          </cell>
          <cell r="BY201">
            <v>-200.06299999999999</v>
          </cell>
          <cell r="BZ201">
            <v>-200.06299999999999</v>
          </cell>
          <cell r="CA201">
            <v>-32.898000000000003</v>
          </cell>
          <cell r="CB201">
            <v>-92.486000000000004</v>
          </cell>
          <cell r="CC201">
            <v>-147.917</v>
          </cell>
          <cell r="CD201">
            <v>-209.43899999999999</v>
          </cell>
          <cell r="CE201">
            <v>-209.43899999999999</v>
          </cell>
          <cell r="CF201">
            <v>-47.463000000000001</v>
          </cell>
          <cell r="CG201">
            <v>-133.03399999999999</v>
          </cell>
          <cell r="CH201">
            <v>-202.81899999999999</v>
          </cell>
          <cell r="CI201">
            <v>-302.04599999999999</v>
          </cell>
          <cell r="CJ201">
            <v>-302.04599999999999</v>
          </cell>
          <cell r="CK201">
            <v>-80.816999999999993</v>
          </cell>
          <cell r="CL201">
            <v>-194.17500000000001</v>
          </cell>
          <cell r="CM201">
            <v>-282.42399999999998</v>
          </cell>
          <cell r="CN201">
            <v>-357.42399999999998</v>
          </cell>
          <cell r="CO201">
            <v>-357.42399999999998</v>
          </cell>
          <cell r="CP201">
            <v>-50.167574874380378</v>
          </cell>
          <cell r="CQ201">
            <v>-150.50272462314115</v>
          </cell>
          <cell r="CR201">
            <v>-250.8378743719019</v>
          </cell>
          <cell r="CS201">
            <v>-351.17302412066266</v>
          </cell>
          <cell r="CT201">
            <v>-351.17302412066266</v>
          </cell>
          <cell r="CU201">
            <v>-90.436935899596975</v>
          </cell>
          <cell r="CV201">
            <v>-179.48794052155921</v>
          </cell>
          <cell r="CW201">
            <v>-267.54587948146116</v>
          </cell>
          <cell r="CX201">
            <v>-357.85010946608799</v>
          </cell>
          <cell r="CY201">
            <v>-357.85010946608799</v>
          </cell>
          <cell r="CZ201">
            <v>-94.05585343354501</v>
          </cell>
          <cell r="DA201">
            <v>-186.5507975786598</v>
          </cell>
          <cell r="DB201">
            <v>-278.0881250486903</v>
          </cell>
          <cell r="DC201">
            <v>-372.15422436166926</v>
          </cell>
          <cell r="DD201">
            <v>-372.15422436166926</v>
          </cell>
          <cell r="DE201">
            <v>-98.247815780490896</v>
          </cell>
          <cell r="DF201">
            <v>-194.64266110043042</v>
          </cell>
          <cell r="DG201">
            <v>-290.09666995197813</v>
          </cell>
          <cell r="DH201">
            <v>-387.95348425353336</v>
          </cell>
          <cell r="DI201">
            <v>-387.95348425353336</v>
          </cell>
        </row>
        <row r="202">
          <cell r="B202" t="str">
            <v>Proceeds from sale of assets</v>
          </cell>
          <cell r="F202">
            <v>2.7090000000000001</v>
          </cell>
          <cell r="G202">
            <v>2.5999999999999999E-2</v>
          </cell>
          <cell r="H202">
            <v>5.2190000000000003</v>
          </cell>
          <cell r="I202">
            <v>5.7000000000000002E-2</v>
          </cell>
          <cell r="J202">
            <v>2.7E-2</v>
          </cell>
          <cell r="K202">
            <v>0.38800000000000001</v>
          </cell>
          <cell r="L202">
            <v>4.0469999999999997</v>
          </cell>
          <cell r="M202">
            <v>1E-3</v>
          </cell>
          <cell r="N202">
            <v>7.0999999999999994E-2</v>
          </cell>
          <cell r="O202">
            <v>8.3000000000000004E-2</v>
          </cell>
          <cell r="P202">
            <v>0.111</v>
          </cell>
          <cell r="Q202">
            <v>0.111</v>
          </cell>
          <cell r="R202">
            <v>1.0999999999999999E-2</v>
          </cell>
          <cell r="S202">
            <v>0.14799999999999999</v>
          </cell>
          <cell r="T202">
            <v>0.14899999999999999</v>
          </cell>
          <cell r="U202">
            <v>0.20700000000000002</v>
          </cell>
          <cell r="V202">
            <v>0.20700000000000002</v>
          </cell>
          <cell r="W202">
            <v>2.7919999999999998</v>
          </cell>
          <cell r="X202">
            <v>2.9289999999999998</v>
          </cell>
          <cell r="Y202">
            <v>2.9289999999999998</v>
          </cell>
          <cell r="Z202">
            <v>3.3570000000000002</v>
          </cell>
          <cell r="AA202">
            <v>3.3570000000000002</v>
          </cell>
          <cell r="AB202">
            <v>40.052</v>
          </cell>
          <cell r="AC202">
            <v>40.734000000000002</v>
          </cell>
          <cell r="AD202">
            <v>40.405000000000001</v>
          </cell>
          <cell r="AE202">
            <v>41.073999999999998</v>
          </cell>
          <cell r="AF202">
            <v>41.073999999999998</v>
          </cell>
          <cell r="AG202">
            <v>0.12</v>
          </cell>
          <cell r="AH202">
            <v>0.47199999999999998</v>
          </cell>
          <cell r="AI202">
            <v>0.77400000000000002</v>
          </cell>
          <cell r="AJ202">
            <v>1.26</v>
          </cell>
          <cell r="AK202">
            <v>1.26</v>
          </cell>
          <cell r="AL202">
            <v>5.3999999999999999E-2</v>
          </cell>
          <cell r="AM202">
            <v>0.84199999999999997</v>
          </cell>
          <cell r="AN202">
            <v>4.5090000000000003</v>
          </cell>
          <cell r="AO202">
            <v>10.303999999999998</v>
          </cell>
          <cell r="AP202">
            <v>10.303999999999998</v>
          </cell>
          <cell r="AQ202">
            <v>0.33700000000000002</v>
          </cell>
          <cell r="AR202">
            <v>0.41299999999999998</v>
          </cell>
          <cell r="AS202">
            <v>26.574999999999999</v>
          </cell>
          <cell r="AT202">
            <v>40.212000000000003</v>
          </cell>
          <cell r="AU202">
            <v>40.212000000000003</v>
          </cell>
          <cell r="AW202">
            <v>0.78799999999999992</v>
          </cell>
          <cell r="AX202">
            <v>4.455000000000001</v>
          </cell>
          <cell r="AY202">
            <v>10.25</v>
          </cell>
          <cell r="AZ202">
            <v>10.587</v>
          </cell>
          <cell r="BA202">
            <v>10.587</v>
          </cell>
          <cell r="BB202">
            <v>7.5999999999999956E-2</v>
          </cell>
          <cell r="BC202">
            <v>26.238</v>
          </cell>
          <cell r="BD202">
            <v>39.875</v>
          </cell>
          <cell r="BE202">
            <v>51.134</v>
          </cell>
          <cell r="BF202">
            <v>51.134</v>
          </cell>
          <cell r="BG202">
            <v>3.7269999999999999</v>
          </cell>
          <cell r="BH202">
            <v>4.3380000000000001</v>
          </cell>
          <cell r="BI202">
            <v>5.4370000000000012</v>
          </cell>
          <cell r="BJ202">
            <v>6.0510000000000002</v>
          </cell>
          <cell r="BK202">
            <v>6.0510000000000002</v>
          </cell>
          <cell r="BL202">
            <v>18.585000000000001</v>
          </cell>
          <cell r="BM202">
            <v>21.978000000000002</v>
          </cell>
          <cell r="BN202">
            <v>22.561</v>
          </cell>
          <cell r="BO202">
            <v>32.344999999999999</v>
          </cell>
          <cell r="BP202">
            <v>32.344999999999999</v>
          </cell>
          <cell r="BQ202">
            <v>3.6779999999999999</v>
          </cell>
          <cell r="BR202">
            <v>7.3339999999999996</v>
          </cell>
          <cell r="BS202">
            <v>14.439999999999998</v>
          </cell>
          <cell r="BT202">
            <v>17.712</v>
          </cell>
          <cell r="BU202">
            <v>17.712</v>
          </cell>
          <cell r="BV202">
            <v>0.71299999999999997</v>
          </cell>
          <cell r="BW202">
            <v>4.0010000000000003</v>
          </cell>
          <cell r="BX202">
            <v>4.6529999999999996</v>
          </cell>
          <cell r="BY202">
            <v>5.4480000000000004</v>
          </cell>
          <cell r="BZ202">
            <v>5.4480000000000004</v>
          </cell>
          <cell r="CA202">
            <v>2.1419999999999999</v>
          </cell>
          <cell r="CB202">
            <v>2.1890000000000001</v>
          </cell>
          <cell r="CC202">
            <v>2.3050000000000002</v>
          </cell>
          <cell r="CD202">
            <v>3.15</v>
          </cell>
          <cell r="CE202">
            <v>3.15</v>
          </cell>
          <cell r="CF202">
            <v>0.13700000000000001</v>
          </cell>
          <cell r="CG202">
            <v>1.329</v>
          </cell>
          <cell r="CH202">
            <v>1.792</v>
          </cell>
          <cell r="CI202">
            <v>2.7650000000000001</v>
          </cell>
          <cell r="CJ202">
            <v>2.7650000000000001</v>
          </cell>
          <cell r="CK202">
            <v>0.80800000000000005</v>
          </cell>
          <cell r="CL202">
            <v>1.367</v>
          </cell>
          <cell r="CM202">
            <v>1.9319999999999999</v>
          </cell>
          <cell r="CN202">
            <v>1.9319999999999999</v>
          </cell>
          <cell r="CO202">
            <v>1.9319999999999999</v>
          </cell>
          <cell r="CP202">
            <v>0</v>
          </cell>
          <cell r="CQ202">
            <v>0</v>
          </cell>
          <cell r="CR202">
            <v>0</v>
          </cell>
          <cell r="CS202">
            <v>0</v>
          </cell>
          <cell r="CT202">
            <v>0</v>
          </cell>
          <cell r="CU202">
            <v>0</v>
          </cell>
          <cell r="CV202">
            <v>0</v>
          </cell>
          <cell r="CW202">
            <v>0</v>
          </cell>
          <cell r="CX202">
            <v>0</v>
          </cell>
          <cell r="CY202">
            <v>0</v>
          </cell>
          <cell r="CZ202">
            <v>0</v>
          </cell>
          <cell r="DA202">
            <v>0</v>
          </cell>
          <cell r="DB202">
            <v>0</v>
          </cell>
          <cell r="DC202">
            <v>0</v>
          </cell>
          <cell r="DD202">
            <v>0</v>
          </cell>
          <cell r="DE202">
            <v>0</v>
          </cell>
          <cell r="DF202">
            <v>0</v>
          </cell>
          <cell r="DG202">
            <v>0</v>
          </cell>
          <cell r="DH202">
            <v>0</v>
          </cell>
          <cell r="DI202">
            <v>0</v>
          </cell>
        </row>
        <row r="203">
          <cell r="B203" t="str">
            <v>Proceeds from sale of discontinued operations</v>
          </cell>
          <cell r="BL203">
            <v>0</v>
          </cell>
          <cell r="BM203">
            <v>0</v>
          </cell>
          <cell r="BN203">
            <v>70</v>
          </cell>
          <cell r="BO203">
            <v>70</v>
          </cell>
          <cell r="BP203">
            <v>70</v>
          </cell>
          <cell r="BQ203">
            <v>0</v>
          </cell>
          <cell r="BR203">
            <v>3.5</v>
          </cell>
          <cell r="BS203">
            <v>18.166</v>
          </cell>
          <cell r="BT203">
            <v>18.166</v>
          </cell>
          <cell r="BU203">
            <v>18.166</v>
          </cell>
          <cell r="BV203">
            <v>0</v>
          </cell>
          <cell r="BW203">
            <v>0</v>
          </cell>
          <cell r="BX203">
            <v>0</v>
          </cell>
          <cell r="BY203">
            <v>0</v>
          </cell>
          <cell r="BZ203">
            <v>0</v>
          </cell>
        </row>
        <row r="204">
          <cell r="B204" t="str">
            <v>Decrease (increase) in restricted funds, net</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-29.315999999999999</v>
          </cell>
          <cell r="AK204">
            <v>-29.315999999999999</v>
          </cell>
          <cell r="AL204">
            <v>-1.323</v>
          </cell>
          <cell r="AM204">
            <v>-21.231000000000002</v>
          </cell>
          <cell r="AN204">
            <v>-31.308</v>
          </cell>
          <cell r="AO204">
            <v>0</v>
          </cell>
          <cell r="AP204">
            <v>0</v>
          </cell>
          <cell r="AQ204">
            <v>0</v>
          </cell>
          <cell r="AR204">
            <v>0</v>
          </cell>
          <cell r="AS204">
            <v>0</v>
          </cell>
          <cell r="AT204" t="e">
            <v>#REF!</v>
          </cell>
          <cell r="AU204" t="e">
            <v>#REF!</v>
          </cell>
          <cell r="AW204">
            <v>-19.908000000000001</v>
          </cell>
          <cell r="AX204">
            <v>-29.984999999999999</v>
          </cell>
          <cell r="AY204">
            <v>1.3230000000000004</v>
          </cell>
          <cell r="AZ204">
            <v>1.3230000000000004</v>
          </cell>
          <cell r="BA204">
            <v>1.3230000000000004</v>
          </cell>
          <cell r="BB204">
            <v>0</v>
          </cell>
          <cell r="BC204">
            <v>0</v>
          </cell>
          <cell r="BD204" t="e">
            <v>#REF!</v>
          </cell>
          <cell r="BE204" t="e">
            <v>#REF!</v>
          </cell>
          <cell r="BF204" t="e">
            <v>#REF!</v>
          </cell>
          <cell r="BG204">
            <v>-2.7040000000000002</v>
          </cell>
          <cell r="BH204">
            <v>-20.228000000000002</v>
          </cell>
          <cell r="BI204">
            <v>-21.571000000000002</v>
          </cell>
          <cell r="BJ204">
            <v>-18.495000000000001</v>
          </cell>
          <cell r="BK204">
            <v>-18.495000000000001</v>
          </cell>
          <cell r="BL204">
            <v>-2.7730000000000001</v>
          </cell>
          <cell r="BM204">
            <v>-12.266999999999999</v>
          </cell>
          <cell r="BN204">
            <v>-7.6379999999999999</v>
          </cell>
          <cell r="BO204">
            <v>-10.673999999999999</v>
          </cell>
          <cell r="BP204">
            <v>-10.673999999999999</v>
          </cell>
          <cell r="BQ204">
            <v>-2.923</v>
          </cell>
          <cell r="BR204">
            <v>2.7799999999999994</v>
          </cell>
          <cell r="BS204">
            <v>5.391</v>
          </cell>
          <cell r="BT204">
            <v>14.51</v>
          </cell>
          <cell r="BU204">
            <v>14.51</v>
          </cell>
          <cell r="BV204">
            <v>3.677</v>
          </cell>
          <cell r="BW204">
            <v>7.6479999999999997</v>
          </cell>
          <cell r="BX204">
            <v>4.2469999999999999</v>
          </cell>
          <cell r="BY204">
            <v>11.59</v>
          </cell>
          <cell r="BZ204">
            <v>11.59</v>
          </cell>
          <cell r="CA204">
            <v>6.0780000000000003</v>
          </cell>
          <cell r="CB204">
            <v>-9.0210000000000008</v>
          </cell>
          <cell r="CC204">
            <v>-7.9349999999999996</v>
          </cell>
          <cell r="CD204">
            <v>-5.758</v>
          </cell>
          <cell r="CE204">
            <v>-5.758</v>
          </cell>
          <cell r="CF204">
            <v>5.6959999999999997</v>
          </cell>
          <cell r="CG204">
            <v>-11.558999999999999</v>
          </cell>
          <cell r="CH204">
            <v>-28.259999999999998</v>
          </cell>
          <cell r="CI204">
            <v>-35.308999999999997</v>
          </cell>
          <cell r="CJ204">
            <v>-35.308999999999997</v>
          </cell>
          <cell r="CK204">
            <v>0.78200000000000003</v>
          </cell>
          <cell r="CL204">
            <v>-1.7829999999999999</v>
          </cell>
          <cell r="CM204">
            <v>-18.722999999999999</v>
          </cell>
          <cell r="CN204">
            <v>-18.722999999999999</v>
          </cell>
          <cell r="CO204">
            <v>-18.722999999999999</v>
          </cell>
          <cell r="CP204">
            <v>0</v>
          </cell>
          <cell r="CQ204">
            <v>0</v>
          </cell>
          <cell r="CR204">
            <v>0</v>
          </cell>
          <cell r="CS204">
            <v>0</v>
          </cell>
          <cell r="CT204">
            <v>0</v>
          </cell>
          <cell r="CU204">
            <v>0</v>
          </cell>
          <cell r="CV204">
            <v>0</v>
          </cell>
          <cell r="CW204">
            <v>0</v>
          </cell>
          <cell r="CX204">
            <v>0</v>
          </cell>
          <cell r="CY204">
            <v>0</v>
          </cell>
          <cell r="CZ204">
            <v>0</v>
          </cell>
          <cell r="DA204">
            <v>0</v>
          </cell>
          <cell r="DB204">
            <v>0</v>
          </cell>
          <cell r="DC204">
            <v>0</v>
          </cell>
          <cell r="DD204">
            <v>0</v>
          </cell>
          <cell r="DE204">
            <v>0</v>
          </cell>
          <cell r="DF204">
            <v>0</v>
          </cell>
          <cell r="DG204">
            <v>0</v>
          </cell>
          <cell r="DH204">
            <v>0</v>
          </cell>
          <cell r="DI204">
            <v>0</v>
          </cell>
        </row>
        <row r="205">
          <cell r="B205" t="str">
            <v>Other</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32</v>
          </cell>
          <cell r="AE205">
            <v>32</v>
          </cell>
          <cell r="AF205">
            <v>32</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cell r="BM205">
            <v>0</v>
          </cell>
          <cell r="BN205">
            <v>0</v>
          </cell>
          <cell r="BO205">
            <v>0</v>
          </cell>
          <cell r="BP205">
            <v>0</v>
          </cell>
          <cell r="BQ205">
            <v>0</v>
          </cell>
          <cell r="BR205">
            <v>0</v>
          </cell>
          <cell r="BS205">
            <v>0</v>
          </cell>
          <cell r="BT205">
            <v>0</v>
          </cell>
          <cell r="BU205">
            <v>0</v>
          </cell>
          <cell r="BV205">
            <v>0</v>
          </cell>
          <cell r="BW205">
            <v>0</v>
          </cell>
          <cell r="BX205">
            <v>0</v>
          </cell>
          <cell r="BY205">
            <v>-36.527000000000001</v>
          </cell>
          <cell r="BZ205">
            <v>-36.527000000000001</v>
          </cell>
          <cell r="CA205">
            <v>-35.129999999999995</v>
          </cell>
          <cell r="CB205">
            <v>-99.694999999999965</v>
          </cell>
          <cell r="CC205">
            <v>7.3290000000000646</v>
          </cell>
          <cell r="CD205">
            <v>-16.843000000000075</v>
          </cell>
          <cell r="CE205">
            <v>-16.843000000000075</v>
          </cell>
          <cell r="CF205">
            <v>-74.586000000000013</v>
          </cell>
          <cell r="CG205">
            <v>-82.99899999999991</v>
          </cell>
          <cell r="CH205">
            <v>19.855999999999995</v>
          </cell>
          <cell r="CI205">
            <v>-64.182000000000016</v>
          </cell>
          <cell r="CJ205">
            <v>-64.182000000000016</v>
          </cell>
          <cell r="CK205">
            <v>81.485000000000014</v>
          </cell>
          <cell r="CL205">
            <v>4.3819999999999482</v>
          </cell>
          <cell r="CM205">
            <v>-18.968000000000075</v>
          </cell>
          <cell r="CN205">
            <v>-18.968000000000075</v>
          </cell>
          <cell r="CO205">
            <v>-18.968000000000075</v>
          </cell>
          <cell r="CP205">
            <v>0</v>
          </cell>
          <cell r="CQ205">
            <v>0</v>
          </cell>
          <cell r="CR205">
            <v>0</v>
          </cell>
          <cell r="CS205">
            <v>0</v>
          </cell>
          <cell r="CT205">
            <v>0</v>
          </cell>
          <cell r="CU205">
            <v>0</v>
          </cell>
          <cell r="CV205">
            <v>0</v>
          </cell>
          <cell r="CW205">
            <v>0</v>
          </cell>
          <cell r="CX205">
            <v>0</v>
          </cell>
          <cell r="CY205">
            <v>0</v>
          </cell>
          <cell r="CZ205">
            <v>0</v>
          </cell>
          <cell r="DA205">
            <v>0</v>
          </cell>
          <cell r="DB205">
            <v>0</v>
          </cell>
          <cell r="DC205">
            <v>0</v>
          </cell>
          <cell r="DD205">
            <v>0</v>
          </cell>
          <cell r="DE205">
            <v>0</v>
          </cell>
          <cell r="DF205">
            <v>0</v>
          </cell>
          <cell r="DG205">
            <v>0</v>
          </cell>
          <cell r="DH205">
            <v>0</v>
          </cell>
          <cell r="DI205">
            <v>0</v>
          </cell>
        </row>
        <row r="206">
          <cell r="B206" t="str">
            <v>Cash Flow from Investing</v>
          </cell>
          <cell r="F206">
            <v>-11.638</v>
          </cell>
          <cell r="G206">
            <v>-33.058999999999997</v>
          </cell>
          <cell r="H206">
            <v>-18.612000000000002</v>
          </cell>
          <cell r="I206">
            <v>-96.840999999999994</v>
          </cell>
          <cell r="J206">
            <v>-140.851</v>
          </cell>
          <cell r="K206">
            <v>-110.428</v>
          </cell>
          <cell r="L206">
            <v>-233.36800000000002</v>
          </cell>
          <cell r="M206">
            <v>-45.02</v>
          </cell>
          <cell r="N206">
            <v>-84.515000000000001</v>
          </cell>
          <cell r="O206">
            <v>-277.04300000000001</v>
          </cell>
          <cell r="P206">
            <v>-343.24799999999999</v>
          </cell>
          <cell r="Q206">
            <v>-343.24799999999999</v>
          </cell>
          <cell r="R206">
            <v>-28.513999999999999</v>
          </cell>
          <cell r="S206">
            <v>-56.293999999999997</v>
          </cell>
          <cell r="T206">
            <v>-142.72</v>
          </cell>
          <cell r="U206">
            <v>-250.89899999999994</v>
          </cell>
          <cell r="V206">
            <v>-250.89899999999994</v>
          </cell>
          <cell r="W206">
            <v>-13.728</v>
          </cell>
          <cell r="X206">
            <v>-50.808</v>
          </cell>
          <cell r="Y206">
            <v>-124.447</v>
          </cell>
          <cell r="Z206">
            <v>-171.01</v>
          </cell>
          <cell r="AA206">
            <v>-171.01</v>
          </cell>
          <cell r="AB206">
            <v>-167.05</v>
          </cell>
          <cell r="AC206">
            <v>-202.42099999999999</v>
          </cell>
          <cell r="AD206">
            <v>-276.62800000000004</v>
          </cell>
          <cell r="AE206">
            <v>-343.15200000000004</v>
          </cell>
          <cell r="AF206">
            <v>-343.15200000000004</v>
          </cell>
          <cell r="AG206">
            <v>-41.451000000000001</v>
          </cell>
          <cell r="AH206">
            <v>-103.09400000000001</v>
          </cell>
          <cell r="AI206">
            <v>-141.816</v>
          </cell>
          <cell r="AJ206">
            <v>-320.10400000000004</v>
          </cell>
          <cell r="AK206">
            <v>-320.10400000000004</v>
          </cell>
          <cell r="AL206">
            <v>-582.70800000000008</v>
          </cell>
          <cell r="AM206">
            <v>-657.81200000000001</v>
          </cell>
          <cell r="AN206">
            <v>-718.14200000000005</v>
          </cell>
          <cell r="AO206">
            <v>-709.3</v>
          </cell>
          <cell r="AP206">
            <v>-709.3</v>
          </cell>
          <cell r="AQ206">
            <v>-63.28</v>
          </cell>
          <cell r="AR206">
            <v>-449.99299999999994</v>
          </cell>
          <cell r="AS206">
            <v>-519.57400000000007</v>
          </cell>
          <cell r="AT206" t="e">
            <v>#REF!</v>
          </cell>
          <cell r="AU206" t="e">
            <v>#REF!</v>
          </cell>
          <cell r="AW206">
            <v>-75.103999999999914</v>
          </cell>
          <cell r="AX206">
            <v>-135.43399999999994</v>
          </cell>
          <cell r="AY206">
            <v>-126.5919999999999</v>
          </cell>
          <cell r="AZ206">
            <v>-189.8719999999999</v>
          </cell>
          <cell r="BA206">
            <v>-189.8719999999999</v>
          </cell>
          <cell r="BB206">
            <v>-386.71299999999997</v>
          </cell>
          <cell r="BC206">
            <v>-456.29400000000004</v>
          </cell>
          <cell r="BD206" t="e">
            <v>#REF!</v>
          </cell>
          <cell r="BE206" t="e">
            <v>#REF!</v>
          </cell>
          <cell r="BF206" t="e">
            <v>#REF!</v>
          </cell>
          <cell r="BG206">
            <v>-132.364</v>
          </cell>
          <cell r="BH206">
            <v>-376.06299999999999</v>
          </cell>
          <cell r="BI206">
            <v>-418.298</v>
          </cell>
          <cell r="BJ206">
            <v>-498.654</v>
          </cell>
          <cell r="BK206">
            <v>-498.654</v>
          </cell>
          <cell r="BL206">
            <v>-53.923000000000002</v>
          </cell>
          <cell r="BM206">
            <v>-172.49299999999999</v>
          </cell>
          <cell r="BN206">
            <v>-164.55899999999997</v>
          </cell>
          <cell r="BO206">
            <v>-217.52600000000001</v>
          </cell>
          <cell r="BP206">
            <v>-217.52600000000001</v>
          </cell>
          <cell r="BQ206">
            <v>-48.470000000000006</v>
          </cell>
          <cell r="BR206">
            <v>-82.317999999999998</v>
          </cell>
          <cell r="BS206">
            <v>-123.87299999999998</v>
          </cell>
          <cell r="BT206">
            <v>-176.31700000000001</v>
          </cell>
          <cell r="BU206">
            <v>-176.31700000000001</v>
          </cell>
          <cell r="BV206">
            <v>-60.781000000000013</v>
          </cell>
          <cell r="BW206">
            <v>-103.86799999999999</v>
          </cell>
          <cell r="BX206">
            <v>-150.41500000000002</v>
          </cell>
          <cell r="BY206">
            <v>-358.31600000000003</v>
          </cell>
          <cell r="BZ206">
            <v>-358.31600000000003</v>
          </cell>
          <cell r="CA206">
            <v>-70.766999999999996</v>
          </cell>
          <cell r="CB206">
            <v>-209.97199999999998</v>
          </cell>
          <cell r="CC206">
            <v>-184.12499999999994</v>
          </cell>
          <cell r="CD206">
            <v>-393.98400000000015</v>
          </cell>
          <cell r="CE206">
            <v>-393.98400000000015</v>
          </cell>
          <cell r="CF206">
            <v>-119.91200000000001</v>
          </cell>
          <cell r="CG206">
            <v>-269.15399999999988</v>
          </cell>
          <cell r="CH206">
            <v>-778.01899999999989</v>
          </cell>
          <cell r="CI206">
            <v>-976.01099999999997</v>
          </cell>
          <cell r="CJ206">
            <v>-976.01099999999997</v>
          </cell>
          <cell r="CK206">
            <v>-79.35899999999998</v>
          </cell>
          <cell r="CL206">
            <v>-255.49000000000007</v>
          </cell>
          <cell r="CM206">
            <v>-388.26600000000008</v>
          </cell>
          <cell r="CN206">
            <v>-463.26600000000008</v>
          </cell>
          <cell r="CO206">
            <v>-463.26600000000008</v>
          </cell>
          <cell r="CP206">
            <v>-50.167574874380378</v>
          </cell>
          <cell r="CQ206">
            <v>-150.50272462314115</v>
          </cell>
          <cell r="CR206">
            <v>-250.8378743719019</v>
          </cell>
          <cell r="CS206">
            <v>-351.17302412066266</v>
          </cell>
          <cell r="CT206">
            <v>-351.17302412066266</v>
          </cell>
          <cell r="CU206">
            <v>-90.436935899596975</v>
          </cell>
          <cell r="CV206">
            <v>-179.48794052155921</v>
          </cell>
          <cell r="CW206">
            <v>-267.54587948146116</v>
          </cell>
          <cell r="CX206">
            <v>-357.85010946608799</v>
          </cell>
          <cell r="CY206">
            <v>-357.85010946608799</v>
          </cell>
          <cell r="CZ206">
            <v>-94.05585343354501</v>
          </cell>
          <cell r="DA206">
            <v>-186.5507975786598</v>
          </cell>
          <cell r="DB206">
            <v>-278.0881250486903</v>
          </cell>
          <cell r="DC206">
            <v>-372.15422436166926</v>
          </cell>
          <cell r="DD206">
            <v>-372.15422436166926</v>
          </cell>
          <cell r="DE206">
            <v>-98.247815780490896</v>
          </cell>
          <cell r="DF206">
            <v>-194.64266110043042</v>
          </cell>
          <cell r="DG206">
            <v>-290.09666995197813</v>
          </cell>
          <cell r="DH206">
            <v>-387.95348425353336</v>
          </cell>
          <cell r="DI206">
            <v>-387.95348425353336</v>
          </cell>
        </row>
        <row r="208">
          <cell r="B208" t="str">
            <v>Proceeds from long-term borrowings</v>
          </cell>
          <cell r="F208">
            <v>43.463999999999999</v>
          </cell>
          <cell r="G208">
            <v>20.244</v>
          </cell>
          <cell r="H208">
            <v>7.1180000000000003</v>
          </cell>
          <cell r="I208">
            <v>1.097</v>
          </cell>
          <cell r="J208">
            <v>0.70799999999999996</v>
          </cell>
          <cell r="K208">
            <v>0.52</v>
          </cell>
          <cell r="L208">
            <v>80.995999999999995</v>
          </cell>
          <cell r="M208">
            <v>0.13300000000000001</v>
          </cell>
          <cell r="N208">
            <v>0.34300000000000003</v>
          </cell>
          <cell r="O208">
            <v>156.23199999999997</v>
          </cell>
          <cell r="P208">
            <v>249.64500000000001</v>
          </cell>
          <cell r="Q208">
            <v>249.64500000000001</v>
          </cell>
          <cell r="R208">
            <v>47.405000000000001</v>
          </cell>
          <cell r="S208">
            <v>47.81</v>
          </cell>
          <cell r="T208">
            <v>103.214</v>
          </cell>
          <cell r="U208">
            <v>447.11700000000002</v>
          </cell>
          <cell r="V208">
            <v>447.11700000000002</v>
          </cell>
          <cell r="W208">
            <v>2.673</v>
          </cell>
          <cell r="X208">
            <v>5.3140000000000001</v>
          </cell>
          <cell r="Y208">
            <v>27.957999999999998</v>
          </cell>
          <cell r="Z208">
            <v>35.591000000000001</v>
          </cell>
          <cell r="AA208">
            <v>35.591000000000001</v>
          </cell>
          <cell r="AB208">
            <v>172.63900000000001</v>
          </cell>
          <cell r="AC208">
            <v>452.21199999999999</v>
          </cell>
          <cell r="AD208">
            <v>455.45699999999999</v>
          </cell>
          <cell r="AE208">
            <v>479.31400000000002</v>
          </cell>
          <cell r="AF208">
            <v>479.31400000000002</v>
          </cell>
          <cell r="AG208">
            <v>3.2389999999999999</v>
          </cell>
          <cell r="AH208">
            <v>6.4909999999999997</v>
          </cell>
          <cell r="AI208">
            <v>9.782</v>
          </cell>
          <cell r="AJ208">
            <v>575.80499999999995</v>
          </cell>
          <cell r="AK208">
            <v>575.80499999999995</v>
          </cell>
          <cell r="AL208">
            <v>278.185</v>
          </cell>
          <cell r="AM208">
            <v>281.33199999999999</v>
          </cell>
          <cell r="AN208">
            <v>283.947</v>
          </cell>
          <cell r="AO208">
            <v>288.93599999999998</v>
          </cell>
          <cell r="AP208">
            <v>288.93599999999998</v>
          </cell>
          <cell r="AQ208">
            <v>5.2469999999999999</v>
          </cell>
          <cell r="AR208">
            <v>186.96000000000004</v>
          </cell>
          <cell r="AS208">
            <v>186.96000000000004</v>
          </cell>
          <cell r="AT208">
            <v>212.185</v>
          </cell>
          <cell r="AU208">
            <v>212.185</v>
          </cell>
          <cell r="AW208">
            <v>3.1469999999999914</v>
          </cell>
          <cell r="AX208">
            <v>5.7620000000000005</v>
          </cell>
          <cell r="AY208">
            <v>10.750999999999976</v>
          </cell>
          <cell r="AZ208">
            <v>15.997999999999976</v>
          </cell>
          <cell r="BA208">
            <v>15.997999999999976</v>
          </cell>
          <cell r="BB208">
            <v>181.71300000000002</v>
          </cell>
          <cell r="BC208">
            <v>181.71300000000002</v>
          </cell>
          <cell r="BD208">
            <v>206.93799999999999</v>
          </cell>
          <cell r="BE208">
            <v>401.93799999999999</v>
          </cell>
          <cell r="BF208">
            <v>401.93799999999999</v>
          </cell>
          <cell r="BG208">
            <v>285</v>
          </cell>
          <cell r="BH208">
            <v>831.70699999999999</v>
          </cell>
          <cell r="BI208">
            <v>832.423</v>
          </cell>
          <cell r="BJ208">
            <v>866.94799999999998</v>
          </cell>
          <cell r="BK208">
            <v>866.94799999999998</v>
          </cell>
          <cell r="BL208">
            <v>2706.598</v>
          </cell>
          <cell r="BM208">
            <v>2706.7350000000001</v>
          </cell>
          <cell r="BN208">
            <v>2707.6080000000002</v>
          </cell>
          <cell r="BO208">
            <v>2707.6080000000002</v>
          </cell>
          <cell r="BP208">
            <v>2707.6080000000002</v>
          </cell>
          <cell r="BQ208">
            <v>0</v>
          </cell>
          <cell r="BR208">
            <v>244.452</v>
          </cell>
          <cell r="BS208">
            <v>244.471</v>
          </cell>
          <cell r="BT208">
            <v>244.471</v>
          </cell>
          <cell r="BU208">
            <v>244.471</v>
          </cell>
          <cell r="BV208">
            <v>0</v>
          </cell>
          <cell r="BW208">
            <v>0</v>
          </cell>
          <cell r="BX208">
            <v>0</v>
          </cell>
          <cell r="BY208">
            <v>38</v>
          </cell>
          <cell r="BZ208">
            <v>38</v>
          </cell>
          <cell r="CA208">
            <v>0</v>
          </cell>
          <cell r="CB208">
            <v>0</v>
          </cell>
          <cell r="CC208">
            <v>0</v>
          </cell>
          <cell r="CD208">
            <v>0</v>
          </cell>
          <cell r="CE208">
            <v>0</v>
          </cell>
          <cell r="CF208">
            <v>0</v>
          </cell>
          <cell r="CG208">
            <v>0</v>
          </cell>
          <cell r="CH208">
            <v>370.7</v>
          </cell>
          <cell r="CI208">
            <v>3356.97</v>
          </cell>
          <cell r="CJ208">
            <v>3356.97</v>
          </cell>
          <cell r="CK208">
            <v>0</v>
          </cell>
          <cell r="CL208">
            <v>17</v>
          </cell>
          <cell r="CM208">
            <v>17</v>
          </cell>
          <cell r="CN208">
            <v>17</v>
          </cell>
          <cell r="CO208">
            <v>17</v>
          </cell>
          <cell r="CP208">
            <v>0</v>
          </cell>
          <cell r="CQ208">
            <v>0</v>
          </cell>
          <cell r="CR208">
            <v>0</v>
          </cell>
          <cell r="CS208">
            <v>0</v>
          </cell>
          <cell r="CT208">
            <v>0</v>
          </cell>
          <cell r="CU208">
            <v>0</v>
          </cell>
          <cell r="CV208">
            <v>0</v>
          </cell>
          <cell r="CW208">
            <v>0</v>
          </cell>
          <cell r="CX208">
            <v>0</v>
          </cell>
          <cell r="CY208">
            <v>0</v>
          </cell>
          <cell r="CZ208">
            <v>0</v>
          </cell>
          <cell r="DA208">
            <v>0</v>
          </cell>
          <cell r="DB208">
            <v>0</v>
          </cell>
          <cell r="DC208">
            <v>0</v>
          </cell>
          <cell r="DD208">
            <v>0</v>
          </cell>
          <cell r="DE208">
            <v>0</v>
          </cell>
          <cell r="DF208">
            <v>0</v>
          </cell>
          <cell r="DG208">
            <v>0</v>
          </cell>
          <cell r="DH208">
            <v>0</v>
          </cell>
          <cell r="DI208">
            <v>0</v>
          </cell>
        </row>
        <row r="209">
          <cell r="B209" t="str">
            <v>Principal payments on debt/cap leases</v>
          </cell>
          <cell r="F209">
            <v>-89</v>
          </cell>
          <cell r="G209">
            <v>-4.9370000000000003</v>
          </cell>
          <cell r="H209">
            <v>-10.239000000000001</v>
          </cell>
          <cell r="I209">
            <v>-14.044</v>
          </cell>
          <cell r="J209">
            <v>-7.1870000000000003</v>
          </cell>
          <cell r="K209">
            <v>-20.620999999999999</v>
          </cell>
          <cell r="L209">
            <v>-39.85</v>
          </cell>
          <cell r="M209">
            <v>-7.7610000000000001</v>
          </cell>
          <cell r="N209">
            <v>-9.8810000000000002</v>
          </cell>
          <cell r="O209">
            <v>-14.135000000000002</v>
          </cell>
          <cell r="P209">
            <v>-17.228999999999999</v>
          </cell>
          <cell r="Q209">
            <v>-17.228999999999999</v>
          </cell>
          <cell r="R209">
            <v>-2.282</v>
          </cell>
          <cell r="S209">
            <v>-11.449</v>
          </cell>
          <cell r="T209">
            <v>-50.924999999999997</v>
          </cell>
          <cell r="U209">
            <v>-342.77400000000006</v>
          </cell>
          <cell r="V209">
            <v>-342.77400000000006</v>
          </cell>
          <cell r="W209">
            <v>-31.640999999999998</v>
          </cell>
          <cell r="X209">
            <v>-63.442</v>
          </cell>
          <cell r="Y209">
            <v>-102.905</v>
          </cell>
          <cell r="Z209">
            <v>-129.09800000000001</v>
          </cell>
          <cell r="AA209">
            <v>-129.09800000000001</v>
          </cell>
          <cell r="AB209">
            <v>-2.09</v>
          </cell>
          <cell r="AC209">
            <v>-253.39400000000001</v>
          </cell>
          <cell r="AD209">
            <v>-261.245</v>
          </cell>
          <cell r="AE209">
            <v>-263.48200000000003</v>
          </cell>
          <cell r="AF209">
            <v>-263.48200000000003</v>
          </cell>
          <cell r="AG209">
            <v>-1.4</v>
          </cell>
          <cell r="AH209">
            <v>-3.4969999999999999</v>
          </cell>
          <cell r="AI209">
            <v>-6.9689999999999994</v>
          </cell>
          <cell r="AJ209">
            <v>-318.31800000000004</v>
          </cell>
          <cell r="AK209">
            <v>-318.31800000000004</v>
          </cell>
          <cell r="AL209">
            <v>-77.418000000000006</v>
          </cell>
          <cell r="AM209">
            <v>-103.726</v>
          </cell>
          <cell r="AN209">
            <v>-185.74799999999999</v>
          </cell>
          <cell r="AO209">
            <v>-288.23</v>
          </cell>
          <cell r="AP209">
            <v>-288.23</v>
          </cell>
          <cell r="AQ209">
            <v>-2.976</v>
          </cell>
          <cell r="AR209">
            <v>-17.975999999999999</v>
          </cell>
          <cell r="AS209">
            <v>-107.898</v>
          </cell>
          <cell r="AT209">
            <v>-166.74700000000001</v>
          </cell>
          <cell r="AU209">
            <v>-166.74700000000001</v>
          </cell>
          <cell r="AW209">
            <v>-26.307999999999993</v>
          </cell>
          <cell r="AX209">
            <v>-108.32999999999998</v>
          </cell>
          <cell r="AY209">
            <v>-210.81200000000001</v>
          </cell>
          <cell r="AZ209">
            <v>-213.78800000000001</v>
          </cell>
          <cell r="BA209">
            <v>-213.78800000000001</v>
          </cell>
          <cell r="BB209">
            <v>-15</v>
          </cell>
          <cell r="BC209">
            <v>-104.922</v>
          </cell>
          <cell r="BD209">
            <v>-163.77100000000002</v>
          </cell>
          <cell r="BE209">
            <v>-164.94300000000001</v>
          </cell>
          <cell r="BF209">
            <v>-164.94300000000001</v>
          </cell>
          <cell r="BG209">
            <v>-279.01</v>
          </cell>
          <cell r="BH209">
            <v>-684.89300000000003</v>
          </cell>
          <cell r="BI209">
            <v>-724.00099999999998</v>
          </cell>
          <cell r="BJ209">
            <v>-743.47299999999996</v>
          </cell>
          <cell r="BK209">
            <v>-743.47299999999996</v>
          </cell>
          <cell r="BL209">
            <v>-300.47399999999999</v>
          </cell>
          <cell r="BM209">
            <v>-313.77699999999999</v>
          </cell>
          <cell r="BN209">
            <v>-325.50299999999999</v>
          </cell>
          <cell r="BO209">
            <v>-344.58699999999999</v>
          </cell>
          <cell r="BP209">
            <v>-344.58699999999999</v>
          </cell>
          <cell r="BQ209">
            <v>-62.094999999999999</v>
          </cell>
          <cell r="BR209">
            <v>-438.197</v>
          </cell>
          <cell r="BS209">
            <v>-732.29399999999998</v>
          </cell>
          <cell r="BT209">
            <v>-766.93000000000006</v>
          </cell>
          <cell r="BU209">
            <v>-766.93000000000006</v>
          </cell>
          <cell r="BV209">
            <v>-29.108000000000001</v>
          </cell>
          <cell r="BW209">
            <v>-68.004000000000005</v>
          </cell>
          <cell r="BX209">
            <v>-78.841999999999999</v>
          </cell>
          <cell r="BY209">
            <v>-127.218</v>
          </cell>
          <cell r="BZ209">
            <v>-127.218</v>
          </cell>
          <cell r="CA209">
            <v>-9.4450000000000003</v>
          </cell>
          <cell r="CB209">
            <v>-19.992000000000001</v>
          </cell>
          <cell r="CC209">
            <v>-30.353000000000002</v>
          </cell>
          <cell r="CD209">
            <v>-40.146999999999998</v>
          </cell>
          <cell r="CE209">
            <v>-40.146999999999998</v>
          </cell>
          <cell r="CF209">
            <v>-9.0180000000000007</v>
          </cell>
          <cell r="CG209">
            <v>-19.741</v>
          </cell>
          <cell r="CH209">
            <v>-34.046999999999997</v>
          </cell>
          <cell r="CI209">
            <v>-2869.38</v>
          </cell>
          <cell r="CJ209">
            <v>-2869.38</v>
          </cell>
          <cell r="CK209">
            <v>-20.798999999999999</v>
          </cell>
          <cell r="CL209">
            <v>-61.072000000000003</v>
          </cell>
          <cell r="CM209">
            <v>-88.563000000000002</v>
          </cell>
          <cell r="CN209">
            <v>-104.08575000000002</v>
          </cell>
          <cell r="CO209">
            <v>-104.08575000000002</v>
          </cell>
          <cell r="CP209">
            <v>-15.522750000000016</v>
          </cell>
          <cell r="CQ209">
            <v>-31.045500000000033</v>
          </cell>
          <cell r="CR209">
            <v>-46.568250000000049</v>
          </cell>
          <cell r="CS209">
            <v>-62.091000000000065</v>
          </cell>
          <cell r="CT209">
            <v>-62.091000000000065</v>
          </cell>
          <cell r="CU209">
            <v>-15.522750000000016</v>
          </cell>
          <cell r="CV209">
            <v>-31.045500000000033</v>
          </cell>
          <cell r="CW209">
            <v>-46.568250000000049</v>
          </cell>
          <cell r="CX209">
            <v>-62.091000000000065</v>
          </cell>
          <cell r="CY209">
            <v>-62.091000000000065</v>
          </cell>
          <cell r="CZ209">
            <v>-16.022750000000016</v>
          </cell>
          <cell r="DA209">
            <v>-32.045500000000033</v>
          </cell>
          <cell r="DB209">
            <v>-48.068250000000049</v>
          </cell>
          <cell r="DC209">
            <v>-64.091000000000065</v>
          </cell>
          <cell r="DD209">
            <v>-64.091000000000065</v>
          </cell>
          <cell r="DE209">
            <v>-16.022750000000016</v>
          </cell>
          <cell r="DF209">
            <v>-32.045500000000033</v>
          </cell>
          <cell r="DG209">
            <v>-48.068250000000049</v>
          </cell>
          <cell r="DH209">
            <v>-64.091000000000065</v>
          </cell>
          <cell r="DI209">
            <v>-64.091000000000065</v>
          </cell>
        </row>
        <row r="210">
          <cell r="B210" t="str">
            <v>Proceeds from issuance of common stock, net</v>
          </cell>
          <cell r="F210">
            <v>36.799999999999997</v>
          </cell>
          <cell r="G210">
            <v>25.07</v>
          </cell>
          <cell r="H210">
            <v>10.744</v>
          </cell>
          <cell r="I210">
            <v>1.6910000000000001</v>
          </cell>
          <cell r="J210">
            <v>9.468</v>
          </cell>
          <cell r="K210">
            <v>34.158999999999999</v>
          </cell>
          <cell r="L210">
            <v>20.706</v>
          </cell>
          <cell r="M210">
            <v>2.5640000000000001</v>
          </cell>
          <cell r="N210">
            <v>2.8490000000000002</v>
          </cell>
          <cell r="O210">
            <v>3.1339999999999999</v>
          </cell>
          <cell r="P210">
            <v>11.999000000000001</v>
          </cell>
          <cell r="Q210">
            <v>11.999000000000001</v>
          </cell>
          <cell r="R210">
            <v>5.3999999999999999E-2</v>
          </cell>
          <cell r="S210">
            <v>0.108</v>
          </cell>
          <cell r="T210">
            <v>9.9130000000000003</v>
          </cell>
          <cell r="U210">
            <v>14.275</v>
          </cell>
          <cell r="V210">
            <v>14.275</v>
          </cell>
          <cell r="W210">
            <v>5.1120000000000001</v>
          </cell>
          <cell r="X210">
            <v>19.167999999999999</v>
          </cell>
          <cell r="Y210">
            <v>20.405999999999999</v>
          </cell>
          <cell r="Z210">
            <v>31.384999999999998</v>
          </cell>
          <cell r="AA210">
            <v>31.384999999999998</v>
          </cell>
          <cell r="AB210">
            <v>3.0110000000000001</v>
          </cell>
          <cell r="AC210">
            <v>4.1269999999999998</v>
          </cell>
          <cell r="AD210">
            <v>5.4219999999999997</v>
          </cell>
          <cell r="AE210">
            <v>14.659000000000002</v>
          </cell>
          <cell r="AF210">
            <v>14.659000000000002</v>
          </cell>
          <cell r="AG210">
            <v>0.31900000000000001</v>
          </cell>
          <cell r="AH210">
            <v>0.31900000000000001</v>
          </cell>
          <cell r="AI210">
            <v>12.413</v>
          </cell>
          <cell r="AJ210">
            <v>21.263999999999999</v>
          </cell>
          <cell r="AK210">
            <v>21.263999999999999</v>
          </cell>
          <cell r="AL210">
            <v>17.640999999999998</v>
          </cell>
          <cell r="AM210">
            <v>20.789000000000001</v>
          </cell>
          <cell r="AN210">
            <v>26.262</v>
          </cell>
          <cell r="AO210">
            <v>27.388999999999999</v>
          </cell>
          <cell r="AP210">
            <v>27.388999999999999</v>
          </cell>
          <cell r="AQ210">
            <v>6.4039999999999999</v>
          </cell>
          <cell r="AR210">
            <v>37.526000000000003</v>
          </cell>
          <cell r="AS210">
            <v>49.658000000000001</v>
          </cell>
          <cell r="AT210">
            <v>62.756999999999998</v>
          </cell>
          <cell r="AU210">
            <v>62.756999999999998</v>
          </cell>
          <cell r="AW210">
            <v>3.1480000000000032</v>
          </cell>
          <cell r="AX210">
            <v>8.6210000000000022</v>
          </cell>
          <cell r="AY210">
            <v>9.7480000000000011</v>
          </cell>
          <cell r="AZ210">
            <v>16.152000000000001</v>
          </cell>
          <cell r="BA210">
            <v>16.152000000000001</v>
          </cell>
          <cell r="BB210">
            <v>31.122000000000003</v>
          </cell>
          <cell r="BC210">
            <v>43.254000000000005</v>
          </cell>
          <cell r="BD210">
            <v>56.353000000000002</v>
          </cell>
          <cell r="BE210">
            <v>87.94</v>
          </cell>
          <cell r="BF210">
            <v>87.94</v>
          </cell>
          <cell r="BG210">
            <v>1.708</v>
          </cell>
          <cell r="BH210">
            <v>5.2</v>
          </cell>
          <cell r="BI210">
            <v>22.02</v>
          </cell>
          <cell r="BJ210">
            <v>22.451000000000001</v>
          </cell>
          <cell r="BK210">
            <v>22.451000000000001</v>
          </cell>
          <cell r="BL210">
            <v>23.018999999999998</v>
          </cell>
          <cell r="BM210">
            <v>24.719000000000001</v>
          </cell>
          <cell r="BN210">
            <v>24.792999999999999</v>
          </cell>
          <cell r="BO210">
            <v>24.792999999999999</v>
          </cell>
          <cell r="BP210">
            <v>24.792999999999999</v>
          </cell>
          <cell r="BQ210">
            <v>0</v>
          </cell>
          <cell r="BR210">
            <v>0</v>
          </cell>
          <cell r="BS210">
            <v>0</v>
          </cell>
          <cell r="BT210">
            <v>0</v>
          </cell>
          <cell r="BU210">
            <v>0</v>
          </cell>
          <cell r="BV210">
            <v>0</v>
          </cell>
          <cell r="BW210">
            <v>0</v>
          </cell>
          <cell r="BX210">
            <v>8.4949999999999992</v>
          </cell>
          <cell r="BY210">
            <v>9.6989999999999998</v>
          </cell>
          <cell r="BZ210">
            <v>9.6989999999999998</v>
          </cell>
          <cell r="CA210">
            <v>3.5609999999999999</v>
          </cell>
          <cell r="CB210">
            <v>5.4619999999999997</v>
          </cell>
          <cell r="CC210">
            <v>5.4619999999999997</v>
          </cell>
          <cell r="CD210">
            <v>7.4690000000000003</v>
          </cell>
          <cell r="CE210">
            <v>7.4690000000000003</v>
          </cell>
          <cell r="CF210">
            <v>5.5570000000000004</v>
          </cell>
          <cell r="CG210">
            <v>14.067</v>
          </cell>
          <cell r="CH210">
            <v>14.067</v>
          </cell>
          <cell r="CI210">
            <v>14.067</v>
          </cell>
          <cell r="CJ210">
            <v>14.067</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row>
        <row r="211">
          <cell r="B211" t="str">
            <v>Purchase of treasury stock, at cost</v>
          </cell>
          <cell r="F211">
            <v>0</v>
          </cell>
          <cell r="G211">
            <v>0</v>
          </cell>
          <cell r="H211">
            <v>0</v>
          </cell>
          <cell r="I211">
            <v>0</v>
          </cell>
          <cell r="J211">
            <v>0</v>
          </cell>
          <cell r="K211">
            <v>0</v>
          </cell>
          <cell r="L211">
            <v>0</v>
          </cell>
          <cell r="M211">
            <v>-8.1010000000000009</v>
          </cell>
          <cell r="N211">
            <v>-8.1010000000000009</v>
          </cell>
          <cell r="O211">
            <v>-8.1010000000000009</v>
          </cell>
          <cell r="P211">
            <v>-69.091999999999999</v>
          </cell>
          <cell r="Q211">
            <v>-69.091999999999999</v>
          </cell>
          <cell r="R211">
            <v>-42.399000000000001</v>
          </cell>
          <cell r="S211">
            <v>-42.399000000000001</v>
          </cell>
          <cell r="T211">
            <v>-42.399000000000001</v>
          </cell>
          <cell r="U211">
            <v>-42.399000000000001</v>
          </cell>
          <cell r="V211">
            <v>-42.399000000000001</v>
          </cell>
          <cell r="W211">
            <v>0</v>
          </cell>
          <cell r="X211">
            <v>0</v>
          </cell>
          <cell r="Y211">
            <v>0</v>
          </cell>
          <cell r="Z211">
            <v>-2.78</v>
          </cell>
          <cell r="AA211">
            <v>-2.78</v>
          </cell>
          <cell r="AB211">
            <v>-86.021000000000001</v>
          </cell>
          <cell r="AC211">
            <v>-126.893</v>
          </cell>
          <cell r="AD211">
            <v>-126.893</v>
          </cell>
          <cell r="AE211">
            <v>-186.38499999999999</v>
          </cell>
          <cell r="AF211">
            <v>-186.38499999999999</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-61.823999999999998</v>
          </cell>
          <cell r="AU211">
            <v>-61.823999999999998</v>
          </cell>
          <cell r="AW211">
            <v>0</v>
          </cell>
          <cell r="AX211">
            <v>0</v>
          </cell>
          <cell r="AY211">
            <v>0</v>
          </cell>
          <cell r="AZ211">
            <v>0</v>
          </cell>
          <cell r="BA211">
            <v>0</v>
          </cell>
          <cell r="BB211">
            <v>0</v>
          </cell>
          <cell r="BC211">
            <v>0</v>
          </cell>
          <cell r="BD211">
            <v>-61.823999999999998</v>
          </cell>
          <cell r="BE211">
            <v>-221.65699999999998</v>
          </cell>
          <cell r="BF211">
            <v>-221.65699999999998</v>
          </cell>
          <cell r="BG211">
            <v>0</v>
          </cell>
          <cell r="BH211">
            <v>-1.181</v>
          </cell>
          <cell r="BI211">
            <v>-24.623999999999999</v>
          </cell>
          <cell r="BJ211">
            <v>-36.762</v>
          </cell>
          <cell r="BK211">
            <v>-36.762</v>
          </cell>
          <cell r="BL211">
            <v>0</v>
          </cell>
          <cell r="BM211">
            <v>0</v>
          </cell>
          <cell r="BN211">
            <v>0</v>
          </cell>
          <cell r="BO211">
            <v>0</v>
          </cell>
          <cell r="BP211">
            <v>0</v>
          </cell>
          <cell r="BQ211">
            <v>0</v>
          </cell>
          <cell r="BR211">
            <v>0</v>
          </cell>
          <cell r="BS211">
            <v>0</v>
          </cell>
          <cell r="BT211">
            <v>0</v>
          </cell>
          <cell r="BU211">
            <v>0</v>
          </cell>
          <cell r="BV211">
            <v>0</v>
          </cell>
          <cell r="BW211">
            <v>0</v>
          </cell>
          <cell r="BX211">
            <v>0</v>
          </cell>
          <cell r="BY211">
            <v>0</v>
          </cell>
          <cell r="BZ211">
            <v>0</v>
          </cell>
          <cell r="CA211">
            <v>0</v>
          </cell>
          <cell r="CB211">
            <v>0</v>
          </cell>
          <cell r="CC211">
            <v>0</v>
          </cell>
          <cell r="CD211">
            <v>0</v>
          </cell>
          <cell r="CE211">
            <v>0</v>
          </cell>
          <cell r="CF211">
            <v>0</v>
          </cell>
          <cell r="CG211">
            <v>0</v>
          </cell>
          <cell r="CH211">
            <v>0</v>
          </cell>
          <cell r="CI211">
            <v>0</v>
          </cell>
          <cell r="CJ211">
            <v>0</v>
          </cell>
          <cell r="CK211">
            <v>0</v>
          </cell>
          <cell r="CL211">
            <v>0</v>
          </cell>
          <cell r="CM211">
            <v>0</v>
          </cell>
          <cell r="CN211">
            <v>0</v>
          </cell>
          <cell r="CO211">
            <v>0</v>
          </cell>
          <cell r="CP211">
            <v>0</v>
          </cell>
          <cell r="CQ211">
            <v>0</v>
          </cell>
          <cell r="CR211">
            <v>0</v>
          </cell>
          <cell r="CS211">
            <v>0</v>
          </cell>
          <cell r="CT211">
            <v>0</v>
          </cell>
          <cell r="CU211">
            <v>0</v>
          </cell>
          <cell r="CV211">
            <v>0</v>
          </cell>
          <cell r="CW211">
            <v>0</v>
          </cell>
          <cell r="CX211">
            <v>0</v>
          </cell>
          <cell r="CY211">
            <v>0</v>
          </cell>
          <cell r="CZ211">
            <v>0</v>
          </cell>
          <cell r="DA211">
            <v>0</v>
          </cell>
          <cell r="DB211">
            <v>0</v>
          </cell>
          <cell r="DC211">
            <v>0</v>
          </cell>
          <cell r="DD211">
            <v>0</v>
          </cell>
          <cell r="DE211">
            <v>0</v>
          </cell>
          <cell r="DF211">
            <v>0</v>
          </cell>
          <cell r="DG211">
            <v>0</v>
          </cell>
          <cell r="DH211">
            <v>0</v>
          </cell>
          <cell r="DI211">
            <v>0</v>
          </cell>
        </row>
        <row r="212">
          <cell r="B212" t="str">
            <v>Investments of minority partners</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7.6989999999999998</v>
          </cell>
          <cell r="BM212">
            <v>8.4559999999999995</v>
          </cell>
          <cell r="BN212">
            <v>8.3689999999999998</v>
          </cell>
          <cell r="BO212">
            <v>8.3689999999999998</v>
          </cell>
          <cell r="BP212">
            <v>8.3689999999999998</v>
          </cell>
          <cell r="BQ212">
            <v>302.87799999999999</v>
          </cell>
          <cell r="BR212">
            <v>302.93799999999999</v>
          </cell>
          <cell r="BS212">
            <v>322.48500000000001</v>
          </cell>
          <cell r="BT212">
            <v>327.65499999999997</v>
          </cell>
          <cell r="BU212">
            <v>327.65499999999997</v>
          </cell>
          <cell r="BV212">
            <v>2.63</v>
          </cell>
          <cell r="BW212">
            <v>10.028</v>
          </cell>
          <cell r="BX212">
            <v>21.212000000000003</v>
          </cell>
          <cell r="BY212">
            <v>54.795999999999992</v>
          </cell>
          <cell r="BZ212">
            <v>54.795999999999992</v>
          </cell>
          <cell r="CA212">
            <v>2.5470000000000002</v>
          </cell>
          <cell r="CB212">
            <v>2.5470000000000002</v>
          </cell>
          <cell r="CC212">
            <v>2.5470000000000002</v>
          </cell>
          <cell r="CD212">
            <v>2.5470000000000002</v>
          </cell>
          <cell r="CE212">
            <v>2.5470000000000002</v>
          </cell>
          <cell r="CF212">
            <v>0</v>
          </cell>
          <cell r="CG212">
            <v>0</v>
          </cell>
          <cell r="CH212">
            <v>0</v>
          </cell>
          <cell r="CI212">
            <v>0</v>
          </cell>
          <cell r="CJ212">
            <v>0</v>
          </cell>
          <cell r="CK212">
            <v>1.786</v>
          </cell>
          <cell r="CL212">
            <v>3.5910000000000002</v>
          </cell>
          <cell r="CM212">
            <v>3.5910000000000002</v>
          </cell>
          <cell r="CN212">
            <v>3.5910000000000002</v>
          </cell>
          <cell r="CO212">
            <v>3.5910000000000002</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row>
        <row r="213">
          <cell r="B213" t="str">
            <v>Cash distributions to minority shareholders</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-0.66700000000000004</v>
          </cell>
          <cell r="AT213">
            <v>-0.66700000000000004</v>
          </cell>
          <cell r="AU213">
            <v>-0.66700000000000004</v>
          </cell>
          <cell r="AW213">
            <v>0</v>
          </cell>
          <cell r="AX213">
            <v>0</v>
          </cell>
          <cell r="AY213">
            <v>0</v>
          </cell>
          <cell r="AZ213">
            <v>0</v>
          </cell>
          <cell r="BA213">
            <v>0</v>
          </cell>
          <cell r="BB213">
            <v>0</v>
          </cell>
          <cell r="BC213">
            <v>-0.66700000000000004</v>
          </cell>
          <cell r="BD213">
            <v>-0.66700000000000004</v>
          </cell>
          <cell r="BE213">
            <v>-0.66700000000000004</v>
          </cell>
          <cell r="BF213">
            <v>-0.66700000000000004</v>
          </cell>
          <cell r="BG213">
            <v>-1.8959999999999999</v>
          </cell>
          <cell r="BH213">
            <v>-1.8959999999999999</v>
          </cell>
          <cell r="BI213">
            <v>-1.8959999999999999</v>
          </cell>
          <cell r="BJ213">
            <v>-1.776</v>
          </cell>
          <cell r="BK213">
            <v>-1.776</v>
          </cell>
          <cell r="BL213">
            <v>-0.124</v>
          </cell>
          <cell r="BM213">
            <v>-2.4969999999999999</v>
          </cell>
          <cell r="BN213">
            <v>-2.8740000000000001</v>
          </cell>
          <cell r="BO213">
            <v>-3.0249999999999999</v>
          </cell>
          <cell r="BP213">
            <v>-3.0249999999999999</v>
          </cell>
          <cell r="BQ213">
            <v>-1.8029999999999999</v>
          </cell>
          <cell r="BR213">
            <v>-2.2869999999999999</v>
          </cell>
          <cell r="BS213">
            <v>-2.891</v>
          </cell>
          <cell r="BT213">
            <v>-4.2850000000000001</v>
          </cell>
          <cell r="BU213">
            <v>-4.2850000000000001</v>
          </cell>
          <cell r="BV213">
            <v>-12.695</v>
          </cell>
          <cell r="BW213">
            <v>-14.878</v>
          </cell>
          <cell r="BX213">
            <v>-17.884</v>
          </cell>
          <cell r="BY213">
            <v>-35.377000000000002</v>
          </cell>
          <cell r="BZ213">
            <v>-35.377000000000002</v>
          </cell>
          <cell r="CA213">
            <v>-5.407</v>
          </cell>
          <cell r="CB213">
            <v>-9.8659999999999997</v>
          </cell>
          <cell r="CC213">
            <v>-14.978</v>
          </cell>
          <cell r="CD213">
            <v>-20.63</v>
          </cell>
          <cell r="CE213">
            <v>-20.63</v>
          </cell>
          <cell r="CF213">
            <v>-4.5460000000000003</v>
          </cell>
          <cell r="CG213">
            <v>-16.285</v>
          </cell>
          <cell r="CH213">
            <v>-21.827999999999999</v>
          </cell>
          <cell r="CI213">
            <v>-28.283999999999999</v>
          </cell>
          <cell r="CJ213">
            <v>-28.283999999999999</v>
          </cell>
          <cell r="CK213">
            <v>-17.885999999999999</v>
          </cell>
          <cell r="CL213">
            <v>-23.280999999999999</v>
          </cell>
          <cell r="CM213">
            <v>-30.815000000000001</v>
          </cell>
          <cell r="CN213">
            <v>-30.815000000000001</v>
          </cell>
          <cell r="CO213">
            <v>-30.815000000000001</v>
          </cell>
          <cell r="CP213">
            <v>-10</v>
          </cell>
          <cell r="CQ213">
            <v>-20</v>
          </cell>
          <cell r="CR213">
            <v>-30</v>
          </cell>
          <cell r="CS213">
            <v>-40</v>
          </cell>
          <cell r="CT213">
            <v>-40</v>
          </cell>
          <cell r="CU213">
            <v>-10</v>
          </cell>
          <cell r="CV213">
            <v>-20</v>
          </cell>
          <cell r="CW213">
            <v>-30</v>
          </cell>
          <cell r="CX213">
            <v>-40</v>
          </cell>
          <cell r="CY213">
            <v>-40</v>
          </cell>
          <cell r="CZ213">
            <v>-10</v>
          </cell>
          <cell r="DA213">
            <v>-20</v>
          </cell>
          <cell r="DB213">
            <v>-30</v>
          </cell>
          <cell r="DC213">
            <v>-40</v>
          </cell>
          <cell r="DD213">
            <v>-40</v>
          </cell>
          <cell r="DE213">
            <v>-10</v>
          </cell>
          <cell r="DF213">
            <v>-20</v>
          </cell>
          <cell r="DG213">
            <v>-30</v>
          </cell>
          <cell r="DH213">
            <v>-40</v>
          </cell>
          <cell r="DI213">
            <v>-40</v>
          </cell>
        </row>
        <row r="214">
          <cell r="B214" t="str">
            <v>Proceeds from sale of equity put options</v>
          </cell>
          <cell r="F214">
            <v>0</v>
          </cell>
          <cell r="G214">
            <v>0</v>
          </cell>
          <cell r="H214">
            <v>0</v>
          </cell>
          <cell r="I214">
            <v>0</v>
          </cell>
          <cell r="J214">
            <v>0</v>
          </cell>
          <cell r="K214">
            <v>0</v>
          </cell>
          <cell r="L214">
            <v>2.09</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cell r="BM214">
            <v>0</v>
          </cell>
          <cell r="BN214">
            <v>0</v>
          </cell>
          <cell r="BO214">
            <v>0</v>
          </cell>
          <cell r="BP214">
            <v>0</v>
          </cell>
          <cell r="BQ214">
            <v>0</v>
          </cell>
          <cell r="BR214">
            <v>0</v>
          </cell>
          <cell r="BS214">
            <v>0</v>
          </cell>
          <cell r="BT214">
            <v>0</v>
          </cell>
          <cell r="BU214">
            <v>0</v>
          </cell>
          <cell r="BV214">
            <v>0</v>
          </cell>
          <cell r="BW214">
            <v>0</v>
          </cell>
          <cell r="BX214">
            <v>0</v>
          </cell>
          <cell r="BY214">
            <v>0</v>
          </cell>
          <cell r="BZ214">
            <v>0</v>
          </cell>
          <cell r="CA214">
            <v>0</v>
          </cell>
          <cell r="CB214">
            <v>0</v>
          </cell>
          <cell r="CC214">
            <v>0</v>
          </cell>
          <cell r="CD214">
            <v>0</v>
          </cell>
          <cell r="CE214">
            <v>0</v>
          </cell>
          <cell r="CF214">
            <v>0</v>
          </cell>
          <cell r="CG214">
            <v>0</v>
          </cell>
          <cell r="CH214">
            <v>0</v>
          </cell>
          <cell r="CI214">
            <v>0</v>
          </cell>
          <cell r="CJ214">
            <v>0</v>
          </cell>
          <cell r="CK214">
            <v>0</v>
          </cell>
          <cell r="CL214">
            <v>0</v>
          </cell>
          <cell r="CM214">
            <v>0</v>
          </cell>
          <cell r="CN214">
            <v>0</v>
          </cell>
          <cell r="CO214">
            <v>0</v>
          </cell>
          <cell r="CP214">
            <v>0</v>
          </cell>
          <cell r="CQ214">
            <v>0</v>
          </cell>
          <cell r="CR214">
            <v>0</v>
          </cell>
          <cell r="CS214">
            <v>0</v>
          </cell>
          <cell r="CT214">
            <v>0</v>
          </cell>
          <cell r="CU214">
            <v>0</v>
          </cell>
          <cell r="CV214">
            <v>0</v>
          </cell>
          <cell r="CW214">
            <v>0</v>
          </cell>
          <cell r="CX214">
            <v>0</v>
          </cell>
          <cell r="CY214">
            <v>0</v>
          </cell>
          <cell r="CZ214">
            <v>0</v>
          </cell>
          <cell r="DA214">
            <v>0</v>
          </cell>
          <cell r="DB214">
            <v>0</v>
          </cell>
          <cell r="DC214">
            <v>0</v>
          </cell>
          <cell r="DD214">
            <v>0</v>
          </cell>
          <cell r="DE214">
            <v>0</v>
          </cell>
          <cell r="DF214">
            <v>0</v>
          </cell>
          <cell r="DG214">
            <v>0</v>
          </cell>
          <cell r="DH214">
            <v>0</v>
          </cell>
          <cell r="DI214">
            <v>0</v>
          </cell>
        </row>
        <row r="215">
          <cell r="B215" t="str">
            <v>Payment of interest on debentures</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-1.222</v>
          </cell>
          <cell r="AA215">
            <v>-1.222</v>
          </cell>
          <cell r="AB215">
            <v>0</v>
          </cell>
          <cell r="AC215">
            <v>0</v>
          </cell>
          <cell r="AD215">
            <v>0</v>
          </cell>
          <cell r="AE215">
            <v>-1.222</v>
          </cell>
          <cell r="AF215">
            <v>-1.222</v>
          </cell>
          <cell r="AG215">
            <v>0</v>
          </cell>
          <cell r="AH215">
            <v>0</v>
          </cell>
          <cell r="AI215">
            <v>0</v>
          </cell>
          <cell r="AJ215">
            <v>-1.222</v>
          </cell>
          <cell r="AK215">
            <v>-1.222</v>
          </cell>
          <cell r="AL215">
            <v>0</v>
          </cell>
          <cell r="AM215">
            <v>0</v>
          </cell>
          <cell r="AN215">
            <v>0</v>
          </cell>
          <cell r="AO215">
            <v>0</v>
          </cell>
          <cell r="AP215">
            <v>0</v>
          </cell>
          <cell r="AQ215">
            <v>0</v>
          </cell>
          <cell r="AR215">
            <v>0</v>
          </cell>
          <cell r="AS215">
            <v>0</v>
          </cell>
          <cell r="AT215">
            <v>0</v>
          </cell>
          <cell r="AU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cell r="BM215">
            <v>0</v>
          </cell>
          <cell r="BN215">
            <v>0</v>
          </cell>
          <cell r="BO215">
            <v>0</v>
          </cell>
          <cell r="BP215">
            <v>0</v>
          </cell>
          <cell r="BQ215">
            <v>0</v>
          </cell>
          <cell r="BR215">
            <v>0</v>
          </cell>
          <cell r="BS215">
            <v>0</v>
          </cell>
          <cell r="BT215">
            <v>0</v>
          </cell>
          <cell r="BU215">
            <v>0</v>
          </cell>
          <cell r="BV215">
            <v>0</v>
          </cell>
          <cell r="BW215">
            <v>0</v>
          </cell>
          <cell r="BX215">
            <v>0</v>
          </cell>
          <cell r="BY215">
            <v>0</v>
          </cell>
          <cell r="BZ215">
            <v>0</v>
          </cell>
          <cell r="CA215">
            <v>0</v>
          </cell>
          <cell r="CB215">
            <v>0</v>
          </cell>
          <cell r="CC215">
            <v>0</v>
          </cell>
          <cell r="CD215">
            <v>0</v>
          </cell>
          <cell r="CE215">
            <v>0</v>
          </cell>
          <cell r="CF215">
            <v>0</v>
          </cell>
          <cell r="CG215">
            <v>0</v>
          </cell>
          <cell r="CH215">
            <v>0</v>
          </cell>
          <cell r="CI215">
            <v>0</v>
          </cell>
          <cell r="CJ215">
            <v>0</v>
          </cell>
          <cell r="CK215">
            <v>0</v>
          </cell>
          <cell r="CL215">
            <v>0</v>
          </cell>
          <cell r="CM215">
            <v>0</v>
          </cell>
          <cell r="CN215">
            <v>0</v>
          </cell>
          <cell r="CO215">
            <v>0</v>
          </cell>
          <cell r="CP215">
            <v>0</v>
          </cell>
          <cell r="CQ215">
            <v>0</v>
          </cell>
          <cell r="CR215">
            <v>0</v>
          </cell>
          <cell r="CS215">
            <v>0</v>
          </cell>
          <cell r="CT215">
            <v>0</v>
          </cell>
          <cell r="CU215">
            <v>0</v>
          </cell>
          <cell r="CV215">
            <v>0</v>
          </cell>
          <cell r="CW215">
            <v>0</v>
          </cell>
          <cell r="CX215">
            <v>0</v>
          </cell>
          <cell r="CY215">
            <v>0</v>
          </cell>
          <cell r="CZ215">
            <v>0</v>
          </cell>
          <cell r="DA215">
            <v>0</v>
          </cell>
          <cell r="DB215">
            <v>0</v>
          </cell>
          <cell r="DC215">
            <v>0</v>
          </cell>
          <cell r="DD215">
            <v>0</v>
          </cell>
          <cell r="DE215">
            <v>0</v>
          </cell>
          <cell r="DF215">
            <v>0</v>
          </cell>
          <cell r="DG215">
            <v>0</v>
          </cell>
          <cell r="DH215">
            <v>0</v>
          </cell>
          <cell r="DI215">
            <v>0</v>
          </cell>
        </row>
        <row r="216">
          <cell r="B216" t="str">
            <v>Payment of financing costs</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-1.4650000000000001</v>
          </cell>
          <cell r="AR216">
            <v>-1.4650000000000001</v>
          </cell>
          <cell r="AS216">
            <v>-3.5009999999999994</v>
          </cell>
          <cell r="AT216">
            <v>-3.4980000000000002</v>
          </cell>
          <cell r="AU216">
            <v>-3.4980000000000002</v>
          </cell>
          <cell r="AW216">
            <v>0</v>
          </cell>
          <cell r="AX216">
            <v>0</v>
          </cell>
          <cell r="AY216">
            <v>0</v>
          </cell>
          <cell r="AZ216">
            <v>-1.4650000000000001</v>
          </cell>
          <cell r="BA216">
            <v>-1.4650000000000001</v>
          </cell>
          <cell r="BB216">
            <v>0</v>
          </cell>
          <cell r="BC216">
            <v>-2.0359999999999996</v>
          </cell>
          <cell r="BD216">
            <v>-2.0330000000000004</v>
          </cell>
          <cell r="BE216">
            <v>-2.0330000000000004</v>
          </cell>
          <cell r="BF216">
            <v>-2.0330000000000004</v>
          </cell>
          <cell r="BG216">
            <v>0</v>
          </cell>
          <cell r="BH216">
            <v>-0.49399999999999999</v>
          </cell>
          <cell r="BI216">
            <v>-3.4889999999999999</v>
          </cell>
          <cell r="BJ216">
            <v>-3.5679999999999996</v>
          </cell>
          <cell r="BK216">
            <v>-3.5679999999999996</v>
          </cell>
          <cell r="BL216">
            <v>-1.855</v>
          </cell>
          <cell r="BM216">
            <v>-3.2770000000000001</v>
          </cell>
          <cell r="BN216">
            <v>-3.2770000000000001</v>
          </cell>
          <cell r="BO216">
            <v>-3.2770000000000001</v>
          </cell>
          <cell r="BP216">
            <v>-3.2770000000000001</v>
          </cell>
          <cell r="BQ216">
            <v>0</v>
          </cell>
          <cell r="BR216">
            <v>-8.7999999999999995E-2</v>
          </cell>
          <cell r="BS216">
            <v>-0.35</v>
          </cell>
          <cell r="BT216">
            <v>-0.35</v>
          </cell>
          <cell r="BU216">
            <v>-0.35</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row>
        <row r="217">
          <cell r="B217" t="str">
            <v>Decrease (increase) in funds held by trustee</v>
          </cell>
          <cell r="F217">
            <v>0.93</v>
          </cell>
          <cell r="G217">
            <v>3.5000000000000003E-2</v>
          </cell>
          <cell r="H217">
            <v>-0.16900000000000001</v>
          </cell>
          <cell r="I217">
            <v>-0.183</v>
          </cell>
          <cell r="J217">
            <v>-0.86099999999999999</v>
          </cell>
          <cell r="K217">
            <v>0.24299999999999999</v>
          </cell>
          <cell r="L217">
            <v>-3.2210000000000001</v>
          </cell>
          <cell r="M217">
            <v>-0.151</v>
          </cell>
          <cell r="N217">
            <v>-0.60599999999999998</v>
          </cell>
          <cell r="O217">
            <v>-0.93200000000000005</v>
          </cell>
          <cell r="P217">
            <v>-0.18299999999999994</v>
          </cell>
          <cell r="Q217">
            <v>-0.18299999999999994</v>
          </cell>
          <cell r="R217">
            <v>-0.308</v>
          </cell>
          <cell r="S217">
            <v>0.7629999999999999</v>
          </cell>
          <cell r="T217">
            <v>0.8859999999999999</v>
          </cell>
          <cell r="U217">
            <v>1.3280000000000001</v>
          </cell>
          <cell r="V217">
            <v>1.3280000000000001</v>
          </cell>
          <cell r="W217">
            <v>0.13300000000000001</v>
          </cell>
          <cell r="X217">
            <v>-0.19500000000000001</v>
          </cell>
          <cell r="Y217">
            <v>-0.41599999999999998</v>
          </cell>
          <cell r="Z217">
            <v>0.88400000000000012</v>
          </cell>
          <cell r="AA217">
            <v>0.88400000000000012</v>
          </cell>
          <cell r="AB217">
            <v>-1.034</v>
          </cell>
          <cell r="AC217">
            <v>-2.23</v>
          </cell>
          <cell r="AD217">
            <v>-0.30400000000000005</v>
          </cell>
          <cell r="AE217">
            <v>-0.3949999999999998</v>
          </cell>
          <cell r="AF217">
            <v>-0.3949999999999998</v>
          </cell>
          <cell r="AG217">
            <v>-0.753</v>
          </cell>
          <cell r="AH217">
            <v>-1.1879999999999999</v>
          </cell>
          <cell r="AI217">
            <v>1.4999999999999902E-2</v>
          </cell>
          <cell r="AJ217">
            <v>0</v>
          </cell>
          <cell r="AK217">
            <v>0</v>
          </cell>
          <cell r="AL217">
            <v>0</v>
          </cell>
          <cell r="AM217">
            <v>0</v>
          </cell>
          <cell r="AN217">
            <v>0</v>
          </cell>
          <cell r="AO217">
            <v>-39.4</v>
          </cell>
          <cell r="AP217">
            <v>-39.4</v>
          </cell>
          <cell r="AQ217">
            <v>-10.901999999999999</v>
          </cell>
          <cell r="AR217">
            <v>-18.248999999999999</v>
          </cell>
          <cell r="AS217">
            <v>-21.460999999999999</v>
          </cell>
          <cell r="AT217">
            <v>0</v>
          </cell>
          <cell r="AU217">
            <v>0</v>
          </cell>
          <cell r="AW217">
            <v>0</v>
          </cell>
          <cell r="AX217">
            <v>0</v>
          </cell>
          <cell r="AY217">
            <v>-39.4</v>
          </cell>
          <cell r="AZ217">
            <v>-50.302</v>
          </cell>
          <cell r="BA217">
            <v>-50.302</v>
          </cell>
          <cell r="BB217">
            <v>-7.3469999999999995</v>
          </cell>
          <cell r="BC217">
            <v>-10.558999999999999</v>
          </cell>
          <cell r="BD217">
            <v>10.901999999999999</v>
          </cell>
          <cell r="BE217">
            <v>10.901999999999999</v>
          </cell>
          <cell r="BF217">
            <v>10.901999999999999</v>
          </cell>
          <cell r="BG217">
            <v>0</v>
          </cell>
          <cell r="BH217">
            <v>0</v>
          </cell>
          <cell r="BI217">
            <v>0</v>
          </cell>
          <cell r="BJ217">
            <v>0</v>
          </cell>
          <cell r="BK217">
            <v>0</v>
          </cell>
          <cell r="BL217">
            <v>0</v>
          </cell>
          <cell r="BM217">
            <v>0</v>
          </cell>
          <cell r="BN217">
            <v>0</v>
          </cell>
          <cell r="BO217">
            <v>0</v>
          </cell>
          <cell r="BP217">
            <v>0</v>
          </cell>
          <cell r="BQ217">
            <v>0</v>
          </cell>
          <cell r="BR217">
            <v>0</v>
          </cell>
          <cell r="BS217">
            <v>0</v>
          </cell>
          <cell r="BT217">
            <v>0</v>
          </cell>
          <cell r="BU217">
            <v>0</v>
          </cell>
          <cell r="BV217">
            <v>0</v>
          </cell>
          <cell r="BW217">
            <v>0</v>
          </cell>
          <cell r="BX217">
            <v>0</v>
          </cell>
          <cell r="BY217">
            <v>0</v>
          </cell>
          <cell r="BZ217">
            <v>0</v>
          </cell>
          <cell r="CA217">
            <v>0</v>
          </cell>
          <cell r="CB217">
            <v>0</v>
          </cell>
          <cell r="CC217">
            <v>0</v>
          </cell>
          <cell r="CD217">
            <v>0</v>
          </cell>
          <cell r="CE217">
            <v>0</v>
          </cell>
          <cell r="CF217">
            <v>0</v>
          </cell>
          <cell r="CG217">
            <v>0</v>
          </cell>
          <cell r="CH217">
            <v>0</v>
          </cell>
          <cell r="CI217">
            <v>0</v>
          </cell>
          <cell r="CJ217">
            <v>0</v>
          </cell>
          <cell r="CK217">
            <v>0</v>
          </cell>
          <cell r="CL217">
            <v>0</v>
          </cell>
          <cell r="CM217">
            <v>0</v>
          </cell>
          <cell r="CN217">
            <v>0</v>
          </cell>
          <cell r="CO217">
            <v>0</v>
          </cell>
          <cell r="CP217">
            <v>0</v>
          </cell>
          <cell r="CQ217">
            <v>0</v>
          </cell>
          <cell r="CR217">
            <v>0</v>
          </cell>
          <cell r="CS217">
            <v>0</v>
          </cell>
          <cell r="CT217">
            <v>0</v>
          </cell>
          <cell r="CU217">
            <v>0</v>
          </cell>
          <cell r="CV217">
            <v>0</v>
          </cell>
          <cell r="CW217">
            <v>0</v>
          </cell>
          <cell r="CX217">
            <v>0</v>
          </cell>
          <cell r="CY217">
            <v>0</v>
          </cell>
          <cell r="CZ217">
            <v>0</v>
          </cell>
          <cell r="DA217">
            <v>0</v>
          </cell>
          <cell r="DB217">
            <v>0</v>
          </cell>
          <cell r="DC217">
            <v>0</v>
          </cell>
          <cell r="DD217">
            <v>0</v>
          </cell>
          <cell r="DE217">
            <v>0</v>
          </cell>
          <cell r="DF217">
            <v>0</v>
          </cell>
          <cell r="DG217">
            <v>0</v>
          </cell>
          <cell r="DH217">
            <v>0</v>
          </cell>
          <cell r="DI217">
            <v>0</v>
          </cell>
        </row>
        <row r="218">
          <cell r="B218" t="str">
            <v>Payment of dividends</v>
          </cell>
          <cell r="F218">
            <v>0</v>
          </cell>
          <cell r="G218">
            <v>0</v>
          </cell>
          <cell r="H218">
            <v>0</v>
          </cell>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-4.8630000000000004</v>
          </cell>
          <cell r="AH218">
            <v>-9.7360000000000007</v>
          </cell>
          <cell r="AI218">
            <v>-14.608000000000001</v>
          </cell>
          <cell r="AJ218">
            <v>-19.684999999999999</v>
          </cell>
          <cell r="AK218">
            <v>-19.684999999999999</v>
          </cell>
          <cell r="AL218">
            <v>-4.9039999999999999</v>
          </cell>
          <cell r="AM218">
            <v>-9.8610000000000007</v>
          </cell>
          <cell r="AN218">
            <v>-14.821999999999999</v>
          </cell>
          <cell r="AO218">
            <v>-19.789000000000001</v>
          </cell>
          <cell r="AP218">
            <v>-19.789000000000001</v>
          </cell>
          <cell r="AQ218">
            <v>-9.9390000000000001</v>
          </cell>
          <cell r="AR218">
            <v>-18.902999999999999</v>
          </cell>
          <cell r="AS218">
            <v>-28.771000000000001</v>
          </cell>
          <cell r="AT218">
            <v>-38.631999999999998</v>
          </cell>
          <cell r="AU218">
            <v>-38.631999999999998</v>
          </cell>
          <cell r="AW218">
            <v>-4.9570000000000007</v>
          </cell>
          <cell r="AX218">
            <v>-9.9179999999999993</v>
          </cell>
          <cell r="AY218">
            <v>-14.885000000000002</v>
          </cell>
          <cell r="AZ218">
            <v>-24.824000000000002</v>
          </cell>
          <cell r="BA218">
            <v>-24.824000000000002</v>
          </cell>
          <cell r="BB218">
            <v>-8.9639999999999986</v>
          </cell>
          <cell r="BC218">
            <v>-18.832000000000001</v>
          </cell>
          <cell r="BD218">
            <v>-28.692999999999998</v>
          </cell>
          <cell r="BE218">
            <v>-43.418999999999997</v>
          </cell>
          <cell r="BF218">
            <v>-43.418999999999997</v>
          </cell>
          <cell r="BG218">
            <v>-14.436999999999999</v>
          </cell>
          <cell r="BH218">
            <v>-28.88</v>
          </cell>
          <cell r="BI218">
            <v>-43.337000000000003</v>
          </cell>
          <cell r="BJ218">
            <v>-57.877000000000002</v>
          </cell>
          <cell r="BK218">
            <v>-57.877000000000002</v>
          </cell>
          <cell r="BL218">
            <v>-2425.2170000000001</v>
          </cell>
          <cell r="BM218">
            <v>-2425.2170000000001</v>
          </cell>
          <cell r="BN218">
            <v>-2425.2170000000001</v>
          </cell>
          <cell r="BO218">
            <v>-2425.2170000000001</v>
          </cell>
          <cell r="BP218">
            <v>-2425.2170000000001</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row>
        <row r="219">
          <cell r="B219" t="str">
            <v>Equity comp excess tax benefit</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W219">
            <v>0</v>
          </cell>
          <cell r="AX219">
            <v>0</v>
          </cell>
          <cell r="AY219">
            <v>0</v>
          </cell>
          <cell r="AZ219">
            <v>0</v>
          </cell>
          <cell r="BA219">
            <v>0</v>
          </cell>
          <cell r="BB219">
            <v>0</v>
          </cell>
          <cell r="BC219">
            <v>0</v>
          </cell>
          <cell r="BD219">
            <v>0</v>
          </cell>
          <cell r="BE219">
            <v>0.80800000000000005</v>
          </cell>
          <cell r="BF219">
            <v>0.80800000000000005</v>
          </cell>
          <cell r="BG219">
            <v>1.9E-2</v>
          </cell>
          <cell r="BH219">
            <v>3.7999999999999999E-2</v>
          </cell>
          <cell r="BI219">
            <v>1.3480000000000003</v>
          </cell>
          <cell r="BJ219">
            <v>1.369</v>
          </cell>
          <cell r="BK219">
            <v>1.369</v>
          </cell>
          <cell r="BL219">
            <v>0.23100000000000001</v>
          </cell>
          <cell r="BM219">
            <v>0.27300000000000002</v>
          </cell>
          <cell r="BN219">
            <v>0.27300000000000002</v>
          </cell>
          <cell r="BO219">
            <v>0.27300000000000002</v>
          </cell>
          <cell r="BP219">
            <v>0.27300000000000002</v>
          </cell>
          <cell r="BQ219">
            <v>0</v>
          </cell>
          <cell r="BR219">
            <v>0</v>
          </cell>
          <cell r="BS219">
            <v>0</v>
          </cell>
          <cell r="BT219">
            <v>0</v>
          </cell>
          <cell r="BU219">
            <v>0</v>
          </cell>
          <cell r="BV219">
            <v>0.14399999999999999</v>
          </cell>
          <cell r="BW219">
            <v>0.14399999999999999</v>
          </cell>
          <cell r="BX219">
            <v>0.14899999999999999</v>
          </cell>
          <cell r="BY219">
            <v>0.218</v>
          </cell>
          <cell r="BZ219">
            <v>0.218</v>
          </cell>
          <cell r="CA219">
            <v>1.1000000000000001</v>
          </cell>
          <cell r="CB219">
            <v>1.1120000000000001</v>
          </cell>
          <cell r="CC219">
            <v>1.1120000000000001</v>
          </cell>
          <cell r="CD219">
            <v>1.278</v>
          </cell>
          <cell r="CE219">
            <v>1.278</v>
          </cell>
          <cell r="CF219">
            <v>2.8969999999999998</v>
          </cell>
          <cell r="CG219">
            <v>2.919</v>
          </cell>
          <cell r="CH219">
            <v>2.919</v>
          </cell>
          <cell r="CI219">
            <v>2.9990000000000001</v>
          </cell>
          <cell r="CJ219">
            <v>2.9990000000000001</v>
          </cell>
          <cell r="CK219">
            <v>1.4</v>
          </cell>
          <cell r="CL219">
            <v>1.407</v>
          </cell>
          <cell r="CM219">
            <v>1.444</v>
          </cell>
          <cell r="CN219">
            <v>1.444</v>
          </cell>
          <cell r="CO219">
            <v>1.444</v>
          </cell>
          <cell r="CP219">
            <v>0</v>
          </cell>
          <cell r="CQ219">
            <v>0</v>
          </cell>
          <cell r="CR219">
            <v>0</v>
          </cell>
          <cell r="CS219">
            <v>0</v>
          </cell>
          <cell r="CT219">
            <v>0</v>
          </cell>
          <cell r="CU219">
            <v>0</v>
          </cell>
          <cell r="CV219">
            <v>0</v>
          </cell>
          <cell r="CW219">
            <v>0</v>
          </cell>
          <cell r="CX219">
            <v>0</v>
          </cell>
          <cell r="CY219">
            <v>0</v>
          </cell>
          <cell r="CZ219">
            <v>0</v>
          </cell>
          <cell r="DA219">
            <v>0</v>
          </cell>
          <cell r="DB219">
            <v>0</v>
          </cell>
          <cell r="DC219">
            <v>0</v>
          </cell>
          <cell r="DD219">
            <v>0</v>
          </cell>
          <cell r="DE219">
            <v>0</v>
          </cell>
          <cell r="DF219">
            <v>0</v>
          </cell>
          <cell r="DG219">
            <v>0</v>
          </cell>
          <cell r="DH219">
            <v>0</v>
          </cell>
          <cell r="DI219">
            <v>0</v>
          </cell>
        </row>
        <row r="220">
          <cell r="B220" t="str">
            <v>Other</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-16</v>
          </cell>
          <cell r="AU220">
            <v>-16</v>
          </cell>
          <cell r="AW220">
            <v>0</v>
          </cell>
          <cell r="AX220">
            <v>0</v>
          </cell>
          <cell r="AY220">
            <v>0</v>
          </cell>
          <cell r="AZ220">
            <v>0</v>
          </cell>
          <cell r="BA220">
            <v>0</v>
          </cell>
          <cell r="BB220">
            <v>0</v>
          </cell>
          <cell r="BC220">
            <v>0</v>
          </cell>
          <cell r="BD220">
            <v>-16</v>
          </cell>
          <cell r="BE220">
            <v>-16</v>
          </cell>
          <cell r="BF220">
            <v>-16</v>
          </cell>
          <cell r="BG220">
            <v>0</v>
          </cell>
          <cell r="BH220">
            <v>0</v>
          </cell>
          <cell r="BI220">
            <v>-67.349999999999994</v>
          </cell>
          <cell r="BJ220">
            <v>-67.349999999999994</v>
          </cell>
          <cell r="BK220">
            <v>-67.349999999999994</v>
          </cell>
          <cell r="BL220">
            <v>0</v>
          </cell>
          <cell r="BM220">
            <v>0</v>
          </cell>
          <cell r="BN220">
            <v>0.216</v>
          </cell>
          <cell r="BO220">
            <v>0.216</v>
          </cell>
          <cell r="BP220">
            <v>0.216</v>
          </cell>
          <cell r="BQ220">
            <v>0</v>
          </cell>
          <cell r="BR220">
            <v>0</v>
          </cell>
          <cell r="BS220">
            <v>0</v>
          </cell>
          <cell r="BT220">
            <v>0</v>
          </cell>
          <cell r="BU220">
            <v>0</v>
          </cell>
          <cell r="BV220">
            <v>-59.338000000000001</v>
          </cell>
          <cell r="BW220">
            <v>-59.338000000000001</v>
          </cell>
          <cell r="BX220">
            <v>-67.713999999999999</v>
          </cell>
          <cell r="BY220">
            <v>-67.713999999999999</v>
          </cell>
          <cell r="BZ220">
            <v>-67.713999999999999</v>
          </cell>
          <cell r="CA220">
            <v>0</v>
          </cell>
          <cell r="CB220">
            <v>0</v>
          </cell>
          <cell r="CC220">
            <v>0</v>
          </cell>
          <cell r="CD220">
            <v>0</v>
          </cell>
          <cell r="CE220">
            <v>0</v>
          </cell>
          <cell r="CF220">
            <v>0</v>
          </cell>
          <cell r="CG220">
            <v>0</v>
          </cell>
          <cell r="CH220">
            <v>-10.625</v>
          </cell>
          <cell r="CI220">
            <v>-75.149000000000001</v>
          </cell>
          <cell r="CJ220">
            <v>-75.149000000000001</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row>
        <row r="221">
          <cell r="B221" t="str">
            <v>Cash Flow from Financing</v>
          </cell>
          <cell r="F221">
            <v>-7.8060000000000045</v>
          </cell>
          <cell r="G221">
            <v>40.411999999999992</v>
          </cell>
          <cell r="H221">
            <v>7.4539999999999997</v>
          </cell>
          <cell r="I221">
            <v>-11.439</v>
          </cell>
          <cell r="J221">
            <v>2.1280000000000001</v>
          </cell>
          <cell r="K221">
            <v>14.301</v>
          </cell>
          <cell r="L221">
            <v>60.720999999999989</v>
          </cell>
          <cell r="M221">
            <v>-13.316000000000001</v>
          </cell>
          <cell r="N221">
            <v>-15.396000000000001</v>
          </cell>
          <cell r="O221">
            <v>136.19799999999998</v>
          </cell>
          <cell r="P221">
            <v>175.14000000000001</v>
          </cell>
          <cell r="Q221">
            <v>175.14000000000001</v>
          </cell>
          <cell r="R221">
            <v>2.470000000000006</v>
          </cell>
          <cell r="S221">
            <v>-5.1669999999999998</v>
          </cell>
          <cell r="T221">
            <v>20.688999999999997</v>
          </cell>
          <cell r="U221">
            <v>77.546999999999983</v>
          </cell>
          <cell r="V221">
            <v>77.546999999999983</v>
          </cell>
          <cell r="W221">
            <v>-23.722999999999995</v>
          </cell>
          <cell r="X221">
            <v>-39.155000000000001</v>
          </cell>
          <cell r="Y221">
            <v>-54.957000000000001</v>
          </cell>
          <cell r="Z221">
            <v>-65.240000000000023</v>
          </cell>
          <cell r="AA221">
            <v>-65.240000000000023</v>
          </cell>
          <cell r="AB221">
            <v>86.504999999999995</v>
          </cell>
          <cell r="AC221">
            <v>73.821999999999989</v>
          </cell>
          <cell r="AD221">
            <v>72.436999999999983</v>
          </cell>
          <cell r="AE221">
            <v>42.48899999999999</v>
          </cell>
          <cell r="AF221">
            <v>42.48899999999999</v>
          </cell>
          <cell r="AG221">
            <v>-3.4580000000000006</v>
          </cell>
          <cell r="AH221">
            <v>-7.6110000000000007</v>
          </cell>
          <cell r="AI221">
            <v>0.6330000000000009</v>
          </cell>
          <cell r="AJ221">
            <v>257.84399999999988</v>
          </cell>
          <cell r="AK221">
            <v>257.84399999999988</v>
          </cell>
          <cell r="AL221">
            <v>213.50399999999999</v>
          </cell>
          <cell r="AM221">
            <v>188.53399999999999</v>
          </cell>
          <cell r="AN221">
            <v>109.63900000000001</v>
          </cell>
          <cell r="AO221">
            <v>-31.094000000000051</v>
          </cell>
          <cell r="AP221">
            <v>-31.094000000000051</v>
          </cell>
          <cell r="AQ221">
            <v>-13.630999999999998</v>
          </cell>
          <cell r="AR221">
            <v>167.89300000000006</v>
          </cell>
          <cell r="AS221">
            <v>74.320000000000022</v>
          </cell>
          <cell r="AT221">
            <v>-12.426000000000045</v>
          </cell>
          <cell r="AU221">
            <v>-12.426000000000045</v>
          </cell>
          <cell r="AW221">
            <v>-24.97</v>
          </cell>
          <cell r="AX221">
            <v>-103.86499999999998</v>
          </cell>
          <cell r="AY221">
            <v>-244.59800000000004</v>
          </cell>
          <cell r="AZ221">
            <v>-258.22900000000004</v>
          </cell>
          <cell r="BA221">
            <v>-258.22900000000004</v>
          </cell>
          <cell r="BB221">
            <v>181.52400000000003</v>
          </cell>
          <cell r="BC221">
            <v>87.951000000000022</v>
          </cell>
          <cell r="BD221">
            <v>1.2049999999999841</v>
          </cell>
          <cell r="BE221">
            <v>52.86899999999995</v>
          </cell>
          <cell r="BF221">
            <v>52.86899999999995</v>
          </cell>
          <cell r="BG221">
            <v>-8.6159999999999908</v>
          </cell>
          <cell r="BH221">
            <v>119.60099999999996</v>
          </cell>
          <cell r="BI221">
            <v>-8.9059999999999633</v>
          </cell>
          <cell r="BJ221">
            <v>-20.038000000000007</v>
          </cell>
          <cell r="BK221">
            <v>-20.038000000000007</v>
          </cell>
          <cell r="BL221">
            <v>9.8769999999997307</v>
          </cell>
          <cell r="BM221">
            <v>-4.5849999999997202</v>
          </cell>
          <cell r="BN221">
            <v>-15.611999999999659</v>
          </cell>
          <cell r="BO221">
            <v>-34.847000000000051</v>
          </cell>
          <cell r="BP221">
            <v>-34.847000000000051</v>
          </cell>
          <cell r="BQ221">
            <v>238.98</v>
          </cell>
          <cell r="BR221">
            <v>106.81799999999998</v>
          </cell>
          <cell r="BS221">
            <v>-168.57899999999995</v>
          </cell>
          <cell r="BT221">
            <v>-199.43900000000008</v>
          </cell>
          <cell r="BU221">
            <v>-199.43900000000008</v>
          </cell>
          <cell r="BV221">
            <v>-98.367000000000004</v>
          </cell>
          <cell r="BW221">
            <v>-132.048</v>
          </cell>
          <cell r="BX221">
            <v>-134.584</v>
          </cell>
          <cell r="BY221">
            <v>-127.59600000000002</v>
          </cell>
          <cell r="BZ221">
            <v>-127.59600000000002</v>
          </cell>
          <cell r="CA221">
            <v>-7.6440000000000001</v>
          </cell>
          <cell r="CB221">
            <v>-20.737000000000002</v>
          </cell>
          <cell r="CC221">
            <v>-36.21</v>
          </cell>
          <cell r="CD221">
            <v>-49.482999999999997</v>
          </cell>
          <cell r="CE221">
            <v>-49.482999999999997</v>
          </cell>
          <cell r="CF221">
            <v>-5.1100000000000012</v>
          </cell>
          <cell r="CG221">
            <v>-19.04</v>
          </cell>
          <cell r="CH221">
            <v>321.18600000000004</v>
          </cell>
          <cell r="CI221">
            <v>401.2229999999999</v>
          </cell>
          <cell r="CJ221">
            <v>401.2229999999999</v>
          </cell>
          <cell r="CK221">
            <v>-35.499000000000002</v>
          </cell>
          <cell r="CL221">
            <v>-62.355000000000004</v>
          </cell>
          <cell r="CM221">
            <v>-97.343000000000004</v>
          </cell>
          <cell r="CN221">
            <v>-112.86575000000003</v>
          </cell>
          <cell r="CO221">
            <v>-112.86575000000003</v>
          </cell>
          <cell r="CP221">
            <v>-25.522750000000016</v>
          </cell>
          <cell r="CQ221">
            <v>-51.045500000000033</v>
          </cell>
          <cell r="CR221">
            <v>-76.568250000000049</v>
          </cell>
          <cell r="CS221">
            <v>-102.09100000000007</v>
          </cell>
          <cell r="CT221">
            <v>-102.09100000000007</v>
          </cell>
          <cell r="CU221">
            <v>-25.522750000000016</v>
          </cell>
          <cell r="CV221">
            <v>-51.045500000000033</v>
          </cell>
          <cell r="CW221">
            <v>-76.568250000000049</v>
          </cell>
          <cell r="CX221">
            <v>-102.09100000000007</v>
          </cell>
          <cell r="CY221">
            <v>-102.09100000000007</v>
          </cell>
          <cell r="CZ221">
            <v>-26.022750000000016</v>
          </cell>
          <cell r="DA221">
            <v>-52.045500000000033</v>
          </cell>
          <cell r="DB221">
            <v>-78.068250000000049</v>
          </cell>
          <cell r="DC221">
            <v>-104.09100000000007</v>
          </cell>
          <cell r="DD221">
            <v>-104.09100000000007</v>
          </cell>
          <cell r="DE221">
            <v>-26.022750000000016</v>
          </cell>
          <cell r="DF221">
            <v>-52.045500000000033</v>
          </cell>
          <cell r="DG221">
            <v>-78.068250000000049</v>
          </cell>
          <cell r="DH221">
            <v>-104.09100000000007</v>
          </cell>
          <cell r="DI221">
            <v>-104.09100000000007</v>
          </cell>
        </row>
        <row r="223">
          <cell r="B223" t="str">
            <v>Discontinued ops: chgs rel. to op activities</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0.52700000000000002</v>
          </cell>
          <cell r="AU223">
            <v>0.52700000000000002</v>
          </cell>
          <cell r="AW223">
            <v>0</v>
          </cell>
          <cell r="AX223">
            <v>0</v>
          </cell>
          <cell r="AY223">
            <v>0</v>
          </cell>
          <cell r="AZ223">
            <v>0</v>
          </cell>
          <cell r="BA223">
            <v>0</v>
          </cell>
          <cell r="BB223">
            <v>0</v>
          </cell>
          <cell r="BC223">
            <v>0</v>
          </cell>
          <cell r="BD223">
            <v>0.52700000000000002</v>
          </cell>
          <cell r="BE223">
            <v>1.488</v>
          </cell>
          <cell r="BF223">
            <v>1.488</v>
          </cell>
          <cell r="BG223">
            <v>-0.66</v>
          </cell>
          <cell r="BH223">
            <v>0.82399999999999995</v>
          </cell>
          <cell r="BI223">
            <v>-5.673</v>
          </cell>
          <cell r="BJ223">
            <v>2.3580000000000005</v>
          </cell>
          <cell r="BK223">
            <v>2.3580000000000005</v>
          </cell>
          <cell r="BL223">
            <v>-5.3999999999999999E-2</v>
          </cell>
          <cell r="BM223">
            <v>-2.0510000000000002</v>
          </cell>
          <cell r="BN223">
            <v>-12.282</v>
          </cell>
          <cell r="BO223">
            <v>-11.311999999999999</v>
          </cell>
          <cell r="BP223">
            <v>-11.311999999999999</v>
          </cell>
          <cell r="BQ223">
            <v>-3.0270000000000001</v>
          </cell>
          <cell r="BR223">
            <v>-19.893000000000001</v>
          </cell>
          <cell r="BS223">
            <v>-27.113</v>
          </cell>
          <cell r="BT223">
            <v>-30.077000000000002</v>
          </cell>
          <cell r="BU223">
            <v>-30.077000000000002</v>
          </cell>
          <cell r="BV223">
            <v>1.7210000000000001</v>
          </cell>
          <cell r="BW223">
            <v>1.7210000000000001</v>
          </cell>
          <cell r="BX223">
            <v>6.7450000000000001</v>
          </cell>
          <cell r="BY223">
            <v>6.8879999999999999</v>
          </cell>
          <cell r="BZ223">
            <v>6.8879999999999999</v>
          </cell>
          <cell r="CA223">
            <v>0</v>
          </cell>
          <cell r="CB223">
            <v>0</v>
          </cell>
          <cell r="CC223">
            <v>0</v>
          </cell>
          <cell r="CD223">
            <v>3.238</v>
          </cell>
          <cell r="CE223">
            <v>3.238</v>
          </cell>
          <cell r="CF223">
            <v>2.1800000000000002</v>
          </cell>
          <cell r="CG223">
            <v>5.2480000000000002</v>
          </cell>
          <cell r="CH223">
            <v>8.0039999999999996</v>
          </cell>
          <cell r="CI223">
            <v>5.9909999999999997</v>
          </cell>
          <cell r="CJ223">
            <v>5.9909999999999997</v>
          </cell>
          <cell r="CK223">
            <v>-2.96</v>
          </cell>
          <cell r="CL223">
            <v>-0.86399999999999988</v>
          </cell>
          <cell r="CM223">
            <v>-1.327</v>
          </cell>
          <cell r="CN223">
            <v>-1.327</v>
          </cell>
          <cell r="CO223">
            <v>-1.327</v>
          </cell>
          <cell r="CP223">
            <v>0</v>
          </cell>
          <cell r="CQ223">
            <v>0</v>
          </cell>
          <cell r="CR223">
            <v>0</v>
          </cell>
          <cell r="CS223">
            <v>0</v>
          </cell>
          <cell r="CT223">
            <v>0</v>
          </cell>
          <cell r="CU223">
            <v>0</v>
          </cell>
          <cell r="CV223">
            <v>0</v>
          </cell>
          <cell r="CW223">
            <v>0</v>
          </cell>
          <cell r="CX223">
            <v>0</v>
          </cell>
          <cell r="CY223">
            <v>0</v>
          </cell>
          <cell r="CZ223">
            <v>0</v>
          </cell>
          <cell r="DA223">
            <v>0</v>
          </cell>
          <cell r="DB223">
            <v>0</v>
          </cell>
          <cell r="DC223">
            <v>0</v>
          </cell>
          <cell r="DD223">
            <v>0</v>
          </cell>
          <cell r="DE223">
            <v>0</v>
          </cell>
          <cell r="DF223">
            <v>0</v>
          </cell>
          <cell r="DG223">
            <v>0</v>
          </cell>
          <cell r="DH223">
            <v>0</v>
          </cell>
          <cell r="DI223">
            <v>0</v>
          </cell>
        </row>
        <row r="224">
          <cell r="B224" t="str">
            <v>Discontinued ops: chgs rel. to investing activities</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-0.21199999999999999</v>
          </cell>
          <cell r="AU224">
            <v>-0.21199999999999999</v>
          </cell>
          <cell r="AW224">
            <v>0</v>
          </cell>
          <cell r="AX224">
            <v>0</v>
          </cell>
          <cell r="AY224">
            <v>0</v>
          </cell>
          <cell r="AZ224">
            <v>0</v>
          </cell>
          <cell r="BA224">
            <v>0</v>
          </cell>
          <cell r="BB224">
            <v>0</v>
          </cell>
          <cell r="BC224">
            <v>0</v>
          </cell>
          <cell r="BD224">
            <v>-0.21199999999999999</v>
          </cell>
          <cell r="BE224">
            <v>-0.30099999999999999</v>
          </cell>
          <cell r="BF224">
            <v>-0.30099999999999999</v>
          </cell>
          <cell r="BG224">
            <v>-0.30499999999999999</v>
          </cell>
          <cell r="BH224">
            <v>-0.35699999999999998</v>
          </cell>
          <cell r="BI224">
            <v>-1.5089999999999999</v>
          </cell>
          <cell r="BJ224">
            <v>-1.7150000000000001</v>
          </cell>
          <cell r="BK224">
            <v>-1.7150000000000001</v>
          </cell>
          <cell r="BL224">
            <v>-0.26300000000000001</v>
          </cell>
          <cell r="BM224">
            <v>-0.77300000000000002</v>
          </cell>
          <cell r="BN224">
            <v>-0.82199999999999995</v>
          </cell>
          <cell r="BO224">
            <v>-1.4159999999999999</v>
          </cell>
          <cell r="BP224">
            <v>-1.4159999999999999</v>
          </cell>
          <cell r="BQ224">
            <v>-0.871</v>
          </cell>
          <cell r="BR224">
            <v>-0.31099999999999994</v>
          </cell>
          <cell r="BS224">
            <v>-0.13900000000000001</v>
          </cell>
          <cell r="BT224">
            <v>0.20100000000000007</v>
          </cell>
          <cell r="BU224">
            <v>0.20100000000000007</v>
          </cell>
          <cell r="BV224">
            <v>3.0000000000000001E-3</v>
          </cell>
          <cell r="BW224">
            <v>3.0000000000000001E-3</v>
          </cell>
          <cell r="BX224">
            <v>-0.44</v>
          </cell>
          <cell r="BY224">
            <v>-0.44</v>
          </cell>
          <cell r="BZ224">
            <v>-0.44</v>
          </cell>
          <cell r="CA224">
            <v>0</v>
          </cell>
          <cell r="CB224">
            <v>0</v>
          </cell>
          <cell r="CC224">
            <v>0</v>
          </cell>
          <cell r="CD224">
            <v>-1.1020000000000001</v>
          </cell>
          <cell r="CE224">
            <v>-1.1020000000000001</v>
          </cell>
          <cell r="CF224">
            <v>0</v>
          </cell>
          <cell r="CG224">
            <v>-5.6000000000000001E-2</v>
          </cell>
          <cell r="CH224">
            <v>-11.583</v>
          </cell>
          <cell r="CI224">
            <v>-12.893999999999998</v>
          </cell>
          <cell r="CJ224">
            <v>-12.893999999999998</v>
          </cell>
          <cell r="CK224">
            <v>-1.6E-2</v>
          </cell>
          <cell r="CL224">
            <v>-0.13500000000000001</v>
          </cell>
          <cell r="CM224">
            <v>-0.13500000000000001</v>
          </cell>
          <cell r="CN224">
            <v>-0.13500000000000001</v>
          </cell>
          <cell r="CO224">
            <v>-0.13500000000000001</v>
          </cell>
          <cell r="CP224">
            <v>0</v>
          </cell>
          <cell r="CQ224">
            <v>0</v>
          </cell>
          <cell r="CR224">
            <v>0</v>
          </cell>
          <cell r="CS224">
            <v>0</v>
          </cell>
          <cell r="CT224">
            <v>0</v>
          </cell>
          <cell r="CU224">
            <v>0</v>
          </cell>
          <cell r="CV224">
            <v>0</v>
          </cell>
          <cell r="CW224">
            <v>0</v>
          </cell>
          <cell r="CX224">
            <v>0</v>
          </cell>
          <cell r="CY224">
            <v>0</v>
          </cell>
          <cell r="CZ224">
            <v>0</v>
          </cell>
          <cell r="DA224">
            <v>0</v>
          </cell>
          <cell r="DB224">
            <v>0</v>
          </cell>
          <cell r="DC224">
            <v>0</v>
          </cell>
          <cell r="DD224">
            <v>0</v>
          </cell>
          <cell r="DE224">
            <v>0</v>
          </cell>
          <cell r="DF224">
            <v>0</v>
          </cell>
          <cell r="DG224">
            <v>0</v>
          </cell>
          <cell r="DH224">
            <v>0</v>
          </cell>
          <cell r="DI224">
            <v>0</v>
          </cell>
        </row>
        <row r="225">
          <cell r="B225" t="str">
            <v>Discontinued ops: chgs rel. to financing activities</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W225">
            <v>0</v>
          </cell>
          <cell r="AX225">
            <v>0</v>
          </cell>
          <cell r="AY225">
            <v>0</v>
          </cell>
          <cell r="AZ225">
            <v>0</v>
          </cell>
          <cell r="BA225">
            <v>0</v>
          </cell>
          <cell r="BB225">
            <v>0</v>
          </cell>
          <cell r="BC225">
            <v>0</v>
          </cell>
          <cell r="BD225">
            <v>0</v>
          </cell>
          <cell r="BE225">
            <v>0</v>
          </cell>
          <cell r="BF225">
            <v>0</v>
          </cell>
          <cell r="BG225">
            <v>0</v>
          </cell>
          <cell r="BH225">
            <v>0</v>
          </cell>
          <cell r="BI225">
            <v>-7.6999999999999999E-2</v>
          </cell>
          <cell r="BJ225">
            <v>-9.6000000000000002E-2</v>
          </cell>
          <cell r="BK225">
            <v>-9.6000000000000002E-2</v>
          </cell>
          <cell r="BL225">
            <v>-4.0000000000000001E-3</v>
          </cell>
          <cell r="BM225">
            <v>-0.128</v>
          </cell>
          <cell r="BN225">
            <v>-0.157</v>
          </cell>
          <cell r="BO225">
            <v>-0.18099999999999999</v>
          </cell>
          <cell r="BP225">
            <v>-0.18099999999999999</v>
          </cell>
          <cell r="BQ225">
            <v>-0.85899999999999999</v>
          </cell>
          <cell r="BR225">
            <v>-4.6000000000000041E-2</v>
          </cell>
          <cell r="BS225">
            <v>-0.30099999999999993</v>
          </cell>
          <cell r="BT225">
            <v>-0.30600000000000005</v>
          </cell>
          <cell r="BU225">
            <v>-0.30600000000000005</v>
          </cell>
          <cell r="BV225">
            <v>-3.9E-2</v>
          </cell>
          <cell r="BW225">
            <v>-3.9E-2</v>
          </cell>
          <cell r="BX225">
            <v>-4.9999999999999975E-3</v>
          </cell>
          <cell r="BY225">
            <v>-0.41299999999999998</v>
          </cell>
          <cell r="BZ225">
            <v>-0.41299999999999998</v>
          </cell>
          <cell r="CA225">
            <v>0</v>
          </cell>
          <cell r="CB225">
            <v>0</v>
          </cell>
          <cell r="CC225">
            <v>0</v>
          </cell>
          <cell r="CD225">
            <v>0</v>
          </cell>
          <cell r="CE225">
            <v>0</v>
          </cell>
          <cell r="CF225">
            <v>0</v>
          </cell>
          <cell r="CG225">
            <v>0</v>
          </cell>
          <cell r="CH225">
            <v>0</v>
          </cell>
          <cell r="CI225">
            <v>0</v>
          </cell>
          <cell r="CJ225">
            <v>0</v>
          </cell>
          <cell r="CK225">
            <v>0</v>
          </cell>
          <cell r="CL225">
            <v>0</v>
          </cell>
          <cell r="CM225">
            <v>0</v>
          </cell>
          <cell r="CN225">
            <v>0</v>
          </cell>
          <cell r="CO225">
            <v>0</v>
          </cell>
          <cell r="CP225">
            <v>0</v>
          </cell>
          <cell r="CQ225">
            <v>0</v>
          </cell>
          <cell r="CR225">
            <v>0</v>
          </cell>
          <cell r="CS225">
            <v>0</v>
          </cell>
          <cell r="CT225">
            <v>0</v>
          </cell>
          <cell r="CU225">
            <v>0</v>
          </cell>
          <cell r="CV225">
            <v>0</v>
          </cell>
          <cell r="CW225">
            <v>0</v>
          </cell>
          <cell r="CX225">
            <v>0</v>
          </cell>
          <cell r="CY225">
            <v>0</v>
          </cell>
          <cell r="CZ225">
            <v>0</v>
          </cell>
          <cell r="DA225">
            <v>0</v>
          </cell>
          <cell r="DB225">
            <v>0</v>
          </cell>
          <cell r="DC225">
            <v>0</v>
          </cell>
          <cell r="DD225">
            <v>0</v>
          </cell>
          <cell r="DE225">
            <v>0</v>
          </cell>
          <cell r="DF225">
            <v>0</v>
          </cell>
          <cell r="DG225">
            <v>0</v>
          </cell>
          <cell r="DH225">
            <v>0</v>
          </cell>
          <cell r="DI225">
            <v>0</v>
          </cell>
        </row>
        <row r="227">
          <cell r="B227" t="str">
            <v>Cash &amp; equivalents - beg balance</v>
          </cell>
          <cell r="F227">
            <v>0.156</v>
          </cell>
          <cell r="G227">
            <v>25.248999999999981</v>
          </cell>
          <cell r="H227">
            <v>74.375999999999976</v>
          </cell>
          <cell r="I227">
            <v>109.38399999999996</v>
          </cell>
          <cell r="J227">
            <v>75.32600000000005</v>
          </cell>
          <cell r="K227">
            <v>31.17200000000004</v>
          </cell>
          <cell r="L227">
            <v>67.381000000000057</v>
          </cell>
          <cell r="M227">
            <v>12.684999999999917</v>
          </cell>
          <cell r="N227">
            <v>12.684999999999917</v>
          </cell>
          <cell r="O227">
            <v>12.684999999999917</v>
          </cell>
          <cell r="P227">
            <v>12.684999999999917</v>
          </cell>
          <cell r="Q227">
            <v>12.684999999999917</v>
          </cell>
          <cell r="R227">
            <v>12.925999999999959</v>
          </cell>
          <cell r="S227">
            <v>12.925999999999959</v>
          </cell>
          <cell r="T227">
            <v>12.925999999999959</v>
          </cell>
          <cell r="U227">
            <v>12.925999999999959</v>
          </cell>
          <cell r="V227">
            <v>12.925999999999959</v>
          </cell>
          <cell r="W227">
            <v>16.471000000000018</v>
          </cell>
          <cell r="X227">
            <v>16.471000000000018</v>
          </cell>
          <cell r="Y227">
            <v>16.471000000000018</v>
          </cell>
          <cell r="Z227">
            <v>16.471000000000018</v>
          </cell>
          <cell r="AA227">
            <v>16.471000000000018</v>
          </cell>
          <cell r="AB227">
            <v>70.263000000000034</v>
          </cell>
          <cell r="AC227">
            <v>70.263000000000034</v>
          </cell>
          <cell r="AD227">
            <v>70.263000000000034</v>
          </cell>
          <cell r="AE227">
            <v>70.263000000000034</v>
          </cell>
          <cell r="AF227">
            <v>70.263000000000034</v>
          </cell>
          <cell r="AG227">
            <v>123.73600000000006</v>
          </cell>
          <cell r="AH227">
            <v>123.73600000000006</v>
          </cell>
          <cell r="AI227">
            <v>123.73600000000006</v>
          </cell>
          <cell r="AJ227">
            <v>123.73600000000006</v>
          </cell>
          <cell r="AK227">
            <v>123.73600000000006</v>
          </cell>
          <cell r="AL227">
            <v>395.33799999999985</v>
          </cell>
          <cell r="AM227">
            <v>395.33799999999985</v>
          </cell>
          <cell r="AN227">
            <v>395.33799999999985</v>
          </cell>
          <cell r="AO227">
            <v>395.33799999999985</v>
          </cell>
          <cell r="AP227">
            <v>395.33799999999985</v>
          </cell>
          <cell r="AQ227">
            <v>112.94599999999974</v>
          </cell>
          <cell r="AR227">
            <v>112.94599999999974</v>
          </cell>
          <cell r="AS227">
            <v>112.94599999999974</v>
          </cell>
          <cell r="AT227">
            <v>112.94599999999974</v>
          </cell>
          <cell r="AU227">
            <v>112.94599999999974</v>
          </cell>
          <cell r="AW227">
            <v>119.3499999999998</v>
          </cell>
          <cell r="AX227">
            <v>119.3499999999998</v>
          </cell>
          <cell r="AY227">
            <v>119.3499999999998</v>
          </cell>
          <cell r="AZ227">
            <v>119.3499999999998</v>
          </cell>
          <cell r="BA227">
            <v>119.3499999999998</v>
          </cell>
          <cell r="BB227">
            <v>192.44299999999947</v>
          </cell>
          <cell r="BC227">
            <v>192.44299999999947</v>
          </cell>
          <cell r="BD227">
            <v>192.44299999999947</v>
          </cell>
          <cell r="BE227">
            <v>192.44299999999947</v>
          </cell>
          <cell r="BF227">
            <v>192.44299999999947</v>
          </cell>
          <cell r="BG227" t="e">
            <v>#REF!</v>
          </cell>
          <cell r="BH227" t="e">
            <v>#REF!</v>
          </cell>
          <cell r="BI227" t="e">
            <v>#REF!</v>
          </cell>
          <cell r="BJ227" t="e">
            <v>#REF!</v>
          </cell>
          <cell r="BK227" t="e">
            <v>#REF!</v>
          </cell>
          <cell r="BL227" t="e">
            <v>#REF!</v>
          </cell>
          <cell r="BM227" t="e">
            <v>#REF!</v>
          </cell>
          <cell r="BN227" t="e">
            <v>#REF!</v>
          </cell>
          <cell r="BO227" t="e">
            <v>#REF!</v>
          </cell>
          <cell r="BP227" t="e">
            <v>#REF!</v>
          </cell>
          <cell r="BQ227" t="e">
            <v>#REF!</v>
          </cell>
          <cell r="BR227" t="e">
            <v>#REF!</v>
          </cell>
          <cell r="BS227" t="e">
            <v>#REF!</v>
          </cell>
          <cell r="BT227" t="e">
            <v>#REF!</v>
          </cell>
          <cell r="BU227" t="e">
            <v>#REF!</v>
          </cell>
          <cell r="BV227" t="e">
            <v>#REF!</v>
          </cell>
          <cell r="BW227" t="e">
            <v>#REF!</v>
          </cell>
          <cell r="BX227" t="e">
            <v>#REF!</v>
          </cell>
          <cell r="BY227" t="e">
            <v>#REF!</v>
          </cell>
          <cell r="BZ227" t="e">
            <v>#REF!</v>
          </cell>
          <cell r="CA227" t="e">
            <v>#REF!</v>
          </cell>
          <cell r="CB227" t="e">
            <v>#REF!</v>
          </cell>
          <cell r="CC227" t="e">
            <v>#REF!</v>
          </cell>
          <cell r="CD227" t="e">
            <v>#REF!</v>
          </cell>
          <cell r="CE227" t="e">
            <v>#REF!</v>
          </cell>
          <cell r="CF227" t="e">
            <v>#REF!</v>
          </cell>
          <cell r="CG227" t="e">
            <v>#REF!</v>
          </cell>
          <cell r="CH227" t="e">
            <v>#REF!</v>
          </cell>
          <cell r="CI227" t="e">
            <v>#REF!</v>
          </cell>
          <cell r="CJ227" t="e">
            <v>#REF!</v>
          </cell>
          <cell r="CK227">
            <v>64.143000000000001</v>
          </cell>
          <cell r="CL227">
            <v>64.143000000000001</v>
          </cell>
          <cell r="CM227">
            <v>64.143000000000001</v>
          </cell>
          <cell r="CN227">
            <v>64.143000000000001</v>
          </cell>
          <cell r="CO227">
            <v>64.143000000000001</v>
          </cell>
          <cell r="CP227">
            <v>101.84708351970696</v>
          </cell>
          <cell r="CQ227">
            <v>101.84708351970696</v>
          </cell>
          <cell r="CR227">
            <v>101.84708351970696</v>
          </cell>
          <cell r="CS227">
            <v>101.84708351970696</v>
          </cell>
          <cell r="CT227">
            <v>101.84708351970696</v>
          </cell>
          <cell r="CU227">
            <v>308.12882222410735</v>
          </cell>
          <cell r="CV227">
            <v>308.12882222410735</v>
          </cell>
          <cell r="CW227">
            <v>308.12882222410735</v>
          </cell>
          <cell r="CX227">
            <v>308.12882222410735</v>
          </cell>
          <cell r="CY227">
            <v>308.12882222410735</v>
          </cell>
          <cell r="CZ227">
            <v>597.73612125164414</v>
          </cell>
          <cell r="DA227">
            <v>597.73612125164414</v>
          </cell>
          <cell r="DB227">
            <v>597.73612125164414</v>
          </cell>
          <cell r="DC227">
            <v>597.73612125164414</v>
          </cell>
          <cell r="DD227">
            <v>597.73612125164414</v>
          </cell>
          <cell r="DE227">
            <v>917.51302469925895</v>
          </cell>
          <cell r="DF227">
            <v>917.51302469925895</v>
          </cell>
          <cell r="DG227">
            <v>917.51302469925895</v>
          </cell>
          <cell r="DH227">
            <v>917.51302469925895</v>
          </cell>
          <cell r="DI227">
            <v>917.51302469925895</v>
          </cell>
        </row>
        <row r="228">
          <cell r="B228" t="str">
            <v>Change in cash &amp; equivalents</v>
          </cell>
          <cell r="F228">
            <v>25.092999999999982</v>
          </cell>
          <cell r="G228">
            <v>49.127000000000002</v>
          </cell>
          <cell r="H228">
            <v>35.007999999999974</v>
          </cell>
          <cell r="I228">
            <v>-34.057999999999915</v>
          </cell>
          <cell r="J228">
            <v>-44.154000000000011</v>
          </cell>
          <cell r="K228">
            <v>36.209000000000017</v>
          </cell>
          <cell r="L228">
            <v>-54.69600000000014</v>
          </cell>
          <cell r="M228">
            <v>-4.1110000000000237</v>
          </cell>
          <cell r="N228">
            <v>7.4999999999999716</v>
          </cell>
          <cell r="O228">
            <v>-0.96300000000002228</v>
          </cell>
          <cell r="P228">
            <v>0.24100000000004229</v>
          </cell>
          <cell r="Q228">
            <v>0.24100000000004229</v>
          </cell>
          <cell r="R228">
            <v>11.748000000000001</v>
          </cell>
          <cell r="S228">
            <v>11.474000000000006</v>
          </cell>
          <cell r="T228">
            <v>10.414000000000048</v>
          </cell>
          <cell r="U228">
            <v>3.5450000000000585</v>
          </cell>
          <cell r="V228">
            <v>3.5450000000000585</v>
          </cell>
          <cell r="W228">
            <v>17.580000000000044</v>
          </cell>
          <cell r="X228">
            <v>25.077000000000083</v>
          </cell>
          <cell r="Y228">
            <v>33.178000000000019</v>
          </cell>
          <cell r="Z228">
            <v>53.792000000000016</v>
          </cell>
          <cell r="AA228">
            <v>53.792000000000016</v>
          </cell>
          <cell r="AB228">
            <v>47.89700000000002</v>
          </cell>
          <cell r="AC228">
            <v>42.752000000000052</v>
          </cell>
          <cell r="AD228">
            <v>79.356999999999942</v>
          </cell>
          <cell r="AE228">
            <v>53.473000000000027</v>
          </cell>
          <cell r="AF228">
            <v>53.473000000000027</v>
          </cell>
          <cell r="AG228">
            <v>65.564999999999998</v>
          </cell>
          <cell r="AH228">
            <v>36.923999999999921</v>
          </cell>
          <cell r="AI228">
            <v>124.53799999999988</v>
          </cell>
          <cell r="AJ228">
            <v>271.6019999999998</v>
          </cell>
          <cell r="AK228">
            <v>271.6019999999998</v>
          </cell>
          <cell r="AL228">
            <v>-275.98800000000006</v>
          </cell>
          <cell r="AM228">
            <v>-292.54400000000004</v>
          </cell>
          <cell r="AN228">
            <v>-279.72600000000006</v>
          </cell>
          <cell r="AO228">
            <v>-282.39200000000011</v>
          </cell>
          <cell r="AP228">
            <v>-282.39200000000011</v>
          </cell>
          <cell r="AQ228">
            <v>79.497000000000043</v>
          </cell>
          <cell r="AR228">
            <v>-24.333999999999691</v>
          </cell>
          <cell r="AS228">
            <v>-3.7350000000000421</v>
          </cell>
          <cell r="AT228" t="e">
            <v>#REF!</v>
          </cell>
          <cell r="AU228" t="e">
            <v>#REF!</v>
          </cell>
          <cell r="AW228">
            <v>-16.555999999999898</v>
          </cell>
          <cell r="AX228">
            <v>-3.7379999999998859</v>
          </cell>
          <cell r="AY228">
            <v>-6.4040000000000532</v>
          </cell>
          <cell r="AZ228">
            <v>73.092999999999904</v>
          </cell>
          <cell r="BA228">
            <v>73.092999999999677</v>
          </cell>
          <cell r="BB228">
            <v>-103.83099999999982</v>
          </cell>
          <cell r="BC228">
            <v>-83.231999999999971</v>
          </cell>
          <cell r="BD228" t="e">
            <v>#REF!</v>
          </cell>
          <cell r="BE228" t="e">
            <v>#REF!</v>
          </cell>
          <cell r="BF228" t="e">
            <v>#REF!</v>
          </cell>
          <cell r="BG228">
            <v>-2.6359999999998274</v>
          </cell>
          <cell r="BH228">
            <v>19.199000000000044</v>
          </cell>
          <cell r="BI228">
            <v>-81.362999999999715</v>
          </cell>
          <cell r="BJ228">
            <v>-70.444999999999794</v>
          </cell>
          <cell r="BK228">
            <v>-70.444999999999794</v>
          </cell>
          <cell r="BL228">
            <v>31.760999999999484</v>
          </cell>
          <cell r="BM228">
            <v>43.598000000000063</v>
          </cell>
          <cell r="BN228">
            <v>47.807000000000173</v>
          </cell>
          <cell r="BO228">
            <v>57.172999999999647</v>
          </cell>
          <cell r="BP228">
            <v>57.172999999999647</v>
          </cell>
          <cell r="BQ228">
            <v>330.88099999999997</v>
          </cell>
          <cell r="BR228">
            <v>290.49900000000002</v>
          </cell>
          <cell r="BS228">
            <v>56.044999999999895</v>
          </cell>
          <cell r="BT228">
            <v>19.626999999999853</v>
          </cell>
          <cell r="BU228">
            <v>19.626999999999853</v>
          </cell>
          <cell r="BV228">
            <v>-40.727000000000132</v>
          </cell>
          <cell r="BW228">
            <v>20.994999999999916</v>
          </cell>
          <cell r="BX228">
            <v>78.731999999999971</v>
          </cell>
          <cell r="BY228">
            <v>-37.596000000000437</v>
          </cell>
          <cell r="BZ228">
            <v>-37.596000000000437</v>
          </cell>
          <cell r="CA228">
            <v>1.238999999999896</v>
          </cell>
          <cell r="CB228">
            <v>6.618999999999879</v>
          </cell>
          <cell r="CC228">
            <v>139.73600000000013</v>
          </cell>
          <cell r="CD228">
            <v>-4.2060000000002047</v>
          </cell>
          <cell r="CE228">
            <v>-4.2060000000002047</v>
          </cell>
          <cell r="CF228">
            <v>-6.0159999999998579</v>
          </cell>
          <cell r="CG228">
            <v>-11.504999999999695</v>
          </cell>
          <cell r="CH228">
            <v>-13.460999999999494</v>
          </cell>
          <cell r="CI228">
            <v>-37.668999999999677</v>
          </cell>
          <cell r="CJ228">
            <v>-37.668999999999677</v>
          </cell>
          <cell r="CK228">
            <v>-55.746999999999744</v>
          </cell>
          <cell r="CL228">
            <v>-27.842999999999982</v>
          </cell>
          <cell r="CM228">
            <v>-28.924699999999685</v>
          </cell>
          <cell r="CN228">
            <v>37.704083519706963</v>
          </cell>
          <cell r="CO228">
            <v>37.704083519706963</v>
          </cell>
          <cell r="CP228">
            <v>-19.135254716821294</v>
          </cell>
          <cell r="CQ228">
            <v>164.4528471166918</v>
          </cell>
          <cell r="CR228">
            <v>200.31117633914027</v>
          </cell>
          <cell r="CS228">
            <v>206.28173870440037</v>
          </cell>
          <cell r="CT228">
            <v>206.28173870440037</v>
          </cell>
          <cell r="CU228">
            <v>-45.21628633619315</v>
          </cell>
          <cell r="CV228">
            <v>176.30816083834216</v>
          </cell>
          <cell r="CW228">
            <v>249.36270479615212</v>
          </cell>
          <cell r="CX228">
            <v>289.60729902753678</v>
          </cell>
          <cell r="CY228">
            <v>289.60729902753678</v>
          </cell>
          <cell r="CZ228">
            <v>-46.969177952769769</v>
          </cell>
          <cell r="DA228">
            <v>188.68796600579529</v>
          </cell>
          <cell r="DB228">
            <v>269.99661768808545</v>
          </cell>
          <cell r="DC228">
            <v>319.77690344761481</v>
          </cell>
          <cell r="DD228">
            <v>319.77690344761481</v>
          </cell>
          <cell r="DE228">
            <v>-46.380505423202791</v>
          </cell>
          <cell r="DF228">
            <v>202.89000890598979</v>
          </cell>
          <cell r="DG228">
            <v>295.08427547409599</v>
          </cell>
          <cell r="DH228">
            <v>355.57431272675132</v>
          </cell>
          <cell r="DI228">
            <v>355.57431272675132</v>
          </cell>
        </row>
        <row r="229">
          <cell r="B229" t="str">
            <v>Cash &amp; equivalents - ending balance</v>
          </cell>
          <cell r="F229">
            <v>25.248999999999981</v>
          </cell>
          <cell r="G229">
            <v>74.375999999999976</v>
          </cell>
          <cell r="H229">
            <v>109.38399999999996</v>
          </cell>
          <cell r="I229">
            <v>75.32600000000005</v>
          </cell>
          <cell r="J229">
            <v>31.17200000000004</v>
          </cell>
          <cell r="K229">
            <v>67.381000000000057</v>
          </cell>
          <cell r="L229">
            <v>12.684999999999917</v>
          </cell>
          <cell r="M229">
            <v>8.5739999999998933</v>
          </cell>
          <cell r="N229">
            <v>20.184999999999889</v>
          </cell>
          <cell r="O229">
            <v>11.721999999999895</v>
          </cell>
          <cell r="P229">
            <v>12.925999999999959</v>
          </cell>
          <cell r="Q229">
            <v>12.925999999999959</v>
          </cell>
          <cell r="R229">
            <v>24.67399999999996</v>
          </cell>
          <cell r="S229">
            <v>24.399999999999963</v>
          </cell>
          <cell r="T229">
            <v>23.340000000000007</v>
          </cell>
          <cell r="U229">
            <v>16.471000000000018</v>
          </cell>
          <cell r="V229">
            <v>16.471000000000018</v>
          </cell>
          <cell r="W229">
            <v>34.051000000000059</v>
          </cell>
          <cell r="X229">
            <v>41.548000000000101</v>
          </cell>
          <cell r="Y229">
            <v>49.649000000000036</v>
          </cell>
          <cell r="Z229">
            <v>70.263000000000034</v>
          </cell>
          <cell r="AA229">
            <v>70.263000000000034</v>
          </cell>
          <cell r="AB229">
            <v>118.16000000000005</v>
          </cell>
          <cell r="AC229">
            <v>113.01500000000009</v>
          </cell>
          <cell r="AD229">
            <v>149.61999999999998</v>
          </cell>
          <cell r="AE229">
            <v>123.73600000000006</v>
          </cell>
          <cell r="AF229">
            <v>123.73600000000006</v>
          </cell>
          <cell r="AG229">
            <v>189.30100000000004</v>
          </cell>
          <cell r="AH229">
            <v>160.65999999999997</v>
          </cell>
          <cell r="AI229">
            <v>248.27399999999994</v>
          </cell>
          <cell r="AJ229">
            <v>395.33799999999985</v>
          </cell>
          <cell r="AK229">
            <v>395.33799999999985</v>
          </cell>
          <cell r="AL229">
            <v>119.3499999999998</v>
          </cell>
          <cell r="AM229">
            <v>102.79399999999981</v>
          </cell>
          <cell r="AN229">
            <v>115.6119999999998</v>
          </cell>
          <cell r="AO229">
            <v>112.94599999999974</v>
          </cell>
          <cell r="AP229">
            <v>112.94599999999974</v>
          </cell>
          <cell r="AQ229">
            <v>192.44299999999978</v>
          </cell>
          <cell r="AR229">
            <v>88.612000000000052</v>
          </cell>
          <cell r="AS229">
            <v>109.2109999999997</v>
          </cell>
          <cell r="AT229" t="e">
            <v>#REF!</v>
          </cell>
          <cell r="AU229" t="e">
            <v>#REF!</v>
          </cell>
          <cell r="AW229">
            <v>102.7939999999999</v>
          </cell>
          <cell r="AX229">
            <v>115.61199999999991</v>
          </cell>
          <cell r="AY229">
            <v>112.94599999999974</v>
          </cell>
          <cell r="AZ229">
            <v>192.4429999999997</v>
          </cell>
          <cell r="BA229">
            <v>192.44299999999947</v>
          </cell>
          <cell r="BB229">
            <v>88.611999999999654</v>
          </cell>
          <cell r="BC229">
            <v>109.2109999999995</v>
          </cell>
          <cell r="BD229" t="e">
            <v>#REF!</v>
          </cell>
          <cell r="BE229" t="e">
            <v>#REF!</v>
          </cell>
          <cell r="BF229" t="e">
            <v>#REF!</v>
          </cell>
          <cell r="BG229" t="e">
            <v>#REF!</v>
          </cell>
          <cell r="BH229" t="e">
            <v>#REF!</v>
          </cell>
          <cell r="BI229" t="e">
            <v>#REF!</v>
          </cell>
          <cell r="BJ229" t="e">
            <v>#REF!</v>
          </cell>
          <cell r="BK229" t="e">
            <v>#REF!</v>
          </cell>
          <cell r="BL229" t="e">
            <v>#REF!</v>
          </cell>
          <cell r="BM229" t="e">
            <v>#REF!</v>
          </cell>
          <cell r="BN229" t="e">
            <v>#REF!</v>
          </cell>
          <cell r="BO229" t="e">
            <v>#REF!</v>
          </cell>
          <cell r="BP229" t="e">
            <v>#REF!</v>
          </cell>
          <cell r="BQ229" t="e">
            <v>#REF!</v>
          </cell>
          <cell r="BR229" t="e">
            <v>#REF!</v>
          </cell>
          <cell r="BS229" t="e">
            <v>#REF!</v>
          </cell>
          <cell r="BT229" t="e">
            <v>#REF!</v>
          </cell>
          <cell r="BU229" t="e">
            <v>#REF!</v>
          </cell>
          <cell r="BV229" t="e">
            <v>#REF!</v>
          </cell>
          <cell r="BW229" t="e">
            <v>#REF!</v>
          </cell>
          <cell r="BX229" t="e">
            <v>#REF!</v>
          </cell>
          <cell r="BY229" t="e">
            <v>#REF!</v>
          </cell>
          <cell r="BZ229" t="e">
            <v>#REF!</v>
          </cell>
          <cell r="CA229" t="e">
            <v>#REF!</v>
          </cell>
          <cell r="CB229" t="e">
            <v>#REF!</v>
          </cell>
          <cell r="CC229" t="e">
            <v>#REF!</v>
          </cell>
          <cell r="CD229" t="e">
            <v>#REF!</v>
          </cell>
          <cell r="CE229" t="e">
            <v>#REF!</v>
          </cell>
          <cell r="CF229" t="e">
            <v>#REF!</v>
          </cell>
          <cell r="CG229" t="e">
            <v>#REF!</v>
          </cell>
          <cell r="CH229" t="e">
            <v>#REF!</v>
          </cell>
          <cell r="CI229" t="e">
            <v>#REF!</v>
          </cell>
          <cell r="CJ229" t="e">
            <v>#REF!</v>
          </cell>
          <cell r="CK229">
            <v>8.3960000000002566</v>
          </cell>
          <cell r="CL229">
            <v>36.300000000000018</v>
          </cell>
          <cell r="CM229">
            <v>35.218300000000312</v>
          </cell>
          <cell r="CN229">
            <v>101.84708351970696</v>
          </cell>
          <cell r="CO229">
            <v>101.84708351970696</v>
          </cell>
          <cell r="CP229">
            <v>82.711828802885663</v>
          </cell>
          <cell r="CQ229">
            <v>266.29993063639876</v>
          </cell>
          <cell r="CR229">
            <v>302.15825985884726</v>
          </cell>
          <cell r="CS229">
            <v>308.12882222410735</v>
          </cell>
          <cell r="CT229">
            <v>308.12882222410735</v>
          </cell>
          <cell r="CU229">
            <v>262.9125358879142</v>
          </cell>
          <cell r="CV229">
            <v>484.43698306244949</v>
          </cell>
          <cell r="CW229">
            <v>557.49152702025947</v>
          </cell>
          <cell r="CX229">
            <v>597.73612125164414</v>
          </cell>
          <cell r="CY229">
            <v>597.73612125164414</v>
          </cell>
          <cell r="CZ229">
            <v>550.76694329887437</v>
          </cell>
          <cell r="DA229">
            <v>786.4240872574394</v>
          </cell>
          <cell r="DB229">
            <v>867.73273893972964</v>
          </cell>
          <cell r="DC229">
            <v>917.51302469925895</v>
          </cell>
          <cell r="DD229">
            <v>917.51302469925895</v>
          </cell>
          <cell r="DE229">
            <v>871.1325192760562</v>
          </cell>
          <cell r="DF229">
            <v>1120.4030336052488</v>
          </cell>
          <cell r="DG229">
            <v>1212.5973001733551</v>
          </cell>
          <cell r="DH229">
            <v>1273.0873374260102</v>
          </cell>
          <cell r="DI229">
            <v>1273.0873374260102</v>
          </cell>
        </row>
        <row r="231">
          <cell r="B231" t="str">
            <v>Cumulative = Balance Sheet</v>
          </cell>
          <cell r="F231" t="str">
            <v>ok</v>
          </cell>
          <cell r="G231" t="str">
            <v>ok</v>
          </cell>
          <cell r="H231" t="str">
            <v>ok</v>
          </cell>
          <cell r="I231" t="str">
            <v>ok</v>
          </cell>
          <cell r="J231" t="str">
            <v>ok</v>
          </cell>
          <cell r="K231" t="str">
            <v>ok</v>
          </cell>
          <cell r="L231" t="str">
            <v>ok</v>
          </cell>
          <cell r="M231" t="str">
            <v>ok</v>
          </cell>
          <cell r="N231" t="str">
            <v>ok</v>
          </cell>
          <cell r="O231" t="str">
            <v>ok</v>
          </cell>
          <cell r="P231" t="str">
            <v>ok</v>
          </cell>
          <cell r="Q231" t="str">
            <v>ok</v>
          </cell>
          <cell r="R231" t="str">
            <v>ok</v>
          </cell>
          <cell r="S231" t="str">
            <v>ok</v>
          </cell>
          <cell r="T231" t="str">
            <v>ok</v>
          </cell>
          <cell r="U231" t="str">
            <v>ok</v>
          </cell>
          <cell r="V231" t="str">
            <v>ok</v>
          </cell>
          <cell r="W231" t="str">
            <v>ok</v>
          </cell>
          <cell r="X231" t="str">
            <v>ok</v>
          </cell>
          <cell r="Y231" t="str">
            <v>ok</v>
          </cell>
          <cell r="Z231" t="str">
            <v>ok</v>
          </cell>
          <cell r="AA231" t="str">
            <v>ok</v>
          </cell>
          <cell r="AB231" t="str">
            <v>ok</v>
          </cell>
          <cell r="AC231" t="str">
            <v>ok</v>
          </cell>
          <cell r="AD231" t="str">
            <v>ok</v>
          </cell>
          <cell r="AE231" t="str">
            <v>ok</v>
          </cell>
          <cell r="AF231" t="str">
            <v>ok</v>
          </cell>
          <cell r="AG231" t="str">
            <v>ok</v>
          </cell>
          <cell r="AH231" t="str">
            <v>ok</v>
          </cell>
          <cell r="AI231" t="str">
            <v>ok</v>
          </cell>
          <cell r="AJ231" t="str">
            <v>ok</v>
          </cell>
          <cell r="AK231" t="str">
            <v>ok</v>
          </cell>
          <cell r="AL231" t="str">
            <v>ok</v>
          </cell>
          <cell r="AM231" t="str">
            <v>ok</v>
          </cell>
          <cell r="AN231" t="str">
            <v>ok</v>
          </cell>
          <cell r="AO231" t="str">
            <v>ok</v>
          </cell>
          <cell r="AP231" t="str">
            <v>ok</v>
          </cell>
          <cell r="AQ231" t="str">
            <v>ok</v>
          </cell>
          <cell r="AR231" t="str">
            <v>ok</v>
          </cell>
          <cell r="AS231" t="str">
            <v>ok</v>
          </cell>
          <cell r="AT231" t="e">
            <v>#REF!</v>
          </cell>
          <cell r="AU231" t="e">
            <v>#REF!</v>
          </cell>
          <cell r="AW231" t="str">
            <v>ok</v>
          </cell>
          <cell r="AX231" t="str">
            <v>ok</v>
          </cell>
          <cell r="AY231" t="str">
            <v>ok</v>
          </cell>
          <cell r="AZ231" t="str">
            <v>ok</v>
          </cell>
          <cell r="BA231" t="str">
            <v>ok</v>
          </cell>
          <cell r="BB231" t="str">
            <v>ok</v>
          </cell>
          <cell r="BC231" t="str">
            <v>ok</v>
          </cell>
          <cell r="BD231" t="e">
            <v>#REF!</v>
          </cell>
          <cell r="BE231" t="e">
            <v>#REF!</v>
          </cell>
          <cell r="BF231" t="e">
            <v>#REF!</v>
          </cell>
          <cell r="BG231" t="e">
            <v>#REF!</v>
          </cell>
          <cell r="BH231" t="e">
            <v>#REF!</v>
          </cell>
          <cell r="BI231" t="e">
            <v>#REF!</v>
          </cell>
          <cell r="BJ231" t="e">
            <v>#REF!</v>
          </cell>
          <cell r="BK231" t="e">
            <v>#REF!</v>
          </cell>
          <cell r="BL231" t="e">
            <v>#REF!</v>
          </cell>
          <cell r="BM231" t="e">
            <v>#REF!</v>
          </cell>
          <cell r="BN231" t="e">
            <v>#REF!</v>
          </cell>
          <cell r="BO231" t="e">
            <v>#REF!</v>
          </cell>
          <cell r="BP231" t="e">
            <v>#REF!</v>
          </cell>
          <cell r="BQ231" t="e">
            <v>#REF!</v>
          </cell>
          <cell r="BR231" t="e">
            <v>#REF!</v>
          </cell>
          <cell r="BS231" t="e">
            <v>#REF!</v>
          </cell>
          <cell r="BT231" t="e">
            <v>#REF!</v>
          </cell>
          <cell r="BU231" t="e">
            <v>#REF!</v>
          </cell>
          <cell r="BV231" t="e">
            <v>#REF!</v>
          </cell>
          <cell r="BW231" t="e">
            <v>#REF!</v>
          </cell>
          <cell r="BX231" t="e">
            <v>#REF!</v>
          </cell>
          <cell r="BY231" t="e">
            <v>#REF!</v>
          </cell>
          <cell r="BZ231" t="e">
            <v>#REF!</v>
          </cell>
          <cell r="CA231" t="e">
            <v>#REF!</v>
          </cell>
          <cell r="CB231" t="e">
            <v>#REF!</v>
          </cell>
          <cell r="CC231" t="e">
            <v>#REF!</v>
          </cell>
          <cell r="CD231" t="e">
            <v>#REF!</v>
          </cell>
          <cell r="CE231" t="e">
            <v>#REF!</v>
          </cell>
          <cell r="CF231" t="e">
            <v>#REF!</v>
          </cell>
          <cell r="CG231" t="e">
            <v>#REF!</v>
          </cell>
          <cell r="CH231" t="e">
            <v>#REF!</v>
          </cell>
          <cell r="CI231" t="e">
            <v>#REF!</v>
          </cell>
          <cell r="CJ231" t="e">
            <v>#REF!</v>
          </cell>
          <cell r="CK231" t="str">
            <v>ok</v>
          </cell>
          <cell r="CL231" t="str">
            <v>ok</v>
          </cell>
          <cell r="CM231">
            <v>3.0000000030838692E-4</v>
          </cell>
          <cell r="CN231">
            <v>3.0000000003838068E-4</v>
          </cell>
          <cell r="CO231">
            <v>3.0000000003838068E-4</v>
          </cell>
          <cell r="CP231">
            <v>3.0000000003838068E-4</v>
          </cell>
          <cell r="CQ231">
            <v>2.9999999998153726E-4</v>
          </cell>
          <cell r="CR231">
            <v>3.000000000952241E-4</v>
          </cell>
          <cell r="CS231">
            <v>2.99999999811007E-4</v>
          </cell>
          <cell r="CT231">
            <v>2.99999999811007E-4</v>
          </cell>
          <cell r="CU231">
            <v>2.99999999811007E-4</v>
          </cell>
          <cell r="CV231">
            <v>2.9999999986785042E-4</v>
          </cell>
          <cell r="CW231">
            <v>2.9999999969732016E-4</v>
          </cell>
          <cell r="CX231">
            <v>2.9999999969732016E-4</v>
          </cell>
          <cell r="CY231">
            <v>2.9999999969732016E-4</v>
          </cell>
          <cell r="CZ231">
            <v>2.9999999969732016E-4</v>
          </cell>
          <cell r="DA231">
            <v>2.9999999946994649E-4</v>
          </cell>
          <cell r="DB231">
            <v>2.9999999946994649E-4</v>
          </cell>
          <cell r="DC231">
            <v>2.9999999946994649E-4</v>
          </cell>
          <cell r="DD231">
            <v>2.9999999946994649E-4</v>
          </cell>
          <cell r="DE231">
            <v>2.9999999946994649E-4</v>
          </cell>
          <cell r="DF231">
            <v>2.9999999946994649E-4</v>
          </cell>
          <cell r="DG231">
            <v>2.9999999946994649E-4</v>
          </cell>
          <cell r="DH231">
            <v>2.9999999946994649E-4</v>
          </cell>
          <cell r="DI231">
            <v>2.9999999946994649E-4</v>
          </cell>
        </row>
        <row r="234">
          <cell r="B234" t="str">
            <v xml:space="preserve">Drivers </v>
          </cell>
        </row>
        <row r="235">
          <cell r="B235" t="str">
            <v>Revenues</v>
          </cell>
          <cell r="BP235">
            <v>4409.1610000000001</v>
          </cell>
          <cell r="BQ235">
            <v>1152.5719999999999</v>
          </cell>
          <cell r="BR235">
            <v>1105.299</v>
          </cell>
          <cell r="BS235">
            <v>1081.914</v>
          </cell>
          <cell r="BT235">
            <v>1111.826</v>
          </cell>
          <cell r="BU235">
            <v>4451.6109999999999</v>
          </cell>
          <cell r="BV235">
            <v>1188.0229999999999</v>
          </cell>
          <cell r="BW235">
            <v>1155.453</v>
          </cell>
          <cell r="BX235">
            <v>1121.903</v>
          </cell>
          <cell r="BY235">
            <v>1198.77</v>
          </cell>
          <cell r="BZ235">
            <v>4664.1489999999994</v>
          </cell>
          <cell r="CA235">
            <v>1285.019</v>
          </cell>
          <cell r="CB235">
            <v>1247.787</v>
          </cell>
          <cell r="CC235">
            <v>1270.6590000000001</v>
          </cell>
          <cell r="CD235">
            <v>1352.059</v>
          </cell>
          <cell r="CE235">
            <v>5155.5240000000003</v>
          </cell>
          <cell r="CF235">
            <v>1433.6410000000001</v>
          </cell>
          <cell r="CG235">
            <v>1395.3530000000001</v>
          </cell>
          <cell r="CH235">
            <v>1400.2439999999999</v>
          </cell>
          <cell r="CI235">
            <v>1583.7739999999999</v>
          </cell>
          <cell r="CJ235">
            <v>5813.0120000000006</v>
          </cell>
          <cell r="CK235">
            <v>1686.518</v>
          </cell>
          <cell r="CL235">
            <v>1686.5409999999999</v>
          </cell>
          <cell r="CM235">
            <v>1664.1869999999999</v>
          </cell>
          <cell r="CN235">
            <v>1714.7561297917275</v>
          </cell>
          <cell r="CO235">
            <v>6752.0021297917274</v>
          </cell>
          <cell r="CP235">
            <v>1773.696240270453</v>
          </cell>
          <cell r="CQ235">
            <v>1748.3017764068638</v>
          </cell>
          <cell r="CR235">
            <v>1727.0014888007336</v>
          </cell>
          <cell r="CS235">
            <v>1774.4609769352023</v>
          </cell>
          <cell r="CT235">
            <v>7023.460482413253</v>
          </cell>
          <cell r="CU235">
            <v>1808.7387179919394</v>
          </cell>
          <cell r="CV235">
            <v>1781.0200924392448</v>
          </cell>
          <cell r="CW235">
            <v>1761.1587791980387</v>
          </cell>
          <cell r="CX235">
            <v>1806.0845996925368</v>
          </cell>
          <cell r="CY235">
            <v>7157.0021893217599</v>
          </cell>
          <cell r="CZ235">
            <v>1881.1170686709002</v>
          </cell>
          <cell r="DA235">
            <v>1849.8988829022953</v>
          </cell>
          <cell r="DB235">
            <v>1830.7465494006099</v>
          </cell>
          <cell r="DC235">
            <v>1881.3219862595788</v>
          </cell>
          <cell r="DD235">
            <v>7443.0844872333846</v>
          </cell>
          <cell r="DE235">
            <v>1964.9563156098177</v>
          </cell>
          <cell r="DF235">
            <v>1927.8969063987906</v>
          </cell>
          <cell r="DG235">
            <v>1909.0801770309545</v>
          </cell>
          <cell r="DH235">
            <v>1957.1362860311051</v>
          </cell>
          <cell r="DI235">
            <v>7759.0696850706681</v>
          </cell>
        </row>
        <row r="236">
          <cell r="B236" t="str">
            <v>Cap Ex</v>
          </cell>
          <cell r="BP236">
            <v>-270.59800000000001</v>
          </cell>
          <cell r="BQ236">
            <v>-46.805</v>
          </cell>
          <cell r="BR236">
            <v>-46.707000000000001</v>
          </cell>
          <cell r="BS236">
            <v>-65.937999999999988</v>
          </cell>
          <cell r="BT236">
            <v>-58.729000000000021</v>
          </cell>
          <cell r="BU236">
            <v>-218.179</v>
          </cell>
          <cell r="BV236">
            <v>-65.171000000000006</v>
          </cell>
          <cell r="BW236">
            <v>-50.345999999999989</v>
          </cell>
          <cell r="BX236">
            <v>-43.229000000000013</v>
          </cell>
          <cell r="BY236">
            <v>-41.316999999999979</v>
          </cell>
          <cell r="BZ236">
            <v>-200.06299999999999</v>
          </cell>
          <cell r="CA236">
            <v>-32.898000000000003</v>
          </cell>
          <cell r="CB236">
            <v>-59.588000000000001</v>
          </cell>
          <cell r="CC236">
            <v>-55.430999999999997</v>
          </cell>
          <cell r="CD236">
            <v>-60.842654999999993</v>
          </cell>
          <cell r="CE236">
            <v>-208.75965500000001</v>
          </cell>
          <cell r="CF236">
            <v>-47.463000000000001</v>
          </cell>
          <cell r="CG236">
            <v>-85.570999999999998</v>
          </cell>
          <cell r="CH236">
            <v>-69.784999999999997</v>
          </cell>
          <cell r="CI236">
            <v>-99.227000000000004</v>
          </cell>
          <cell r="CJ236">
            <v>-302.04599999999999</v>
          </cell>
          <cell r="CK236">
            <v>-80.816999999999993</v>
          </cell>
          <cell r="CL236">
            <v>-113.35800000000002</v>
          </cell>
          <cell r="CM236">
            <v>-88.248999999999967</v>
          </cell>
          <cell r="CN236">
            <v>-75</v>
          </cell>
          <cell r="CO236">
            <v>-357.42399999999998</v>
          </cell>
          <cell r="CP236">
            <v>-50.167574874380378</v>
          </cell>
          <cell r="CQ236">
            <v>-100.33514974876076</v>
          </cell>
          <cell r="CR236">
            <v>-100.33514974876076</v>
          </cell>
          <cell r="CS236">
            <v>-100.33514974876076</v>
          </cell>
          <cell r="CT236">
            <v>-351.17302412066266</v>
          </cell>
          <cell r="CU236">
            <v>-90.436935899596975</v>
          </cell>
          <cell r="CV236">
            <v>-89.05100462196225</v>
          </cell>
          <cell r="CW236">
            <v>-88.057938959901946</v>
          </cell>
          <cell r="CX236">
            <v>-90.304229984626843</v>
          </cell>
          <cell r="CY236">
            <v>-357.85010946608799</v>
          </cell>
          <cell r="CZ236">
            <v>-94.05585343354501</v>
          </cell>
          <cell r="DA236">
            <v>-92.494944145114772</v>
          </cell>
          <cell r="DB236">
            <v>-91.537327470030505</v>
          </cell>
          <cell r="DC236">
            <v>-94.066099312978949</v>
          </cell>
          <cell r="DD236">
            <v>-372.15422436166926</v>
          </cell>
          <cell r="DE236">
            <v>-98.247815780490896</v>
          </cell>
          <cell r="DF236">
            <v>-96.394845319939535</v>
          </cell>
          <cell r="DG236">
            <v>-95.454008851547727</v>
          </cell>
          <cell r="DH236">
            <v>-97.856814301555261</v>
          </cell>
          <cell r="DI236">
            <v>-387.95348425353336</v>
          </cell>
        </row>
        <row r="237">
          <cell r="B237" t="str">
            <v>% of revenues</v>
          </cell>
          <cell r="BP237">
            <v>6.1371766646761146E-2</v>
          </cell>
          <cell r="BQ237">
            <v>4.0609176693516762E-2</v>
          </cell>
          <cell r="BR237">
            <v>4.2257343940417934E-2</v>
          </cell>
          <cell r="BS237">
            <v>6.0945694389757402E-2</v>
          </cell>
          <cell r="BT237">
            <v>5.2822114251690477E-2</v>
          </cell>
          <cell r="BU237">
            <v>4.9011245591764424E-2</v>
          </cell>
          <cell r="BV237">
            <v>5.485668206760308E-2</v>
          </cell>
          <cell r="BW237">
            <v>4.3572520907384366E-2</v>
          </cell>
          <cell r="BX237">
            <v>3.853185168414739E-2</v>
          </cell>
          <cell r="BY237">
            <v>3.4466161148510539E-2</v>
          </cell>
          <cell r="BZ237">
            <v>4.2893784053639798E-2</v>
          </cell>
          <cell r="CA237">
            <v>2.5601177881416543E-2</v>
          </cell>
          <cell r="CB237">
            <v>4.7754945355256949E-2</v>
          </cell>
          <cell r="CC237">
            <v>4.3623820395558517E-2</v>
          </cell>
          <cell r="CD237">
            <v>4.4999999999999998E-2</v>
          </cell>
          <cell r="CE237">
            <v>4.0492422302757194E-2</v>
          </cell>
          <cell r="CF237">
            <v>3.3106614556921848E-2</v>
          </cell>
          <cell r="CG237">
            <v>6.13257003783272E-2</v>
          </cell>
          <cell r="CH237">
            <v>4.9837742564867268E-2</v>
          </cell>
          <cell r="CI237">
            <v>6.2652247100912134E-2</v>
          </cell>
          <cell r="CJ237">
            <v>5.1960326247391192E-2</v>
          </cell>
          <cell r="CK237">
            <v>4.7919441120699569E-2</v>
          </cell>
          <cell r="CL237">
            <v>6.7213308185214607E-2</v>
          </cell>
          <cell r="CM237">
            <v>5.3028295498041972E-2</v>
          </cell>
          <cell r="CN237">
            <v>4.3737997897759034E-2</v>
          </cell>
          <cell r="CO237">
            <v>5.2936002259677171E-2</v>
          </cell>
          <cell r="CP237">
            <v>2.8284197561771248E-2</v>
          </cell>
          <cell r="CQ237">
            <v>5.7390063376227339E-2</v>
          </cell>
          <cell r="CR237">
            <v>5.8097894182150132E-2</v>
          </cell>
          <cell r="CS237">
            <v>5.654401593099935E-2</v>
          </cell>
          <cell r="CT237">
            <v>0.05</v>
          </cell>
          <cell r="CU237">
            <v>0.05</v>
          </cell>
          <cell r="CV237">
            <v>5.000000000000001E-2</v>
          </cell>
          <cell r="CW237">
            <v>5.000000000000001E-2</v>
          </cell>
          <cell r="CX237">
            <v>0.05</v>
          </cell>
          <cell r="CY237">
            <v>4.9999999999999996E-2</v>
          </cell>
          <cell r="CZ237">
            <v>0.05</v>
          </cell>
          <cell r="DA237">
            <v>0.05</v>
          </cell>
          <cell r="DB237">
            <v>0.05</v>
          </cell>
          <cell r="DC237">
            <v>0.05</v>
          </cell>
          <cell r="DD237">
            <v>0.05</v>
          </cell>
          <cell r="DE237">
            <v>0.05</v>
          </cell>
          <cell r="DF237">
            <v>0.05</v>
          </cell>
          <cell r="DG237">
            <v>0.05</v>
          </cell>
          <cell r="DH237">
            <v>0.05</v>
          </cell>
          <cell r="DI237">
            <v>4.9999999999999996E-2</v>
          </cell>
        </row>
        <row r="238">
          <cell r="B238" t="str">
            <v>Stock Comp</v>
          </cell>
          <cell r="BP238">
            <v>18.402000000000001</v>
          </cell>
          <cell r="BQ238">
            <v>4.3</v>
          </cell>
          <cell r="BR238">
            <v>4.4319999999999995</v>
          </cell>
          <cell r="BS238">
            <v>4.8030000000000017</v>
          </cell>
          <cell r="BT238">
            <v>4.6909999999999998</v>
          </cell>
          <cell r="BU238">
            <v>18.225999999999999</v>
          </cell>
          <cell r="BV238">
            <v>2.7589999999999999</v>
          </cell>
          <cell r="BW238">
            <v>2.637</v>
          </cell>
          <cell r="BX238">
            <v>2.5589999999999997</v>
          </cell>
          <cell r="BY238">
            <v>2.9120000000000013</v>
          </cell>
          <cell r="BZ238">
            <v>10.867000000000001</v>
          </cell>
          <cell r="CA238">
            <v>4.4669999999999996</v>
          </cell>
          <cell r="CB238">
            <v>4.4669999999999996</v>
          </cell>
          <cell r="CC238">
            <v>4.8280000000000021</v>
          </cell>
          <cell r="CD238">
            <v>4.6039999999999992</v>
          </cell>
          <cell r="CE238">
            <v>18.366</v>
          </cell>
          <cell r="CF238">
            <v>6.4829999999999997</v>
          </cell>
          <cell r="CG238">
            <v>6.4620000000000006</v>
          </cell>
          <cell r="CH238">
            <v>6.355999999999999</v>
          </cell>
          <cell r="CI238">
            <v>5.868000000000003</v>
          </cell>
          <cell r="CJ238">
            <v>25.169</v>
          </cell>
          <cell r="CK238">
            <v>6.8869999999999996</v>
          </cell>
          <cell r="CL238">
            <v>6.3170000000000011</v>
          </cell>
          <cell r="CM238">
            <v>6.2332722886665675</v>
          </cell>
          <cell r="CN238">
            <v>6.4226807838613738</v>
          </cell>
          <cell r="CO238">
            <v>25.859953072527944</v>
          </cell>
          <cell r="CP238">
            <v>6.6434430884208888</v>
          </cell>
          <cell r="CQ238">
            <v>6.5483272102855263</v>
          </cell>
          <cell r="CR238">
            <v>6.4685462166376251</v>
          </cell>
          <cell r="CS238">
            <v>6.6463074371151816</v>
          </cell>
          <cell r="CT238">
            <v>26.306623952459226</v>
          </cell>
          <cell r="CU238">
            <v>6.7746959496123038</v>
          </cell>
          <cell r="CV238">
            <v>6.670874840243262</v>
          </cell>
          <cell r="CW238">
            <v>6.5964835768558325</v>
          </cell>
          <cell r="CX238">
            <v>6.7647548540223799</v>
          </cell>
          <cell r="CY238">
            <v>26.806809220733776</v>
          </cell>
          <cell r="CZ238">
            <v>7.045791666371632</v>
          </cell>
          <cell r="DA238">
            <v>6.9288628282940063</v>
          </cell>
          <cell r="DB238">
            <v>6.8571270740312009</v>
          </cell>
          <cell r="DC238">
            <v>7.046559192573298</v>
          </cell>
          <cell r="DD238">
            <v>27.878340761270138</v>
          </cell>
          <cell r="DE238">
            <v>7.3598145824543968</v>
          </cell>
          <cell r="DF238">
            <v>7.2210072317964187</v>
          </cell>
          <cell r="DG238">
            <v>7.1505284948925301</v>
          </cell>
          <cell r="DH238">
            <v>7.3305243802898916</v>
          </cell>
          <cell r="DI238">
            <v>29.061874689433235</v>
          </cell>
        </row>
        <row r="239">
          <cell r="B239" t="str">
            <v>% of revenues</v>
          </cell>
          <cell r="BP239">
            <v>4.1735831374721862E-3</v>
          </cell>
          <cell r="BQ239">
            <v>3.7307864497836147E-3</v>
          </cell>
          <cell r="BR239">
            <v>4.0097747306384966E-3</v>
          </cell>
          <cell r="BS239">
            <v>4.4393546991720245E-3</v>
          </cell>
          <cell r="BT239">
            <v>4.219185376128998E-3</v>
          </cell>
          <cell r="BU239">
            <v>4.0942481272510109E-3</v>
          </cell>
          <cell r="BV239">
            <v>2.3223456111539928E-3</v>
          </cell>
          <cell r="BW239">
            <v>2.2822217779520241E-3</v>
          </cell>
          <cell r="BX239">
            <v>2.2809458571730352E-3</v>
          </cell>
          <cell r="BY239">
            <v>2.4291565521326035E-3</v>
          </cell>
          <cell r="BZ239">
            <v>2.3298998381055154E-3</v>
          </cell>
          <cell r="CA239">
            <v>3.4762131921784812E-3</v>
          </cell>
          <cell r="CB239">
            <v>3.5799379220972805E-3</v>
          </cell>
          <cell r="CC239">
            <v>3.7996031980255928E-3</v>
          </cell>
          <cell r="CD239">
            <v>3.4051768450932981E-3</v>
          </cell>
          <cell r="CE239">
            <v>3.5623924939540575E-3</v>
          </cell>
          <cell r="CF239">
            <v>4.5220525919668865E-3</v>
          </cell>
          <cell r="CG239">
            <v>4.6310861839262184E-3</v>
          </cell>
          <cell r="CH239">
            <v>4.5392088807379282E-3</v>
          </cell>
          <cell r="CI239">
            <v>3.7050740825395564E-3</v>
          </cell>
          <cell r="CJ239">
            <v>4.3297691454963448E-3</v>
          </cell>
          <cell r="CK239">
            <v>4.0835615155011681E-3</v>
          </cell>
          <cell r="CL239">
            <v>3.7455359816334151E-3</v>
          </cell>
          <cell r="CM239">
            <v>3.7455359816334151E-3</v>
          </cell>
          <cell r="CN239">
            <v>3.7455359816334151E-3</v>
          </cell>
          <cell r="CO239">
            <v>3.829968145067161E-3</v>
          </cell>
          <cell r="CP239">
            <v>3.7455359816334151E-3</v>
          </cell>
          <cell r="CQ239">
            <v>3.7455359816334151E-3</v>
          </cell>
          <cell r="CR239">
            <v>3.7455359816334151E-3</v>
          </cell>
          <cell r="CS239">
            <v>3.7455359816334151E-3</v>
          </cell>
          <cell r="CT239">
            <v>3.7455359816334155E-3</v>
          </cell>
          <cell r="CU239">
            <v>3.7455359816334151E-3</v>
          </cell>
          <cell r="CV239">
            <v>3.7455359816334151E-3</v>
          </cell>
          <cell r="CW239">
            <v>3.7455359816334151E-3</v>
          </cell>
          <cell r="CX239">
            <v>3.7455359816334151E-3</v>
          </cell>
          <cell r="CY239">
            <v>3.7455359816334147E-3</v>
          </cell>
          <cell r="CZ239">
            <v>3.7455359816334151E-3</v>
          </cell>
          <cell r="DA239">
            <v>3.7455359816334151E-3</v>
          </cell>
          <cell r="DB239">
            <v>3.7455359816334151E-3</v>
          </cell>
          <cell r="DC239">
            <v>3.7455359816334151E-3</v>
          </cell>
          <cell r="DD239">
            <v>3.7455359816334151E-3</v>
          </cell>
          <cell r="DE239">
            <v>3.7455359816334151E-3</v>
          </cell>
          <cell r="DF239">
            <v>3.7455359816334151E-3</v>
          </cell>
          <cell r="DG239">
            <v>3.7455359816334151E-3</v>
          </cell>
          <cell r="DH239">
            <v>3.7455359816334151E-3</v>
          </cell>
          <cell r="DI239">
            <v>3.7455359816334147E-3</v>
          </cell>
        </row>
        <row r="241">
          <cell r="AW241" t="str">
            <v>2004-Q1</v>
          </cell>
          <cell r="AX241" t="str">
            <v>2004-Q2</v>
          </cell>
          <cell r="AY241" t="str">
            <v>2004-Q3</v>
          </cell>
          <cell r="AZ241" t="str">
            <v>2004-Q4</v>
          </cell>
          <cell r="BA241" t="str">
            <v>2004-FY</v>
          </cell>
          <cell r="BB241" t="str">
            <v>2005-Q1</v>
          </cell>
          <cell r="BC241" t="str">
            <v>2005-Q2</v>
          </cell>
          <cell r="BD241" t="str">
            <v>2005-Q3</v>
          </cell>
          <cell r="BE241" t="str">
            <v>2005-Q4</v>
          </cell>
          <cell r="BF241" t="str">
            <v>2005-FY</v>
          </cell>
          <cell r="BG241" t="str">
            <v>2006-Q1</v>
          </cell>
          <cell r="BH241" t="str">
            <v>2006-Q2</v>
          </cell>
          <cell r="BI241" t="str">
            <v>2006-Q3</v>
          </cell>
          <cell r="BJ241" t="str">
            <v>2006-Q4</v>
          </cell>
          <cell r="BK241" t="str">
            <v>2006-FY</v>
          </cell>
          <cell r="BL241" t="str">
            <v>2007-Q1</v>
          </cell>
          <cell r="BM241" t="str">
            <v>2007-Q2</v>
          </cell>
          <cell r="BN241" t="str">
            <v>2007-Q3</v>
          </cell>
          <cell r="BO241" t="str">
            <v>2007-Q4</v>
          </cell>
          <cell r="BP241" t="str">
            <v>2007-FY</v>
          </cell>
          <cell r="BQ241" t="str">
            <v>2008-Q1</v>
          </cell>
          <cell r="BR241" t="str">
            <v>2008-Q2</v>
          </cell>
          <cell r="BS241" t="str">
            <v>2008-Q3</v>
          </cell>
          <cell r="BT241" t="str">
            <v>2008-Q4</v>
          </cell>
          <cell r="BU241" t="str">
            <v>2008-FY</v>
          </cell>
          <cell r="BV241" t="str">
            <v>2009-Q1</v>
          </cell>
          <cell r="BW241" t="str">
            <v>2009-Q2</v>
          </cell>
          <cell r="BX241" t="str">
            <v>2009-Q3</v>
          </cell>
          <cell r="BY241" t="str">
            <v>2009-Q4</v>
          </cell>
          <cell r="BZ241" t="str">
            <v>2009-FY</v>
          </cell>
          <cell r="CA241" t="str">
            <v>2010-Q1</v>
          </cell>
          <cell r="CB241" t="str">
            <v>2010-Q2</v>
          </cell>
          <cell r="CC241" t="str">
            <v>2010-Q3</v>
          </cell>
          <cell r="CD241" t="str">
            <v>2010-Q4</v>
          </cell>
          <cell r="CE241" t="str">
            <v>2010-FY</v>
          </cell>
          <cell r="CF241" t="str">
            <v>2011-Q1</v>
          </cell>
          <cell r="CG241" t="str">
            <v>2011-Q2</v>
          </cell>
          <cell r="CH241" t="str">
            <v>2011-Q3</v>
          </cell>
          <cell r="CI241" t="str">
            <v>2011-Q4</v>
          </cell>
          <cell r="CJ241" t="str">
            <v>2011-FY</v>
          </cell>
          <cell r="CK241" t="str">
            <v>2012-Q1</v>
          </cell>
          <cell r="CL241" t="str">
            <v>2012-Q2</v>
          </cell>
          <cell r="CM241" t="str">
            <v>2012-Q3</v>
          </cell>
          <cell r="CN241" t="str">
            <v>2012-Q4</v>
          </cell>
          <cell r="CO241" t="str">
            <v>2012-FY</v>
          </cell>
          <cell r="CP241" t="str">
            <v>2013-Q1</v>
          </cell>
          <cell r="CQ241" t="str">
            <v>2013-Q2</v>
          </cell>
          <cell r="CR241" t="str">
            <v>2013-Q3</v>
          </cell>
          <cell r="CS241" t="str">
            <v>2013-Q4</v>
          </cell>
          <cell r="CT241" t="str">
            <v>2013-FY</v>
          </cell>
          <cell r="CU241" t="str">
            <v>2014-Q1</v>
          </cell>
          <cell r="CV241" t="str">
            <v>2014-Q2</v>
          </cell>
          <cell r="CW241" t="str">
            <v>2014-Q3</v>
          </cell>
          <cell r="CX241" t="str">
            <v>2014-Q4</v>
          </cell>
          <cell r="CY241" t="str">
            <v>2014-FY</v>
          </cell>
          <cell r="CZ241" t="str">
            <v>2015-Q1</v>
          </cell>
          <cell r="DA241" t="str">
            <v>2015-Q2</v>
          </cell>
          <cell r="DB241" t="str">
            <v>2015-Q3</v>
          </cell>
          <cell r="DC241" t="str">
            <v>2015-Q4</v>
          </cell>
          <cell r="DD241" t="str">
            <v>2015-FY</v>
          </cell>
          <cell r="DE241" t="str">
            <v>2016-Q1</v>
          </cell>
          <cell r="DF241" t="str">
            <v>2016-Q2</v>
          </cell>
          <cell r="DG241" t="str">
            <v>2016-Q3</v>
          </cell>
          <cell r="DH241" t="str">
            <v>2016-Q4</v>
          </cell>
          <cell r="DI241" t="str">
            <v>2016-FY</v>
          </cell>
        </row>
      </sheetData>
      <sheetData sheetId="5" refreshError="1"/>
      <sheetData sheetId="6" refreshError="1">
        <row r="1">
          <cell r="A1" t="str">
            <v>Health Management Associates</v>
          </cell>
        </row>
        <row r="2">
          <cell r="A2" t="str">
            <v>Andrew Schenker (212) 761-6857</v>
          </cell>
        </row>
        <row r="3">
          <cell r="A3" t="str">
            <v>Revenue Assumptions</v>
          </cell>
        </row>
        <row r="4">
          <cell r="B4" t="str">
            <v>Fiscal Year ends December 31</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6">
          <cell r="B6" t="str">
            <v># of Days in period</v>
          </cell>
          <cell r="D6">
            <v>365</v>
          </cell>
          <cell r="E6">
            <v>365</v>
          </cell>
          <cell r="F6">
            <v>365</v>
          </cell>
          <cell r="G6">
            <v>365</v>
          </cell>
          <cell r="H6">
            <v>365</v>
          </cell>
          <cell r="I6">
            <v>365</v>
          </cell>
          <cell r="J6">
            <v>365</v>
          </cell>
          <cell r="K6">
            <v>365</v>
          </cell>
          <cell r="L6">
            <v>365</v>
          </cell>
          <cell r="M6">
            <v>92</v>
          </cell>
          <cell r="N6">
            <v>90</v>
          </cell>
          <cell r="O6">
            <v>91</v>
          </cell>
          <cell r="P6">
            <v>92</v>
          </cell>
          <cell r="Q6">
            <v>365</v>
          </cell>
          <cell r="R6">
            <v>92</v>
          </cell>
          <cell r="S6">
            <v>90</v>
          </cell>
          <cell r="T6">
            <v>91</v>
          </cell>
          <cell r="U6">
            <v>92</v>
          </cell>
          <cell r="V6">
            <v>365</v>
          </cell>
          <cell r="W6">
            <v>92</v>
          </cell>
          <cell r="X6">
            <v>90</v>
          </cell>
          <cell r="Y6">
            <v>91</v>
          </cell>
          <cell r="Z6">
            <v>92</v>
          </cell>
          <cell r="AA6">
            <v>365</v>
          </cell>
          <cell r="AB6">
            <v>92</v>
          </cell>
          <cell r="AC6">
            <v>90</v>
          </cell>
          <cell r="AD6">
            <v>91</v>
          </cell>
          <cell r="AE6">
            <v>92</v>
          </cell>
          <cell r="AF6">
            <v>365</v>
          </cell>
          <cell r="AG6">
            <v>92</v>
          </cell>
          <cell r="AH6">
            <v>90</v>
          </cell>
          <cell r="AI6">
            <v>91</v>
          </cell>
          <cell r="AJ6">
            <v>92</v>
          </cell>
          <cell r="AK6">
            <v>365</v>
          </cell>
          <cell r="AL6">
            <v>92</v>
          </cell>
          <cell r="AM6">
            <v>91</v>
          </cell>
          <cell r="AN6">
            <v>91</v>
          </cell>
          <cell r="AO6">
            <v>92</v>
          </cell>
          <cell r="AP6">
            <v>366</v>
          </cell>
          <cell r="AQ6">
            <v>92</v>
          </cell>
          <cell r="AR6">
            <v>90</v>
          </cell>
          <cell r="AS6">
            <v>91</v>
          </cell>
          <cell r="AT6">
            <v>92</v>
          </cell>
          <cell r="AU6">
            <v>365</v>
          </cell>
          <cell r="AW6">
            <v>91</v>
          </cell>
          <cell r="AX6">
            <v>91</v>
          </cell>
          <cell r="AY6">
            <v>92</v>
          </cell>
          <cell r="AZ6">
            <v>92</v>
          </cell>
          <cell r="BA6">
            <v>366</v>
          </cell>
          <cell r="BB6">
            <v>90</v>
          </cell>
          <cell r="BC6">
            <v>91</v>
          </cell>
          <cell r="BD6">
            <v>92</v>
          </cell>
          <cell r="BE6">
            <v>92</v>
          </cell>
          <cell r="BF6">
            <v>365</v>
          </cell>
          <cell r="BG6">
            <v>90</v>
          </cell>
          <cell r="BH6">
            <v>91</v>
          </cell>
          <cell r="BI6">
            <v>92</v>
          </cell>
          <cell r="BJ6">
            <v>92</v>
          </cell>
          <cell r="BK6">
            <v>365</v>
          </cell>
          <cell r="BL6">
            <v>90</v>
          </cell>
          <cell r="BM6">
            <v>91</v>
          </cell>
          <cell r="BN6">
            <v>92</v>
          </cell>
          <cell r="BO6">
            <v>92</v>
          </cell>
          <cell r="BP6">
            <v>365</v>
          </cell>
          <cell r="BQ6">
            <v>91</v>
          </cell>
          <cell r="BR6">
            <v>91</v>
          </cell>
          <cell r="BS6">
            <v>92</v>
          </cell>
          <cell r="BT6">
            <v>92</v>
          </cell>
          <cell r="BU6">
            <v>366</v>
          </cell>
          <cell r="BV6">
            <v>90</v>
          </cell>
          <cell r="BW6">
            <v>91</v>
          </cell>
          <cell r="BX6">
            <v>92</v>
          </cell>
          <cell r="BY6">
            <v>92</v>
          </cell>
          <cell r="BZ6">
            <v>365</v>
          </cell>
          <cell r="CA6">
            <v>90</v>
          </cell>
          <cell r="CB6">
            <v>91</v>
          </cell>
          <cell r="CC6">
            <v>92</v>
          </cell>
          <cell r="CD6">
            <v>92</v>
          </cell>
          <cell r="CE6">
            <v>365</v>
          </cell>
          <cell r="CF6">
            <v>90</v>
          </cell>
          <cell r="CG6">
            <v>91</v>
          </cell>
          <cell r="CH6">
            <v>92</v>
          </cell>
          <cell r="CI6">
            <v>92</v>
          </cell>
          <cell r="CJ6">
            <v>365</v>
          </cell>
          <cell r="CK6">
            <v>91</v>
          </cell>
          <cell r="CL6">
            <v>91</v>
          </cell>
          <cell r="CM6">
            <v>92</v>
          </cell>
          <cell r="CN6">
            <v>92</v>
          </cell>
          <cell r="CO6">
            <v>366</v>
          </cell>
          <cell r="CP6">
            <v>90</v>
          </cell>
          <cell r="CQ6">
            <v>91</v>
          </cell>
          <cell r="CR6">
            <v>92</v>
          </cell>
          <cell r="CS6">
            <v>92</v>
          </cell>
          <cell r="CT6">
            <v>365</v>
          </cell>
          <cell r="CU6">
            <v>90</v>
          </cell>
          <cell r="CV6">
            <v>91</v>
          </cell>
          <cell r="CW6">
            <v>92</v>
          </cell>
          <cell r="CX6">
            <v>92</v>
          </cell>
          <cell r="CY6">
            <v>365</v>
          </cell>
          <cell r="CZ6">
            <v>90</v>
          </cell>
          <cell r="DA6">
            <v>91</v>
          </cell>
          <cell r="DB6">
            <v>92</v>
          </cell>
          <cell r="DC6">
            <v>92</v>
          </cell>
          <cell r="DD6">
            <v>365</v>
          </cell>
          <cell r="DE6">
            <v>90</v>
          </cell>
          <cell r="DF6">
            <v>91</v>
          </cell>
          <cell r="DG6">
            <v>92</v>
          </cell>
          <cell r="DH6">
            <v>92</v>
          </cell>
          <cell r="DI6">
            <v>365</v>
          </cell>
        </row>
        <row r="8">
          <cell r="B8" t="str">
            <v>Gross Revenue</v>
          </cell>
          <cell r="D8">
            <v>211.79300000000001</v>
          </cell>
          <cell r="E8">
            <v>245.24700000000001</v>
          </cell>
          <cell r="F8">
            <v>301.88299999999998</v>
          </cell>
          <cell r="G8">
            <v>346.767</v>
          </cell>
          <cell r="H8">
            <v>438.36599999999999</v>
          </cell>
          <cell r="I8">
            <v>531.09400000000005</v>
          </cell>
          <cell r="J8">
            <v>714.31700000000001</v>
          </cell>
          <cell r="K8">
            <v>895.48199999999997</v>
          </cell>
          <cell r="L8">
            <v>1138.8019999999999</v>
          </cell>
          <cell r="M8">
            <v>305.49599999999998</v>
          </cell>
          <cell r="N8">
            <v>339.74799999999999</v>
          </cell>
          <cell r="O8">
            <v>352.47300000000001</v>
          </cell>
          <cell r="P8">
            <v>357.99</v>
          </cell>
          <cell r="Q8">
            <v>1355.7069999999999</v>
          </cell>
          <cell r="R8">
            <v>370.09399999999999</v>
          </cell>
          <cell r="S8">
            <v>408.65499999999997</v>
          </cell>
          <cell r="T8">
            <v>391.09899999999999</v>
          </cell>
          <cell r="U8">
            <v>407.91899999999998</v>
          </cell>
          <cell r="V8">
            <v>1577.7669999999998</v>
          </cell>
          <cell r="W8">
            <v>434.23700000000002</v>
          </cell>
          <cell r="X8">
            <v>481.14400000000001</v>
          </cell>
          <cell r="Y8">
            <v>473.20299999999997</v>
          </cell>
          <cell r="Z8">
            <v>491.21699999999998</v>
          </cell>
          <cell r="AA8">
            <v>1879.8009999999999</v>
          </cell>
          <cell r="AB8">
            <v>495.82100000000003</v>
          </cell>
          <cell r="AC8">
            <v>579.94799999999998</v>
          </cell>
          <cell r="AD8">
            <v>592.476</v>
          </cell>
          <cell r="AE8">
            <v>594.35599999999999</v>
          </cell>
          <cell r="AF8">
            <v>2262.6009999999997</v>
          </cell>
          <cell r="AG8">
            <v>609.41899999999998</v>
          </cell>
          <cell r="AH8">
            <v>646.47199999999998</v>
          </cell>
          <cell r="AI8">
            <v>647.12699999999995</v>
          </cell>
          <cell r="AJ8">
            <v>657.55799999999999</v>
          </cell>
          <cell r="AK8">
            <v>2560.576</v>
          </cell>
          <cell r="AL8">
            <v>756.553</v>
          </cell>
          <cell r="AM8">
            <v>833.90700000000004</v>
          </cell>
          <cell r="AN8">
            <v>817.34100000000001</v>
          </cell>
          <cell r="AO8">
            <v>798.08399999999995</v>
          </cell>
          <cell r="AP8">
            <v>3205.8849999999998</v>
          </cell>
          <cell r="AQ8">
            <v>822.18100000000004</v>
          </cell>
          <cell r="AR8">
            <v>917.44799999999998</v>
          </cell>
          <cell r="AS8">
            <v>934.26400000000001</v>
          </cell>
          <cell r="AT8">
            <v>905.59199999999998</v>
          </cell>
          <cell r="AU8">
            <v>3579.4850000000001</v>
          </cell>
          <cell r="AW8">
            <v>833.90700000000004</v>
          </cell>
          <cell r="AX8">
            <v>817.34100000000001</v>
          </cell>
          <cell r="AY8">
            <v>798.08399999999995</v>
          </cell>
          <cell r="AZ8">
            <v>822.18100000000004</v>
          </cell>
          <cell r="BA8">
            <v>3271.5129999999999</v>
          </cell>
          <cell r="BB8">
            <v>917.44799999999998</v>
          </cell>
          <cell r="BC8">
            <v>934.26400000000001</v>
          </cell>
          <cell r="BD8">
            <v>905.59199999999998</v>
          </cell>
          <cell r="BE8">
            <v>936.50300000000004</v>
          </cell>
          <cell r="BF8">
            <v>3693.8070000000002</v>
          </cell>
          <cell r="BG8">
            <v>1032.6600000000001</v>
          </cell>
          <cell r="BH8">
            <v>1022.006</v>
          </cell>
          <cell r="BI8">
            <v>994.11099999999999</v>
          </cell>
          <cell r="BJ8">
            <v>1052.7329999999999</v>
          </cell>
          <cell r="BK8">
            <v>4101.51</v>
          </cell>
          <cell r="BL8">
            <v>1143.5329999999999</v>
          </cell>
          <cell r="BM8">
            <v>1099.1610000000001</v>
          </cell>
          <cell r="BN8">
            <v>1070.1890000000001</v>
          </cell>
          <cell r="BO8">
            <v>1096.278</v>
          </cell>
          <cell r="BP8">
            <v>4409.1610000000001</v>
          </cell>
          <cell r="BQ8">
            <v>1152.5719999999999</v>
          </cell>
          <cell r="BR8">
            <v>1105.299</v>
          </cell>
          <cell r="BS8">
            <v>1081.914</v>
          </cell>
          <cell r="BT8">
            <v>1111.826</v>
          </cell>
          <cell r="BU8">
            <v>4451.6109999999999</v>
          </cell>
          <cell r="BV8">
            <v>1188.0229999999999</v>
          </cell>
          <cell r="BW8">
            <v>1155.453</v>
          </cell>
          <cell r="BX8">
            <v>1121.903</v>
          </cell>
          <cell r="BY8">
            <v>1198.77</v>
          </cell>
          <cell r="BZ8">
            <v>4664.1489999999994</v>
          </cell>
          <cell r="CA8">
            <v>1285.019</v>
          </cell>
          <cell r="CB8">
            <v>1247.787</v>
          </cell>
          <cell r="CC8">
            <v>1270.6590000000001</v>
          </cell>
          <cell r="CD8">
            <v>1352.059</v>
          </cell>
          <cell r="CE8">
            <v>5155.5240000000003</v>
          </cell>
          <cell r="CF8">
            <v>1433.6410000000001</v>
          </cell>
          <cell r="CG8">
            <v>1395.3530000000001</v>
          </cell>
          <cell r="CH8">
            <v>1400.2439999999999</v>
          </cell>
          <cell r="CI8">
            <v>1583.7739999999999</v>
          </cell>
          <cell r="CJ8">
            <v>5813.0120000000006</v>
          </cell>
          <cell r="CK8">
            <v>1686.518</v>
          </cell>
          <cell r="CL8">
            <v>1686.5409999999999</v>
          </cell>
          <cell r="CM8">
            <v>1664.1869999999999</v>
          </cell>
          <cell r="CN8">
            <v>1714.7561297917275</v>
          </cell>
          <cell r="CO8">
            <v>6752.0021297917274</v>
          </cell>
          <cell r="CP8">
            <v>1773.696240270453</v>
          </cell>
          <cell r="CQ8">
            <v>1748.3017764068638</v>
          </cell>
          <cell r="CR8">
            <v>1727.0014888007336</v>
          </cell>
          <cell r="CS8">
            <v>1774.4609769352023</v>
          </cell>
          <cell r="CT8">
            <v>7023.460482413253</v>
          </cell>
          <cell r="CU8">
            <v>1808.7387179919394</v>
          </cell>
          <cell r="CV8">
            <v>1781.0200924392448</v>
          </cell>
          <cell r="CW8">
            <v>1761.1587791980387</v>
          </cell>
          <cell r="CX8">
            <v>1806.0845996925368</v>
          </cell>
          <cell r="CY8">
            <v>7157.0021893217599</v>
          </cell>
          <cell r="CZ8">
            <v>1881.1170686709002</v>
          </cell>
          <cell r="DA8">
            <v>1849.8988829022953</v>
          </cell>
          <cell r="DB8">
            <v>1830.7465494006099</v>
          </cell>
          <cell r="DC8">
            <v>1881.3219862595788</v>
          </cell>
          <cell r="DD8">
            <v>7443.0844872333846</v>
          </cell>
          <cell r="DE8">
            <v>1964.9563156098177</v>
          </cell>
          <cell r="DF8">
            <v>1927.8969063987906</v>
          </cell>
          <cell r="DG8">
            <v>1909.0801770309545</v>
          </cell>
          <cell r="DH8">
            <v>1957.1362860311051</v>
          </cell>
          <cell r="DI8">
            <v>7759.0696850706681</v>
          </cell>
        </row>
        <row r="9">
          <cell r="B9" t="str">
            <v>Provision for doubtful accounts</v>
          </cell>
          <cell r="D9">
            <v>20.132000000000001</v>
          </cell>
          <cell r="E9">
            <v>19.106999999999999</v>
          </cell>
          <cell r="F9">
            <v>23.922000000000001</v>
          </cell>
          <cell r="G9">
            <v>30.15</v>
          </cell>
          <cell r="H9">
            <v>40.002000000000002</v>
          </cell>
          <cell r="I9">
            <v>48.338000000000001</v>
          </cell>
          <cell r="J9">
            <v>64.763000000000005</v>
          </cell>
          <cell r="K9">
            <v>76.894000000000005</v>
          </cell>
          <cell r="L9">
            <v>98.257999999999996</v>
          </cell>
          <cell r="M9">
            <v>29.094999999999999</v>
          </cell>
          <cell r="N9">
            <v>29.876999999999999</v>
          </cell>
          <cell r="O9">
            <v>35.957999999999998</v>
          </cell>
          <cell r="P9">
            <v>35.082999999999998</v>
          </cell>
          <cell r="Q9">
            <v>130.01299999999998</v>
          </cell>
          <cell r="R9">
            <v>34.173000000000002</v>
          </cell>
          <cell r="S9">
            <v>32.884999999999998</v>
          </cell>
          <cell r="T9">
            <v>34.353000000000002</v>
          </cell>
          <cell r="U9">
            <v>34.451000000000001</v>
          </cell>
          <cell r="V9">
            <v>135.86199999999999</v>
          </cell>
          <cell r="W9">
            <v>35.905000000000001</v>
          </cell>
          <cell r="X9">
            <v>33.051000000000002</v>
          </cell>
          <cell r="Y9">
            <v>36.158000000000001</v>
          </cell>
          <cell r="Z9">
            <v>38.808999999999997</v>
          </cell>
          <cell r="AA9">
            <v>143.923</v>
          </cell>
          <cell r="AB9">
            <v>36.878</v>
          </cell>
          <cell r="AC9">
            <v>43.713000000000001</v>
          </cell>
          <cell r="AD9">
            <v>45.484999999999999</v>
          </cell>
          <cell r="AE9">
            <v>46.353999999999999</v>
          </cell>
          <cell r="AF9">
            <v>172.43</v>
          </cell>
          <cell r="AG9">
            <v>46.307000000000002</v>
          </cell>
          <cell r="AH9">
            <v>45.017000000000003</v>
          </cell>
          <cell r="AI9">
            <v>46.448</v>
          </cell>
          <cell r="AJ9">
            <v>49.054000000000002</v>
          </cell>
          <cell r="AK9">
            <v>186.82600000000002</v>
          </cell>
          <cell r="AL9">
            <v>58.087000000000003</v>
          </cell>
          <cell r="AM9">
            <v>59.578000000000003</v>
          </cell>
          <cell r="AN9">
            <v>62.514000000000003</v>
          </cell>
          <cell r="AO9">
            <v>59.895000000000003</v>
          </cell>
          <cell r="AP9">
            <v>240.07400000000001</v>
          </cell>
          <cell r="AQ9">
            <v>62.085999999999999</v>
          </cell>
          <cell r="AR9">
            <v>64.572999999999993</v>
          </cell>
          <cell r="AS9">
            <v>105.41200000000001</v>
          </cell>
          <cell r="AT9">
            <v>75.754999999999995</v>
          </cell>
          <cell r="AU9">
            <v>307.82600000000002</v>
          </cell>
          <cell r="AW9">
            <v>59.578000000000003</v>
          </cell>
          <cell r="AX9">
            <v>62.514000000000003</v>
          </cell>
          <cell r="AY9">
            <v>59.895000000000003</v>
          </cell>
          <cell r="AZ9">
            <v>62.085999999999999</v>
          </cell>
          <cell r="BA9">
            <v>244.07300000000004</v>
          </cell>
          <cell r="BB9">
            <v>64.572999999999993</v>
          </cell>
          <cell r="BC9">
            <v>105.41200000000001</v>
          </cell>
          <cell r="BD9">
            <v>75.754999999999995</v>
          </cell>
          <cell r="BE9">
            <v>81.106999999999999</v>
          </cell>
          <cell r="BF9">
            <v>326.84699999999998</v>
          </cell>
          <cell r="BG9">
            <v>83.775999999999996</v>
          </cell>
          <cell r="BH9">
            <v>91.206000000000003</v>
          </cell>
          <cell r="BI9">
            <v>94.072999999999993</v>
          </cell>
          <cell r="BJ9">
            <v>302.81900000000002</v>
          </cell>
          <cell r="BK9">
            <v>571.87400000000002</v>
          </cell>
          <cell r="BL9">
            <v>121.46899999999999</v>
          </cell>
          <cell r="BM9">
            <v>150.62899999999999</v>
          </cell>
          <cell r="BN9">
            <v>126.486</v>
          </cell>
          <cell r="BO9">
            <v>135.22</v>
          </cell>
          <cell r="BP9">
            <v>533.80399999999997</v>
          </cell>
          <cell r="BQ9">
            <v>128.97</v>
          </cell>
          <cell r="BR9">
            <v>124.837</v>
          </cell>
          <cell r="BS9">
            <v>124.194</v>
          </cell>
          <cell r="BT9">
            <v>130.22900000000001</v>
          </cell>
          <cell r="BU9">
            <v>508.23</v>
          </cell>
          <cell r="BV9">
            <v>143.983</v>
          </cell>
          <cell r="BW9">
            <v>141.505</v>
          </cell>
          <cell r="BX9">
            <v>143.745</v>
          </cell>
          <cell r="BY9">
            <v>147.16399999999999</v>
          </cell>
          <cell r="BZ9">
            <v>576.39699999999993</v>
          </cell>
          <cell r="CA9">
            <v>158.80500000000001</v>
          </cell>
          <cell r="CB9">
            <v>149.73099999999999</v>
          </cell>
          <cell r="CC9">
            <v>159.922</v>
          </cell>
          <cell r="CD9">
            <v>164.553</v>
          </cell>
          <cell r="CE9">
            <v>633.01099999999997</v>
          </cell>
          <cell r="CF9">
            <v>172.80199999999999</v>
          </cell>
          <cell r="CG9">
            <v>170.78700000000001</v>
          </cell>
          <cell r="CH9">
            <v>178.87299999999999</v>
          </cell>
          <cell r="CI9">
            <v>195.12700000000001</v>
          </cell>
          <cell r="CJ9">
            <v>717.58899999999994</v>
          </cell>
          <cell r="CK9">
            <v>201.261</v>
          </cell>
          <cell r="CL9">
            <v>214.56299999999999</v>
          </cell>
          <cell r="CM9">
            <v>224.078</v>
          </cell>
          <cell r="CN9">
            <v>231.49207752188323</v>
          </cell>
          <cell r="CO9">
            <v>871.39407752188322</v>
          </cell>
          <cell r="CP9">
            <v>235.56444688548012</v>
          </cell>
          <cell r="CQ9">
            <v>241.42522828460378</v>
          </cell>
          <cell r="CR9">
            <v>254.002584369668</v>
          </cell>
          <cell r="CS9">
            <v>257.02973061024016</v>
          </cell>
          <cell r="CT9">
            <v>988.02199014999201</v>
          </cell>
          <cell r="CU9">
            <v>189.48801670731294</v>
          </cell>
          <cell r="CV9">
            <v>194.77399794157026</v>
          </cell>
          <cell r="CW9">
            <v>204.69666651038935</v>
          </cell>
          <cell r="CX9">
            <v>207.56875740520627</v>
          </cell>
          <cell r="CY9">
            <v>796.52743856447887</v>
          </cell>
          <cell r="CZ9">
            <v>172.64500807231349</v>
          </cell>
          <cell r="DA9">
            <v>176.50685420070937</v>
          </cell>
          <cell r="DB9">
            <v>185.37446677882798</v>
          </cell>
          <cell r="DC9">
            <v>188.28177216036485</v>
          </cell>
          <cell r="DD9">
            <v>722.80810121221566</v>
          </cell>
          <cell r="DE9">
            <v>161.64526418738677</v>
          </cell>
          <cell r="DF9">
            <v>164.28377525814815</v>
          </cell>
          <cell r="DG9">
            <v>172.42250458134649</v>
          </cell>
          <cell r="DH9">
            <v>175.27856747258164</v>
          </cell>
          <cell r="DI9">
            <v>673.63011149946306</v>
          </cell>
        </row>
        <row r="10">
          <cell r="B10" t="str">
            <v>Net Revenue</v>
          </cell>
          <cell r="D10">
            <v>191.661</v>
          </cell>
          <cell r="E10">
            <v>226.14000000000001</v>
          </cell>
          <cell r="F10">
            <v>277.96099999999996</v>
          </cell>
          <cell r="G10">
            <v>316.61700000000002</v>
          </cell>
          <cell r="H10">
            <v>398.36399999999998</v>
          </cell>
          <cell r="I10">
            <v>482.75600000000003</v>
          </cell>
          <cell r="J10">
            <v>649.55399999999997</v>
          </cell>
          <cell r="K10">
            <v>818.58799999999997</v>
          </cell>
          <cell r="L10">
            <v>1040.5439999999999</v>
          </cell>
          <cell r="M10">
            <v>276.40099999999995</v>
          </cell>
          <cell r="N10">
            <v>309.87099999999998</v>
          </cell>
          <cell r="O10">
            <v>316.51499999999999</v>
          </cell>
          <cell r="P10">
            <v>322.90700000000004</v>
          </cell>
          <cell r="Q10">
            <v>1225.694</v>
          </cell>
          <cell r="R10">
            <v>335.92099999999999</v>
          </cell>
          <cell r="S10">
            <v>375.77</v>
          </cell>
          <cell r="T10">
            <v>356.74599999999998</v>
          </cell>
          <cell r="U10">
            <v>373.46799999999996</v>
          </cell>
          <cell r="V10">
            <v>1441.9049999999997</v>
          </cell>
          <cell r="W10">
            <v>398.33199999999999</v>
          </cell>
          <cell r="X10">
            <v>448.09300000000002</v>
          </cell>
          <cell r="Y10">
            <v>437.04499999999996</v>
          </cell>
          <cell r="Z10">
            <v>452.40800000000002</v>
          </cell>
          <cell r="AA10">
            <v>1735.8779999999999</v>
          </cell>
          <cell r="AB10">
            <v>458.94300000000004</v>
          </cell>
          <cell r="AC10">
            <v>536.23500000000001</v>
          </cell>
          <cell r="AD10">
            <v>546.99099999999999</v>
          </cell>
          <cell r="AE10">
            <v>548.00199999999995</v>
          </cell>
          <cell r="AF10">
            <v>2090.1709999999998</v>
          </cell>
          <cell r="AG10">
            <v>563.11199999999997</v>
          </cell>
          <cell r="AH10">
            <v>601.45499999999993</v>
          </cell>
          <cell r="AI10">
            <v>600.67899999999997</v>
          </cell>
          <cell r="AJ10">
            <v>608.50400000000002</v>
          </cell>
          <cell r="AK10">
            <v>2373.75</v>
          </cell>
          <cell r="AL10">
            <v>698.46600000000001</v>
          </cell>
          <cell r="AM10">
            <v>774.32900000000006</v>
          </cell>
          <cell r="AN10">
            <v>754.827</v>
          </cell>
          <cell r="AO10">
            <v>738.18899999999996</v>
          </cell>
          <cell r="AP10">
            <v>2965.8109999999997</v>
          </cell>
          <cell r="AQ10">
            <v>760.09500000000003</v>
          </cell>
          <cell r="AR10">
            <v>852.875</v>
          </cell>
          <cell r="AS10">
            <v>828.85199999999998</v>
          </cell>
          <cell r="AT10">
            <v>829.83699999999999</v>
          </cell>
          <cell r="AU10">
            <v>3271.6590000000001</v>
          </cell>
          <cell r="AW10">
            <v>774.32900000000006</v>
          </cell>
          <cell r="AX10">
            <v>754.827</v>
          </cell>
          <cell r="AY10">
            <v>738.18899999999996</v>
          </cell>
          <cell r="AZ10">
            <v>760.09500000000003</v>
          </cell>
          <cell r="BA10">
            <v>3027.44</v>
          </cell>
          <cell r="BB10">
            <v>852.875</v>
          </cell>
          <cell r="BC10">
            <v>828.85199999999998</v>
          </cell>
          <cell r="BD10">
            <v>829.83699999999999</v>
          </cell>
          <cell r="BE10">
            <v>855.39600000000007</v>
          </cell>
          <cell r="BF10">
            <v>3366.96</v>
          </cell>
          <cell r="BG10">
            <v>948.88400000000013</v>
          </cell>
          <cell r="BH10">
            <v>930.8</v>
          </cell>
          <cell r="BI10">
            <v>900.03800000000001</v>
          </cell>
          <cell r="BJ10">
            <v>749.91399999999999</v>
          </cell>
          <cell r="BK10">
            <v>3529.6360000000004</v>
          </cell>
          <cell r="BL10">
            <v>1022.0639999999999</v>
          </cell>
          <cell r="BM10">
            <v>948.53200000000004</v>
          </cell>
          <cell r="BN10">
            <v>943.70300000000009</v>
          </cell>
          <cell r="BO10">
            <v>961.05799999999999</v>
          </cell>
          <cell r="BP10">
            <v>3875.357</v>
          </cell>
          <cell r="BQ10">
            <v>1023.6019999999999</v>
          </cell>
          <cell r="BR10">
            <v>980.46199999999999</v>
          </cell>
          <cell r="BS10">
            <v>957.72</v>
          </cell>
          <cell r="BT10">
            <v>981.59699999999998</v>
          </cell>
          <cell r="BU10">
            <v>3943.3809999999999</v>
          </cell>
          <cell r="BV10">
            <v>1044.04</v>
          </cell>
          <cell r="BW10">
            <v>1013.948</v>
          </cell>
          <cell r="BX10">
            <v>978.15800000000002</v>
          </cell>
          <cell r="BY10">
            <v>1051.606</v>
          </cell>
          <cell r="BZ10">
            <v>4087.7519999999995</v>
          </cell>
          <cell r="CA10">
            <v>1126.2139999999999</v>
          </cell>
          <cell r="CB10">
            <v>1098.056</v>
          </cell>
          <cell r="CC10">
            <v>1110.7370000000001</v>
          </cell>
          <cell r="CD10">
            <v>1187.5059999999999</v>
          </cell>
          <cell r="CE10">
            <v>4522.5130000000008</v>
          </cell>
          <cell r="CF10">
            <v>1260.8390000000002</v>
          </cell>
          <cell r="CG10">
            <v>1224.566</v>
          </cell>
          <cell r="CH10">
            <v>1221.3709999999999</v>
          </cell>
          <cell r="CI10">
            <v>1388.6469999999999</v>
          </cell>
          <cell r="CJ10">
            <v>5095.4230000000007</v>
          </cell>
          <cell r="CK10">
            <v>1485.2570000000001</v>
          </cell>
          <cell r="CL10">
            <v>1471.9780000000001</v>
          </cell>
          <cell r="CM10">
            <v>1440.1089999999999</v>
          </cell>
          <cell r="CN10">
            <v>1483.2640522698443</v>
          </cell>
          <cell r="CO10">
            <v>5880.6080522698448</v>
          </cell>
          <cell r="CP10">
            <v>1538.131793384973</v>
          </cell>
          <cell r="CQ10">
            <v>1506.8765481222601</v>
          </cell>
          <cell r="CR10">
            <v>1472.9989044310655</v>
          </cell>
          <cell r="CS10">
            <v>1517.4312463249621</v>
          </cell>
          <cell r="CT10">
            <v>6035.4384922632617</v>
          </cell>
          <cell r="CU10">
            <v>1619.2507012846265</v>
          </cell>
          <cell r="CV10">
            <v>1586.2460944976744</v>
          </cell>
          <cell r="CW10">
            <v>1556.4621126876493</v>
          </cell>
          <cell r="CX10">
            <v>1598.5158422873305</v>
          </cell>
          <cell r="CY10">
            <v>6360.4747507572811</v>
          </cell>
          <cell r="CZ10">
            <v>1708.4720605985867</v>
          </cell>
          <cell r="DA10">
            <v>1673.392028701586</v>
          </cell>
          <cell r="DB10">
            <v>1645.3720826217818</v>
          </cell>
          <cell r="DC10">
            <v>1693.0402140992139</v>
          </cell>
          <cell r="DD10">
            <v>6720.2763860211689</v>
          </cell>
          <cell r="DE10">
            <v>1803.3110514224309</v>
          </cell>
          <cell r="DF10">
            <v>1763.6131311406425</v>
          </cell>
          <cell r="DG10">
            <v>1736.6576724496081</v>
          </cell>
          <cell r="DH10">
            <v>1781.8577185585234</v>
          </cell>
          <cell r="DI10">
            <v>7085.4395735712051</v>
          </cell>
        </row>
        <row r="12">
          <cell r="B12" t="str">
            <v>Acquisitions</v>
          </cell>
        </row>
        <row r="13">
          <cell r="B13" t="str">
            <v>Bayfront Health System</v>
          </cell>
          <cell r="Q13">
            <v>0</v>
          </cell>
          <cell r="V13">
            <v>0</v>
          </cell>
          <cell r="AA13">
            <v>0</v>
          </cell>
          <cell r="AF13">
            <v>0</v>
          </cell>
          <cell r="AK13">
            <v>0</v>
          </cell>
          <cell r="AP13">
            <v>0</v>
          </cell>
          <cell r="AU13">
            <v>0</v>
          </cell>
          <cell r="BA13">
            <v>0</v>
          </cell>
          <cell r="BF13">
            <v>0</v>
          </cell>
          <cell r="BK13">
            <v>0</v>
          </cell>
          <cell r="BP13">
            <v>0</v>
          </cell>
          <cell r="BU13">
            <v>0</v>
          </cell>
          <cell r="BZ13">
            <v>0</v>
          </cell>
          <cell r="CE13">
            <v>0</v>
          </cell>
          <cell r="CJ13">
            <v>0</v>
          </cell>
          <cell r="CP13">
            <v>31.25</v>
          </cell>
          <cell r="CQ13">
            <v>62.5</v>
          </cell>
          <cell r="CR13">
            <v>62.5</v>
          </cell>
          <cell r="CS13">
            <v>62.5</v>
          </cell>
          <cell r="CT13">
            <v>218.75</v>
          </cell>
          <cell r="CU13">
            <v>31.25</v>
          </cell>
          <cell r="CY13">
            <v>31.25</v>
          </cell>
          <cell r="DD13">
            <v>0</v>
          </cell>
          <cell r="DI13">
            <v>0</v>
          </cell>
        </row>
        <row r="14">
          <cell r="B14" t="str">
            <v>Integris Hospitals in April 2012</v>
          </cell>
          <cell r="Q14">
            <v>0</v>
          </cell>
          <cell r="V14">
            <v>0</v>
          </cell>
          <cell r="AA14">
            <v>0</v>
          </cell>
          <cell r="AF14">
            <v>0</v>
          </cell>
          <cell r="AK14">
            <v>0</v>
          </cell>
          <cell r="AP14">
            <v>0</v>
          </cell>
          <cell r="AU14">
            <v>0</v>
          </cell>
          <cell r="BA14">
            <v>0</v>
          </cell>
          <cell r="BF14">
            <v>0</v>
          </cell>
          <cell r="BK14">
            <v>0</v>
          </cell>
          <cell r="BP14">
            <v>0</v>
          </cell>
          <cell r="BU14">
            <v>0</v>
          </cell>
          <cell r="BZ14">
            <v>0</v>
          </cell>
          <cell r="CE14">
            <v>0</v>
          </cell>
          <cell r="CJ14">
            <v>0</v>
          </cell>
          <cell r="CL14">
            <v>23.75</v>
          </cell>
          <cell r="CM14">
            <v>23.75</v>
          </cell>
          <cell r="CN14">
            <v>23.75</v>
          </cell>
          <cell r="CO14">
            <v>71.25</v>
          </cell>
          <cell r="CP14">
            <v>23.75</v>
          </cell>
          <cell r="CT14">
            <v>23.75</v>
          </cell>
          <cell r="CY14">
            <v>0</v>
          </cell>
          <cell r="DD14">
            <v>0</v>
          </cell>
          <cell r="DI14">
            <v>0</v>
          </cell>
        </row>
        <row r="15">
          <cell r="B15" t="str">
            <v>Mercy Hospitals in September 2011</v>
          </cell>
          <cell r="Q15">
            <v>0</v>
          </cell>
          <cell r="V15">
            <v>0</v>
          </cell>
          <cell r="AA15">
            <v>0</v>
          </cell>
          <cell r="AF15">
            <v>0</v>
          </cell>
          <cell r="AK15">
            <v>0</v>
          </cell>
          <cell r="AP15">
            <v>0</v>
          </cell>
          <cell r="AU15">
            <v>0</v>
          </cell>
          <cell r="BA15">
            <v>0</v>
          </cell>
          <cell r="BF15">
            <v>0</v>
          </cell>
          <cell r="BK15">
            <v>0</v>
          </cell>
          <cell r="BP15">
            <v>0</v>
          </cell>
          <cell r="BU15">
            <v>0</v>
          </cell>
          <cell r="BZ15">
            <v>0</v>
          </cell>
          <cell r="CE15">
            <v>0</v>
          </cell>
          <cell r="CI15">
            <v>150</v>
          </cell>
          <cell r="CJ15">
            <v>150</v>
          </cell>
          <cell r="CK15">
            <v>150</v>
          </cell>
          <cell r="CL15">
            <v>150</v>
          </cell>
          <cell r="CM15">
            <v>150</v>
          </cell>
          <cell r="CO15">
            <v>450</v>
          </cell>
          <cell r="CT15">
            <v>0</v>
          </cell>
          <cell r="CY15">
            <v>0</v>
          </cell>
          <cell r="DD15">
            <v>0</v>
          </cell>
          <cell r="DI15">
            <v>0</v>
          </cell>
        </row>
        <row r="16">
          <cell r="B16" t="str">
            <v>Tri−Lakes in May 2011</v>
          </cell>
          <cell r="Q16">
            <v>0</v>
          </cell>
          <cell r="V16">
            <v>0</v>
          </cell>
          <cell r="AA16">
            <v>0</v>
          </cell>
          <cell r="AF16">
            <v>0</v>
          </cell>
          <cell r="AK16">
            <v>0</v>
          </cell>
          <cell r="AP16">
            <v>0</v>
          </cell>
          <cell r="AU16">
            <v>0</v>
          </cell>
          <cell r="BA16">
            <v>0</v>
          </cell>
          <cell r="BF16">
            <v>0</v>
          </cell>
          <cell r="BK16">
            <v>0</v>
          </cell>
          <cell r="BP16">
            <v>0</v>
          </cell>
          <cell r="BU16">
            <v>0</v>
          </cell>
          <cell r="BZ16">
            <v>0</v>
          </cell>
          <cell r="CE16">
            <v>0</v>
          </cell>
          <cell r="CG16">
            <v>7.5</v>
          </cell>
          <cell r="CH16">
            <v>11.25</v>
          </cell>
          <cell r="CI16">
            <v>11.25</v>
          </cell>
          <cell r="CJ16">
            <v>30</v>
          </cell>
          <cell r="CK16">
            <v>11.25</v>
          </cell>
          <cell r="CL16">
            <v>3.75</v>
          </cell>
          <cell r="CO16">
            <v>15</v>
          </cell>
          <cell r="CT16">
            <v>0</v>
          </cell>
          <cell r="CY16">
            <v>0</v>
          </cell>
          <cell r="DD16">
            <v>0</v>
          </cell>
          <cell r="DI16">
            <v>0</v>
          </cell>
        </row>
        <row r="17">
          <cell r="B17" t="str">
            <v>Wuesthoff Health System</v>
          </cell>
          <cell r="Q17">
            <v>0</v>
          </cell>
          <cell r="V17">
            <v>0</v>
          </cell>
          <cell r="AA17">
            <v>0</v>
          </cell>
          <cell r="AF17">
            <v>0</v>
          </cell>
          <cell r="AK17">
            <v>0</v>
          </cell>
          <cell r="AP17">
            <v>0</v>
          </cell>
          <cell r="AU17">
            <v>0</v>
          </cell>
          <cell r="BA17">
            <v>0</v>
          </cell>
          <cell r="BF17">
            <v>0</v>
          </cell>
          <cell r="BK17">
            <v>0</v>
          </cell>
          <cell r="BP17">
            <v>0</v>
          </cell>
          <cell r="BU17">
            <v>0</v>
          </cell>
          <cell r="BZ17">
            <v>0</v>
          </cell>
          <cell r="CD17">
            <v>72.5</v>
          </cell>
          <cell r="CE17">
            <v>72.5</v>
          </cell>
          <cell r="CF17">
            <v>72.5</v>
          </cell>
          <cell r="CG17">
            <v>72.5</v>
          </cell>
          <cell r="CH17">
            <v>72.5</v>
          </cell>
          <cell r="CJ17">
            <v>217.5</v>
          </cell>
          <cell r="CO17">
            <v>0</v>
          </cell>
          <cell r="CT17">
            <v>0</v>
          </cell>
          <cell r="CY17">
            <v>0</v>
          </cell>
          <cell r="DD17">
            <v>0</v>
          </cell>
          <cell r="DI17">
            <v>0</v>
          </cell>
        </row>
        <row r="18">
          <cell r="B18" t="str">
            <v>Shands/University of Florida</v>
          </cell>
          <cell r="Q18">
            <v>0</v>
          </cell>
          <cell r="V18">
            <v>0</v>
          </cell>
          <cell r="AA18">
            <v>0</v>
          </cell>
          <cell r="AF18">
            <v>0</v>
          </cell>
          <cell r="AK18">
            <v>0</v>
          </cell>
          <cell r="AP18">
            <v>0</v>
          </cell>
          <cell r="AU18">
            <v>0</v>
          </cell>
          <cell r="BA18">
            <v>0</v>
          </cell>
          <cell r="BF18">
            <v>0</v>
          </cell>
          <cell r="BK18">
            <v>0</v>
          </cell>
          <cell r="BP18">
            <v>0</v>
          </cell>
          <cell r="BU18">
            <v>0</v>
          </cell>
          <cell r="BZ18">
            <v>0</v>
          </cell>
          <cell r="CC18">
            <v>27.5</v>
          </cell>
          <cell r="CD18">
            <v>27.5</v>
          </cell>
          <cell r="CE18">
            <v>55</v>
          </cell>
          <cell r="CF18">
            <v>27.5</v>
          </cell>
          <cell r="CG18">
            <v>27.5</v>
          </cell>
          <cell r="CJ18">
            <v>55</v>
          </cell>
          <cell r="CO18">
            <v>0</v>
          </cell>
          <cell r="CT18">
            <v>0</v>
          </cell>
          <cell r="CY18">
            <v>0</v>
          </cell>
          <cell r="DD18">
            <v>0</v>
          </cell>
          <cell r="DI18">
            <v>0</v>
          </cell>
        </row>
        <row r="19">
          <cell r="B19" t="str">
            <v>Sparks Regional Medical Center</v>
          </cell>
          <cell r="Q19">
            <v>0</v>
          </cell>
          <cell r="V19">
            <v>0</v>
          </cell>
          <cell r="AA19">
            <v>0</v>
          </cell>
          <cell r="AF19">
            <v>0</v>
          </cell>
          <cell r="AK19">
            <v>0</v>
          </cell>
          <cell r="AP19">
            <v>0</v>
          </cell>
          <cell r="AU19">
            <v>0</v>
          </cell>
          <cell r="BA19">
            <v>0</v>
          </cell>
          <cell r="BF19">
            <v>0</v>
          </cell>
          <cell r="BK19">
            <v>0</v>
          </cell>
          <cell r="BP19">
            <v>0</v>
          </cell>
          <cell r="BU19">
            <v>0</v>
          </cell>
          <cell r="BY19">
            <v>20.833333333333332</v>
          </cell>
          <cell r="BZ19">
            <v>20.833333333333332</v>
          </cell>
          <cell r="CA19">
            <v>62.5</v>
          </cell>
          <cell r="CB19">
            <v>62.5</v>
          </cell>
          <cell r="CC19">
            <v>62.5</v>
          </cell>
          <cell r="CD19">
            <v>41.666666666666664</v>
          </cell>
          <cell r="CE19">
            <v>229.16666666666666</v>
          </cell>
          <cell r="CJ19">
            <v>0</v>
          </cell>
          <cell r="CO19">
            <v>0</v>
          </cell>
          <cell r="CT19">
            <v>0</v>
          </cell>
          <cell r="CY19">
            <v>0</v>
          </cell>
          <cell r="DD19">
            <v>0</v>
          </cell>
          <cell r="DI19">
            <v>0</v>
          </cell>
        </row>
        <row r="20">
          <cell r="B20" t="str">
            <v xml:space="preserve">Gulf Coast Medical </v>
          </cell>
          <cell r="Q20">
            <v>0</v>
          </cell>
          <cell r="V20">
            <v>0</v>
          </cell>
          <cell r="AA20">
            <v>0</v>
          </cell>
          <cell r="AF20">
            <v>0</v>
          </cell>
          <cell r="AK20">
            <v>0</v>
          </cell>
          <cell r="AP20">
            <v>0</v>
          </cell>
          <cell r="AU20">
            <v>0</v>
          </cell>
          <cell r="BA20">
            <v>0</v>
          </cell>
          <cell r="BF20">
            <v>0</v>
          </cell>
          <cell r="BK20">
            <v>0</v>
          </cell>
          <cell r="BP20">
            <v>0</v>
          </cell>
          <cell r="BU20">
            <v>0</v>
          </cell>
          <cell r="BZ20">
            <v>0</v>
          </cell>
          <cell r="CE20">
            <v>0</v>
          </cell>
          <cell r="CJ20">
            <v>0</v>
          </cell>
          <cell r="CO20">
            <v>0</v>
          </cell>
          <cell r="CT20">
            <v>0</v>
          </cell>
          <cell r="CY20">
            <v>0</v>
          </cell>
          <cell r="DD20">
            <v>0</v>
          </cell>
          <cell r="DI20">
            <v>0</v>
          </cell>
        </row>
        <row r="21">
          <cell r="B21" t="str">
            <v>Cleveland Clinic Hospital</v>
          </cell>
          <cell r="Q21">
            <v>0</v>
          </cell>
          <cell r="V21">
            <v>0</v>
          </cell>
          <cell r="AA21">
            <v>0</v>
          </cell>
          <cell r="AF21">
            <v>0</v>
          </cell>
          <cell r="AK21">
            <v>0</v>
          </cell>
          <cell r="AP21">
            <v>0</v>
          </cell>
          <cell r="AU21">
            <v>0</v>
          </cell>
          <cell r="BA21">
            <v>0</v>
          </cell>
          <cell r="BF21">
            <v>0</v>
          </cell>
          <cell r="BK21">
            <v>0</v>
          </cell>
          <cell r="BP21">
            <v>0</v>
          </cell>
          <cell r="BU21">
            <v>0</v>
          </cell>
          <cell r="BZ21">
            <v>0</v>
          </cell>
          <cell r="CE21">
            <v>0</v>
          </cell>
          <cell r="CJ21">
            <v>0</v>
          </cell>
          <cell r="CO21">
            <v>0</v>
          </cell>
          <cell r="CT21">
            <v>0</v>
          </cell>
          <cell r="CY21">
            <v>0</v>
          </cell>
          <cell r="DD21">
            <v>0</v>
          </cell>
          <cell r="DI21">
            <v>0</v>
          </cell>
        </row>
        <row r="22">
          <cell r="B22" t="str">
            <v>Orlando Regional St. Cloud Hospital</v>
          </cell>
          <cell r="Q22">
            <v>0</v>
          </cell>
          <cell r="V22">
            <v>0</v>
          </cell>
          <cell r="AA22">
            <v>0</v>
          </cell>
          <cell r="AF22">
            <v>0</v>
          </cell>
          <cell r="AK22">
            <v>0</v>
          </cell>
          <cell r="AP22">
            <v>0</v>
          </cell>
          <cell r="AU22">
            <v>0</v>
          </cell>
          <cell r="BA22">
            <v>0</v>
          </cell>
          <cell r="BF22">
            <v>0</v>
          </cell>
          <cell r="BG22">
            <v>7.5</v>
          </cell>
          <cell r="BH22">
            <v>11.25</v>
          </cell>
          <cell r="BI22">
            <v>11.25</v>
          </cell>
          <cell r="BJ22">
            <v>11.25</v>
          </cell>
          <cell r="BK22">
            <v>41.25</v>
          </cell>
          <cell r="BL22">
            <v>3.75</v>
          </cell>
          <cell r="BP22">
            <v>3.75</v>
          </cell>
          <cell r="BU22">
            <v>0</v>
          </cell>
          <cell r="BZ22">
            <v>0</v>
          </cell>
          <cell r="CE22">
            <v>0</v>
          </cell>
          <cell r="CJ22">
            <v>0</v>
          </cell>
          <cell r="CO22">
            <v>0</v>
          </cell>
          <cell r="CT22">
            <v>0</v>
          </cell>
          <cell r="CY22">
            <v>0</v>
          </cell>
          <cell r="DD22">
            <v>0</v>
          </cell>
          <cell r="DI22">
            <v>0</v>
          </cell>
        </row>
        <row r="23">
          <cell r="B23" t="str">
            <v>Barrow Community Hospital</v>
          </cell>
          <cell r="Q23">
            <v>0</v>
          </cell>
          <cell r="V23">
            <v>0</v>
          </cell>
          <cell r="AA23">
            <v>0</v>
          </cell>
          <cell r="AF23">
            <v>0</v>
          </cell>
          <cell r="AK23">
            <v>0</v>
          </cell>
          <cell r="AP23">
            <v>0</v>
          </cell>
          <cell r="AU23">
            <v>0</v>
          </cell>
          <cell r="BA23">
            <v>0</v>
          </cell>
          <cell r="BF23">
            <v>0</v>
          </cell>
          <cell r="BG23">
            <v>5</v>
          </cell>
          <cell r="BH23">
            <v>5</v>
          </cell>
          <cell r="BI23">
            <v>5</v>
          </cell>
          <cell r="BJ23">
            <v>5</v>
          </cell>
          <cell r="BK23">
            <v>20</v>
          </cell>
          <cell r="BP23">
            <v>0</v>
          </cell>
          <cell r="BU23">
            <v>0</v>
          </cell>
          <cell r="BZ23">
            <v>0</v>
          </cell>
          <cell r="CE23">
            <v>0</v>
          </cell>
          <cell r="CJ23">
            <v>0</v>
          </cell>
          <cell r="CO23">
            <v>0</v>
          </cell>
          <cell r="CT23">
            <v>0</v>
          </cell>
          <cell r="CY23">
            <v>0</v>
          </cell>
          <cell r="DD23">
            <v>0</v>
          </cell>
          <cell r="DI23">
            <v>0</v>
          </cell>
        </row>
        <row r="24">
          <cell r="B24" t="str">
            <v>St. Joseph Hospital</v>
          </cell>
          <cell r="Q24">
            <v>0</v>
          </cell>
          <cell r="V24">
            <v>0</v>
          </cell>
          <cell r="AA24">
            <v>0</v>
          </cell>
          <cell r="AF24">
            <v>0</v>
          </cell>
          <cell r="AK24">
            <v>0</v>
          </cell>
          <cell r="AP24">
            <v>0</v>
          </cell>
          <cell r="AU24">
            <v>0</v>
          </cell>
          <cell r="BA24">
            <v>0</v>
          </cell>
          <cell r="BF24">
            <v>0</v>
          </cell>
          <cell r="BG24">
            <v>16.25</v>
          </cell>
          <cell r="BH24">
            <v>16.25</v>
          </cell>
          <cell r="BI24">
            <v>16.25</v>
          </cell>
          <cell r="BJ24">
            <v>16.25</v>
          </cell>
          <cell r="BK24">
            <v>65</v>
          </cell>
          <cell r="BP24">
            <v>0</v>
          </cell>
          <cell r="BU24">
            <v>0</v>
          </cell>
          <cell r="BZ24">
            <v>0</v>
          </cell>
          <cell r="CE24">
            <v>0</v>
          </cell>
          <cell r="CJ24">
            <v>0</v>
          </cell>
          <cell r="CO24">
            <v>0</v>
          </cell>
          <cell r="CT24">
            <v>0</v>
          </cell>
          <cell r="CY24">
            <v>0</v>
          </cell>
          <cell r="DD24">
            <v>0</v>
          </cell>
          <cell r="DI24">
            <v>0</v>
          </cell>
        </row>
        <row r="25">
          <cell r="B25" t="str">
            <v>Bartow Memorial Hospital</v>
          </cell>
          <cell r="Q25">
            <v>0</v>
          </cell>
          <cell r="V25">
            <v>0</v>
          </cell>
          <cell r="AA25">
            <v>0</v>
          </cell>
          <cell r="AF25">
            <v>0</v>
          </cell>
          <cell r="AK25">
            <v>0</v>
          </cell>
          <cell r="AP25">
            <v>0</v>
          </cell>
          <cell r="AU25">
            <v>0</v>
          </cell>
          <cell r="BA25">
            <v>0</v>
          </cell>
          <cell r="BC25">
            <v>8.25</v>
          </cell>
          <cell r="BD25">
            <v>8.25</v>
          </cell>
          <cell r="BE25">
            <v>8.25</v>
          </cell>
          <cell r="BF25">
            <v>24.75</v>
          </cell>
          <cell r="BG25">
            <v>8.25</v>
          </cell>
          <cell r="BK25">
            <v>8.25</v>
          </cell>
          <cell r="BP25">
            <v>0</v>
          </cell>
          <cell r="BU25">
            <v>0</v>
          </cell>
          <cell r="BZ25">
            <v>0</v>
          </cell>
          <cell r="CE25">
            <v>0</v>
          </cell>
          <cell r="CJ25">
            <v>0</v>
          </cell>
          <cell r="CO25">
            <v>0</v>
          </cell>
          <cell r="CT25">
            <v>0</v>
          </cell>
          <cell r="CY25">
            <v>0</v>
          </cell>
          <cell r="DD25">
            <v>0</v>
          </cell>
          <cell r="DI25">
            <v>0</v>
          </cell>
        </row>
        <row r="26">
          <cell r="B26" t="str">
            <v>Bon Secours Health System, Inc</v>
          </cell>
          <cell r="Q26">
            <v>0</v>
          </cell>
          <cell r="V26">
            <v>0</v>
          </cell>
          <cell r="AA26">
            <v>0</v>
          </cell>
          <cell r="AF26">
            <v>0</v>
          </cell>
          <cell r="AK26">
            <v>0</v>
          </cell>
          <cell r="AP26">
            <v>0</v>
          </cell>
          <cell r="AU26">
            <v>0</v>
          </cell>
          <cell r="BA26">
            <v>0</v>
          </cell>
          <cell r="BF26">
            <v>0</v>
          </cell>
          <cell r="BK26">
            <v>0</v>
          </cell>
          <cell r="BP26">
            <v>0</v>
          </cell>
          <cell r="BU26">
            <v>0</v>
          </cell>
          <cell r="BZ26">
            <v>0</v>
          </cell>
          <cell r="CE26">
            <v>0</v>
          </cell>
          <cell r="CJ26">
            <v>0</v>
          </cell>
          <cell r="CO26">
            <v>0</v>
          </cell>
          <cell r="CT26">
            <v>0</v>
          </cell>
          <cell r="CY26">
            <v>0</v>
          </cell>
          <cell r="DD26">
            <v>0</v>
          </cell>
          <cell r="DI26">
            <v>0</v>
          </cell>
        </row>
        <row r="27">
          <cell r="B27" t="str">
            <v>Chester County Hospital</v>
          </cell>
          <cell r="Q27">
            <v>0</v>
          </cell>
          <cell r="V27">
            <v>0</v>
          </cell>
          <cell r="AA27">
            <v>0</v>
          </cell>
          <cell r="AF27">
            <v>0</v>
          </cell>
          <cell r="AK27">
            <v>0</v>
          </cell>
          <cell r="AP27">
            <v>0</v>
          </cell>
          <cell r="AU27">
            <v>0</v>
          </cell>
          <cell r="BA27">
            <v>0</v>
          </cell>
          <cell r="BF27">
            <v>0</v>
          </cell>
          <cell r="BK27">
            <v>0</v>
          </cell>
          <cell r="BP27">
            <v>0</v>
          </cell>
          <cell r="BU27">
            <v>0</v>
          </cell>
          <cell r="BZ27">
            <v>0</v>
          </cell>
          <cell r="CE27">
            <v>0</v>
          </cell>
          <cell r="CJ27">
            <v>0</v>
          </cell>
          <cell r="CO27">
            <v>0</v>
          </cell>
          <cell r="CT27">
            <v>0</v>
          </cell>
          <cell r="CY27">
            <v>0</v>
          </cell>
          <cell r="DD27">
            <v>0</v>
          </cell>
          <cell r="DI27">
            <v>0</v>
          </cell>
        </row>
        <row r="28">
          <cell r="B28" t="str">
            <v>Tenet healthcare</v>
          </cell>
          <cell r="Q28">
            <v>0</v>
          </cell>
          <cell r="V28">
            <v>0</v>
          </cell>
          <cell r="AA28">
            <v>0</v>
          </cell>
          <cell r="AF28">
            <v>0</v>
          </cell>
          <cell r="AJ28">
            <v>66.666666666666671</v>
          </cell>
          <cell r="AK28">
            <v>66.666666666666671</v>
          </cell>
          <cell r="AL28">
            <v>100</v>
          </cell>
          <cell r="AM28">
            <v>100</v>
          </cell>
          <cell r="AN28">
            <v>100</v>
          </cell>
          <cell r="AO28">
            <v>33.333333333333336</v>
          </cell>
          <cell r="AP28">
            <v>333.33333333333331</v>
          </cell>
          <cell r="AU28">
            <v>0</v>
          </cell>
          <cell r="BA28">
            <v>0</v>
          </cell>
          <cell r="BF28">
            <v>0</v>
          </cell>
          <cell r="BK28">
            <v>0</v>
          </cell>
          <cell r="BP28">
            <v>0</v>
          </cell>
          <cell r="BU28">
            <v>0</v>
          </cell>
          <cell r="BZ28">
            <v>0</v>
          </cell>
          <cell r="CE28">
            <v>0</v>
          </cell>
          <cell r="CJ28">
            <v>0</v>
          </cell>
          <cell r="CO28">
            <v>0</v>
          </cell>
          <cell r="CT28">
            <v>0</v>
          </cell>
          <cell r="CY28">
            <v>0</v>
          </cell>
          <cell r="DD28">
            <v>0</v>
          </cell>
          <cell r="DI28">
            <v>0</v>
          </cell>
        </row>
        <row r="29">
          <cell r="B29" t="str">
            <v>Santa Rosa Medical Center</v>
          </cell>
          <cell r="Q29">
            <v>0</v>
          </cell>
          <cell r="V29">
            <v>0</v>
          </cell>
          <cell r="AA29">
            <v>0</v>
          </cell>
          <cell r="AF29">
            <v>0</v>
          </cell>
          <cell r="AK29">
            <v>0</v>
          </cell>
          <cell r="AP29">
            <v>0</v>
          </cell>
          <cell r="AU29">
            <v>0</v>
          </cell>
          <cell r="BA29">
            <v>0</v>
          </cell>
          <cell r="BF29">
            <v>0</v>
          </cell>
          <cell r="BK29">
            <v>0</v>
          </cell>
          <cell r="BP29">
            <v>0</v>
          </cell>
          <cell r="BU29">
            <v>0</v>
          </cell>
          <cell r="BZ29">
            <v>0</v>
          </cell>
          <cell r="CE29">
            <v>0</v>
          </cell>
          <cell r="CJ29">
            <v>0</v>
          </cell>
          <cell r="CO29">
            <v>0</v>
          </cell>
          <cell r="CT29">
            <v>0</v>
          </cell>
          <cell r="CY29">
            <v>0</v>
          </cell>
          <cell r="DD29">
            <v>0</v>
          </cell>
          <cell r="DI29">
            <v>0</v>
          </cell>
        </row>
        <row r="30">
          <cell r="B30" t="str">
            <v>Medical Center of Mesquite</v>
          </cell>
          <cell r="Q30">
            <v>0</v>
          </cell>
          <cell r="V30">
            <v>0</v>
          </cell>
          <cell r="AA30">
            <v>0</v>
          </cell>
          <cell r="AF30">
            <v>0</v>
          </cell>
          <cell r="AK30">
            <v>0</v>
          </cell>
          <cell r="AP30">
            <v>0</v>
          </cell>
          <cell r="AU30">
            <v>0</v>
          </cell>
          <cell r="BA30">
            <v>0</v>
          </cell>
          <cell r="BF30">
            <v>0</v>
          </cell>
          <cell r="BK30">
            <v>0</v>
          </cell>
          <cell r="BP30">
            <v>0</v>
          </cell>
          <cell r="BU30">
            <v>0</v>
          </cell>
          <cell r="BZ30">
            <v>0</v>
          </cell>
          <cell r="CE30">
            <v>0</v>
          </cell>
          <cell r="CJ30">
            <v>0</v>
          </cell>
          <cell r="CO30">
            <v>0</v>
          </cell>
          <cell r="CT30">
            <v>0</v>
          </cell>
          <cell r="CY30">
            <v>0</v>
          </cell>
          <cell r="DD30">
            <v>0</v>
          </cell>
          <cell r="DI30">
            <v>0</v>
          </cell>
        </row>
        <row r="31">
          <cell r="B31" t="str">
            <v>Jamestown Regional Medical Center</v>
          </cell>
          <cell r="Q31">
            <v>0</v>
          </cell>
          <cell r="V31">
            <v>0</v>
          </cell>
          <cell r="AA31">
            <v>0</v>
          </cell>
          <cell r="AF31">
            <v>0</v>
          </cell>
          <cell r="AK31">
            <v>0</v>
          </cell>
          <cell r="AP31">
            <v>0</v>
          </cell>
          <cell r="AU31">
            <v>0</v>
          </cell>
          <cell r="BA31">
            <v>0</v>
          </cell>
          <cell r="BF31">
            <v>0</v>
          </cell>
          <cell r="BK31">
            <v>0</v>
          </cell>
          <cell r="BP31">
            <v>0</v>
          </cell>
          <cell r="BU31">
            <v>0</v>
          </cell>
          <cell r="BZ31">
            <v>0</v>
          </cell>
          <cell r="CE31">
            <v>0</v>
          </cell>
          <cell r="CJ31">
            <v>0</v>
          </cell>
          <cell r="CO31">
            <v>0</v>
          </cell>
          <cell r="CT31">
            <v>0</v>
          </cell>
          <cell r="CY31">
            <v>0</v>
          </cell>
          <cell r="DD31">
            <v>0</v>
          </cell>
          <cell r="DI31">
            <v>0</v>
          </cell>
        </row>
        <row r="32">
          <cell r="B32" t="str">
            <v>Mesquite Community Hospital</v>
          </cell>
          <cell r="Q32">
            <v>0</v>
          </cell>
          <cell r="V32">
            <v>0</v>
          </cell>
          <cell r="AA32">
            <v>0</v>
          </cell>
          <cell r="AF32">
            <v>0</v>
          </cell>
          <cell r="AK32">
            <v>0</v>
          </cell>
          <cell r="AP32">
            <v>0</v>
          </cell>
          <cell r="AU32">
            <v>0</v>
          </cell>
          <cell r="BA32">
            <v>0</v>
          </cell>
          <cell r="BF32">
            <v>0</v>
          </cell>
          <cell r="BK32">
            <v>0</v>
          </cell>
          <cell r="BP32">
            <v>0</v>
          </cell>
          <cell r="BU32">
            <v>0</v>
          </cell>
          <cell r="BZ32">
            <v>0</v>
          </cell>
          <cell r="CE32">
            <v>0</v>
          </cell>
          <cell r="CJ32">
            <v>0</v>
          </cell>
          <cell r="CO32">
            <v>0</v>
          </cell>
          <cell r="CT32">
            <v>0</v>
          </cell>
          <cell r="CY32">
            <v>0</v>
          </cell>
          <cell r="DD32">
            <v>0</v>
          </cell>
          <cell r="DI32">
            <v>0</v>
          </cell>
        </row>
        <row r="33">
          <cell r="B33" t="str">
            <v xml:space="preserve">Lehigh Regional Medical Center </v>
          </cell>
          <cell r="Q33">
            <v>0</v>
          </cell>
          <cell r="V33">
            <v>0</v>
          </cell>
          <cell r="AA33">
            <v>0</v>
          </cell>
          <cell r="AF33">
            <v>0</v>
          </cell>
          <cell r="AK33">
            <v>0</v>
          </cell>
          <cell r="AP33">
            <v>0</v>
          </cell>
          <cell r="AU33">
            <v>0</v>
          </cell>
          <cell r="BA33">
            <v>0</v>
          </cell>
          <cell r="BF33">
            <v>0</v>
          </cell>
          <cell r="BK33">
            <v>0</v>
          </cell>
          <cell r="BP33">
            <v>0</v>
          </cell>
          <cell r="BU33">
            <v>0</v>
          </cell>
          <cell r="BZ33">
            <v>0</v>
          </cell>
          <cell r="CE33">
            <v>0</v>
          </cell>
          <cell r="CJ33">
            <v>0</v>
          </cell>
          <cell r="CO33">
            <v>0</v>
          </cell>
          <cell r="CT33">
            <v>0</v>
          </cell>
          <cell r="CY33">
            <v>0</v>
          </cell>
          <cell r="DD33">
            <v>0</v>
          </cell>
          <cell r="DI33">
            <v>0</v>
          </cell>
        </row>
        <row r="34">
          <cell r="B34" t="str">
            <v xml:space="preserve">Lee Regional Medical Center </v>
          </cell>
          <cell r="Q34">
            <v>0</v>
          </cell>
          <cell r="V34">
            <v>0</v>
          </cell>
          <cell r="AA34">
            <v>0</v>
          </cell>
          <cell r="AF34">
            <v>0</v>
          </cell>
          <cell r="AK34">
            <v>0</v>
          </cell>
          <cell r="AP34">
            <v>0</v>
          </cell>
          <cell r="AU34">
            <v>0</v>
          </cell>
          <cell r="BA34">
            <v>0</v>
          </cell>
          <cell r="BF34">
            <v>0</v>
          </cell>
          <cell r="BK34">
            <v>0</v>
          </cell>
          <cell r="BP34">
            <v>0</v>
          </cell>
          <cell r="BU34">
            <v>0</v>
          </cell>
          <cell r="BZ34">
            <v>0</v>
          </cell>
          <cell r="CE34">
            <v>0</v>
          </cell>
          <cell r="CJ34">
            <v>0</v>
          </cell>
          <cell r="CO34">
            <v>0</v>
          </cell>
          <cell r="CT34">
            <v>0</v>
          </cell>
          <cell r="CY34">
            <v>0</v>
          </cell>
          <cell r="DD34">
            <v>0</v>
          </cell>
          <cell r="DI34">
            <v>0</v>
          </cell>
        </row>
        <row r="35">
          <cell r="B35" t="str">
            <v xml:space="preserve">Carlisle Regional Medical Center </v>
          </cell>
          <cell r="Q35">
            <v>0</v>
          </cell>
          <cell r="V35">
            <v>0</v>
          </cell>
          <cell r="AA35">
            <v>0</v>
          </cell>
          <cell r="AF35">
            <v>0</v>
          </cell>
          <cell r="AK35">
            <v>0</v>
          </cell>
          <cell r="AP35">
            <v>0</v>
          </cell>
          <cell r="AU35">
            <v>0</v>
          </cell>
          <cell r="BA35">
            <v>0</v>
          </cell>
          <cell r="BF35">
            <v>0</v>
          </cell>
          <cell r="BK35">
            <v>0</v>
          </cell>
          <cell r="BP35">
            <v>0</v>
          </cell>
          <cell r="BU35">
            <v>0</v>
          </cell>
          <cell r="BZ35">
            <v>0</v>
          </cell>
          <cell r="CE35">
            <v>0</v>
          </cell>
          <cell r="CJ35">
            <v>0</v>
          </cell>
          <cell r="CO35">
            <v>0</v>
          </cell>
          <cell r="CT35">
            <v>0</v>
          </cell>
          <cell r="CY35">
            <v>0</v>
          </cell>
          <cell r="DD35">
            <v>0</v>
          </cell>
          <cell r="DI35">
            <v>0</v>
          </cell>
        </row>
        <row r="36">
          <cell r="B36" t="str">
            <v>Future Acquisitions</v>
          </cell>
          <cell r="CO36">
            <v>0</v>
          </cell>
          <cell r="CP36">
            <v>0</v>
          </cell>
          <cell r="CT36">
            <v>0</v>
          </cell>
          <cell r="CY36">
            <v>0</v>
          </cell>
          <cell r="DD36">
            <v>0</v>
          </cell>
          <cell r="DI36">
            <v>0</v>
          </cell>
        </row>
        <row r="37">
          <cell r="B37" t="str">
            <v>Outpatient/Other</v>
          </cell>
          <cell r="E37" t="str">
            <v>NM</v>
          </cell>
          <cell r="F37" t="str">
            <v>NM</v>
          </cell>
          <cell r="G37" t="str">
            <v>NM</v>
          </cell>
          <cell r="H37" t="str">
            <v>NM</v>
          </cell>
          <cell r="I37" t="str">
            <v>NM</v>
          </cell>
          <cell r="J37" t="str">
            <v>NM</v>
          </cell>
          <cell r="K37" t="str">
            <v>NM</v>
          </cell>
          <cell r="L37" t="str">
            <v>NM</v>
          </cell>
          <cell r="M37" t="str">
            <v>NM</v>
          </cell>
          <cell r="N37" t="str">
            <v>NM</v>
          </cell>
          <cell r="O37" t="str">
            <v>NM</v>
          </cell>
          <cell r="P37" t="str">
            <v>NM</v>
          </cell>
          <cell r="Q37">
            <v>0</v>
          </cell>
          <cell r="R37" t="str">
            <v>NM</v>
          </cell>
          <cell r="S37" t="str">
            <v>NM</v>
          </cell>
          <cell r="T37" t="str">
            <v>NM</v>
          </cell>
          <cell r="U37" t="str">
            <v>NM</v>
          </cell>
          <cell r="V37">
            <v>0</v>
          </cell>
          <cell r="W37" t="str">
            <v>NM</v>
          </cell>
          <cell r="X37" t="str">
            <v>NM</v>
          </cell>
          <cell r="Y37" t="str">
            <v>NM</v>
          </cell>
          <cell r="Z37" t="str">
            <v>NM</v>
          </cell>
          <cell r="AA37">
            <v>0</v>
          </cell>
          <cell r="AB37" t="str">
            <v>NM</v>
          </cell>
          <cell r="AC37" t="str">
            <v>NM</v>
          </cell>
          <cell r="AD37" t="str">
            <v>NM</v>
          </cell>
          <cell r="AE37" t="str">
            <v>NM</v>
          </cell>
          <cell r="AF37">
            <v>0</v>
          </cell>
          <cell r="AG37" t="str">
            <v>NM</v>
          </cell>
          <cell r="AH37">
            <v>27.70799999999997</v>
          </cell>
          <cell r="AI37" t="str">
            <v>NM</v>
          </cell>
          <cell r="AJ37">
            <v>-44.153666666666638</v>
          </cell>
          <cell r="AK37">
            <v>-16.445666666666668</v>
          </cell>
          <cell r="AL37">
            <v>5.07000000000005</v>
          </cell>
          <cell r="AM37">
            <v>48.493000000000052</v>
          </cell>
          <cell r="AN37">
            <v>45.673000000000002</v>
          </cell>
          <cell r="AO37">
            <v>107.88566666666659</v>
          </cell>
          <cell r="AP37">
            <v>207.12166666666673</v>
          </cell>
          <cell r="AQ37">
            <v>110.322</v>
          </cell>
          <cell r="AR37">
            <v>58.273000000000025</v>
          </cell>
          <cell r="AS37">
            <v>84.672000000000025</v>
          </cell>
          <cell r="AT37">
            <v>89.002999999999929</v>
          </cell>
          <cell r="AU37">
            <v>342.27</v>
          </cell>
          <cell r="AW37">
            <v>148.49300000000005</v>
          </cell>
          <cell r="AX37">
            <v>145.673</v>
          </cell>
          <cell r="AY37">
            <v>141.21899999999994</v>
          </cell>
          <cell r="AZ37">
            <v>110.322</v>
          </cell>
          <cell r="BA37">
            <v>545.70699999999999</v>
          </cell>
          <cell r="BB37">
            <v>58.273000000000025</v>
          </cell>
          <cell r="BC37">
            <v>76.422000000000025</v>
          </cell>
          <cell r="BD37">
            <v>80.752999999999929</v>
          </cell>
          <cell r="BE37">
            <v>81.412000000000035</v>
          </cell>
          <cell r="BF37">
            <v>296.86</v>
          </cell>
          <cell r="BG37">
            <v>79.585000000000036</v>
          </cell>
          <cell r="BH37">
            <v>30.078999999999951</v>
          </cell>
          <cell r="BI37">
            <v>36.250999999999976</v>
          </cell>
          <cell r="BJ37">
            <v>53.002999999999929</v>
          </cell>
          <cell r="BK37">
            <v>198.91799999999989</v>
          </cell>
          <cell r="BL37">
            <v>72.176999999999907</v>
          </cell>
          <cell r="BM37">
            <v>72.965000000000146</v>
          </cell>
          <cell r="BN37">
            <v>15.734000000000151</v>
          </cell>
          <cell r="BO37">
            <v>25.264000000000124</v>
          </cell>
          <cell r="BP37">
            <v>186.14000000000033</v>
          </cell>
          <cell r="BQ37">
            <v>18.756999999999834</v>
          </cell>
          <cell r="BR37">
            <v>0</v>
          </cell>
          <cell r="BS37">
            <v>0</v>
          </cell>
          <cell r="BT37">
            <v>0</v>
          </cell>
          <cell r="BU37">
            <v>18.756999999999834</v>
          </cell>
          <cell r="BV37">
            <v>0</v>
          </cell>
          <cell r="BW37">
            <v>0</v>
          </cell>
          <cell r="BX37">
            <v>0</v>
          </cell>
          <cell r="BY37">
            <v>1.3736666666665478</v>
          </cell>
          <cell r="BZ37">
            <v>1.3736666666665478</v>
          </cell>
          <cell r="CA37">
            <v>6.2029999999999745</v>
          </cell>
          <cell r="CB37">
            <v>8.5399999999999636</v>
          </cell>
          <cell r="CC37">
            <v>1.2040000000001783</v>
          </cell>
          <cell r="CD37">
            <v>0.74233333333322093</v>
          </cell>
          <cell r="CE37">
            <v>16.689333333333366</v>
          </cell>
          <cell r="CF37">
            <v>0.67000000000007276</v>
          </cell>
          <cell r="CG37">
            <v>6.20900000000006</v>
          </cell>
          <cell r="CH37">
            <v>7.4819999999999709</v>
          </cell>
          <cell r="CI37">
            <v>2.0919999999998709</v>
          </cell>
          <cell r="CJ37">
            <v>16.452999999999975</v>
          </cell>
          <cell r="CK37">
            <v>6.5679999999999836</v>
          </cell>
          <cell r="CL37">
            <v>15.140999999999849</v>
          </cell>
          <cell r="CM37">
            <v>13.436999999999898</v>
          </cell>
          <cell r="CN37">
            <v>6</v>
          </cell>
          <cell r="CO37">
            <v>41.145999999999731</v>
          </cell>
          <cell r="CT37">
            <v>0</v>
          </cell>
          <cell r="CY37">
            <v>0</v>
          </cell>
          <cell r="DD37">
            <v>0</v>
          </cell>
          <cell r="DI37">
            <v>0</v>
          </cell>
        </row>
        <row r="38">
          <cell r="B38" t="str">
            <v>Acquired Revenue</v>
          </cell>
          <cell r="E38" t="str">
            <v>NM</v>
          </cell>
          <cell r="F38" t="str">
            <v>NM</v>
          </cell>
          <cell r="G38" t="str">
            <v>NM</v>
          </cell>
          <cell r="H38" t="str">
            <v>NM</v>
          </cell>
          <cell r="I38" t="str">
            <v>NM</v>
          </cell>
          <cell r="J38" t="str">
            <v>NM</v>
          </cell>
          <cell r="K38" t="str">
            <v>NM</v>
          </cell>
          <cell r="L38" t="str">
            <v>NM</v>
          </cell>
          <cell r="M38" t="str">
            <v>NM</v>
          </cell>
          <cell r="N38" t="str">
            <v>NM</v>
          </cell>
          <cell r="O38" t="str">
            <v>NM</v>
          </cell>
          <cell r="P38" t="str">
            <v>NM</v>
          </cell>
          <cell r="Q38">
            <v>0</v>
          </cell>
          <cell r="R38" t="str">
            <v>NM</v>
          </cell>
          <cell r="S38" t="str">
            <v>NM</v>
          </cell>
          <cell r="T38" t="str">
            <v>NM</v>
          </cell>
          <cell r="U38" t="str">
            <v>NM</v>
          </cell>
          <cell r="V38">
            <v>0</v>
          </cell>
          <cell r="W38" t="str">
            <v>NM</v>
          </cell>
          <cell r="X38" t="str">
            <v>NM</v>
          </cell>
          <cell r="Y38" t="str">
            <v>NM</v>
          </cell>
          <cell r="Z38" t="str">
            <v>NM</v>
          </cell>
          <cell r="AA38">
            <v>0</v>
          </cell>
          <cell r="AB38" t="str">
            <v>NM</v>
          </cell>
          <cell r="AC38" t="str">
            <v>NM</v>
          </cell>
          <cell r="AD38" t="str">
            <v>NM</v>
          </cell>
          <cell r="AE38" t="str">
            <v>NM</v>
          </cell>
          <cell r="AF38">
            <v>0</v>
          </cell>
          <cell r="AG38" t="str">
            <v>NM</v>
          </cell>
          <cell r="AH38">
            <v>27.70799999999997</v>
          </cell>
          <cell r="AI38" t="str">
            <v>NM</v>
          </cell>
          <cell r="AJ38">
            <v>22.513000000000034</v>
          </cell>
          <cell r="AK38">
            <v>50.221000000000004</v>
          </cell>
          <cell r="AL38">
            <v>105.07000000000005</v>
          </cell>
          <cell r="AM38">
            <v>148.49300000000005</v>
          </cell>
          <cell r="AN38">
            <v>145.673</v>
          </cell>
          <cell r="AO38">
            <v>141.21899999999994</v>
          </cell>
          <cell r="AP38">
            <v>540.45500000000004</v>
          </cell>
          <cell r="AQ38">
            <v>110.322</v>
          </cell>
          <cell r="AR38">
            <v>58.273000000000025</v>
          </cell>
          <cell r="AS38">
            <v>84.672000000000025</v>
          </cell>
          <cell r="AT38">
            <v>89.002999999999929</v>
          </cell>
          <cell r="AU38">
            <v>342.27</v>
          </cell>
          <cell r="AW38">
            <v>148.49300000000005</v>
          </cell>
          <cell r="AX38">
            <v>145.673</v>
          </cell>
          <cell r="AY38">
            <v>141.21899999999994</v>
          </cell>
          <cell r="AZ38">
            <v>110.322</v>
          </cell>
          <cell r="BA38">
            <v>545.70699999999999</v>
          </cell>
          <cell r="BB38">
            <v>58.273000000000025</v>
          </cell>
          <cell r="BC38">
            <v>84.672000000000025</v>
          </cell>
          <cell r="BD38">
            <v>89.002999999999929</v>
          </cell>
          <cell r="BE38">
            <v>89.662000000000035</v>
          </cell>
          <cell r="BF38">
            <v>321.61</v>
          </cell>
          <cell r="BG38">
            <v>116.58500000000004</v>
          </cell>
          <cell r="BH38">
            <v>62.578999999999951</v>
          </cell>
          <cell r="BI38">
            <v>68.750999999999976</v>
          </cell>
          <cell r="BJ38">
            <v>85.502999999999929</v>
          </cell>
          <cell r="BK38">
            <v>333.41799999999989</v>
          </cell>
          <cell r="BL38">
            <v>75.926999999999907</v>
          </cell>
          <cell r="BM38">
            <v>72.965000000000146</v>
          </cell>
          <cell r="BN38">
            <v>15.734000000000151</v>
          </cell>
          <cell r="BO38">
            <v>25.264000000000124</v>
          </cell>
          <cell r="BP38">
            <v>189.89000000000033</v>
          </cell>
          <cell r="BQ38">
            <v>18.756999999999834</v>
          </cell>
          <cell r="BR38">
            <v>0</v>
          </cell>
          <cell r="BS38">
            <v>0</v>
          </cell>
          <cell r="BT38">
            <v>0</v>
          </cell>
          <cell r="BU38">
            <v>18.756999999999834</v>
          </cell>
          <cell r="BV38">
            <v>0</v>
          </cell>
          <cell r="BW38">
            <v>0</v>
          </cell>
          <cell r="BX38">
            <v>0</v>
          </cell>
          <cell r="BY38">
            <v>22.20699999999988</v>
          </cell>
          <cell r="BZ38">
            <v>22.20699999999988</v>
          </cell>
          <cell r="CA38">
            <v>68.702999999999975</v>
          </cell>
          <cell r="CB38">
            <v>71.039999999999964</v>
          </cell>
          <cell r="CC38">
            <v>91.204000000000178</v>
          </cell>
          <cell r="CD38">
            <v>142.40899999999988</v>
          </cell>
          <cell r="CE38">
            <v>373.35599999999999</v>
          </cell>
          <cell r="CF38">
            <v>100.67000000000007</v>
          </cell>
          <cell r="CG38">
            <v>113.70900000000006</v>
          </cell>
          <cell r="CH38">
            <v>91.231999999999971</v>
          </cell>
          <cell r="CI38">
            <v>163.34199999999987</v>
          </cell>
          <cell r="CJ38">
            <v>468.95299999999997</v>
          </cell>
          <cell r="CK38">
            <v>167.81799999999998</v>
          </cell>
          <cell r="CL38">
            <v>192.64099999999985</v>
          </cell>
          <cell r="CM38">
            <v>187.1869999999999</v>
          </cell>
          <cell r="CN38">
            <v>29.75</v>
          </cell>
          <cell r="CO38">
            <v>577.39599999999973</v>
          </cell>
          <cell r="CP38">
            <v>23.75</v>
          </cell>
          <cell r="CQ38">
            <v>0</v>
          </cell>
          <cell r="CR38">
            <v>0</v>
          </cell>
          <cell r="CS38">
            <v>0</v>
          </cell>
          <cell r="CT38">
            <v>23.75</v>
          </cell>
          <cell r="CU38">
            <v>0</v>
          </cell>
          <cell r="CV38">
            <v>0</v>
          </cell>
          <cell r="CW38">
            <v>0</v>
          </cell>
          <cell r="CX38">
            <v>0</v>
          </cell>
          <cell r="CY38">
            <v>31.25</v>
          </cell>
          <cell r="CZ38">
            <v>0</v>
          </cell>
          <cell r="DA38">
            <v>0</v>
          </cell>
          <cell r="DB38">
            <v>0</v>
          </cell>
          <cell r="DC38">
            <v>0</v>
          </cell>
          <cell r="DD38">
            <v>0</v>
          </cell>
          <cell r="DE38">
            <v>0</v>
          </cell>
          <cell r="DF38">
            <v>0</v>
          </cell>
          <cell r="DG38">
            <v>0</v>
          </cell>
          <cell r="DH38">
            <v>0</v>
          </cell>
          <cell r="DI38">
            <v>0</v>
          </cell>
        </row>
        <row r="39">
          <cell r="B39" t="str">
            <v>Estimated Acquired Revenue</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27.70799999999997</v>
          </cell>
          <cell r="AI39">
            <v>0</v>
          </cell>
          <cell r="AJ39">
            <v>22.513000000000034</v>
          </cell>
          <cell r="AK39">
            <v>50.221000000000004</v>
          </cell>
          <cell r="AL39">
            <v>105.07000000000005</v>
          </cell>
          <cell r="AM39">
            <v>148.49300000000005</v>
          </cell>
          <cell r="AN39">
            <v>145.673</v>
          </cell>
          <cell r="AO39">
            <v>141.21899999999994</v>
          </cell>
          <cell r="AP39">
            <v>540.45500000000004</v>
          </cell>
          <cell r="AQ39">
            <v>110.322</v>
          </cell>
          <cell r="AR39">
            <v>58.273000000000025</v>
          </cell>
          <cell r="AS39">
            <v>84.672000000000025</v>
          </cell>
          <cell r="AT39">
            <v>89.002999999999929</v>
          </cell>
          <cell r="AU39">
            <v>342.27</v>
          </cell>
          <cell r="AW39">
            <v>148.49300000000005</v>
          </cell>
          <cell r="AX39">
            <v>145.673</v>
          </cell>
          <cell r="AY39">
            <v>141.21899999999994</v>
          </cell>
          <cell r="AZ39">
            <v>110.322</v>
          </cell>
          <cell r="BA39">
            <v>545.70699999999999</v>
          </cell>
          <cell r="BB39">
            <v>58.273000000000025</v>
          </cell>
          <cell r="BC39">
            <v>84.672000000000025</v>
          </cell>
          <cell r="BD39">
            <v>89.002999999999929</v>
          </cell>
          <cell r="BE39">
            <v>89.662000000000035</v>
          </cell>
          <cell r="BF39">
            <v>321.61</v>
          </cell>
          <cell r="BG39">
            <v>116.58500000000004</v>
          </cell>
          <cell r="BH39">
            <v>62.578999999999951</v>
          </cell>
          <cell r="BI39">
            <v>68.750999999999976</v>
          </cell>
          <cell r="BJ39">
            <v>85.502999999999929</v>
          </cell>
          <cell r="BK39">
            <v>333.41799999999989</v>
          </cell>
          <cell r="BL39">
            <v>75.926999999999907</v>
          </cell>
          <cell r="BM39">
            <v>72.965000000000146</v>
          </cell>
          <cell r="BN39">
            <v>15.734000000000151</v>
          </cell>
          <cell r="BO39">
            <v>25.264000000000124</v>
          </cell>
          <cell r="BP39">
            <v>189.89000000000033</v>
          </cell>
          <cell r="BQ39">
            <v>18.756999999999834</v>
          </cell>
          <cell r="BR39">
            <v>0</v>
          </cell>
          <cell r="BS39">
            <v>0</v>
          </cell>
          <cell r="BT39">
            <v>0</v>
          </cell>
          <cell r="BU39">
            <v>18.756999999999834</v>
          </cell>
          <cell r="BV39">
            <v>0</v>
          </cell>
          <cell r="BW39">
            <v>0</v>
          </cell>
          <cell r="BX39">
            <v>0</v>
          </cell>
          <cell r="BY39">
            <v>22.20699999999988</v>
          </cell>
          <cell r="BZ39">
            <v>22.20699999999988</v>
          </cell>
          <cell r="CA39">
            <v>68.702999999999975</v>
          </cell>
          <cell r="CB39">
            <v>71.039999999999964</v>
          </cell>
          <cell r="CC39">
            <v>91.204000000000178</v>
          </cell>
          <cell r="CD39">
            <v>142.40899999999988</v>
          </cell>
          <cell r="CE39">
            <v>373.35599999999999</v>
          </cell>
          <cell r="CF39">
            <v>100.67000000000007</v>
          </cell>
          <cell r="CG39">
            <v>113.70900000000006</v>
          </cell>
          <cell r="CH39">
            <v>91.231999999999971</v>
          </cell>
          <cell r="CI39">
            <v>163.34199999999987</v>
          </cell>
          <cell r="CJ39">
            <v>468.95299999999997</v>
          </cell>
          <cell r="CK39">
            <v>167.81799999999998</v>
          </cell>
          <cell r="CL39">
            <v>192.64099999999985</v>
          </cell>
          <cell r="CM39">
            <v>187.1869999999999</v>
          </cell>
          <cell r="CN39">
            <v>29.75</v>
          </cell>
          <cell r="CO39">
            <v>577.39599999999973</v>
          </cell>
          <cell r="CP39">
            <v>23.75</v>
          </cell>
          <cell r="CQ39">
            <v>0</v>
          </cell>
          <cell r="CR39">
            <v>0</v>
          </cell>
          <cell r="CS39">
            <v>0</v>
          </cell>
          <cell r="CT39">
            <v>23.75</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row>
        <row r="40">
          <cell r="B40" t="str">
            <v>Acquired Admissions</v>
          </cell>
          <cell r="AW40">
            <v>12773</v>
          </cell>
          <cell r="AX40">
            <v>11873</v>
          </cell>
          <cell r="AY40">
            <v>11541</v>
          </cell>
          <cell r="AZ40">
            <v>9758</v>
          </cell>
          <cell r="BA40">
            <v>45945</v>
          </cell>
          <cell r="BB40">
            <v>4242</v>
          </cell>
          <cell r="BC40">
            <v>5941</v>
          </cell>
          <cell r="BD40">
            <v>5421</v>
          </cell>
          <cell r="BE40">
            <v>6040</v>
          </cell>
          <cell r="BF40">
            <v>21644</v>
          </cell>
          <cell r="BG40">
            <v>8969</v>
          </cell>
          <cell r="BH40">
            <v>3042</v>
          </cell>
          <cell r="BI40">
            <v>3461</v>
          </cell>
          <cell r="BJ40">
            <v>4029</v>
          </cell>
          <cell r="BK40">
            <v>19501</v>
          </cell>
          <cell r="BL40">
            <v>3688</v>
          </cell>
          <cell r="BM40">
            <v>2519</v>
          </cell>
          <cell r="BN40">
            <v>656</v>
          </cell>
          <cell r="BO40">
            <v>1677</v>
          </cell>
          <cell r="BP40">
            <v>8540</v>
          </cell>
          <cell r="BQ40">
            <v>1249</v>
          </cell>
          <cell r="BR40">
            <v>0</v>
          </cell>
          <cell r="BS40">
            <v>0</v>
          </cell>
          <cell r="BT40">
            <v>0</v>
          </cell>
          <cell r="BV40">
            <v>0</v>
          </cell>
          <cell r="BW40">
            <v>0</v>
          </cell>
          <cell r="BX40">
            <v>0</v>
          </cell>
          <cell r="BY40">
            <v>1361</v>
          </cell>
          <cell r="CA40">
            <v>3990</v>
          </cell>
          <cell r="CB40">
            <v>4220</v>
          </cell>
          <cell r="CC40">
            <v>5932</v>
          </cell>
          <cell r="CD40">
            <v>8716</v>
          </cell>
          <cell r="CE40">
            <v>22858</v>
          </cell>
          <cell r="CF40">
            <v>6883</v>
          </cell>
          <cell r="CG40">
            <v>6817</v>
          </cell>
          <cell r="CH40">
            <v>5200</v>
          </cell>
          <cell r="CI40">
            <v>8684</v>
          </cell>
          <cell r="CJ40">
            <v>27584</v>
          </cell>
          <cell r="CK40">
            <v>8923</v>
          </cell>
          <cell r="CL40">
            <v>8979</v>
          </cell>
          <cell r="CM40">
            <v>9506.8495256284168</v>
          </cell>
          <cell r="CN40">
            <v>1486.1304933632218</v>
          </cell>
          <cell r="CO40">
            <v>28894.980018991635</v>
          </cell>
          <cell r="CP40">
            <v>1240.5621454619409</v>
          </cell>
          <cell r="CQ40">
            <v>0</v>
          </cell>
          <cell r="CR40">
            <v>0</v>
          </cell>
          <cell r="CS40">
            <v>0</v>
          </cell>
          <cell r="CT40">
            <v>1240.5621454619409</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row>
        <row r="41">
          <cell r="B41" t="str">
            <v>Acquired Adjusted Admissions</v>
          </cell>
          <cell r="AW41">
            <v>22465</v>
          </cell>
          <cell r="AX41">
            <v>20877</v>
          </cell>
          <cell r="AY41">
            <v>20659</v>
          </cell>
          <cell r="AZ41">
            <v>17638</v>
          </cell>
          <cell r="BA41">
            <v>81639</v>
          </cell>
          <cell r="BB41">
            <v>6616</v>
          </cell>
          <cell r="BC41">
            <v>9874</v>
          </cell>
          <cell r="BD41">
            <v>9010</v>
          </cell>
          <cell r="BE41">
            <v>10038</v>
          </cell>
          <cell r="BF41">
            <v>35538</v>
          </cell>
          <cell r="BG41">
            <v>14780</v>
          </cell>
          <cell r="BH41">
            <v>6512</v>
          </cell>
          <cell r="BI41">
            <v>6958</v>
          </cell>
          <cell r="BJ41">
            <v>7670</v>
          </cell>
          <cell r="BK41">
            <v>35920</v>
          </cell>
          <cell r="BL41">
            <v>6775</v>
          </cell>
          <cell r="BM41">
            <v>8658</v>
          </cell>
          <cell r="BN41">
            <v>1035</v>
          </cell>
          <cell r="BO41">
            <v>2856</v>
          </cell>
          <cell r="BP41">
            <v>19324</v>
          </cell>
          <cell r="BQ41">
            <v>1900</v>
          </cell>
          <cell r="BR41">
            <v>0</v>
          </cell>
          <cell r="BS41">
            <v>0</v>
          </cell>
          <cell r="BT41">
            <v>0</v>
          </cell>
          <cell r="BV41">
            <v>0</v>
          </cell>
          <cell r="BW41">
            <v>0</v>
          </cell>
          <cell r="BX41">
            <v>0</v>
          </cell>
          <cell r="BY41">
            <v>2543</v>
          </cell>
          <cell r="CA41">
            <v>7144</v>
          </cell>
          <cell r="CB41">
            <v>7758</v>
          </cell>
          <cell r="CC41">
            <v>11806</v>
          </cell>
          <cell r="CD41">
            <v>16950</v>
          </cell>
          <cell r="CE41">
            <v>43658</v>
          </cell>
          <cell r="CF41">
            <v>12743</v>
          </cell>
          <cell r="CG41">
            <v>13015</v>
          </cell>
          <cell r="CH41">
            <v>9743</v>
          </cell>
          <cell r="CI41">
            <v>19253</v>
          </cell>
          <cell r="CJ41">
            <v>54754</v>
          </cell>
          <cell r="CK41">
            <v>19156</v>
          </cell>
          <cell r="CL41">
            <v>20286</v>
          </cell>
          <cell r="CM41">
            <v>19215.499620853072</v>
          </cell>
          <cell r="CN41">
            <v>2984.3153759290235</v>
          </cell>
          <cell r="CO41">
            <v>61641.814996782094</v>
          </cell>
          <cell r="CP41">
            <v>2410.7978890812142</v>
          </cell>
          <cell r="CQ41">
            <v>0</v>
          </cell>
          <cell r="CR41">
            <v>0</v>
          </cell>
          <cell r="CS41">
            <v>0</v>
          </cell>
          <cell r="CT41">
            <v>2410.7978890812142</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row>
        <row r="46">
          <cell r="B46" t="str">
            <v>Facilities</v>
          </cell>
        </row>
        <row r="47">
          <cell r="B47" t="str">
            <v>Hospitals - beg. of period</v>
          </cell>
          <cell r="E47">
            <v>0</v>
          </cell>
          <cell r="F47">
            <v>16</v>
          </cell>
          <cell r="G47">
            <v>16</v>
          </cell>
          <cell r="H47">
            <v>20</v>
          </cell>
          <cell r="I47">
            <v>21</v>
          </cell>
          <cell r="J47">
            <v>23</v>
          </cell>
          <cell r="K47">
            <v>25</v>
          </cell>
          <cell r="L47">
            <v>26</v>
          </cell>
          <cell r="M47">
            <v>32</v>
          </cell>
          <cell r="N47" t="str">
            <v>ND</v>
          </cell>
          <cell r="O47" t="str">
            <v>ND</v>
          </cell>
          <cell r="P47" t="str">
            <v>ND</v>
          </cell>
          <cell r="Q47">
            <v>32</v>
          </cell>
          <cell r="R47">
            <v>36</v>
          </cell>
          <cell r="S47" t="str">
            <v>ND</v>
          </cell>
          <cell r="T47" t="str">
            <v>ND</v>
          </cell>
          <cell r="U47" t="str">
            <v>ND</v>
          </cell>
          <cell r="V47">
            <v>36</v>
          </cell>
          <cell r="W47">
            <v>37</v>
          </cell>
          <cell r="X47" t="str">
            <v>ND</v>
          </cell>
          <cell r="Y47" t="str">
            <v>ND</v>
          </cell>
          <cell r="Z47" t="str">
            <v>ND</v>
          </cell>
          <cell r="AA47">
            <v>37</v>
          </cell>
          <cell r="AB47">
            <v>38</v>
          </cell>
          <cell r="AC47" t="str">
            <v>ND</v>
          </cell>
          <cell r="AD47" t="str">
            <v>ND</v>
          </cell>
          <cell r="AE47" t="str">
            <v>ND</v>
          </cell>
          <cell r="AF47">
            <v>38</v>
          </cell>
          <cell r="AG47">
            <v>43</v>
          </cell>
          <cell r="AH47" t="str">
            <v>ND</v>
          </cell>
          <cell r="AI47">
            <v>46</v>
          </cell>
          <cell r="AJ47" t="str">
            <v>ND</v>
          </cell>
          <cell r="AK47">
            <v>43</v>
          </cell>
          <cell r="AL47">
            <v>47</v>
          </cell>
          <cell r="AM47">
            <v>52</v>
          </cell>
          <cell r="AN47">
            <v>52</v>
          </cell>
          <cell r="AO47">
            <v>52</v>
          </cell>
          <cell r="AP47">
            <v>47</v>
          </cell>
          <cell r="AQ47">
            <v>53</v>
          </cell>
          <cell r="AR47">
            <v>56</v>
          </cell>
          <cell r="AS47">
            <v>57</v>
          </cell>
          <cell r="AT47">
            <v>57</v>
          </cell>
          <cell r="AU47">
            <v>60</v>
          </cell>
          <cell r="AW47">
            <v>52</v>
          </cell>
          <cell r="AX47">
            <v>52</v>
          </cell>
          <cell r="AY47">
            <v>52</v>
          </cell>
          <cell r="AZ47">
            <v>53</v>
          </cell>
          <cell r="BA47">
            <v>52</v>
          </cell>
          <cell r="BB47">
            <v>56</v>
          </cell>
          <cell r="BC47">
            <v>57</v>
          </cell>
          <cell r="BD47">
            <v>57</v>
          </cell>
          <cell r="BE47">
            <v>60</v>
          </cell>
          <cell r="BF47">
            <v>56</v>
          </cell>
          <cell r="BG47">
            <v>57</v>
          </cell>
          <cell r="BH47">
            <v>60</v>
          </cell>
          <cell r="BI47">
            <v>62</v>
          </cell>
          <cell r="BJ47">
            <v>60</v>
          </cell>
          <cell r="BK47">
            <v>60</v>
          </cell>
          <cell r="BL47">
            <v>60</v>
          </cell>
          <cell r="BM47">
            <v>61</v>
          </cell>
          <cell r="BN47">
            <v>61</v>
          </cell>
          <cell r="BO47">
            <v>59</v>
          </cell>
          <cell r="BP47">
            <v>60</v>
          </cell>
          <cell r="BQ47">
            <v>59</v>
          </cell>
          <cell r="BR47">
            <v>58</v>
          </cell>
          <cell r="BS47">
            <v>57</v>
          </cell>
          <cell r="BT47">
            <v>56</v>
          </cell>
          <cell r="BU47">
            <v>59</v>
          </cell>
          <cell r="BV47">
            <v>56</v>
          </cell>
          <cell r="BW47">
            <v>56</v>
          </cell>
          <cell r="BX47">
            <v>56</v>
          </cell>
          <cell r="BY47">
            <v>54</v>
          </cell>
          <cell r="BZ47">
            <v>56</v>
          </cell>
          <cell r="CA47">
            <v>55</v>
          </cell>
          <cell r="CB47">
            <v>55</v>
          </cell>
          <cell r="CC47">
            <v>55</v>
          </cell>
          <cell r="CD47">
            <v>58</v>
          </cell>
          <cell r="CE47">
            <v>59</v>
          </cell>
          <cell r="CF47">
            <v>59</v>
          </cell>
          <cell r="CG47">
            <v>59</v>
          </cell>
          <cell r="CH47">
            <v>60</v>
          </cell>
          <cell r="CI47">
            <v>66</v>
          </cell>
          <cell r="CJ47">
            <v>66</v>
          </cell>
          <cell r="CK47">
            <v>66</v>
          </cell>
          <cell r="CL47">
            <v>66</v>
          </cell>
          <cell r="CM47">
            <v>70</v>
          </cell>
          <cell r="CN47">
            <v>70</v>
          </cell>
          <cell r="CO47">
            <v>70</v>
          </cell>
          <cell r="CP47">
            <v>70</v>
          </cell>
          <cell r="CQ47">
            <v>71</v>
          </cell>
          <cell r="CR47">
            <v>71</v>
          </cell>
          <cell r="CS47">
            <v>72</v>
          </cell>
          <cell r="CT47">
            <v>72</v>
          </cell>
          <cell r="CU47">
            <v>72</v>
          </cell>
          <cell r="CV47">
            <v>73</v>
          </cell>
          <cell r="CW47">
            <v>73</v>
          </cell>
          <cell r="CX47">
            <v>74</v>
          </cell>
          <cell r="CY47">
            <v>74</v>
          </cell>
          <cell r="CZ47">
            <v>74</v>
          </cell>
          <cell r="DA47">
            <v>75</v>
          </cell>
          <cell r="DB47">
            <v>75</v>
          </cell>
          <cell r="DC47">
            <v>76</v>
          </cell>
          <cell r="DD47">
            <v>76</v>
          </cell>
          <cell r="DE47">
            <v>76</v>
          </cell>
          <cell r="DF47">
            <v>77</v>
          </cell>
          <cell r="DG47">
            <v>77</v>
          </cell>
          <cell r="DH47">
            <v>78</v>
          </cell>
          <cell r="DI47">
            <v>78</v>
          </cell>
        </row>
        <row r="48">
          <cell r="B48" t="str">
            <v>Additions - de novo</v>
          </cell>
          <cell r="E48">
            <v>16</v>
          </cell>
          <cell r="F48">
            <v>0</v>
          </cell>
          <cell r="G48">
            <v>4</v>
          </cell>
          <cell r="H48">
            <v>1</v>
          </cell>
          <cell r="I48">
            <v>2</v>
          </cell>
          <cell r="J48">
            <v>2</v>
          </cell>
          <cell r="K48">
            <v>1</v>
          </cell>
          <cell r="L48">
            <v>6</v>
          </cell>
          <cell r="M48" t="str">
            <v>NM</v>
          </cell>
          <cell r="N48">
            <v>0</v>
          </cell>
          <cell r="O48">
            <v>0</v>
          </cell>
          <cell r="P48">
            <v>0</v>
          </cell>
          <cell r="Q48">
            <v>0</v>
          </cell>
          <cell r="R48" t="str">
            <v>NM</v>
          </cell>
          <cell r="S48">
            <v>0</v>
          </cell>
          <cell r="T48">
            <v>0</v>
          </cell>
          <cell r="U48">
            <v>0</v>
          </cell>
          <cell r="V48">
            <v>0</v>
          </cell>
          <cell r="W48" t="str">
            <v>NM</v>
          </cell>
          <cell r="X48">
            <v>0</v>
          </cell>
          <cell r="Y48">
            <v>0</v>
          </cell>
          <cell r="Z48">
            <v>0</v>
          </cell>
          <cell r="AA48">
            <v>0</v>
          </cell>
          <cell r="AB48" t="str">
            <v>NM</v>
          </cell>
          <cell r="AC48">
            <v>0</v>
          </cell>
          <cell r="AD48">
            <v>0</v>
          </cell>
          <cell r="AE48">
            <v>0</v>
          </cell>
          <cell r="AF48">
            <v>0</v>
          </cell>
          <cell r="AG48" t="str">
            <v>NM</v>
          </cell>
          <cell r="AH48">
            <v>0</v>
          </cell>
          <cell r="AI48" t="str">
            <v>NM</v>
          </cell>
          <cell r="AJ48">
            <v>0</v>
          </cell>
          <cell r="AK48">
            <v>0</v>
          </cell>
          <cell r="AL48">
            <v>5</v>
          </cell>
          <cell r="AM48">
            <v>0</v>
          </cell>
          <cell r="AN48">
            <v>0</v>
          </cell>
          <cell r="AO48">
            <v>1</v>
          </cell>
          <cell r="AP48">
            <v>6</v>
          </cell>
          <cell r="AQ48">
            <v>3</v>
          </cell>
          <cell r="AR48">
            <v>1</v>
          </cell>
          <cell r="AS48">
            <v>0</v>
          </cell>
          <cell r="AT48">
            <v>3</v>
          </cell>
          <cell r="AU48">
            <v>7</v>
          </cell>
          <cell r="AW48">
            <v>0</v>
          </cell>
          <cell r="AX48">
            <v>0</v>
          </cell>
          <cell r="AY48">
            <v>1</v>
          </cell>
          <cell r="AZ48">
            <v>3</v>
          </cell>
          <cell r="BA48">
            <v>4</v>
          </cell>
          <cell r="BB48">
            <v>1</v>
          </cell>
          <cell r="BC48">
            <v>0</v>
          </cell>
          <cell r="BD48">
            <v>3</v>
          </cell>
          <cell r="BE48">
            <v>0</v>
          </cell>
          <cell r="BF48">
            <v>4</v>
          </cell>
          <cell r="BG48">
            <v>3</v>
          </cell>
          <cell r="BH48">
            <v>2</v>
          </cell>
          <cell r="BI48">
            <v>0</v>
          </cell>
          <cell r="BJ48">
            <v>0</v>
          </cell>
          <cell r="BK48">
            <v>5</v>
          </cell>
          <cell r="BL48">
            <v>1</v>
          </cell>
          <cell r="BM48">
            <v>1</v>
          </cell>
          <cell r="BN48">
            <v>0</v>
          </cell>
          <cell r="BO48">
            <v>1</v>
          </cell>
          <cell r="BP48">
            <v>3</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row>
        <row r="49">
          <cell r="B49" t="str">
            <v>Additions - acquisitions</v>
          </cell>
          <cell r="AX49">
            <v>0</v>
          </cell>
          <cell r="AY49">
            <v>0</v>
          </cell>
          <cell r="AZ49">
            <v>0</v>
          </cell>
          <cell r="BA49">
            <v>0</v>
          </cell>
          <cell r="BF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1</v>
          </cell>
          <cell r="BZ49">
            <v>1</v>
          </cell>
          <cell r="CA49">
            <v>0</v>
          </cell>
          <cell r="CB49">
            <v>0</v>
          </cell>
          <cell r="CC49">
            <v>5</v>
          </cell>
          <cell r="CD49">
            <v>0</v>
          </cell>
          <cell r="CE49">
            <v>5</v>
          </cell>
          <cell r="CF49">
            <v>1</v>
          </cell>
          <cell r="CG49">
            <v>0</v>
          </cell>
          <cell r="CH49">
            <v>0</v>
          </cell>
          <cell r="CI49">
            <v>7</v>
          </cell>
          <cell r="CJ49">
            <v>8</v>
          </cell>
          <cell r="CK49">
            <v>0</v>
          </cell>
          <cell r="CL49">
            <v>4</v>
          </cell>
          <cell r="CM49">
            <v>0</v>
          </cell>
          <cell r="CN49">
            <v>0</v>
          </cell>
          <cell r="CO49">
            <v>4</v>
          </cell>
          <cell r="CP49">
            <v>1</v>
          </cell>
          <cell r="CQ49">
            <v>0</v>
          </cell>
          <cell r="CR49">
            <v>1</v>
          </cell>
          <cell r="CS49">
            <v>0</v>
          </cell>
          <cell r="CT49">
            <v>2</v>
          </cell>
          <cell r="CU49">
            <v>1</v>
          </cell>
          <cell r="CV49">
            <v>0</v>
          </cell>
          <cell r="CW49">
            <v>1</v>
          </cell>
          <cell r="CX49">
            <v>0</v>
          </cell>
          <cell r="CY49">
            <v>2</v>
          </cell>
          <cell r="CZ49">
            <v>1</v>
          </cell>
          <cell r="DA49">
            <v>0</v>
          </cell>
          <cell r="DB49">
            <v>1</v>
          </cell>
          <cell r="DC49">
            <v>0</v>
          </cell>
          <cell r="DD49">
            <v>2</v>
          </cell>
          <cell r="DE49">
            <v>1</v>
          </cell>
          <cell r="DF49">
            <v>0</v>
          </cell>
          <cell r="DG49">
            <v>1</v>
          </cell>
          <cell r="DH49">
            <v>0</v>
          </cell>
          <cell r="DI49">
            <v>2</v>
          </cell>
        </row>
        <row r="50">
          <cell r="B50" t="str">
            <v xml:space="preserve">    Divestitures</v>
          </cell>
          <cell r="E50">
            <v>0</v>
          </cell>
          <cell r="F50">
            <v>0</v>
          </cell>
          <cell r="G50">
            <v>0</v>
          </cell>
          <cell r="H50">
            <v>0</v>
          </cell>
          <cell r="I50">
            <v>0</v>
          </cell>
          <cell r="J50">
            <v>0</v>
          </cell>
          <cell r="K50">
            <v>0</v>
          </cell>
          <cell r="L50">
            <v>0</v>
          </cell>
          <cell r="M50">
            <v>0</v>
          </cell>
          <cell r="N50">
            <v>0</v>
          </cell>
          <cell r="O50">
            <v>0</v>
          </cell>
          <cell r="P50" t="str">
            <v>NM</v>
          </cell>
          <cell r="Q50">
            <v>0</v>
          </cell>
          <cell r="R50">
            <v>0</v>
          </cell>
          <cell r="S50">
            <v>0</v>
          </cell>
          <cell r="T50">
            <v>0</v>
          </cell>
          <cell r="U50" t="str">
            <v>NM</v>
          </cell>
          <cell r="V50">
            <v>0</v>
          </cell>
          <cell r="W50">
            <v>0</v>
          </cell>
          <cell r="X50">
            <v>0</v>
          </cell>
          <cell r="Y50">
            <v>0</v>
          </cell>
          <cell r="Z50" t="str">
            <v>NM</v>
          </cell>
          <cell r="AA50">
            <v>0</v>
          </cell>
          <cell r="AB50">
            <v>0</v>
          </cell>
          <cell r="AC50">
            <v>0</v>
          </cell>
          <cell r="AD50">
            <v>0</v>
          </cell>
          <cell r="AE50" t="str">
            <v>NM</v>
          </cell>
          <cell r="AF50">
            <v>0</v>
          </cell>
          <cell r="AG50">
            <v>0</v>
          </cell>
          <cell r="AH50" t="str">
            <v>NM</v>
          </cell>
          <cell r="AI50">
            <v>0</v>
          </cell>
          <cell r="AJ50" t="str">
            <v>NM</v>
          </cell>
          <cell r="AK50">
            <v>0</v>
          </cell>
          <cell r="AL50">
            <v>0</v>
          </cell>
          <cell r="AM50">
            <v>0</v>
          </cell>
          <cell r="AN50">
            <v>0</v>
          </cell>
          <cell r="AO50">
            <v>0</v>
          </cell>
          <cell r="AP50">
            <v>0</v>
          </cell>
          <cell r="AQ50">
            <v>0</v>
          </cell>
          <cell r="AR50">
            <v>0</v>
          </cell>
          <cell r="AS50">
            <v>0</v>
          </cell>
          <cell r="AT50">
            <v>0</v>
          </cell>
          <cell r="AU50">
            <v>0</v>
          </cell>
          <cell r="AW50">
            <v>0</v>
          </cell>
          <cell r="AX50">
            <v>0</v>
          </cell>
          <cell r="AY50">
            <v>0</v>
          </cell>
          <cell r="AZ50">
            <v>0</v>
          </cell>
          <cell r="BA50">
            <v>0</v>
          </cell>
          <cell r="BB50">
            <v>0</v>
          </cell>
          <cell r="BC50">
            <v>0</v>
          </cell>
          <cell r="BD50">
            <v>0</v>
          </cell>
          <cell r="BE50">
            <v>-3</v>
          </cell>
          <cell r="BF50">
            <v>-3</v>
          </cell>
          <cell r="BG50">
            <v>0</v>
          </cell>
          <cell r="BH50">
            <v>0</v>
          </cell>
          <cell r="BI50">
            <v>-2</v>
          </cell>
          <cell r="BJ50">
            <v>0</v>
          </cell>
          <cell r="BK50">
            <v>-2</v>
          </cell>
          <cell r="BL50">
            <v>0</v>
          </cell>
          <cell r="BM50">
            <v>-2</v>
          </cell>
          <cell r="BN50">
            <v>0</v>
          </cell>
          <cell r="BO50">
            <v>-1</v>
          </cell>
          <cell r="BP50">
            <v>-3</v>
          </cell>
          <cell r="BQ50">
            <v>-1</v>
          </cell>
          <cell r="BR50">
            <v>0</v>
          </cell>
          <cell r="BS50">
            <v>0</v>
          </cell>
          <cell r="BT50">
            <v>0</v>
          </cell>
          <cell r="BU50">
            <v>-1</v>
          </cell>
          <cell r="BV50">
            <v>0</v>
          </cell>
          <cell r="BW50">
            <v>0</v>
          </cell>
          <cell r="BX50">
            <v>-2</v>
          </cell>
          <cell r="BY50">
            <v>0</v>
          </cell>
          <cell r="BZ50">
            <v>-2</v>
          </cell>
          <cell r="CA50">
            <v>0</v>
          </cell>
          <cell r="CB50">
            <v>0</v>
          </cell>
          <cell r="CC50">
            <v>0</v>
          </cell>
          <cell r="CD50">
            <v>-1</v>
          </cell>
          <cell r="CE50">
            <v>-1</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row>
        <row r="51">
          <cell r="B51" t="str">
            <v>Hospitals - end of period</v>
          </cell>
          <cell r="E51">
            <v>16</v>
          </cell>
          <cell r="F51">
            <v>16</v>
          </cell>
          <cell r="G51">
            <v>20</v>
          </cell>
          <cell r="H51">
            <v>21</v>
          </cell>
          <cell r="I51">
            <v>23</v>
          </cell>
          <cell r="J51">
            <v>25</v>
          </cell>
          <cell r="K51">
            <v>26</v>
          </cell>
          <cell r="L51">
            <v>32</v>
          </cell>
          <cell r="M51" t="str">
            <v>ND</v>
          </cell>
          <cell r="N51" t="str">
            <v>ND</v>
          </cell>
          <cell r="O51" t="str">
            <v>ND</v>
          </cell>
          <cell r="P51">
            <v>36</v>
          </cell>
          <cell r="Q51">
            <v>36</v>
          </cell>
          <cell r="R51" t="str">
            <v>ND</v>
          </cell>
          <cell r="S51" t="str">
            <v>ND</v>
          </cell>
          <cell r="T51" t="str">
            <v>ND</v>
          </cell>
          <cell r="U51">
            <v>37</v>
          </cell>
          <cell r="V51">
            <v>37</v>
          </cell>
          <cell r="W51" t="str">
            <v>ND</v>
          </cell>
          <cell r="X51" t="str">
            <v>ND</v>
          </cell>
          <cell r="Y51" t="str">
            <v>ND</v>
          </cell>
          <cell r="Z51">
            <v>38</v>
          </cell>
          <cell r="AA51">
            <v>38</v>
          </cell>
          <cell r="AB51" t="str">
            <v>ND</v>
          </cell>
          <cell r="AC51" t="str">
            <v>ND</v>
          </cell>
          <cell r="AD51" t="str">
            <v>ND</v>
          </cell>
          <cell r="AE51">
            <v>43</v>
          </cell>
          <cell r="AF51">
            <v>43</v>
          </cell>
          <cell r="AG51" t="str">
            <v>ND</v>
          </cell>
          <cell r="AH51">
            <v>46</v>
          </cell>
          <cell r="AI51" t="str">
            <v>ND</v>
          </cell>
          <cell r="AJ51">
            <v>47</v>
          </cell>
          <cell r="AK51">
            <v>47</v>
          </cell>
          <cell r="AL51">
            <v>52</v>
          </cell>
          <cell r="AM51">
            <v>52</v>
          </cell>
          <cell r="AN51">
            <v>52</v>
          </cell>
          <cell r="AO51">
            <v>53</v>
          </cell>
          <cell r="AP51">
            <v>53</v>
          </cell>
          <cell r="AQ51">
            <v>56</v>
          </cell>
          <cell r="AR51">
            <v>57</v>
          </cell>
          <cell r="AS51">
            <v>57</v>
          </cell>
          <cell r="AT51">
            <v>60</v>
          </cell>
          <cell r="AU51">
            <v>60</v>
          </cell>
          <cell r="AW51">
            <v>52</v>
          </cell>
          <cell r="AX51">
            <v>52</v>
          </cell>
          <cell r="AY51">
            <v>53</v>
          </cell>
          <cell r="AZ51">
            <v>56</v>
          </cell>
          <cell r="BA51">
            <v>56</v>
          </cell>
          <cell r="BB51">
            <v>57</v>
          </cell>
          <cell r="BC51">
            <v>57</v>
          </cell>
          <cell r="BD51">
            <v>60</v>
          </cell>
          <cell r="BE51">
            <v>57</v>
          </cell>
          <cell r="BF51">
            <v>57</v>
          </cell>
          <cell r="BG51">
            <v>60</v>
          </cell>
          <cell r="BH51">
            <v>62</v>
          </cell>
          <cell r="BI51">
            <v>60</v>
          </cell>
          <cell r="BJ51">
            <v>60</v>
          </cell>
          <cell r="BK51">
            <v>60</v>
          </cell>
          <cell r="BL51">
            <v>61</v>
          </cell>
          <cell r="BM51">
            <v>61</v>
          </cell>
          <cell r="BN51">
            <v>59</v>
          </cell>
          <cell r="BO51">
            <v>59</v>
          </cell>
          <cell r="BP51">
            <v>59</v>
          </cell>
          <cell r="BQ51">
            <v>58</v>
          </cell>
          <cell r="BR51">
            <v>57</v>
          </cell>
          <cell r="BS51">
            <v>56</v>
          </cell>
          <cell r="BT51">
            <v>56</v>
          </cell>
          <cell r="BU51">
            <v>56</v>
          </cell>
          <cell r="BV51">
            <v>56</v>
          </cell>
          <cell r="BW51">
            <v>56</v>
          </cell>
          <cell r="BX51">
            <v>54</v>
          </cell>
          <cell r="BY51">
            <v>55</v>
          </cell>
          <cell r="BZ51">
            <v>55</v>
          </cell>
          <cell r="CA51">
            <v>55</v>
          </cell>
          <cell r="CB51">
            <v>55</v>
          </cell>
          <cell r="CC51">
            <v>58</v>
          </cell>
          <cell r="CD51">
            <v>59</v>
          </cell>
          <cell r="CE51">
            <v>59</v>
          </cell>
          <cell r="CF51">
            <v>59</v>
          </cell>
          <cell r="CG51">
            <v>60</v>
          </cell>
          <cell r="CH51">
            <v>66</v>
          </cell>
          <cell r="CI51">
            <v>66</v>
          </cell>
          <cell r="CJ51">
            <v>66</v>
          </cell>
          <cell r="CK51">
            <v>66</v>
          </cell>
          <cell r="CL51">
            <v>70</v>
          </cell>
          <cell r="CM51">
            <v>70</v>
          </cell>
          <cell r="CN51">
            <v>70</v>
          </cell>
          <cell r="CO51">
            <v>70</v>
          </cell>
          <cell r="CP51">
            <v>71</v>
          </cell>
          <cell r="CQ51">
            <v>71</v>
          </cell>
          <cell r="CR51">
            <v>72</v>
          </cell>
          <cell r="CS51">
            <v>72</v>
          </cell>
          <cell r="CT51">
            <v>72</v>
          </cell>
          <cell r="CU51">
            <v>73</v>
          </cell>
          <cell r="CV51">
            <v>73</v>
          </cell>
          <cell r="CW51">
            <v>74</v>
          </cell>
          <cell r="CX51">
            <v>74</v>
          </cell>
          <cell r="CY51">
            <v>74</v>
          </cell>
          <cell r="CZ51">
            <v>75</v>
          </cell>
          <cell r="DA51">
            <v>75</v>
          </cell>
          <cell r="DB51">
            <v>76</v>
          </cell>
          <cell r="DC51">
            <v>76</v>
          </cell>
          <cell r="DD51">
            <v>76</v>
          </cell>
          <cell r="DE51">
            <v>77</v>
          </cell>
          <cell r="DF51">
            <v>77</v>
          </cell>
          <cell r="DG51">
            <v>78</v>
          </cell>
          <cell r="DH51">
            <v>78</v>
          </cell>
          <cell r="DI51">
            <v>78</v>
          </cell>
        </row>
        <row r="53">
          <cell r="B53" t="str">
            <v>Licensed Beds</v>
          </cell>
        </row>
        <row r="54">
          <cell r="B54" t="str">
            <v>Beds - beg of period</v>
          </cell>
          <cell r="E54">
            <v>0</v>
          </cell>
          <cell r="F54">
            <v>1658</v>
          </cell>
          <cell r="G54">
            <v>1658</v>
          </cell>
          <cell r="H54">
            <v>2023</v>
          </cell>
          <cell r="I54">
            <v>2291</v>
          </cell>
          <cell r="J54">
            <v>2565</v>
          </cell>
          <cell r="K54">
            <v>2966</v>
          </cell>
          <cell r="L54">
            <v>3086</v>
          </cell>
          <cell r="M54">
            <v>3821</v>
          </cell>
          <cell r="N54" t="str">
            <v>ND</v>
          </cell>
          <cell r="O54" t="str">
            <v>ND</v>
          </cell>
          <cell r="P54" t="str">
            <v>ND</v>
          </cell>
          <cell r="Q54">
            <v>3821</v>
          </cell>
          <cell r="R54">
            <v>4665</v>
          </cell>
          <cell r="S54" t="str">
            <v>ND</v>
          </cell>
          <cell r="T54" t="str">
            <v>ND</v>
          </cell>
          <cell r="U54" t="str">
            <v>ND</v>
          </cell>
          <cell r="V54">
            <v>4665</v>
          </cell>
          <cell r="W54">
            <v>5090</v>
          </cell>
          <cell r="X54" t="str">
            <v>ND</v>
          </cell>
          <cell r="Y54" t="str">
            <v>ND</v>
          </cell>
          <cell r="Z54" t="str">
            <v>ND</v>
          </cell>
          <cell r="AA54">
            <v>5090</v>
          </cell>
          <cell r="AB54">
            <v>5318</v>
          </cell>
          <cell r="AC54" t="str">
            <v>ND</v>
          </cell>
          <cell r="AD54" t="str">
            <v>ND</v>
          </cell>
          <cell r="AE54" t="str">
            <v>ND</v>
          </cell>
          <cell r="AF54">
            <v>5318</v>
          </cell>
          <cell r="AG54">
            <v>5903</v>
          </cell>
          <cell r="AH54" t="str">
            <v>ND</v>
          </cell>
          <cell r="AI54">
            <v>6326</v>
          </cell>
          <cell r="AJ54" t="str">
            <v>ND</v>
          </cell>
          <cell r="AK54">
            <v>5903</v>
          </cell>
          <cell r="AL54">
            <v>6479</v>
          </cell>
          <cell r="AM54">
            <v>7540</v>
          </cell>
          <cell r="AN54">
            <v>7562</v>
          </cell>
          <cell r="AO54">
            <v>7562</v>
          </cell>
          <cell r="AP54">
            <v>6479</v>
          </cell>
          <cell r="AQ54">
            <v>7526</v>
          </cell>
          <cell r="AR54">
            <v>8203</v>
          </cell>
          <cell r="AS54">
            <v>8259</v>
          </cell>
          <cell r="AT54">
            <v>8310</v>
          </cell>
          <cell r="AU54">
            <v>7526</v>
          </cell>
          <cell r="AW54">
            <v>7540</v>
          </cell>
          <cell r="AX54">
            <v>7562</v>
          </cell>
          <cell r="AY54">
            <v>7562</v>
          </cell>
          <cell r="AZ54">
            <v>7526</v>
          </cell>
          <cell r="BA54">
            <v>7540</v>
          </cell>
          <cell r="BB54">
            <v>8203</v>
          </cell>
          <cell r="BC54">
            <v>8259</v>
          </cell>
          <cell r="BD54">
            <v>8310</v>
          </cell>
          <cell r="BE54">
            <v>8545</v>
          </cell>
          <cell r="BF54">
            <v>8203</v>
          </cell>
          <cell r="BG54">
            <v>8329</v>
          </cell>
          <cell r="BH54">
            <v>8545</v>
          </cell>
          <cell r="BI54">
            <v>8819</v>
          </cell>
          <cell r="BJ54">
            <v>8635</v>
          </cell>
          <cell r="BK54">
            <v>8329</v>
          </cell>
          <cell r="BL54">
            <v>8589</v>
          </cell>
          <cell r="BM54">
            <v>8685</v>
          </cell>
          <cell r="BN54">
            <v>8668</v>
          </cell>
          <cell r="BO54">
            <v>8463</v>
          </cell>
          <cell r="BP54">
            <v>8589</v>
          </cell>
          <cell r="BQ54">
            <v>8458</v>
          </cell>
          <cell r="BR54">
            <v>8269</v>
          </cell>
          <cell r="BS54">
            <v>8097</v>
          </cell>
          <cell r="BT54">
            <v>8018</v>
          </cell>
          <cell r="BU54">
            <v>8547</v>
          </cell>
          <cell r="BV54">
            <v>8019</v>
          </cell>
          <cell r="BW54">
            <v>8082</v>
          </cell>
          <cell r="BX54">
            <v>8121</v>
          </cell>
          <cell r="BY54">
            <v>7926</v>
          </cell>
          <cell r="BZ54">
            <v>8376</v>
          </cell>
          <cell r="CA54">
            <v>8418</v>
          </cell>
          <cell r="CB54">
            <v>8435</v>
          </cell>
          <cell r="CC54">
            <v>8419</v>
          </cell>
          <cell r="CD54">
            <v>8576</v>
          </cell>
          <cell r="CE54">
            <v>8673</v>
          </cell>
          <cell r="CF54">
            <v>8864</v>
          </cell>
          <cell r="CG54">
            <v>8862</v>
          </cell>
          <cell r="CH54">
            <v>9143</v>
          </cell>
          <cell r="CI54">
            <v>10441</v>
          </cell>
          <cell r="CJ54">
            <v>9173</v>
          </cell>
          <cell r="CK54">
            <v>10330</v>
          </cell>
          <cell r="CL54">
            <v>10330</v>
          </cell>
          <cell r="CM54">
            <v>10527</v>
          </cell>
          <cell r="CN54">
            <v>10527</v>
          </cell>
          <cell r="CO54">
            <v>9239</v>
          </cell>
          <cell r="CP54">
            <v>10527</v>
          </cell>
          <cell r="CQ54">
            <v>10727</v>
          </cell>
          <cell r="CR54">
            <v>10727</v>
          </cell>
          <cell r="CS54">
            <v>10927</v>
          </cell>
          <cell r="CT54">
            <v>9436</v>
          </cell>
          <cell r="CU54">
            <v>10927</v>
          </cell>
          <cell r="CV54">
            <v>11127</v>
          </cell>
          <cell r="CW54">
            <v>11127</v>
          </cell>
          <cell r="CX54">
            <v>11327</v>
          </cell>
          <cell r="CY54">
            <v>9836</v>
          </cell>
          <cell r="CZ54">
            <v>11327</v>
          </cell>
          <cell r="DA54">
            <v>11527</v>
          </cell>
          <cell r="DB54">
            <v>11527</v>
          </cell>
          <cell r="DC54">
            <v>11727</v>
          </cell>
          <cell r="DD54">
            <v>10236</v>
          </cell>
          <cell r="DE54">
            <v>11727</v>
          </cell>
          <cell r="DF54">
            <v>11927</v>
          </cell>
          <cell r="DG54">
            <v>11927</v>
          </cell>
          <cell r="DH54">
            <v>12127</v>
          </cell>
          <cell r="DI54">
            <v>10636</v>
          </cell>
        </row>
        <row r="55">
          <cell r="B55" t="str">
            <v>Additions - de novo</v>
          </cell>
          <cell r="BA55">
            <v>0</v>
          </cell>
          <cell r="BF55">
            <v>0</v>
          </cell>
          <cell r="BJ55">
            <v>0</v>
          </cell>
          <cell r="BK55">
            <v>0</v>
          </cell>
          <cell r="BL55">
            <v>100</v>
          </cell>
          <cell r="BM55">
            <v>76</v>
          </cell>
          <cell r="BN55">
            <v>0</v>
          </cell>
          <cell r="BO55">
            <v>103</v>
          </cell>
          <cell r="BP55">
            <v>279</v>
          </cell>
          <cell r="BQ55">
            <v>0</v>
          </cell>
          <cell r="BR55">
            <v>0</v>
          </cell>
          <cell r="BS55">
            <v>0</v>
          </cell>
          <cell r="BT55">
            <v>1</v>
          </cell>
          <cell r="BU55">
            <v>1</v>
          </cell>
          <cell r="BZ55">
            <v>0</v>
          </cell>
          <cell r="CE55">
            <v>0</v>
          </cell>
          <cell r="CJ55">
            <v>0</v>
          </cell>
          <cell r="CO55">
            <v>0</v>
          </cell>
          <cell r="CT55">
            <v>0</v>
          </cell>
          <cell r="CY55">
            <v>0</v>
          </cell>
          <cell r="DD55">
            <v>0</v>
          </cell>
          <cell r="DI55">
            <v>0</v>
          </cell>
        </row>
        <row r="56">
          <cell r="B56" t="str">
            <v>Additions - acquisitions</v>
          </cell>
          <cell r="BA56">
            <v>0</v>
          </cell>
          <cell r="BF56">
            <v>0</v>
          </cell>
          <cell r="BJ56">
            <v>0</v>
          </cell>
          <cell r="BK56">
            <v>0</v>
          </cell>
          <cell r="BL56">
            <v>0</v>
          </cell>
          <cell r="BM56">
            <v>0</v>
          </cell>
          <cell r="BN56">
            <v>0</v>
          </cell>
          <cell r="BP56">
            <v>0</v>
          </cell>
          <cell r="BQ56">
            <v>0</v>
          </cell>
          <cell r="BR56">
            <v>0</v>
          </cell>
          <cell r="BS56">
            <v>0</v>
          </cell>
          <cell r="BT56">
            <v>0</v>
          </cell>
          <cell r="BU56">
            <v>0</v>
          </cell>
          <cell r="BV56">
            <v>63</v>
          </cell>
          <cell r="BW56">
            <v>39</v>
          </cell>
          <cell r="BY56">
            <v>492</v>
          </cell>
          <cell r="BZ56">
            <v>594</v>
          </cell>
          <cell r="CC56">
            <v>600</v>
          </cell>
          <cell r="CD56">
            <v>0</v>
          </cell>
          <cell r="CE56">
            <v>600</v>
          </cell>
          <cell r="CF56">
            <v>100</v>
          </cell>
          <cell r="CG56">
            <v>77</v>
          </cell>
          <cell r="CH56">
            <v>0</v>
          </cell>
          <cell r="CI56">
            <v>-111</v>
          </cell>
          <cell r="CJ56">
            <v>66</v>
          </cell>
          <cell r="CK56">
            <v>0</v>
          </cell>
          <cell r="CL56">
            <v>218</v>
          </cell>
          <cell r="CO56">
            <v>218</v>
          </cell>
          <cell r="CP56">
            <v>200</v>
          </cell>
          <cell r="CQ56">
            <v>0</v>
          </cell>
          <cell r="CR56">
            <v>200</v>
          </cell>
          <cell r="CS56">
            <v>0</v>
          </cell>
          <cell r="CT56">
            <v>400</v>
          </cell>
          <cell r="CU56">
            <v>200</v>
          </cell>
          <cell r="CV56">
            <v>0</v>
          </cell>
          <cell r="CW56">
            <v>200</v>
          </cell>
          <cell r="CX56">
            <v>0</v>
          </cell>
          <cell r="CY56">
            <v>400</v>
          </cell>
          <cell r="CZ56">
            <v>200</v>
          </cell>
          <cell r="DA56">
            <v>0</v>
          </cell>
          <cell r="DB56">
            <v>200</v>
          </cell>
          <cell r="DC56">
            <v>0</v>
          </cell>
          <cell r="DD56">
            <v>400</v>
          </cell>
          <cell r="DE56">
            <v>200</v>
          </cell>
          <cell r="DF56">
            <v>0</v>
          </cell>
          <cell r="DG56">
            <v>200</v>
          </cell>
          <cell r="DH56">
            <v>0</v>
          </cell>
          <cell r="DI56">
            <v>400</v>
          </cell>
        </row>
        <row r="57">
          <cell r="B57" t="str">
            <v xml:space="preserve">    Divestitures</v>
          </cell>
          <cell r="E57">
            <v>1658</v>
          </cell>
          <cell r="F57">
            <v>0</v>
          </cell>
          <cell r="G57">
            <v>365</v>
          </cell>
          <cell r="H57">
            <v>268</v>
          </cell>
          <cell r="I57">
            <v>274</v>
          </cell>
          <cell r="J57">
            <v>401</v>
          </cell>
          <cell r="K57">
            <v>120</v>
          </cell>
          <cell r="L57">
            <v>735</v>
          </cell>
          <cell r="M57" t="str">
            <v>NM</v>
          </cell>
          <cell r="N57" t="str">
            <v>NM</v>
          </cell>
          <cell r="O57" t="str">
            <v>NM</v>
          </cell>
          <cell r="P57" t="str">
            <v>NM</v>
          </cell>
          <cell r="Q57">
            <v>844</v>
          </cell>
          <cell r="R57" t="str">
            <v>NM</v>
          </cell>
          <cell r="S57" t="str">
            <v>NM</v>
          </cell>
          <cell r="T57" t="str">
            <v>NM</v>
          </cell>
          <cell r="U57" t="str">
            <v>NM</v>
          </cell>
          <cell r="V57">
            <v>425</v>
          </cell>
          <cell r="W57" t="str">
            <v>NM</v>
          </cell>
          <cell r="X57" t="str">
            <v>NM</v>
          </cell>
          <cell r="Y57" t="str">
            <v>NM</v>
          </cell>
          <cell r="Z57" t="str">
            <v>NM</v>
          </cell>
          <cell r="AA57">
            <v>228</v>
          </cell>
          <cell r="AB57" t="str">
            <v>NM</v>
          </cell>
          <cell r="AC57" t="str">
            <v>NM</v>
          </cell>
          <cell r="AD57" t="str">
            <v>NM</v>
          </cell>
          <cell r="AE57" t="str">
            <v>NM</v>
          </cell>
          <cell r="AF57">
            <v>585</v>
          </cell>
          <cell r="AG57" t="str">
            <v>NM</v>
          </cell>
          <cell r="AH57" t="str">
            <v>NM</v>
          </cell>
          <cell r="AI57" t="str">
            <v>NM</v>
          </cell>
          <cell r="AJ57" t="str">
            <v>NM</v>
          </cell>
          <cell r="AK57">
            <v>576</v>
          </cell>
          <cell r="AL57">
            <v>1061</v>
          </cell>
          <cell r="AM57">
            <v>22</v>
          </cell>
          <cell r="AN57">
            <v>0</v>
          </cell>
          <cell r="AO57">
            <v>-36</v>
          </cell>
          <cell r="AP57">
            <v>1047</v>
          </cell>
          <cell r="AQ57">
            <v>677</v>
          </cell>
          <cell r="AR57">
            <v>56</v>
          </cell>
          <cell r="AS57">
            <v>51</v>
          </cell>
          <cell r="AT57">
            <v>235</v>
          </cell>
          <cell r="AU57">
            <v>1019</v>
          </cell>
          <cell r="AW57">
            <v>22</v>
          </cell>
          <cell r="AX57">
            <v>0</v>
          </cell>
          <cell r="AY57">
            <v>-36</v>
          </cell>
          <cell r="AZ57">
            <v>677</v>
          </cell>
          <cell r="BA57">
            <v>663</v>
          </cell>
          <cell r="BB57">
            <v>56</v>
          </cell>
          <cell r="BC57">
            <v>51</v>
          </cell>
          <cell r="BD57">
            <v>235</v>
          </cell>
          <cell r="BE57">
            <v>-216</v>
          </cell>
          <cell r="BF57">
            <v>126</v>
          </cell>
          <cell r="BG57">
            <v>216</v>
          </cell>
          <cell r="BH57">
            <v>274</v>
          </cell>
          <cell r="BI57">
            <v>-184</v>
          </cell>
          <cell r="BJ57">
            <v>-46</v>
          </cell>
          <cell r="BK57">
            <v>260</v>
          </cell>
          <cell r="BL57">
            <v>0</v>
          </cell>
          <cell r="BM57">
            <v>-213</v>
          </cell>
          <cell r="BN57">
            <v>0</v>
          </cell>
          <cell r="BO57">
            <v>-108</v>
          </cell>
          <cell r="BP57">
            <v>-321</v>
          </cell>
          <cell r="BQ57">
            <v>-172</v>
          </cell>
          <cell r="BR57">
            <v>0</v>
          </cell>
          <cell r="BS57">
            <v>0</v>
          </cell>
          <cell r="BT57">
            <v>0</v>
          </cell>
          <cell r="BU57">
            <v>-172</v>
          </cell>
          <cell r="BV57">
            <v>0</v>
          </cell>
          <cell r="BW57">
            <v>0</v>
          </cell>
          <cell r="BX57">
            <v>-195</v>
          </cell>
          <cell r="BY57">
            <v>492</v>
          </cell>
          <cell r="BZ57">
            <v>-297</v>
          </cell>
          <cell r="CA57">
            <v>0</v>
          </cell>
          <cell r="CB57">
            <v>0</v>
          </cell>
          <cell r="CC57">
            <v>0</v>
          </cell>
          <cell r="CD57">
            <v>-100</v>
          </cell>
          <cell r="CE57">
            <v>-100</v>
          </cell>
          <cell r="CF57">
            <v>0</v>
          </cell>
          <cell r="CG57">
            <v>0</v>
          </cell>
          <cell r="CH57">
            <v>0</v>
          </cell>
          <cell r="CI57">
            <v>0</v>
          </cell>
          <cell r="CJ57">
            <v>0</v>
          </cell>
          <cell r="CK57">
            <v>0</v>
          </cell>
          <cell r="CL57">
            <v>-21</v>
          </cell>
          <cell r="CM57">
            <v>0</v>
          </cell>
          <cell r="CN57">
            <v>0</v>
          </cell>
          <cell r="CO57">
            <v>-21</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row>
        <row r="58">
          <cell r="B58" t="str">
            <v>Beds - end of period</v>
          </cell>
          <cell r="E58">
            <v>1658</v>
          </cell>
          <cell r="F58">
            <v>1658</v>
          </cell>
          <cell r="G58">
            <v>2023</v>
          </cell>
          <cell r="H58">
            <v>2291</v>
          </cell>
          <cell r="I58">
            <v>2565</v>
          </cell>
          <cell r="J58">
            <v>2966</v>
          </cell>
          <cell r="K58">
            <v>3086</v>
          </cell>
          <cell r="L58">
            <v>3821</v>
          </cell>
          <cell r="M58" t="str">
            <v>ND</v>
          </cell>
          <cell r="N58" t="str">
            <v>ND</v>
          </cell>
          <cell r="O58" t="str">
            <v>ND</v>
          </cell>
          <cell r="P58">
            <v>4665</v>
          </cell>
          <cell r="Q58">
            <v>4665</v>
          </cell>
          <cell r="R58" t="str">
            <v>ND</v>
          </cell>
          <cell r="S58" t="str">
            <v>ND</v>
          </cell>
          <cell r="T58" t="str">
            <v>ND</v>
          </cell>
          <cell r="U58">
            <v>5090</v>
          </cell>
          <cell r="V58">
            <v>5090</v>
          </cell>
          <cell r="W58" t="str">
            <v>ND</v>
          </cell>
          <cell r="X58" t="str">
            <v>ND</v>
          </cell>
          <cell r="Y58" t="str">
            <v>ND</v>
          </cell>
          <cell r="Z58">
            <v>5318</v>
          </cell>
          <cell r="AA58">
            <v>5318</v>
          </cell>
          <cell r="AB58" t="str">
            <v>ND</v>
          </cell>
          <cell r="AC58" t="str">
            <v>ND</v>
          </cell>
          <cell r="AD58" t="str">
            <v>ND</v>
          </cell>
          <cell r="AE58">
            <v>5903</v>
          </cell>
          <cell r="AF58">
            <v>5903</v>
          </cell>
          <cell r="AG58" t="str">
            <v>ND</v>
          </cell>
          <cell r="AH58">
            <v>6326</v>
          </cell>
          <cell r="AI58" t="str">
            <v>ND</v>
          </cell>
          <cell r="AJ58">
            <v>6479</v>
          </cell>
          <cell r="AK58">
            <v>6479</v>
          </cell>
          <cell r="AL58">
            <v>7540</v>
          </cell>
          <cell r="AM58">
            <v>7562</v>
          </cell>
          <cell r="AN58">
            <v>7562</v>
          </cell>
          <cell r="AO58">
            <v>7526</v>
          </cell>
          <cell r="AP58">
            <v>7526</v>
          </cell>
          <cell r="AQ58">
            <v>8203</v>
          </cell>
          <cell r="AR58">
            <v>8259</v>
          </cell>
          <cell r="AS58">
            <v>8310</v>
          </cell>
          <cell r="AT58">
            <v>8545</v>
          </cell>
          <cell r="AU58">
            <v>8545</v>
          </cell>
          <cell r="AW58">
            <v>7562</v>
          </cell>
          <cell r="AX58">
            <v>7562</v>
          </cell>
          <cell r="AY58">
            <v>7526</v>
          </cell>
          <cell r="AZ58">
            <v>8203</v>
          </cell>
          <cell r="BA58">
            <v>8203</v>
          </cell>
          <cell r="BB58">
            <v>8259</v>
          </cell>
          <cell r="BC58">
            <v>8310</v>
          </cell>
          <cell r="BD58">
            <v>8545</v>
          </cell>
          <cell r="BE58">
            <v>8329</v>
          </cell>
          <cell r="BF58">
            <v>8329</v>
          </cell>
          <cell r="BG58">
            <v>8545</v>
          </cell>
          <cell r="BH58">
            <v>8819</v>
          </cell>
          <cell r="BI58">
            <v>8635</v>
          </cell>
          <cell r="BJ58">
            <v>8589</v>
          </cell>
          <cell r="BK58">
            <v>8589</v>
          </cell>
          <cell r="BL58">
            <v>8685</v>
          </cell>
          <cell r="BM58">
            <v>8668</v>
          </cell>
          <cell r="BN58">
            <v>8463</v>
          </cell>
          <cell r="BO58">
            <v>8458</v>
          </cell>
          <cell r="BP58">
            <v>8547</v>
          </cell>
          <cell r="BQ58">
            <v>8269</v>
          </cell>
          <cell r="BR58">
            <v>8097</v>
          </cell>
          <cell r="BS58">
            <v>8018</v>
          </cell>
          <cell r="BT58">
            <v>8019</v>
          </cell>
          <cell r="BU58">
            <v>8376</v>
          </cell>
          <cell r="BV58">
            <v>8082</v>
          </cell>
          <cell r="BW58">
            <v>8121</v>
          </cell>
          <cell r="BX58">
            <v>7926</v>
          </cell>
          <cell r="BY58">
            <v>8418</v>
          </cell>
          <cell r="BZ58">
            <v>8673</v>
          </cell>
          <cell r="CA58">
            <v>8435</v>
          </cell>
          <cell r="CB58">
            <v>8419</v>
          </cell>
          <cell r="CC58">
            <v>8576</v>
          </cell>
          <cell r="CD58">
            <v>8864</v>
          </cell>
          <cell r="CE58">
            <v>9173</v>
          </cell>
          <cell r="CF58">
            <v>8862</v>
          </cell>
          <cell r="CG58">
            <v>9143</v>
          </cell>
          <cell r="CH58">
            <v>10441</v>
          </cell>
          <cell r="CI58">
            <v>10330</v>
          </cell>
          <cell r="CJ58">
            <v>9239</v>
          </cell>
          <cell r="CK58">
            <v>10330</v>
          </cell>
          <cell r="CL58">
            <v>10527</v>
          </cell>
          <cell r="CM58">
            <v>10527</v>
          </cell>
          <cell r="CN58">
            <v>10527</v>
          </cell>
          <cell r="CO58">
            <v>9436</v>
          </cell>
          <cell r="CP58">
            <v>10727</v>
          </cell>
          <cell r="CQ58">
            <v>10727</v>
          </cell>
          <cell r="CR58">
            <v>10927</v>
          </cell>
          <cell r="CS58">
            <v>10927</v>
          </cell>
          <cell r="CT58">
            <v>9836</v>
          </cell>
          <cell r="CU58">
            <v>11127</v>
          </cell>
          <cell r="CV58">
            <v>11127</v>
          </cell>
          <cell r="CW58">
            <v>11327</v>
          </cell>
          <cell r="CX58">
            <v>11327</v>
          </cell>
          <cell r="CY58">
            <v>10236</v>
          </cell>
          <cell r="CZ58">
            <v>11527</v>
          </cell>
          <cell r="DA58">
            <v>11527</v>
          </cell>
          <cell r="DB58">
            <v>11727</v>
          </cell>
          <cell r="DC58">
            <v>11727</v>
          </cell>
          <cell r="DD58">
            <v>10636</v>
          </cell>
          <cell r="DE58">
            <v>11927</v>
          </cell>
          <cell r="DF58">
            <v>11927</v>
          </cell>
          <cell r="DG58">
            <v>12127</v>
          </cell>
          <cell r="DH58">
            <v>12127</v>
          </cell>
          <cell r="DI58">
            <v>11036</v>
          </cell>
        </row>
        <row r="59">
          <cell r="B59" t="str">
            <v>Avg beds in service</v>
          </cell>
          <cell r="G59">
            <v>1707.32996875751</v>
          </cell>
          <cell r="H59">
            <v>2009.7820241070581</v>
          </cell>
          <cell r="I59">
            <v>2139.5312303632022</v>
          </cell>
          <cell r="J59">
            <v>2660.3754439370878</v>
          </cell>
          <cell r="K59">
            <v>3027.0119863013697</v>
          </cell>
          <cell r="L59">
            <v>3578.7918448070268</v>
          </cell>
          <cell r="M59">
            <v>3817.669527492219</v>
          </cell>
          <cell r="N59">
            <v>3833.8411537680277</v>
          </cell>
          <cell r="O59">
            <v>4457.9983774614648</v>
          </cell>
          <cell r="P59">
            <v>4563.586956521739</v>
          </cell>
          <cell r="Q59">
            <v>4168.2740038108623</v>
          </cell>
          <cell r="R59">
            <v>4661.1958921201658</v>
          </cell>
          <cell r="S59">
            <v>4712.588183421517</v>
          </cell>
          <cell r="T59">
            <v>4542.9250661038741</v>
          </cell>
          <cell r="U59">
            <v>4860.8745171833225</v>
          </cell>
          <cell r="V59">
            <v>4694.3959147072201</v>
          </cell>
          <cell r="W59">
            <v>5092.6709464059923</v>
          </cell>
          <cell r="X59">
            <v>5025.9890572390568</v>
          </cell>
          <cell r="Y59">
            <v>4993.4435312586575</v>
          </cell>
          <cell r="Z59">
            <v>5301.3544018058692</v>
          </cell>
          <cell r="AA59">
            <v>5103.3644841773939</v>
          </cell>
          <cell r="AB59">
            <v>5344.0516005733398</v>
          </cell>
          <cell r="AC59">
            <v>5799.2463393626185</v>
          </cell>
          <cell r="AD59">
            <v>5769.2079704527832</v>
          </cell>
          <cell r="AE59">
            <v>5896.2640215073707</v>
          </cell>
          <cell r="AF59">
            <v>5702.1924829740274</v>
          </cell>
          <cell r="AG59">
            <v>5928.4778089125921</v>
          </cell>
          <cell r="AH59">
            <v>6006.7714884696015</v>
          </cell>
          <cell r="AI59">
            <v>6120.2544823597464</v>
          </cell>
          <cell r="AJ59">
            <v>6323.5000949307005</v>
          </cell>
          <cell r="AK59">
            <v>6094.7509686681597</v>
          </cell>
          <cell r="AL59">
            <v>7193.2065217391309</v>
          </cell>
          <cell r="AM59">
            <v>7547.5691623551538</v>
          </cell>
          <cell r="AN59">
            <v>7567.3863581352562</v>
          </cell>
          <cell r="AO59">
            <v>7117.465945139018</v>
          </cell>
          <cell r="AP59">
            <v>7356.40699684214</v>
          </cell>
          <cell r="AQ59">
            <v>7540.0370229732289</v>
          </cell>
          <cell r="AR59">
            <v>7978.7898363479762</v>
          </cell>
          <cell r="AS59">
            <v>8301.4163079808586</v>
          </cell>
          <cell r="AT59">
            <v>8341.7504101722734</v>
          </cell>
          <cell r="AU59">
            <v>8040.4983943685838</v>
          </cell>
          <cell r="AW59">
            <v>7547.5691623551538</v>
          </cell>
          <cell r="AX59">
            <v>7567.3863581352562</v>
          </cell>
          <cell r="AY59">
            <v>7117.465945139018</v>
          </cell>
          <cell r="AZ59">
            <v>7540.0370229732289</v>
          </cell>
          <cell r="BA59">
            <v>7443.1146221506642</v>
          </cell>
          <cell r="BB59">
            <v>7978.7898363479762</v>
          </cell>
          <cell r="BC59">
            <v>8301.4163079808586</v>
          </cell>
          <cell r="BD59">
            <v>8341.7504101722734</v>
          </cell>
          <cell r="BE59">
            <v>8268.2975141131028</v>
          </cell>
          <cell r="BF59">
            <v>8222.5635171535523</v>
          </cell>
          <cell r="BG59">
            <v>8551.24077800134</v>
          </cell>
          <cell r="BH59">
            <v>8613.5489792374665</v>
          </cell>
          <cell r="BI59">
            <v>8304.7341850401808</v>
          </cell>
          <cell r="BJ59">
            <v>8323.1202632628629</v>
          </cell>
          <cell r="BK59">
            <v>8448.161051385463</v>
          </cell>
          <cell r="BL59">
            <v>8347.5119291070223</v>
          </cell>
          <cell r="BM59">
            <v>8253.4433891899953</v>
          </cell>
          <cell r="BN59">
            <v>8238.6410467751903</v>
          </cell>
          <cell r="BO59">
            <v>8344.9086027057729</v>
          </cell>
          <cell r="BP59">
            <v>8296.1262419444956</v>
          </cell>
          <cell r="BQ59">
            <v>7965.072182719241</v>
          </cell>
          <cell r="BR59">
            <v>7891.9745412958082</v>
          </cell>
          <cell r="BS59">
            <v>7876.4657050949463</v>
          </cell>
          <cell r="BT59">
            <v>7929.3233450842154</v>
          </cell>
          <cell r="BU59">
            <v>7915.7089435485532</v>
          </cell>
          <cell r="BV59">
            <v>7993.1227598566311</v>
          </cell>
          <cell r="BW59">
            <v>7986.0920329670334</v>
          </cell>
          <cell r="BX59">
            <v>7848.3631713554987</v>
          </cell>
          <cell r="BY59">
            <v>7998.4507180798746</v>
          </cell>
          <cell r="BZ59">
            <v>7956.5071705647597</v>
          </cell>
          <cell r="CA59">
            <v>8336.7416496250844</v>
          </cell>
          <cell r="CB59">
            <v>8322.2690551457672</v>
          </cell>
          <cell r="CC59">
            <v>8463.7594063545166</v>
          </cell>
          <cell r="CD59">
            <v>8761.3288426209419</v>
          </cell>
          <cell r="CE59">
            <v>8471.0247384365775</v>
          </cell>
          <cell r="CF59">
            <v>8769.1511387163555</v>
          </cell>
          <cell r="CG59">
            <v>8829.9920220294935</v>
          </cell>
          <cell r="CH59">
            <v>8884.3224373214853</v>
          </cell>
          <cell r="CI59">
            <v>9674.3372216330863</v>
          </cell>
          <cell r="CJ59">
            <v>9039.4507049251042</v>
          </cell>
          <cell r="CK59">
            <v>9751.6532140425952</v>
          </cell>
          <cell r="CL59">
            <v>10043.401043401043</v>
          </cell>
          <cell r="CM59">
            <v>10043.401043401043</v>
          </cell>
          <cell r="CN59">
            <v>10043.401043401043</v>
          </cell>
          <cell r="CO59">
            <v>9970.4640860614309</v>
          </cell>
          <cell r="CP59">
            <v>10190.65</v>
          </cell>
          <cell r="CQ59">
            <v>10190.65</v>
          </cell>
          <cell r="CR59">
            <v>10380.65</v>
          </cell>
          <cell r="CS59">
            <v>10380.65</v>
          </cell>
          <cell r="CT59">
            <v>10285.65</v>
          </cell>
          <cell r="CU59">
            <v>10570.65</v>
          </cell>
          <cell r="CV59">
            <v>10570.65</v>
          </cell>
          <cell r="CW59">
            <v>10760.65</v>
          </cell>
          <cell r="CX59">
            <v>10760.65</v>
          </cell>
          <cell r="CY59">
            <v>10665.65</v>
          </cell>
          <cell r="CZ59">
            <v>10950.65</v>
          </cell>
          <cell r="DA59">
            <v>10950.65</v>
          </cell>
          <cell r="DB59">
            <v>11140.65</v>
          </cell>
          <cell r="DC59">
            <v>11140.65</v>
          </cell>
          <cell r="DD59">
            <v>11045.65</v>
          </cell>
          <cell r="DE59">
            <v>11330.65</v>
          </cell>
          <cell r="DF59">
            <v>11330.65</v>
          </cell>
          <cell r="DG59">
            <v>11520.65</v>
          </cell>
          <cell r="DH59">
            <v>11520.65</v>
          </cell>
          <cell r="DI59">
            <v>11425.65</v>
          </cell>
        </row>
        <row r="60">
          <cell r="B60" t="str">
            <v>% of Beds in Service</v>
          </cell>
          <cell r="G60">
            <v>0.84395945069575384</v>
          </cell>
          <cell r="H60">
            <v>0.87725099262638939</v>
          </cell>
          <cell r="I60">
            <v>0.83412523600904565</v>
          </cell>
          <cell r="J60">
            <v>0.8969573310644261</v>
          </cell>
          <cell r="K60">
            <v>0.98088528396026242</v>
          </cell>
          <cell r="L60">
            <v>0.9366113176673716</v>
          </cell>
          <cell r="M60" t="str">
            <v>NM</v>
          </cell>
          <cell r="N60" t="str">
            <v>NM</v>
          </cell>
          <cell r="O60" t="str">
            <v>NM</v>
          </cell>
          <cell r="P60">
            <v>0.97826086956521741</v>
          </cell>
          <cell r="Q60">
            <v>0.89352068677617624</v>
          </cell>
          <cell r="R60" t="str">
            <v>NM</v>
          </cell>
          <cell r="S60" t="str">
            <v>NM</v>
          </cell>
          <cell r="T60" t="str">
            <v>NM</v>
          </cell>
          <cell r="U60">
            <v>0.95498517037000441</v>
          </cell>
          <cell r="V60">
            <v>0.92227817577744997</v>
          </cell>
          <cell r="W60" t="str">
            <v>NM</v>
          </cell>
          <cell r="X60" t="str">
            <v>NM</v>
          </cell>
          <cell r="Y60" t="str">
            <v>NM</v>
          </cell>
          <cell r="Z60">
            <v>0.99686995144901636</v>
          </cell>
          <cell r="AA60">
            <v>0.9596398052232783</v>
          </cell>
          <cell r="AB60" t="str">
            <v>NM</v>
          </cell>
          <cell r="AC60" t="str">
            <v>NM</v>
          </cell>
          <cell r="AD60" t="str">
            <v>NM</v>
          </cell>
          <cell r="AE60">
            <v>0.99885888895601738</v>
          </cell>
          <cell r="AF60">
            <v>0.96598212484737034</v>
          </cell>
          <cell r="AG60" t="str">
            <v>NM</v>
          </cell>
          <cell r="AH60">
            <v>0.94953706741536537</v>
          </cell>
          <cell r="AI60" t="str">
            <v>NM</v>
          </cell>
          <cell r="AJ60">
            <v>0.97599939727283536</v>
          </cell>
          <cell r="AK60">
            <v>0.94069315768917416</v>
          </cell>
          <cell r="AL60">
            <v>0.95400616999192722</v>
          </cell>
          <cell r="AM60">
            <v>0.99809166389250914</v>
          </cell>
          <cell r="AN60">
            <v>1.0007122927975742</v>
          </cell>
          <cell r="AO60">
            <v>0.94571697384254827</v>
          </cell>
          <cell r="AP60">
            <v>0.97746571842175656</v>
          </cell>
          <cell r="AQ60">
            <v>0.91918042459749227</v>
          </cell>
          <cell r="AR60">
            <v>0.96607214388521323</v>
          </cell>
          <cell r="AS60">
            <v>0.99896706473897212</v>
          </cell>
          <cell r="AT60">
            <v>0.97621420832911332</v>
          </cell>
          <cell r="AU60">
            <v>0.94095943760896239</v>
          </cell>
          <cell r="AW60">
            <v>0.99809166389250914</v>
          </cell>
          <cell r="AX60">
            <v>1.0007122927975742</v>
          </cell>
          <cell r="AY60">
            <v>0.94571697384254827</v>
          </cell>
          <cell r="AZ60">
            <v>0.91918042459749227</v>
          </cell>
          <cell r="BA60">
            <v>0.90736494235653598</v>
          </cell>
          <cell r="BB60">
            <v>0.96607214388521323</v>
          </cell>
          <cell r="BC60">
            <v>0.99896706473897212</v>
          </cell>
          <cell r="BD60">
            <v>0.97621420832911332</v>
          </cell>
          <cell r="BE60">
            <v>0.99271191188775398</v>
          </cell>
          <cell r="BF60">
            <v>0.98722097696644884</v>
          </cell>
          <cell r="BG60">
            <v>1.0007303426566811</v>
          </cell>
          <cell r="BH60">
            <v>0.97670359215755376</v>
          </cell>
          <cell r="BI60">
            <v>0.96175265605560867</v>
          </cell>
          <cell r="BJ60">
            <v>0.96904415685910616</v>
          </cell>
          <cell r="BK60">
            <v>0.98360240439928548</v>
          </cell>
          <cell r="BL60">
            <v>0.96114126990293869</v>
          </cell>
          <cell r="BM60">
            <v>0.95217390276765057</v>
          </cell>
          <cell r="BN60">
            <v>0.973489430080963</v>
          </cell>
          <cell r="BO60">
            <v>0.98662906156369978</v>
          </cell>
          <cell r="BP60">
            <v>0.97064774095524697</v>
          </cell>
          <cell r="BQ60">
            <v>0.9632449126519822</v>
          </cell>
          <cell r="BR60">
            <v>0.97467883676618605</v>
          </cell>
          <cell r="BS60">
            <v>0.98234793029370748</v>
          </cell>
          <cell r="BT60">
            <v>0.98881697781322053</v>
          </cell>
          <cell r="BU60">
            <v>0.94504643547618827</v>
          </cell>
          <cell r="BV60">
            <v>0.98900306358038004</v>
          </cell>
          <cell r="BW60">
            <v>0.98338776418754259</v>
          </cell>
          <cell r="BX60">
            <v>0.99020479073372425</v>
          </cell>
          <cell r="BY60">
            <v>0.95016045593726239</v>
          </cell>
          <cell r="BZ60">
            <v>0.91738812066929087</v>
          </cell>
          <cell r="CA60">
            <v>0.98835111435982037</v>
          </cell>
          <cell r="CB60">
            <v>0.98851039970848875</v>
          </cell>
          <cell r="CC60">
            <v>0.98691224421111434</v>
          </cell>
          <cell r="CD60">
            <v>0.98841706257005213</v>
          </cell>
          <cell r="CE60">
            <v>0.92347375323629977</v>
          </cell>
          <cell r="CF60">
            <v>0.989522809604644</v>
          </cell>
          <cell r="CG60">
            <v>0.9657652873268614</v>
          </cell>
          <cell r="CH60">
            <v>0.85090723468264395</v>
          </cell>
          <cell r="CI60">
            <v>0.93652828863824644</v>
          </cell>
          <cell r="CJ60">
            <v>0.97840141843544803</v>
          </cell>
          <cell r="CK60">
            <v>0.94401289584149028</v>
          </cell>
          <cell r="CL60">
            <v>0.95406108515256416</v>
          </cell>
          <cell r="CM60">
            <v>0.95406108515256416</v>
          </cell>
          <cell r="CN60">
            <v>0.95406108515256416</v>
          </cell>
          <cell r="CO60">
            <v>1.0566409586754377</v>
          </cell>
          <cell r="CP60">
            <v>0.95</v>
          </cell>
          <cell r="CQ60">
            <v>0.95</v>
          </cell>
          <cell r="CR60">
            <v>0.95</v>
          </cell>
          <cell r="CS60">
            <v>0.95</v>
          </cell>
          <cell r="CT60">
            <v>1.0457147214314761</v>
          </cell>
          <cell r="CU60">
            <v>0.95</v>
          </cell>
          <cell r="CV60">
            <v>0.95</v>
          </cell>
          <cell r="CW60">
            <v>0.95</v>
          </cell>
          <cell r="CX60">
            <v>0.95</v>
          </cell>
          <cell r="CY60">
            <v>1.0419744040640875</v>
          </cell>
          <cell r="CZ60">
            <v>0.95</v>
          </cell>
          <cell r="DA60">
            <v>0.95</v>
          </cell>
          <cell r="DB60">
            <v>0.95</v>
          </cell>
          <cell r="DC60">
            <v>0.95</v>
          </cell>
          <cell r="DD60">
            <v>1.0385154193305755</v>
          </cell>
          <cell r="DE60">
            <v>0.95</v>
          </cell>
          <cell r="DF60">
            <v>0.95</v>
          </cell>
          <cell r="DG60">
            <v>0.95</v>
          </cell>
          <cell r="DH60">
            <v>0.95</v>
          </cell>
          <cell r="DI60">
            <v>1.0353071765132293</v>
          </cell>
        </row>
        <row r="62">
          <cell r="B62" t="str">
            <v>Volumes</v>
          </cell>
        </row>
        <row r="63">
          <cell r="B63" t="str">
            <v>Inpatient Admissions</v>
          </cell>
          <cell r="E63">
            <v>40217</v>
          </cell>
          <cell r="F63">
            <v>46756</v>
          </cell>
          <cell r="G63">
            <v>48826</v>
          </cell>
          <cell r="H63">
            <v>55985</v>
          </cell>
          <cell r="I63">
            <v>63729</v>
          </cell>
          <cell r="J63">
            <v>82701</v>
          </cell>
          <cell r="K63">
            <v>100677</v>
          </cell>
          <cell r="L63">
            <v>123713</v>
          </cell>
          <cell r="M63">
            <v>33131</v>
          </cell>
          <cell r="N63">
            <v>37334</v>
          </cell>
          <cell r="O63">
            <v>35819</v>
          </cell>
          <cell r="P63">
            <v>37888</v>
          </cell>
          <cell r="Q63">
            <v>144172</v>
          </cell>
          <cell r="R63">
            <v>39637</v>
          </cell>
          <cell r="S63">
            <v>42792</v>
          </cell>
          <cell r="T63">
            <v>38711</v>
          </cell>
          <cell r="U63">
            <v>41154</v>
          </cell>
          <cell r="V63">
            <v>162294</v>
          </cell>
          <cell r="W63">
            <v>44559</v>
          </cell>
          <cell r="X63">
            <v>50077</v>
          </cell>
          <cell r="Y63">
            <v>46108</v>
          </cell>
          <cell r="Z63">
            <v>46318</v>
          </cell>
          <cell r="AA63">
            <v>187062</v>
          </cell>
          <cell r="AB63">
            <v>47914</v>
          </cell>
          <cell r="AC63">
            <v>57105</v>
          </cell>
          <cell r="AD63">
            <v>54707</v>
          </cell>
          <cell r="AE63">
            <v>56530</v>
          </cell>
          <cell r="AF63">
            <v>216256</v>
          </cell>
          <cell r="AG63">
            <v>57984</v>
          </cell>
          <cell r="AH63">
            <v>61228</v>
          </cell>
          <cell r="AI63">
            <v>56974</v>
          </cell>
          <cell r="AJ63">
            <v>59248</v>
          </cell>
          <cell r="AK63">
            <v>235434</v>
          </cell>
          <cell r="AL63">
            <v>70018</v>
          </cell>
          <cell r="AM63">
            <v>76152</v>
          </cell>
          <cell r="AN63">
            <v>69427</v>
          </cell>
          <cell r="AO63">
            <v>69037</v>
          </cell>
          <cell r="AP63">
            <v>284634</v>
          </cell>
          <cell r="AQ63">
            <v>71467</v>
          </cell>
          <cell r="AR63">
            <v>81692</v>
          </cell>
          <cell r="AS63">
            <v>76858</v>
          </cell>
          <cell r="AT63">
            <v>73831</v>
          </cell>
          <cell r="AU63">
            <v>303848</v>
          </cell>
          <cell r="AW63">
            <v>76152</v>
          </cell>
          <cell r="AX63">
            <v>69427</v>
          </cell>
          <cell r="AY63">
            <v>69037</v>
          </cell>
          <cell r="AZ63">
            <v>71467</v>
          </cell>
          <cell r="BA63">
            <v>286083</v>
          </cell>
          <cell r="BB63">
            <v>81692</v>
          </cell>
          <cell r="BC63">
            <v>76858</v>
          </cell>
          <cell r="BD63">
            <v>73831</v>
          </cell>
          <cell r="BE63">
            <v>75590</v>
          </cell>
          <cell r="BF63">
            <v>307971</v>
          </cell>
          <cell r="BG63">
            <v>84451</v>
          </cell>
          <cell r="BH63">
            <v>78219</v>
          </cell>
          <cell r="BI63">
            <v>76650</v>
          </cell>
          <cell r="BJ63">
            <v>79218</v>
          </cell>
          <cell r="BK63">
            <v>318538</v>
          </cell>
          <cell r="BL63">
            <v>85358</v>
          </cell>
          <cell r="BM63">
            <v>78623</v>
          </cell>
          <cell r="BN63">
            <v>76337</v>
          </cell>
          <cell r="BO63">
            <v>77531</v>
          </cell>
          <cell r="BP63">
            <v>317849</v>
          </cell>
          <cell r="BQ63">
            <v>83551</v>
          </cell>
          <cell r="BR63">
            <v>73809</v>
          </cell>
          <cell r="BS63">
            <v>72448</v>
          </cell>
          <cell r="BT63">
            <v>76562</v>
          </cell>
          <cell r="BU63">
            <v>306370</v>
          </cell>
          <cell r="BV63">
            <v>83361</v>
          </cell>
          <cell r="BW63">
            <v>77580</v>
          </cell>
          <cell r="BX63">
            <v>74890</v>
          </cell>
          <cell r="BY63">
            <v>77568</v>
          </cell>
          <cell r="BZ63">
            <v>313399</v>
          </cell>
          <cell r="CA63">
            <v>85482</v>
          </cell>
          <cell r="CB63">
            <v>79896</v>
          </cell>
          <cell r="CC63">
            <v>78566</v>
          </cell>
          <cell r="CD63">
            <v>82884</v>
          </cell>
          <cell r="CE63">
            <v>326828</v>
          </cell>
          <cell r="CF63">
            <v>88343</v>
          </cell>
          <cell r="CG63">
            <v>80753</v>
          </cell>
          <cell r="CH63">
            <v>81411</v>
          </cell>
          <cell r="CI63">
            <v>88330</v>
          </cell>
          <cell r="CJ63">
            <v>338837</v>
          </cell>
          <cell r="CK63">
            <v>93378</v>
          </cell>
          <cell r="CL63">
            <v>86467</v>
          </cell>
          <cell r="CM63">
            <v>84704</v>
          </cell>
          <cell r="CN63">
            <v>85658.86968621811</v>
          </cell>
          <cell r="CO63">
            <v>350207.8696862181</v>
          </cell>
          <cell r="CP63">
            <v>92647.596346429127</v>
          </cell>
          <cell r="CQ63">
            <v>84654.027163976425</v>
          </cell>
          <cell r="CR63">
            <v>83065.062520040417</v>
          </cell>
          <cell r="CS63">
            <v>83991.600707725564</v>
          </cell>
          <cell r="CT63">
            <v>344358.28673817153</v>
          </cell>
          <cell r="CU63">
            <v>93374.71674780453</v>
          </cell>
          <cell r="CV63">
            <v>85488.295947531486</v>
          </cell>
          <cell r="CW63">
            <v>83916.343318227329</v>
          </cell>
          <cell r="CX63">
            <v>84658.486210106334</v>
          </cell>
          <cell r="CY63">
            <v>347437.84222366969</v>
          </cell>
          <cell r="CZ63">
            <v>94761.198776602541</v>
          </cell>
          <cell r="DA63">
            <v>86765.257421144881</v>
          </cell>
          <cell r="DB63">
            <v>85180.223990693514</v>
          </cell>
          <cell r="DC63">
            <v>85912.961049906269</v>
          </cell>
          <cell r="DD63">
            <v>352619.64123834722</v>
          </cell>
          <cell r="DE63">
            <v>96286.674889554619</v>
          </cell>
          <cell r="DF63">
            <v>88001.28218354586</v>
          </cell>
          <cell r="DG63">
            <v>86400.804571941946</v>
          </cell>
          <cell r="DH63">
            <v>86962.032956517447</v>
          </cell>
          <cell r="DI63">
            <v>357650.79460155987</v>
          </cell>
        </row>
        <row r="64">
          <cell r="B64" t="str">
            <v>y/y % change - as reported</v>
          </cell>
          <cell r="F64">
            <v>0.1625929333366487</v>
          </cell>
          <cell r="G64">
            <v>4.4272392847976683E-2</v>
          </cell>
          <cell r="H64">
            <v>0.14662270101994834</v>
          </cell>
          <cell r="I64">
            <v>0.13832276502634633</v>
          </cell>
          <cell r="J64">
            <v>0.29769806524502185</v>
          </cell>
          <cell r="K64">
            <v>0.21736133783146516</v>
          </cell>
          <cell r="L64">
            <v>0.22881094986938422</v>
          </cell>
          <cell r="Q64">
            <v>0.1653746978894699</v>
          </cell>
          <cell r="R64">
            <v>0.19637197790588878</v>
          </cell>
          <cell r="S64">
            <v>0.14619381796753639</v>
          </cell>
          <cell r="T64">
            <v>8.0739272453167255E-2</v>
          </cell>
          <cell r="U64">
            <v>8.6201435810810745E-2</v>
          </cell>
          <cell r="V64">
            <v>0.12569708403850965</v>
          </cell>
          <cell r="W64">
            <v>0.12417690541665616</v>
          </cell>
          <cell r="X64">
            <v>0.17024210132735096</v>
          </cell>
          <cell r="Y64">
            <v>0.19108263800986802</v>
          </cell>
          <cell r="Z64">
            <v>0.12547990474801973</v>
          </cell>
          <cell r="AA64">
            <v>0.15261192650375244</v>
          </cell>
          <cell r="AB64">
            <v>7.5293431181130632E-2</v>
          </cell>
          <cell r="AC64">
            <v>0.14034387043952323</v>
          </cell>
          <cell r="AD64">
            <v>0.18649692027413889</v>
          </cell>
          <cell r="AE64">
            <v>0.2204758409257741</v>
          </cell>
          <cell r="AF64">
            <v>0.15606590328340331</v>
          </cell>
          <cell r="AG64">
            <v>0.21016821805735275</v>
          </cell>
          <cell r="AH64">
            <v>7.2200332720427252E-2</v>
          </cell>
          <cell r="AI64">
            <v>4.1438938344270371E-2</v>
          </cell>
          <cell r="AJ64">
            <v>4.8080665133557465E-2</v>
          </cell>
          <cell r="AK64">
            <v>8.8681932524415474E-2</v>
          </cell>
          <cell r="AL64">
            <v>0.20754001103752762</v>
          </cell>
          <cell r="AM64">
            <v>0.24374469197099358</v>
          </cell>
          <cell r="AN64">
            <v>0.21857338435075646</v>
          </cell>
          <cell r="AO64">
            <v>0.16522076694571974</v>
          </cell>
          <cell r="AP64">
            <v>0.20897576390835648</v>
          </cell>
          <cell r="AQ64">
            <v>2.0694678511240072E-2</v>
          </cell>
          <cell r="AR64">
            <v>7.2749238365374502E-2</v>
          </cell>
          <cell r="AS64">
            <v>0.10703328676163459</v>
          </cell>
          <cell r="AT64">
            <v>6.9441024378231964E-2</v>
          </cell>
          <cell r="AU64">
            <v>6.750423350688961E-2</v>
          </cell>
          <cell r="AW64">
            <v>0.24374469197099358</v>
          </cell>
          <cell r="AX64">
            <v>0.21857338435075646</v>
          </cell>
          <cell r="AY64">
            <v>0.16522076694571974</v>
          </cell>
          <cell r="AZ64">
            <v>2.0694678511240072E-2</v>
          </cell>
          <cell r="BB64">
            <v>7.2749238365374502E-2</v>
          </cell>
          <cell r="BC64">
            <v>0.10703328676163459</v>
          </cell>
          <cell r="BD64">
            <v>6.9441024378231964E-2</v>
          </cell>
          <cell r="BE64">
            <v>5.7690962262302969E-2</v>
          </cell>
          <cell r="BF64">
            <v>7.6509264793783727E-2</v>
          </cell>
          <cell r="BG64">
            <v>3.3773196885863888E-2</v>
          </cell>
          <cell r="BH64">
            <v>1.7707980951885194E-2</v>
          </cell>
          <cell r="BI64">
            <v>3.8181793555552623E-2</v>
          </cell>
          <cell r="BJ64">
            <v>4.7995766635798409E-2</v>
          </cell>
          <cell r="BK64">
            <v>3.431167220290221E-2</v>
          </cell>
          <cell r="BL64">
            <v>1.0739955713964244E-2</v>
          </cell>
          <cell r="BM64">
            <v>5.1649854894590952E-3</v>
          </cell>
          <cell r="BN64">
            <v>-4.0834964122635764E-3</v>
          </cell>
          <cell r="BO64">
            <v>-2.1295665126612628E-2</v>
          </cell>
          <cell r="BP64">
            <v>-2.1630072393246103E-3</v>
          </cell>
          <cell r="BQ64">
            <v>-2.116966189460856E-2</v>
          </cell>
          <cell r="BR64">
            <v>-6.122890248400592E-2</v>
          </cell>
          <cell r="BS64">
            <v>-5.094515110627873E-2</v>
          </cell>
          <cell r="BT64">
            <v>-1.2498226515845312E-2</v>
          </cell>
          <cell r="BU64">
            <v>-3.6114633049026401E-2</v>
          </cell>
          <cell r="BV64">
            <v>-2.2740601548754125E-3</v>
          </cell>
          <cell r="BW64">
            <v>5.1091330325570006E-2</v>
          </cell>
          <cell r="BX64">
            <v>3.3706934628975338E-2</v>
          </cell>
          <cell r="BY64">
            <v>1.3139677646874404E-2</v>
          </cell>
          <cell r="BZ64">
            <v>2.2942846884486112E-2</v>
          </cell>
          <cell r="CA64">
            <v>2.544355274049015E-2</v>
          </cell>
          <cell r="CB64">
            <v>2.9853054911059607E-2</v>
          </cell>
          <cell r="CC64">
            <v>4.9085325143543912E-2</v>
          </cell>
          <cell r="CD64">
            <v>6.8533415841584233E-2</v>
          </cell>
          <cell r="CE64">
            <v>4.2849530470741692E-2</v>
          </cell>
          <cell r="CF64">
            <v>3.3469034416602428E-2</v>
          </cell>
          <cell r="CG64">
            <v>1.0726444377691102E-2</v>
          </cell>
          <cell r="CH64">
            <v>3.6211592800957204E-2</v>
          </cell>
          <cell r="CI64">
            <v>6.5706288306548899E-2</v>
          </cell>
          <cell r="CJ64">
            <v>3.6744097812916987E-2</v>
          </cell>
          <cell r="CK64">
            <v>5.6993762946696336E-2</v>
          </cell>
          <cell r="CL64">
            <v>7.075898109048584E-2</v>
          </cell>
          <cell r="CM64">
            <v>4.0449079362739671E-2</v>
          </cell>
          <cell r="CN64">
            <v>-3.0240352244785385E-2</v>
          </cell>
          <cell r="CO64">
            <v>3.355852426452266E-2</v>
          </cell>
          <cell r="CP64">
            <v>-7.8220100405970161E-3</v>
          </cell>
          <cell r="CQ64">
            <v>-2.0967222593863299E-2</v>
          </cell>
          <cell r="CR64">
            <v>-1.9348997449466165E-2</v>
          </cell>
          <cell r="CS64">
            <v>-1.9464055323167528E-2</v>
          </cell>
          <cell r="CT64">
            <v>-1.6703173898655388E-2</v>
          </cell>
          <cell r="CU64">
            <v>7.8482381632065668E-3</v>
          </cell>
          <cell r="CV64">
            <v>9.8550395238619082E-3</v>
          </cell>
          <cell r="CW64">
            <v>1.0248361613903967E-2</v>
          </cell>
          <cell r="CX64">
            <v>7.9399070473891165E-3</v>
          </cell>
          <cell r="CY64">
            <v>8.942881888129639E-3</v>
          </cell>
          <cell r="CZ64">
            <v>1.4848580826678726E-2</v>
          </cell>
          <cell r="DA64">
            <v>1.4937266668610727E-2</v>
          </cell>
          <cell r="DB64">
            <v>1.5061198122912733E-2</v>
          </cell>
          <cell r="DC64">
            <v>1.4818063681018012E-2</v>
          </cell>
          <cell r="DD64">
            <v>1.4914319584513391E-2</v>
          </cell>
          <cell r="DE64">
            <v>1.6098109064115462E-2</v>
          </cell>
          <cell r="DF64">
            <v>1.4245618570593477E-2</v>
          </cell>
          <cell r="DG64">
            <v>1.4329389194630338E-2</v>
          </cell>
          <cell r="DH64">
            <v>1.2210868928167695E-2</v>
          </cell>
          <cell r="DI64">
            <v>1.4267932851227405E-2</v>
          </cell>
        </row>
        <row r="65">
          <cell r="B65" t="str">
            <v>y/y % change - restated</v>
          </cell>
          <cell r="BB65">
            <v>7.2749238365374502E-2</v>
          </cell>
          <cell r="BC65">
            <v>0.10703328676163459</v>
          </cell>
          <cell r="BD65">
            <v>8.088601294176212E-2</v>
          </cell>
          <cell r="BE65">
            <v>6.8258903335217669E-2</v>
          </cell>
          <cell r="BF65">
            <v>8.1947689226931741E-2</v>
          </cell>
          <cell r="BG65">
            <v>6.7432630567773932E-2</v>
          </cell>
          <cell r="BH65">
            <v>2.800704447481861E-2</v>
          </cell>
          <cell r="BI65">
            <v>5.3753093208688485E-2</v>
          </cell>
          <cell r="BJ65">
            <v>6.4228810940795578E-2</v>
          </cell>
          <cell r="BK65">
            <v>5.7099810176151289E-2</v>
          </cell>
          <cell r="BL65">
            <v>2.6356924704807216E-2</v>
          </cell>
          <cell r="BM65">
            <v>2.8141386930993439E-2</v>
          </cell>
          <cell r="BN65">
            <v>4.2624287950745465E-3</v>
          </cell>
          <cell r="BO65">
            <v>-1.3299226226837657E-2</v>
          </cell>
          <cell r="BP65">
            <v>9.3200048267145785E-3</v>
          </cell>
          <cell r="BQ65">
            <v>1.235899237862137E-2</v>
          </cell>
          <cell r="BR65">
            <v>-3.8406920541449008E-2</v>
          </cell>
          <cell r="BS65">
            <v>-3.2788636120901438E-2</v>
          </cell>
          <cell r="BT65">
            <v>-1.8642852486799866E-3</v>
          </cell>
          <cell r="BU65">
            <v>-1.4561092580500978E-2</v>
          </cell>
          <cell r="BV65">
            <v>-2.2740601548754125E-3</v>
          </cell>
          <cell r="BW65">
            <v>5.1091330325570006E-2</v>
          </cell>
          <cell r="BX65">
            <v>5.3853622841703919E-2</v>
          </cell>
          <cell r="BY65">
            <v>3.2917865132630286E-2</v>
          </cell>
          <cell r="BZ65">
            <v>4.3484196191636793E-2</v>
          </cell>
          <cell r="CA65">
            <v>4.5165549958429141E-2</v>
          </cell>
          <cell r="CB65">
            <v>4.9605885444035769E-2</v>
          </cell>
          <cell r="CC65">
            <v>4.9085325143543912E-2</v>
          </cell>
          <cell r="CD65">
            <v>8.3238580670456752E-2</v>
          </cell>
          <cell r="CE65">
            <v>6.5384490008801421E-2</v>
          </cell>
          <cell r="CF65">
            <v>4.219852299270932E-2</v>
          </cell>
          <cell r="CG65">
            <v>2.1827706635622723E-2</v>
          </cell>
          <cell r="CH65">
            <v>4.8759436271352374E-2</v>
          </cell>
          <cell r="CI65">
            <v>6.7638455773926021E-2</v>
          </cell>
          <cell r="CJ65">
            <v>4.6061182339920403E-2</v>
          </cell>
          <cell r="CK65">
            <v>5.9392124161873339E-2</v>
          </cell>
          <cell r="CL65">
            <v>7.075898109048584E-2</v>
          </cell>
          <cell r="CM65">
            <v>4.0449079362739671E-2</v>
          </cell>
        </row>
        <row r="67">
          <cell r="B67" t="str">
            <v>Outpatient admissions</v>
          </cell>
          <cell r="I67" t="str">
            <v>NM</v>
          </cell>
          <cell r="J67" t="str">
            <v>NM</v>
          </cell>
          <cell r="K67" t="str">
            <v>NM</v>
          </cell>
          <cell r="L67" t="str">
            <v>NM</v>
          </cell>
          <cell r="M67" t="str">
            <v>NM</v>
          </cell>
          <cell r="N67" t="str">
            <v>NM</v>
          </cell>
          <cell r="O67" t="str">
            <v>NM</v>
          </cell>
          <cell r="P67" t="str">
            <v>NM</v>
          </cell>
          <cell r="Q67">
            <v>77671</v>
          </cell>
          <cell r="R67">
            <v>21164</v>
          </cell>
          <cell r="S67">
            <v>21636</v>
          </cell>
          <cell r="T67">
            <v>22585</v>
          </cell>
          <cell r="U67">
            <v>19879</v>
          </cell>
          <cell r="V67">
            <v>85264</v>
          </cell>
          <cell r="W67">
            <v>24031</v>
          </cell>
          <cell r="X67">
            <v>25418</v>
          </cell>
          <cell r="Y67">
            <v>26157</v>
          </cell>
          <cell r="Z67">
            <v>28468</v>
          </cell>
          <cell r="AA67">
            <v>104074</v>
          </cell>
          <cell r="AB67">
            <v>28882</v>
          </cell>
          <cell r="AC67">
            <v>31914</v>
          </cell>
          <cell r="AD67">
            <v>32921</v>
          </cell>
          <cell r="AE67">
            <v>34166</v>
          </cell>
          <cell r="AF67">
            <v>127883</v>
          </cell>
          <cell r="AG67">
            <v>33353</v>
          </cell>
          <cell r="AH67">
            <v>34093</v>
          </cell>
          <cell r="AI67">
            <v>34464</v>
          </cell>
          <cell r="AJ67">
            <v>36444</v>
          </cell>
          <cell r="AK67">
            <v>138354</v>
          </cell>
          <cell r="AL67">
            <v>41682</v>
          </cell>
          <cell r="AM67">
            <v>44892</v>
          </cell>
          <cell r="AN67">
            <v>45378</v>
          </cell>
          <cell r="AO67">
            <v>45714</v>
          </cell>
          <cell r="AP67">
            <v>177666</v>
          </cell>
          <cell r="AQ67">
            <v>45721</v>
          </cell>
          <cell r="AR67">
            <v>49944</v>
          </cell>
          <cell r="AS67">
            <v>51808</v>
          </cell>
          <cell r="AT67">
            <v>51667</v>
          </cell>
          <cell r="AU67">
            <v>199140</v>
          </cell>
          <cell r="AW67">
            <v>44892</v>
          </cell>
          <cell r="AX67">
            <v>45378</v>
          </cell>
          <cell r="AY67">
            <v>45714</v>
          </cell>
          <cell r="AZ67">
            <v>45721</v>
          </cell>
          <cell r="BA67">
            <v>181705</v>
          </cell>
          <cell r="BB67">
            <v>49944</v>
          </cell>
          <cell r="BC67">
            <v>51808</v>
          </cell>
          <cell r="BD67">
            <v>51667</v>
          </cell>
          <cell r="BE67">
            <v>50344</v>
          </cell>
          <cell r="BF67">
            <v>203763</v>
          </cell>
          <cell r="BG67">
            <v>55721</v>
          </cell>
          <cell r="BH67">
            <v>56502</v>
          </cell>
          <cell r="BI67">
            <v>53718</v>
          </cell>
          <cell r="BJ67">
            <v>54494</v>
          </cell>
          <cell r="BK67">
            <v>220435</v>
          </cell>
          <cell r="BL67">
            <v>56720</v>
          </cell>
          <cell r="BM67">
            <v>60155</v>
          </cell>
          <cell r="BN67">
            <v>56509</v>
          </cell>
          <cell r="BO67">
            <v>57311</v>
          </cell>
          <cell r="BP67">
            <v>230695</v>
          </cell>
          <cell r="BQ67">
            <v>56773</v>
          </cell>
          <cell r="BR67">
            <v>55940</v>
          </cell>
          <cell r="BS67">
            <v>56720</v>
          </cell>
          <cell r="BT67">
            <v>56403</v>
          </cell>
          <cell r="BU67">
            <v>225836</v>
          </cell>
          <cell r="BV67">
            <v>57288</v>
          </cell>
          <cell r="BW67">
            <v>58221</v>
          </cell>
          <cell r="BX67">
            <v>60143</v>
          </cell>
          <cell r="BY67">
            <v>59495</v>
          </cell>
          <cell r="BZ67">
            <v>235147</v>
          </cell>
          <cell r="CA67">
            <v>63448</v>
          </cell>
          <cell r="CB67">
            <v>65519</v>
          </cell>
          <cell r="CC67">
            <v>67831</v>
          </cell>
          <cell r="CD67">
            <v>69140</v>
          </cell>
          <cell r="CE67">
            <v>265938</v>
          </cell>
          <cell r="CF67">
            <v>71299</v>
          </cell>
          <cell r="CG67">
            <v>71463</v>
          </cell>
          <cell r="CH67">
            <v>73686</v>
          </cell>
          <cell r="CI67">
            <v>80870</v>
          </cell>
          <cell r="CJ67">
            <v>297318</v>
          </cell>
          <cell r="CK67">
            <v>84437</v>
          </cell>
          <cell r="CL67">
            <v>85727</v>
          </cell>
          <cell r="CM67">
            <v>86502</v>
          </cell>
          <cell r="CN67">
            <v>86353.670956000264</v>
          </cell>
          <cell r="CO67">
            <v>343019.67095600034</v>
          </cell>
          <cell r="CP67">
            <v>87395.483734214868</v>
          </cell>
          <cell r="CQ67">
            <v>87903.054606449441</v>
          </cell>
          <cell r="CR67">
            <v>88232.238878476099</v>
          </cell>
          <cell r="CS67">
            <v>91205.213952278398</v>
          </cell>
          <cell r="CT67">
            <v>354735.99117141886</v>
          </cell>
          <cell r="CU67">
            <v>91340.274857297351</v>
          </cell>
          <cell r="CV67">
            <v>92006.496109366228</v>
          </cell>
          <cell r="CW67">
            <v>92370.818536415027</v>
          </cell>
          <cell r="CX67">
            <v>95257.354656561845</v>
          </cell>
          <cell r="CY67">
            <v>370974.94415964041</v>
          </cell>
          <cell r="CZ67">
            <v>95731.642121170822</v>
          </cell>
          <cell r="DA67">
            <v>96395.590416064937</v>
          </cell>
          <cell r="DB67">
            <v>96774.310574878444</v>
          </cell>
          <cell r="DC67">
            <v>99753.329339395219</v>
          </cell>
          <cell r="DD67">
            <v>388654.87245150941</v>
          </cell>
          <cell r="DE67">
            <v>100417.9352888914</v>
          </cell>
          <cell r="DF67">
            <v>100892.09264489739</v>
          </cell>
          <cell r="DG67">
            <v>101282.91400478319</v>
          </cell>
          <cell r="DH67">
            <v>104183.59630403272</v>
          </cell>
          <cell r="DI67">
            <v>406776.5382426047</v>
          </cell>
        </row>
        <row r="68">
          <cell r="B68" t="str">
            <v>y/y % change - as reported</v>
          </cell>
          <cell r="I68" t="str">
            <v>NM</v>
          </cell>
          <cell r="J68" t="str">
            <v>NM</v>
          </cell>
          <cell r="K68" t="str">
            <v>NM</v>
          </cell>
          <cell r="L68" t="str">
            <v>NM</v>
          </cell>
          <cell r="Q68" t="str">
            <v>NM</v>
          </cell>
          <cell r="R68" t="str">
            <v>NM</v>
          </cell>
          <cell r="S68" t="str">
            <v>NM</v>
          </cell>
          <cell r="T68" t="str">
            <v>NM</v>
          </cell>
          <cell r="U68" t="str">
            <v>NM</v>
          </cell>
          <cell r="V68">
            <v>9.7758494161269915E-2</v>
          </cell>
          <cell r="W68">
            <v>0.13546588546588545</v>
          </cell>
          <cell r="X68">
            <v>0.17480125716398587</v>
          </cell>
          <cell r="Y68">
            <v>0.15815806951516498</v>
          </cell>
          <cell r="Z68">
            <v>0.4320639871220886</v>
          </cell>
          <cell r="AA68">
            <v>0.22060893225745914</v>
          </cell>
          <cell r="AB68">
            <v>0.20186425866588986</v>
          </cell>
          <cell r="AC68">
            <v>0.25556692107954992</v>
          </cell>
          <cell r="AD68">
            <v>0.25859234621707383</v>
          </cell>
          <cell r="AE68">
            <v>0.2001545595054095</v>
          </cell>
          <cell r="AF68">
            <v>0.22876991371524102</v>
          </cell>
          <cell r="AG68">
            <v>0.15480229900976394</v>
          </cell>
          <cell r="AH68">
            <v>6.8277245096195927E-2</v>
          </cell>
          <cell r="AI68">
            <v>4.686977916831192E-2</v>
          </cell>
          <cell r="AJ68">
            <v>6.6674471697008686E-2</v>
          </cell>
          <cell r="AK68">
            <v>8.187953050835528E-2</v>
          </cell>
          <cell r="AL68">
            <v>0.2497226636284593</v>
          </cell>
          <cell r="AM68">
            <v>0.31675123925732551</v>
          </cell>
          <cell r="AN68">
            <v>0.31667827298050133</v>
          </cell>
          <cell r="AO68">
            <v>0.25436285808363523</v>
          </cell>
          <cell r="AP68">
            <v>0.28414068259681691</v>
          </cell>
          <cell r="AQ68">
            <v>9.6900340674631824E-2</v>
          </cell>
          <cell r="AR68">
            <v>0.11253675487837467</v>
          </cell>
          <cell r="AS68">
            <v>0.14169862047688309</v>
          </cell>
          <cell r="AT68">
            <v>0.13022268889180566</v>
          </cell>
          <cell r="AU68">
            <v>0.12086724528046999</v>
          </cell>
          <cell r="AW68">
            <v>0.31675123925732551</v>
          </cell>
          <cell r="AX68">
            <v>0.31667827298050133</v>
          </cell>
          <cell r="AY68">
            <v>0.25436285808363523</v>
          </cell>
          <cell r="AZ68">
            <v>9.6900340674631824E-2</v>
          </cell>
          <cell r="BB68">
            <v>0.11253675487837467</v>
          </cell>
          <cell r="BC68">
            <v>0.14169862047688309</v>
          </cell>
          <cell r="BD68">
            <v>0.13022268889180566</v>
          </cell>
          <cell r="BE68">
            <v>0.10111327398788306</v>
          </cell>
          <cell r="BF68">
            <v>0.1213945681186539</v>
          </cell>
          <cell r="BG68">
            <v>0.11566954989588329</v>
          </cell>
          <cell r="BH68">
            <v>9.0603767757875264E-2</v>
          </cell>
          <cell r="BI68">
            <v>3.9696518086980159E-2</v>
          </cell>
          <cell r="BJ68">
            <v>8.2432861910058719E-2</v>
          </cell>
          <cell r="BK68">
            <v>8.1820546419124174E-2</v>
          </cell>
          <cell r="BL68">
            <v>1.7928608603578589E-2</v>
          </cell>
          <cell r="BM68">
            <v>6.465257866978158E-2</v>
          </cell>
          <cell r="BN68">
            <v>5.1956513645333047E-2</v>
          </cell>
          <cell r="BO68">
            <v>5.1693764451132163E-2</v>
          </cell>
          <cell r="BP68">
            <v>4.6544332796516041E-2</v>
          </cell>
          <cell r="BQ68">
            <v>9.3441466854726762E-4</v>
          </cell>
          <cell r="BR68">
            <v>-7.0068988446513214E-2</v>
          </cell>
          <cell r="BS68">
            <v>3.7339184908598E-3</v>
          </cell>
          <cell r="BT68">
            <v>-1.5843380851843447E-2</v>
          </cell>
          <cell r="BU68">
            <v>-2.1062441752096928E-2</v>
          </cell>
          <cell r="BV68">
            <v>9.0712134289185897E-3</v>
          </cell>
          <cell r="BW68">
            <v>4.0775831247765515E-2</v>
          </cell>
          <cell r="BX68">
            <v>6.0349083215796906E-2</v>
          </cell>
          <cell r="BY68">
            <v>5.4819779089764653E-2</v>
          </cell>
          <cell r="BZ68">
            <v>4.1229033457907516E-2</v>
          </cell>
          <cell r="CA68">
            <v>0.10752688172043001</v>
          </cell>
          <cell r="CB68">
            <v>0.12534995963655726</v>
          </cell>
          <cell r="CC68">
            <v>0.12782867499127071</v>
          </cell>
          <cell r="CD68">
            <v>0.16211446340028579</v>
          </cell>
          <cell r="CE68">
            <v>0.13094362249996805</v>
          </cell>
          <cell r="CF68">
            <v>0.12373912495271711</v>
          </cell>
          <cell r="CG68">
            <v>9.0721775362871737E-2</v>
          </cell>
          <cell r="CH68">
            <v>8.6317465465642451E-2</v>
          </cell>
          <cell r="CI68">
            <v>0.16965577089962403</v>
          </cell>
          <cell r="CJ68">
            <v>0.11799742797193336</v>
          </cell>
          <cell r="CK68">
            <v>0.18426625899381488</v>
          </cell>
          <cell r="CL68">
            <v>0.19959979289982233</v>
          </cell>
          <cell r="CM68">
            <v>0.17392720462503064</v>
          </cell>
          <cell r="CN68">
            <v>6.7808469840487939E-2</v>
          </cell>
          <cell r="CO68">
            <v>0.15371309828533875</v>
          </cell>
          <cell r="CP68">
            <v>3.5037764655481141E-2</v>
          </cell>
          <cell r="CQ68">
            <v>2.5383538517030013E-2</v>
          </cell>
          <cell r="CR68">
            <v>2.0002299119975309E-2</v>
          </cell>
          <cell r="CS68">
            <v>5.6182243818564848E-2</v>
          </cell>
          <cell r="CT68">
            <v>3.4156409114278974E-2</v>
          </cell>
          <cell r="CU68">
            <v>4.5137242275347988E-2</v>
          </cell>
          <cell r="CV68">
            <v>4.6681443793828326E-2</v>
          </cell>
          <cell r="CW68">
            <v>4.690552694281136E-2</v>
          </cell>
          <cell r="CX68">
            <v>4.4428827351950195E-2</v>
          </cell>
          <cell r="CY68">
            <v>4.5777573723480458E-2</v>
          </cell>
          <cell r="CZ68">
            <v>4.8077009519997382E-2</v>
          </cell>
          <cell r="DA68">
            <v>4.7704178425417743E-2</v>
          </cell>
          <cell r="DB68">
            <v>4.7671895824193067E-2</v>
          </cell>
          <cell r="DC68">
            <v>4.719818956807087E-2</v>
          </cell>
          <cell r="DD68">
            <v>4.7658011869019523E-2</v>
          </cell>
          <cell r="DE68">
            <v>4.8952395089901124E-2</v>
          </cell>
          <cell r="DF68">
            <v>4.6646347715953995E-2</v>
          </cell>
          <cell r="DG68">
            <v>4.6588845770347831E-2</v>
          </cell>
          <cell r="DH68">
            <v>4.4412221566702881E-2</v>
          </cell>
          <cell r="DI68">
            <v>4.6626627055489367E-2</v>
          </cell>
        </row>
        <row r="69">
          <cell r="B69" t="str">
            <v>Adjusted admissions</v>
          </cell>
          <cell r="I69" t="str">
            <v>ND</v>
          </cell>
          <cell r="J69" t="str">
            <v>ND</v>
          </cell>
          <cell r="K69" t="str">
            <v>ND</v>
          </cell>
          <cell r="L69" t="str">
            <v>ND</v>
          </cell>
          <cell r="M69" t="str">
            <v>ND</v>
          </cell>
          <cell r="N69" t="str">
            <v>ND</v>
          </cell>
          <cell r="O69" t="str">
            <v>ND</v>
          </cell>
          <cell r="P69" t="str">
            <v>ND</v>
          </cell>
          <cell r="Q69">
            <v>221843</v>
          </cell>
          <cell r="R69">
            <v>60801</v>
          </cell>
          <cell r="S69">
            <v>64428</v>
          </cell>
          <cell r="T69">
            <v>61296</v>
          </cell>
          <cell r="U69">
            <v>61033</v>
          </cell>
          <cell r="V69">
            <v>247558</v>
          </cell>
          <cell r="W69">
            <v>68590</v>
          </cell>
          <cell r="X69">
            <v>75495</v>
          </cell>
          <cell r="Y69">
            <v>72265</v>
          </cell>
          <cell r="Z69">
            <v>74786</v>
          </cell>
          <cell r="AA69">
            <v>291136</v>
          </cell>
          <cell r="AB69">
            <v>76796</v>
          </cell>
          <cell r="AC69">
            <v>89019</v>
          </cell>
          <cell r="AD69">
            <v>87628</v>
          </cell>
          <cell r="AE69">
            <v>90696</v>
          </cell>
          <cell r="AF69">
            <v>344139</v>
          </cell>
          <cell r="AG69">
            <v>91337</v>
          </cell>
          <cell r="AH69">
            <v>95321</v>
          </cell>
          <cell r="AI69">
            <v>91438</v>
          </cell>
          <cell r="AJ69">
            <v>95692</v>
          </cell>
          <cell r="AK69">
            <v>373788</v>
          </cell>
          <cell r="AL69">
            <v>111700</v>
          </cell>
          <cell r="AM69">
            <v>121044</v>
          </cell>
          <cell r="AN69">
            <v>114805</v>
          </cell>
          <cell r="AO69">
            <v>114751</v>
          </cell>
          <cell r="AP69">
            <v>462300</v>
          </cell>
          <cell r="AQ69">
            <v>117188</v>
          </cell>
          <cell r="AR69">
            <v>131636</v>
          </cell>
          <cell r="AS69">
            <v>128666</v>
          </cell>
          <cell r="AT69">
            <v>125498</v>
          </cell>
          <cell r="AU69">
            <v>502988</v>
          </cell>
          <cell r="AW69">
            <v>121044</v>
          </cell>
          <cell r="AX69">
            <v>114805</v>
          </cell>
          <cell r="AY69">
            <v>114751</v>
          </cell>
          <cell r="AZ69">
            <v>117188</v>
          </cell>
          <cell r="BA69">
            <v>467788</v>
          </cell>
          <cell r="BB69">
            <v>131636</v>
          </cell>
          <cell r="BC69">
            <v>128666</v>
          </cell>
          <cell r="BD69">
            <v>125498</v>
          </cell>
          <cell r="BE69">
            <v>125934</v>
          </cell>
          <cell r="BF69">
            <v>511734</v>
          </cell>
          <cell r="BG69">
            <v>140172</v>
          </cell>
          <cell r="BH69">
            <v>134721</v>
          </cell>
          <cell r="BI69">
            <v>130368</v>
          </cell>
          <cell r="BJ69">
            <v>133712</v>
          </cell>
          <cell r="BK69">
            <v>538973</v>
          </cell>
          <cell r="BL69">
            <v>142078</v>
          </cell>
          <cell r="BM69">
            <v>138778</v>
          </cell>
          <cell r="BN69">
            <v>132846</v>
          </cell>
          <cell r="BO69">
            <v>134842</v>
          </cell>
          <cell r="BP69">
            <v>548544</v>
          </cell>
          <cell r="BQ69">
            <v>140324</v>
          </cell>
          <cell r="BR69">
            <v>129749</v>
          </cell>
          <cell r="BS69">
            <v>129168</v>
          </cell>
          <cell r="BT69">
            <v>132965</v>
          </cell>
          <cell r="BU69">
            <v>532206</v>
          </cell>
          <cell r="BV69">
            <v>140649</v>
          </cell>
          <cell r="BW69">
            <v>135801</v>
          </cell>
          <cell r="BX69">
            <v>135033</v>
          </cell>
          <cell r="BY69">
            <v>137063</v>
          </cell>
          <cell r="BZ69">
            <v>548546</v>
          </cell>
          <cell r="CA69">
            <v>148930</v>
          </cell>
          <cell r="CB69">
            <v>145415</v>
          </cell>
          <cell r="CC69">
            <v>146397</v>
          </cell>
          <cell r="CD69">
            <v>152024</v>
          </cell>
          <cell r="CE69">
            <v>592766</v>
          </cell>
          <cell r="CF69">
            <v>159642</v>
          </cell>
          <cell r="CG69">
            <v>152216</v>
          </cell>
          <cell r="CH69">
            <v>155097</v>
          </cell>
          <cell r="CI69">
            <v>169200</v>
          </cell>
          <cell r="CJ69">
            <v>636155</v>
          </cell>
          <cell r="CK69">
            <v>177815</v>
          </cell>
          <cell r="CL69">
            <v>172194</v>
          </cell>
          <cell r="CM69">
            <v>171206</v>
          </cell>
          <cell r="CN69">
            <v>172012.54064221837</v>
          </cell>
          <cell r="CO69">
            <v>693227.54064221843</v>
          </cell>
          <cell r="CP69">
            <v>180043.08008064399</v>
          </cell>
          <cell r="CQ69">
            <v>172557.08177042587</v>
          </cell>
          <cell r="CR69">
            <v>171297.30139851652</v>
          </cell>
          <cell r="CS69">
            <v>175196.81466000396</v>
          </cell>
          <cell r="CT69">
            <v>699094.2779095904</v>
          </cell>
          <cell r="CU69">
            <v>184714.99160510188</v>
          </cell>
          <cell r="CV69">
            <v>177494.79205689771</v>
          </cell>
          <cell r="CW69">
            <v>176287.16185464236</v>
          </cell>
          <cell r="CX69">
            <v>179915.84086666818</v>
          </cell>
          <cell r="CY69">
            <v>718412.7863833101</v>
          </cell>
          <cell r="CZ69">
            <v>190492.84089777336</v>
          </cell>
          <cell r="DA69">
            <v>183160.84783720982</v>
          </cell>
          <cell r="DB69">
            <v>181954.53456557196</v>
          </cell>
          <cell r="DC69">
            <v>185666.29038930149</v>
          </cell>
          <cell r="DD69">
            <v>741274.51368985663</v>
          </cell>
          <cell r="DE69">
            <v>196704.61017844602</v>
          </cell>
          <cell r="DF69">
            <v>188893.37482844325</v>
          </cell>
          <cell r="DG69">
            <v>187683.71857672514</v>
          </cell>
          <cell r="DH69">
            <v>191145.62926055017</v>
          </cell>
          <cell r="DI69">
            <v>764427.33284416457</v>
          </cell>
        </row>
        <row r="70">
          <cell r="B70" t="str">
            <v>y/y % change - as reported</v>
          </cell>
          <cell r="I70" t="str">
            <v>NM</v>
          </cell>
          <cell r="J70" t="str">
            <v>NM</v>
          </cell>
          <cell r="K70" t="str">
            <v>NM</v>
          </cell>
          <cell r="L70" t="str">
            <v>NM</v>
          </cell>
          <cell r="Q70" t="str">
            <v>NM</v>
          </cell>
          <cell r="R70" t="str">
            <v>NM</v>
          </cell>
          <cell r="S70" t="str">
            <v>NM</v>
          </cell>
          <cell r="T70" t="str">
            <v>NM</v>
          </cell>
          <cell r="U70" t="str">
            <v>NM</v>
          </cell>
          <cell r="V70">
            <v>0.11591530947562023</v>
          </cell>
          <cell r="W70">
            <v>0.12810644561767082</v>
          </cell>
          <cell r="X70">
            <v>0.17177314211212513</v>
          </cell>
          <cell r="Y70">
            <v>0.17895131819368304</v>
          </cell>
          <cell r="Z70">
            <v>0.22533711270951784</v>
          </cell>
          <cell r="AA70">
            <v>0.1760314754522172</v>
          </cell>
          <cell r="AB70">
            <v>0.11963843125820084</v>
          </cell>
          <cell r="AC70">
            <v>0.17913769123783041</v>
          </cell>
          <cell r="AD70">
            <v>0.212592541340898</v>
          </cell>
          <cell r="AE70">
            <v>0.21274035247238787</v>
          </cell>
          <cell r="AF70">
            <v>0.18205580896900408</v>
          </cell>
          <cell r="AG70">
            <v>0.1893457992603782</v>
          </cell>
          <cell r="AH70">
            <v>7.0793875464788325E-2</v>
          </cell>
          <cell r="AI70">
            <v>4.3479253206737623E-2</v>
          </cell>
          <cell r="AJ70">
            <v>5.5085119520155157E-2</v>
          </cell>
          <cell r="AK70">
            <v>8.6154141204571433E-2</v>
          </cell>
          <cell r="AL70">
            <v>0.22294360445383576</v>
          </cell>
          <cell r="AM70">
            <v>0.26985658983854544</v>
          </cell>
          <cell r="AN70">
            <v>0.25555020888470881</v>
          </cell>
          <cell r="AO70">
            <v>0.19917025456673487</v>
          </cell>
          <cell r="AP70">
            <v>0.23679732896722205</v>
          </cell>
          <cell r="AQ70">
            <v>4.9131602506714334E-2</v>
          </cell>
          <cell r="AR70">
            <v>8.7505369948118084E-2</v>
          </cell>
          <cell r="AS70">
            <v>0.12073515961848358</v>
          </cell>
          <cell r="AT70">
            <v>9.3654957255274507E-2</v>
          </cell>
          <cell r="AU70">
            <v>8.8012113346311871E-2</v>
          </cell>
          <cell r="AW70">
            <v>0.26985658983854544</v>
          </cell>
          <cell r="AX70">
            <v>0.25555020888470881</v>
          </cell>
          <cell r="AY70">
            <v>0.19917025456673487</v>
          </cell>
          <cell r="AZ70">
            <v>4.9131602506714334E-2</v>
          </cell>
          <cell r="BB70">
            <v>8.7505369948118084E-2</v>
          </cell>
          <cell r="BC70">
            <v>0.12073515961848358</v>
          </cell>
          <cell r="BD70">
            <v>9.3654957255274507E-2</v>
          </cell>
          <cell r="BE70">
            <v>7.4632214902549787E-2</v>
          </cell>
          <cell r="BF70">
            <v>9.3944265350971001E-2</v>
          </cell>
          <cell r="BG70">
            <v>6.4845482998571846E-2</v>
          </cell>
          <cell r="BH70">
            <v>4.7059829325540647E-2</v>
          </cell>
          <cell r="BI70">
            <v>3.8805399289231657E-2</v>
          </cell>
          <cell r="BJ70">
            <v>6.1762510521384151E-2</v>
          </cell>
          <cell r="BK70">
            <v>5.3228825913462785E-2</v>
          </cell>
          <cell r="BL70">
            <v>1.3597580115857655E-2</v>
          </cell>
          <cell r="BM70">
            <v>3.0114087632959974E-2</v>
          </cell>
          <cell r="BN70">
            <v>1.900773195876293E-2</v>
          </cell>
          <cell r="BO70">
            <v>8.4509991623789027E-3</v>
          </cell>
          <cell r="BP70">
            <v>1.775784686802484E-2</v>
          </cell>
          <cell r="BQ70">
            <v>-1.2345331437661033E-2</v>
          </cell>
          <cell r="BR70">
            <v>-6.5060744498407486E-2</v>
          </cell>
          <cell r="BS70">
            <v>-2.768619303554487E-2</v>
          </cell>
          <cell r="BT70">
            <v>-1.3919995253704354E-2</v>
          </cell>
          <cell r="BU70">
            <v>-2.9784301715085726E-2</v>
          </cell>
          <cell r="BV70">
            <v>2.3160685271228498E-3</v>
          </cell>
          <cell r="BW70">
            <v>4.6643904769978928E-2</v>
          </cell>
          <cell r="BX70">
            <v>4.5405982905982967E-2</v>
          </cell>
          <cell r="BY70">
            <v>3.0820140638513793E-2</v>
          </cell>
          <cell r="BZ70">
            <v>3.0702397192064801E-2</v>
          </cell>
          <cell r="CA70">
            <v>5.88770627590669E-2</v>
          </cell>
          <cell r="CB70">
            <v>7.0794765870648924E-2</v>
          </cell>
          <cell r="CC70">
            <v>8.4157206016307162E-2</v>
          </cell>
          <cell r="CD70">
            <v>0.10915418457205806</v>
          </cell>
          <cell r="CE70">
            <v>8.0613111753617739E-2</v>
          </cell>
          <cell r="CF70">
            <v>7.1926408379775708E-2</v>
          </cell>
          <cell r="CG70">
            <v>4.676959048241236E-2</v>
          </cell>
          <cell r="CH70">
            <v>5.9427447283755708E-2</v>
          </cell>
          <cell r="CI70">
            <v>0.11298216071146672</v>
          </cell>
          <cell r="CJ70">
            <v>7.3197518076272949E-2</v>
          </cell>
          <cell r="CK70">
            <v>0.11383595795592649</v>
          </cell>
          <cell r="CL70">
            <v>0.13124770063593849</v>
          </cell>
          <cell r="CM70">
            <v>0.10386403347582474</v>
          </cell>
          <cell r="CN70">
            <v>0.10906426715035344</v>
          </cell>
          <cell r="CO70">
            <v>8.9714834658563447E-2</v>
          </cell>
          <cell r="CP70">
            <v>1.2530326916424306E-2</v>
          </cell>
          <cell r="CQ70">
            <v>2.108562263643643E-3</v>
          </cell>
          <cell r="CR70">
            <v>-5.2074903973627906E-3</v>
          </cell>
          <cell r="CS70">
            <v>2.3310016354590068E-2</v>
          </cell>
          <cell r="CT70">
            <v>8.4629316110795827E-3</v>
          </cell>
          <cell r="CU70">
            <v>2.5948853587515197E-2</v>
          </cell>
          <cell r="CV70">
            <v>2.8614938522436795E-2</v>
          </cell>
          <cell r="CW70">
            <v>2.1616499571887049E-2</v>
          </cell>
          <cell r="CX70">
            <v>5.0313340594321243E-2</v>
          </cell>
          <cell r="CY70">
            <v>2.7633624082127106E-2</v>
          </cell>
          <cell r="CZ70">
            <v>3.1279807028461448E-2</v>
          </cell>
          <cell r="DA70">
            <v>3.1922377635146493E-2</v>
          </cell>
          <cell r="DB70">
            <v>2.5126047119425454E-2</v>
          </cell>
          <cell r="DC70">
            <v>5.3203695810774443E-2</v>
          </cell>
          <cell r="DD70">
            <v>3.1822550683763273E-2</v>
          </cell>
          <cell r="DE70">
            <v>3.2608938222545403E-2</v>
          </cell>
          <cell r="DF70">
            <v>3.1297774928015221E-2</v>
          </cell>
          <cell r="DG70">
            <v>2.469343635892729E-2</v>
          </cell>
          <cell r="DH70">
            <v>5.0513138993334428E-2</v>
          </cell>
          <cell r="DI70">
            <v>3.1233798986369798E-2</v>
          </cell>
        </row>
        <row r="71">
          <cell r="B71" t="str">
            <v>y/y % change - restated</v>
          </cell>
          <cell r="BB71">
            <v>8.6742233486613474E-2</v>
          </cell>
          <cell r="BC71">
            <v>0.11975980157521438</v>
          </cell>
          <cell r="BD71">
            <v>0.10657696343388201</v>
          </cell>
          <cell r="BE71">
            <v>8.7259447279131708E-2</v>
          </cell>
          <cell r="BF71">
            <v>9.9859866916556239E-2</v>
          </cell>
          <cell r="BG71">
            <v>6.775748988779462E-2</v>
          </cell>
          <cell r="BH71">
            <v>4.7059829325540647E-2</v>
          </cell>
          <cell r="BI71">
            <v>5.5056043377979202E-2</v>
          </cell>
          <cell r="BJ71">
            <v>8.3302276594021007E-2</v>
          </cell>
          <cell r="BK71">
            <v>8.2392468259610441E-2</v>
          </cell>
          <cell r="BL71">
            <v>4.7564275549853541E-2</v>
          </cell>
          <cell r="BM71">
            <v>3.9621242199731732E-2</v>
          </cell>
          <cell r="BN71">
            <v>2.6543338665182992E-2</v>
          </cell>
          <cell r="BO71">
            <v>1.0642922456566284E-2</v>
          </cell>
          <cell r="BP71">
            <v>3.5911226601803792E-2</v>
          </cell>
          <cell r="BQ71">
            <v>2.0011484978665672E-2</v>
          </cell>
          <cell r="BR71">
            <v>-1.4694268096351881E-2</v>
          </cell>
          <cell r="BS71">
            <v>-9.9641291351135752E-3</v>
          </cell>
          <cell r="BT71">
            <v>1.1356030181331356E-2</v>
          </cell>
          <cell r="BU71">
            <v>-1.60956282922875E-3</v>
          </cell>
          <cell r="BV71">
            <v>9.5363484325505787E-4</v>
          </cell>
          <cell r="BW71">
            <v>4.7475433102448283E-2</v>
          </cell>
          <cell r="BX71">
            <v>6.9678461940635428E-2</v>
          </cell>
          <cell r="BY71">
            <v>5.9063970514375841E-2</v>
          </cell>
          <cell r="BZ71">
            <v>5.6100514625332387E-2</v>
          </cell>
          <cell r="CA71">
            <v>8.3284841431480849E-2</v>
          </cell>
          <cell r="CB71">
            <v>9.5660756937590019E-2</v>
          </cell>
          <cell r="CC71">
            <v>8.4157206016307162E-2</v>
          </cell>
          <cell r="CD71">
            <v>0.12629559110070598</v>
          </cell>
          <cell r="CE71">
            <v>0.10814574971444157</v>
          </cell>
          <cell r="CF71">
            <v>8.3310148271299234E-2</v>
          </cell>
          <cell r="CG71">
            <v>6.1937518313357254E-2</v>
          </cell>
          <cell r="CH71">
            <v>7.606863105603856E-2</v>
          </cell>
          <cell r="CI71">
            <v>0.11647794758096452</v>
          </cell>
          <cell r="CJ71">
            <v>8.5477596150564716E-2</v>
          </cell>
          <cell r="CK71">
            <v>0.11802394305978225</v>
          </cell>
          <cell r="CL71">
            <v>0.13124770063593849</v>
          </cell>
          <cell r="CM71">
            <v>0.10386403347582474</v>
          </cell>
        </row>
        <row r="73">
          <cell r="B73" t="str">
            <v>Inpatient Admissions / avg, bed in service</v>
          </cell>
          <cell r="I73">
            <v>29.786431296532886</v>
          </cell>
          <cell r="J73">
            <v>31.086213860706383</v>
          </cell>
          <cell r="K73">
            <v>33.259531331758851</v>
          </cell>
          <cell r="L73">
            <v>34.568369819975032</v>
          </cell>
          <cell r="M73">
            <v>8.6783310502424111</v>
          </cell>
          <cell r="N73">
            <v>9.7380143053936639</v>
          </cell>
          <cell r="O73">
            <v>8.0347718790325242</v>
          </cell>
          <cell r="P73">
            <v>8.3022412766464218</v>
          </cell>
          <cell r="Q73">
            <v>34.587937325662885</v>
          </cell>
          <cell r="R73">
            <v>8.5036117162565628</v>
          </cell>
          <cell r="S73">
            <v>9.0803605862567416</v>
          </cell>
          <cell r="T73">
            <v>8.521161902676841</v>
          </cell>
          <cell r="U73">
            <v>8.4663777792492887</v>
          </cell>
          <cell r="V73">
            <v>34.571860351945183</v>
          </cell>
          <cell r="W73">
            <v>8.7496326522816581</v>
          </cell>
          <cell r="X73">
            <v>9.9636110285343449</v>
          </cell>
          <cell r="Y73">
            <v>9.2337081037097306</v>
          </cell>
          <cell r="Z73">
            <v>8.7370125612092817</v>
          </cell>
          <cell r="AA73">
            <v>36.654642359951353</v>
          </cell>
          <cell r="AB73">
            <v>8.9658565412915401</v>
          </cell>
          <cell r="AC73">
            <v>9.8469691850124565</v>
          </cell>
          <cell r="AD73">
            <v>9.4825841398306263</v>
          </cell>
          <cell r="AE73">
            <v>9.5874268509347029</v>
          </cell>
          <cell r="AF73">
            <v>37.925061394491863</v>
          </cell>
          <cell r="AG73">
            <v>9.7805881828265608</v>
          </cell>
          <cell r="AH73">
            <v>10.19316285254587</v>
          </cell>
          <cell r="AI73">
            <v>9.3090900328106798</v>
          </cell>
          <cell r="AJ73">
            <v>9.3694946011777205</v>
          </cell>
          <cell r="AK73">
            <v>38.652335669360831</v>
          </cell>
          <cell r="AL73">
            <v>9.7339065392316115</v>
          </cell>
          <cell r="AM73">
            <v>10.089606118460189</v>
          </cell>
          <cell r="AN73">
            <v>9.1745018311854896</v>
          </cell>
          <cell r="AO73">
            <v>9.6996600380153382</v>
          </cell>
          <cell r="AP73">
            <v>38.697674526892627</v>
          </cell>
          <cell r="AQ73">
            <v>9.4783354222601339</v>
          </cell>
          <cell r="AR73">
            <v>10.238645418111648</v>
          </cell>
          <cell r="AS73">
            <v>9.2584201476692431</v>
          </cell>
          <cell r="AT73">
            <v>8.8507802762795968</v>
          </cell>
          <cell r="AU73">
            <v>37.826181264320624</v>
          </cell>
          <cell r="AW73">
            <v>10.089606118460189</v>
          </cell>
          <cell r="AX73">
            <v>9.1745018311854896</v>
          </cell>
          <cell r="AY73">
            <v>9.6996600380153382</v>
          </cell>
          <cell r="AZ73">
            <v>9.4783354222601339</v>
          </cell>
          <cell r="BA73">
            <v>38.435925620252938</v>
          </cell>
          <cell r="BB73">
            <v>10.238645418111648</v>
          </cell>
          <cell r="BC73">
            <v>9.2584201476692431</v>
          </cell>
          <cell r="BD73">
            <v>8.8507802762795968</v>
          </cell>
          <cell r="BE73">
            <v>9.1421480505480019</v>
          </cell>
          <cell r="BF73">
            <v>37.454377744546989</v>
          </cell>
          <cell r="BG73">
            <v>9.875876751974527</v>
          </cell>
          <cell r="BH73">
            <v>9.080925898087191</v>
          </cell>
          <cell r="BI73">
            <v>9.2296753023202438</v>
          </cell>
          <cell r="BJ73">
            <v>9.517824745325095</v>
          </cell>
          <cell r="BK73">
            <v>37.704302697707057</v>
          </cell>
          <cell r="BL73">
            <v>10.22556190693952</v>
          </cell>
          <cell r="BM73">
            <v>9.5260846040304852</v>
          </cell>
          <cell r="BN73">
            <v>9.265727146818735</v>
          </cell>
          <cell r="BO73">
            <v>9.2908147579784348</v>
          </cell>
          <cell r="BP73">
            <v>38.308188415767177</v>
          </cell>
          <cell r="BQ73">
            <v>10.489672671299767</v>
          </cell>
          <cell r="BR73">
            <v>9.3092996804024484</v>
          </cell>
          <cell r="BS73">
            <v>9.1980340818517767</v>
          </cell>
          <cell r="BT73">
            <v>9.6555527714057234</v>
          </cell>
          <cell r="BU73">
            <v>38.652559204959715</v>
          </cell>
          <cell r="BV73">
            <v>10.42909041991183</v>
          </cell>
          <cell r="BW73">
            <v>9.714388424243726</v>
          </cell>
          <cell r="BX73">
            <v>9.5421170459248348</v>
          </cell>
          <cell r="BY73">
            <v>9.6978780933992113</v>
          </cell>
          <cell r="BZ73">
            <v>39.383473983479604</v>
          </cell>
          <cell r="CA73">
            <v>10.253646279640231</v>
          </cell>
          <cell r="CB73">
            <v>9.6002664021778124</v>
          </cell>
          <cell r="CC73">
            <v>9.2826362645674134</v>
          </cell>
          <cell r="CD73">
            <v>9.4602087752712798</v>
          </cell>
          <cell r="CE73">
            <v>38.596757721656743</v>
          </cell>
          <cell r="CF73">
            <v>10.074293235745486</v>
          </cell>
          <cell r="CG73">
            <v>9.1453083761042464</v>
          </cell>
          <cell r="CH73">
            <v>9.163444998124632</v>
          </cell>
          <cell r="CI73">
            <v>9.1303412292143946</v>
          </cell>
          <cell r="CJ73">
            <v>37.513387839188759</v>
          </cell>
          <cell r="CK73">
            <v>9.5756071253163135</v>
          </cell>
          <cell r="CL73">
            <v>8.6093345895823425</v>
          </cell>
          <cell r="CM73">
            <v>8.4337964434522164</v>
          </cell>
          <cell r="CN73">
            <v>8.5288707795353602</v>
          </cell>
          <cell r="CO73">
            <v>35.147608937886233</v>
          </cell>
          <cell r="CP73">
            <v>9.0914314932245865</v>
          </cell>
          <cell r="CQ73">
            <v>8.3070292046117196</v>
          </cell>
          <cell r="CR73">
            <v>8.0019134177571178</v>
          </cell>
          <cell r="CS73">
            <v>8.091169696283524</v>
          </cell>
          <cell r="CT73">
            <v>33.491543811876944</v>
          </cell>
          <cell r="CU73">
            <v>8.8333940436779699</v>
          </cell>
          <cell r="CV73">
            <v>8.0873263183939947</v>
          </cell>
          <cell r="CW73">
            <v>7.7984455695731514</v>
          </cell>
          <cell r="CX73">
            <v>7.8674137909983441</v>
          </cell>
          <cell r="CY73">
            <v>32.586579722643457</v>
          </cell>
          <cell r="CZ73">
            <v>8.6534770791325215</v>
          </cell>
          <cell r="DA73">
            <v>7.9232974682913691</v>
          </cell>
          <cell r="DB73">
            <v>7.6458935511566661</v>
          </cell>
          <cell r="DC73">
            <v>7.7116650330013305</v>
          </cell>
          <cell r="DD73">
            <v>31.934333131581887</v>
          </cell>
          <cell r="DE73">
            <v>8.4978950801193776</v>
          </cell>
          <cell r="DF73">
            <v>7.7666578866654481</v>
          </cell>
          <cell r="DG73">
            <v>7.4996466841664269</v>
          </cell>
          <cell r="DH73">
            <v>7.5483616772072279</v>
          </cell>
          <cell r="DI73">
            <v>31.312561328158484</v>
          </cell>
        </row>
        <row r="74">
          <cell r="B74" t="str">
            <v>y/y % change - as reported</v>
          </cell>
          <cell r="I74" t="str">
            <v>NM</v>
          </cell>
          <cell r="J74">
            <v>4.3636733492299573E-2</v>
          </cell>
          <cell r="K74">
            <v>6.9912581853513789E-2</v>
          </cell>
          <cell r="L74">
            <v>3.9352282963963425E-2</v>
          </cell>
          <cell r="Q74">
            <v>5.660523128443451E-4</v>
          </cell>
          <cell r="R74">
            <v>-2.0132826573949103E-2</v>
          </cell>
          <cell r="S74">
            <v>-6.7534684024099567E-2</v>
          </cell>
          <cell r="T74">
            <v>6.0535635730193604E-2</v>
          </cell>
          <cell r="U74">
            <v>1.9770143643568883E-2</v>
          </cell>
          <cell r="V74">
            <v>-4.6481446888058109E-4</v>
          </cell>
          <cell r="W74">
            <v>2.8931346377771616E-2</v>
          </cell>
          <cell r="X74">
            <v>9.7270414967266294E-2</v>
          </cell>
          <cell r="Y74">
            <v>8.3620779556958125E-2</v>
          </cell>
          <cell r="Z74">
            <v>3.1965828718782952E-2</v>
          </cell>
          <cell r="AA74">
            <v>6.0245008130983768E-2</v>
          </cell>
          <cell r="AB74">
            <v>2.4712339089286939E-2</v>
          </cell>
          <cell r="AC74">
            <v>-1.1706784135575243E-2</v>
          </cell>
          <cell r="AD74">
            <v>2.6952989343566935E-2</v>
          </cell>
          <cell r="AE74">
            <v>9.7334676328737713E-2</v>
          </cell>
          <cell r="AF74">
            <v>3.4659157824127762E-2</v>
          </cell>
          <cell r="AG74">
            <v>9.087047487128963E-2</v>
          </cell>
          <cell r="AH74">
            <v>3.5157383051460656E-2</v>
          </cell>
          <cell r="AI74">
            <v>-1.8296078839016294E-2</v>
          </cell>
          <cell r="AJ74">
            <v>-2.273104693734751E-2</v>
          </cell>
          <cell r="AK74">
            <v>1.9176614305352002E-2</v>
          </cell>
          <cell r="AL74">
            <v>-4.7728871436296672E-3</v>
          </cell>
          <cell r="AM74">
            <v>-1.0159430942459191E-2</v>
          </cell>
          <cell r="AN74">
            <v>-1.4457718332385072E-2</v>
          </cell>
          <cell r="AO74">
            <v>3.523834004836468E-2</v>
          </cell>
          <cell r="AP74">
            <v>1.1729914052189816E-3</v>
          </cell>
          <cell r="AQ74">
            <v>-2.6255760309740195E-2</v>
          </cell>
          <cell r="AR74">
            <v>1.4771567680801123E-2</v>
          </cell>
          <cell r="AS74">
            <v>9.146907159416795E-3</v>
          </cell>
          <cell r="AT74">
            <v>-8.7516444742266608E-2</v>
          </cell>
          <cell r="AU74">
            <v>-2.2520559005848373E-2</v>
          </cell>
          <cell r="AW74">
            <v>-1.0159430942459191E-2</v>
          </cell>
          <cell r="AX74">
            <v>-1.4457718332385072E-2</v>
          </cell>
          <cell r="AY74">
            <v>3.523834004836468E-2</v>
          </cell>
          <cell r="AZ74">
            <v>-2.6255760309740195E-2</v>
          </cell>
          <cell r="BB74">
            <v>1.4771567680801123E-2</v>
          </cell>
          <cell r="BC74">
            <v>9.146907159416795E-3</v>
          </cell>
          <cell r="BD74">
            <v>-8.7516444742266608E-2</v>
          </cell>
          <cell r="BE74">
            <v>-3.5469030872508078E-2</v>
          </cell>
          <cell r="BF74">
            <v>-2.553725088875558E-2</v>
          </cell>
          <cell r="BG74">
            <v>-3.5431314526763624E-2</v>
          </cell>
          <cell r="BH74">
            <v>-1.9171116319098513E-2</v>
          </cell>
          <cell r="BI74">
            <v>4.2809222940049629E-2</v>
          </cell>
          <cell r="BJ74">
            <v>4.1092825526334975E-2</v>
          </cell>
          <cell r="BK74">
            <v>6.6727834824715782E-3</v>
          </cell>
          <cell r="BL74">
            <v>3.5408011232529679E-2</v>
          </cell>
          <cell r="BM74">
            <v>4.9021290443198362E-2</v>
          </cell>
          <cell r="BN74">
            <v>3.9060793925684845E-3</v>
          </cell>
          <cell r="BO74">
            <v>-2.385103670438582E-2</v>
          </cell>
          <cell r="BP74">
            <v>1.6016360862094459E-2</v>
          </cell>
          <cell r="BQ74">
            <v>2.5828484220608905E-2</v>
          </cell>
          <cell r="BR74">
            <v>-2.2756980715488817E-2</v>
          </cell>
          <cell r="BS74">
            <v>-7.3057477189147901E-3</v>
          </cell>
          <cell r="BT74">
            <v>3.9257914717766962E-2</v>
          </cell>
          <cell r="BU74">
            <v>8.9894824953611341E-3</v>
          </cell>
          <cell r="BV74">
            <v>-5.7754186699926491E-3</v>
          </cell>
          <cell r="BW74">
            <v>4.3514416524161659E-2</v>
          </cell>
          <cell r="BX74">
            <v>3.7408315843485695E-2</v>
          </cell>
          <cell r="BY74">
            <v>4.3835213783753879E-3</v>
          </cell>
          <cell r="BZ74">
            <v>1.8909867640176881E-2</v>
          </cell>
          <cell r="CA74">
            <v>-1.6822573513854189E-2</v>
          </cell>
          <cell r="CB74">
            <v>-1.1747731002921924E-2</v>
          </cell>
          <cell r="CC74">
            <v>-2.7193208813995673E-2</v>
          </cell>
          <cell r="CD74">
            <v>-2.4507352622807232E-2</v>
          </cell>
          <cell r="CE74">
            <v>-1.9975796501671472E-2</v>
          </cell>
          <cell r="CF74">
            <v>-1.7491635560987762E-2</v>
          </cell>
          <cell r="CG74">
            <v>-4.7390145962028618E-2</v>
          </cell>
          <cell r="CH74">
            <v>-1.2840238812086624E-2</v>
          </cell>
          <cell r="CI74">
            <v>-3.4868949924144355E-2</v>
          </cell>
          <cell r="CJ74">
            <v>-2.8068934968081605E-2</v>
          </cell>
          <cell r="CK74">
            <v>-4.9500853187372074E-2</v>
          </cell>
          <cell r="CL74">
            <v>-5.8606420306432594E-2</v>
          </cell>
          <cell r="CM74">
            <v>-7.9626009085201455E-2</v>
          </cell>
          <cell r="CN74">
            <v>-6.5876009951797543E-2</v>
          </cell>
          <cell r="CO74">
            <v>-6.3064922620267638E-2</v>
          </cell>
          <cell r="CP74">
            <v>-5.0563439555873946E-2</v>
          </cell>
          <cell r="CQ74">
            <v>-3.5113675955447898E-2</v>
          </cell>
          <cell r="CR74">
            <v>-5.1208613889466292E-2</v>
          </cell>
          <cell r="CS74">
            <v>-5.1319933736372225E-2</v>
          </cell>
          <cell r="CT74">
            <v>-4.7117433477080306E-2</v>
          </cell>
          <cell r="CU74">
            <v>-2.8382488471581202E-2</v>
          </cell>
          <cell r="CV74">
            <v>-2.6447828797297901E-2</v>
          </cell>
          <cell r="CW74">
            <v>-2.5427399368312176E-2</v>
          </cell>
          <cell r="CX74">
            <v>-2.7654333512243223E-2</v>
          </cell>
          <cell r="CY74">
            <v>-2.7020674063778616E-2</v>
          </cell>
          <cell r="CZ74">
            <v>-2.0367818265077164E-2</v>
          </cell>
          <cell r="DA74">
            <v>-2.0282209922648287E-2</v>
          </cell>
          <cell r="DB74">
            <v>-1.9561849480836391E-2</v>
          </cell>
          <cell r="DC74">
            <v>-1.9796690772159065E-2</v>
          </cell>
          <cell r="DD74">
            <v>-2.0015803947916133E-2</v>
          </cell>
          <cell r="DE74">
            <v>-1.7979131115782754E-2</v>
          </cell>
          <cell r="DF74">
            <v>-1.9769493983128217E-2</v>
          </cell>
          <cell r="DG74">
            <v>-1.9127504981823251E-2</v>
          </cell>
          <cell r="DH74">
            <v>-2.1176147446143156E-2</v>
          </cell>
          <cell r="DI74">
            <v>-1.9470323706509252E-2</v>
          </cell>
        </row>
        <row r="76">
          <cell r="B76" t="str">
            <v>Equivalent Factor</v>
          </cell>
          <cell r="I76" t="str">
            <v>NM</v>
          </cell>
          <cell r="J76" t="str">
            <v>NM</v>
          </cell>
          <cell r="K76" t="str">
            <v>NM</v>
          </cell>
          <cell r="L76" t="str">
            <v>NM</v>
          </cell>
          <cell r="M76" t="str">
            <v>NM</v>
          </cell>
          <cell r="N76" t="str">
            <v>NM</v>
          </cell>
          <cell r="O76" t="str">
            <v>NM</v>
          </cell>
          <cell r="P76" t="str">
            <v>NM</v>
          </cell>
          <cell r="Q76">
            <v>1.5387384512942874</v>
          </cell>
          <cell r="R76">
            <v>1.5339455559199737</v>
          </cell>
          <cell r="S76">
            <v>1.5056085249579361</v>
          </cell>
          <cell r="T76">
            <v>1.5834258996150965</v>
          </cell>
          <cell r="U76">
            <v>1.4830393157408757</v>
          </cell>
          <cell r="V76">
            <v>1.5253675428543261</v>
          </cell>
          <cell r="W76">
            <v>1.5393074350860656</v>
          </cell>
          <cell r="X76">
            <v>1.507578329372766</v>
          </cell>
          <cell r="Y76">
            <v>1.5672985165264162</v>
          </cell>
          <cell r="Z76">
            <v>1.614620665831858</v>
          </cell>
          <cell r="AA76">
            <v>1.5563609926120752</v>
          </cell>
          <cell r="AB76">
            <v>1.602788329089619</v>
          </cell>
          <cell r="AC76">
            <v>1.5588652482269503</v>
          </cell>
          <cell r="AD76">
            <v>1.6017694262160236</v>
          </cell>
          <cell r="AE76">
            <v>1.6043870511232974</v>
          </cell>
          <cell r="AF76">
            <v>1.5913500665877478</v>
          </cell>
          <cell r="AG76">
            <v>1.5752104028697571</v>
          </cell>
          <cell r="AH76">
            <v>1.5568204089632194</v>
          </cell>
          <cell r="AI76">
            <v>1.6049075016674272</v>
          </cell>
          <cell r="AJ76">
            <v>1.6151093707804483</v>
          </cell>
          <cell r="AK76">
            <v>1.5876551390198528</v>
          </cell>
          <cell r="AL76">
            <v>1.595304064669085</v>
          </cell>
          <cell r="AM76">
            <v>1.5895052001260637</v>
          </cell>
          <cell r="AN76">
            <v>1.6536073861754073</v>
          </cell>
          <cell r="AO76">
            <v>1.6621666642525024</v>
          </cell>
          <cell r="AP76">
            <v>1.6241910664221422</v>
          </cell>
          <cell r="AQ76">
            <v>1.6397498145997453</v>
          </cell>
          <cell r="AR76">
            <v>1.6113695343485286</v>
          </cell>
          <cell r="AS76">
            <v>1.6740742668297379</v>
          </cell>
          <cell r="AT76">
            <v>1.6998008966423319</v>
          </cell>
          <cell r="AU76">
            <v>1.6553934862167925</v>
          </cell>
          <cell r="AW76">
            <v>1.5895052001260637</v>
          </cell>
          <cell r="AX76">
            <v>1.6536073861754073</v>
          </cell>
          <cell r="AY76">
            <v>1.6621666642525024</v>
          </cell>
          <cell r="AZ76">
            <v>1.6397498145997453</v>
          </cell>
          <cell r="BA76">
            <v>1.6351478417102729</v>
          </cell>
          <cell r="BB76">
            <v>1.6113695343485286</v>
          </cell>
          <cell r="BC76">
            <v>1.6740742668297379</v>
          </cell>
          <cell r="BD76">
            <v>1.6998008966423319</v>
          </cell>
          <cell r="BE76">
            <v>1.6660140230189178</v>
          </cell>
          <cell r="BF76">
            <v>1.6616304781943754</v>
          </cell>
          <cell r="BG76">
            <v>1.6598027258410202</v>
          </cell>
          <cell r="BH76">
            <v>1.7223564607064781</v>
          </cell>
          <cell r="BI76">
            <v>1.7008219178082191</v>
          </cell>
          <cell r="BJ76">
            <v>1.6878992148249135</v>
          </cell>
          <cell r="BK76">
            <v>1.692021046154619</v>
          </cell>
          <cell r="BL76">
            <v>1.6644954192928607</v>
          </cell>
          <cell r="BM76">
            <v>1.7651069025603194</v>
          </cell>
          <cell r="BN76">
            <v>1.7402570182218322</v>
          </cell>
          <cell r="BO76">
            <v>1.739201093756046</v>
          </cell>
          <cell r="BP76">
            <v>1.7258006160157811</v>
          </cell>
          <cell r="BQ76">
            <v>1.6795011430144462</v>
          </cell>
          <cell r="BR76">
            <v>1.757902152853988</v>
          </cell>
          <cell r="BS76">
            <v>1.7829063604240283</v>
          </cell>
          <cell r="BT76">
            <v>1.7366970559807737</v>
          </cell>
          <cell r="BU76">
            <v>1.7371348369618436</v>
          </cell>
          <cell r="BV76">
            <v>1.6872278403570016</v>
          </cell>
          <cell r="BW76">
            <v>1.7504640371229698</v>
          </cell>
          <cell r="BX76">
            <v>1.8030845239684872</v>
          </cell>
          <cell r="BY76">
            <v>1.7670044348184819</v>
          </cell>
          <cell r="BZ76">
            <v>1.7503119027182601</v>
          </cell>
          <cell r="CA76">
            <v>1.7422381320043985</v>
          </cell>
          <cell r="CB76">
            <v>1.8200535696405327</v>
          </cell>
          <cell r="CC76">
            <v>1.8633632869180052</v>
          </cell>
          <cell r="CD76">
            <v>1.8341778871676078</v>
          </cell>
          <cell r="CE76">
            <v>1.8136940531411017</v>
          </cell>
          <cell r="CF76">
            <v>1.8070701696795446</v>
          </cell>
          <cell r="CG76">
            <v>1.884957834383862</v>
          </cell>
          <cell r="CH76">
            <v>1.9051111029222094</v>
          </cell>
          <cell r="CI76">
            <v>1.9155439827918035</v>
          </cell>
          <cell r="CJ76">
            <v>1.8774661562934389</v>
          </cell>
          <cell r="CK76">
            <v>1.9042493949324253</v>
          </cell>
          <cell r="CL76">
            <v>1.9914418217354597</v>
          </cell>
          <cell r="CM76">
            <v>2.0212268605969022</v>
          </cell>
          <cell r="CN76">
            <v>2.0081112589078902</v>
          </cell>
          <cell r="CO76">
            <v>1.9794744797235473</v>
          </cell>
          <cell r="CP76">
            <v>1.9433108594358401</v>
          </cell>
          <cell r="CQ76">
            <v>2.0383800694582384</v>
          </cell>
          <cell r="CR76">
            <v>2.0622063741562711</v>
          </cell>
          <cell r="CS76">
            <v>2.0858849359194238</v>
          </cell>
          <cell r="CT76">
            <v>2.0301363574884372</v>
          </cell>
          <cell r="CU76">
            <v>1.9782120689479359</v>
          </cell>
          <cell r="CV76">
            <v>2.0762466965751112</v>
          </cell>
          <cell r="CW76">
            <v>2.1007488515809927</v>
          </cell>
          <cell r="CX76">
            <v>2.1251955819308077</v>
          </cell>
          <cell r="CY76">
            <v>2.0677447850393289</v>
          </cell>
          <cell r="CZ76">
            <v>2.010240935710998</v>
          </cell>
          <cell r="DA76">
            <v>2.1109929628650317</v>
          </cell>
          <cell r="DB76">
            <v>2.1361124218862311</v>
          </cell>
          <cell r="DC76">
            <v>2.1610975587426111</v>
          </cell>
          <cell r="DD76">
            <v>2.1021929212071453</v>
          </cell>
          <cell r="DE76">
            <v>2.042905837220732</v>
          </cell>
          <cell r="DF76">
            <v>2.1464843481992109</v>
          </cell>
          <cell r="DG76">
            <v>2.1722450329782474</v>
          </cell>
          <cell r="DH76">
            <v>2.1980354272090943</v>
          </cell>
          <cell r="DI76">
            <v>2.1373567300354339</v>
          </cell>
        </row>
        <row r="78">
          <cell r="B78" t="str">
            <v>Surgeries</v>
          </cell>
          <cell r="I78" t="str">
            <v>ND</v>
          </cell>
          <cell r="J78" t="str">
            <v>ND</v>
          </cell>
          <cell r="K78" t="str">
            <v>ND</v>
          </cell>
          <cell r="L78" t="str">
            <v>ND</v>
          </cell>
          <cell r="M78" t="str">
            <v>ND</v>
          </cell>
          <cell r="N78" t="str">
            <v>ND</v>
          </cell>
          <cell r="O78" t="str">
            <v>ND</v>
          </cell>
          <cell r="P78" t="str">
            <v>ND</v>
          </cell>
          <cell r="Q78">
            <v>0</v>
          </cell>
          <cell r="R78" t="str">
            <v>ND</v>
          </cell>
          <cell r="S78" t="str">
            <v>ND</v>
          </cell>
          <cell r="T78" t="str">
            <v>ND</v>
          </cell>
          <cell r="U78" t="str">
            <v>ND</v>
          </cell>
          <cell r="V78">
            <v>0</v>
          </cell>
          <cell r="W78" t="str">
            <v>ND</v>
          </cell>
          <cell r="X78" t="str">
            <v>ND</v>
          </cell>
          <cell r="Y78" t="str">
            <v>ND</v>
          </cell>
          <cell r="Z78" t="str">
            <v>ND</v>
          </cell>
          <cell r="AA78">
            <v>0</v>
          </cell>
          <cell r="AB78" t="str">
            <v>ND</v>
          </cell>
          <cell r="AC78" t="str">
            <v>ND</v>
          </cell>
          <cell r="AD78" t="str">
            <v>ND</v>
          </cell>
          <cell r="AE78" t="str">
            <v>ND</v>
          </cell>
          <cell r="AF78">
            <v>0</v>
          </cell>
          <cell r="AG78" t="str">
            <v>ND</v>
          </cell>
          <cell r="AH78">
            <v>52782</v>
          </cell>
          <cell r="AI78" t="str">
            <v>ND</v>
          </cell>
          <cell r="AJ78">
            <v>52393</v>
          </cell>
          <cell r="AK78">
            <v>105175</v>
          </cell>
          <cell r="AL78">
            <v>56494</v>
          </cell>
          <cell r="AM78">
            <v>61310</v>
          </cell>
          <cell r="AN78">
            <v>59739</v>
          </cell>
          <cell r="AO78">
            <v>59157</v>
          </cell>
          <cell r="AP78">
            <v>236700</v>
          </cell>
          <cell r="AQ78">
            <v>61136</v>
          </cell>
          <cell r="AR78">
            <v>66557</v>
          </cell>
          <cell r="AS78">
            <v>70006</v>
          </cell>
          <cell r="AT78">
            <v>67644</v>
          </cell>
          <cell r="AU78">
            <v>265343</v>
          </cell>
          <cell r="AW78">
            <v>61310</v>
          </cell>
          <cell r="AX78">
            <v>59739</v>
          </cell>
          <cell r="AY78">
            <v>59157</v>
          </cell>
          <cell r="AZ78">
            <v>61136</v>
          </cell>
          <cell r="BA78">
            <v>241342</v>
          </cell>
          <cell r="BB78">
            <v>66557</v>
          </cell>
          <cell r="BC78">
            <v>70006</v>
          </cell>
          <cell r="BD78">
            <v>67644</v>
          </cell>
          <cell r="BE78">
            <v>67243</v>
          </cell>
          <cell r="BF78">
            <v>271450</v>
          </cell>
          <cell r="BG78">
            <v>72525</v>
          </cell>
          <cell r="BH78">
            <v>72386</v>
          </cell>
          <cell r="BI78">
            <v>69203</v>
          </cell>
          <cell r="BJ78">
            <v>70424</v>
          </cell>
          <cell r="BK78">
            <v>284538</v>
          </cell>
          <cell r="BL78">
            <v>72191</v>
          </cell>
          <cell r="BM78">
            <v>71123</v>
          </cell>
          <cell r="BN78">
            <v>70222</v>
          </cell>
          <cell r="BO78">
            <v>70420</v>
          </cell>
          <cell r="BP78">
            <v>283956</v>
          </cell>
          <cell r="BQ78">
            <v>70527</v>
          </cell>
          <cell r="BR78">
            <v>69649</v>
          </cell>
          <cell r="BS78">
            <v>67518</v>
          </cell>
          <cell r="BT78">
            <v>67898</v>
          </cell>
          <cell r="BU78">
            <v>275592</v>
          </cell>
          <cell r="BV78">
            <v>68347</v>
          </cell>
          <cell r="BW78">
            <v>68994</v>
          </cell>
          <cell r="BX78">
            <v>66337</v>
          </cell>
          <cell r="BY78">
            <v>67885</v>
          </cell>
          <cell r="BZ78">
            <v>271563</v>
          </cell>
          <cell r="CA78">
            <v>79842</v>
          </cell>
          <cell r="CB78">
            <v>80528</v>
          </cell>
          <cell r="CC78">
            <v>80126</v>
          </cell>
          <cell r="CD78">
            <v>81622</v>
          </cell>
          <cell r="CE78">
            <v>322118</v>
          </cell>
          <cell r="CF78">
            <v>82897</v>
          </cell>
          <cell r="CG78">
            <v>82502</v>
          </cell>
          <cell r="CH78">
            <v>81665</v>
          </cell>
          <cell r="CI78">
            <v>95429</v>
          </cell>
          <cell r="CJ78">
            <v>342493</v>
          </cell>
          <cell r="CK78">
            <v>99915</v>
          </cell>
          <cell r="CL78">
            <v>100164</v>
          </cell>
          <cell r="CM78">
            <v>97230</v>
          </cell>
          <cell r="CO78">
            <v>297309</v>
          </cell>
        </row>
        <row r="79">
          <cell r="B79" t="str">
            <v>y/y change - as reported</v>
          </cell>
          <cell r="I79" t="str">
            <v>NM</v>
          </cell>
          <cell r="J79" t="str">
            <v>NM</v>
          </cell>
          <cell r="K79" t="str">
            <v>NM</v>
          </cell>
          <cell r="L79" t="str">
            <v>NM</v>
          </cell>
          <cell r="Q79" t="str">
            <v>NM</v>
          </cell>
          <cell r="R79" t="str">
            <v>NM</v>
          </cell>
          <cell r="S79" t="str">
            <v>NM</v>
          </cell>
          <cell r="T79" t="str">
            <v>NM</v>
          </cell>
          <cell r="U79" t="str">
            <v>NM</v>
          </cell>
          <cell r="V79" t="str">
            <v>NM</v>
          </cell>
          <cell r="W79" t="str">
            <v>NM</v>
          </cell>
          <cell r="X79" t="str">
            <v>NM</v>
          </cell>
          <cell r="Y79" t="str">
            <v>NM</v>
          </cell>
          <cell r="Z79" t="str">
            <v>NM</v>
          </cell>
          <cell r="AA79" t="str">
            <v>NM</v>
          </cell>
          <cell r="AB79" t="str">
            <v>NM</v>
          </cell>
          <cell r="AC79" t="str">
            <v>NM</v>
          </cell>
          <cell r="AD79" t="str">
            <v>NM</v>
          </cell>
          <cell r="AE79" t="str">
            <v>NM</v>
          </cell>
          <cell r="AF79" t="str">
            <v>NM</v>
          </cell>
          <cell r="AG79" t="str">
            <v>NM</v>
          </cell>
          <cell r="AH79" t="str">
            <v>NM</v>
          </cell>
          <cell r="AI79" t="str">
            <v>NM</v>
          </cell>
          <cell r="AJ79" t="str">
            <v>NM</v>
          </cell>
          <cell r="AK79" t="str">
            <v>NM</v>
          </cell>
          <cell r="AL79" t="str">
            <v>NM</v>
          </cell>
          <cell r="AM79">
            <v>0.16157023227615475</v>
          </cell>
          <cell r="AN79" t="str">
            <v>NM</v>
          </cell>
          <cell r="AO79">
            <v>0.12910121581127254</v>
          </cell>
          <cell r="AP79">
            <v>1.2505348229141906</v>
          </cell>
          <cell r="AQ79">
            <v>8.2168017842602747E-2</v>
          </cell>
          <cell r="AR79">
            <v>8.5581471211874094E-2</v>
          </cell>
          <cell r="AS79">
            <v>0.17186427626843437</v>
          </cell>
          <cell r="AT79">
            <v>0.14346569298645973</v>
          </cell>
          <cell r="AU79">
            <v>0.12100971694127582</v>
          </cell>
          <cell r="AW79">
            <v>0.16157023227615475</v>
          </cell>
          <cell r="AX79" t="str">
            <v>NM</v>
          </cell>
          <cell r="AY79">
            <v>0.12910121581127254</v>
          </cell>
          <cell r="AZ79">
            <v>8.2168017842602747E-2</v>
          </cell>
          <cell r="BB79">
            <v>8.5581471211874094E-2</v>
          </cell>
          <cell r="BC79">
            <v>0.17186427626843437</v>
          </cell>
          <cell r="BD79">
            <v>0.14346569298645973</v>
          </cell>
          <cell r="BE79">
            <v>9.9892043967547695E-2</v>
          </cell>
          <cell r="BF79">
            <v>0.12475242601785008</v>
          </cell>
          <cell r="BG79">
            <v>8.9667503042504926E-2</v>
          </cell>
          <cell r="BH79">
            <v>3.3997085964060147E-2</v>
          </cell>
          <cell r="BI79">
            <v>2.3047129087576224E-2</v>
          </cell>
          <cell r="BJ79">
            <v>4.7306039290335056E-2</v>
          </cell>
          <cell r="BK79">
            <v>4.8215140909928067E-2</v>
          </cell>
          <cell r="BL79">
            <v>-4.6053085143054062E-3</v>
          </cell>
          <cell r="BM79">
            <v>-1.7448125328102138E-2</v>
          </cell>
          <cell r="BN79">
            <v>1.4724795167839533E-2</v>
          </cell>
          <cell r="BO79">
            <v>-5.6798818584558042E-5</v>
          </cell>
          <cell r="BP79">
            <v>-2.0454209982497806E-3</v>
          </cell>
          <cell r="BQ79">
            <v>-2.3049964677037349E-2</v>
          </cell>
          <cell r="BR79">
            <v>-2.0724660095890246E-2</v>
          </cell>
          <cell r="BS79">
            <v>-3.8506450969781558E-2</v>
          </cell>
          <cell r="BT79">
            <v>-3.5813689292814588E-2</v>
          </cell>
          <cell r="BU79">
            <v>-2.9455267717533706E-2</v>
          </cell>
          <cell r="BV79">
            <v>-3.0910147886624939E-2</v>
          </cell>
          <cell r="BW79">
            <v>-9.4042986977559417E-3</v>
          </cell>
          <cell r="BX79">
            <v>-1.7491631861133339E-2</v>
          </cell>
          <cell r="BY79">
            <v>-1.9146366608735477E-4</v>
          </cell>
          <cell r="BZ79">
            <v>-1.4619437429243209E-2</v>
          </cell>
          <cell r="CA79">
            <v>0.16818587502011795</v>
          </cell>
          <cell r="CB79">
            <v>0.16717395715569472</v>
          </cell>
          <cell r="CC79">
            <v>0.20786288195124891</v>
          </cell>
          <cell r="CD79">
            <v>0.20235692715622</v>
          </cell>
          <cell r="CE79">
            <v>0.18616306345120659</v>
          </cell>
          <cell r="CF79">
            <v>3.8263069562385787E-2</v>
          </cell>
          <cell r="CG79">
            <v>2.4513212795549411E-2</v>
          </cell>
          <cell r="CH79">
            <v>1.9207248583481107E-2</v>
          </cell>
          <cell r="CI79">
            <v>0.16915782509617494</v>
          </cell>
          <cell r="CJ79">
            <v>6.3253217764918546E-2</v>
          </cell>
          <cell r="CK79">
            <v>0.2052909031689929</v>
          </cell>
          <cell r="CL79">
            <v>0.21407965867494116</v>
          </cell>
          <cell r="CM79">
            <v>0.19059572644339684</v>
          </cell>
          <cell r="CO79">
            <v>-0.13192678390507251</v>
          </cell>
        </row>
        <row r="80">
          <cell r="B80" t="str">
            <v>ER Visits</v>
          </cell>
          <cell r="I80" t="str">
            <v>ND</v>
          </cell>
          <cell r="J80" t="str">
            <v>ND</v>
          </cell>
          <cell r="K80" t="str">
            <v>ND</v>
          </cell>
          <cell r="L80" t="str">
            <v>ND</v>
          </cell>
          <cell r="M80" t="str">
            <v>ND</v>
          </cell>
          <cell r="N80" t="str">
            <v>ND</v>
          </cell>
          <cell r="O80" t="str">
            <v>ND</v>
          </cell>
          <cell r="P80" t="str">
            <v>ND</v>
          </cell>
          <cell r="Q80">
            <v>0</v>
          </cell>
          <cell r="R80" t="str">
            <v>ND</v>
          </cell>
          <cell r="S80" t="str">
            <v>ND</v>
          </cell>
          <cell r="T80" t="str">
            <v>ND</v>
          </cell>
          <cell r="U80" t="str">
            <v>ND</v>
          </cell>
          <cell r="V80">
            <v>0</v>
          </cell>
          <cell r="W80" t="str">
            <v>ND</v>
          </cell>
          <cell r="X80" t="str">
            <v>ND</v>
          </cell>
          <cell r="Y80" t="str">
            <v>ND</v>
          </cell>
          <cell r="Z80" t="str">
            <v>ND</v>
          </cell>
          <cell r="AA80">
            <v>0</v>
          </cell>
          <cell r="AB80" t="str">
            <v>ND</v>
          </cell>
          <cell r="AC80" t="str">
            <v>ND</v>
          </cell>
          <cell r="AD80" t="str">
            <v>ND</v>
          </cell>
          <cell r="AE80" t="str">
            <v>ND</v>
          </cell>
          <cell r="AF80">
            <v>0</v>
          </cell>
          <cell r="AG80" t="str">
            <v>ND</v>
          </cell>
          <cell r="AH80" t="str">
            <v>ND</v>
          </cell>
          <cell r="AI80" t="str">
            <v>ND</v>
          </cell>
          <cell r="AJ80" t="str">
            <v>ND</v>
          </cell>
          <cell r="AK80">
            <v>0</v>
          </cell>
          <cell r="AL80" t="str">
            <v>ND</v>
          </cell>
          <cell r="AM80" t="str">
            <v>ND</v>
          </cell>
          <cell r="AN80" t="str">
            <v>ND</v>
          </cell>
          <cell r="AO80" t="str">
            <v>ND</v>
          </cell>
          <cell r="AP80">
            <v>0</v>
          </cell>
          <cell r="AQ80" t="str">
            <v>ND</v>
          </cell>
          <cell r="AR80" t="str">
            <v>ND</v>
          </cell>
          <cell r="AS80" t="str">
            <v>ND</v>
          </cell>
          <cell r="AT80" t="str">
            <v>ND</v>
          </cell>
          <cell r="AU80">
            <v>0</v>
          </cell>
          <cell r="AW80" t="str">
            <v>ND</v>
          </cell>
          <cell r="AX80" t="str">
            <v>ND</v>
          </cell>
          <cell r="AY80" t="str">
            <v>ND</v>
          </cell>
          <cell r="AZ80" t="str">
            <v>ND</v>
          </cell>
          <cell r="BA80">
            <v>0</v>
          </cell>
          <cell r="BB80" t="str">
            <v>ND</v>
          </cell>
          <cell r="BC80" t="str">
            <v>ND</v>
          </cell>
          <cell r="BD80" t="str">
            <v>ND</v>
          </cell>
          <cell r="BE80" t="str">
            <v>ND</v>
          </cell>
          <cell r="BF80">
            <v>0</v>
          </cell>
          <cell r="BG80" t="str">
            <v>ND</v>
          </cell>
          <cell r="BH80" t="str">
            <v>ND</v>
          </cell>
          <cell r="BI80" t="str">
            <v>ND</v>
          </cell>
          <cell r="BJ80" t="str">
            <v>ND</v>
          </cell>
          <cell r="BK80">
            <v>0</v>
          </cell>
          <cell r="BL80">
            <v>353105</v>
          </cell>
          <cell r="BM80">
            <v>336090</v>
          </cell>
          <cell r="BN80">
            <v>338000</v>
          </cell>
          <cell r="BO80">
            <v>344667</v>
          </cell>
          <cell r="BP80">
            <v>1371862</v>
          </cell>
          <cell r="BQ80">
            <v>363041</v>
          </cell>
          <cell r="BR80">
            <v>330424</v>
          </cell>
          <cell r="BS80">
            <v>326765</v>
          </cell>
          <cell r="BT80">
            <v>328983</v>
          </cell>
          <cell r="BU80">
            <v>1349213</v>
          </cell>
          <cell r="BV80">
            <v>354819</v>
          </cell>
          <cell r="BW80">
            <v>348824</v>
          </cell>
          <cell r="BX80">
            <v>355213</v>
          </cell>
          <cell r="BY80">
            <v>341436</v>
          </cell>
          <cell r="BZ80">
            <v>1400292</v>
          </cell>
          <cell r="CA80">
            <v>346609</v>
          </cell>
          <cell r="CB80">
            <v>348236</v>
          </cell>
          <cell r="CC80">
            <v>360940</v>
          </cell>
          <cell r="CD80">
            <v>372344</v>
          </cell>
          <cell r="CE80">
            <v>1428129</v>
          </cell>
          <cell r="CF80">
            <v>393148</v>
          </cell>
          <cell r="CG80">
            <v>378125</v>
          </cell>
          <cell r="CH80">
            <v>376539</v>
          </cell>
          <cell r="CI80">
            <v>416627</v>
          </cell>
          <cell r="CJ80">
            <v>1564439</v>
          </cell>
          <cell r="CK80">
            <v>443115</v>
          </cell>
          <cell r="CL80">
            <v>453964</v>
          </cell>
          <cell r="CM80">
            <v>455372</v>
          </cell>
          <cell r="CO80">
            <v>1352451</v>
          </cell>
        </row>
        <row r="81">
          <cell r="B81" t="str">
            <v>y/y change - as reported</v>
          </cell>
          <cell r="I81" t="str">
            <v>NM</v>
          </cell>
          <cell r="J81" t="str">
            <v>NM</v>
          </cell>
          <cell r="K81" t="str">
            <v>NM</v>
          </cell>
          <cell r="L81" t="str">
            <v>NM</v>
          </cell>
          <cell r="Q81" t="str">
            <v>NM</v>
          </cell>
          <cell r="R81" t="str">
            <v>NM</v>
          </cell>
          <cell r="S81" t="str">
            <v>NM</v>
          </cell>
          <cell r="T81" t="str">
            <v>NM</v>
          </cell>
          <cell r="U81" t="str">
            <v>NM</v>
          </cell>
          <cell r="V81" t="str">
            <v>NM</v>
          </cell>
          <cell r="W81" t="str">
            <v>NM</v>
          </cell>
          <cell r="X81" t="str">
            <v>NM</v>
          </cell>
          <cell r="Y81" t="str">
            <v>NM</v>
          </cell>
          <cell r="Z81" t="str">
            <v>NM</v>
          </cell>
          <cell r="AA81" t="str">
            <v>NM</v>
          </cell>
          <cell r="AB81" t="str">
            <v>NM</v>
          </cell>
          <cell r="AC81" t="str">
            <v>NM</v>
          </cell>
          <cell r="AD81" t="str">
            <v>NM</v>
          </cell>
          <cell r="AE81" t="str">
            <v>NM</v>
          </cell>
          <cell r="AF81" t="str">
            <v>NM</v>
          </cell>
          <cell r="AG81" t="str">
            <v>NM</v>
          </cell>
          <cell r="AH81" t="str">
            <v>NM</v>
          </cell>
          <cell r="AI81" t="str">
            <v>NM</v>
          </cell>
          <cell r="AJ81" t="str">
            <v>NM</v>
          </cell>
          <cell r="AK81" t="str">
            <v>NM</v>
          </cell>
          <cell r="AL81" t="str">
            <v>NM</v>
          </cell>
          <cell r="AM81" t="str">
            <v>NM</v>
          </cell>
          <cell r="AN81" t="str">
            <v>NM</v>
          </cell>
          <cell r="AO81" t="str">
            <v>NM</v>
          </cell>
          <cell r="AP81" t="str">
            <v>NM</v>
          </cell>
          <cell r="AQ81" t="str">
            <v>NM</v>
          </cell>
          <cell r="AR81" t="str">
            <v>NM</v>
          </cell>
          <cell r="AS81" t="str">
            <v>NM</v>
          </cell>
          <cell r="AT81" t="str">
            <v>NM</v>
          </cell>
          <cell r="AU81" t="str">
            <v>NM</v>
          </cell>
          <cell r="AW81" t="str">
            <v>NM</v>
          </cell>
          <cell r="AX81" t="str">
            <v>NM</v>
          </cell>
          <cell r="AY81" t="str">
            <v>NM</v>
          </cell>
          <cell r="AZ81" t="str">
            <v>NM</v>
          </cell>
          <cell r="BB81" t="str">
            <v>NM</v>
          </cell>
          <cell r="BC81" t="str">
            <v>NM</v>
          </cell>
          <cell r="BD81" t="str">
            <v>NM</v>
          </cell>
          <cell r="BE81" t="str">
            <v>NM</v>
          </cell>
          <cell r="BF81" t="str">
            <v>NM</v>
          </cell>
          <cell r="BG81" t="str">
            <v>NM</v>
          </cell>
          <cell r="BH81" t="str">
            <v>NM</v>
          </cell>
          <cell r="BI81" t="str">
            <v>NM</v>
          </cell>
          <cell r="BJ81" t="str">
            <v>NM</v>
          </cell>
          <cell r="BK81" t="str">
            <v>NM</v>
          </cell>
          <cell r="BL81" t="str">
            <v>NM</v>
          </cell>
          <cell r="BM81" t="str">
            <v>NM</v>
          </cell>
          <cell r="BN81" t="str">
            <v>NM</v>
          </cell>
          <cell r="BO81" t="str">
            <v>NM</v>
          </cell>
          <cell r="BP81" t="str">
            <v>NM</v>
          </cell>
          <cell r="BQ81">
            <v>2.8138938842553918E-2</v>
          </cell>
          <cell r="BR81">
            <v>-1.6858579547145092E-2</v>
          </cell>
          <cell r="BS81">
            <v>-3.3239644970414206E-2</v>
          </cell>
          <cell r="BT81">
            <v>-4.5504791581439497E-2</v>
          </cell>
          <cell r="BU81">
            <v>-1.6509678087154533E-2</v>
          </cell>
          <cell r="BV81">
            <v>-2.2647579749945579E-2</v>
          </cell>
          <cell r="BW81">
            <v>5.56860276493234E-2</v>
          </cell>
          <cell r="BX81">
            <v>8.7059507597202934E-2</v>
          </cell>
          <cell r="BY81">
            <v>3.7853019760899498E-2</v>
          </cell>
          <cell r="BZ81">
            <v>3.7858366321700032E-2</v>
          </cell>
          <cell r="CA81">
            <v>-2.3138557968992668E-2</v>
          </cell>
          <cell r="CB81">
            <v>-1.6856638304704186E-3</v>
          </cell>
          <cell r="CC81">
            <v>1.6122720733756868E-2</v>
          </cell>
          <cell r="CD81">
            <v>9.0523553462435125E-2</v>
          </cell>
          <cell r="CE81">
            <v>1.9879425148469076E-2</v>
          </cell>
          <cell r="CF81">
            <v>0.13426945059130024</v>
          </cell>
          <cell r="CG81">
            <v>8.5829724669477026E-2</v>
          </cell>
          <cell r="CH81">
            <v>4.3217709314567587E-2</v>
          </cell>
          <cell r="CI81">
            <v>0.11893034398298341</v>
          </cell>
          <cell r="CJ81">
            <v>9.5446559799569952E-2</v>
          </cell>
          <cell r="CK81">
            <v>0.127094631029536</v>
          </cell>
          <cell r="CL81">
            <v>0.20056595041322312</v>
          </cell>
          <cell r="CM81">
            <v>0.20936211122885018</v>
          </cell>
          <cell r="CO81">
            <v>-0.13550416475170968</v>
          </cell>
        </row>
        <row r="83">
          <cell r="B83" t="str">
            <v>Utilization and Other Metrics</v>
          </cell>
        </row>
        <row r="84">
          <cell r="B84" t="str">
            <v>Patient Days</v>
          </cell>
          <cell r="F84">
            <v>290026</v>
          </cell>
          <cell r="G84">
            <v>284168</v>
          </cell>
          <cell r="H84">
            <v>317636</v>
          </cell>
          <cell r="I84">
            <v>340485</v>
          </cell>
          <cell r="J84">
            <v>419488</v>
          </cell>
          <cell r="K84">
            <v>494977</v>
          </cell>
          <cell r="L84">
            <v>615248</v>
          </cell>
          <cell r="M84">
            <v>161915</v>
          </cell>
          <cell r="N84">
            <v>188740</v>
          </cell>
          <cell r="O84">
            <v>181338</v>
          </cell>
          <cell r="P84">
            <v>186042</v>
          </cell>
          <cell r="Q84">
            <v>718035</v>
          </cell>
          <cell r="R84">
            <v>194260</v>
          </cell>
          <cell r="S84">
            <v>213763</v>
          </cell>
          <cell r="T84">
            <v>187273</v>
          </cell>
          <cell r="U84">
            <v>196321</v>
          </cell>
          <cell r="V84">
            <v>791617</v>
          </cell>
          <cell r="W84">
            <v>209431</v>
          </cell>
          <cell r="X84">
            <v>238835</v>
          </cell>
          <cell r="Y84">
            <v>216296</v>
          </cell>
          <cell r="Z84">
            <v>216062</v>
          </cell>
          <cell r="AA84">
            <v>880624</v>
          </cell>
          <cell r="AB84">
            <v>223702</v>
          </cell>
          <cell r="AC84">
            <v>269317</v>
          </cell>
          <cell r="AD84">
            <v>253049</v>
          </cell>
          <cell r="AE84">
            <v>254412</v>
          </cell>
          <cell r="AF84">
            <v>1000480</v>
          </cell>
          <cell r="AG84">
            <v>262347</v>
          </cell>
          <cell r="AH84">
            <v>286523</v>
          </cell>
          <cell r="AI84">
            <v>264548</v>
          </cell>
          <cell r="AJ84">
            <v>266447</v>
          </cell>
          <cell r="AK84">
            <v>1079865</v>
          </cell>
          <cell r="AL84">
            <v>317652</v>
          </cell>
          <cell r="AM84">
            <v>353030</v>
          </cell>
          <cell r="AN84">
            <v>312639</v>
          </cell>
          <cell r="AO84">
            <v>305140</v>
          </cell>
          <cell r="AP84">
            <v>1288461</v>
          </cell>
          <cell r="AQ84">
            <v>317707</v>
          </cell>
          <cell r="AR84">
            <v>370535</v>
          </cell>
          <cell r="AS84">
            <v>345231</v>
          </cell>
          <cell r="AT84">
            <v>325395</v>
          </cell>
          <cell r="AU84">
            <v>1358868</v>
          </cell>
          <cell r="AW84">
            <v>353030</v>
          </cell>
          <cell r="AX84">
            <v>312639</v>
          </cell>
          <cell r="AY84">
            <v>305140</v>
          </cell>
          <cell r="AZ84">
            <v>317707</v>
          </cell>
          <cell r="BA84">
            <v>1288516</v>
          </cell>
          <cell r="BB84">
            <v>370535</v>
          </cell>
          <cell r="BC84">
            <v>345231</v>
          </cell>
          <cell r="BD84">
            <v>325395</v>
          </cell>
          <cell r="BE84">
            <v>333940</v>
          </cell>
          <cell r="BF84">
            <v>1375101</v>
          </cell>
          <cell r="BG84">
            <v>382497</v>
          </cell>
          <cell r="BH84">
            <v>347238</v>
          </cell>
          <cell r="BI84">
            <v>322423</v>
          </cell>
          <cell r="BJ84">
            <v>333857</v>
          </cell>
          <cell r="BK84">
            <v>1386015</v>
          </cell>
          <cell r="BL84">
            <v>367374</v>
          </cell>
          <cell r="BM84">
            <v>331970</v>
          </cell>
          <cell r="BN84">
            <v>319857</v>
          </cell>
          <cell r="BO84">
            <v>323215</v>
          </cell>
          <cell r="BP84">
            <v>1342416</v>
          </cell>
          <cell r="BQ84">
            <v>369659</v>
          </cell>
          <cell r="BR84">
            <v>317431</v>
          </cell>
          <cell r="BS84">
            <v>303622</v>
          </cell>
          <cell r="BT84">
            <v>323897</v>
          </cell>
          <cell r="BU84">
            <v>1314609</v>
          </cell>
          <cell r="BV84">
            <v>356813</v>
          </cell>
          <cell r="BW84">
            <v>325577</v>
          </cell>
          <cell r="BX84">
            <v>306871</v>
          </cell>
          <cell r="BY84">
            <v>325249</v>
          </cell>
          <cell r="BZ84">
            <v>1314510</v>
          </cell>
          <cell r="CA84">
            <v>366900</v>
          </cell>
          <cell r="CB84">
            <v>331709</v>
          </cell>
          <cell r="CC84">
            <v>323925</v>
          </cell>
          <cell r="CD84">
            <v>343374</v>
          </cell>
          <cell r="CE84">
            <v>1365908</v>
          </cell>
          <cell r="CF84">
            <v>381195</v>
          </cell>
          <cell r="CG84">
            <v>343107</v>
          </cell>
          <cell r="CH84">
            <v>335934</v>
          </cell>
          <cell r="CI84">
            <v>364916</v>
          </cell>
          <cell r="CJ84">
            <v>1425152</v>
          </cell>
          <cell r="CK84">
            <v>401105</v>
          </cell>
          <cell r="CL84">
            <v>361924</v>
          </cell>
          <cell r="CM84">
            <v>357613</v>
          </cell>
          <cell r="CN84">
            <v>361644.37765746028</v>
          </cell>
          <cell r="CO84">
            <v>1482286.3776574603</v>
          </cell>
          <cell r="CP84">
            <v>398501.44325361529</v>
          </cell>
          <cell r="CQ84">
            <v>354823.28581774893</v>
          </cell>
          <cell r="CR84">
            <v>351172.21730293654</v>
          </cell>
          <cell r="CS84">
            <v>355089.321075738</v>
          </cell>
          <cell r="CT84">
            <v>1459586.2674500388</v>
          </cell>
          <cell r="CU84">
            <v>402196.82774222002</v>
          </cell>
          <cell r="CV84">
            <v>358839.97299191233</v>
          </cell>
          <cell r="CW84">
            <v>355281.48714927386</v>
          </cell>
          <cell r="CX84">
            <v>358423.54053098697</v>
          </cell>
          <cell r="CY84">
            <v>1474741.8284143931</v>
          </cell>
          <cell r="CZ84">
            <v>408840.52735738928</v>
          </cell>
          <cell r="DA84">
            <v>364815.03531407955</v>
          </cell>
          <cell r="DB84">
            <v>361236.19158620993</v>
          </cell>
          <cell r="DC84">
            <v>364343.61643558595</v>
          </cell>
          <cell r="DD84">
            <v>1499235.3706932648</v>
          </cell>
          <cell r="DE84">
            <v>416030.57562995306</v>
          </cell>
          <cell r="DF84">
            <v>370568.18003995466</v>
          </cell>
          <cell r="DG84">
            <v>366958.50014538557</v>
          </cell>
          <cell r="DH84">
            <v>369342.12987271475</v>
          </cell>
          <cell r="DI84">
            <v>1522899.3856880078</v>
          </cell>
        </row>
        <row r="85">
          <cell r="B85" t="str">
            <v>y/y % change - as reported</v>
          </cell>
          <cell r="G85">
            <v>-2.0198189127871302E-2</v>
          </cell>
          <cell r="H85">
            <v>0.11777540046732926</v>
          </cell>
          <cell r="I85">
            <v>7.1934541424775622E-2</v>
          </cell>
          <cell r="J85">
            <v>0.23203077962318464</v>
          </cell>
          <cell r="K85">
            <v>0.17995508810740724</v>
          </cell>
          <cell r="L85">
            <v>0.24298300729124778</v>
          </cell>
          <cell r="Q85">
            <v>0.16706596364392889</v>
          </cell>
          <cell r="R85">
            <v>0.19976530895840416</v>
          </cell>
          <cell r="S85">
            <v>0.13257920949454283</v>
          </cell>
          <cell r="T85">
            <v>3.2728937122941781E-2</v>
          </cell>
          <cell r="U85">
            <v>5.5250964835897198E-2</v>
          </cell>
          <cell r="V85">
            <v>0.10247689875841703</v>
          </cell>
          <cell r="W85">
            <v>7.8096365695459635E-2</v>
          </cell>
          <cell r="X85">
            <v>0.1172887730804677</v>
          </cell>
          <cell r="Y85">
            <v>0.15497695877141937</v>
          </cell>
          <cell r="Z85">
            <v>0.10055470377595865</v>
          </cell>
          <cell r="AA85">
            <v>0.11243694867593801</v>
          </cell>
          <cell r="AB85">
            <v>6.8141774617893169E-2</v>
          </cell>
          <cell r="AC85">
            <v>0.12762786023823969</v>
          </cell>
          <cell r="AD85">
            <v>0.16991992454784177</v>
          </cell>
          <cell r="AE85">
            <v>0.17749534855735849</v>
          </cell>
          <cell r="AF85">
            <v>0.13610349025236657</v>
          </cell>
          <cell r="AG85">
            <v>0.17275214347658929</v>
          </cell>
          <cell r="AH85">
            <v>6.3887537734342859E-2</v>
          </cell>
          <cell r="AI85">
            <v>4.5441791905915352E-2</v>
          </cell>
          <cell r="AJ85">
            <v>4.7305158561703031E-2</v>
          </cell>
          <cell r="AK85">
            <v>7.934691348152878E-2</v>
          </cell>
          <cell r="AL85">
            <v>0.21080858557559257</v>
          </cell>
          <cell r="AM85">
            <v>0.23211749144047777</v>
          </cell>
          <cell r="AN85">
            <v>0.1817855360841889</v>
          </cell>
          <cell r="AO85">
            <v>0.14521837363528212</v>
          </cell>
          <cell r="AP85">
            <v>0.19316859051825919</v>
          </cell>
          <cell r="AQ85">
            <v>1.73145454774426E-4</v>
          </cell>
          <cell r="AR85">
            <v>4.9585021103022431E-2</v>
          </cell>
          <cell r="AS85">
            <v>0.10424803047604425</v>
          </cell>
          <cell r="AT85">
            <v>6.6379366848004162E-2</v>
          </cell>
          <cell r="AU85">
            <v>5.46442616423779E-2</v>
          </cell>
          <cell r="AW85">
            <v>0.23211749144047777</v>
          </cell>
          <cell r="AX85">
            <v>0.1817855360841889</v>
          </cell>
          <cell r="AY85">
            <v>0.14521837363528212</v>
          </cell>
          <cell r="AZ85">
            <v>1.73145454774426E-4</v>
          </cell>
          <cell r="BB85">
            <v>4.9585021103022431E-2</v>
          </cell>
          <cell r="BC85">
            <v>0.10424803047604425</v>
          </cell>
          <cell r="BD85">
            <v>6.6379366848004162E-2</v>
          </cell>
          <cell r="BE85">
            <v>5.1094247215201394E-2</v>
          </cell>
          <cell r="BF85">
            <v>6.7197458161171397E-2</v>
          </cell>
          <cell r="BG85">
            <v>3.2283050184193085E-2</v>
          </cell>
          <cell r="BH85">
            <v>5.8134987877682676E-3</v>
          </cell>
          <cell r="BI85">
            <v>-9.1335146514236465E-3</v>
          </cell>
          <cell r="BJ85">
            <v>-2.4854764328918755E-4</v>
          </cell>
          <cell r="BK85">
            <v>7.9368715461627382E-3</v>
          </cell>
          <cell r="BL85">
            <v>-3.9537565000509756E-2</v>
          </cell>
          <cell r="BM85">
            <v>-4.3969842010379012E-2</v>
          </cell>
          <cell r="BN85">
            <v>-7.958489313727668E-3</v>
          </cell>
          <cell r="BO85">
            <v>-3.1875922925084677E-2</v>
          </cell>
          <cell r="BP85">
            <v>-3.1456369519810345E-2</v>
          </cell>
          <cell r="BQ85">
            <v>6.2198195844016535E-3</v>
          </cell>
          <cell r="BR85">
            <v>-4.3796126155977944E-2</v>
          </cell>
          <cell r="BS85">
            <v>-5.0757057059873656E-2</v>
          </cell>
          <cell r="BT85">
            <v>2.110050585523604E-3</v>
          </cell>
          <cell r="BU85">
            <v>-2.0714145242607396E-2</v>
          </cell>
          <cell r="BV85">
            <v>-3.4750946142255379E-2</v>
          </cell>
          <cell r="BW85">
            <v>2.5662269910626145E-2</v>
          </cell>
          <cell r="BX85">
            <v>1.0700805606971731E-2</v>
          </cell>
          <cell r="BY85">
            <v>4.1741664788497168E-3</v>
          </cell>
          <cell r="BZ85">
            <v>-7.5307562933168981E-5</v>
          </cell>
          <cell r="CA85">
            <v>2.8269709904067408E-2</v>
          </cell>
          <cell r="CB85">
            <v>1.8834254262432459E-2</v>
          </cell>
          <cell r="CC85">
            <v>5.5573840473684299E-2</v>
          </cell>
          <cell r="CD85">
            <v>5.5726535669594623E-2</v>
          </cell>
          <cell r="CE85">
            <v>3.9100501327490766E-2</v>
          </cell>
          <cell r="CF85">
            <v>3.896156991005717E-2</v>
          </cell>
          <cell r="CG85">
            <v>3.4361443313265516E-2</v>
          </cell>
          <cell r="CH85">
            <v>3.7073396619587973E-2</v>
          </cell>
          <cell r="CI85">
            <v>6.2736258423759406E-2</v>
          </cell>
          <cell r="CJ85">
            <v>4.3373345789028184E-2</v>
          </cell>
          <cell r="CK85">
            <v>5.2230485709413799E-2</v>
          </cell>
          <cell r="CL85">
            <v>5.4842949866951152E-2</v>
          </cell>
          <cell r="CM85">
            <v>6.4533509558425184E-2</v>
          </cell>
          <cell r="CN85">
            <v>-8.9654121566051792E-3</v>
          </cell>
          <cell r="CO85">
            <v>4.009002384128868E-2</v>
          </cell>
          <cell r="CP85">
            <v>-6.4909605873392229E-3</v>
          </cell>
          <cell r="CQ85">
            <v>-1.9619351527533579E-2</v>
          </cell>
          <cell r="CR85">
            <v>-1.8010482552545559E-2</v>
          </cell>
          <cell r="CS85">
            <v>-1.8125697471594759E-2</v>
          </cell>
          <cell r="CT85">
            <v>-1.5314254080440071E-2</v>
          </cell>
          <cell r="CU85">
            <v>9.2732022710715345E-3</v>
          </cell>
          <cell r="CV85">
            <v>1.1320246823447011E-2</v>
          </cell>
          <cell r="CW85">
            <v>1.1701580147476465E-2</v>
          </cell>
          <cell r="CX85">
            <v>9.389804923302103E-3</v>
          </cell>
          <cell r="CY85">
            <v>1.0383463658391268E-2</v>
          </cell>
          <cell r="CZ85">
            <v>1.6518528135750055E-2</v>
          </cell>
          <cell r="DA85">
            <v>1.665104997179867E-2</v>
          </cell>
          <cell r="DB85">
            <v>1.676052553347418E-2</v>
          </cell>
          <cell r="DC85">
            <v>1.6516984056986539E-2</v>
          </cell>
          <cell r="DD85">
            <v>1.6608698422290402E-2</v>
          </cell>
          <cell r="DE85">
            <v>1.758643723272213E-2</v>
          </cell>
          <cell r="DF85">
            <v>1.577003184893977E-2</v>
          </cell>
          <cell r="DG85">
            <v>1.5840906012347888E-2</v>
          </cell>
          <cell r="DH85">
            <v>1.3719228803923622E-2</v>
          </cell>
          <cell r="DI85">
            <v>1.5784055964341626E-2</v>
          </cell>
        </row>
        <row r="87">
          <cell r="B87" t="str">
            <v>Adjusted Patient Days</v>
          </cell>
          <cell r="I87" t="str">
            <v>NM</v>
          </cell>
          <cell r="J87" t="str">
            <v>NM</v>
          </cell>
          <cell r="K87" t="str">
            <v>NM</v>
          </cell>
          <cell r="L87" t="str">
            <v>NM</v>
          </cell>
          <cell r="M87" t="str">
            <v>NM</v>
          </cell>
          <cell r="N87" t="str">
            <v>NM</v>
          </cell>
          <cell r="O87" t="str">
            <v>NM</v>
          </cell>
          <cell r="P87" t="str">
            <v>NM</v>
          </cell>
          <cell r="Q87">
            <v>0</v>
          </cell>
          <cell r="R87">
            <v>297984.2636930141</v>
          </cell>
          <cell r="S87">
            <v>321843.3951205833</v>
          </cell>
          <cell r="T87">
            <v>296532.91849861795</v>
          </cell>
          <cell r="U87">
            <v>291151.76150556444</v>
          </cell>
          <cell r="V87">
            <v>1207512.3388177799</v>
          </cell>
          <cell r="W87">
            <v>322378.6954375098</v>
          </cell>
          <cell r="X87">
            <v>360062.4702957446</v>
          </cell>
          <cell r="Y87">
            <v>339000.39993059769</v>
          </cell>
          <cell r="Z87">
            <v>348858.17030096293</v>
          </cell>
          <cell r="AA87">
            <v>1370299.7359648149</v>
          </cell>
          <cell r="AB87">
            <v>358546.95479400596</v>
          </cell>
          <cell r="AC87">
            <v>419828.91205673758</v>
          </cell>
          <cell r="AD87">
            <v>405326.15153453854</v>
          </cell>
          <cell r="AE87">
            <v>408175.31845038035</v>
          </cell>
          <cell r="AF87">
            <v>1591877.3368356624</v>
          </cell>
          <cell r="AG87">
            <v>413251.72356167214</v>
          </cell>
          <cell r="AH87">
            <v>446064.8540373685</v>
          </cell>
          <cell r="AI87">
            <v>424575.06975111453</v>
          </cell>
          <cell r="AJ87">
            <v>430341.04651633807</v>
          </cell>
          <cell r="AK87">
            <v>1714232.6938664934</v>
          </cell>
          <cell r="AL87">
            <v>506751.52675026422</v>
          </cell>
          <cell r="AM87">
            <v>561143.02080050425</v>
          </cell>
          <cell r="AN87">
            <v>516982.15960649314</v>
          </cell>
          <cell r="AO87">
            <v>507193.53593000857</v>
          </cell>
          <cell r="AP87">
            <v>2092070.2430872703</v>
          </cell>
          <cell r="AQ87">
            <v>520959.9943470413</v>
          </cell>
          <cell r="AR87">
            <v>597068.81040983205</v>
          </cell>
          <cell r="AS87">
            <v>577942.33321189729</v>
          </cell>
          <cell r="AT87">
            <v>553106.71276293159</v>
          </cell>
          <cell r="AU87">
            <v>2249077.8507317025</v>
          </cell>
          <cell r="AW87">
            <v>561143.02080050425</v>
          </cell>
          <cell r="AX87">
            <v>516982.15960649314</v>
          </cell>
          <cell r="AY87">
            <v>507193.53593000857</v>
          </cell>
          <cell r="AZ87">
            <v>520959.9943470413</v>
          </cell>
          <cell r="BA87">
            <v>2106278.7106840475</v>
          </cell>
          <cell r="BB87">
            <v>597068.81040983205</v>
          </cell>
          <cell r="BC87">
            <v>577942.33321189729</v>
          </cell>
          <cell r="BD87">
            <v>553106.71276293159</v>
          </cell>
          <cell r="BE87">
            <v>556348.72284693737</v>
          </cell>
          <cell r="BF87">
            <v>2284466.5792315984</v>
          </cell>
          <cell r="BG87">
            <v>634869.56322601275</v>
          </cell>
          <cell r="BH87">
            <v>598067.612702796</v>
          </cell>
          <cell r="BI87">
            <v>548384.10520547943</v>
          </cell>
          <cell r="BJ87">
            <v>563516.96816380112</v>
          </cell>
          <cell r="BK87">
            <v>2344838.2492980892</v>
          </cell>
          <cell r="BL87">
            <v>611492.34016729542</v>
          </cell>
          <cell r="BM87">
            <v>585962.5384429493</v>
          </cell>
          <cell r="BN87">
            <v>556633.38907738053</v>
          </cell>
          <cell r="BO87">
            <v>562135.88151836046</v>
          </cell>
          <cell r="BP87">
            <v>2316224.1492059855</v>
          </cell>
          <cell r="BQ87">
            <v>620842.71302557713</v>
          </cell>
          <cell r="BR87">
            <v>558012.63828259427</v>
          </cell>
          <cell r="BS87">
            <v>541329.59496466431</v>
          </cell>
          <cell r="BT87">
            <v>562510.96634100471</v>
          </cell>
          <cell r="BU87">
            <v>2282695.9126138403</v>
          </cell>
          <cell r="BV87">
            <v>602024.82740130275</v>
          </cell>
          <cell r="BW87">
            <v>569910.82981438516</v>
          </cell>
          <cell r="BX87">
            <v>553314.35095473367</v>
          </cell>
          <cell r="BY87">
            <v>574716.42542027647</v>
          </cell>
          <cell r="BZ87">
            <v>2299966.4335906981</v>
          </cell>
          <cell r="CA87">
            <v>639227.17063241382</v>
          </cell>
          <cell r="CB87">
            <v>603728.14953189145</v>
          </cell>
          <cell r="CC87">
            <v>603589.95271491481</v>
          </cell>
          <cell r="CD87">
            <v>629808.9978282901</v>
          </cell>
          <cell r="CE87">
            <v>2476354.2707075104</v>
          </cell>
          <cell r="CF87">
            <v>688846.11333099403</v>
          </cell>
          <cell r="CG87">
            <v>646742.22768194368</v>
          </cell>
          <cell r="CH87">
            <v>639991.59324906953</v>
          </cell>
          <cell r="CI87">
            <v>699012.64802445378</v>
          </cell>
          <cell r="CJ87">
            <v>2674592.5822864613</v>
          </cell>
          <cell r="CK87">
            <v>763803.95355437044</v>
          </cell>
          <cell r="CL87">
            <v>720750.58988978446</v>
          </cell>
          <cell r="CM87">
            <v>722817.00129863992</v>
          </cell>
          <cell r="CN87">
            <v>726222.14649468311</v>
          </cell>
          <cell r="CO87">
            <v>2933593.6912374776</v>
          </cell>
          <cell r="CP87">
            <v>774412.18217560579</v>
          </cell>
          <cell r="CQ87">
            <v>723264.71399058343</v>
          </cell>
          <cell r="CR87">
            <v>724189.58494870691</v>
          </cell>
          <cell r="CS87">
            <v>740675.46573773737</v>
          </cell>
          <cell r="CT87">
            <v>2962541.9468526333</v>
          </cell>
          <cell r="CU87">
            <v>795630.61873223365</v>
          </cell>
          <cell r="CV87">
            <v>745040.30852356018</v>
          </cell>
          <cell r="CW87">
            <v>746357.17611682415</v>
          </cell>
          <cell r="CX87">
            <v>761720.12479645119</v>
          </cell>
          <cell r="CY87">
            <v>3048748.2281690692</v>
          </cell>
          <cell r="CZ87">
            <v>821867.96427149605</v>
          </cell>
          <cell r="DA87">
            <v>770121.97229538008</v>
          </cell>
          <cell r="DB87">
            <v>771641.11608217738</v>
          </cell>
          <cell r="DC87">
            <v>787382.1000223991</v>
          </cell>
          <cell r="DD87">
            <v>3151013.1526714526</v>
          </cell>
          <cell r="DE87">
            <v>849911.29141673236</v>
          </cell>
          <cell r="DF87">
            <v>795418.79839642986</v>
          </cell>
          <cell r="DG87">
            <v>797123.77924996126</v>
          </cell>
          <cell r="DH87">
            <v>811827.08622108935</v>
          </cell>
          <cell r="DI87">
            <v>3254280.9552842127</v>
          </cell>
        </row>
        <row r="88">
          <cell r="B88" t="str">
            <v>y/y % change - as reported</v>
          </cell>
          <cell r="I88" t="str">
            <v>NM</v>
          </cell>
          <cell r="J88" t="str">
            <v>NM</v>
          </cell>
          <cell r="K88" t="str">
            <v>NM</v>
          </cell>
          <cell r="L88" t="str">
            <v>NM</v>
          </cell>
          <cell r="Q88" t="str">
            <v>NM</v>
          </cell>
          <cell r="R88" t="str">
            <v>NM</v>
          </cell>
          <cell r="S88" t="str">
            <v>NM</v>
          </cell>
          <cell r="T88" t="str">
            <v>NM</v>
          </cell>
          <cell r="U88" t="str">
            <v>NM</v>
          </cell>
          <cell r="V88" t="str">
            <v>NM</v>
          </cell>
          <cell r="W88">
            <v>8.1864832196733239E-2</v>
          </cell>
          <cell r="X88">
            <v>0.11875053443567474</v>
          </cell>
          <cell r="Y88">
            <v>0.14321337963757186</v>
          </cell>
          <cell r="Z88">
            <v>0.19820044535191861</v>
          </cell>
          <cell r="AA88">
            <v>0.13481220184169107</v>
          </cell>
          <cell r="AB88">
            <v>0.11219184105020075</v>
          </cell>
          <cell r="AC88">
            <v>0.16598908992626371</v>
          </cell>
          <cell r="AD88">
            <v>0.19565095385586417</v>
          </cell>
          <cell r="AE88">
            <v>0.17003227442901503</v>
          </cell>
          <cell r="AF88">
            <v>0.16170009747162117</v>
          </cell>
          <cell r="AG88">
            <v>0.15257351383473727</v>
          </cell>
          <cell r="AH88">
            <v>6.2491984775658427E-2</v>
          </cell>
          <cell r="AI88">
            <v>4.748994888116842E-2</v>
          </cell>
          <cell r="AJ88">
            <v>5.4304430140727167E-2</v>
          </cell>
          <cell r="AK88">
            <v>7.6862302263847271E-2</v>
          </cell>
          <cell r="AL88">
            <v>0.22625387350535409</v>
          </cell>
          <cell r="AM88">
            <v>0.25798528111227359</v>
          </cell>
          <cell r="AN88">
            <v>0.21764605705546392</v>
          </cell>
          <cell r="AO88">
            <v>0.17858507812768631</v>
          </cell>
          <cell r="AP88">
            <v>0.22041205407683306</v>
          </cell>
          <cell r="AQ88">
            <v>2.8038332095206897E-2</v>
          </cell>
          <cell r="AR88">
            <v>6.4022518818958929E-2</v>
          </cell>
          <cell r="AS88">
            <v>0.11791542990923465</v>
          </cell>
          <cell r="AT88">
            <v>9.0523978679529105E-2</v>
          </cell>
          <cell r="AU88">
            <v>7.5048917770913715E-2</v>
          </cell>
          <cell r="AW88">
            <v>0.25798528111227359</v>
          </cell>
          <cell r="AX88">
            <v>0.21764605705546392</v>
          </cell>
          <cell r="AY88">
            <v>0.17858507812768631</v>
          </cell>
          <cell r="AZ88">
            <v>2.8038332095206897E-2</v>
          </cell>
          <cell r="BB88">
            <v>6.4022518818958929E-2</v>
          </cell>
          <cell r="BC88">
            <v>0.11791542990923465</v>
          </cell>
          <cell r="BD88">
            <v>9.0523978679529105E-2</v>
          </cell>
          <cell r="BE88">
            <v>6.792983892026383E-2</v>
          </cell>
          <cell r="BF88">
            <v>8.4598428329402564E-2</v>
          </cell>
          <cell r="BG88">
            <v>6.3310546719454353E-2</v>
          </cell>
          <cell r="BH88">
            <v>3.4822296852789814E-2</v>
          </cell>
          <cell r="BI88">
            <v>-8.5383298529525531E-3</v>
          </cell>
          <cell r="BJ88">
            <v>1.2884446431695729E-2</v>
          </cell>
          <cell r="BK88">
            <v>2.6427031419648639E-2</v>
          </cell>
          <cell r="BL88">
            <v>-3.6822088209629733E-2</v>
          </cell>
          <cell r="BM88">
            <v>-2.024031063167131E-2</v>
          </cell>
          <cell r="BN88">
            <v>1.5042893828606019E-2</v>
          </cell>
          <cell r="BO88">
            <v>-2.4508341779678755E-3</v>
          </cell>
          <cell r="BP88">
            <v>-1.2203016604948824E-2</v>
          </cell>
          <cell r="BQ88">
            <v>1.5291071112556454E-2</v>
          </cell>
          <cell r="BR88">
            <v>-4.7699124648181379E-2</v>
          </cell>
          <cell r="BS88">
            <v>-2.7493489275018601E-2</v>
          </cell>
          <cell r="BT88">
            <v>6.6724938751661078E-4</v>
          </cell>
          <cell r="BU88">
            <v>-1.4475385123516094E-2</v>
          </cell>
          <cell r="BV88">
            <v>-3.0310230319960496E-2</v>
          </cell>
          <cell r="BW88">
            <v>2.1322440954760769E-2</v>
          </cell>
          <cell r="BX88">
            <v>2.2139480459869798E-2</v>
          </cell>
          <cell r="BY88">
            <v>2.1698170897298752E-2</v>
          </cell>
          <cell r="BZ88">
            <v>7.5658439135162237E-3</v>
          </cell>
          <cell r="CA88">
            <v>6.1795363808663017E-2</v>
          </cell>
          <cell r="CB88">
            <v>5.9337913842627543E-2</v>
          </cell>
          <cell r="CC88">
            <v>9.0862638341896451E-2</v>
          </cell>
          <cell r="CD88">
            <v>9.5860445206043643E-2</v>
          </cell>
          <cell r="CE88">
            <v>7.6691483206316358E-2</v>
          </cell>
          <cell r="CF88">
            <v>7.7623331701451637E-2</v>
          </cell>
          <cell r="CG88">
            <v>7.1247428471579166E-2</v>
          </cell>
          <cell r="CH88">
            <v>6.0308559429165687E-2</v>
          </cell>
          <cell r="CI88">
            <v>0.1098803771219401</v>
          </cell>
          <cell r="CJ88">
            <v>8.0052484381531119E-2</v>
          </cell>
          <cell r="CK88">
            <v>0.10881652487071336</v>
          </cell>
          <cell r="CL88">
            <v>0.11443254984772189</v>
          </cell>
          <cell r="CM88">
            <v>0.12941640003283084</v>
          </cell>
          <cell r="CN88">
            <v>3.8925616792669926E-2</v>
          </cell>
          <cell r="CO88">
            <v>9.6837593383886977E-2</v>
          </cell>
          <cell r="CP88">
            <v>1.3888679905190049E-2</v>
          </cell>
          <cell r="CQ88">
            <v>3.4882026266305211E-3</v>
          </cell>
          <cell r="CR88">
            <v>1.8989365878236963E-3</v>
          </cell>
          <cell r="CS88">
            <v>1.9902063456501917E-2</v>
          </cell>
          <cell r="CT88">
            <v>9.867847651030548E-3</v>
          </cell>
          <cell r="CU88">
            <v>2.7399409571550848E-2</v>
          </cell>
          <cell r="CV88">
            <v>3.0107364719662355E-2</v>
          </cell>
          <cell r="CW88">
            <v>3.0610204328866963E-2</v>
          </cell>
          <cell r="CX88">
            <v>2.8412793500258049E-2</v>
          </cell>
          <cell r="CY88">
            <v>2.9098754671818439E-2</v>
          </cell>
          <cell r="CZ88">
            <v>3.2976792146422573E-2</v>
          </cell>
          <cell r="DA88">
            <v>3.3664841331234818E-2</v>
          </cell>
          <cell r="DB88">
            <v>3.387646126336108E-2</v>
          </cell>
          <cell r="DC88">
            <v>3.3689506671240155E-2</v>
          </cell>
          <cell r="DD88">
            <v>3.3543250163297067E-2</v>
          </cell>
          <cell r="DE88">
            <v>3.4121450603192605E-2</v>
          </cell>
          <cell r="DF88">
            <v>3.2847817632902343E-2</v>
          </cell>
          <cell r="DG88">
            <v>3.3023983088363629E-2</v>
          </cell>
          <cell r="DH88">
            <v>3.1045900329706333E-2</v>
          </cell>
          <cell r="DI88">
            <v>3.2772888467700989E-2</v>
          </cell>
        </row>
        <row r="90">
          <cell r="B90" t="str">
            <v xml:space="preserve">Average Length of Stay </v>
          </cell>
          <cell r="F90">
            <v>6.2029686029600475</v>
          </cell>
          <cell r="G90">
            <v>5.8200139270061033</v>
          </cell>
          <cell r="H90">
            <v>5.6735911404840582</v>
          </cell>
          <cell r="I90">
            <v>5.3427011250764957</v>
          </cell>
          <cell r="J90">
            <v>5.0723449535072129</v>
          </cell>
          <cell r="K90">
            <v>4.9164853938834092</v>
          </cell>
          <cell r="L90">
            <v>4.973187943061764</v>
          </cell>
          <cell r="M90">
            <v>4.8871147867556068</v>
          </cell>
          <cell r="N90">
            <v>5.0554454384743126</v>
          </cell>
          <cell r="O90">
            <v>5.0626203969960075</v>
          </cell>
          <cell r="P90">
            <v>4.9103146114864868</v>
          </cell>
          <cell r="Q90">
            <v>4.9788738084281032</v>
          </cell>
          <cell r="R90">
            <v>4.9009763604712768</v>
          </cell>
          <cell r="S90">
            <v>4.9953963357636946</v>
          </cell>
          <cell r="T90">
            <v>4.8377205445480609</v>
          </cell>
          <cell r="U90">
            <v>4.7703989891626577</v>
          </cell>
          <cell r="V90">
            <v>4.8761230574864225</v>
          </cell>
          <cell r="W90">
            <v>4.7000830359747754</v>
          </cell>
          <cell r="X90">
            <v>4.7693551930027756</v>
          </cell>
          <cell r="Y90">
            <v>4.6910731326450943</v>
          </cell>
          <cell r="Z90">
            <v>4.6647523640917141</v>
          </cell>
          <cell r="AA90">
            <v>4.7063159314285903</v>
          </cell>
          <cell r="AB90">
            <v>4.6688233084275996</v>
          </cell>
          <cell r="AC90">
            <v>4.7161719639261008</v>
          </cell>
          <cell r="AD90">
            <v>4.6255323815965053</v>
          </cell>
          <cell r="AE90">
            <v>4.500477622501327</v>
          </cell>
          <cell r="AF90">
            <v>4.6277513191128836</v>
          </cell>
          <cell r="AG90">
            <v>4.5244722682119205</v>
          </cell>
          <cell r="AH90">
            <v>4.6796073691775009</v>
          </cell>
          <cell r="AI90">
            <v>4.643310983957595</v>
          </cell>
          <cell r="AJ90">
            <v>4.4971475830407774</v>
          </cell>
          <cell r="AK90">
            <v>4.5861345510969489</v>
          </cell>
          <cell r="AL90">
            <v>4.5367191293667339</v>
          </cell>
          <cell r="AM90">
            <v>4.6358598592289102</v>
          </cell>
          <cell r="AN90">
            <v>4.5031327869560833</v>
          </cell>
          <cell r="AO90">
            <v>4.4199487231484564</v>
          </cell>
          <cell r="AP90">
            <v>4.523915124675046</v>
          </cell>
          <cell r="AQ90">
            <v>4.4455063176011302</v>
          </cell>
          <cell r="AR90">
            <v>4.5357562552024682</v>
          </cell>
          <cell r="AS90">
            <v>4.4918030653933227</v>
          </cell>
          <cell r="AT90">
            <v>4.4072950386693934</v>
          </cell>
          <cell r="AU90">
            <v>4.4700901692165784</v>
          </cell>
          <cell r="AW90">
            <v>4.6358598592289102</v>
          </cell>
          <cell r="AX90">
            <v>4.5031327869560833</v>
          </cell>
          <cell r="AY90">
            <v>4.4199487231484564</v>
          </cell>
          <cell r="AZ90">
            <v>4.4455063176011302</v>
          </cell>
          <cell r="BA90">
            <v>4.5011119217336448</v>
          </cell>
          <cell r="BB90">
            <v>4.5357562552024682</v>
          </cell>
          <cell r="BC90">
            <v>4.4918030653933227</v>
          </cell>
          <cell r="BD90">
            <v>4.4072950386693934</v>
          </cell>
          <cell r="BE90">
            <v>4.4177801296467782</v>
          </cell>
          <cell r="BF90">
            <v>4.4631586222279909</v>
          </cell>
          <cell r="BG90">
            <v>4.5292181264875486</v>
          </cell>
          <cell r="BH90">
            <v>4.4393050281900814</v>
          </cell>
          <cell r="BI90">
            <v>4.2064318330071755</v>
          </cell>
          <cell r="BJ90">
            <v>4.2144083415385394</v>
          </cell>
          <cell r="BK90">
            <v>4.3473408323058367</v>
          </cell>
          <cell r="BL90">
            <v>4.3039199606363789</v>
          </cell>
          <cell r="BM90">
            <v>4.2223013621968128</v>
          </cell>
          <cell r="BN90">
            <v>4.1900651060429412</v>
          </cell>
          <cell r="BO90">
            <v>4.1688485895964194</v>
          </cell>
          <cell r="BP90">
            <v>4.2212837546181374</v>
          </cell>
          <cell r="BQ90">
            <v>4.4243515936374189</v>
          </cell>
          <cell r="BR90">
            <v>4.3007085856738341</v>
          </cell>
          <cell r="BS90">
            <v>4.1908955388692579</v>
          </cell>
          <cell r="BT90">
            <v>4.2305190564509809</v>
          </cell>
          <cell r="BU90">
            <v>4.2866186936578732</v>
          </cell>
          <cell r="BV90">
            <v>4.2803349288036374</v>
          </cell>
          <cell r="BW90">
            <v>4.1966615106986334</v>
          </cell>
          <cell r="BX90">
            <v>4.097623180664975</v>
          </cell>
          <cell r="BY90">
            <v>4.1930821988448841</v>
          </cell>
          <cell r="BZ90">
            <v>4.1919254547530329</v>
          </cell>
          <cell r="CA90">
            <v>4.2921316768442477</v>
          </cell>
          <cell r="CB90">
            <v>4.1517597877240409</v>
          </cell>
          <cell r="CC90">
            <v>4.1229666776977316</v>
          </cell>
          <cell r="CD90">
            <v>4.1428261184305777</v>
          </cell>
          <cell r="CE90">
            <v>4.1774210651741495</v>
          </cell>
          <cell r="CF90">
            <v>4.3149428930418932</v>
          </cell>
          <cell r="CG90">
            <v>4.2488452441395363</v>
          </cell>
          <cell r="CH90">
            <v>4.1263956959133283</v>
          </cell>
          <cell r="CI90">
            <v>4.131280425676441</v>
          </cell>
          <cell r="CJ90">
            <v>4.2053660646927993</v>
          </cell>
          <cell r="CK90">
            <v>4.2954978688770371</v>
          </cell>
          <cell r="CL90">
            <v>4.1856893381289968</v>
          </cell>
          <cell r="CM90">
            <v>4.2219139591990933</v>
          </cell>
          <cell r="CN90">
            <v>4.2219139591990933</v>
          </cell>
          <cell r="CO90">
            <v>4.2312537813510547</v>
          </cell>
          <cell r="CP90">
            <v>4.301260464044133</v>
          </cell>
          <cell r="CQ90">
            <v>4.1914519332960927</v>
          </cell>
          <cell r="CR90">
            <v>4.2276765543661892</v>
          </cell>
          <cell r="CS90">
            <v>4.2276765543661892</v>
          </cell>
          <cell r="CT90">
            <v>4.2370163765181506</v>
          </cell>
          <cell r="CU90">
            <v>4.3073418774432497</v>
          </cell>
          <cell r="CV90">
            <v>4.1975333466952094</v>
          </cell>
          <cell r="CW90">
            <v>4.2337579677653059</v>
          </cell>
          <cell r="CX90">
            <v>4.2337579677653059</v>
          </cell>
          <cell r="CY90">
            <v>4.2430977899172682</v>
          </cell>
          <cell r="CZ90">
            <v>4.3144296677928473</v>
          </cell>
          <cell r="DA90">
            <v>4.204621137044807</v>
          </cell>
          <cell r="DB90">
            <v>4.2408457581149035</v>
          </cell>
          <cell r="DC90">
            <v>4.2408457581149035</v>
          </cell>
          <cell r="DD90">
            <v>4.2501855802668658</v>
          </cell>
          <cell r="DE90">
            <v>4.3207492221240358</v>
          </cell>
          <cell r="DF90">
            <v>4.2109406913759955</v>
          </cell>
          <cell r="DG90">
            <v>4.247165312446092</v>
          </cell>
          <cell r="DH90">
            <v>4.247165312446092</v>
          </cell>
          <cell r="DI90">
            <v>4.2565051345980542</v>
          </cell>
        </row>
        <row r="91">
          <cell r="B91" t="str">
            <v>Average Daily Census</v>
          </cell>
          <cell r="F91">
            <v>794.59178082191784</v>
          </cell>
          <cell r="G91">
            <v>778.54246575342461</v>
          </cell>
          <cell r="H91">
            <v>870.23561643835615</v>
          </cell>
          <cell r="I91">
            <v>932.83561643835617</v>
          </cell>
          <cell r="J91">
            <v>1149.2821917808219</v>
          </cell>
          <cell r="K91">
            <v>1356.1013698630136</v>
          </cell>
          <cell r="L91">
            <v>1685.6109589041096</v>
          </cell>
          <cell r="M91">
            <v>1759.945652173913</v>
          </cell>
          <cell r="N91">
            <v>2097.1111111111113</v>
          </cell>
          <cell r="O91">
            <v>1992.7252747252746</v>
          </cell>
          <cell r="P91">
            <v>2022.195652173913</v>
          </cell>
          <cell r="Q91">
            <v>1967.2191780821918</v>
          </cell>
          <cell r="R91">
            <v>2111.521739130435</v>
          </cell>
          <cell r="S91">
            <v>2375.1444444444446</v>
          </cell>
          <cell r="T91">
            <v>2057.9450549450548</v>
          </cell>
          <cell r="U91">
            <v>2133.9239130434785</v>
          </cell>
          <cell r="V91">
            <v>2168.813698630137</v>
          </cell>
          <cell r="W91">
            <v>2276.4239130434785</v>
          </cell>
          <cell r="X91">
            <v>2653.7222222222222</v>
          </cell>
          <cell r="Y91">
            <v>2376.8791208791208</v>
          </cell>
          <cell r="Z91">
            <v>2348.5</v>
          </cell>
          <cell r="AA91">
            <v>2412.6684931506848</v>
          </cell>
          <cell r="AB91">
            <v>2431.5434782608695</v>
          </cell>
          <cell r="AC91">
            <v>2992.411111111111</v>
          </cell>
          <cell r="AD91">
            <v>2780.7582417582416</v>
          </cell>
          <cell r="AE91">
            <v>2765.3478260869565</v>
          </cell>
          <cell r="AF91">
            <v>2741.0410958904108</v>
          </cell>
          <cell r="AG91">
            <v>2851.5978260869565</v>
          </cell>
          <cell r="AH91">
            <v>3183.588888888889</v>
          </cell>
          <cell r="AI91">
            <v>2907.1208791208792</v>
          </cell>
          <cell r="AJ91">
            <v>2896.163043478261</v>
          </cell>
          <cell r="AK91">
            <v>2958.5342465753424</v>
          </cell>
          <cell r="AL91">
            <v>3452.7391304347825</v>
          </cell>
          <cell r="AM91">
            <v>3879.4505494505493</v>
          </cell>
          <cell r="AN91">
            <v>3435.5934065934066</v>
          </cell>
          <cell r="AO91">
            <v>3316.7391304347825</v>
          </cell>
          <cell r="AP91">
            <v>3520.3852459016393</v>
          </cell>
          <cell r="AQ91">
            <v>3453.336956521739</v>
          </cell>
          <cell r="AR91">
            <v>4117.0555555555557</v>
          </cell>
          <cell r="AS91">
            <v>3793.7472527472528</v>
          </cell>
          <cell r="AT91">
            <v>3536.9021739130435</v>
          </cell>
          <cell r="AU91">
            <v>3722.9260273972604</v>
          </cell>
          <cell r="AW91">
            <v>3879.4505494505493</v>
          </cell>
          <cell r="AX91">
            <v>3435.5934065934066</v>
          </cell>
          <cell r="AY91">
            <v>3316.7391304347825</v>
          </cell>
          <cell r="AZ91">
            <v>3453.336956521739</v>
          </cell>
          <cell r="BA91">
            <v>3520.5355191256831</v>
          </cell>
          <cell r="BB91">
            <v>4117.0555555555557</v>
          </cell>
          <cell r="BC91">
            <v>3793.7472527472528</v>
          </cell>
          <cell r="BD91">
            <v>3536.9021739130435</v>
          </cell>
          <cell r="BE91">
            <v>3629.782608695652</v>
          </cell>
          <cell r="BF91">
            <v>3767.4</v>
          </cell>
          <cell r="BG91">
            <v>4249.9666666666662</v>
          </cell>
          <cell r="BH91">
            <v>3815.802197802198</v>
          </cell>
          <cell r="BI91">
            <v>3504.5978260869565</v>
          </cell>
          <cell r="BJ91">
            <v>3628.8804347826085</v>
          </cell>
          <cell r="BK91">
            <v>3797.3013698630139</v>
          </cell>
          <cell r="BL91">
            <v>4081.9333333333334</v>
          </cell>
          <cell r="BM91">
            <v>3648.0219780219782</v>
          </cell>
          <cell r="BN91">
            <v>3476.7065217391305</v>
          </cell>
          <cell r="BO91">
            <v>3513.2065217391305</v>
          </cell>
          <cell r="BP91">
            <v>3677.8520547945204</v>
          </cell>
          <cell r="BQ91">
            <v>4062.1868131868132</v>
          </cell>
          <cell r="BR91">
            <v>3488.2527472527472</v>
          </cell>
          <cell r="BS91">
            <v>3300.2391304347825</v>
          </cell>
          <cell r="BT91">
            <v>3520.6195652173915</v>
          </cell>
          <cell r="BU91">
            <v>3591.8278688524592</v>
          </cell>
          <cell r="BV91">
            <v>3964.588888888889</v>
          </cell>
          <cell r="BW91">
            <v>3577.7692307692309</v>
          </cell>
          <cell r="BX91">
            <v>3335.554347826087</v>
          </cell>
          <cell r="BY91">
            <v>3535.3152173913045</v>
          </cell>
          <cell r="BZ91">
            <v>3601.3972602739727</v>
          </cell>
          <cell r="CA91">
            <v>4076.6666666666665</v>
          </cell>
          <cell r="CB91">
            <v>3645.1538461538462</v>
          </cell>
          <cell r="CC91">
            <v>3520.9239130434785</v>
          </cell>
          <cell r="CD91">
            <v>3732.3260869565215</v>
          </cell>
          <cell r="CE91">
            <v>3742.2136986301371</v>
          </cell>
          <cell r="CF91">
            <v>4235.5</v>
          </cell>
          <cell r="CG91">
            <v>3770.4065934065934</v>
          </cell>
          <cell r="CH91">
            <v>3651.4565217391305</v>
          </cell>
          <cell r="CI91">
            <v>3966.478260869565</v>
          </cell>
          <cell r="CJ91">
            <v>3904.5260273972603</v>
          </cell>
          <cell r="CK91">
            <v>4407.7472527472528</v>
          </cell>
          <cell r="CL91">
            <v>3977.1868131868132</v>
          </cell>
          <cell r="CM91">
            <v>3887.0978260869565</v>
          </cell>
          <cell r="CN91">
            <v>3930.9171484506551</v>
          </cell>
          <cell r="CO91">
            <v>4049.9627804848642</v>
          </cell>
          <cell r="CP91">
            <v>4427.7938139290591</v>
          </cell>
          <cell r="CQ91">
            <v>3899.1569870082299</v>
          </cell>
          <cell r="CR91">
            <v>3817.08931851018</v>
          </cell>
          <cell r="CS91">
            <v>3859.6665334319346</v>
          </cell>
          <cell r="CT91">
            <v>3998.8664861644897</v>
          </cell>
          <cell r="CU91">
            <v>4468.8536415802228</v>
          </cell>
          <cell r="CV91">
            <v>3943.2964065045312</v>
          </cell>
          <cell r="CW91">
            <v>3861.7552951008029</v>
          </cell>
          <cell r="CX91">
            <v>3895.9080492498583</v>
          </cell>
          <cell r="CY91">
            <v>4040.3885709983374</v>
          </cell>
          <cell r="CZ91">
            <v>4542.6725261932143</v>
          </cell>
          <cell r="DA91">
            <v>4008.9564320228524</v>
          </cell>
          <cell r="DB91">
            <v>3926.4803433283687</v>
          </cell>
          <cell r="DC91">
            <v>3960.2567003868039</v>
          </cell>
          <cell r="DD91">
            <v>4107.4941662829169</v>
          </cell>
          <cell r="DE91">
            <v>4622.5619514439231</v>
          </cell>
          <cell r="DF91">
            <v>4072.1778026368643</v>
          </cell>
          <cell r="DG91">
            <v>3988.679349406365</v>
          </cell>
          <cell r="DH91">
            <v>4014.5883681816822</v>
          </cell>
          <cell r="DI91">
            <v>4172.3270840767336</v>
          </cell>
        </row>
        <row r="92">
          <cell r="B92" t="str">
            <v>Occupancy Rate - reported</v>
          </cell>
          <cell r="F92">
            <v>0.47799999999999998</v>
          </cell>
          <cell r="G92">
            <v>0.45600000000000002</v>
          </cell>
          <cell r="H92">
            <v>0.433</v>
          </cell>
          <cell r="I92">
            <v>0.436</v>
          </cell>
          <cell r="J92">
            <v>0.432</v>
          </cell>
          <cell r="K92">
            <v>0.44800000000000001</v>
          </cell>
          <cell r="L92">
            <v>0.47099999999999997</v>
          </cell>
          <cell r="M92">
            <v>0.46100000000000002</v>
          </cell>
          <cell r="N92">
            <v>0.54700000000000004</v>
          </cell>
          <cell r="O92">
            <v>0.44700000000000001</v>
          </cell>
          <cell r="P92">
            <v>0.44311539835655589</v>
          </cell>
          <cell r="Q92">
            <v>0.47099999999999997</v>
          </cell>
          <cell r="R92">
            <v>0.45300000000000001</v>
          </cell>
          <cell r="S92">
            <v>0.504</v>
          </cell>
          <cell r="T92">
            <v>0.45300000000000001</v>
          </cell>
          <cell r="U92">
            <v>0.439</v>
          </cell>
          <cell r="V92">
            <v>0.46200000000000002</v>
          </cell>
          <cell r="W92">
            <v>0.44700000000000001</v>
          </cell>
          <cell r="X92">
            <v>0.52800000000000002</v>
          </cell>
          <cell r="Y92">
            <v>0.47599999999999998</v>
          </cell>
          <cell r="Z92">
            <v>0.443</v>
          </cell>
          <cell r="AA92">
            <v>0.47199999999999998</v>
          </cell>
          <cell r="AB92">
            <v>0.45500000000000002</v>
          </cell>
          <cell r="AC92">
            <v>0.51600000000000001</v>
          </cell>
          <cell r="AD92">
            <v>0.48199999999999998</v>
          </cell>
          <cell r="AE92">
            <v>0.46899999999999997</v>
          </cell>
          <cell r="AF92">
            <v>0.47899999999999998</v>
          </cell>
          <cell r="AG92">
            <v>0.48099999999999998</v>
          </cell>
          <cell r="AH92">
            <v>0.53</v>
          </cell>
          <cell r="AI92">
            <v>0.47499999999999998</v>
          </cell>
          <cell r="AJ92">
            <v>0.45800000000000002</v>
          </cell>
          <cell r="AK92">
            <v>0.48499999999999999</v>
          </cell>
          <cell r="AL92">
            <v>0.48</v>
          </cell>
          <cell r="AM92">
            <v>0.51400000000000001</v>
          </cell>
          <cell r="AN92">
            <v>0.45400000000000001</v>
          </cell>
          <cell r="AO92">
            <v>0.46600000000000003</v>
          </cell>
          <cell r="AP92">
            <v>0.47899999999999998</v>
          </cell>
          <cell r="AQ92">
            <v>0.45800000000000002</v>
          </cell>
          <cell r="AR92">
            <v>0.51600000000000001</v>
          </cell>
          <cell r="AS92">
            <v>0.45700000000000002</v>
          </cell>
          <cell r="AT92">
            <v>0.42399999999999999</v>
          </cell>
          <cell r="AU92">
            <v>0.46300000000000002</v>
          </cell>
          <cell r="AW92">
            <v>0.51400000000000001</v>
          </cell>
          <cell r="AX92">
            <v>0.45400000000000001</v>
          </cell>
          <cell r="AY92">
            <v>0.46600000000000003</v>
          </cell>
          <cell r="AZ92">
            <v>0.45800000000000002</v>
          </cell>
          <cell r="BA92">
            <v>0.47099999999999997</v>
          </cell>
          <cell r="BB92">
            <v>0.51600000000000001</v>
          </cell>
          <cell r="BC92">
            <v>0.45700000000000002</v>
          </cell>
          <cell r="BD92">
            <v>0.42399999999999999</v>
          </cell>
          <cell r="BE92">
            <v>0.439</v>
          </cell>
          <cell r="BF92">
            <v>0.45600000000000002</v>
          </cell>
          <cell r="BG92">
            <v>0.497</v>
          </cell>
          <cell r="BH92">
            <v>0.443</v>
          </cell>
          <cell r="BI92">
            <v>0.42199999999999999</v>
          </cell>
          <cell r="BJ92">
            <v>0.436</v>
          </cell>
          <cell r="BK92">
            <v>0.44948259707244481</v>
          </cell>
          <cell r="BL92">
            <v>0.48899999999999999</v>
          </cell>
          <cell r="BM92">
            <v>0.442</v>
          </cell>
          <cell r="BN92">
            <v>0.42199999999999999</v>
          </cell>
          <cell r="BO92">
            <v>0.42099999999999999</v>
          </cell>
          <cell r="BP92">
            <v>0.44332161150099414</v>
          </cell>
          <cell r="BQ92">
            <v>0.51</v>
          </cell>
          <cell r="BR92">
            <v>0.442</v>
          </cell>
          <cell r="BS92">
            <v>0.41899999999999998</v>
          </cell>
          <cell r="BT92">
            <v>0.44400000000000001</v>
          </cell>
          <cell r="BU92">
            <v>0.45375946670953132</v>
          </cell>
          <cell r="BV92">
            <v>0.496</v>
          </cell>
          <cell r="BW92">
            <v>0.44800000000000001</v>
          </cell>
          <cell r="BX92">
            <v>0.42499999999999999</v>
          </cell>
          <cell r="BY92">
            <v>0.442</v>
          </cell>
          <cell r="BZ92">
            <v>0.45263545712588638</v>
          </cell>
          <cell r="CA92">
            <v>0.48899999999999999</v>
          </cell>
          <cell r="CB92">
            <v>0.438</v>
          </cell>
          <cell r="CC92">
            <v>0.41599999999999998</v>
          </cell>
          <cell r="CD92">
            <v>0.42599999999999999</v>
          </cell>
          <cell r="CE92">
            <v>0.44176635226316252</v>
          </cell>
          <cell r="CF92">
            <v>0.48299999999999998</v>
          </cell>
          <cell r="CG92">
            <v>0.42699999999999999</v>
          </cell>
          <cell r="CH92">
            <v>0.41099999999999998</v>
          </cell>
          <cell r="CI92">
            <v>0.41</v>
          </cell>
          <cell r="CJ92">
            <v>0.4319428419771012</v>
          </cell>
          <cell r="CK92">
            <v>0.45200000000000001</v>
          </cell>
          <cell r="CL92">
            <v>0.39600000000000002</v>
          </cell>
          <cell r="CM92">
            <v>0.38900000000000001</v>
          </cell>
          <cell r="CN92">
            <v>0.39139302826440858</v>
          </cell>
          <cell r="CO92">
            <v>0.40619601510291337</v>
          </cell>
          <cell r="CP92">
            <v>0.43449572048191815</v>
          </cell>
          <cell r="CQ92">
            <v>0.38262102878699888</v>
          </cell>
          <cell r="CR92">
            <v>0.36771197550347812</v>
          </cell>
          <cell r="CS92">
            <v>0.37181356980843538</v>
          </cell>
          <cell r="CT92">
            <v>0.38878111603685617</v>
          </cell>
          <cell r="CU92">
            <v>0.42276053426990989</v>
          </cell>
          <cell r="CV92">
            <v>0.3730419989787318</v>
          </cell>
          <cell r="CW92">
            <v>0.35887751159091719</v>
          </cell>
          <cell r="CX92">
            <v>0.36205136764506407</v>
          </cell>
          <cell r="CY92">
            <v>0.37882253505396646</v>
          </cell>
          <cell r="CZ92">
            <v>0.41483131377527493</v>
          </cell>
          <cell r="DA92">
            <v>0.36609301110188458</v>
          </cell>
          <cell r="DB92">
            <v>0.35244625253718309</v>
          </cell>
          <cell r="DC92">
            <v>0.35547806460007308</v>
          </cell>
          <cell r="DD92">
            <v>0.37186531949526891</v>
          </cell>
          <cell r="DE92">
            <v>0.40796970619019413</v>
          </cell>
          <cell r="DF92">
            <v>0.35939489814237174</v>
          </cell>
          <cell r="DG92">
            <v>0.34621999187601094</v>
          </cell>
          <cell r="DH92">
            <v>0.34846891175252109</v>
          </cell>
          <cell r="DI92">
            <v>0.36517196694076343</v>
          </cell>
        </row>
        <row r="94">
          <cell r="B94" t="str">
            <v>Pricing</v>
          </cell>
        </row>
        <row r="95">
          <cell r="B95" t="str">
            <v>Revenue / Inpatient Admission</v>
          </cell>
          <cell r="I95">
            <v>4750.1699383326268</v>
          </cell>
          <cell r="J95">
            <v>4923.286175499692</v>
          </cell>
          <cell r="K95">
            <v>4689.0749625038488</v>
          </cell>
          <cell r="L95">
            <v>4655.9536992878675</v>
          </cell>
          <cell r="M95">
            <v>4663.8734090221687</v>
          </cell>
          <cell r="N95">
            <v>4602.864136000504</v>
          </cell>
          <cell r="O95">
            <v>4977.2352489117602</v>
          </cell>
          <cell r="P95">
            <v>4384.1680743243242</v>
          </cell>
          <cell r="Q95">
            <v>4652.4225851658193</v>
          </cell>
          <cell r="R95">
            <v>0</v>
          </cell>
          <cell r="S95">
            <v>0</v>
          </cell>
          <cell r="T95">
            <v>0</v>
          </cell>
          <cell r="U95">
            <v>4420.7579822131502</v>
          </cell>
          <cell r="V95">
            <v>1121.0018484971717</v>
          </cell>
          <cell r="W95">
            <v>4482.7985367714718</v>
          </cell>
          <cell r="X95">
            <v>4563.839686882201</v>
          </cell>
          <cell r="Y95">
            <v>4484.8987377461608</v>
          </cell>
          <cell r="Z95">
            <v>5164.7886134979917</v>
          </cell>
          <cell r="AA95">
            <v>4673.8771637211194</v>
          </cell>
          <cell r="AB95">
            <v>5670.7832366323009</v>
          </cell>
          <cell r="AC95">
            <v>5748.1931179406347</v>
          </cell>
          <cell r="AD95">
            <v>5739.8921527409666</v>
          </cell>
          <cell r="AE95">
            <v>6045.5457279320708</v>
          </cell>
          <cell r="AF95">
            <v>5806.6710565255989</v>
          </cell>
          <cell r="AG95">
            <v>5822.6084092163355</v>
          </cell>
          <cell r="AH95">
            <v>5933.84177173842</v>
          </cell>
          <cell r="AI95">
            <v>5940.3837013374514</v>
          </cell>
          <cell r="AJ95">
            <v>5882.1519713745611</v>
          </cell>
          <cell r="AK95">
            <v>5895.0217513188409</v>
          </cell>
          <cell r="AL95">
            <v>5694.2990516724267</v>
          </cell>
          <cell r="AM95">
            <v>5869.4998424204232</v>
          </cell>
          <cell r="AN95">
            <v>6039.3785270860044</v>
          </cell>
          <cell r="AO95">
            <v>5895.7202659443483</v>
          </cell>
          <cell r="AP95">
            <v>5874.1975870767374</v>
          </cell>
          <cell r="AQ95">
            <v>6120.3113604880582</v>
          </cell>
          <cell r="AR95">
            <v>6053.279048132008</v>
          </cell>
          <cell r="AS95">
            <v>6102.1692992271473</v>
          </cell>
          <cell r="AT95">
            <v>6157.40250030475</v>
          </cell>
          <cell r="AU95">
            <v>6106.7128169347834</v>
          </cell>
          <cell r="AW95">
            <v>5869.4998424204232</v>
          </cell>
          <cell r="AX95">
            <v>6039.3785270860044</v>
          </cell>
          <cell r="AY95">
            <v>5895.7202659443483</v>
          </cell>
          <cell r="AZ95">
            <v>6120.3113604880582</v>
          </cell>
          <cell r="BA95">
            <v>5979.7094444619224</v>
          </cell>
          <cell r="BB95">
            <v>6053.279048132008</v>
          </cell>
          <cell r="BC95">
            <v>6102.1692992271473</v>
          </cell>
          <cell r="BD95">
            <v>6157.40250030475</v>
          </cell>
          <cell r="BE95" t="str">
            <v>NM</v>
          </cell>
          <cell r="BF95">
            <v>6173.7882203194467</v>
          </cell>
          <cell r="BG95">
            <v>6187.3270890812428</v>
          </cell>
          <cell r="BH95">
            <v>6559.1098326493566</v>
          </cell>
          <cell r="BI95">
            <v>6614.4371819960861</v>
          </cell>
          <cell r="BJ95">
            <v>6644.5315458607893</v>
          </cell>
          <cell r="BK95">
            <v>6495.0997432017521</v>
          </cell>
          <cell r="BL95">
            <v>6886.0090676913687</v>
          </cell>
          <cell r="BM95">
            <v>7255.6956488559326</v>
          </cell>
          <cell r="BN95">
            <v>6953.5578290999129</v>
          </cell>
          <cell r="BO95">
            <v>7154.7725167997314</v>
          </cell>
          <cell r="BP95">
            <v>7059.2354640096401</v>
          </cell>
          <cell r="BQ95">
            <v>7297.4660746131094</v>
          </cell>
          <cell r="BR95">
            <v>7667.2639921960736</v>
          </cell>
          <cell r="BS95">
            <v>7436.9640569787989</v>
          </cell>
          <cell r="BT95">
            <v>7653.0433113032577</v>
          </cell>
          <cell r="BU95">
            <v>7508.4020955054348</v>
          </cell>
          <cell r="BV95">
            <v>7567.5701227192576</v>
          </cell>
          <cell r="BW95">
            <v>7848.9782289249806</v>
          </cell>
          <cell r="BX95">
            <v>7460.37780745093</v>
          </cell>
          <cell r="BY95">
            <v>7665.4022277227723</v>
          </cell>
          <cell r="BZ95">
            <v>7635.8302291966475</v>
          </cell>
          <cell r="CA95">
            <v>7786.9006574483519</v>
          </cell>
          <cell r="CB95">
            <v>7777.5849354160409</v>
          </cell>
          <cell r="CC95">
            <v>7649.8957182496242</v>
          </cell>
          <cell r="CD95">
            <v>8091.0822836735679</v>
          </cell>
          <cell r="CE95">
            <v>7828.8296565777719</v>
          </cell>
          <cell r="CF95">
            <v>8162.7454693637301</v>
          </cell>
          <cell r="CG95">
            <v>8224.9331665696627</v>
          </cell>
          <cell r="CH95">
            <v>8066.6548255149792</v>
          </cell>
          <cell r="CI95">
            <v>8552.7023434846578</v>
          </cell>
          <cell r="CJ95">
            <v>8256.1352066037653</v>
          </cell>
          <cell r="CK95">
            <v>8470.6991154233328</v>
          </cell>
          <cell r="CL95">
            <v>8796.7662923427433</v>
          </cell>
          <cell r="CM95">
            <v>8762.6015536456362</v>
          </cell>
          <cell r="CN95">
            <v>8873.9033110868804</v>
          </cell>
          <cell r="CO95">
            <v>8720.4289985510695</v>
          </cell>
          <cell r="CP95">
            <v>8734.9280405490354</v>
          </cell>
          <cell r="CQ95">
            <v>9031.1276965414982</v>
          </cell>
          <cell r="CR95">
            <v>8997.9997998004255</v>
          </cell>
          <cell r="CS95">
            <v>9050.5377075441611</v>
          </cell>
          <cell r="CT95">
            <v>8948.1801381801524</v>
          </cell>
          <cell r="CU95">
            <v>8696.5999192884756</v>
          </cell>
          <cell r="CV95">
            <v>8958.9918771852681</v>
          </cell>
          <cell r="CW95">
            <v>8930.9341966806478</v>
          </cell>
          <cell r="CX95">
            <v>8984.9945747924776</v>
          </cell>
          <cell r="CY95">
            <v>8888.0326416545067</v>
          </cell>
          <cell r="CZ95">
            <v>8783.1075843556009</v>
          </cell>
          <cell r="DA95">
            <v>9030.7609209044149</v>
          </cell>
          <cell r="DB95">
            <v>9007.7282141713094</v>
          </cell>
          <cell r="DC95">
            <v>9082.5169246851347</v>
          </cell>
          <cell r="DD95">
            <v>8971.2538935578195</v>
          </cell>
          <cell r="DE95">
            <v>8897.6847752160156</v>
          </cell>
          <cell r="DF95">
            <v>9139.0714095113271</v>
          </cell>
          <cell r="DG95">
            <v>9119.5083390891687</v>
          </cell>
          <cell r="DH95">
            <v>9190.8998788134995</v>
          </cell>
          <cell r="DI95">
            <v>9081.961310341374</v>
          </cell>
        </row>
        <row r="96">
          <cell r="B96" t="str">
            <v>y/y % change - as reported</v>
          </cell>
          <cell r="I96" t="str">
            <v>NM</v>
          </cell>
          <cell r="J96">
            <v>3.6444219767815644E-2</v>
          </cell>
          <cell r="K96">
            <v>-4.7572130614989439E-2</v>
          </cell>
          <cell r="L96">
            <v>-7.0634962078524044E-3</v>
          </cell>
          <cell r="Q96">
            <v>-7.5840834125739942E-4</v>
          </cell>
          <cell r="R96">
            <v>-1</v>
          </cell>
          <cell r="S96">
            <v>-1</v>
          </cell>
          <cell r="T96">
            <v>-1</v>
          </cell>
          <cell r="U96">
            <v>8.3459181465037613E-3</v>
          </cell>
          <cell r="V96">
            <v>-0.75904986531716412</v>
          </cell>
          <cell r="W96" t="str">
            <v>NM</v>
          </cell>
          <cell r="X96" t="str">
            <v>NM</v>
          </cell>
          <cell r="Y96" t="str">
            <v>NM</v>
          </cell>
          <cell r="Z96">
            <v>0.16830385971782147</v>
          </cell>
          <cell r="AA96">
            <v>3.1693750728305883</v>
          </cell>
          <cell r="AB96">
            <v>0.2650096117673002</v>
          </cell>
          <cell r="AC96">
            <v>0.25950811428863485</v>
          </cell>
          <cell r="AD96">
            <v>0.27982647733658528</v>
          </cell>
          <cell r="AE96">
            <v>0.17053110598413479</v>
          </cell>
          <cell r="AF96">
            <v>0.2423670655269432</v>
          </cell>
          <cell r="AG96">
            <v>2.6773228009011163E-2</v>
          </cell>
          <cell r="AH96">
            <v>3.2296871380044445E-2</v>
          </cell>
          <cell r="AI96">
            <v>3.492949749948604E-2</v>
          </cell>
          <cell r="AJ96">
            <v>-2.7027131033446006E-2</v>
          </cell>
          <cell r="AK96">
            <v>1.5215377956351084E-2</v>
          </cell>
          <cell r="AL96">
            <v>-2.2036405082782817E-2</v>
          </cell>
          <cell r="AM96">
            <v>-1.0843216215242424E-2</v>
          </cell>
          <cell r="AN96">
            <v>1.6664719103290482E-2</v>
          </cell>
          <cell r="AO96">
            <v>2.3066888845812983E-3</v>
          </cell>
          <cell r="AP96">
            <v>-3.5324999839813076E-3</v>
          </cell>
          <cell r="AQ96">
            <v>7.4813827821443857E-2</v>
          </cell>
          <cell r="AR96">
            <v>3.1310880082722647E-2</v>
          </cell>
          <cell r="AS96">
            <v>1.0396892968296712E-2</v>
          </cell>
          <cell r="AT96">
            <v>4.4385117094507764E-2</v>
          </cell>
          <cell r="AU96">
            <v>3.958246661119813E-2</v>
          </cell>
          <cell r="AW96">
            <v>-1.0843216215242424E-2</v>
          </cell>
          <cell r="AX96">
            <v>1.6664719103290482E-2</v>
          </cell>
          <cell r="AY96">
            <v>2.3066888845812983E-3</v>
          </cell>
          <cell r="AZ96">
            <v>7.4813827821443857E-2</v>
          </cell>
          <cell r="BB96">
            <v>3.1310880082722647E-2</v>
          </cell>
          <cell r="BC96">
            <v>1.0396892968296712E-2</v>
          </cell>
          <cell r="BD96">
            <v>4.4385117094507764E-2</v>
          </cell>
          <cell r="BE96" t="str">
            <v>NM</v>
          </cell>
          <cell r="BF96">
            <v>3.2456221771322014E-2</v>
          </cell>
          <cell r="BG96">
            <v>2.2144698746475511E-2</v>
          </cell>
          <cell r="BH96">
            <v>7.4881654542112042E-2</v>
          </cell>
          <cell r="BI96">
            <v>7.4225240540750193E-2</v>
          </cell>
          <cell r="BJ96" t="str">
            <v>NM</v>
          </cell>
          <cell r="BK96">
            <v>5.2044467904615033E-2</v>
          </cell>
          <cell r="BL96">
            <v>0.11292145518588925</v>
          </cell>
          <cell r="BM96">
            <v>0.10620127334035057</v>
          </cell>
          <cell r="BN96">
            <v>5.1269766084842905E-2</v>
          </cell>
          <cell r="BO96">
            <v>7.6791112724387212E-2</v>
          </cell>
          <cell r="BP96">
            <v>8.685559007748167E-2</v>
          </cell>
          <cell r="BQ96">
            <v>5.9752608931676443E-2</v>
          </cell>
          <cell r="BR96">
            <v>5.6723485005195418E-2</v>
          </cell>
          <cell r="BS96">
            <v>6.9519264779230205E-2</v>
          </cell>
          <cell r="BT96">
            <v>6.9641738201118741E-2</v>
          </cell>
          <cell r="BU96">
            <v>6.3628226283964917E-2</v>
          </cell>
          <cell r="BV96">
            <v>3.7013402370694504E-2</v>
          </cell>
          <cell r="BW96">
            <v>2.3700010448819864E-2</v>
          </cell>
          <cell r="BX96">
            <v>3.1482941550806665E-3</v>
          </cell>
          <cell r="BY96">
            <v>1.6149021920810469E-3</v>
          </cell>
          <cell r="BZ96">
            <v>1.6971405109948989E-2</v>
          </cell>
          <cell r="CA96">
            <v>2.8982953731822469E-2</v>
          </cell>
          <cell r="CB96">
            <v>-9.0958710072404081E-3</v>
          </cell>
          <cell r="CC96">
            <v>2.540325914988073E-2</v>
          </cell>
          <cell r="CD96">
            <v>5.5532644381175E-2</v>
          </cell>
          <cell r="CE96">
            <v>2.5275500055405242E-2</v>
          </cell>
          <cell r="CF96">
            <v>4.8266290845238036E-2</v>
          </cell>
          <cell r="CG96">
            <v>5.7517627241404412E-2</v>
          </cell>
          <cell r="CH96">
            <v>5.4479057312001311E-2</v>
          </cell>
          <cell r="CI96">
            <v>5.705294342915801E-2</v>
          </cell>
          <cell r="CJ96">
            <v>5.4581025360153523E-2</v>
          </cell>
          <cell r="CK96">
            <v>3.7726724080201723E-2</v>
          </cell>
          <cell r="CL96">
            <v>6.9524349218702763E-2</v>
          </cell>
          <cell r="CM96">
            <v>8.6274514428132498E-2</v>
          </cell>
          <cell r="CN96">
            <v>3.7555494708278792E-2</v>
          </cell>
          <cell r="CO96">
            <v>5.6236214685042141E-2</v>
          </cell>
          <cell r="CP96">
            <v>3.1193284228995699E-2</v>
          </cell>
          <cell r="CQ96">
            <v>2.6641767714433717E-2</v>
          </cell>
          <cell r="CR96">
            <v>2.6863967819791279E-2</v>
          </cell>
          <cell r="CS96">
            <v>1.9904926869847461E-2</v>
          </cell>
          <cell r="CT96">
            <v>2.6116965079002963E-2</v>
          </cell>
          <cell r="CU96">
            <v>-4.387914941329063E-3</v>
          </cell>
          <cell r="CV96">
            <v>-7.9874653288154462E-3</v>
          </cell>
          <cell r="CW96">
            <v>-7.4533901546947057E-3</v>
          </cell>
          <cell r="CX96">
            <v>-7.2419048314720236E-3</v>
          </cell>
          <cell r="CY96">
            <v>-6.7217574519994328E-3</v>
          </cell>
          <cell r="CZ96">
            <v>9.9472973196406134E-3</v>
          </cell>
          <cell r="DA96">
            <v>8.0108392443030141E-3</v>
          </cell>
          <cell r="DB96">
            <v>8.5986544967717737E-3</v>
          </cell>
          <cell r="DC96">
            <v>1.0853913052575104E-2</v>
          </cell>
          <cell r="DD96">
            <v>9.3632927846472036E-3</v>
          </cell>
          <cell r="DE96">
            <v>1.3045176750936971E-2</v>
          </cell>
          <cell r="DF96">
            <v>1.1993506367353302E-2</v>
          </cell>
          <cell r="DG96">
            <v>1.2409358082319022E-2</v>
          </cell>
          <cell r="DH96">
            <v>1.1933140893334748E-2</v>
          </cell>
          <cell r="DI96">
            <v>1.2340238956234595E-2</v>
          </cell>
        </row>
        <row r="98">
          <cell r="B98" t="str">
            <v>Revenue / Outpatient Admission</v>
          </cell>
          <cell r="I98" t="str">
            <v>NM</v>
          </cell>
          <cell r="J98" t="str">
            <v>NM</v>
          </cell>
          <cell r="K98" t="str">
            <v>NM</v>
          </cell>
          <cell r="L98" t="str">
            <v>NM</v>
          </cell>
          <cell r="M98" t="str">
            <v>NM</v>
          </cell>
          <cell r="N98" t="str">
            <v>NM</v>
          </cell>
          <cell r="O98" t="str">
            <v>NM</v>
          </cell>
          <cell r="P98" t="str">
            <v>NM</v>
          </cell>
          <cell r="Q98">
            <v>8818.7087980259494</v>
          </cell>
          <cell r="R98">
            <v>0</v>
          </cell>
          <cell r="S98">
            <v>0</v>
          </cell>
          <cell r="T98">
            <v>0</v>
          </cell>
          <cell r="U98">
            <v>11368.133507721717</v>
          </cell>
          <cell r="V98">
            <v>9774.3479076749863</v>
          </cell>
          <cell r="W98">
            <v>9757.728767009281</v>
          </cell>
          <cell r="X98">
            <v>9937.8629317806281</v>
          </cell>
          <cell r="Y98">
            <v>10185.16225102267</v>
          </cell>
          <cell r="Z98">
            <v>8851.8449135871851</v>
          </cell>
          <cell r="AA98">
            <v>9661.3581682264539</v>
          </cell>
          <cell r="AB98">
            <v>7759.5419984765595</v>
          </cell>
          <cell r="AC98">
            <v>7886.7403647302126</v>
          </cell>
          <cell r="AD98">
            <v>8458.5437866407447</v>
          </cell>
          <cell r="AE98">
            <v>7393.3530410349458</v>
          </cell>
          <cell r="AF98">
            <v>7873.396338840972</v>
          </cell>
          <cell r="AG98">
            <v>8149.2181812730487</v>
          </cell>
          <cell r="AH98">
            <v>8305.3628604112273</v>
          </cell>
          <cell r="AI98">
            <v>8956.5801706128132</v>
          </cell>
          <cell r="AJ98">
            <v>8480.1959170233786</v>
          </cell>
          <cell r="AK98">
            <v>8475.9923746331879</v>
          </cell>
          <cell r="AL98">
            <v>8585.2302912528194</v>
          </cell>
          <cell r="AM98">
            <v>8619.1937984496144</v>
          </cell>
          <cell r="AN98">
            <v>8771.7631230992993</v>
          </cell>
          <cell r="AO98">
            <v>8554.5163407271302</v>
          </cell>
          <cell r="AP98">
            <v>8633.5519683000693</v>
          </cell>
          <cell r="AQ98">
            <v>8415.841910719364</v>
          </cell>
          <cell r="AR98">
            <v>8468.3551177318604</v>
          </cell>
          <cell r="AS98">
            <v>8980.5333539221738</v>
          </cell>
          <cell r="AT98">
            <v>8728.6820601157397</v>
          </cell>
          <cell r="AU98">
            <v>8657.0880988249464</v>
          </cell>
          <cell r="AW98">
            <v>8619.1937984496144</v>
          </cell>
          <cell r="AX98">
            <v>8771.7631230992993</v>
          </cell>
          <cell r="AY98">
            <v>8554.5163407271302</v>
          </cell>
          <cell r="AZ98">
            <v>8415.841910719364</v>
          </cell>
          <cell r="BA98">
            <v>8589.8559918549308</v>
          </cell>
          <cell r="BB98">
            <v>8468.3551177318604</v>
          </cell>
          <cell r="BC98">
            <v>8980.5333539221738</v>
          </cell>
          <cell r="BD98">
            <v>8728.6820601157397</v>
          </cell>
          <cell r="BE98">
            <v>9003.4056094072785</v>
          </cell>
          <cell r="BF98">
            <v>8796.7848333603251</v>
          </cell>
          <cell r="BG98">
            <v>9155.1486872094902</v>
          </cell>
          <cell r="BH98">
            <v>9007.8048210682809</v>
          </cell>
          <cell r="BI98">
            <v>9067.9919207714356</v>
          </cell>
          <cell r="BJ98">
            <v>9659.1643116673404</v>
          </cell>
          <cell r="BK98">
            <v>9220.740435956177</v>
          </cell>
          <cell r="BL98">
            <v>9798.2552538787022</v>
          </cell>
          <cell r="BM98">
            <v>8788.9026847311125</v>
          </cell>
          <cell r="BN98">
            <v>9544.9442743633754</v>
          </cell>
          <cell r="BO98">
            <v>9449.518102981976</v>
          </cell>
          <cell r="BP98">
            <v>9386.3762413576387</v>
          </cell>
          <cell r="BQ98">
            <v>9561.964525390591</v>
          </cell>
          <cell r="BR98">
            <v>9642.2222381122629</v>
          </cell>
          <cell r="BS98">
            <v>9575.4729901269402</v>
          </cell>
          <cell r="BT98">
            <v>9323.8603974965863</v>
          </cell>
          <cell r="BU98">
            <v>9525.7702492073895</v>
          </cell>
          <cell r="BV98">
            <v>9725.9947458455517</v>
          </cell>
          <cell r="BW98">
            <v>9387.1501520070069</v>
          </cell>
          <cell r="BX98">
            <v>9364.2702558901292</v>
          </cell>
          <cell r="BY98">
            <v>10155.140431969074</v>
          </cell>
          <cell r="BZ98">
            <v>9658.1603932859016</v>
          </cell>
          <cell r="CA98">
            <v>9761.9965641154959</v>
          </cell>
          <cell r="CB98">
            <v>9560.4187182344049</v>
          </cell>
          <cell r="CC98">
            <v>9872.1424275036497</v>
          </cell>
          <cell r="CD98">
            <v>9855.9117153601383</v>
          </cell>
          <cell r="CE98">
            <v>9764.844666802037</v>
          </cell>
          <cell r="CF98">
            <v>9993.402109426499</v>
          </cell>
          <cell r="CG98">
            <v>10231.378083763626</v>
          </cell>
          <cell r="CH98">
            <v>10090.513313248106</v>
          </cell>
          <cell r="CI98">
            <v>10242.534957338939</v>
          </cell>
          <cell r="CJ98">
            <v>10142.433068297243</v>
          </cell>
          <cell r="CK98">
            <v>10606.026481281902</v>
          </cell>
          <cell r="CL98">
            <v>10800.693002204673</v>
          </cell>
          <cell r="CM98">
            <v>10658.24602899355</v>
          </cell>
          <cell r="CN98">
            <v>11054.858373602297</v>
          </cell>
          <cell r="CO98">
            <v>10780.837312194817</v>
          </cell>
          <cell r="CP98">
            <v>11035.194404181702</v>
          </cell>
          <cell r="CQ98">
            <v>11191.652570743772</v>
          </cell>
          <cell r="CR98">
            <v>11102.31458848275</v>
          </cell>
          <cell r="CS98">
            <v>11120.985124201898</v>
          </cell>
          <cell r="CT98">
            <v>11112.716495406499</v>
          </cell>
          <cell r="CU98">
            <v>10911.902393731085</v>
          </cell>
          <cell r="CV98">
            <v>11033.255111076445</v>
          </cell>
          <cell r="CW98">
            <v>10952.673745096745</v>
          </cell>
          <cell r="CX98">
            <v>10974.780521186485</v>
          </cell>
          <cell r="CY98">
            <v>10968.296837159953</v>
          </cell>
          <cell r="CZ98">
            <v>10955.826535033913</v>
          </cell>
          <cell r="DA98">
            <v>11062.15110347512</v>
          </cell>
          <cell r="DB98">
            <v>10989.13788331624</v>
          </cell>
          <cell r="DC98">
            <v>11037.386629251783</v>
          </cell>
          <cell r="DD98">
            <v>11011.42546042016</v>
          </cell>
          <cell r="DE98">
            <v>11036.154360280394</v>
          </cell>
          <cell r="DF98">
            <v>11137.115654341982</v>
          </cell>
          <cell r="DG98">
            <v>11069.461520233996</v>
          </cell>
          <cell r="DH98">
            <v>11113.812432532188</v>
          </cell>
          <cell r="DI98">
            <v>11089.378520636594</v>
          </cell>
        </row>
        <row r="99">
          <cell r="B99" t="str">
            <v>y/y % change - as reported</v>
          </cell>
          <cell r="I99" t="str">
            <v>NM</v>
          </cell>
          <cell r="J99" t="str">
            <v>NM</v>
          </cell>
          <cell r="K99" t="str">
            <v>NM</v>
          </cell>
          <cell r="L99" t="str">
            <v>NM</v>
          </cell>
          <cell r="Q99" t="str">
            <v>NM</v>
          </cell>
          <cell r="R99" t="str">
            <v>NM</v>
          </cell>
          <cell r="S99" t="str">
            <v>NM</v>
          </cell>
          <cell r="T99" t="str">
            <v>NM</v>
          </cell>
          <cell r="U99" t="str">
            <v>NM</v>
          </cell>
          <cell r="V99">
            <v>0.10836496946842766</v>
          </cell>
          <cell r="W99" t="str">
            <v>NM</v>
          </cell>
          <cell r="X99" t="str">
            <v>NM</v>
          </cell>
          <cell r="Y99" t="str">
            <v>NM</v>
          </cell>
          <cell r="Z99">
            <v>-0.22134579897617868</v>
          </cell>
          <cell r="AA99">
            <v>-1.1559823787304579E-2</v>
          </cell>
          <cell r="AB99">
            <v>-0.20477990485742525</v>
          </cell>
          <cell r="AC99">
            <v>-0.20639473306590506</v>
          </cell>
          <cell r="AD99">
            <v>-0.16952292185709261</v>
          </cell>
          <cell r="AE99">
            <v>-0.16476699341100287</v>
          </cell>
          <cell r="AF99">
            <v>-0.18506319693908002</v>
          </cell>
          <cell r="AG99">
            <v>5.0218966902040751E-2</v>
          </cell>
          <cell r="AH99">
            <v>5.3079279438829952E-2</v>
          </cell>
          <cell r="AI99">
            <v>5.8879683848023223E-2</v>
          </cell>
          <cell r="AJ99">
            <v>0.14700270228625434</v>
          </cell>
          <cell r="AK99">
            <v>7.6535717225296285E-2</v>
          </cell>
          <cell r="AL99">
            <v>5.3503550927342935E-2</v>
          </cell>
          <cell r="AM99">
            <v>3.7786541456762857E-2</v>
          </cell>
          <cell r="AN99">
            <v>-2.0634778452596425E-2</v>
          </cell>
          <cell r="AO99">
            <v>8.7639984301022267E-3</v>
          </cell>
          <cell r="AP99">
            <v>1.8588925839341686E-2</v>
          </cell>
          <cell r="AQ99">
            <v>-1.9730208135015248E-2</v>
          </cell>
          <cell r="AR99">
            <v>-1.7500323608559132E-2</v>
          </cell>
          <cell r="AS99">
            <v>2.3800258613129399E-2</v>
          </cell>
          <cell r="AT99">
            <v>2.035950513758733E-2</v>
          </cell>
          <cell r="AU99">
            <v>2.7261236871329864E-3</v>
          </cell>
          <cell r="AW99">
            <v>3.7786541456762857E-2</v>
          </cell>
          <cell r="AX99">
            <v>-2.0634778452596425E-2</v>
          </cell>
          <cell r="AY99">
            <v>8.7639984301022267E-3</v>
          </cell>
          <cell r="AZ99">
            <v>-1.9730208135015248E-2</v>
          </cell>
          <cell r="BB99">
            <v>-1.7500323608559132E-2</v>
          </cell>
          <cell r="BC99">
            <v>2.3800258613129399E-2</v>
          </cell>
          <cell r="BD99">
            <v>2.035950513758733E-2</v>
          </cell>
          <cell r="BE99">
            <v>6.9816389723234673E-2</v>
          </cell>
          <cell r="BF99">
            <v>2.4089908108076319E-2</v>
          </cell>
          <cell r="BG99">
            <v>8.1101177256909684E-2</v>
          </cell>
          <cell r="BH99">
            <v>3.0367313467185575E-3</v>
          </cell>
          <cell r="BI99">
            <v>3.8872977423031196E-2</v>
          </cell>
          <cell r="BJ99">
            <v>7.2834517371392016E-2</v>
          </cell>
          <cell r="BK99">
            <v>4.8194381313962698E-2</v>
          </cell>
          <cell r="BL99">
            <v>7.0245343755878764E-2</v>
          </cell>
          <cell r="BM99">
            <v>-2.4301385374734141E-2</v>
          </cell>
          <cell r="BN99">
            <v>5.2597350963603962E-2</v>
          </cell>
          <cell r="BO99">
            <v>-2.1704383725218546E-2</v>
          </cell>
          <cell r="BP99">
            <v>1.7963395299098295E-2</v>
          </cell>
          <cell r="BQ99">
            <v>-2.4115592252464957E-2</v>
          </cell>
          <cell r="BR99">
            <v>9.7090567957205387E-2</v>
          </cell>
          <cell r="BS99">
            <v>3.1984173910331037E-3</v>
          </cell>
          <cell r="BT99">
            <v>-1.3297789804300852E-2</v>
          </cell>
          <cell r="BU99">
            <v>1.4850673387197366E-2</v>
          </cell>
          <cell r="BV99">
            <v>1.7154447709923915E-2</v>
          </cell>
          <cell r="BW99">
            <v>-2.6453661801845496E-2</v>
          </cell>
          <cell r="BX99">
            <v>-2.2056637249624922E-2</v>
          </cell>
          <cell r="BY99">
            <v>8.9156207732977499E-2</v>
          </cell>
          <cell r="BZ99">
            <v>1.3898103839899756E-2</v>
          </cell>
          <cell r="CA99">
            <v>3.7016078263174546E-3</v>
          </cell>
          <cell r="CB99">
            <v>1.8458058454551507E-2</v>
          </cell>
          <cell r="CC99">
            <v>5.4235104042845039E-2</v>
          </cell>
          <cell r="CD99">
            <v>-2.9465738914544515E-2</v>
          </cell>
          <cell r="CE99">
            <v>1.1046024208740457E-2</v>
          </cell>
          <cell r="CF99">
            <v>2.3704735377764408E-2</v>
          </cell>
          <cell r="CG99">
            <v>7.0180960196807307E-2</v>
          </cell>
          <cell r="CH99">
            <v>2.2119908353031681E-2</v>
          </cell>
          <cell r="CI99">
            <v>3.9227547196497348E-2</v>
          </cell>
          <cell r="CJ99">
            <v>3.8668142134294259E-2</v>
          </cell>
          <cell r="CK99">
            <v>6.1302884157691473E-2</v>
          </cell>
          <cell r="CL99">
            <v>5.564401137169428E-2</v>
          </cell>
          <cell r="CM99">
            <v>5.6264007401888305E-2</v>
          </cell>
          <cell r="CN99">
            <v>7.930882536859829E-2</v>
          </cell>
          <cell r="CO99">
            <v>6.2943895177683729E-2</v>
          </cell>
          <cell r="CP99">
            <v>4.0464534352919079E-2</v>
          </cell>
          <cell r="CQ99">
            <v>3.619763736079662E-2</v>
          </cell>
          <cell r="CR99">
            <v>4.1664318714468074E-2</v>
          </cell>
          <cell r="CS99">
            <v>5.9816913401173899E-3</v>
          </cell>
          <cell r="CT99">
            <v>3.0784175069247688E-2</v>
          </cell>
          <cell r="CU99">
            <v>-1.1172617892793668E-2</v>
          </cell>
          <cell r="CV99">
            <v>-1.4153178779101494E-2</v>
          </cell>
          <cell r="CW99">
            <v>-1.3478346536967889E-2</v>
          </cell>
          <cell r="CX99">
            <v>-1.3146731281677204E-2</v>
          </cell>
          <cell r="CY99">
            <v>-1.299589153617331E-2</v>
          </cell>
          <cell r="CZ99">
            <v>4.0253422105445136E-3</v>
          </cell>
          <cell r="DA99">
            <v>2.6189906884022118E-3</v>
          </cell>
          <cell r="DB99">
            <v>3.3292453576296843E-3</v>
          </cell>
          <cell r="DC99">
            <v>5.7045430607416403E-3</v>
          </cell>
          <cell r="DD99">
            <v>3.9321167087755793E-3</v>
          </cell>
          <cell r="DE99">
            <v>7.3319730820502471E-3</v>
          </cell>
          <cell r="DF99">
            <v>6.7766703026965747E-3</v>
          </cell>
          <cell r="DG99">
            <v>7.3093665554695431E-3</v>
          </cell>
          <cell r="DH99">
            <v>6.9242662097073193E-3</v>
          </cell>
          <cell r="DI99">
            <v>7.0792887348356537E-3</v>
          </cell>
        </row>
        <row r="101">
          <cell r="B101" t="str">
            <v>Revenue / Adjusted Admission</v>
          </cell>
          <cell r="I101" t="str">
            <v>NM</v>
          </cell>
          <cell r="J101" t="str">
            <v>NM</v>
          </cell>
          <cell r="K101" t="str">
            <v>NM</v>
          </cell>
          <cell r="L101" t="str">
            <v>NM</v>
          </cell>
          <cell r="M101" t="str">
            <v>NM</v>
          </cell>
          <cell r="N101" t="str">
            <v>NM</v>
          </cell>
          <cell r="O101" t="str">
            <v>NM</v>
          </cell>
          <cell r="P101" t="str">
            <v>NM</v>
          </cell>
          <cell r="Q101">
            <v>6111.1101094016931</v>
          </cell>
          <cell r="R101">
            <v>6086.9722537458265</v>
          </cell>
          <cell r="S101">
            <v>6342.816787732042</v>
          </cell>
          <cell r="T101">
            <v>6380.4979117723833</v>
          </cell>
          <cell r="U101">
            <v>6683.5810135500469</v>
          </cell>
          <cell r="V101">
            <v>4101.3898722723561</v>
          </cell>
          <cell r="W101">
            <v>6330.9082956699231</v>
          </cell>
          <cell r="X101">
            <v>6373.1902775018216</v>
          </cell>
          <cell r="Y101">
            <v>6548.1630111395561</v>
          </cell>
          <cell r="Z101">
            <v>6568.3015537667479</v>
          </cell>
          <cell r="AA101">
            <v>6456.7796493734886</v>
          </cell>
          <cell r="AB101">
            <v>6456.3388718162405</v>
          </cell>
          <cell r="AC101">
            <v>6514.8788460890373</v>
          </cell>
          <cell r="AD101">
            <v>6761.2635230748165</v>
          </cell>
          <cell r="AE101">
            <v>6553.2768810090856</v>
          </cell>
          <cell r="AF101">
            <v>6574.6718622417102</v>
          </cell>
          <cell r="AG101">
            <v>6672.202940757853</v>
          </cell>
          <cell r="AH101">
            <v>6782.0522235394092</v>
          </cell>
          <cell r="AI101">
            <v>7077.2217240097116</v>
          </cell>
          <cell r="AJ101">
            <v>6871.6089119257622</v>
          </cell>
          <cell r="AK101">
            <v>6850.3429751623917</v>
          </cell>
          <cell r="AL101">
            <v>6773.0796777081468</v>
          </cell>
          <cell r="AM101">
            <v>6889.2881927233075</v>
          </cell>
          <cell r="AN101">
            <v>7119.3850442053918</v>
          </cell>
          <cell r="AO101">
            <v>6954.9197828341366</v>
          </cell>
          <cell r="AP101">
            <v>6934.6420073545314</v>
          </cell>
          <cell r="AQ101">
            <v>7015.9145987643788</v>
          </cell>
          <cell r="AR101">
            <v>6969.5827889027314</v>
          </cell>
          <cell r="AS101">
            <v>7261.1567935585163</v>
          </cell>
          <cell r="AT101">
            <v>7215.9875057769841</v>
          </cell>
          <cell r="AU101">
            <v>7116.4421417608373</v>
          </cell>
          <cell r="AW101">
            <v>6889.2881927233075</v>
          </cell>
          <cell r="AX101">
            <v>7119.3850442053918</v>
          </cell>
          <cell r="AY101">
            <v>6954.9197828341366</v>
          </cell>
          <cell r="AZ101">
            <v>7015.9145987643788</v>
          </cell>
          <cell r="BA101">
            <v>6994.876904631803</v>
          </cell>
          <cell r="BB101">
            <v>6969.5827889027314</v>
          </cell>
          <cell r="BC101">
            <v>7261.1567935585163</v>
          </cell>
          <cell r="BD101">
            <v>7215.9875057769841</v>
          </cell>
          <cell r="BE101">
            <v>7436.4587799958708</v>
          </cell>
          <cell r="BF101">
            <v>7218.2168861166165</v>
          </cell>
          <cell r="BG101">
            <v>7367.0918585737527</v>
          </cell>
          <cell r="BH101">
            <v>7586.0927398104232</v>
          </cell>
          <cell r="BI101">
            <v>7625.4218826705937</v>
          </cell>
          <cell r="BJ101">
            <v>7873.1377886801483</v>
          </cell>
          <cell r="BK101">
            <v>7609.861718490537</v>
          </cell>
          <cell r="BL101">
            <v>8048.6282183026224</v>
          </cell>
          <cell r="BM101">
            <v>7920.2827537505946</v>
          </cell>
          <cell r="BN101">
            <v>8055.8616744200062</v>
          </cell>
          <cell r="BO101">
            <v>8130.0929977306778</v>
          </cell>
          <cell r="BP101">
            <v>8037.9349696651498</v>
          </cell>
          <cell r="BQ101">
            <v>8213.6484136712188</v>
          </cell>
          <cell r="BR101">
            <v>8518.7477360133798</v>
          </cell>
          <cell r="BS101">
            <v>8376.0219249349684</v>
          </cell>
          <cell r="BT101">
            <v>8361.7944571879816</v>
          </cell>
          <cell r="BU101">
            <v>8364.4509832658787</v>
          </cell>
          <cell r="BV101">
            <v>8446.7219816706838</v>
          </cell>
          <cell r="BW101">
            <v>8508.4277729913629</v>
          </cell>
          <cell r="BX101">
            <v>8308.3616597424334</v>
          </cell>
          <cell r="BY101">
            <v>8746.1240451471222</v>
          </cell>
          <cell r="BZ101">
            <v>8502.7490857649118</v>
          </cell>
          <cell r="CA101">
            <v>8628.3421741757866</v>
          </cell>
          <cell r="CB101">
            <v>8580.8685486366612</v>
          </cell>
          <cell r="CC101">
            <v>8679.5426135781472</v>
          </cell>
          <cell r="CD101">
            <v>8893.7207283060561</v>
          </cell>
          <cell r="CE101">
            <v>8697.4016728354873</v>
          </cell>
          <cell r="CF101">
            <v>8980.3497826386538</v>
          </cell>
          <cell r="CG101">
            <v>9166.9272612603145</v>
          </cell>
          <cell r="CH101">
            <v>9028.1823632952273</v>
          </cell>
          <cell r="CI101">
            <v>9360.3664302600464</v>
          </cell>
          <cell r="CJ101">
            <v>9137.7290125834134</v>
          </cell>
          <cell r="CK101">
            <v>9484.6778955656155</v>
          </cell>
          <cell r="CL101">
            <v>9794.4237313727535</v>
          </cell>
          <cell r="CM101">
            <v>9720.3777904979961</v>
          </cell>
          <cell r="CN101">
            <v>9968.7855512719616</v>
          </cell>
          <cell r="CO101">
            <v>9739.9507866299591</v>
          </cell>
          <cell r="CP101">
            <v>9851.5102023137351</v>
          </cell>
          <cell r="CQ101">
            <v>10131.730082992752</v>
          </cell>
          <cell r="CR101">
            <v>10081.895480553612</v>
          </cell>
          <cell r="CS101">
            <v>10128.386068997965</v>
          </cell>
          <cell r="CT101">
            <v>10046.514045880311</v>
          </cell>
          <cell r="CU101">
            <v>9792.0515399140004</v>
          </cell>
          <cell r="CV101">
            <v>10034.21042273917</v>
          </cell>
          <cell r="CW101">
            <v>9990.2838111955243</v>
          </cell>
          <cell r="CX101">
            <v>10038.496838257772</v>
          </cell>
          <cell r="CY101">
            <v>9962.2422164172513</v>
          </cell>
          <cell r="CZ101">
            <v>9875.0013901067723</v>
          </cell>
          <cell r="DA101">
            <v>10099.859793979844</v>
          </cell>
          <cell r="DB101">
            <v>10061.560453943255</v>
          </cell>
          <cell r="DC101">
            <v>10132.813998248466</v>
          </cell>
          <cell r="DD101">
            <v>10040.928630047993</v>
          </cell>
          <cell r="DE101">
            <v>9989.3760183213471</v>
          </cell>
          <cell r="DF101">
            <v>10206.27064421791</v>
          </cell>
          <cell r="DG101">
            <v>10171.794290459575</v>
          </cell>
          <cell r="DH101">
            <v>10238.980057259572</v>
          </cell>
          <cell r="DI101">
            <v>10150.173014093969</v>
          </cell>
        </row>
        <row r="102">
          <cell r="B102" t="str">
            <v>y/y % change - as reported</v>
          </cell>
          <cell r="I102" t="str">
            <v>NM</v>
          </cell>
          <cell r="J102" t="str">
            <v>NM</v>
          </cell>
          <cell r="K102" t="str">
            <v>NM</v>
          </cell>
          <cell r="L102" t="str">
            <v>NM</v>
          </cell>
          <cell r="Q102" t="str">
            <v>NM</v>
          </cell>
          <cell r="R102" t="str">
            <v>NM</v>
          </cell>
          <cell r="S102" t="str">
            <v>NM</v>
          </cell>
          <cell r="T102" t="str">
            <v>NM</v>
          </cell>
          <cell r="U102" t="str">
            <v>NM</v>
          </cell>
          <cell r="V102">
            <v>-0.32886336543625105</v>
          </cell>
          <cell r="W102">
            <v>4.0075103311663973E-2</v>
          </cell>
          <cell r="X102">
            <v>4.7886437187538711E-3</v>
          </cell>
          <cell r="Y102">
            <v>2.6277745355549831E-2</v>
          </cell>
          <cell r="Z102">
            <v>-1.7248157768954386E-2</v>
          </cell>
          <cell r="AA102">
            <v>0.57429063084805931</v>
          </cell>
          <cell r="AB102">
            <v>1.9812413999442446E-2</v>
          </cell>
          <cell r="AC102">
            <v>2.2231968985359618E-2</v>
          </cell>
          <cell r="AD102">
            <v>3.2543556348969771E-2</v>
          </cell>
          <cell r="AE102">
            <v>-2.287451730812573E-3</v>
          </cell>
          <cell r="AF102">
            <v>1.8258670617582684E-2</v>
          </cell>
          <cell r="AG102">
            <v>3.3434439119037096E-2</v>
          </cell>
          <cell r="AH102">
            <v>4.1009723091129935E-2</v>
          </cell>
          <cell r="AI102">
            <v>4.6730644332467541E-2</v>
          </cell>
          <cell r="AJ102">
            <v>4.8576008109649571E-2</v>
          </cell>
          <cell r="AK102">
            <v>4.1929258021812243E-2</v>
          </cell>
          <cell r="AL102">
            <v>1.5118955140599466E-2</v>
          </cell>
          <cell r="AM102">
            <v>1.5811728610950482E-2</v>
          </cell>
          <cell r="AN102">
            <v>5.9576090505459867E-3</v>
          </cell>
          <cell r="AO102">
            <v>1.2123924975384837E-2</v>
          </cell>
          <cell r="AP102">
            <v>1.2305811913036591E-2</v>
          </cell>
          <cell r="AQ102">
            <v>3.5852955023615074E-2</v>
          </cell>
          <cell r="AR102">
            <v>1.1654991623696986E-2</v>
          </cell>
          <cell r="AS102">
            <v>1.9913482480978573E-2</v>
          </cell>
          <cell r="AT102">
            <v>3.753712926886732E-2</v>
          </cell>
          <cell r="AU102">
            <v>2.6216224891421724E-2</v>
          </cell>
          <cell r="AW102">
            <v>1.5811728610950482E-2</v>
          </cell>
          <cell r="AX102">
            <v>5.9576090505459867E-3</v>
          </cell>
          <cell r="AY102">
            <v>1.2123924975384837E-2</v>
          </cell>
          <cell r="AZ102">
            <v>3.5852955023615074E-2</v>
          </cell>
          <cell r="BB102">
            <v>1.1654991623696986E-2</v>
          </cell>
          <cell r="BC102">
            <v>1.9913482480978573E-2</v>
          </cell>
          <cell r="BD102">
            <v>3.753712926886732E-2</v>
          </cell>
          <cell r="BE102">
            <v>5.9941462415400215E-2</v>
          </cell>
          <cell r="BF102">
            <v>3.1929079600660826E-2</v>
          </cell>
          <cell r="BG102">
            <v>5.7034844367435111E-2</v>
          </cell>
          <cell r="BH102">
            <v>4.4749887034551072E-2</v>
          </cell>
          <cell r="BI102">
            <v>5.6739895484273495E-2</v>
          </cell>
          <cell r="BJ102">
            <v>5.8721364779019236E-2</v>
          </cell>
          <cell r="BK102">
            <v>5.4257836603275544E-2</v>
          </cell>
          <cell r="BL102">
            <v>9.2510908349229259E-2</v>
          </cell>
          <cell r="BM102">
            <v>4.4052982925769424E-2</v>
          </cell>
          <cell r="BN102">
            <v>5.6447997025269148E-2</v>
          </cell>
          <cell r="BO102">
            <v>3.2636950596746095E-2</v>
          </cell>
          <cell r="BP102">
            <v>5.6252434933801165E-2</v>
          </cell>
          <cell r="BQ102">
            <v>2.0502897002167453E-2</v>
          </cell>
          <cell r="BR102">
            <v>7.5561062763748632E-2</v>
          </cell>
          <cell r="BS102">
            <v>3.9742520844365581E-2</v>
          </cell>
          <cell r="BT102">
            <v>2.8499238510798941E-2</v>
          </cell>
          <cell r="BU102">
            <v>4.0621877986446453E-2</v>
          </cell>
          <cell r="BV102">
            <v>2.8376375060262582E-2</v>
          </cell>
          <cell r="BW102">
            <v>-1.2114413223422993E-3</v>
          </cell>
          <cell r="BX102">
            <v>-8.0778519682611627E-3</v>
          </cell>
          <cell r="BY102">
            <v>4.5962572977234828E-2</v>
          </cell>
          <cell r="BZ102">
            <v>1.6534032272496502E-2</v>
          </cell>
          <cell r="CA102">
            <v>2.1501855145607651E-2</v>
          </cell>
          <cell r="CB102">
            <v>8.514002537019838E-3</v>
          </cell>
          <cell r="CC102">
            <v>4.4675589368508684E-2</v>
          </cell>
          <cell r="CD102">
            <v>1.6875667712582976E-2</v>
          </cell>
          <cell r="CE102">
            <v>2.2892900296970664E-2</v>
          </cell>
          <cell r="CF102">
            <v>4.0796667697812206E-2</v>
          </cell>
          <cell r="CG102">
            <v>6.8298297462762836E-2</v>
          </cell>
          <cell r="CH102">
            <v>4.016798640652719E-2</v>
          </cell>
          <cell r="CI102">
            <v>5.2469120203965547E-2</v>
          </cell>
          <cell r="CJ102">
            <v>5.062745821239889E-2</v>
          </cell>
          <cell r="CK102">
            <v>5.6159072322768511E-2</v>
          </cell>
          <cell r="CL102">
            <v>6.8452214382048959E-2</v>
          </cell>
          <cell r="CM102">
            <v>7.6670518975884061E-2</v>
          </cell>
          <cell r="CN102">
            <v>6.4999498208214046E-2</v>
          </cell>
          <cell r="CO102">
            <v>6.5904971926529665E-2</v>
          </cell>
          <cell r="CP102">
            <v>3.8676306226448132E-2</v>
          </cell>
          <cell r="CQ102">
            <v>3.4438611282414211E-2</v>
          </cell>
          <cell r="CR102">
            <v>3.7191732445729819E-2</v>
          </cell>
          <cell r="CS102">
            <v>1.60100261867544E-2</v>
          </cell>
          <cell r="CT102">
            <v>3.1474826307251069E-2</v>
          </cell>
          <cell r="CU102">
            <v>-6.0354870652998827E-3</v>
          </cell>
          <cell r="CV102">
            <v>-9.6251735345060929E-3</v>
          </cell>
          <cell r="CW102">
            <v>-9.0867505554677042E-3</v>
          </cell>
          <cell r="CX102">
            <v>-8.8749806857516544E-3</v>
          </cell>
          <cell r="CY102">
            <v>-8.3881661915972128E-3</v>
          </cell>
          <cell r="CZ102">
            <v>8.4711410938407283E-3</v>
          </cell>
          <cell r="DA102">
            <v>6.5425547676278839E-3</v>
          </cell>
          <cell r="DB102">
            <v>7.1345963833235881E-3</v>
          </cell>
          <cell r="DC102">
            <v>9.3955461171479904E-3</v>
          </cell>
          <cell r="DD102">
            <v>7.8984642133144156E-3</v>
          </cell>
          <cell r="DE102">
            <v>1.158223920142043E-2</v>
          </cell>
          <cell r="DF102">
            <v>1.0535874003072099E-2</v>
          </cell>
          <cell r="DG102">
            <v>1.0955938397519294E-2</v>
          </cell>
          <cell r="DH102">
            <v>1.0477450689360124E-2</v>
          </cell>
          <cell r="DI102">
            <v>1.0879908429889396E-2</v>
          </cell>
        </row>
        <row r="104">
          <cell r="B104" t="str">
            <v>Gross Revenues</v>
          </cell>
        </row>
        <row r="105">
          <cell r="B105" t="str">
            <v>Total inpatient revenue</v>
          </cell>
          <cell r="I105">
            <v>302.72358000000003</v>
          </cell>
          <cell r="J105">
            <v>407.16068999999999</v>
          </cell>
          <cell r="K105">
            <v>472.08199999999999</v>
          </cell>
          <cell r="L105">
            <v>576.00199999999995</v>
          </cell>
          <cell r="M105">
            <v>154.51878991431346</v>
          </cell>
          <cell r="N105">
            <v>171.84332965344282</v>
          </cell>
          <cell r="O105">
            <v>178.27958938077032</v>
          </cell>
          <cell r="P105">
            <v>166.10736</v>
          </cell>
          <cell r="Q105">
            <v>670.74906894852654</v>
          </cell>
          <cell r="R105">
            <v>0</v>
          </cell>
          <cell r="S105">
            <v>0</v>
          </cell>
          <cell r="T105">
            <v>0</v>
          </cell>
          <cell r="U105">
            <v>181.93187399999999</v>
          </cell>
          <cell r="V105">
            <v>181.93187399999999</v>
          </cell>
          <cell r="W105">
            <v>199.74902000000003</v>
          </cell>
          <cell r="X105">
            <v>228.54339999999999</v>
          </cell>
          <cell r="Y105">
            <v>206.78971099999998</v>
          </cell>
          <cell r="Z105">
            <v>239.222679</v>
          </cell>
          <cell r="AA105">
            <v>874.30480999999997</v>
          </cell>
          <cell r="AB105">
            <v>271.70990800000004</v>
          </cell>
          <cell r="AC105">
            <v>328.25056799999993</v>
          </cell>
          <cell r="AD105">
            <v>314.01228000000003</v>
          </cell>
          <cell r="AE105">
            <v>341.75469999999996</v>
          </cell>
          <cell r="AF105">
            <v>1255.7274560000001</v>
          </cell>
          <cell r="AG105">
            <v>337.61812600000002</v>
          </cell>
          <cell r="AH105">
            <v>363.31726400000002</v>
          </cell>
          <cell r="AI105">
            <v>338.44742099999996</v>
          </cell>
          <cell r="AJ105">
            <v>348.50574</v>
          </cell>
          <cell r="AK105">
            <v>1387.888551</v>
          </cell>
          <cell r="AL105">
            <v>398.70343100000002</v>
          </cell>
          <cell r="AM105">
            <v>446.97415200000006</v>
          </cell>
          <cell r="AN105">
            <v>419.29593299999999</v>
          </cell>
          <cell r="AO105">
            <v>407.02283999999997</v>
          </cell>
          <cell r="AP105">
            <v>1671.9963560000001</v>
          </cell>
          <cell r="AQ105">
            <v>437.40029200000004</v>
          </cell>
          <cell r="AR105">
            <v>494.50447200000002</v>
          </cell>
          <cell r="AS105">
            <v>469.00052800000003</v>
          </cell>
          <cell r="AT105">
            <v>454.60718400000002</v>
          </cell>
          <cell r="AU105">
            <v>1855.5124760000001</v>
          </cell>
          <cell r="AW105">
            <v>446.97415200000006</v>
          </cell>
          <cell r="AX105">
            <v>419.29593299999999</v>
          </cell>
          <cell r="AY105">
            <v>407.02283999999997</v>
          </cell>
          <cell r="AZ105">
            <v>437.40029200000004</v>
          </cell>
          <cell r="BA105">
            <v>1710.6932170000002</v>
          </cell>
          <cell r="BB105">
            <v>494.50447200000002</v>
          </cell>
          <cell r="BC105">
            <v>469.00052800000003</v>
          </cell>
          <cell r="BD105">
            <v>454.60718400000002</v>
          </cell>
          <cell r="BE105">
            <v>483.23554800000005</v>
          </cell>
          <cell r="BF105">
            <v>1901.3477320000002</v>
          </cell>
          <cell r="BG105">
            <v>522.52596000000005</v>
          </cell>
          <cell r="BH105">
            <v>513.047012</v>
          </cell>
          <cell r="BI105">
            <v>506.99660999999998</v>
          </cell>
          <cell r="BJ105">
            <v>526.36649999999997</v>
          </cell>
          <cell r="BK105">
            <v>2068.9360819999997</v>
          </cell>
          <cell r="BL105">
            <v>587.77596199999994</v>
          </cell>
          <cell r="BM105">
            <v>570.46455900000001</v>
          </cell>
          <cell r="BN105">
            <v>530.81374400000004</v>
          </cell>
          <cell r="BO105">
            <v>554.71666800000003</v>
          </cell>
          <cell r="BP105">
            <v>2243.7709329999998</v>
          </cell>
          <cell r="BQ105">
            <v>609.71058799999992</v>
          </cell>
          <cell r="BR105">
            <v>565.91308800000002</v>
          </cell>
          <cell r="BS105">
            <v>538.79317200000003</v>
          </cell>
          <cell r="BT105">
            <v>585.93230200000005</v>
          </cell>
          <cell r="BU105">
            <v>2300.34915</v>
          </cell>
          <cell r="BV105">
            <v>630.84021299999995</v>
          </cell>
          <cell r="BW105">
            <v>608.92373099999998</v>
          </cell>
          <cell r="BX105">
            <v>558.70769400000006</v>
          </cell>
          <cell r="BY105">
            <v>594.58992000000001</v>
          </cell>
          <cell r="BZ105">
            <v>2393.0615579999999</v>
          </cell>
          <cell r="CA105">
            <v>665.63984200000004</v>
          </cell>
          <cell r="CB105">
            <v>621.39792599999998</v>
          </cell>
          <cell r="CC105">
            <v>601.02170699999999</v>
          </cell>
          <cell r="CD105">
            <v>670.621264</v>
          </cell>
          <cell r="CE105">
            <v>2558.6807389999999</v>
          </cell>
          <cell r="CF105">
            <v>721.12142300000005</v>
          </cell>
          <cell r="CG105">
            <v>664.18802800000003</v>
          </cell>
          <cell r="CH105">
            <v>656.71443599999998</v>
          </cell>
          <cell r="CI105">
            <v>755.46019799999988</v>
          </cell>
          <cell r="CJ105">
            <v>2797.4840850000001</v>
          </cell>
          <cell r="CK105">
            <v>790.97694200000001</v>
          </cell>
          <cell r="CL105">
            <v>760.62999100000002</v>
          </cell>
          <cell r="CM105">
            <v>742.22740199999998</v>
          </cell>
          <cell r="CN105">
            <v>760.12852733249053</v>
          </cell>
          <cell r="CO105">
            <v>3053.9628623324907</v>
          </cell>
          <cell r="CP105">
            <v>809.27008721589209</v>
          </cell>
          <cell r="CQ105">
            <v>764.52132934436383</v>
          </cell>
          <cell r="CR105">
            <v>747.41941592573357</v>
          </cell>
          <cell r="CS105">
            <v>760.16914932226302</v>
          </cell>
          <cell r="CT105">
            <v>3081.3799818082525</v>
          </cell>
          <cell r="CU105">
            <v>812.04255413254123</v>
          </cell>
          <cell r="CV105">
            <v>765.88894898834474</v>
          </cell>
          <cell r="CW105">
            <v>749.45134020115006</v>
          </cell>
          <cell r="CX105">
            <v>760.65603930794919</v>
          </cell>
          <cell r="CY105">
            <v>3088.038882629985</v>
          </cell>
          <cell r="CZ105">
            <v>832.29780367740659</v>
          </cell>
          <cell r="DA105">
            <v>783.55629601108694</v>
          </cell>
          <cell r="DB105">
            <v>767.28030693040182</v>
          </cell>
          <cell r="DC105">
            <v>780.30592278558834</v>
          </cell>
          <cell r="DD105">
            <v>3163.4403294044837</v>
          </cell>
          <cell r="DE105">
            <v>856.72848122096434</v>
          </cell>
          <cell r="DF105">
            <v>804.25000200398244</v>
          </cell>
          <cell r="DG105">
            <v>787.9328577978381</v>
          </cell>
          <cell r="DH105">
            <v>799.25933816143174</v>
          </cell>
          <cell r="DI105">
            <v>3248.1706791842162</v>
          </cell>
        </row>
        <row r="106">
          <cell r="B106" t="str">
            <v>% of net revenue</v>
          </cell>
          <cell r="I106">
            <v>0.56999999999999995</v>
          </cell>
          <cell r="J106">
            <v>0.56999999999999995</v>
          </cell>
          <cell r="K106">
            <v>0.52718200924195013</v>
          </cell>
          <cell r="L106">
            <v>0.50579644222612885</v>
          </cell>
          <cell r="M106">
            <v>0.50579644222612885</v>
          </cell>
          <cell r="N106">
            <v>0.50579644222612885</v>
          </cell>
          <cell r="O106">
            <v>0.50579644222612885</v>
          </cell>
          <cell r="P106">
            <v>0.46400000000000002</v>
          </cell>
          <cell r="Q106">
            <v>0.49475961173655264</v>
          </cell>
          <cell r="U106">
            <v>0.44600000000000001</v>
          </cell>
          <cell r="V106">
            <v>0.17918463771186602</v>
          </cell>
          <cell r="W106">
            <v>0.46</v>
          </cell>
          <cell r="X106">
            <v>0.47499999999999998</v>
          </cell>
          <cell r="Y106">
            <v>0.437</v>
          </cell>
          <cell r="Z106">
            <v>0.48699999999999999</v>
          </cell>
          <cell r="AA106">
            <v>0.46510498185712212</v>
          </cell>
          <cell r="AB106">
            <v>0.54800000000000004</v>
          </cell>
          <cell r="AC106">
            <v>0.56599999999999995</v>
          </cell>
          <cell r="AD106">
            <v>0.53</v>
          </cell>
          <cell r="AE106">
            <v>0.57499999999999996</v>
          </cell>
          <cell r="AF106">
            <v>0.55499288473752106</v>
          </cell>
          <cell r="AG106">
            <v>0.55400000000000005</v>
          </cell>
          <cell r="AH106">
            <v>0.56200000000000006</v>
          </cell>
          <cell r="AI106">
            <v>0.52300000000000002</v>
          </cell>
          <cell r="AJ106">
            <v>0.53</v>
          </cell>
          <cell r="AK106">
            <v>0.54202201028206154</v>
          </cell>
          <cell r="AL106">
            <v>0.52700000000000002</v>
          </cell>
          <cell r="AM106">
            <v>0.53600000000000003</v>
          </cell>
          <cell r="AN106">
            <v>0.51300000000000001</v>
          </cell>
          <cell r="AO106">
            <v>0.51</v>
          </cell>
          <cell r="AP106">
            <v>0.52153971711399505</v>
          </cell>
          <cell r="AQ106">
            <v>0.53200000000000003</v>
          </cell>
          <cell r="AR106">
            <v>0.53900000000000003</v>
          </cell>
          <cell r="AS106">
            <v>0.502</v>
          </cell>
          <cell r="AT106">
            <v>0.502</v>
          </cell>
          <cell r="AU106">
            <v>0.51837414488397071</v>
          </cell>
          <cell r="AW106">
            <v>0.53600000000000003</v>
          </cell>
          <cell r="AX106">
            <v>0.51300000000000001</v>
          </cell>
          <cell r="AY106">
            <v>0.51</v>
          </cell>
          <cell r="AZ106">
            <v>0.53200000000000003</v>
          </cell>
          <cell r="BA106">
            <v>0.52290582889323689</v>
          </cell>
          <cell r="BB106">
            <v>0.53900000000000003</v>
          </cell>
          <cell r="BC106">
            <v>0.502</v>
          </cell>
          <cell r="BD106">
            <v>0.502</v>
          </cell>
          <cell r="BE106">
            <v>0.51600000000000001</v>
          </cell>
          <cell r="BF106">
            <v>0.51473932774506093</v>
          </cell>
          <cell r="BG106">
            <v>0.50600000000000001</v>
          </cell>
          <cell r="BH106">
            <v>0.502</v>
          </cell>
          <cell r="BI106">
            <v>0.51</v>
          </cell>
          <cell r="BJ106">
            <v>0.5</v>
          </cell>
          <cell r="BK106">
            <v>0.50443277768431627</v>
          </cell>
          <cell r="BL106">
            <v>0.51400000000000001</v>
          </cell>
          <cell r="BM106">
            <v>0.51900000000000002</v>
          </cell>
          <cell r="BN106">
            <v>0.496</v>
          </cell>
          <cell r="BO106">
            <v>0.50600000000000001</v>
          </cell>
          <cell r="BP106">
            <v>0.50888841051619571</v>
          </cell>
          <cell r="BQ106">
            <v>0.52900000000000003</v>
          </cell>
          <cell r="BR106">
            <v>0.51200000000000001</v>
          </cell>
          <cell r="BS106">
            <v>0.498</v>
          </cell>
          <cell r="BT106">
            <v>0.52700000000000002</v>
          </cell>
          <cell r="BU106">
            <v>0.5167453198403904</v>
          </cell>
          <cell r="BV106">
            <v>0.53100000000000003</v>
          </cell>
          <cell r="BW106">
            <v>0.52700000000000002</v>
          </cell>
          <cell r="BX106">
            <v>0.498</v>
          </cell>
          <cell r="BY106">
            <v>0.496</v>
          </cell>
          <cell r="BZ106">
            <v>0.5130757096310602</v>
          </cell>
          <cell r="CA106">
            <v>0.51800000000000002</v>
          </cell>
          <cell r="CB106">
            <v>0.498</v>
          </cell>
          <cell r="CC106">
            <v>0.47299999999999998</v>
          </cell>
          <cell r="CD106">
            <v>0.496</v>
          </cell>
          <cell r="CE106">
            <v>0.49629887068705336</v>
          </cell>
          <cell r="CF106">
            <v>0.503</v>
          </cell>
          <cell r="CG106">
            <v>0.47599999999999998</v>
          </cell>
          <cell r="CH106">
            <v>0.46899999999999997</v>
          </cell>
          <cell r="CI106">
            <v>0.47699999999999998</v>
          </cell>
          <cell r="CJ106">
            <v>0.4812451935416614</v>
          </cell>
          <cell r="CK106">
            <v>0.46899999999999997</v>
          </cell>
          <cell r="CL106">
            <v>0.45100000000000001</v>
          </cell>
          <cell r="CM106">
            <v>0.44600000000000001</v>
          </cell>
          <cell r="CN106">
            <v>0.44328666573993525</v>
          </cell>
          <cell r="CO106">
            <v>0.45230478362226068</v>
          </cell>
          <cell r="CP106">
            <v>0.45626193980796548</v>
          </cell>
          <cell r="CQ106">
            <v>0.4372936867430402</v>
          </cell>
          <cell r="CR106">
            <v>0.43278446531320447</v>
          </cell>
          <cell r="CS106">
            <v>0.42839440213286922</v>
          </cell>
          <cell r="CT106">
            <v>0.43872674866243344</v>
          </cell>
          <cell r="CU106">
            <v>0.44895514540324011</v>
          </cell>
          <cell r="CV106">
            <v>0.43002824742948326</v>
          </cell>
          <cell r="CW106">
            <v>0.42554444781090112</v>
          </cell>
          <cell r="CX106">
            <v>0.42116301719057975</v>
          </cell>
          <cell r="CY106">
            <v>0.43147099874264905</v>
          </cell>
          <cell r="CZ106">
            <v>0.44244870111431456</v>
          </cell>
          <cell r="DA106">
            <v>0.42356709507374268</v>
          </cell>
          <cell r="DB106">
            <v>0.41910788097981722</v>
          </cell>
          <cell r="DC106">
            <v>0.4147646859413911</v>
          </cell>
          <cell r="DD106">
            <v>0.42501738826564683</v>
          </cell>
          <cell r="DE106">
            <v>0.43600383093253731</v>
          </cell>
          <cell r="DF106">
            <v>0.41716442374830037</v>
          </cell>
          <cell r="DG106">
            <v>0.41272905521613529</v>
          </cell>
          <cell r="DH106">
            <v>0.4083820548758294</v>
          </cell>
          <cell r="DI106">
            <v>0.41862888349025484</v>
          </cell>
        </row>
        <row r="107">
          <cell r="B107" t="str">
            <v>y/y % change - as reported</v>
          </cell>
          <cell r="I107" t="str">
            <v>NM</v>
          </cell>
          <cell r="J107">
            <v>0.34499165872708026</v>
          </cell>
          <cell r="K107">
            <v>0.15944886526250857</v>
          </cell>
          <cell r="L107">
            <v>0.22013124838481435</v>
          </cell>
          <cell r="Q107">
            <v>0.16449086799790025</v>
          </cell>
          <cell r="R107">
            <v>-1</v>
          </cell>
          <cell r="S107">
            <v>-1</v>
          </cell>
          <cell r="T107">
            <v>-1</v>
          </cell>
          <cell r="U107">
            <v>9.5266784084702794E-2</v>
          </cell>
          <cell r="V107">
            <v>-0.72876313598884557</v>
          </cell>
          <cell r="W107" t="str">
            <v>NM</v>
          </cell>
          <cell r="X107" t="str">
            <v>NM</v>
          </cell>
          <cell r="Y107" t="str">
            <v>NM</v>
          </cell>
          <cell r="Z107">
            <v>0.31490251675195746</v>
          </cell>
          <cell r="AA107">
            <v>3.8056714350119867</v>
          </cell>
          <cell r="AB107">
            <v>0.36025652591436996</v>
          </cell>
          <cell r="AC107">
            <v>0.43627235789788688</v>
          </cell>
          <cell r="AD107">
            <v>0.5185101738451583</v>
          </cell>
          <cell r="AE107">
            <v>0.4286049359057631</v>
          </cell>
          <cell r="AF107">
            <v>0.43625820381795699</v>
          </cell>
          <cell r="AG107">
            <v>0.24256832768866121</v>
          </cell>
          <cell r="AH107">
            <v>0.10682904895993994</v>
          </cell>
          <cell r="AI107">
            <v>7.7815877137034084E-2</v>
          </cell>
          <cell r="AJ107">
            <v>1.975405166337163E-2</v>
          </cell>
          <cell r="AK107">
            <v>0.10524663960202507</v>
          </cell>
          <cell r="AL107">
            <v>0.18093017020063673</v>
          </cell>
          <cell r="AM107">
            <v>0.23025849935939191</v>
          </cell>
          <cell r="AN107">
            <v>0.2388805675077077</v>
          </cell>
          <cell r="AO107">
            <v>0.16790856873691662</v>
          </cell>
          <cell r="AP107">
            <v>0.20470505704171638</v>
          </cell>
          <cell r="AQ107">
            <v>9.7056754447643501E-2</v>
          </cell>
          <cell r="AR107">
            <v>0.10633796112666483</v>
          </cell>
          <cell r="AS107">
            <v>0.11854299335643703</v>
          </cell>
          <cell r="AT107">
            <v>0.11690828947093013</v>
          </cell>
          <cell r="AU107">
            <v>0.10975868418698864</v>
          </cell>
          <cell r="AW107">
            <v>0.23025849935939191</v>
          </cell>
          <cell r="AX107">
            <v>0.2388805675077077</v>
          </cell>
          <cell r="AY107">
            <v>0.16790856873691662</v>
          </cell>
          <cell r="AZ107">
            <v>9.7056754447643501E-2</v>
          </cell>
          <cell r="BB107">
            <v>0.10633796112666483</v>
          </cell>
          <cell r="BC107">
            <v>0.11854299335643703</v>
          </cell>
          <cell r="BD107">
            <v>0.11690828947093013</v>
          </cell>
          <cell r="BE107">
            <v>0.10479018153010289</v>
          </cell>
          <cell r="BF107">
            <v>0.11144868823081322</v>
          </cell>
          <cell r="BG107">
            <v>5.6665792903082268E-2</v>
          </cell>
          <cell r="BH107">
            <v>9.3915638406274704E-2</v>
          </cell>
          <cell r="BI107">
            <v>0.11524108690724066</v>
          </cell>
          <cell r="BJ107">
            <v>8.9254509893796019E-2</v>
          </cell>
          <cell r="BK107">
            <v>8.814187283023478E-2</v>
          </cell>
          <cell r="BL107">
            <v>0.12487418232770642</v>
          </cell>
          <cell r="BM107">
            <v>0.11191478686557477</v>
          </cell>
          <cell r="BN107">
            <v>4.6976909766714314E-2</v>
          </cell>
          <cell r="BO107">
            <v>5.3860129776496235E-2</v>
          </cell>
          <cell r="BP107">
            <v>8.4504713568043455E-2</v>
          </cell>
          <cell r="BQ107">
            <v>3.7318004508663405E-2</v>
          </cell>
          <cell r="BR107">
            <v>-7.9785342107466795E-3</v>
          </cell>
          <cell r="BS107">
            <v>1.5032444223976205E-2</v>
          </cell>
          <cell r="BT107">
            <v>5.6273113466278613E-2</v>
          </cell>
          <cell r="BU107">
            <v>2.5215683191132765E-2</v>
          </cell>
          <cell r="BV107">
            <v>3.4655171512291361E-2</v>
          </cell>
          <cell r="BW107">
            <v>7.6002205836949832E-2</v>
          </cell>
          <cell r="BX107">
            <v>3.6961348129333826E-2</v>
          </cell>
          <cell r="BY107">
            <v>1.4775799133190493E-2</v>
          </cell>
          <cell r="BZ107">
            <v>4.0303624343287048E-2</v>
          </cell>
          <cell r="CA107">
            <v>5.5163935784163565E-2</v>
          </cell>
          <cell r="CB107">
            <v>2.0485644367176148E-2</v>
          </cell>
          <cell r="CC107">
            <v>7.5735511528502331E-2</v>
          </cell>
          <cell r="CD107">
            <v>0.1278719020329171</v>
          </cell>
          <cell r="CE107">
            <v>6.9208073835934414E-2</v>
          </cell>
          <cell r="CF107">
            <v>8.3350751411301438E-2</v>
          </cell>
          <cell r="CG107">
            <v>6.8861031248437232E-2</v>
          </cell>
          <cell r="CH107">
            <v>9.2663423552520774E-2</v>
          </cell>
          <cell r="CI107">
            <v>0.1265079688854005</v>
          </cell>
          <cell r="CJ107">
            <v>9.3330653707633271E-2</v>
          </cell>
          <cell r="CK107">
            <v>9.6870674995880535E-2</v>
          </cell>
          <cell r="CL107">
            <v>0.14520280242088313</v>
          </cell>
          <cell r="CM107">
            <v>0.13021331847195761</v>
          </cell>
          <cell r="CN107">
            <v>6.1794510747879006E-3</v>
          </cell>
          <cell r="CO107">
            <v>9.1681943324617876E-2</v>
          </cell>
          <cell r="CP107">
            <v>2.3127280005960094E-2</v>
          </cell>
          <cell r="CQ107">
            <v>5.115941246607747E-3</v>
          </cell>
          <cell r="CR107">
            <v>6.9951795254974414E-3</v>
          </cell>
          <cell r="CS107">
            <v>5.3440948881489092E-5</v>
          </cell>
          <cell r="CT107">
            <v>8.9775549709276703E-3</v>
          </cell>
          <cell r="CU107">
            <v>3.4258858203781717E-3</v>
          </cell>
          <cell r="CV107">
            <v>1.7888574085351827E-3</v>
          </cell>
          <cell r="CW107">
            <v>2.7185864216543454E-3</v>
          </cell>
          <cell r="CX107">
            <v>6.4050216470934451E-4</v>
          </cell>
          <cell r="CY107">
            <v>2.1610125531563718E-3</v>
          </cell>
          <cell r="CZ107">
            <v>2.4943581394577086E-2</v>
          </cell>
          <cell r="DA107">
            <v>2.3067765954945418E-2</v>
          </cell>
          <cell r="DB107">
            <v>2.3789358658650839E-2</v>
          </cell>
          <cell r="DC107">
            <v>2.5832810708394272E-2</v>
          </cell>
          <cell r="DD107">
            <v>2.4417259510113976E-2</v>
          </cell>
          <cell r="DE107">
            <v>2.9353288493149554E-2</v>
          </cell>
          <cell r="DF107">
            <v>2.6409979854979948E-2</v>
          </cell>
          <cell r="DG107">
            <v>2.6916565798566161E-2</v>
          </cell>
          <cell r="DH107">
            <v>2.4289723840852373E-2</v>
          </cell>
          <cell r="DI107">
            <v>2.6784241508257756E-2</v>
          </cell>
        </row>
        <row r="109">
          <cell r="B109" t="str">
            <v>Total outpatient revenue</v>
          </cell>
          <cell r="I109">
            <v>228.37042000000002</v>
          </cell>
          <cell r="J109">
            <v>307.15631000000002</v>
          </cell>
          <cell r="K109">
            <v>423.4</v>
          </cell>
          <cell r="L109">
            <v>562.79999999999995</v>
          </cell>
          <cell r="M109">
            <v>150.97721008568652</v>
          </cell>
          <cell r="N109">
            <v>167.90467034655717</v>
          </cell>
          <cell r="O109">
            <v>174.1934106192297</v>
          </cell>
          <cell r="P109">
            <v>191.88264000000001</v>
          </cell>
          <cell r="Q109">
            <v>684.95793105147345</v>
          </cell>
          <cell r="R109">
            <v>0</v>
          </cell>
          <cell r="S109">
            <v>0</v>
          </cell>
          <cell r="T109">
            <v>0</v>
          </cell>
          <cell r="U109">
            <v>225.98712600000002</v>
          </cell>
          <cell r="V109">
            <v>833.4</v>
          </cell>
          <cell r="W109">
            <v>234.48798000000002</v>
          </cell>
          <cell r="X109">
            <v>252.60060000000001</v>
          </cell>
          <cell r="Y109">
            <v>266.41328899999996</v>
          </cell>
          <cell r="Z109">
            <v>251.99432099999999</v>
          </cell>
          <cell r="AA109">
            <v>1005.49619</v>
          </cell>
          <cell r="AB109">
            <v>224.11109200000001</v>
          </cell>
          <cell r="AC109">
            <v>251.69743199999999</v>
          </cell>
          <cell r="AD109">
            <v>278.46371999999997</v>
          </cell>
          <cell r="AE109">
            <v>252.60129999999998</v>
          </cell>
          <cell r="AF109">
            <v>1006.873544</v>
          </cell>
          <cell r="AG109">
            <v>271.80087400000002</v>
          </cell>
          <cell r="AH109">
            <v>283.15473600000001</v>
          </cell>
          <cell r="AI109">
            <v>308.67957899999999</v>
          </cell>
          <cell r="AJ109">
            <v>309.05225999999999</v>
          </cell>
          <cell r="AK109">
            <v>1172.687449</v>
          </cell>
          <cell r="AL109">
            <v>357.84956899999997</v>
          </cell>
          <cell r="AM109">
            <v>386.93284800000004</v>
          </cell>
          <cell r="AN109">
            <v>398.04506700000002</v>
          </cell>
          <cell r="AO109">
            <v>391.06115999999997</v>
          </cell>
          <cell r="AP109">
            <v>1533.8886439999999</v>
          </cell>
          <cell r="AQ109">
            <v>384.78070800000006</v>
          </cell>
          <cell r="AR109">
            <v>422.94352800000001</v>
          </cell>
          <cell r="AS109">
            <v>465.26347199999998</v>
          </cell>
          <cell r="AT109">
            <v>450.98481599999997</v>
          </cell>
          <cell r="AU109">
            <v>1723.972524</v>
          </cell>
          <cell r="AW109">
            <v>386.93284800000004</v>
          </cell>
          <cell r="AX109">
            <v>398.04506700000002</v>
          </cell>
          <cell r="AY109">
            <v>391.06115999999997</v>
          </cell>
          <cell r="AZ109">
            <v>384.78070800000006</v>
          </cell>
          <cell r="BA109">
            <v>1560.8197830000001</v>
          </cell>
          <cell r="BB109">
            <v>422.94352800000001</v>
          </cell>
          <cell r="BC109">
            <v>465.26347199999998</v>
          </cell>
          <cell r="BD109">
            <v>450.98481599999997</v>
          </cell>
          <cell r="BE109">
            <v>453.26745199999999</v>
          </cell>
          <cell r="BF109">
            <v>1792.4592680000001</v>
          </cell>
          <cell r="BG109">
            <v>510.13404000000003</v>
          </cell>
          <cell r="BH109">
            <v>508.95898799999998</v>
          </cell>
          <cell r="BI109">
            <v>487.11439000000001</v>
          </cell>
          <cell r="BJ109">
            <v>526.36649999999997</v>
          </cell>
          <cell r="BK109">
            <v>2032.573918</v>
          </cell>
          <cell r="BL109">
            <v>555.75703799999997</v>
          </cell>
          <cell r="BM109">
            <v>528.69644100000005</v>
          </cell>
          <cell r="BN109">
            <v>539.37525600000004</v>
          </cell>
          <cell r="BO109">
            <v>541.56133199999999</v>
          </cell>
          <cell r="BP109">
            <v>2165.3900670000003</v>
          </cell>
          <cell r="BQ109">
            <v>542.86141199999997</v>
          </cell>
          <cell r="BR109">
            <v>539.38591199999996</v>
          </cell>
          <cell r="BS109">
            <v>543.12082799999996</v>
          </cell>
          <cell r="BT109">
            <v>525.89369799999997</v>
          </cell>
          <cell r="BU109">
            <v>2151.2618499999999</v>
          </cell>
          <cell r="BV109">
            <v>557.18278699999996</v>
          </cell>
          <cell r="BW109">
            <v>546.529269</v>
          </cell>
          <cell r="BX109">
            <v>563.19530599999996</v>
          </cell>
          <cell r="BY109">
            <v>604.18007999999998</v>
          </cell>
          <cell r="BZ109">
            <v>2271.087442</v>
          </cell>
          <cell r="CA109">
            <v>619.37915799999996</v>
          </cell>
          <cell r="CB109">
            <v>626.38907400000005</v>
          </cell>
          <cell r="CC109">
            <v>669.63729300000011</v>
          </cell>
          <cell r="CD109">
            <v>681.43773599999997</v>
          </cell>
          <cell r="CE109">
            <v>2596.843261</v>
          </cell>
          <cell r="CF109">
            <v>712.51957700000003</v>
          </cell>
          <cell r="CG109">
            <v>731.16497200000003</v>
          </cell>
          <cell r="CH109">
            <v>743.52956399999994</v>
          </cell>
          <cell r="CI109">
            <v>828.31380200000001</v>
          </cell>
          <cell r="CJ109">
            <v>3015.5279150000001</v>
          </cell>
          <cell r="CK109">
            <v>895.54105800000002</v>
          </cell>
          <cell r="CL109">
            <v>925.91100900000004</v>
          </cell>
          <cell r="CM109">
            <v>921.95959800000003</v>
          </cell>
          <cell r="CN109">
            <v>954.62760245923698</v>
          </cell>
          <cell r="CO109">
            <v>3698.0392674592372</v>
          </cell>
          <cell r="CP109">
            <v>964.42615305456093</v>
          </cell>
          <cell r="CQ109">
            <v>983.7804470625</v>
          </cell>
          <cell r="CR109">
            <v>979.58207287499999</v>
          </cell>
          <cell r="CS109">
            <v>1014.2918276129393</v>
          </cell>
          <cell r="CT109">
            <v>3942.0805006050005</v>
          </cell>
          <cell r="CU109">
            <v>996.69616385939821</v>
          </cell>
          <cell r="CV109">
            <v>1015.1311434509</v>
          </cell>
          <cell r="CW109">
            <v>1011.7074389968886</v>
          </cell>
          <cell r="CX109">
            <v>1045.4285603845876</v>
          </cell>
          <cell r="CY109">
            <v>4068.9633066917741</v>
          </cell>
          <cell r="CZ109">
            <v>1048.8192649934936</v>
          </cell>
          <cell r="DA109">
            <v>1066.3425868912084</v>
          </cell>
          <cell r="DB109">
            <v>1063.466242470208</v>
          </cell>
          <cell r="DC109">
            <v>1101.0160634739905</v>
          </cell>
          <cell r="DD109">
            <v>4279.6441578289005</v>
          </cell>
          <cell r="DE109">
            <v>1108.2278343888534</v>
          </cell>
          <cell r="DF109">
            <v>1123.6469043948082</v>
          </cell>
          <cell r="DG109">
            <v>1121.1473192331164</v>
          </cell>
          <cell r="DH109">
            <v>1157.8769478696734</v>
          </cell>
          <cell r="DI109">
            <v>4510.8990058864511</v>
          </cell>
        </row>
        <row r="110">
          <cell r="B110" t="str">
            <v>% of net revenue</v>
          </cell>
          <cell r="I110">
            <v>0.43</v>
          </cell>
          <cell r="J110">
            <v>0.43</v>
          </cell>
          <cell r="K110">
            <v>0.47281799075804987</v>
          </cell>
          <cell r="L110">
            <v>0.49420355777387115</v>
          </cell>
          <cell r="M110">
            <v>0.49420355777387115</v>
          </cell>
          <cell r="N110">
            <v>0.49420355777387115</v>
          </cell>
          <cell r="O110">
            <v>0.49420355777387115</v>
          </cell>
          <cell r="P110">
            <v>0.53600000000000003</v>
          </cell>
          <cell r="Q110">
            <v>0.50524038826344742</v>
          </cell>
          <cell r="U110">
            <v>0.55400000000000005</v>
          </cell>
          <cell r="V110">
            <v>0.82081536228813401</v>
          </cell>
          <cell r="W110">
            <v>0.54</v>
          </cell>
          <cell r="X110">
            <v>0.52500000000000002</v>
          </cell>
          <cell r="Y110">
            <v>0.56299999999999994</v>
          </cell>
          <cell r="Z110">
            <v>0.51300000000000001</v>
          </cell>
          <cell r="AA110">
            <v>0.53489501814287788</v>
          </cell>
          <cell r="AB110">
            <v>0.45200000000000001</v>
          </cell>
          <cell r="AC110">
            <v>0.434</v>
          </cell>
          <cell r="AD110">
            <v>0.47</v>
          </cell>
          <cell r="AE110">
            <v>0.42499999999999999</v>
          </cell>
          <cell r="AF110">
            <v>0.44500711526247888</v>
          </cell>
          <cell r="AG110">
            <v>0.44600000000000001</v>
          </cell>
          <cell r="AH110">
            <v>0.438</v>
          </cell>
          <cell r="AI110">
            <v>0.47699999999999998</v>
          </cell>
          <cell r="AJ110">
            <v>0.47</v>
          </cell>
          <cell r="AK110">
            <v>0.45797798971793846</v>
          </cell>
          <cell r="AL110">
            <v>0.47299999999999998</v>
          </cell>
          <cell r="AM110">
            <v>0.46400000000000002</v>
          </cell>
          <cell r="AN110">
            <v>0.48699999999999999</v>
          </cell>
          <cell r="AO110">
            <v>0.49</v>
          </cell>
          <cell r="AP110">
            <v>0.4784602828860049</v>
          </cell>
          <cell r="AQ110">
            <v>0.46800000000000003</v>
          </cell>
          <cell r="AR110">
            <v>0.46100000000000002</v>
          </cell>
          <cell r="AS110">
            <v>0.498</v>
          </cell>
          <cell r="AT110">
            <v>0.498</v>
          </cell>
          <cell r="AU110">
            <v>0.48162585511602923</v>
          </cell>
          <cell r="AW110">
            <v>0.46400000000000002</v>
          </cell>
          <cell r="AX110">
            <v>0.48699999999999999</v>
          </cell>
          <cell r="AY110">
            <v>0.49</v>
          </cell>
          <cell r="AZ110">
            <v>0.46800000000000003</v>
          </cell>
          <cell r="BA110">
            <v>0.47709417110676311</v>
          </cell>
          <cell r="BB110">
            <v>0.46100000000000002</v>
          </cell>
          <cell r="BC110">
            <v>0.498</v>
          </cell>
          <cell r="BD110">
            <v>0.498</v>
          </cell>
          <cell r="BE110">
            <v>0.48399999999999999</v>
          </cell>
          <cell r="BF110">
            <v>0.48526067225493913</v>
          </cell>
          <cell r="BG110">
            <v>0.49399999999999999</v>
          </cell>
          <cell r="BH110">
            <v>0.498</v>
          </cell>
          <cell r="BI110">
            <v>0.49</v>
          </cell>
          <cell r="BJ110">
            <v>0.5</v>
          </cell>
          <cell r="BK110">
            <v>0.49556722231568373</v>
          </cell>
          <cell r="BL110">
            <v>0.48599999999999999</v>
          </cell>
          <cell r="BM110">
            <v>0.48099999999999998</v>
          </cell>
          <cell r="BN110">
            <v>0.504</v>
          </cell>
          <cell r="BO110">
            <v>0.49399999999999999</v>
          </cell>
          <cell r="BP110">
            <v>0.49111158948380434</v>
          </cell>
          <cell r="BQ110">
            <v>0.47099999999999997</v>
          </cell>
          <cell r="BR110">
            <v>0.48799999999999999</v>
          </cell>
          <cell r="BS110">
            <v>0.502</v>
          </cell>
          <cell r="BT110">
            <v>0.47299999999999998</v>
          </cell>
          <cell r="BU110">
            <v>0.4832546801596096</v>
          </cell>
          <cell r="BV110">
            <v>0.46899999999999997</v>
          </cell>
          <cell r="BW110">
            <v>0.47299999999999998</v>
          </cell>
          <cell r="BX110">
            <v>0.502</v>
          </cell>
          <cell r="BY110">
            <v>0.504</v>
          </cell>
          <cell r="BZ110">
            <v>0.4869242903689398</v>
          </cell>
          <cell r="CA110">
            <v>0.48199999999999998</v>
          </cell>
          <cell r="CB110">
            <v>0.502</v>
          </cell>
          <cell r="CC110">
            <v>0.52700000000000002</v>
          </cell>
          <cell r="CD110">
            <v>0.504</v>
          </cell>
          <cell r="CE110">
            <v>0.50370112931294664</v>
          </cell>
          <cell r="CF110">
            <v>0.497</v>
          </cell>
          <cell r="CG110">
            <v>0.52400000000000002</v>
          </cell>
          <cell r="CH110">
            <v>0.53100000000000003</v>
          </cell>
          <cell r="CI110">
            <v>0.52300000000000002</v>
          </cell>
          <cell r="CJ110">
            <v>0.5187548064583386</v>
          </cell>
          <cell r="CK110">
            <v>0.53100000000000003</v>
          </cell>
          <cell r="CL110">
            <v>0.54900000000000004</v>
          </cell>
          <cell r="CM110">
            <v>0.55400000000000005</v>
          </cell>
          <cell r="CN110">
            <v>0.55671333426006475</v>
          </cell>
          <cell r="CO110">
            <v>0.54769521637773932</v>
          </cell>
          <cell r="CP110">
            <v>0.54769521637773932</v>
          </cell>
          <cell r="CQ110">
            <v>0.54769521637773932</v>
          </cell>
          <cell r="CR110">
            <v>0.54769521637773932</v>
          </cell>
          <cell r="CS110">
            <v>0.54769521637773932</v>
          </cell>
          <cell r="CT110">
            <v>0.56127325133756656</v>
          </cell>
          <cell r="CU110">
            <v>0.56127325133756656</v>
          </cell>
          <cell r="CV110">
            <v>0.56127325133756656</v>
          </cell>
          <cell r="CW110">
            <v>0.56127325133756656</v>
          </cell>
          <cell r="CX110">
            <v>0.56127325133756656</v>
          </cell>
          <cell r="CY110">
            <v>0.56852900125735095</v>
          </cell>
          <cell r="CZ110">
            <v>0.56852900125735095</v>
          </cell>
          <cell r="DA110">
            <v>0.56852900125735095</v>
          </cell>
          <cell r="DB110">
            <v>0.56852900125735095</v>
          </cell>
          <cell r="DC110">
            <v>0.56852900125735095</v>
          </cell>
          <cell r="DD110">
            <v>0.57498261173435317</v>
          </cell>
          <cell r="DE110">
            <v>0.57498261173435317</v>
          </cell>
          <cell r="DF110">
            <v>0.57498261173435317</v>
          </cell>
          <cell r="DG110">
            <v>0.57498261173435317</v>
          </cell>
          <cell r="DH110">
            <v>0.57498261173435317</v>
          </cell>
          <cell r="DI110">
            <v>0.58137111650974516</v>
          </cell>
        </row>
        <row r="111">
          <cell r="B111" t="str">
            <v>y/y % change - as reported</v>
          </cell>
          <cell r="I111" t="str">
            <v>NM</v>
          </cell>
          <cell r="J111">
            <v>0.34499165872708026</v>
          </cell>
          <cell r="K111">
            <v>0.37845125174215033</v>
          </cell>
          <cell r="L111">
            <v>0.3292394898441191</v>
          </cell>
          <cell r="Q111">
            <v>0.21705389312628554</v>
          </cell>
          <cell r="R111">
            <v>-1</v>
          </cell>
          <cell r="S111">
            <v>-1</v>
          </cell>
          <cell r="T111">
            <v>-1</v>
          </cell>
          <cell r="U111">
            <v>0.17773617248543183</v>
          </cell>
          <cell r="V111">
            <v>0.2167170598647632</v>
          </cell>
          <cell r="W111" t="str">
            <v>NM</v>
          </cell>
          <cell r="X111" t="str">
            <v>NM</v>
          </cell>
          <cell r="Y111" t="str">
            <v>NM</v>
          </cell>
          <cell r="Z111">
            <v>0.11508263970753796</v>
          </cell>
          <cell r="AA111">
            <v>0.20649890808735294</v>
          </cell>
          <cell r="AB111">
            <v>-4.4253389875250737E-2</v>
          </cell>
          <cell r="AC111">
            <v>-3.5754784430441777E-3</v>
          </cell>
          <cell r="AD111">
            <v>4.5232094259382016E-2</v>
          </cell>
          <cell r="AE111">
            <v>2.408701107196709E-3</v>
          </cell>
          <cell r="AF111">
            <v>1.3698251805409623E-3</v>
          </cell>
          <cell r="AG111">
            <v>0.21279527744213578</v>
          </cell>
          <cell r="AH111">
            <v>0.12498063150680072</v>
          </cell>
          <cell r="AI111">
            <v>0.1085091407957921</v>
          </cell>
          <cell r="AJ111">
            <v>0.2234785014962315</v>
          </cell>
          <cell r="AK111">
            <v>0.16468195632717908</v>
          </cell>
          <cell r="AL111">
            <v>0.31658726380695867</v>
          </cell>
          <cell r="AM111">
            <v>0.36650671454776584</v>
          </cell>
          <cell r="AN111">
            <v>0.28950890852420152</v>
          </cell>
          <cell r="AO111">
            <v>0.26535609220265854</v>
          </cell>
          <cell r="AP111">
            <v>0.30801147851289046</v>
          </cell>
          <cell r="AQ111">
            <v>7.5258268649752269E-2</v>
          </cell>
          <cell r="AR111">
            <v>9.3067001641587099E-2</v>
          </cell>
          <cell r="AS111">
            <v>0.16887134290248595</v>
          </cell>
          <cell r="AT111">
            <v>0.15323346353291645</v>
          </cell>
          <cell r="AU111">
            <v>0.12392286802796115</v>
          </cell>
          <cell r="AW111">
            <v>0.36650671454776584</v>
          </cell>
          <cell r="AX111">
            <v>0.28950890852420152</v>
          </cell>
          <cell r="AY111">
            <v>0.26535609220265854</v>
          </cell>
          <cell r="AZ111">
            <v>7.5258268649752269E-2</v>
          </cell>
          <cell r="BB111">
            <v>9.3067001641587099E-2</v>
          </cell>
          <cell r="BC111">
            <v>0.16887134290248595</v>
          </cell>
          <cell r="BD111">
            <v>0.15323346353291645</v>
          </cell>
          <cell r="BE111">
            <v>0.17798902745404765</v>
          </cell>
          <cell r="BF111">
            <v>0.14840886021752842</v>
          </cell>
          <cell r="BG111">
            <v>0.20615166382212613</v>
          </cell>
          <cell r="BH111">
            <v>9.3915638406274926E-2</v>
          </cell>
          <cell r="BI111">
            <v>8.0112617361379312E-2</v>
          </cell>
          <cell r="BJ111">
            <v>0.16127133699421248</v>
          </cell>
          <cell r="BK111">
            <v>0.1339582183465271</v>
          </cell>
          <cell r="BL111">
            <v>8.9433353633880053E-2</v>
          </cell>
          <cell r="BM111">
            <v>3.8780046065322704E-2</v>
          </cell>
          <cell r="BN111">
            <v>0.10728663959198581</v>
          </cell>
          <cell r="BO111">
            <v>2.886739942606531E-2</v>
          </cell>
          <cell r="BP111">
            <v>6.5343822344570812E-2</v>
          </cell>
          <cell r="BQ111">
            <v>-2.3203711547059136E-2</v>
          </cell>
          <cell r="BR111">
            <v>2.0218541626233266E-2</v>
          </cell>
          <cell r="BS111">
            <v>6.9442785117304062E-3</v>
          </cell>
          <cell r="BT111">
            <v>-2.8930488707786917E-2</v>
          </cell>
          <cell r="BU111">
            <v>-6.5245598080968525E-3</v>
          </cell>
          <cell r="BV111">
            <v>2.638127279527458E-2</v>
          </cell>
          <cell r="BW111">
            <v>1.3243499396402569E-2</v>
          </cell>
          <cell r="BX111">
            <v>3.6961348129333826E-2</v>
          </cell>
          <cell r="BY111">
            <v>0.14886351043514501</v>
          </cell>
          <cell r="BZ111">
            <v>5.570014268602419E-2</v>
          </cell>
          <cell r="CA111">
            <v>0.11162651189366346</v>
          </cell>
          <cell r="CB111">
            <v>0.14612173497335612</v>
          </cell>
          <cell r="CC111">
            <v>0.18899658052192669</v>
          </cell>
          <cell r="CD111">
            <v>0.1278719020329171</v>
          </cell>
          <cell r="CE111">
            <v>0.14343605313282337</v>
          </cell>
          <cell r="CF111">
            <v>0.15037706354336211</v>
          </cell>
          <cell r="CG111">
            <v>0.1672696768654045</v>
          </cell>
          <cell r="CH111">
            <v>0.11034670824404014</v>
          </cell>
          <cell r="CI111">
            <v>0.21553849785624446</v>
          </cell>
          <cell r="CJ111">
            <v>0.16122831142252769</v>
          </cell>
          <cell r="CK111">
            <v>0.25686519628077531</v>
          </cell>
          <cell r="CL111">
            <v>0.26635033741742209</v>
          </cell>
          <cell r="CM111">
            <v>0.23997705355533117</v>
          </cell>
          <cell r="CN111">
            <v>0.15249510530217747</v>
          </cell>
          <cell r="CO111">
            <v>0.22633229460893145</v>
          </cell>
          <cell r="CP111">
            <v>7.6920085839951469E-2</v>
          </cell>
          <cell r="CQ111">
            <v>6.25E-2</v>
          </cell>
          <cell r="CR111">
            <v>6.25E-2</v>
          </cell>
          <cell r="CS111">
            <v>6.25E-2</v>
          </cell>
          <cell r="CT111">
            <v>6.5992061061437512E-2</v>
          </cell>
          <cell r="CU111">
            <v>3.3460323221877308E-2</v>
          </cell>
          <cell r="CV111">
            <v>3.1867574195046267E-2</v>
          </cell>
          <cell r="CW111">
            <v>3.2794971459209288E-2</v>
          </cell>
          <cell r="CX111">
            <v>3.0698002215916897E-2</v>
          </cell>
          <cell r="CY111">
            <v>3.2186761804407826E-2</v>
          </cell>
          <cell r="CZ111">
            <v>5.2295878146319641E-2</v>
          </cell>
          <cell r="DA111">
            <v>5.0448105912913821E-2</v>
          </cell>
          <cell r="DB111">
            <v>5.1159852619684587E-2</v>
          </cell>
          <cell r="DC111">
            <v>5.3171976733592974E-2</v>
          </cell>
          <cell r="DD111">
            <v>5.1777525442572303E-2</v>
          </cell>
          <cell r="DE111">
            <v>5.6643285815052513E-2</v>
          </cell>
          <cell r="DF111">
            <v>5.3739124937946636E-2</v>
          </cell>
          <cell r="DG111">
            <v>5.4238747276949217E-2</v>
          </cell>
          <cell r="DH111">
            <v>5.1644009821502523E-2</v>
          </cell>
          <cell r="DI111">
            <v>5.4035999145982228E-2</v>
          </cell>
        </row>
        <row r="113">
          <cell r="B113" t="str">
            <v>Total Revenue</v>
          </cell>
          <cell r="D113">
            <v>211.79300000000001</v>
          </cell>
          <cell r="E113">
            <v>245.24700000000001</v>
          </cell>
          <cell r="F113">
            <v>301.88299999999998</v>
          </cell>
          <cell r="G113">
            <v>346.767</v>
          </cell>
          <cell r="H113">
            <v>438.36599999999999</v>
          </cell>
          <cell r="I113">
            <v>531.09400000000005</v>
          </cell>
          <cell r="J113">
            <v>714.31700000000001</v>
          </cell>
          <cell r="K113">
            <v>895.48199999999997</v>
          </cell>
          <cell r="L113">
            <v>1138.8019999999999</v>
          </cell>
          <cell r="M113">
            <v>305.49599999999998</v>
          </cell>
          <cell r="N113">
            <v>339.74799999999999</v>
          </cell>
          <cell r="O113">
            <v>352.47300000000001</v>
          </cell>
          <cell r="P113">
            <v>357.99</v>
          </cell>
          <cell r="Q113">
            <v>1355.7069999999999</v>
          </cell>
          <cell r="R113">
            <v>370.09399999999999</v>
          </cell>
          <cell r="S113">
            <v>408.65499999999997</v>
          </cell>
          <cell r="T113">
            <v>391.09899999999999</v>
          </cell>
          <cell r="U113">
            <v>407.91899999999998</v>
          </cell>
          <cell r="V113">
            <v>1015.331874</v>
          </cell>
          <cell r="W113">
            <v>434.23700000000002</v>
          </cell>
          <cell r="X113">
            <v>481.14400000000001</v>
          </cell>
          <cell r="Y113">
            <v>473.20299999999997</v>
          </cell>
          <cell r="Z113">
            <v>491.21699999999998</v>
          </cell>
          <cell r="AA113">
            <v>1879.8009999999999</v>
          </cell>
          <cell r="AB113">
            <v>495.82100000000003</v>
          </cell>
          <cell r="AC113">
            <v>579.94799999999998</v>
          </cell>
          <cell r="AD113">
            <v>592.476</v>
          </cell>
          <cell r="AE113">
            <v>594.35599999999999</v>
          </cell>
          <cell r="AF113">
            <v>2262.6010000000001</v>
          </cell>
          <cell r="AG113">
            <v>609.41899999999998</v>
          </cell>
          <cell r="AH113">
            <v>646.47199999999998</v>
          </cell>
          <cell r="AI113">
            <v>647.12699999999995</v>
          </cell>
          <cell r="AJ113">
            <v>657.55799999999999</v>
          </cell>
          <cell r="AK113">
            <v>2560.576</v>
          </cell>
          <cell r="AL113">
            <v>756.553</v>
          </cell>
          <cell r="AM113">
            <v>833.90700000000004</v>
          </cell>
          <cell r="AN113">
            <v>817.34100000000001</v>
          </cell>
          <cell r="AO113">
            <v>798.08399999999995</v>
          </cell>
          <cell r="AP113">
            <v>3205.8850000000002</v>
          </cell>
          <cell r="AQ113">
            <v>822.18100000000004</v>
          </cell>
          <cell r="AR113">
            <v>917.44799999999998</v>
          </cell>
          <cell r="AS113">
            <v>934.26400000000001</v>
          </cell>
          <cell r="AT113">
            <v>905.59199999999998</v>
          </cell>
          <cell r="AU113">
            <v>3579.4850000000001</v>
          </cell>
          <cell r="AW113">
            <v>833.90700000000004</v>
          </cell>
          <cell r="AX113">
            <v>817.34100000000001</v>
          </cell>
          <cell r="AY113">
            <v>798.08399999999995</v>
          </cell>
          <cell r="AZ113">
            <v>822.18100000000004</v>
          </cell>
          <cell r="BA113">
            <v>3271.5130000000004</v>
          </cell>
          <cell r="BB113">
            <v>917.44799999999998</v>
          </cell>
          <cell r="BC113">
            <v>934.26400000000001</v>
          </cell>
          <cell r="BD113">
            <v>905.59199999999998</v>
          </cell>
          <cell r="BE113">
            <v>936.50300000000004</v>
          </cell>
          <cell r="BF113">
            <v>3693.8070000000002</v>
          </cell>
          <cell r="BG113">
            <v>1032.6600000000001</v>
          </cell>
          <cell r="BH113">
            <v>1022.006</v>
          </cell>
          <cell r="BI113">
            <v>994.11099999999999</v>
          </cell>
          <cell r="BJ113">
            <v>1052.7329999999999</v>
          </cell>
          <cell r="BK113">
            <v>4101.51</v>
          </cell>
          <cell r="BL113">
            <v>1143.5329999999999</v>
          </cell>
          <cell r="BM113">
            <v>1099.1610000000001</v>
          </cell>
          <cell r="BN113">
            <v>1070.1890000000001</v>
          </cell>
          <cell r="BO113">
            <v>1096.278</v>
          </cell>
          <cell r="BP113">
            <v>4409.1610000000001</v>
          </cell>
          <cell r="BQ113">
            <v>1152.5719999999999</v>
          </cell>
          <cell r="BR113">
            <v>1105.299</v>
          </cell>
          <cell r="BS113">
            <v>1081.914</v>
          </cell>
          <cell r="BT113">
            <v>1111.826</v>
          </cell>
          <cell r="BU113">
            <v>4451.6109999999999</v>
          </cell>
          <cell r="BV113">
            <v>1188.0229999999999</v>
          </cell>
          <cell r="BW113">
            <v>1155.453</v>
          </cell>
          <cell r="BX113">
            <v>1121.903</v>
          </cell>
          <cell r="BY113">
            <v>1198.77</v>
          </cell>
          <cell r="BZ113">
            <v>4664.1489999999994</v>
          </cell>
          <cell r="CA113">
            <v>1285.019</v>
          </cell>
          <cell r="CB113">
            <v>1247.787</v>
          </cell>
          <cell r="CC113">
            <v>1270.6590000000001</v>
          </cell>
          <cell r="CD113">
            <v>1352.059</v>
          </cell>
          <cell r="CE113">
            <v>5155.5240000000003</v>
          </cell>
          <cell r="CF113">
            <v>1433.6410000000001</v>
          </cell>
          <cell r="CG113">
            <v>1395.3530000000001</v>
          </cell>
          <cell r="CH113">
            <v>1400.2439999999999</v>
          </cell>
          <cell r="CI113">
            <v>1583.7739999999999</v>
          </cell>
          <cell r="CJ113">
            <v>5813.0120000000006</v>
          </cell>
          <cell r="CK113">
            <v>1686.518</v>
          </cell>
          <cell r="CL113">
            <v>1686.5409999999999</v>
          </cell>
          <cell r="CM113">
            <v>1664.1869999999999</v>
          </cell>
          <cell r="CN113">
            <v>1714.7561297917275</v>
          </cell>
          <cell r="CO113">
            <v>6752.0021297917274</v>
          </cell>
          <cell r="CP113">
            <v>1773.696240270453</v>
          </cell>
          <cell r="CQ113">
            <v>1748.3017764068638</v>
          </cell>
          <cell r="CR113">
            <v>1727.0014888007336</v>
          </cell>
          <cell r="CS113">
            <v>1774.4609769352023</v>
          </cell>
          <cell r="CT113">
            <v>7023.460482413253</v>
          </cell>
          <cell r="CU113">
            <v>1808.7387179919394</v>
          </cell>
          <cell r="CV113">
            <v>1781.0200924392448</v>
          </cell>
          <cell r="CW113">
            <v>1761.1587791980387</v>
          </cell>
          <cell r="CX113">
            <v>1806.0845996925368</v>
          </cell>
          <cell r="CY113">
            <v>7157.0021893217599</v>
          </cell>
          <cell r="CZ113">
            <v>1881.1170686709002</v>
          </cell>
          <cell r="DA113">
            <v>1849.8988829022953</v>
          </cell>
          <cell r="DB113">
            <v>1830.7465494006099</v>
          </cell>
          <cell r="DC113">
            <v>1881.3219862595788</v>
          </cell>
          <cell r="DD113">
            <v>7443.0844872333846</v>
          </cell>
          <cell r="DE113">
            <v>1964.9563156098177</v>
          </cell>
          <cell r="DF113">
            <v>1927.8969063987906</v>
          </cell>
          <cell r="DG113">
            <v>1909.0801770309545</v>
          </cell>
          <cell r="DH113">
            <v>1957.1362860311051</v>
          </cell>
          <cell r="DI113">
            <v>7759.0696850706681</v>
          </cell>
        </row>
        <row r="114">
          <cell r="B114" t="str">
            <v>y/y % change - as reported</v>
          </cell>
          <cell r="E114">
            <v>0.15795611752985228</v>
          </cell>
          <cell r="F114">
            <v>0.23093452723172958</v>
          </cell>
          <cell r="G114">
            <v>0.14868011779397983</v>
          </cell>
          <cell r="H114">
            <v>0.26415143309484468</v>
          </cell>
          <cell r="I114">
            <v>0.21153100377310308</v>
          </cell>
          <cell r="J114">
            <v>0.34499165872708026</v>
          </cell>
          <cell r="K114">
            <v>0.25361989144875441</v>
          </cell>
          <cell r="L114">
            <v>0.27171958788674688</v>
          </cell>
          <cell r="Q114">
            <v>0.19046770202370555</v>
          </cell>
          <cell r="R114">
            <v>0.21145285044648698</v>
          </cell>
          <cell r="S114">
            <v>0.20281797096671639</v>
          </cell>
          <cell r="T114">
            <v>0.10958569876274193</v>
          </cell>
          <cell r="U114">
            <v>0.13947037626749337</v>
          </cell>
          <cell r="V114">
            <v>-0.25106835474036793</v>
          </cell>
          <cell r="W114">
            <v>0.173315427972353</v>
          </cell>
          <cell r="X114">
            <v>0.17738434620890486</v>
          </cell>
          <cell r="Y114">
            <v>0.20993150071976663</v>
          </cell>
          <cell r="Z114">
            <v>0.20420230486934909</v>
          </cell>
          <cell r="AA114">
            <v>0.85141533338684483</v>
          </cell>
          <cell r="AB114">
            <v>0.14182117138797468</v>
          </cell>
          <cell r="AC114">
            <v>0.20535224381889816</v>
          </cell>
          <cell r="AD114">
            <v>0.25205461503836624</v>
          </cell>
          <cell r="AE114">
            <v>0.20996626745409874</v>
          </cell>
          <cell r="AF114">
            <v>0.20363857663656959</v>
          </cell>
          <cell r="AG114">
            <v>0.22911090897723163</v>
          </cell>
          <cell r="AH114">
            <v>0.11470683578527741</v>
          </cell>
          <cell r="AI114">
            <v>9.2241711056650244E-2</v>
          </cell>
          <cell r="AJ114">
            <v>0.10633694284233686</v>
          </cell>
          <cell r="AK114">
            <v>0.13169577844259761</v>
          </cell>
          <cell r="AL114">
            <v>0.24143323394905636</v>
          </cell>
          <cell r="AM114">
            <v>0.28993521761189966</v>
          </cell>
          <cell r="AN114">
            <v>0.26303028617257529</v>
          </cell>
          <cell r="AO114">
            <v>0.21370890476581517</v>
          </cell>
          <cell r="AP114">
            <v>0.25201712427203882</v>
          </cell>
          <cell r="AQ114">
            <v>8.6746070665240982E-2</v>
          </cell>
          <cell r="AR114">
            <v>0.10018023592558878</v>
          </cell>
          <cell r="AS114">
            <v>0.14305289958536282</v>
          </cell>
          <cell r="AT114">
            <v>0.13470762476130327</v>
          </cell>
          <cell r="AU114">
            <v>0.11653568359438959</v>
          </cell>
          <cell r="AW114">
            <v>0.28993521761189966</v>
          </cell>
          <cell r="AX114">
            <v>0.26303028617257529</v>
          </cell>
          <cell r="AY114">
            <v>0.21370890476581517</v>
          </cell>
          <cell r="AZ114">
            <v>8.6746070665240982E-2</v>
          </cell>
          <cell r="BB114">
            <v>0.10018023592558878</v>
          </cell>
          <cell r="BC114">
            <v>0.14305289958536282</v>
          </cell>
          <cell r="BD114">
            <v>0.13470762476130327</v>
          </cell>
          <cell r="BE114">
            <v>0.13904724142250924</v>
          </cell>
          <cell r="BF114">
            <v>0.12908217084877838</v>
          </cell>
          <cell r="BG114">
            <v>0.12557877939676154</v>
          </cell>
          <cell r="BH114">
            <v>9.3915638406274926E-2</v>
          </cell>
          <cell r="BI114">
            <v>9.7747109073401672E-2</v>
          </cell>
          <cell r="BJ114">
            <v>0.12411065421039758</v>
          </cell>
          <cell r="BK114">
            <v>0.11037474345573539</v>
          </cell>
          <cell r="BL114">
            <v>0.10736641295295635</v>
          </cell>
          <cell r="BM114">
            <v>7.5493685947049416E-2</v>
          </cell>
          <cell r="BN114">
            <v>7.6528677381097365E-2</v>
          </cell>
          <cell r="BO114">
            <v>4.1363764601280772E-2</v>
          </cell>
          <cell r="BP114">
            <v>7.5009203927334012E-2</v>
          </cell>
          <cell r="BQ114">
            <v>7.9044505055823056E-3</v>
          </cell>
          <cell r="BR114">
            <v>5.5842592668406965E-3</v>
          </cell>
          <cell r="BS114">
            <v>1.0956008705004461E-2</v>
          </cell>
          <cell r="BT114">
            <v>1.4182533992290303E-2</v>
          </cell>
          <cell r="BU114">
            <v>9.6276820011789166E-3</v>
          </cell>
          <cell r="BV114">
            <v>3.0758165216576483E-2</v>
          </cell>
          <cell r="BW114">
            <v>4.5375957093962915E-2</v>
          </cell>
          <cell r="BX114">
            <v>3.6961348129333826E-2</v>
          </cell>
          <cell r="BY114">
            <v>7.8199286579015093E-2</v>
          </cell>
          <cell r="BZ114">
            <v>4.7744063890577948E-2</v>
          </cell>
          <cell r="CA114">
            <v>8.1644883979518967E-2</v>
          </cell>
          <cell r="CB114">
            <v>7.9911515223899166E-2</v>
          </cell>
          <cell r="CC114">
            <v>0.13259256816320142</v>
          </cell>
          <cell r="CD114">
            <v>0.1278719020329171</v>
          </cell>
          <cell r="CE114">
            <v>0.10535147998059258</v>
          </cell>
          <cell r="CF114">
            <v>0.11565743385895466</v>
          </cell>
          <cell r="CG114">
            <v>0.11826217134815487</v>
          </cell>
          <cell r="CH114">
            <v>0.10198251458495133</v>
          </cell>
          <cell r="CI114">
            <v>0.1713793554867058</v>
          </cell>
          <cell r="CJ114">
            <v>0.12753078057632949</v>
          </cell>
          <cell r="CK114">
            <v>0.17638795207447333</v>
          </cell>
          <cell r="CL114">
            <v>0.20868411075906956</v>
          </cell>
          <cell r="CM114">
            <v>0.18849786180122896</v>
          </cell>
          <cell r="CN114">
            <v>8.2702538235712719E-2</v>
          </cell>
          <cell r="CO114">
            <v>0.16153246024465906</v>
          </cell>
          <cell r="CP114">
            <v>5.1691259903809517E-2</v>
          </cell>
          <cell r="CQ114">
            <v>3.6619789502220224E-2</v>
          </cell>
          <cell r="CR114">
            <v>3.7744850068371916E-2</v>
          </cell>
          <cell r="CS114">
            <v>3.4818273051297588E-2</v>
          </cell>
          <cell r="CT114">
            <v>4.0204127220839547E-2</v>
          </cell>
          <cell r="CU114">
            <v>1.9756752552028356E-2</v>
          </cell>
          <cell r="CV114">
            <v>1.8714341238973198E-2</v>
          </cell>
          <cell r="CW114">
            <v>1.9778379242177069E-2</v>
          </cell>
          <cell r="CX114">
            <v>1.7821537451871095E-2</v>
          </cell>
          <cell r="CY114">
            <v>1.9013662459252956E-2</v>
          </cell>
          <cell r="CZ114">
            <v>4.0015923781028473E-2</v>
          </cell>
          <cell r="DA114">
            <v>3.8673786306765212E-2</v>
          </cell>
          <cell r="DB114">
            <v>3.9512490880724949E-2</v>
          </cell>
          <cell r="DC114">
            <v>4.1657731082946015E-2</v>
          </cell>
          <cell r="DD114">
            <v>3.9972364174829966E-2</v>
          </cell>
          <cell r="DE114">
            <v>4.4568861946563398E-2</v>
          </cell>
          <cell r="DF114">
            <v>4.2163398344305492E-2</v>
          </cell>
          <cell r="DG114">
            <v>4.2787805693798031E-2</v>
          </cell>
          <cell r="DH114">
            <v>4.0298417987587154E-2</v>
          </cell>
          <cell r="DI114">
            <v>4.2453528289148279E-2</v>
          </cell>
        </row>
        <row r="116">
          <cell r="B116" t="str">
            <v>SAME-STORE OPERATIONS</v>
          </cell>
        </row>
        <row r="117">
          <cell r="B117" t="str">
            <v>Reported</v>
          </cell>
        </row>
        <row r="119">
          <cell r="B119" t="str">
            <v>Volumes</v>
          </cell>
        </row>
        <row r="120">
          <cell r="B120" t="str">
            <v>Admissions</v>
          </cell>
          <cell r="D120" t="str">
            <v>ND</v>
          </cell>
          <cell r="E120">
            <v>33010</v>
          </cell>
          <cell r="F120">
            <v>40844</v>
          </cell>
          <cell r="G120">
            <v>48085</v>
          </cell>
          <cell r="H120">
            <v>47195</v>
          </cell>
          <cell r="I120">
            <v>59071</v>
          </cell>
          <cell r="J120">
            <v>60123</v>
          </cell>
          <cell r="K120">
            <v>78009</v>
          </cell>
          <cell r="L120">
            <v>101025</v>
          </cell>
          <cell r="M120">
            <v>26831</v>
          </cell>
          <cell r="N120">
            <v>34438</v>
          </cell>
          <cell r="O120">
            <v>29950</v>
          </cell>
          <cell r="P120">
            <v>32604</v>
          </cell>
          <cell r="Q120">
            <v>123823</v>
          </cell>
          <cell r="R120">
            <v>34531</v>
          </cell>
          <cell r="S120">
            <v>37671</v>
          </cell>
          <cell r="T120">
            <v>36406</v>
          </cell>
          <cell r="U120">
            <v>38531</v>
          </cell>
          <cell r="V120">
            <v>147139</v>
          </cell>
          <cell r="W120">
            <v>40235</v>
          </cell>
          <cell r="X120">
            <v>44942</v>
          </cell>
          <cell r="Y120">
            <v>41182</v>
          </cell>
          <cell r="Z120">
            <v>42212</v>
          </cell>
          <cell r="AA120">
            <v>168571</v>
          </cell>
          <cell r="AB120">
            <v>45302</v>
          </cell>
          <cell r="AC120">
            <v>49865</v>
          </cell>
          <cell r="AD120">
            <v>46451</v>
          </cell>
          <cell r="AE120">
            <v>48744</v>
          </cell>
          <cell r="AF120">
            <v>190362</v>
          </cell>
          <cell r="AG120">
            <v>50581</v>
          </cell>
          <cell r="AH120">
            <v>58504</v>
          </cell>
          <cell r="AI120">
            <v>54260</v>
          </cell>
          <cell r="AJ120">
            <v>57602</v>
          </cell>
          <cell r="AK120">
            <v>220947</v>
          </cell>
          <cell r="AL120">
            <v>60117</v>
          </cell>
          <cell r="AM120">
            <v>63379</v>
          </cell>
          <cell r="AN120">
            <v>57554</v>
          </cell>
          <cell r="AO120">
            <v>57496</v>
          </cell>
          <cell r="AP120">
            <v>238546</v>
          </cell>
          <cell r="AQ120">
            <v>61709</v>
          </cell>
          <cell r="AR120">
            <v>77450</v>
          </cell>
          <cell r="AS120">
            <v>70917</v>
          </cell>
          <cell r="AT120">
            <v>68410</v>
          </cell>
          <cell r="AU120">
            <v>278486</v>
          </cell>
          <cell r="AW120">
            <v>63379</v>
          </cell>
          <cell r="AX120">
            <v>57554</v>
          </cell>
          <cell r="AY120">
            <v>57496</v>
          </cell>
          <cell r="AZ120">
            <v>61709</v>
          </cell>
          <cell r="BA120">
            <v>240138</v>
          </cell>
          <cell r="BB120">
            <v>77450</v>
          </cell>
          <cell r="BC120">
            <v>70917</v>
          </cell>
          <cell r="BD120">
            <v>68410</v>
          </cell>
          <cell r="BE120">
            <v>69550</v>
          </cell>
          <cell r="BF120">
            <v>286327</v>
          </cell>
          <cell r="BG120">
            <v>75482</v>
          </cell>
          <cell r="BH120">
            <v>75177</v>
          </cell>
          <cell r="BI120">
            <v>73189</v>
          </cell>
          <cell r="BJ120">
            <v>75189</v>
          </cell>
          <cell r="BK120">
            <v>299037</v>
          </cell>
          <cell r="BL120">
            <v>81670</v>
          </cell>
          <cell r="BM120">
            <v>76104</v>
          </cell>
          <cell r="BN120">
            <v>75681</v>
          </cell>
          <cell r="BO120">
            <v>75854</v>
          </cell>
          <cell r="BP120">
            <v>309309</v>
          </cell>
          <cell r="BQ120">
            <v>82302</v>
          </cell>
          <cell r="BR120">
            <v>73809</v>
          </cell>
          <cell r="BS120">
            <v>72448</v>
          </cell>
          <cell r="BT120">
            <v>76562</v>
          </cell>
          <cell r="BU120">
            <v>305121</v>
          </cell>
          <cell r="BV120">
            <v>83361</v>
          </cell>
          <cell r="BW120">
            <v>77580</v>
          </cell>
          <cell r="BX120">
            <v>74890</v>
          </cell>
          <cell r="BY120">
            <v>76207</v>
          </cell>
          <cell r="BZ120">
            <v>312038</v>
          </cell>
          <cell r="CA120">
            <v>81492</v>
          </cell>
          <cell r="CB120">
            <v>75676</v>
          </cell>
          <cell r="CC120">
            <v>72634</v>
          </cell>
          <cell r="CD120">
            <v>74168</v>
          </cell>
          <cell r="CE120">
            <v>303970</v>
          </cell>
          <cell r="CF120">
            <v>81460</v>
          </cell>
          <cell r="CG120">
            <v>73936</v>
          </cell>
          <cell r="CH120">
            <v>76211</v>
          </cell>
          <cell r="CI120">
            <v>79646</v>
          </cell>
          <cell r="CJ120">
            <v>311253</v>
          </cell>
          <cell r="CK120">
            <v>84455</v>
          </cell>
          <cell r="CL120">
            <v>77488</v>
          </cell>
          <cell r="CM120">
            <v>76166</v>
          </cell>
          <cell r="CN120">
            <v>84172.73919285489</v>
          </cell>
          <cell r="CO120">
            <v>322281.7391928549</v>
          </cell>
          <cell r="CP120">
            <v>91407.034200967188</v>
          </cell>
          <cell r="CQ120">
            <v>84654.027163976425</v>
          </cell>
          <cell r="CR120">
            <v>83065.062520040417</v>
          </cell>
          <cell r="CS120">
            <v>83991.600707725564</v>
          </cell>
          <cell r="CT120">
            <v>343117.72459270962</v>
          </cell>
          <cell r="CU120">
            <v>93374.71674780453</v>
          </cell>
          <cell r="CV120">
            <v>85488.295947531486</v>
          </cell>
          <cell r="CW120">
            <v>83916.343318227329</v>
          </cell>
          <cell r="CX120">
            <v>84658.486210106334</v>
          </cell>
          <cell r="CY120">
            <v>347437.84222366969</v>
          </cell>
          <cell r="CZ120">
            <v>94761.198776602541</v>
          </cell>
          <cell r="DA120">
            <v>86765.257421144881</v>
          </cell>
          <cell r="DB120">
            <v>85180.223990693514</v>
          </cell>
          <cell r="DC120">
            <v>85912.961049906269</v>
          </cell>
          <cell r="DD120">
            <v>352619.64123834722</v>
          </cell>
          <cell r="DE120">
            <v>96286.674889554619</v>
          </cell>
          <cell r="DF120">
            <v>88001.28218354586</v>
          </cell>
          <cell r="DG120">
            <v>86400.804571941946</v>
          </cell>
          <cell r="DH120">
            <v>86962.032956517447</v>
          </cell>
          <cell r="DI120">
            <v>357650.79460155987</v>
          </cell>
        </row>
        <row r="121">
          <cell r="B121" t="str">
            <v>y/y change - restated</v>
          </cell>
          <cell r="E121">
            <v>3.2562795207857542E-2</v>
          </cell>
          <cell r="F121">
            <v>4.1859041399892938E-2</v>
          </cell>
          <cell r="G121">
            <v>2.8424159466164722E-2</v>
          </cell>
          <cell r="H121">
            <v>1.4117495380119527E-2</v>
          </cell>
          <cell r="I121">
            <v>7.5151978450001877E-2</v>
          </cell>
          <cell r="J121">
            <v>1.78090772121684E-2</v>
          </cell>
          <cell r="K121">
            <v>3.6430308103152731E-2</v>
          </cell>
          <cell r="L121">
            <v>5.4683829747251611E-2</v>
          </cell>
          <cell r="Q121">
            <v>0.17663324939421288</v>
          </cell>
          <cell r="R121">
            <v>5.9688209660590408E-2</v>
          </cell>
          <cell r="S121">
            <v>1.7860037827614139E-2</v>
          </cell>
          <cell r="T121">
            <v>6.3911861831146499E-2</v>
          </cell>
          <cell r="U121" t="str">
            <v>NM</v>
          </cell>
          <cell r="V121">
            <v>9.5721785754179445E-2</v>
          </cell>
          <cell r="W121">
            <v>3.1111452807462747E-2</v>
          </cell>
          <cell r="X121">
            <v>5.3270524268204111E-2</v>
          </cell>
          <cell r="Y121">
            <v>6.6642492683053112E-2</v>
          </cell>
          <cell r="Z121" t="str">
            <v>NM</v>
          </cell>
          <cell r="AA121">
            <v>6.1329723603853248E-2</v>
          </cell>
          <cell r="AB121">
            <v>1.8342849435777575E-2</v>
          </cell>
          <cell r="AC121">
            <v>-2.7797776177905797E-3</v>
          </cell>
          <cell r="AD121">
            <v>1.6166433321666007E-2</v>
          </cell>
          <cell r="AE121" t="str">
            <v>NM</v>
          </cell>
          <cell r="AF121">
            <v>3.1587846076311488E-2</v>
          </cell>
          <cell r="AG121">
            <v>6.1934454451932464E-2</v>
          </cell>
          <cell r="AH121">
            <v>2.8298238830105182E-2</v>
          </cell>
          <cell r="AI121">
            <v>1.4812598189571258E-2</v>
          </cell>
          <cell r="AJ121">
            <v>2.0751005652921206E-2</v>
          </cell>
          <cell r="AK121">
            <v>0.11468917432673775</v>
          </cell>
          <cell r="AL121">
            <v>3.8397761426054444E-2</v>
          </cell>
          <cell r="AM121">
            <v>3.653610270668084E-2</v>
          </cell>
          <cell r="AN121">
            <v>1.1991841327894326E-2</v>
          </cell>
          <cell r="AO121">
            <v>-8.6725633200572805E-3</v>
          </cell>
          <cell r="AP121">
            <v>2.4611710535358489E-2</v>
          </cell>
          <cell r="AQ121">
            <v>-2.6226507392971499E-2</v>
          </cell>
          <cell r="AR121">
            <v>1.8181340134355128E-2</v>
          </cell>
          <cell r="AS121">
            <v>2.2934787312302474E-2</v>
          </cell>
          <cell r="AT121">
            <v>2.6969190631138673E-3</v>
          </cell>
          <cell r="AU121">
            <v>0.12541422174805628</v>
          </cell>
          <cell r="AW121">
            <v>3.653610270668084E-2</v>
          </cell>
          <cell r="AX121">
            <v>1.1991841327894326E-2</v>
          </cell>
          <cell r="AY121">
            <v>-8.6725633200572805E-3</v>
          </cell>
          <cell r="AZ121">
            <v>-2.6226507392971499E-2</v>
          </cell>
          <cell r="BB121">
            <v>1.8181340134355128E-2</v>
          </cell>
          <cell r="BC121">
            <v>2.2934787312302474E-2</v>
          </cell>
          <cell r="BD121">
            <v>2.6969190631138673E-3</v>
          </cell>
          <cell r="BE121">
            <v>-1.586223486295657E-2</v>
          </cell>
          <cell r="BF121">
            <v>7.1616758884383014E-3</v>
          </cell>
          <cell r="BG121">
            <v>-2.0528391985881855E-2</v>
          </cell>
          <cell r="BH121">
            <v>-1.0633677699545929E-2</v>
          </cell>
          <cell r="BI121">
            <v>6.1726697827879651E-3</v>
          </cell>
          <cell r="BJ121">
            <v>1.3807051843861551E-2</v>
          </cell>
          <cell r="BK121">
            <v>6.1725107579566174E-2</v>
          </cell>
          <cell r="BL121">
            <v>-9.7365198307325374E-3</v>
          </cell>
          <cell r="BM121">
            <v>4.4080770753596177E-3</v>
          </cell>
          <cell r="BN121">
            <v>-4.3676739505084106E-3</v>
          </cell>
          <cell r="BO121">
            <v>-9.7389033942558711E-3</v>
          </cell>
          <cell r="BP121">
            <v>2.8623022128219988E-2</v>
          </cell>
          <cell r="BQ121">
            <v>3.7196482798151909E-3</v>
          </cell>
          <cell r="BR121">
            <v>-3.8406920541449008E-2</v>
          </cell>
          <cell r="BS121">
            <v>-3.2788636120901438E-2</v>
          </cell>
          <cell r="BT121">
            <v>-1.8642852486799866E-3</v>
          </cell>
          <cell r="BU121">
            <v>-9.6785815133251241E-3</v>
          </cell>
          <cell r="BV121">
            <v>-2.2740601548754125E-3</v>
          </cell>
          <cell r="BW121">
            <v>5.1091330325570006E-2</v>
          </cell>
          <cell r="BX121">
            <v>5.3853622841703919E-2</v>
          </cell>
          <cell r="BY121">
            <v>1.479439650580594E-2</v>
          </cell>
          <cell r="BZ121">
            <v>3.8952650171972358E-2</v>
          </cell>
          <cell r="CA121">
            <v>-3.6191128282877516E-3</v>
          </cell>
          <cell r="CB121">
            <v>-5.8328954282711454E-3</v>
          </cell>
          <cell r="CC121">
            <v>-3.0124182133796196E-2</v>
          </cell>
          <cell r="CD121">
            <v>-3.0673724106384359E-2</v>
          </cell>
          <cell r="CE121">
            <v>-9.127359259380019E-3</v>
          </cell>
          <cell r="CF121">
            <v>-3.900148644503687E-2</v>
          </cell>
          <cell r="CG121">
            <v>-6.4432859239763163E-2</v>
          </cell>
          <cell r="CH121">
            <v>-1.8228428619277093E-2</v>
          </cell>
          <cell r="CI121">
            <v>-3.7324437353446038E-2</v>
          </cell>
          <cell r="CJ121">
            <v>-3.9096435197905621E-2</v>
          </cell>
          <cell r="CK121">
            <v>-4.1841099123016035E-2</v>
          </cell>
          <cell r="CL121">
            <v>-4.04319344172972E-2</v>
          </cell>
          <cell r="CM121">
            <v>-6.4426183193917241E-2</v>
          </cell>
          <cell r="CO121" t="str">
            <v>NM</v>
          </cell>
          <cell r="CT121" t="str">
            <v>NM</v>
          </cell>
          <cell r="CY121" t="str">
            <v>NM</v>
          </cell>
          <cell r="DD121" t="str">
            <v>NM</v>
          </cell>
          <cell r="DI121" t="str">
            <v>NM</v>
          </cell>
        </row>
        <row r="122">
          <cell r="B122" t="str">
            <v>y/y change - reported</v>
          </cell>
          <cell r="E122" t="str">
            <v>NM</v>
          </cell>
          <cell r="F122">
            <v>0.23732202362920329</v>
          </cell>
          <cell r="G122">
            <v>0.17728430124375683</v>
          </cell>
          <cell r="H122">
            <v>-1.8508890506394926E-2</v>
          </cell>
          <cell r="I122">
            <v>0.25163682593495063</v>
          </cell>
          <cell r="J122">
            <v>1.78090772121684E-2</v>
          </cell>
          <cell r="K122">
            <v>0.2974901452023353</v>
          </cell>
          <cell r="L122">
            <v>0.29504287966773068</v>
          </cell>
          <cell r="Q122">
            <v>0.22566691413016571</v>
          </cell>
          <cell r="R122">
            <v>0.28698147665014351</v>
          </cell>
          <cell r="S122">
            <v>9.3878854753469909E-2</v>
          </cell>
          <cell r="T122">
            <v>0.21555926544240411</v>
          </cell>
          <cell r="U122">
            <v>0.1817875107348792</v>
          </cell>
          <cell r="V122">
            <v>0.18830104261728442</v>
          </cell>
          <cell r="W122">
            <v>0.16518490631606375</v>
          </cell>
          <cell r="X122">
            <v>0.19301319317246679</v>
          </cell>
          <cell r="Y122">
            <v>0.1311871669505027</v>
          </cell>
          <cell r="Z122">
            <v>9.5533466559393654E-2</v>
          </cell>
          <cell r="AA122">
            <v>0.14565818715636225</v>
          </cell>
          <cell r="AB122">
            <v>0.12593513110475962</v>
          </cell>
          <cell r="AC122">
            <v>0.10954118641805</v>
          </cell>
          <cell r="AD122">
            <v>0.12794424748676603</v>
          </cell>
          <cell r="AE122">
            <v>0.154742727186582</v>
          </cell>
          <cell r="AF122">
            <v>0.12926897271772719</v>
          </cell>
          <cell r="AG122">
            <v>0.11652907156416936</v>
          </cell>
          <cell r="AH122">
            <v>0.17324776897623573</v>
          </cell>
          <cell r="AI122">
            <v>0.16811263481948724</v>
          </cell>
          <cell r="AJ122">
            <v>0.18172493024782543</v>
          </cell>
          <cell r="AK122">
            <v>0.16066757020833999</v>
          </cell>
          <cell r="AL122">
            <v>0.18852928965421789</v>
          </cell>
          <cell r="AM122">
            <v>8.3327635717215909E-2</v>
          </cell>
          <cell r="AN122">
            <v>6.0707703649096834E-2</v>
          </cell>
          <cell r="AO122">
            <v>-1.8402138814624935E-3</v>
          </cell>
          <cell r="AP122">
            <v>7.9652586366866229E-2</v>
          </cell>
          <cell r="AQ122">
            <v>2.64816940299748E-2</v>
          </cell>
          <cell r="AR122">
            <v>0.22201360071948129</v>
          </cell>
          <cell r="AS122">
            <v>0.23218195086353677</v>
          </cell>
          <cell r="AT122">
            <v>0.18982190065395854</v>
          </cell>
          <cell r="AU122">
            <v>0.16743101959370521</v>
          </cell>
          <cell r="AW122">
            <v>8.3327635717215909E-2</v>
          </cell>
          <cell r="AX122">
            <v>6.0707703649096834E-2</v>
          </cell>
          <cell r="AY122">
            <v>-1.8402138814624935E-3</v>
          </cell>
          <cell r="AZ122">
            <v>-0.72070677583311837</v>
          </cell>
          <cell r="BB122">
            <v>0.22201360071948129</v>
          </cell>
          <cell r="BC122">
            <v>0.23218195086353677</v>
          </cell>
          <cell r="BD122">
            <v>0.18982190065395854</v>
          </cell>
          <cell r="BE122">
            <v>0.12706412354761865</v>
          </cell>
          <cell r="BF122">
            <v>0.19234356911442596</v>
          </cell>
          <cell r="BG122">
            <v>-7.6017235469813427E-2</v>
          </cell>
          <cell r="BH122">
            <v>-2.1871503291784888E-2</v>
          </cell>
          <cell r="BI122">
            <v>-8.6955343961209186E-3</v>
          </cell>
          <cell r="BJ122">
            <v>-5.3049345151474636E-3</v>
          </cell>
          <cell r="BK122">
            <v>-2.9009224894551711E-2</v>
          </cell>
          <cell r="BL122">
            <v>-3.2930338302684437E-2</v>
          </cell>
          <cell r="BM122">
            <v>-2.7039466114371136E-2</v>
          </cell>
          <cell r="BN122">
            <v>-1.2641878669275908E-2</v>
          </cell>
          <cell r="BO122">
            <v>-4.2465096316493756E-2</v>
          </cell>
          <cell r="BP122">
            <v>-2.8972995372608557E-2</v>
          </cell>
          <cell r="BQ122">
            <v>-3.5802150940743682E-2</v>
          </cell>
          <cell r="BR122">
            <v>-6.122890248400592E-2</v>
          </cell>
          <cell r="BS122">
            <v>-5.094515110627873E-2</v>
          </cell>
          <cell r="BT122">
            <v>-1.2498226515845312E-2</v>
          </cell>
          <cell r="BU122">
            <v>-4.0044171918112048E-2</v>
          </cell>
          <cell r="BV122">
            <v>-2.2740601548754125E-3</v>
          </cell>
          <cell r="BW122">
            <v>5.1091330325570006E-2</v>
          </cell>
          <cell r="BX122">
            <v>3.3706934628975338E-2</v>
          </cell>
          <cell r="BY122">
            <v>-4.6367649747917072E-3</v>
          </cell>
          <cell r="BZ122">
            <v>1.8500505924209376E-2</v>
          </cell>
          <cell r="CA122">
            <v>-2.2420556375283396E-2</v>
          </cell>
          <cell r="CB122">
            <v>-2.4542407837071401E-2</v>
          </cell>
          <cell r="CC122">
            <v>-3.0124182133796196E-2</v>
          </cell>
          <cell r="CD122">
            <v>-4.3832508250825075E-2</v>
          </cell>
          <cell r="CE122">
            <v>-3.0086247882092798E-2</v>
          </cell>
          <cell r="CF122">
            <v>-4.7050841112748931E-2</v>
          </cell>
          <cell r="CG122">
            <v>-7.4596976068889598E-2</v>
          </cell>
          <cell r="CH122">
            <v>-2.9974798258788793E-2</v>
          </cell>
          <cell r="CI122">
            <v>-3.9066647362579032E-2</v>
          </cell>
          <cell r="CJ122">
            <v>-4.765503567625784E-2</v>
          </cell>
          <cell r="CK122">
            <v>-4.4010278120507618E-2</v>
          </cell>
          <cell r="CL122">
            <v>-4.04319344172972E-2</v>
          </cell>
          <cell r="CM122">
            <v>-6.4426183193917241E-2</v>
          </cell>
          <cell r="CN122">
            <v>-4.7065105933942197E-2</v>
          </cell>
          <cell r="CO122">
            <v>-4.8859070311521702E-2</v>
          </cell>
          <cell r="CP122">
            <v>-2.1107389310467295E-2</v>
          </cell>
          <cell r="CQ122">
            <v>-2.0967222593863299E-2</v>
          </cell>
          <cell r="CR122">
            <v>-1.9348997449466165E-2</v>
          </cell>
          <cell r="CS122">
            <v>-1.9464055323167528E-2</v>
          </cell>
          <cell r="CT122">
            <v>-2.0245533316715969E-2</v>
          </cell>
          <cell r="CU122">
            <v>7.8482381632065668E-3</v>
          </cell>
          <cell r="CV122">
            <v>9.8550395238619082E-3</v>
          </cell>
          <cell r="CW122">
            <v>1.0248361613903967E-2</v>
          </cell>
          <cell r="CX122">
            <v>7.9399070473891165E-3</v>
          </cell>
          <cell r="CY122">
            <v>8.942881888129639E-3</v>
          </cell>
          <cell r="CZ122">
            <v>1.4848580826678726E-2</v>
          </cell>
          <cell r="DA122">
            <v>1.4937266668610727E-2</v>
          </cell>
          <cell r="DB122">
            <v>1.5061198122912733E-2</v>
          </cell>
          <cell r="DC122">
            <v>1.4818063681018012E-2</v>
          </cell>
          <cell r="DD122">
            <v>1.4914319584513391E-2</v>
          </cell>
          <cell r="DE122">
            <v>1.6098109064115462E-2</v>
          </cell>
          <cell r="DF122">
            <v>1.4245618570593477E-2</v>
          </cell>
          <cell r="DG122">
            <v>1.4329389194630338E-2</v>
          </cell>
          <cell r="DH122">
            <v>1.2210868928167695E-2</v>
          </cell>
          <cell r="DI122">
            <v>1.4267932851227405E-2</v>
          </cell>
        </row>
        <row r="124">
          <cell r="B124" t="str">
            <v>Adjusted Admissions</v>
          </cell>
          <cell r="R124" t="str">
            <v>ND</v>
          </cell>
          <cell r="S124" t="str">
            <v>ND</v>
          </cell>
          <cell r="T124" t="str">
            <v>ND</v>
          </cell>
          <cell r="U124">
            <v>60571</v>
          </cell>
          <cell r="V124">
            <v>246771</v>
          </cell>
          <cell r="W124">
            <v>61817</v>
          </cell>
          <cell r="X124">
            <v>67661</v>
          </cell>
          <cell r="Y124">
            <v>64455</v>
          </cell>
          <cell r="Z124">
            <v>67376</v>
          </cell>
          <cell r="AA124">
            <v>261309</v>
          </cell>
          <cell r="AB124">
            <v>72084</v>
          </cell>
          <cell r="AC124">
            <v>77352</v>
          </cell>
          <cell r="AD124">
            <v>73987</v>
          </cell>
          <cell r="AE124">
            <v>78358</v>
          </cell>
          <cell r="AF124">
            <v>301781</v>
          </cell>
          <cell r="AG124">
            <v>80076</v>
          </cell>
          <cell r="AH124">
            <v>90967</v>
          </cell>
          <cell r="AI124">
            <v>86997</v>
          </cell>
          <cell r="AJ124">
            <v>93348</v>
          </cell>
          <cell r="AK124">
            <v>351388</v>
          </cell>
          <cell r="AL124">
            <v>95035</v>
          </cell>
          <cell r="AM124">
            <v>98579</v>
          </cell>
          <cell r="AN124">
            <v>93928</v>
          </cell>
          <cell r="AO124">
            <v>94092</v>
          </cell>
          <cell r="AP124">
            <v>381634</v>
          </cell>
          <cell r="AQ124">
            <v>99550</v>
          </cell>
          <cell r="AR124">
            <v>125020</v>
          </cell>
          <cell r="AS124">
            <v>118792</v>
          </cell>
          <cell r="AT124">
            <v>116488</v>
          </cell>
          <cell r="AU124">
            <v>459850</v>
          </cell>
          <cell r="AW124">
            <v>98579</v>
          </cell>
          <cell r="AX124">
            <v>93928</v>
          </cell>
          <cell r="AY124">
            <v>94092</v>
          </cell>
          <cell r="AZ124">
            <v>99550</v>
          </cell>
          <cell r="BA124">
            <v>386149</v>
          </cell>
          <cell r="BB124">
            <v>125020</v>
          </cell>
          <cell r="BC124">
            <v>118792</v>
          </cell>
          <cell r="BD124">
            <v>116488</v>
          </cell>
          <cell r="BE124">
            <v>115896</v>
          </cell>
          <cell r="BF124">
            <v>476196</v>
          </cell>
          <cell r="BG124">
            <v>125392</v>
          </cell>
          <cell r="BH124">
            <v>128209</v>
          </cell>
          <cell r="BI124">
            <v>123410</v>
          </cell>
          <cell r="BJ124">
            <v>126042</v>
          </cell>
          <cell r="BK124">
            <v>503053</v>
          </cell>
          <cell r="BL124">
            <v>135303</v>
          </cell>
          <cell r="BM124">
            <v>130120</v>
          </cell>
          <cell r="BN124">
            <v>131811</v>
          </cell>
          <cell r="BO124">
            <v>131986</v>
          </cell>
          <cell r="BP124">
            <v>529220</v>
          </cell>
          <cell r="BQ124">
            <v>138424</v>
          </cell>
          <cell r="BR124">
            <v>129749</v>
          </cell>
          <cell r="BS124">
            <v>129168</v>
          </cell>
          <cell r="BT124">
            <v>132965</v>
          </cell>
          <cell r="BU124">
            <v>530306</v>
          </cell>
          <cell r="BV124">
            <v>140649</v>
          </cell>
          <cell r="BW124">
            <v>135801</v>
          </cell>
          <cell r="BX124">
            <v>135033</v>
          </cell>
          <cell r="BY124">
            <v>134520</v>
          </cell>
          <cell r="BZ124">
            <v>546003</v>
          </cell>
          <cell r="CA124">
            <v>141786</v>
          </cell>
          <cell r="CB124">
            <v>137657</v>
          </cell>
          <cell r="CC124">
            <v>134591</v>
          </cell>
          <cell r="CD124">
            <v>135074</v>
          </cell>
          <cell r="CE124">
            <v>549108</v>
          </cell>
          <cell r="CF124">
            <v>146899</v>
          </cell>
          <cell r="CG124">
            <v>139201</v>
          </cell>
          <cell r="CH124">
            <v>145354</v>
          </cell>
          <cell r="CI124">
            <v>149947</v>
          </cell>
          <cell r="CJ124">
            <v>581401</v>
          </cell>
          <cell r="CK124">
            <v>158659</v>
          </cell>
          <cell r="CL124">
            <v>151908</v>
          </cell>
          <cell r="CM124">
            <v>151620</v>
          </cell>
          <cell r="CN124">
            <v>169028.22526628934</v>
          </cell>
          <cell r="CO124">
            <v>631215.22526628932</v>
          </cell>
          <cell r="CP124">
            <v>177632.28219156279</v>
          </cell>
          <cell r="CQ124">
            <v>172557.08177042587</v>
          </cell>
          <cell r="CR124">
            <v>171297.30139851652</v>
          </cell>
          <cell r="CS124">
            <v>175196.81466000396</v>
          </cell>
          <cell r="CT124">
            <v>696683.4800205091</v>
          </cell>
          <cell r="CU124">
            <v>184714.99160510188</v>
          </cell>
          <cell r="CV124">
            <v>177494.79205689771</v>
          </cell>
          <cell r="CW124">
            <v>176287.16185464236</v>
          </cell>
          <cell r="CX124">
            <v>179915.84086666818</v>
          </cell>
          <cell r="CY124">
            <v>718412.7863833101</v>
          </cell>
          <cell r="CZ124">
            <v>190492.84089777336</v>
          </cell>
          <cell r="DA124">
            <v>183160.84783720982</v>
          </cell>
          <cell r="DB124">
            <v>181954.53456557196</v>
          </cell>
          <cell r="DC124">
            <v>185666.29038930149</v>
          </cell>
          <cell r="DD124">
            <v>741274.51368985663</v>
          </cell>
          <cell r="DE124">
            <v>196704.61017844602</v>
          </cell>
          <cell r="DF124">
            <v>188893.37482844325</v>
          </cell>
          <cell r="DG124">
            <v>187683.71857672514</v>
          </cell>
          <cell r="DH124">
            <v>191145.62926055017</v>
          </cell>
          <cell r="DI124">
            <v>764427.33284416457</v>
          </cell>
        </row>
        <row r="125">
          <cell r="B125" t="str">
            <v>y/y change - restated</v>
          </cell>
          <cell r="R125" t="str">
            <v>NM</v>
          </cell>
          <cell r="S125" t="str">
            <v>NM</v>
          </cell>
          <cell r="T125" t="str">
            <v>NM</v>
          </cell>
          <cell r="U125" t="str">
            <v>NM</v>
          </cell>
          <cell r="V125" t="str">
            <v>NM</v>
          </cell>
          <cell r="W125" t="str">
            <v>NM</v>
          </cell>
          <cell r="X125" t="str">
            <v>NM</v>
          </cell>
          <cell r="Y125" t="str">
            <v>NM</v>
          </cell>
          <cell r="Z125" t="str">
            <v>NM</v>
          </cell>
          <cell r="AA125" t="str">
            <v>NM</v>
          </cell>
          <cell r="AB125" t="str">
            <v>NM</v>
          </cell>
          <cell r="AC125" t="str">
            <v>NM</v>
          </cell>
          <cell r="AD125">
            <v>3.1853618398114403E-2</v>
          </cell>
          <cell r="AE125" t="str">
            <v>NM</v>
          </cell>
          <cell r="AF125" t="str">
            <v>NM</v>
          </cell>
          <cell r="AG125">
            <v>4.7046209367399783E-2</v>
          </cell>
          <cell r="AH125">
            <v>2.4137892212602541E-2</v>
          </cell>
          <cell r="AI125">
            <v>1.5347447538572867E-2</v>
          </cell>
          <cell r="AJ125">
            <v>2.9127069874098632E-2</v>
          </cell>
          <cell r="AK125">
            <v>0.11114694898478672</v>
          </cell>
          <cell r="AL125">
            <v>3.9394966806295395E-2</v>
          </cell>
          <cell r="AM125">
            <v>4.104887424492043E-2</v>
          </cell>
          <cell r="AN125">
            <v>2.6569177131490651E-2</v>
          </cell>
          <cell r="AO125">
            <v>4.4657097288669512E-4</v>
          </cell>
          <cell r="AP125">
            <v>2.9965104134336951E-2</v>
          </cell>
          <cell r="AQ125">
            <v>-6.3481923622062952E-3</v>
          </cell>
          <cell r="AR125">
            <v>3.2847559565116757E-2</v>
          </cell>
          <cell r="AS125">
            <v>3.4007920964442606E-2</v>
          </cell>
          <cell r="AT125">
            <v>2.7856455868209062E-2</v>
          </cell>
          <cell r="AU125">
            <v>0.16467846921459861</v>
          </cell>
          <cell r="AW125">
            <v>4.104887424492043E-2</v>
          </cell>
          <cell r="AX125">
            <v>2.6569177131490651E-2</v>
          </cell>
          <cell r="AY125">
            <v>4.4657097288669512E-4</v>
          </cell>
          <cell r="AZ125">
            <v>-6.3481923622062952E-3</v>
          </cell>
          <cell r="BB125">
            <v>3.2847559565116757E-2</v>
          </cell>
          <cell r="BC125">
            <v>3.4007920964442606E-2</v>
          </cell>
          <cell r="BD125">
            <v>2.7856455868209062E-2</v>
          </cell>
          <cell r="BE125">
            <v>7.2531343902193512E-4</v>
          </cell>
          <cell r="BF125">
            <v>2.3918877077097722E-2</v>
          </cell>
          <cell r="BG125">
            <v>-1.4095835755639774E-3</v>
          </cell>
          <cell r="BH125">
            <v>-1.2308459339238631E-3</v>
          </cell>
          <cell r="BI125">
            <v>-1.2544005179460083E-3</v>
          </cell>
          <cell r="BJ125">
            <v>2.5156772320230392E-2</v>
          </cell>
          <cell r="BK125">
            <v>8.1739029461918467E-2</v>
          </cell>
          <cell r="BL125">
            <v>6.1198691255204274E-3</v>
          </cell>
          <cell r="BM125">
            <v>1.9925065450155932E-2</v>
          </cell>
          <cell r="BN125">
            <v>1.8545564132878889E-2</v>
          </cell>
          <cell r="BO125">
            <v>1.5894274212790771E-2</v>
          </cell>
          <cell r="BP125">
            <v>5.1343431835112918E-2</v>
          </cell>
          <cell r="BQ125">
            <v>1.2456023580869058E-2</v>
          </cell>
          <cell r="BR125">
            <v>-1.4694268096351881E-2</v>
          </cell>
          <cell r="BS125">
            <v>-9.9641291351135752E-3</v>
          </cell>
          <cell r="BT125">
            <v>1.1356030181331356E-2</v>
          </cell>
          <cell r="BU125">
            <v>2.7948595762705697E-3</v>
          </cell>
          <cell r="BV125">
            <v>9.5363484325505787E-4</v>
          </cell>
          <cell r="BW125">
            <v>4.7475433102448283E-2</v>
          </cell>
          <cell r="BX125">
            <v>6.9678461940635428E-2</v>
          </cell>
          <cell r="BY125">
            <v>3.9414614546550375E-2</v>
          </cell>
          <cell r="BZ125">
            <v>5.1204546723474964E-2</v>
          </cell>
          <cell r="CA125">
            <v>3.1320919406459202E-2</v>
          </cell>
          <cell r="CB125">
            <v>3.7206428619866116E-2</v>
          </cell>
          <cell r="CC125">
            <v>-3.273273940444188E-3</v>
          </cell>
          <cell r="CD125">
            <v>7.1864095364393421E-4</v>
          </cell>
          <cell r="CE125">
            <v>2.6529349413086489E-2</v>
          </cell>
          <cell r="CF125">
            <v>-3.162216265734763E-3</v>
          </cell>
          <cell r="CG125">
            <v>-2.8861851009502004E-2</v>
          </cell>
          <cell r="CH125">
            <v>8.4713424406623883E-3</v>
          </cell>
          <cell r="CI125">
            <v>-1.0564309657666193E-2</v>
          </cell>
          <cell r="CJ125">
            <v>-7.9496979831417125E-3</v>
          </cell>
          <cell r="CK125">
            <v>-2.4207137647443977E-3</v>
          </cell>
          <cell r="CL125">
            <v>-2.0234403742050988E-3</v>
          </cell>
          <cell r="CM125">
            <v>-2.2418228592429257E-2</v>
          </cell>
        </row>
        <row r="126">
          <cell r="B126" t="str">
            <v>y/y change - reported</v>
          </cell>
          <cell r="R126" t="str">
            <v>NM</v>
          </cell>
          <cell r="S126" t="str">
            <v>NM</v>
          </cell>
          <cell r="T126" t="str">
            <v>NM</v>
          </cell>
          <cell r="U126" t="str">
            <v>NM</v>
          </cell>
          <cell r="V126" t="str">
            <v>NM</v>
          </cell>
          <cell r="W126" t="str">
            <v>NM</v>
          </cell>
          <cell r="X126" t="str">
            <v>NM</v>
          </cell>
          <cell r="Y126" t="str">
            <v>NM</v>
          </cell>
          <cell r="Z126">
            <v>0.11234749302471481</v>
          </cell>
          <cell r="AA126">
            <v>5.8912919265229791E-2</v>
          </cell>
          <cell r="AB126">
            <v>0.16608699872203436</v>
          </cell>
          <cell r="AC126">
            <v>0.14322874329377333</v>
          </cell>
          <cell r="AD126">
            <v>0.14788612210069041</v>
          </cell>
          <cell r="AE126">
            <v>0.16299572548088337</v>
          </cell>
          <cell r="AF126">
            <v>0.15488176832791822</v>
          </cell>
          <cell r="AG126">
            <v>0.11087065090727477</v>
          </cell>
          <cell r="AH126">
            <v>0.17601354845382144</v>
          </cell>
          <cell r="AI126">
            <v>0.17584170192060777</v>
          </cell>
          <cell r="AJ126">
            <v>0.19130146251818569</v>
          </cell>
          <cell r="AK126">
            <v>0.16438079269403971</v>
          </cell>
          <cell r="AL126">
            <v>0.18681003047105249</v>
          </cell>
          <cell r="AM126">
            <v>8.3678696670220987E-2</v>
          </cell>
          <cell r="AN126">
            <v>7.9669413887835105E-2</v>
          </cell>
          <cell r="AO126">
            <v>7.970176115181804E-3</v>
          </cell>
          <cell r="AP126">
            <v>8.6075790863660684E-2</v>
          </cell>
          <cell r="AQ126">
            <v>4.7508812542747414E-2</v>
          </cell>
          <cell r="AR126">
            <v>0.2682214264701408</v>
          </cell>
          <cell r="AS126">
            <v>0.26471339749595435</v>
          </cell>
          <cell r="AT126">
            <v>0.23802236109339803</v>
          </cell>
          <cell r="AU126">
            <v>0.20495029268880649</v>
          </cell>
          <cell r="AW126">
            <v>8.3678696670220987E-2</v>
          </cell>
          <cell r="AX126">
            <v>7.9669413887835105E-2</v>
          </cell>
          <cell r="AY126">
            <v>7.970176115181804E-3</v>
          </cell>
          <cell r="AZ126">
            <v>4.7508812542747414E-2</v>
          </cell>
          <cell r="BB126">
            <v>3.2847559565116757E-2</v>
          </cell>
          <cell r="BC126">
            <v>3.4728452593528081E-2</v>
          </cell>
          <cell r="BD126">
            <v>1.5137122988035046E-2</v>
          </cell>
          <cell r="BE126">
            <v>-1.1025019626582977E-2</v>
          </cell>
          <cell r="BF126">
            <v>1.7973954013356552E-2</v>
          </cell>
          <cell r="BG126">
            <v>-4.7433832690145561E-2</v>
          </cell>
          <cell r="BH126">
            <v>-3.5518318747765898E-3</v>
          </cell>
          <cell r="BI126">
            <v>-1.6637715342077142E-2</v>
          </cell>
          <cell r="BJ126">
            <v>8.5759207203772725E-4</v>
          </cell>
          <cell r="BK126">
            <v>-1.696389139670218E-2</v>
          </cell>
          <cell r="BL126">
            <v>-3.4735895899323688E-2</v>
          </cell>
          <cell r="BM126">
            <v>-3.4152062410463091E-2</v>
          </cell>
          <cell r="BN126">
            <v>1.1068667157584589E-2</v>
          </cell>
          <cell r="BO126">
            <v>-1.2908340313509625E-2</v>
          </cell>
          <cell r="BP126">
            <v>-1.8095526120974537E-2</v>
          </cell>
          <cell r="BQ126">
            <v>-2.5718267430566266E-2</v>
          </cell>
          <cell r="BR126">
            <v>-6.5060744498407486E-2</v>
          </cell>
          <cell r="BS126">
            <v>-2.768619303554487E-2</v>
          </cell>
          <cell r="BT126">
            <v>-1.3919995253704354E-2</v>
          </cell>
          <cell r="BU126">
            <v>-3.3248016567494987E-2</v>
          </cell>
          <cell r="BV126">
            <v>2.3160685271228498E-3</v>
          </cell>
          <cell r="BW126">
            <v>4.6643904769978928E-2</v>
          </cell>
          <cell r="BX126">
            <v>4.5405982905982967E-2</v>
          </cell>
          <cell r="BY126">
            <v>1.1694806904072541E-2</v>
          </cell>
          <cell r="BZ126">
            <v>2.5924172219027986E-2</v>
          </cell>
          <cell r="CA126">
            <v>8.0839536719066185E-3</v>
          </cell>
          <cell r="CB126">
            <v>1.3667056943615918E-2</v>
          </cell>
          <cell r="CC126">
            <v>-3.273273940444188E-3</v>
          </cell>
          <cell r="CD126">
            <v>-1.4511574969174768E-2</v>
          </cell>
          <cell r="CE126">
            <v>1.0245266577462164E-3</v>
          </cell>
          <cell r="CF126">
            <v>-1.3637279258712165E-2</v>
          </cell>
          <cell r="CG126">
            <v>-4.2732867998487079E-2</v>
          </cell>
          <cell r="CH126">
            <v>-7.1244629329836329E-3</v>
          </cell>
          <cell r="CI126">
            <v>-1.3662316476345859E-2</v>
          </cell>
          <cell r="CJ126">
            <v>-1.9172827051484043E-2</v>
          </cell>
          <cell r="CK126">
            <v>-6.1575274677090341E-3</v>
          </cell>
          <cell r="CL126">
            <v>-2.0234403742050988E-3</v>
          </cell>
          <cell r="CM126">
            <v>-2.2418228592429257E-2</v>
          </cell>
          <cell r="CN126">
            <v>-1.0152171023087853E-3</v>
          </cell>
          <cell r="CO126">
            <v>-7.7650489797466138E-3</v>
          </cell>
          <cell r="CP126">
            <v>-1.0275725244620615E-3</v>
          </cell>
          <cell r="CQ126">
            <v>2.108562263643643E-3</v>
          </cell>
          <cell r="CR126">
            <v>5.3328387157303148E-4</v>
          </cell>
          <cell r="CS126">
            <v>1.851187131994525E-2</v>
          </cell>
          <cell r="CT126">
            <v>4.9852886327756973E-3</v>
          </cell>
          <cell r="CU126">
            <v>2.5948853587515197E-2</v>
          </cell>
          <cell r="CV126">
            <v>2.8614938522436795E-2</v>
          </cell>
          <cell r="CW126">
            <v>2.9129825253447095E-2</v>
          </cell>
          <cell r="CX126">
            <v>2.6935570808306109E-2</v>
          </cell>
          <cell r="CY126">
            <v>2.7633624082127106E-2</v>
          </cell>
          <cell r="CZ126">
            <v>3.1279807028461448E-2</v>
          </cell>
          <cell r="DA126">
            <v>3.1922377635146493E-2</v>
          </cell>
          <cell r="DB126">
            <v>3.2148527727746012E-2</v>
          </cell>
          <cell r="DC126">
            <v>3.1961885595692685E-2</v>
          </cell>
          <cell r="DD126">
            <v>3.1822550683763273E-2</v>
          </cell>
          <cell r="DE126">
            <v>3.2608938222545403E-2</v>
          </cell>
          <cell r="DF126">
            <v>3.1297774928015221E-2</v>
          </cell>
          <cell r="DG126">
            <v>3.1486898772992822E-2</v>
          </cell>
          <cell r="DH126">
            <v>2.9511759295452578E-2</v>
          </cell>
          <cell r="DI126">
            <v>3.1233798986369798E-2</v>
          </cell>
        </row>
        <row r="128">
          <cell r="B128" t="str">
            <v>Adjustment Factor</v>
          </cell>
          <cell r="U128">
            <v>1.5720069554384781</v>
          </cell>
          <cell r="V128">
            <v>1.6771284295801929</v>
          </cell>
          <cell r="W128">
            <v>1.536398657884926</v>
          </cell>
          <cell r="X128">
            <v>1.5055182234880513</v>
          </cell>
          <cell r="Y128">
            <v>1.5651255402845903</v>
          </cell>
          <cell r="Z128">
            <v>1.5961338008149342</v>
          </cell>
          <cell r="AA128">
            <v>1.5501420766323981</v>
          </cell>
          <cell r="AB128">
            <v>1.5911880270186747</v>
          </cell>
          <cell r="AC128">
            <v>1.5512283164544269</v>
          </cell>
          <cell r="AD128">
            <v>1.5927967105121525</v>
          </cell>
          <cell r="AE128">
            <v>1.6075414409978663</v>
          </cell>
          <cell r="AF128">
            <v>1.5853006377323204</v>
          </cell>
          <cell r="AG128">
            <v>1.5831240979814556</v>
          </cell>
          <cell r="AH128">
            <v>1.554885136059073</v>
          </cell>
          <cell r="AI128">
            <v>1.6033357906376704</v>
          </cell>
          <cell r="AJ128">
            <v>1.6205687302524219</v>
          </cell>
          <cell r="AK128">
            <v>1.5903723517404627</v>
          </cell>
          <cell r="AL128">
            <v>1.5808340402881049</v>
          </cell>
          <cell r="AM128">
            <v>1.5553890089777371</v>
          </cell>
          <cell r="AN128">
            <v>1.631997776001668</v>
          </cell>
          <cell r="AO128">
            <v>1.6364964519270906</v>
          </cell>
          <cell r="AP128">
            <v>1.5998339942820252</v>
          </cell>
          <cell r="AQ128">
            <v>1.6132168727414153</v>
          </cell>
          <cell r="AR128">
            <v>1.614202711426727</v>
          </cell>
          <cell r="AS128">
            <v>1.6750849584725807</v>
          </cell>
          <cell r="AT128">
            <v>1.7027919894752228</v>
          </cell>
          <cell r="AU128">
            <v>1.6512499730686641</v>
          </cell>
          <cell r="AW128">
            <v>1.5553890089777371</v>
          </cell>
          <cell r="AX128">
            <v>1.631997776001668</v>
          </cell>
          <cell r="AY128">
            <v>1.6364964519270906</v>
          </cell>
          <cell r="AZ128">
            <v>1.6132168727414153</v>
          </cell>
          <cell r="BA128">
            <v>1.6080295496756032</v>
          </cell>
          <cell r="BB128">
            <v>1.614202711426727</v>
          </cell>
          <cell r="BC128">
            <v>1.6750849584725807</v>
          </cell>
          <cell r="BD128">
            <v>1.7027919894752228</v>
          </cell>
          <cell r="BE128">
            <v>1.6663695183321352</v>
          </cell>
          <cell r="BF128">
            <v>1.6631194403601477</v>
          </cell>
          <cell r="BG128">
            <v>1.6612172438462149</v>
          </cell>
          <cell r="BH128">
            <v>1.705428522021363</v>
          </cell>
          <cell r="BI128">
            <v>1.686182349806665</v>
          </cell>
          <cell r="BJ128">
            <v>1.6763356342018114</v>
          </cell>
          <cell r="BK128">
            <v>1.6822433344368757</v>
          </cell>
          <cell r="BL128">
            <v>1.6567038080078365</v>
          </cell>
          <cell r="BM128">
            <v>1.7097655839377695</v>
          </cell>
          <cell r="BN128">
            <v>1.7416656756649622</v>
          </cell>
          <cell r="BO128">
            <v>1.7400005273288159</v>
          </cell>
          <cell r="BP128">
            <v>1.7109751090333614</v>
          </cell>
          <cell r="BQ128">
            <v>1.681903234429297</v>
          </cell>
          <cell r="BR128">
            <v>1.757902152853988</v>
          </cell>
          <cell r="BS128">
            <v>1.7829063604240283</v>
          </cell>
          <cell r="BT128">
            <v>1.7366970559807737</v>
          </cell>
          <cell r="BU128">
            <v>1.7380186876681709</v>
          </cell>
          <cell r="BV128">
            <v>1.6872278403570016</v>
          </cell>
          <cell r="BW128">
            <v>1.7504640371229698</v>
          </cell>
          <cell r="BX128">
            <v>1.8030845239684872</v>
          </cell>
          <cell r="BY128">
            <v>1.7651921739472751</v>
          </cell>
          <cell r="BZ128">
            <v>1.7497964991443349</v>
          </cell>
          <cell r="CA128">
            <v>1.7398763068767487</v>
          </cell>
          <cell r="CB128">
            <v>1.819031132723717</v>
          </cell>
          <cell r="CC128">
            <v>1.8530027259960899</v>
          </cell>
          <cell r="CD128">
            <v>1.8211897314205587</v>
          </cell>
          <cell r="CE128">
            <v>1.8064545843339803</v>
          </cell>
          <cell r="CF128">
            <v>1.8033267861527129</v>
          </cell>
          <cell r="CG128">
            <v>1.8827228954771695</v>
          </cell>
          <cell r="CH128">
            <v>1.9072574825156474</v>
          </cell>
          <cell r="CI128">
            <v>1.8826683072596238</v>
          </cell>
          <cell r="CJ128">
            <v>1.8679370158681201</v>
          </cell>
          <cell r="CK128">
            <v>1.8786217512284649</v>
          </cell>
          <cell r="CL128">
            <v>1.9604067726615735</v>
          </cell>
          <cell r="CM128">
            <v>1.9906519969540215</v>
          </cell>
          <cell r="CN128">
            <v>2.0081112589078902</v>
          </cell>
          <cell r="CO128">
            <v>1.9585820370932254</v>
          </cell>
          <cell r="CP128">
            <v>1.9433108594358404</v>
          </cell>
          <cell r="CQ128">
            <v>2.0383800694582384</v>
          </cell>
          <cell r="CR128">
            <v>2.0622063741562711</v>
          </cell>
          <cell r="CS128">
            <v>2.0858849359194238</v>
          </cell>
          <cell r="CT128">
            <v>2.0304502801407067</v>
          </cell>
          <cell r="CU128">
            <v>1.9782120689479359</v>
          </cell>
          <cell r="CV128">
            <v>2.0762466965751112</v>
          </cell>
          <cell r="CW128">
            <v>2.1007488515809927</v>
          </cell>
          <cell r="CX128">
            <v>2.1251955819308077</v>
          </cell>
          <cell r="CY128">
            <v>2.0677447850393289</v>
          </cell>
          <cell r="CZ128">
            <v>2.010240935710998</v>
          </cell>
          <cell r="DA128">
            <v>2.1109929628650317</v>
          </cell>
          <cell r="DB128">
            <v>2.1361124218862311</v>
          </cell>
          <cell r="DC128">
            <v>2.1610975587426111</v>
          </cell>
          <cell r="DD128">
            <v>2.1021929212071453</v>
          </cell>
          <cell r="DE128">
            <v>2.042905837220732</v>
          </cell>
          <cell r="DF128">
            <v>2.1464843481992109</v>
          </cell>
          <cell r="DG128">
            <v>2.1722450329782474</v>
          </cell>
          <cell r="DH128">
            <v>2.1980354272090943</v>
          </cell>
          <cell r="DI128">
            <v>2.1373567300354339</v>
          </cell>
        </row>
        <row r="129">
          <cell r="AW129">
            <v>-0.23032527673654823</v>
          </cell>
          <cell r="AX129">
            <v>-0.33263876623801769</v>
          </cell>
          <cell r="AY129">
            <v>-0.28288934461801496</v>
          </cell>
          <cell r="AZ129">
            <v>-0.25245476904962927</v>
          </cell>
          <cell r="BA129">
            <v>-0.27249297125296112</v>
          </cell>
          <cell r="BB129">
            <v>-0.25146893036431761</v>
          </cell>
          <cell r="BC129">
            <v>-0.28186220395403394</v>
          </cell>
          <cell r="BD129">
            <v>-0.32560557644769816</v>
          </cell>
          <cell r="BE129" t="str">
            <v>NM</v>
          </cell>
          <cell r="BF129">
            <v>-0.28234799620477835</v>
          </cell>
          <cell r="BG129">
            <v>-0.31116934392498807</v>
          </cell>
          <cell r="BH129">
            <v>-0.28264304855517763</v>
          </cell>
          <cell r="BI129">
            <v>-0.21495833460398117</v>
          </cell>
          <cell r="BJ129">
            <v>-0.30386238560016854</v>
          </cell>
          <cell r="BK129">
            <v>-0.27802544714363298</v>
          </cell>
          <cell r="BL129">
            <v>-0.27379812249409419</v>
          </cell>
          <cell r="BM129">
            <v>-0.19863136262711611</v>
          </cell>
          <cell r="BN129">
            <v>-0.27853634453705811</v>
          </cell>
          <cell r="BO129">
            <v>-0.24412645679816825</v>
          </cell>
          <cell r="BP129">
            <v>-0.24920372069529995</v>
          </cell>
          <cell r="BQ129">
            <v>-0.20845593381266903</v>
          </cell>
          <cell r="BR129">
            <v>-0.19522284714601201</v>
          </cell>
          <cell r="BS129">
            <v>-0.2251257680900276</v>
          </cell>
          <cell r="BT129">
            <v>-0.16083615085034575</v>
          </cell>
          <cell r="BU129">
            <v>-0.19736479603211521</v>
          </cell>
          <cell r="BV129">
            <v>-0.19601133101776314</v>
          </cell>
          <cell r="BW129">
            <v>-0.14706916970814965</v>
          </cell>
          <cell r="BX129">
            <v>-0.20494760454556871</v>
          </cell>
          <cell r="BY129">
            <v>-0.22683969856268504</v>
          </cell>
          <cell r="BZ129">
            <v>-0.19195107367119912</v>
          </cell>
          <cell r="CA129">
            <v>-0.20564898495204531</v>
          </cell>
          <cell r="CB129">
            <v>-0.20936643319920356</v>
          </cell>
          <cell r="CC129">
            <v>-0.20885294410700261</v>
          </cell>
          <cell r="CD129">
            <v>-0.17481825261137729</v>
          </cell>
          <cell r="CE129">
            <v>-0.19999922327178332</v>
          </cell>
          <cell r="CF129">
            <v>-0.17295779882752416</v>
          </cell>
          <cell r="CG129">
            <v>-0.20932731372785174</v>
          </cell>
          <cell r="CH129">
            <v>-0.20690742234693227</v>
          </cell>
          <cell r="CI129">
            <v>-0.20938190194539708</v>
          </cell>
          <cell r="CJ129">
            <v>-0.19920663506173408</v>
          </cell>
          <cell r="CK129">
            <v>-0.24452049930232111</v>
          </cell>
          <cell r="CL129">
            <v>-0.24223639914459372</v>
          </cell>
          <cell r="CM129">
            <v>-0.25653901428193371</v>
          </cell>
          <cell r="CN129">
            <v>-0.24776530424294951</v>
          </cell>
          <cell r="CO129">
            <v>-0.24841260630159678</v>
          </cell>
          <cell r="CP129">
            <v>-0.24841260630159678</v>
          </cell>
          <cell r="CQ129">
            <v>-0.24841260630159678</v>
          </cell>
          <cell r="CR129">
            <v>-0.24841260630159678</v>
          </cell>
          <cell r="CS129">
            <v>-0.24841260630159678</v>
          </cell>
          <cell r="CT129">
            <v>-0.24918193742173278</v>
          </cell>
          <cell r="CU129">
            <v>-0.24918193742173278</v>
          </cell>
          <cell r="CV129">
            <v>-0.24918193742173278</v>
          </cell>
          <cell r="CW129">
            <v>-0.24918193742173278</v>
          </cell>
          <cell r="CX129">
            <v>-0.24918193742173278</v>
          </cell>
          <cell r="CY129">
            <v>-0.24990808830349875</v>
          </cell>
          <cell r="CZ129">
            <v>-0.24990808830349875</v>
          </cell>
          <cell r="DA129">
            <v>-0.24990808830349875</v>
          </cell>
          <cell r="DB129">
            <v>-0.24990808830349875</v>
          </cell>
          <cell r="DC129">
            <v>-0.24990808830349875</v>
          </cell>
          <cell r="DD129">
            <v>-0.2506519919872634</v>
          </cell>
          <cell r="DE129">
            <v>-0.2506519919872634</v>
          </cell>
          <cell r="DF129">
            <v>-0.2506519919872634</v>
          </cell>
          <cell r="DG129">
            <v>-0.2506519919872634</v>
          </cell>
          <cell r="DH129">
            <v>-0.2506519919872634</v>
          </cell>
          <cell r="DI129">
            <v>-0.25139387805126079</v>
          </cell>
        </row>
        <row r="130">
          <cell r="B130" t="str">
            <v>Outpatient Visits</v>
          </cell>
          <cell r="R130" t="str">
            <v>NM</v>
          </cell>
          <cell r="S130" t="str">
            <v>NM</v>
          </cell>
          <cell r="T130" t="str">
            <v>NM</v>
          </cell>
          <cell r="U130">
            <v>22040</v>
          </cell>
          <cell r="V130">
            <v>99632</v>
          </cell>
          <cell r="W130">
            <v>21582</v>
          </cell>
          <cell r="X130">
            <v>22719</v>
          </cell>
          <cell r="Y130">
            <v>23273</v>
          </cell>
          <cell r="Z130">
            <v>25164</v>
          </cell>
          <cell r="AA130">
            <v>92738</v>
          </cell>
          <cell r="AB130">
            <v>26782</v>
          </cell>
          <cell r="AC130">
            <v>27487</v>
          </cell>
          <cell r="AD130">
            <v>27536</v>
          </cell>
          <cell r="AE130">
            <v>29614</v>
          </cell>
          <cell r="AF130">
            <v>111419</v>
          </cell>
          <cell r="AG130">
            <v>29495</v>
          </cell>
          <cell r="AH130">
            <v>32463</v>
          </cell>
          <cell r="AI130">
            <v>32737</v>
          </cell>
          <cell r="AJ130">
            <v>35746</v>
          </cell>
          <cell r="AK130">
            <v>130441</v>
          </cell>
          <cell r="AL130">
            <v>34918</v>
          </cell>
          <cell r="AM130">
            <v>35200</v>
          </cell>
          <cell r="AN130">
            <v>36374</v>
          </cell>
          <cell r="AO130">
            <v>36596</v>
          </cell>
          <cell r="AP130">
            <v>143088</v>
          </cell>
          <cell r="AQ130">
            <v>37841</v>
          </cell>
          <cell r="AR130">
            <v>47570</v>
          </cell>
          <cell r="AS130">
            <v>47875</v>
          </cell>
          <cell r="AT130">
            <v>48078</v>
          </cell>
          <cell r="AU130">
            <v>181364</v>
          </cell>
          <cell r="AW130">
            <v>35200</v>
          </cell>
          <cell r="AX130">
            <v>36374</v>
          </cell>
          <cell r="AY130">
            <v>36596</v>
          </cell>
          <cell r="AZ130">
            <v>37841</v>
          </cell>
          <cell r="BA130">
            <v>146011</v>
          </cell>
          <cell r="BB130">
            <v>47570</v>
          </cell>
          <cell r="BC130">
            <v>47875</v>
          </cell>
          <cell r="BD130">
            <v>48078</v>
          </cell>
          <cell r="BE130">
            <v>46346</v>
          </cell>
          <cell r="BF130">
            <v>189869</v>
          </cell>
          <cell r="BG130">
            <v>49910</v>
          </cell>
          <cell r="BH130">
            <v>53032</v>
          </cell>
          <cell r="BI130">
            <v>50221</v>
          </cell>
          <cell r="BJ130">
            <v>50853</v>
          </cell>
          <cell r="BK130">
            <v>204016</v>
          </cell>
          <cell r="BL130">
            <v>53633</v>
          </cell>
          <cell r="BM130">
            <v>54016</v>
          </cell>
          <cell r="BN130">
            <v>56130</v>
          </cell>
          <cell r="BO130">
            <v>56132</v>
          </cell>
          <cell r="BP130">
            <v>219911</v>
          </cell>
          <cell r="BQ130">
            <v>56122</v>
          </cell>
          <cell r="BR130">
            <v>55940</v>
          </cell>
          <cell r="BS130">
            <v>56720</v>
          </cell>
          <cell r="BT130">
            <v>56403</v>
          </cell>
          <cell r="BU130">
            <v>225185</v>
          </cell>
          <cell r="BV130">
            <v>57288</v>
          </cell>
          <cell r="BW130">
            <v>58221</v>
          </cell>
          <cell r="BX130">
            <v>60143</v>
          </cell>
          <cell r="BY130">
            <v>58313</v>
          </cell>
          <cell r="BZ130">
            <v>233965</v>
          </cell>
          <cell r="CA130">
            <v>60294</v>
          </cell>
          <cell r="CB130">
            <v>61981</v>
          </cell>
          <cell r="CC130">
            <v>61957</v>
          </cell>
          <cell r="CD130">
            <v>60906</v>
          </cell>
          <cell r="CE130">
            <v>245138</v>
          </cell>
          <cell r="CF130">
            <v>65439</v>
          </cell>
          <cell r="CG130">
            <v>65265</v>
          </cell>
          <cell r="CH130">
            <v>69143</v>
          </cell>
          <cell r="CI130">
            <v>70301</v>
          </cell>
          <cell r="CJ130">
            <v>270148</v>
          </cell>
          <cell r="CK130">
            <v>74204</v>
          </cell>
          <cell r="CL130">
            <v>74420</v>
          </cell>
          <cell r="CM130">
            <v>75454</v>
          </cell>
          <cell r="CN130">
            <v>84855.486073434455</v>
          </cell>
          <cell r="CO130">
            <v>308933.48607343447</v>
          </cell>
          <cell r="CP130">
            <v>86225.247990595599</v>
          </cell>
          <cell r="CQ130">
            <v>87903.054606449441</v>
          </cell>
          <cell r="CR130">
            <v>88232.238878476099</v>
          </cell>
          <cell r="CS130">
            <v>91205.213952278398</v>
          </cell>
          <cell r="CT130">
            <v>353565.75542779954</v>
          </cell>
          <cell r="CU130">
            <v>91340.274857297351</v>
          </cell>
          <cell r="CV130">
            <v>92006.496109366228</v>
          </cell>
          <cell r="CW130">
            <v>92370.818536415027</v>
          </cell>
          <cell r="CX130">
            <v>95257.354656561845</v>
          </cell>
          <cell r="CY130">
            <v>370974.94415964046</v>
          </cell>
          <cell r="CZ130">
            <v>95731.642121170822</v>
          </cell>
          <cell r="DA130">
            <v>96395.590416064937</v>
          </cell>
          <cell r="DB130">
            <v>96774.310574878444</v>
          </cell>
          <cell r="DC130">
            <v>99753.329339395219</v>
          </cell>
          <cell r="DD130">
            <v>388654.87245150941</v>
          </cell>
          <cell r="DE130">
            <v>100417.9352888914</v>
          </cell>
          <cell r="DF130">
            <v>100892.09264489739</v>
          </cell>
          <cell r="DG130">
            <v>101282.91400478319</v>
          </cell>
          <cell r="DH130">
            <v>104183.59630403272</v>
          </cell>
          <cell r="DI130">
            <v>406776.5382426047</v>
          </cell>
        </row>
        <row r="131">
          <cell r="B131" t="str">
            <v>Surgeries (same-store)</v>
          </cell>
          <cell r="R131">
            <v>33297</v>
          </cell>
          <cell r="S131">
            <v>35067</v>
          </cell>
          <cell r="T131">
            <v>36801</v>
          </cell>
          <cell r="U131">
            <v>38277</v>
          </cell>
          <cell r="V131">
            <v>143442</v>
          </cell>
          <cell r="W131">
            <v>37019</v>
          </cell>
          <cell r="X131">
            <v>39242</v>
          </cell>
          <cell r="Y131">
            <v>39850</v>
          </cell>
          <cell r="Z131">
            <v>41255</v>
          </cell>
          <cell r="AA131">
            <v>157366</v>
          </cell>
          <cell r="AB131">
            <v>43287</v>
          </cell>
          <cell r="AC131">
            <v>44779</v>
          </cell>
          <cell r="AD131">
            <v>45138</v>
          </cell>
          <cell r="AE131">
            <v>46351</v>
          </cell>
          <cell r="AF131">
            <v>179555</v>
          </cell>
          <cell r="AG131">
            <v>46346</v>
          </cell>
          <cell r="AH131">
            <v>50993</v>
          </cell>
          <cell r="AI131">
            <v>50701</v>
          </cell>
          <cell r="AJ131">
            <v>51787</v>
          </cell>
          <cell r="AK131">
            <v>199827</v>
          </cell>
          <cell r="AL131">
            <v>50962</v>
          </cell>
          <cell r="AM131">
            <v>53145</v>
          </cell>
          <cell r="AN131">
            <v>51781</v>
          </cell>
          <cell r="AO131">
            <v>51184</v>
          </cell>
          <cell r="AP131">
            <v>207072</v>
          </cell>
          <cell r="AQ131">
            <v>53985</v>
          </cell>
          <cell r="AR131">
            <v>63335</v>
          </cell>
          <cell r="AS131">
            <v>64658</v>
          </cell>
          <cell r="AT131">
            <v>62555</v>
          </cell>
          <cell r="AU131">
            <v>244533</v>
          </cell>
          <cell r="AW131">
            <v>53145</v>
          </cell>
          <cell r="AX131">
            <v>51781</v>
          </cell>
          <cell r="AY131">
            <v>51184</v>
          </cell>
          <cell r="AZ131">
            <v>53985</v>
          </cell>
          <cell r="BA131">
            <v>210095</v>
          </cell>
          <cell r="BB131">
            <v>63335</v>
          </cell>
          <cell r="BC131">
            <v>64658</v>
          </cell>
          <cell r="BD131">
            <v>62555</v>
          </cell>
          <cell r="BE131">
            <v>61973</v>
          </cell>
          <cell r="BF131">
            <v>252521</v>
          </cell>
          <cell r="BG131">
            <v>65303</v>
          </cell>
          <cell r="BH131">
            <v>68724</v>
          </cell>
          <cell r="BI131">
            <v>65970</v>
          </cell>
          <cell r="BJ131">
            <v>67003</v>
          </cell>
          <cell r="BK131">
            <v>267000</v>
          </cell>
          <cell r="BL131">
            <v>69549</v>
          </cell>
          <cell r="BM131">
            <v>68967</v>
          </cell>
          <cell r="BN131">
            <v>69768</v>
          </cell>
          <cell r="BO131">
            <v>68929</v>
          </cell>
          <cell r="BP131">
            <v>277213</v>
          </cell>
          <cell r="BQ131">
            <v>69800</v>
          </cell>
          <cell r="BR131">
            <v>69649</v>
          </cell>
          <cell r="BS131">
            <v>67518</v>
          </cell>
          <cell r="BT131">
            <v>67898</v>
          </cell>
          <cell r="BU131">
            <v>274865</v>
          </cell>
          <cell r="BV131">
            <v>68347</v>
          </cell>
          <cell r="BW131">
            <v>68994</v>
          </cell>
          <cell r="BX131">
            <v>66337</v>
          </cell>
          <cell r="BY131">
            <v>66774</v>
          </cell>
          <cell r="BZ131">
            <v>270452</v>
          </cell>
          <cell r="CA131">
            <v>76018</v>
          </cell>
          <cell r="CB131">
            <v>76402</v>
          </cell>
          <cell r="CC131">
            <v>75264</v>
          </cell>
          <cell r="CD131">
            <v>74477</v>
          </cell>
          <cell r="CE131">
            <v>302161</v>
          </cell>
          <cell r="CF131">
            <v>78527</v>
          </cell>
          <cell r="CG131">
            <v>78233</v>
          </cell>
          <cell r="CH131">
            <v>78108</v>
          </cell>
          <cell r="CI131">
            <v>81502</v>
          </cell>
          <cell r="CJ131">
            <v>316370</v>
          </cell>
          <cell r="CK131">
            <v>85943</v>
          </cell>
          <cell r="CL131">
            <v>84893</v>
          </cell>
          <cell r="CM131">
            <v>82322</v>
          </cell>
          <cell r="CO131">
            <v>253158</v>
          </cell>
        </row>
        <row r="132">
          <cell r="B132" t="str">
            <v>y/y change - restated</v>
          </cell>
          <cell r="R132" t="str">
            <v>NM</v>
          </cell>
          <cell r="S132" t="str">
            <v>NM</v>
          </cell>
          <cell r="T132" t="str">
            <v>NM</v>
          </cell>
          <cell r="U132" t="str">
            <v>NM</v>
          </cell>
          <cell r="V132" t="str">
            <v>NM</v>
          </cell>
          <cell r="W132" t="str">
            <v>NM</v>
          </cell>
          <cell r="X132" t="str">
            <v>NM</v>
          </cell>
          <cell r="Y132" t="str">
            <v>NM</v>
          </cell>
          <cell r="Z132" t="str">
            <v>NM</v>
          </cell>
          <cell r="AA132" t="str">
            <v>NM</v>
          </cell>
          <cell r="AB132" t="str">
            <v>NM</v>
          </cell>
          <cell r="AC132" t="str">
            <v>NM</v>
          </cell>
          <cell r="AD132" t="str">
            <v>NM</v>
          </cell>
          <cell r="AE132" t="str">
            <v>NM</v>
          </cell>
          <cell r="AF132" t="str">
            <v>NM</v>
          </cell>
          <cell r="AG132" t="str">
            <v>NM</v>
          </cell>
          <cell r="AH132">
            <v>5.105057752197828E-3</v>
          </cell>
          <cell r="AI132" t="str">
            <v>NM</v>
          </cell>
          <cell r="AJ132">
            <v>8.3923981618505561E-3</v>
          </cell>
          <cell r="AK132">
            <v>6.7297985867422971E-2</v>
          </cell>
          <cell r="AL132">
            <v>-1.3969507004101822E-2</v>
          </cell>
          <cell r="AM132">
            <v>8.6630633345263774E-4</v>
          </cell>
          <cell r="AN132">
            <v>-1.7027981320475338E-2</v>
          </cell>
          <cell r="AO132">
            <v>-2.5010953006838532E-2</v>
          </cell>
          <cell r="AP132">
            <v>-1.2936992935658198E-2</v>
          </cell>
          <cell r="AQ132">
            <v>2.2927522501184239E-2</v>
          </cell>
          <cell r="AR132">
            <v>1.7560489701487825E-2</v>
          </cell>
          <cell r="AS132">
            <v>7.2129734031969317E-2</v>
          </cell>
          <cell r="AT132">
            <v>5.9159174412895199E-2</v>
          </cell>
          <cell r="AU132">
            <v>0.15662189007662475</v>
          </cell>
          <cell r="AW132">
            <v>8.6630633345263774E-4</v>
          </cell>
          <cell r="AX132">
            <v>-1.7027981320475338E-2</v>
          </cell>
          <cell r="AY132">
            <v>-2.5010953006838532E-2</v>
          </cell>
          <cell r="AZ132">
            <v>2.2927522501184239E-2</v>
          </cell>
          <cell r="BB132">
            <v>1.7560489701487825E-2</v>
          </cell>
          <cell r="BC132">
            <v>7.2129734031969317E-2</v>
          </cell>
          <cell r="BD132">
            <v>5.9159174412895199E-2</v>
          </cell>
          <cell r="BE132">
            <v>2.0501251482018201E-2</v>
          </cell>
          <cell r="BF132">
            <v>4.2015523708524016E-2</v>
          </cell>
          <cell r="BG132">
            <v>3.2687076981466223E-2</v>
          </cell>
          <cell r="BH132">
            <v>4.7662212345389587E-3</v>
          </cell>
          <cell r="BI132">
            <v>-8.6556667568298273E-3</v>
          </cell>
          <cell r="BJ132">
            <v>1.924305576683194E-2</v>
          </cell>
          <cell r="BK132">
            <v>7.823460285025452E-2</v>
          </cell>
          <cell r="BL132">
            <v>-2.0229625977319143E-2</v>
          </cell>
          <cell r="BM132">
            <v>-1.5516601478859138E-2</v>
          </cell>
          <cell r="BN132">
            <v>1.1878344863594847E-2</v>
          </cell>
          <cell r="BO132">
            <v>4.5030603322646634E-3</v>
          </cell>
          <cell r="BP132">
            <v>1.549547041390853E-2</v>
          </cell>
          <cell r="BQ132">
            <v>-7.9167673436900676E-3</v>
          </cell>
          <cell r="BR132">
            <v>-7.6652371521791496E-3</v>
          </cell>
          <cell r="BS132">
            <v>-3.2249742002063986E-2</v>
          </cell>
          <cell r="BT132">
            <v>-1.4957419953865569E-2</v>
          </cell>
          <cell r="BU132">
            <v>-1.0931871912141955E-2</v>
          </cell>
          <cell r="BV132">
            <v>-2.0816618911174811E-2</v>
          </cell>
          <cell r="BW132">
            <v>-9.4042986977559417E-3</v>
          </cell>
          <cell r="BX132">
            <v>-1.7491631861133339E-2</v>
          </cell>
          <cell r="BY132">
            <v>4.8758465011287111E-3</v>
          </cell>
          <cell r="BZ132">
            <v>2.7436673192144934E-3</v>
          </cell>
          <cell r="CA132">
            <v>4.1870537121554863E-2</v>
          </cell>
          <cell r="CB132">
            <v>4.4428040244969269E-2</v>
          </cell>
          <cell r="CC132">
            <v>5.5344448027819348E-2</v>
          </cell>
          <cell r="CD132">
            <v>5.1578560939794516E-2</v>
          </cell>
          <cell r="CE132">
            <v>6.8915381349936355E-2</v>
          </cell>
          <cell r="CF132">
            <v>5.1327343010010296E-3</v>
          </cell>
          <cell r="CG132">
            <v>1.4977725433968914E-3</v>
          </cell>
          <cell r="CH132">
            <v>2.3870023870022905E-3</v>
          </cell>
          <cell r="CI132">
            <v>7.8274740629906692E-3</v>
          </cell>
          <cell r="CJ132">
            <v>5.7412799938962866E-3</v>
          </cell>
          <cell r="CK132">
            <v>3.7658166714961805E-2</v>
          </cell>
          <cell r="CL132">
            <v>2.8893817644135789E-2</v>
          </cell>
          <cell r="CM132">
            <v>8.045062144125481E-3</v>
          </cell>
        </row>
        <row r="133">
          <cell r="B133" t="str">
            <v>ER Visits (same-store)</v>
          </cell>
          <cell r="R133" t="str">
            <v>ND</v>
          </cell>
          <cell r="S133" t="str">
            <v>ND</v>
          </cell>
          <cell r="T133" t="str">
            <v>ND</v>
          </cell>
          <cell r="U133" t="str">
            <v>ND</v>
          </cell>
          <cell r="V133">
            <v>0</v>
          </cell>
          <cell r="W133" t="str">
            <v>ND</v>
          </cell>
          <cell r="X133" t="str">
            <v>ND</v>
          </cell>
          <cell r="Y133" t="str">
            <v>ND</v>
          </cell>
          <cell r="Z133" t="str">
            <v>ND</v>
          </cell>
          <cell r="AA133">
            <v>0</v>
          </cell>
          <cell r="AB133" t="str">
            <v>ND</v>
          </cell>
          <cell r="AC133" t="str">
            <v>ND</v>
          </cell>
          <cell r="AD133" t="str">
            <v>ND</v>
          </cell>
          <cell r="AE133" t="str">
            <v>ND</v>
          </cell>
          <cell r="AF133">
            <v>0</v>
          </cell>
          <cell r="AG133" t="str">
            <v>ND</v>
          </cell>
          <cell r="AH133" t="str">
            <v>ND</v>
          </cell>
          <cell r="AI133" t="str">
            <v>ND</v>
          </cell>
          <cell r="AJ133" t="str">
            <v>ND</v>
          </cell>
          <cell r="AK133">
            <v>0</v>
          </cell>
          <cell r="AL133" t="str">
            <v>ND</v>
          </cell>
          <cell r="AM133" t="str">
            <v>ND</v>
          </cell>
          <cell r="AN133" t="str">
            <v>ND</v>
          </cell>
          <cell r="AO133" t="str">
            <v>ND</v>
          </cell>
          <cell r="AP133">
            <v>0</v>
          </cell>
          <cell r="AQ133" t="str">
            <v>ND</v>
          </cell>
          <cell r="AR133" t="str">
            <v>ND</v>
          </cell>
          <cell r="AS133" t="str">
            <v>ND</v>
          </cell>
          <cell r="AT133" t="str">
            <v>ND</v>
          </cell>
          <cell r="AU133">
            <v>0</v>
          </cell>
          <cell r="AW133" t="str">
            <v>ND</v>
          </cell>
          <cell r="AX133" t="str">
            <v>ND</v>
          </cell>
          <cell r="AY133" t="str">
            <v>ND</v>
          </cell>
          <cell r="AZ133" t="str">
            <v>ND</v>
          </cell>
          <cell r="BA133">
            <v>0</v>
          </cell>
          <cell r="BB133" t="str">
            <v>ND</v>
          </cell>
          <cell r="BC133" t="str">
            <v>ND</v>
          </cell>
          <cell r="BD133" t="str">
            <v>ND</v>
          </cell>
          <cell r="BE133" t="str">
            <v>ND</v>
          </cell>
          <cell r="BF133">
            <v>0</v>
          </cell>
          <cell r="BG133" t="str">
            <v>ND</v>
          </cell>
          <cell r="BH133" t="str">
            <v>ND</v>
          </cell>
          <cell r="BI133" t="str">
            <v>ND</v>
          </cell>
          <cell r="BJ133" t="str">
            <v>ND</v>
          </cell>
          <cell r="BK133">
            <v>0</v>
          </cell>
          <cell r="BL133">
            <v>334149</v>
          </cell>
          <cell r="BM133">
            <v>323831</v>
          </cell>
          <cell r="BN133">
            <v>333847</v>
          </cell>
          <cell r="BO133">
            <v>279841</v>
          </cell>
          <cell r="BP133">
            <v>1271668</v>
          </cell>
          <cell r="BQ133">
            <v>356202</v>
          </cell>
          <cell r="BR133">
            <v>330424</v>
          </cell>
          <cell r="BS133">
            <v>326765</v>
          </cell>
          <cell r="BT133">
            <v>328983</v>
          </cell>
          <cell r="BU133">
            <v>1342374</v>
          </cell>
          <cell r="BV133">
            <v>354819</v>
          </cell>
          <cell r="BW133">
            <v>348824</v>
          </cell>
          <cell r="BX133">
            <v>355213</v>
          </cell>
          <cell r="BY133">
            <v>337082</v>
          </cell>
          <cell r="BZ133">
            <v>1395938</v>
          </cell>
          <cell r="CA133">
            <v>332884</v>
          </cell>
          <cell r="CB133">
            <v>333938</v>
          </cell>
          <cell r="CC133">
            <v>329431</v>
          </cell>
          <cell r="CD133">
            <v>331076</v>
          </cell>
          <cell r="CE133">
            <v>1327329</v>
          </cell>
          <cell r="CF133">
            <v>360256</v>
          </cell>
          <cell r="CG133">
            <v>344483</v>
          </cell>
          <cell r="CH133">
            <v>359404</v>
          </cell>
          <cell r="CI133">
            <v>368461</v>
          </cell>
          <cell r="CJ133">
            <v>1432604</v>
          </cell>
          <cell r="CK133">
            <v>393133</v>
          </cell>
          <cell r="CL133">
            <v>392461</v>
          </cell>
          <cell r="CM133">
            <v>392181</v>
          </cell>
          <cell r="CO133">
            <v>1177775</v>
          </cell>
          <cell r="CT133">
            <v>1.989642610532361</v>
          </cell>
          <cell r="CY133">
            <v>2.0379133055501586</v>
          </cell>
          <cell r="DD133">
            <v>2.0746334318117023</v>
          </cell>
        </row>
        <row r="134">
          <cell r="B134" t="str">
            <v>y/y % change - as reported</v>
          </cell>
          <cell r="R134" t="str">
            <v>NM</v>
          </cell>
          <cell r="S134" t="str">
            <v>NM</v>
          </cell>
          <cell r="T134" t="str">
            <v>NM</v>
          </cell>
          <cell r="U134" t="str">
            <v>NM</v>
          </cell>
          <cell r="V134" t="str">
            <v>NM</v>
          </cell>
          <cell r="W134" t="str">
            <v>NM</v>
          </cell>
          <cell r="X134" t="str">
            <v>NM</v>
          </cell>
          <cell r="Y134" t="str">
            <v>NM</v>
          </cell>
          <cell r="Z134" t="str">
            <v>NM</v>
          </cell>
          <cell r="AA134" t="str">
            <v>NM</v>
          </cell>
          <cell r="AB134" t="str">
            <v>NM</v>
          </cell>
          <cell r="AC134" t="str">
            <v>NM</v>
          </cell>
          <cell r="AD134" t="str">
            <v>NM</v>
          </cell>
          <cell r="AE134" t="str">
            <v>NM</v>
          </cell>
          <cell r="AF134" t="str">
            <v>NM</v>
          </cell>
          <cell r="AG134" t="str">
            <v>NM</v>
          </cell>
          <cell r="AH134" t="str">
            <v>NM</v>
          </cell>
          <cell r="AI134" t="str">
            <v>NM</v>
          </cell>
          <cell r="AJ134" t="str">
            <v>NM</v>
          </cell>
          <cell r="AK134" t="str">
            <v>NM</v>
          </cell>
          <cell r="AL134" t="str">
            <v>NM</v>
          </cell>
          <cell r="AM134" t="str">
            <v>NM</v>
          </cell>
          <cell r="AN134" t="str">
            <v>NM</v>
          </cell>
          <cell r="AO134" t="str">
            <v>NM</v>
          </cell>
          <cell r="AP134" t="str">
            <v>NM</v>
          </cell>
          <cell r="AQ134" t="str">
            <v>NM</v>
          </cell>
          <cell r="AR134" t="str">
            <v>NM</v>
          </cell>
          <cell r="AS134" t="str">
            <v>NM</v>
          </cell>
          <cell r="AT134" t="str">
            <v>NM</v>
          </cell>
          <cell r="AU134" t="str">
            <v>NM</v>
          </cell>
          <cell r="AW134" t="str">
            <v>NM</v>
          </cell>
          <cell r="AX134" t="str">
            <v>NM</v>
          </cell>
          <cell r="AY134" t="str">
            <v>NM</v>
          </cell>
          <cell r="AZ134" t="str">
            <v>NM</v>
          </cell>
          <cell r="BB134" t="str">
            <v>NM</v>
          </cell>
          <cell r="BC134" t="str">
            <v>NM</v>
          </cell>
          <cell r="BD134" t="str">
            <v>NM</v>
          </cell>
          <cell r="BE134" t="str">
            <v>NM</v>
          </cell>
          <cell r="BF134" t="str">
            <v>NM</v>
          </cell>
          <cell r="BG134" t="str">
            <v>NM</v>
          </cell>
          <cell r="BH134" t="str">
            <v>NM</v>
          </cell>
          <cell r="BI134" t="str">
            <v>NM</v>
          </cell>
          <cell r="BJ134" t="str">
            <v>NM</v>
          </cell>
          <cell r="BK134" t="str">
            <v>NM</v>
          </cell>
          <cell r="BL134">
            <v>3.6011707292874506E-2</v>
          </cell>
          <cell r="BM134">
            <v>2.0290430415481175E-2</v>
          </cell>
          <cell r="BN134">
            <v>2.9559430337196435E-2</v>
          </cell>
          <cell r="BO134">
            <v>-0.17045067157564597</v>
          </cell>
          <cell r="BP134">
            <v>3.6765035591032946E-2</v>
          </cell>
          <cell r="BQ134">
            <v>6.2969074995300023E-2</v>
          </cell>
          <cell r="BR134">
            <v>1.5542448988373092E-2</v>
          </cell>
          <cell r="BS134">
            <v>-1.2606629056285623E-2</v>
          </cell>
          <cell r="BT134">
            <v>-2.0111099527901466E-2</v>
          </cell>
          <cell r="BU134">
            <v>2.2004275690688413E-2</v>
          </cell>
          <cell r="BV134">
            <v>-2.3494864540560823E-2</v>
          </cell>
          <cell r="BW134">
            <v>5.5711587816570596E-2</v>
          </cell>
          <cell r="BX134">
            <v>0.12855599682287533</v>
          </cell>
          <cell r="BY134">
            <v>6.4202862861725274E-2</v>
          </cell>
          <cell r="BZ134">
            <v>7.3620075433620258E-2</v>
          </cell>
          <cell r="CA134">
            <v>-2.8473032920849906E-2</v>
          </cell>
          <cell r="CB134">
            <v>-6.4828616225897084E-3</v>
          </cell>
          <cell r="CC134">
            <v>-7.2581803030857595E-2</v>
          </cell>
          <cell r="CD134">
            <v>-2.0221420559973224E-2</v>
          </cell>
          <cell r="CE134">
            <v>-2.4449597418776392E-2</v>
          </cell>
          <cell r="CF134">
            <v>4.9525718414244801E-2</v>
          </cell>
          <cell r="CG134">
            <v>-1.7213549439690778E-3</v>
          </cell>
          <cell r="CH134">
            <v>6.9172258254304175E-3</v>
          </cell>
          <cell r="CI134">
            <v>-6.3642566089838759E-3</v>
          </cell>
          <cell r="CJ134">
            <v>1.3278107496581981E-2</v>
          </cell>
          <cell r="CK134">
            <v>6.1320018324346748E-3</v>
          </cell>
          <cell r="CL134">
            <v>3.7913388429752004E-2</v>
          </cell>
          <cell r="CM134">
            <v>4.1541513628070348E-2</v>
          </cell>
          <cell r="CT134">
            <v>-0.24876816735714868</v>
          </cell>
          <cell r="CY134">
            <v>-0.24905940793110926</v>
          </cell>
          <cell r="DD134">
            <v>-0.24965896585820779</v>
          </cell>
        </row>
        <row r="136">
          <cell r="B136" t="str">
            <v>Pricing</v>
          </cell>
        </row>
        <row r="137">
          <cell r="B137" t="str">
            <v>Inpatient Revenue Per Admission</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5797.751135286192</v>
          </cell>
          <cell r="AM137">
            <v>6056.1359440824253</v>
          </cell>
          <cell r="AN137">
            <v>5940.1433783924658</v>
          </cell>
          <cell r="AO137">
            <v>5952.1821518018642</v>
          </cell>
          <cell r="AP137">
            <v>5937.9780922757045</v>
          </cell>
          <cell r="AQ137">
            <v>6183.1568166717989</v>
          </cell>
          <cell r="AR137">
            <v>5946.0012911555841</v>
          </cell>
          <cell r="AS137">
            <v>6121.8256835455531</v>
          </cell>
          <cell r="AT137">
            <v>5884.7884373629595</v>
          </cell>
          <cell r="AU137">
            <v>6028.2890809591872</v>
          </cell>
          <cell r="AW137">
            <v>6056.1359440824253</v>
          </cell>
          <cell r="AX137">
            <v>5940.1433783924658</v>
          </cell>
          <cell r="AY137">
            <v>5952.1821518018642</v>
          </cell>
          <cell r="AZ137">
            <v>6183.1568166717989</v>
          </cell>
          <cell r="BA137">
            <v>6036.0873372810647</v>
          </cell>
          <cell r="BB137">
            <v>5946.0012911555841</v>
          </cell>
          <cell r="BC137">
            <v>6121.8256835455531</v>
          </cell>
          <cell r="BD137">
            <v>5884.7884373629595</v>
          </cell>
          <cell r="BE137">
            <v>6270.6414809489588</v>
          </cell>
          <cell r="BF137">
            <v>6053.7804817568731</v>
          </cell>
          <cell r="BG137">
            <v>6153.1229299700599</v>
          </cell>
          <cell r="BH137">
            <v>6419.4072788219801</v>
          </cell>
          <cell r="BI137">
            <v>6650.4441924332896</v>
          </cell>
          <cell r="BJ137">
            <v>6496.3112955352517</v>
          </cell>
          <cell r="BK137">
            <v>6428.075174643941</v>
          </cell>
          <cell r="BL137">
            <v>6771.3959593485979</v>
          </cell>
          <cell r="BM137">
            <v>7065.6825396825379</v>
          </cell>
          <cell r="BN137">
            <v>6896.7802354620044</v>
          </cell>
          <cell r="BO137">
            <v>7116.1844596197943</v>
          </cell>
          <cell r="BP137">
            <v>6959.0373800956313</v>
          </cell>
          <cell r="BQ137">
            <v>7287.6495710918325</v>
          </cell>
          <cell r="BR137">
            <v>7667.2639921960736</v>
          </cell>
          <cell r="BS137">
            <v>7436.9640569787989</v>
          </cell>
          <cell r="BT137">
            <v>7653.0433113032577</v>
          </cell>
          <cell r="BU137">
            <v>7506.6176926530798</v>
          </cell>
          <cell r="BV137">
            <v>7567.5701227192576</v>
          </cell>
          <cell r="BW137">
            <v>7848.9782289249806</v>
          </cell>
          <cell r="BX137">
            <v>7460.37780745093</v>
          </cell>
          <cell r="BY137">
            <v>7750.3985985539384</v>
          </cell>
          <cell r="BZ137">
            <v>7583.6662201398531</v>
          </cell>
          <cell r="CA137">
            <v>7671.7521229077702</v>
          </cell>
          <cell r="CB137">
            <v>7666.0535836989284</v>
          </cell>
          <cell r="CC137">
            <v>7875.5909766775894</v>
          </cell>
          <cell r="CD137">
            <v>8171.1068115629378</v>
          </cell>
          <cell r="CE137">
            <v>7840.8823897095108</v>
          </cell>
          <cell r="CF137">
            <v>8279.9328013749073</v>
          </cell>
          <cell r="CG137">
            <v>8285.8936377407481</v>
          </cell>
          <cell r="CH137">
            <v>8124.3216333600121</v>
          </cell>
          <cell r="CI137">
            <v>8524.803455289657</v>
          </cell>
          <cell r="CJ137">
            <v>8305.9065454790798</v>
          </cell>
          <cell r="CK137">
            <v>8469.6903676514121</v>
          </cell>
          <cell r="CL137">
            <v>8752.7178401817073</v>
          </cell>
          <cell r="CM137">
            <v>8629.3753118189215</v>
          </cell>
          <cell r="CN137">
            <v>8873.9033110868804</v>
          </cell>
          <cell r="CO137">
            <v>8681.0504871718585</v>
          </cell>
          <cell r="CP137">
            <v>8734.9280405490354</v>
          </cell>
          <cell r="CQ137">
            <v>9031.1276965414982</v>
          </cell>
          <cell r="CR137">
            <v>8997.9997998004255</v>
          </cell>
          <cell r="CS137">
            <v>9050.5377075441593</v>
          </cell>
          <cell r="CT137">
            <v>8948.9511635769759</v>
          </cell>
          <cell r="CU137">
            <v>8696.5999192884756</v>
          </cell>
          <cell r="CV137">
            <v>8958.9918771852663</v>
          </cell>
          <cell r="CW137">
            <v>8930.9341966806478</v>
          </cell>
          <cell r="CX137">
            <v>8984.9945747924758</v>
          </cell>
          <cell r="CY137">
            <v>8888.0326416545067</v>
          </cell>
          <cell r="CZ137">
            <v>8783.1075843556027</v>
          </cell>
          <cell r="DA137">
            <v>9030.7609209044149</v>
          </cell>
          <cell r="DB137">
            <v>9007.7282141713094</v>
          </cell>
          <cell r="DC137">
            <v>9082.5169246851328</v>
          </cell>
          <cell r="DD137">
            <v>8971.2538935578195</v>
          </cell>
          <cell r="DE137">
            <v>8897.6847752160156</v>
          </cell>
          <cell r="DF137">
            <v>9139.0714095113253</v>
          </cell>
          <cell r="DG137">
            <v>9119.5083390891668</v>
          </cell>
          <cell r="DH137">
            <v>9190.8998788134995</v>
          </cell>
          <cell r="DI137">
            <v>9081.961310341374</v>
          </cell>
        </row>
        <row r="138">
          <cell r="B138" t="str">
            <v>y/y change - reported</v>
          </cell>
          <cell r="R138" t="str">
            <v>NM</v>
          </cell>
          <cell r="S138" t="str">
            <v>NM</v>
          </cell>
          <cell r="T138" t="str">
            <v>NM</v>
          </cell>
          <cell r="U138" t="str">
            <v>NM</v>
          </cell>
          <cell r="V138" t="str">
            <v>NM</v>
          </cell>
          <cell r="W138" t="str">
            <v>NM</v>
          </cell>
          <cell r="X138" t="str">
            <v>NM</v>
          </cell>
          <cell r="Y138" t="str">
            <v>NM</v>
          </cell>
          <cell r="Z138" t="str">
            <v>NM</v>
          </cell>
          <cell r="AA138" t="str">
            <v>NM</v>
          </cell>
          <cell r="AB138" t="str">
            <v>NM</v>
          </cell>
          <cell r="AC138" t="str">
            <v>NM</v>
          </cell>
          <cell r="AD138" t="str">
            <v>NM</v>
          </cell>
          <cell r="AE138" t="str">
            <v>NM</v>
          </cell>
          <cell r="AF138" t="str">
            <v>NM</v>
          </cell>
          <cell r="AG138" t="str">
            <v>NM</v>
          </cell>
          <cell r="AH138" t="str">
            <v>NM</v>
          </cell>
          <cell r="AI138" t="str">
            <v>NM</v>
          </cell>
          <cell r="AJ138" t="str">
            <v>NM</v>
          </cell>
          <cell r="AK138" t="str">
            <v>NM</v>
          </cell>
          <cell r="AL138" t="str">
            <v>NM</v>
          </cell>
          <cell r="AM138" t="str">
            <v>NM</v>
          </cell>
          <cell r="AN138" t="str">
            <v>NM</v>
          </cell>
          <cell r="AO138" t="str">
            <v>NM</v>
          </cell>
          <cell r="AP138" t="str">
            <v>NM</v>
          </cell>
          <cell r="AQ138">
            <v>6.6475030126760037E-2</v>
          </cell>
          <cell r="AR138">
            <v>-1.8185630894639315E-2</v>
          </cell>
          <cell r="AS138">
            <v>3.0585508392602989E-2</v>
          </cell>
          <cell r="AT138">
            <v>-1.1322522180962302E-2</v>
          </cell>
          <cell r="AU138">
            <v>1.5209047133562414E-2</v>
          </cell>
          <cell r="AW138" t="str">
            <v>NM</v>
          </cell>
          <cell r="AX138" t="str">
            <v>NM</v>
          </cell>
          <cell r="AY138" t="str">
            <v>NM</v>
          </cell>
          <cell r="AZ138">
            <v>6.6475030126760037E-2</v>
          </cell>
          <cell r="BB138">
            <v>1.3033725323964518E-2</v>
          </cell>
          <cell r="BC138">
            <v>1.3651596118670506E-2</v>
          </cell>
          <cell r="BD138">
            <v>-1.8541972970689269E-3</v>
          </cell>
          <cell r="BE138">
            <v>2.4562495534363293E-2</v>
          </cell>
          <cell r="BF138">
            <v>1.2387062947272653E-2</v>
          </cell>
          <cell r="BG138">
            <v>1.6494181260132468E-2</v>
          </cell>
          <cell r="BH138">
            <v>5.1987738136831441E-2</v>
          </cell>
          <cell r="BI138">
            <v>8.00730002796044E-2</v>
          </cell>
          <cell r="BJ138" t="str">
            <v>NM</v>
          </cell>
          <cell r="BK138">
            <v>4.1188156323142655E-2</v>
          </cell>
          <cell r="BL138">
            <v>9.4397606892006714E-2</v>
          </cell>
          <cell r="BM138">
            <v>7.7231929325471738E-2</v>
          </cell>
          <cell r="BN138">
            <v>4.2685877225417057E-2</v>
          </cell>
          <cell r="BO138">
            <v>7.0983621720152934E-2</v>
          </cell>
          <cell r="BP138">
            <v>7.1428870261687649E-2</v>
          </cell>
          <cell r="BQ138">
            <v>5.8327036669894916E-2</v>
          </cell>
          <cell r="BR138">
            <v>5.6723485005195418E-2</v>
          </cell>
          <cell r="BS138">
            <v>6.9519264779230205E-2</v>
          </cell>
          <cell r="BT138">
            <v>6.9641738201118741E-2</v>
          </cell>
          <cell r="BU138">
            <v>6.3375450631211416E-2</v>
          </cell>
          <cell r="BV138">
            <v>3.7013402370694504E-2</v>
          </cell>
          <cell r="BW138">
            <v>2.3700010448819864E-2</v>
          </cell>
          <cell r="BX138">
            <v>3.1482941550806665E-3</v>
          </cell>
          <cell r="BY138">
            <v>1.2721120643194306E-2</v>
          </cell>
          <cell r="BZ138">
            <v>1.0023986951827268E-2</v>
          </cell>
          <cell r="CA138">
            <v>1.3766902519441349E-2</v>
          </cell>
          <cell r="CB138">
            <v>-2.3305536069897603E-2</v>
          </cell>
          <cell r="CC138">
            <v>5.565578311757502E-2</v>
          </cell>
          <cell r="CD138">
            <v>6.5972348066906328E-2</v>
          </cell>
          <cell r="CE138">
            <v>2.685394441180966E-2</v>
          </cell>
          <cell r="CF138">
            <v>6.3315581592139347E-2</v>
          </cell>
          <cell r="CG138">
            <v>6.535559644100708E-2</v>
          </cell>
          <cell r="CH138">
            <v>6.2017304886731406E-2</v>
          </cell>
          <cell r="CI138">
            <v>5.3604840046091784E-2</v>
          </cell>
          <cell r="CJ138">
            <v>6.0938468433844317E-2</v>
          </cell>
          <cell r="CK138">
            <v>3.7603144608600481E-2</v>
          </cell>
          <cell r="CL138">
            <v>6.4168870788790411E-2</v>
          </cell>
          <cell r="CM138">
            <v>6.9758840371357822E-2</v>
          </cell>
          <cell r="CN138">
            <v>3.7555494708278792E-2</v>
          </cell>
          <cell r="CO138">
            <v>5.1466608762441357E-2</v>
          </cell>
          <cell r="CP138">
            <v>3.1193284228995699E-2</v>
          </cell>
          <cell r="CQ138">
            <v>2.6641767714433717E-2</v>
          </cell>
          <cell r="CR138">
            <v>2.6863967819791279E-2</v>
          </cell>
          <cell r="CS138">
            <v>1.9904926869847239E-2</v>
          </cell>
          <cell r="CT138">
            <v>2.6205381072866407E-2</v>
          </cell>
          <cell r="CU138">
            <v>-4.387914941329174E-3</v>
          </cell>
          <cell r="CV138">
            <v>-7.9874653288156683E-3</v>
          </cell>
          <cell r="CW138">
            <v>-7.4533901546947057E-3</v>
          </cell>
          <cell r="CX138">
            <v>-7.2419048314722456E-3</v>
          </cell>
          <cell r="CY138">
            <v>-6.7217574519994328E-3</v>
          </cell>
          <cell r="CZ138">
            <v>9.9472973196408354E-3</v>
          </cell>
          <cell r="DA138">
            <v>8.0108392443030141E-3</v>
          </cell>
          <cell r="DB138">
            <v>8.5986544967717737E-3</v>
          </cell>
          <cell r="DC138">
            <v>1.0853913052574882E-2</v>
          </cell>
          <cell r="DD138">
            <v>9.3632927846472036E-3</v>
          </cell>
          <cell r="DE138">
            <v>1.3045176750936971E-2</v>
          </cell>
          <cell r="DF138">
            <v>1.199350636735308E-2</v>
          </cell>
          <cell r="DG138">
            <v>1.24093580823188E-2</v>
          </cell>
          <cell r="DH138">
            <v>1.1933140893334748E-2</v>
          </cell>
          <cell r="DI138">
            <v>1.2340238956234595E-2</v>
          </cell>
        </row>
        <row r="139">
          <cell r="B139" t="str">
            <v>Revenue Per Outpatient Visit</v>
          </cell>
          <cell r="R139" t="str">
            <v>NM</v>
          </cell>
          <cell r="S139" t="str">
            <v>NM</v>
          </cell>
          <cell r="T139" t="str">
            <v>NM</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8675.7430265192743</v>
          </cell>
          <cell r="AM139">
            <v>8567.6749999999993</v>
          </cell>
          <cell r="AN139">
            <v>9066.6131852422059</v>
          </cell>
          <cell r="AO139">
            <v>8597.6154497759326</v>
          </cell>
          <cell r="AP139">
            <v>8728.5382282231913</v>
          </cell>
          <cell r="AQ139">
            <v>8728.6957532834767</v>
          </cell>
          <cell r="AR139">
            <v>8380.4330460374185</v>
          </cell>
          <cell r="AS139">
            <v>8677.8169817232374</v>
          </cell>
          <cell r="AT139">
            <v>8611.2280668913008</v>
          </cell>
          <cell r="AU139">
            <v>8592.7796420458326</v>
          </cell>
          <cell r="AW139">
            <v>8567.6749999999993</v>
          </cell>
          <cell r="AX139">
            <v>9066.6131852422059</v>
          </cell>
          <cell r="AY139">
            <v>8597.6154497759326</v>
          </cell>
          <cell r="AZ139">
            <v>8728.6957532834767</v>
          </cell>
          <cell r="BA139">
            <v>8741.204833882377</v>
          </cell>
          <cell r="BB139">
            <v>8380.4330460374185</v>
          </cell>
          <cell r="BC139">
            <v>8677.8169817232374</v>
          </cell>
          <cell r="BD139">
            <v>8611.2280668913008</v>
          </cell>
          <cell r="BE139">
            <v>8861.9920813015142</v>
          </cell>
          <cell r="BF139">
            <v>8631.4047896181055</v>
          </cell>
          <cell r="BG139">
            <v>9048.787317170907</v>
          </cell>
          <cell r="BH139">
            <v>8991.4621172122497</v>
          </cell>
          <cell r="BI139">
            <v>8733.8093626172322</v>
          </cell>
          <cell r="BJ139">
            <v>9414.9578195976646</v>
          </cell>
          <cell r="BK139">
            <v>9047.6221668888702</v>
          </cell>
          <cell r="BL139">
            <v>9594.5796804206366</v>
          </cell>
          <cell r="BM139">
            <v>9043.048281990521</v>
          </cell>
          <cell r="BN139">
            <v>9486.9013896312135</v>
          </cell>
          <cell r="BO139">
            <v>9463.8164326943624</v>
          </cell>
          <cell r="BP139">
            <v>9398.2479594017586</v>
          </cell>
          <cell r="BQ139">
            <v>9515.4639000748375</v>
          </cell>
          <cell r="BR139">
            <v>9642.2222381122629</v>
          </cell>
          <cell r="BS139">
            <v>9575.4729901269402</v>
          </cell>
          <cell r="BT139">
            <v>9323.8603974965863</v>
          </cell>
          <cell r="BU139">
            <v>9514.076439372071</v>
          </cell>
          <cell r="BV139">
            <v>9725.9947458455517</v>
          </cell>
          <cell r="BW139">
            <v>9387.1501520070069</v>
          </cell>
          <cell r="BX139">
            <v>9364.2702558901292</v>
          </cell>
          <cell r="BY139">
            <v>10047.988853257422</v>
          </cell>
          <cell r="BZ139">
            <v>9525.1168337144445</v>
          </cell>
          <cell r="CA139">
            <v>9804.1194148671511</v>
          </cell>
          <cell r="CB139">
            <v>9625.7035059131031</v>
          </cell>
          <cell r="CC139">
            <v>9803.8853559726904</v>
          </cell>
          <cell r="CD139">
            <v>9910.6056874527967</v>
          </cell>
          <cell r="CE139">
            <v>9785.4065057233074</v>
          </cell>
          <cell r="CF139">
            <v>10062.618224606122</v>
          </cell>
          <cell r="CG139">
            <v>10250.795495288441</v>
          </cell>
          <cell r="CH139">
            <v>9977.1390307044821</v>
          </cell>
          <cell r="CI139">
            <v>10547.012190438258</v>
          </cell>
          <cell r="CJ139">
            <v>10212.256503842338</v>
          </cell>
          <cell r="CK139">
            <v>10826.805832569675</v>
          </cell>
          <cell r="CL139">
            <v>10960.352055898953</v>
          </cell>
          <cell r="CM139">
            <v>10864.036366527953</v>
          </cell>
          <cell r="CN139">
            <v>11054.858373602299</v>
          </cell>
          <cell r="CO139">
            <v>10930.709142881033</v>
          </cell>
          <cell r="CP139">
            <v>11035.194404181702</v>
          </cell>
          <cell r="CQ139">
            <v>11191.652570743772</v>
          </cell>
          <cell r="CR139">
            <v>11102.31458848275</v>
          </cell>
          <cell r="CS139">
            <v>11120.985124201898</v>
          </cell>
          <cell r="CT139">
            <v>11112.973078858598</v>
          </cell>
          <cell r="CU139">
            <v>10911.902393731085</v>
          </cell>
          <cell r="CV139">
            <v>11033.255111076445</v>
          </cell>
          <cell r="CW139">
            <v>10952.673745096745</v>
          </cell>
          <cell r="CX139">
            <v>10974.780521186485</v>
          </cell>
          <cell r="CY139">
            <v>10968.296837159951</v>
          </cell>
          <cell r="CZ139">
            <v>10955.826535033913</v>
          </cell>
          <cell r="DA139">
            <v>11062.15110347512</v>
          </cell>
          <cell r="DB139">
            <v>10989.13788331624</v>
          </cell>
          <cell r="DC139">
            <v>11037.386629251783</v>
          </cell>
          <cell r="DD139">
            <v>11011.42546042016</v>
          </cell>
          <cell r="DE139">
            <v>11036.154360280394</v>
          </cell>
          <cell r="DF139">
            <v>11137.115654341982</v>
          </cell>
          <cell r="DG139">
            <v>11069.461520233996</v>
          </cell>
          <cell r="DH139">
            <v>11113.812432532188</v>
          </cell>
          <cell r="DI139">
            <v>11089.378520636594</v>
          </cell>
        </row>
        <row r="140">
          <cell r="B140" t="str">
            <v>y/y change - reported</v>
          </cell>
          <cell r="R140" t="str">
            <v>NM</v>
          </cell>
          <cell r="S140" t="str">
            <v>NM</v>
          </cell>
          <cell r="T140" t="str">
            <v>NM</v>
          </cell>
          <cell r="U140" t="str">
            <v>NM</v>
          </cell>
          <cell r="V140" t="str">
            <v>NM</v>
          </cell>
          <cell r="W140" t="str">
            <v>NM</v>
          </cell>
          <cell r="X140" t="str">
            <v>NM</v>
          </cell>
          <cell r="Y140" t="str">
            <v>NM</v>
          </cell>
          <cell r="Z140" t="str">
            <v>NM</v>
          </cell>
          <cell r="AA140" t="str">
            <v>NM</v>
          </cell>
          <cell r="AB140" t="str">
            <v>NM</v>
          </cell>
          <cell r="AC140" t="str">
            <v>NM</v>
          </cell>
          <cell r="AD140" t="str">
            <v>NM</v>
          </cell>
          <cell r="AE140" t="str">
            <v>NM</v>
          </cell>
          <cell r="AF140" t="str">
            <v>NM</v>
          </cell>
          <cell r="AG140" t="str">
            <v>NM</v>
          </cell>
          <cell r="AH140" t="str">
            <v>NM</v>
          </cell>
          <cell r="AI140" t="str">
            <v>NM</v>
          </cell>
          <cell r="AJ140" t="str">
            <v>NM</v>
          </cell>
          <cell r="AK140" t="str">
            <v>NM</v>
          </cell>
          <cell r="AL140" t="str">
            <v>NM</v>
          </cell>
          <cell r="AM140" t="str">
            <v>NM</v>
          </cell>
          <cell r="AN140" t="str">
            <v>NM</v>
          </cell>
          <cell r="AO140" t="str">
            <v>NM</v>
          </cell>
          <cell r="AP140" t="str">
            <v>NM</v>
          </cell>
          <cell r="AQ140">
            <v>6.1035379450891103E-3</v>
          </cell>
          <cell r="AR140">
            <v>-2.1854465063460116E-2</v>
          </cell>
          <cell r="AS140">
            <v>-4.288218716023029E-2</v>
          </cell>
          <cell r="AT140">
            <v>1.5833014624679898E-3</v>
          </cell>
          <cell r="AU140">
            <v>-1.5553416004800424E-2</v>
          </cell>
          <cell r="AW140" t="str">
            <v>NM</v>
          </cell>
          <cell r="AX140" t="str">
            <v>NM</v>
          </cell>
          <cell r="AY140" t="str">
            <v>NM</v>
          </cell>
          <cell r="AZ140">
            <v>6.1035379450891103E-3</v>
          </cell>
          <cell r="BB140">
            <v>-2.1854465063460116E-2</v>
          </cell>
          <cell r="BC140">
            <v>-4.288218716023029E-2</v>
          </cell>
          <cell r="BD140">
            <v>1.5833014624679898E-3</v>
          </cell>
          <cell r="BE140">
            <v>1.5271047563766293E-2</v>
          </cell>
          <cell r="BF140">
            <v>-1.2561202528817095E-2</v>
          </cell>
          <cell r="BG140">
            <v>7.9751758347322177E-2</v>
          </cell>
          <cell r="BH140">
            <v>3.6143322237562225E-2</v>
          </cell>
          <cell r="BI140">
            <v>1.4235053905636841E-2</v>
          </cell>
          <cell r="BJ140">
            <v>6.239745344197356E-2</v>
          </cell>
          <cell r="BK140">
            <v>4.822127885502403E-2</v>
          </cell>
          <cell r="BL140">
            <v>6.0316630739462473E-2</v>
          </cell>
          <cell r="BM140">
            <v>5.7372387389054147E-3</v>
          </cell>
          <cell r="BN140">
            <v>8.6227211488882904E-2</v>
          </cell>
          <cell r="BO140">
            <v>5.1894670197030202E-3</v>
          </cell>
          <cell r="BP140">
            <v>3.8753363706550026E-2</v>
          </cell>
          <cell r="BQ140">
            <v>-8.2458828818993135E-3</v>
          </cell>
          <cell r="BR140">
            <v>6.6257962739733722E-2</v>
          </cell>
          <cell r="BS140">
            <v>9.3361991295211055E-3</v>
          </cell>
          <cell r="BT140">
            <v>-1.478854077455205E-2</v>
          </cell>
          <cell r="BU140">
            <v>1.2324475845994387E-2</v>
          </cell>
          <cell r="BV140">
            <v>2.212512684421597E-2</v>
          </cell>
          <cell r="BW140">
            <v>-2.6453661801845496E-2</v>
          </cell>
          <cell r="BX140">
            <v>-2.2056637249624922E-2</v>
          </cell>
          <cell r="BY140">
            <v>7.7664017358653359E-2</v>
          </cell>
          <cell r="BZ140">
            <v>1.1604273323562175E-3</v>
          </cell>
          <cell r="CA140">
            <v>8.0325633586189049E-3</v>
          </cell>
          <cell r="CB140">
            <v>2.5412755739833592E-2</v>
          </cell>
          <cell r="CC140">
            <v>4.6946007331008399E-2</v>
          </cell>
          <cell r="CD140">
            <v>-1.3672702847404961E-2</v>
          </cell>
          <cell r="CE140">
            <v>2.732666449691834E-2</v>
          </cell>
          <cell r="CF140">
            <v>2.6366346512158856E-2</v>
          </cell>
          <cell r="CG140">
            <v>6.4939875718314166E-2</v>
          </cell>
          <cell r="CH140">
            <v>1.767194009732509E-2</v>
          </cell>
          <cell r="CI140">
            <v>6.4214693133354706E-2</v>
          </cell>
          <cell r="CJ140">
            <v>4.3621079805869378E-2</v>
          </cell>
          <cell r="CK140">
            <v>7.5943217849096634E-2</v>
          </cell>
          <cell r="CL140">
            <v>6.9219658214491275E-2</v>
          </cell>
          <cell r="CM140">
            <v>8.8892951485797456E-2</v>
          </cell>
          <cell r="CN140">
            <v>4.8150715481721562E-2</v>
          </cell>
          <cell r="CO140">
            <v>7.0351997011471212E-2</v>
          </cell>
          <cell r="CP140">
            <v>1.924746548840317E-2</v>
          </cell>
          <cell r="CQ140">
            <v>2.1103383692892441E-2</v>
          </cell>
          <cell r="CR140">
            <v>2.1932752608315287E-2</v>
          </cell>
          <cell r="CS140">
            <v>5.9816913401171679E-3</v>
          </cell>
          <cell r="CT140">
            <v>1.6674484115815291E-2</v>
          </cell>
          <cell r="CU140">
            <v>-1.1172617892793668E-2</v>
          </cell>
          <cell r="CV140">
            <v>-1.4153178779101494E-2</v>
          </cell>
          <cell r="CW140">
            <v>-1.3478346536967889E-2</v>
          </cell>
          <cell r="CX140">
            <v>-1.3146731281677204E-2</v>
          </cell>
          <cell r="CY140">
            <v>-1.3018680120253423E-2</v>
          </cell>
          <cell r="CZ140">
            <v>4.0253422105445136E-3</v>
          </cell>
          <cell r="DA140">
            <v>2.6189906884022118E-3</v>
          </cell>
          <cell r="DB140">
            <v>3.3292453576296843E-3</v>
          </cell>
          <cell r="DC140">
            <v>5.7045430607416403E-3</v>
          </cell>
          <cell r="DD140">
            <v>3.9321167087758013E-3</v>
          </cell>
          <cell r="DE140">
            <v>7.3319730820502471E-3</v>
          </cell>
          <cell r="DF140">
            <v>6.7766703026965747E-3</v>
          </cell>
          <cell r="DG140">
            <v>7.3093665554695431E-3</v>
          </cell>
          <cell r="DH140">
            <v>6.9242662097073193E-3</v>
          </cell>
          <cell r="DI140">
            <v>7.0792887348356537E-3</v>
          </cell>
        </row>
        <row r="141">
          <cell r="B141" t="str">
            <v>Revenue Per Adjusted Admission</v>
          </cell>
          <cell r="R141" t="str">
            <v>NM</v>
          </cell>
          <cell r="S141" t="str">
            <v>NM</v>
          </cell>
          <cell r="T141" t="str">
            <v>NM</v>
          </cell>
          <cell r="U141" t="str">
            <v>NM</v>
          </cell>
          <cell r="V141">
            <v>0</v>
          </cell>
          <cell r="W141" t="str">
            <v>NM</v>
          </cell>
          <cell r="X141" t="str">
            <v>NM</v>
          </cell>
          <cell r="Y141" t="str">
            <v>NM</v>
          </cell>
          <cell r="Z141" t="str">
            <v>NM</v>
          </cell>
          <cell r="AA141">
            <v>0</v>
          </cell>
          <cell r="AB141" t="str">
            <v>NM</v>
          </cell>
          <cell r="AC141" t="str">
            <v>NM</v>
          </cell>
          <cell r="AD141" t="str">
            <v>NM</v>
          </cell>
          <cell r="AE141" t="str">
            <v>NM</v>
          </cell>
          <cell r="AF141">
            <v>0</v>
          </cell>
          <cell r="AG141" t="str">
            <v>NM</v>
          </cell>
          <cell r="AH141">
            <v>6802.0710807215801</v>
          </cell>
          <cell r="AI141" t="str">
            <v>NM</v>
          </cell>
          <cell r="AJ141">
            <v>6802.9845310022702</v>
          </cell>
          <cell r="AK141">
            <v>3568.1611210399901</v>
          </cell>
          <cell r="AL141">
            <v>6855.1901930867571</v>
          </cell>
          <cell r="AM141">
            <v>6952.9412958135099</v>
          </cell>
          <cell r="AN141">
            <v>7150.8815262754451</v>
          </cell>
          <cell r="AO141">
            <v>6981.0929728350975</v>
          </cell>
          <cell r="AP141">
            <v>6984.2571678624026</v>
          </cell>
          <cell r="AQ141">
            <v>7150.7684580612768</v>
          </cell>
          <cell r="AR141">
            <v>6872.3004319308911</v>
          </cell>
          <cell r="AS141">
            <v>7151.9294228567578</v>
          </cell>
          <cell r="AT141">
            <v>7010.06970675091</v>
          </cell>
          <cell r="AU141">
            <v>7039.7194737414375</v>
          </cell>
          <cell r="AW141">
            <v>6952.9412958135099</v>
          </cell>
          <cell r="AX141">
            <v>7150.8815262754451</v>
          </cell>
          <cell r="AY141">
            <v>6981.0929728350975</v>
          </cell>
          <cell r="AZ141">
            <v>7150.7684580612768</v>
          </cell>
          <cell r="BA141">
            <v>7058.9487477631692</v>
          </cell>
          <cell r="BB141">
            <v>6872.3004319308911</v>
          </cell>
          <cell r="BC141">
            <v>7151.9294228567578</v>
          </cell>
          <cell r="BD141">
            <v>7010.06970675091</v>
          </cell>
          <cell r="BE141">
            <v>7306.9044660730315</v>
          </cell>
          <cell r="BF141">
            <v>7081.5315542339695</v>
          </cell>
          <cell r="BG141">
            <v>7305.6893581727709</v>
          </cell>
          <cell r="BH141">
            <v>7483.3046042009537</v>
          </cell>
          <cell r="BI141">
            <v>7498.2578397212546</v>
          </cell>
          <cell r="BJ141">
            <v>7673.8706145570532</v>
          </cell>
          <cell r="BK141">
            <v>7490.4473286114981</v>
          </cell>
          <cell r="BL141">
            <v>7890.4828422134024</v>
          </cell>
          <cell r="BM141">
            <v>7886.5355056870585</v>
          </cell>
          <cell r="BN141">
            <v>7999.7496415321939</v>
          </cell>
          <cell r="BO141">
            <v>8114.6030639613291</v>
          </cell>
          <cell r="BP141">
            <v>7972.6219719587316</v>
          </cell>
          <cell r="BQ141">
            <v>8190.884528694447</v>
          </cell>
          <cell r="BR141">
            <v>8518.747736013378</v>
          </cell>
          <cell r="BS141">
            <v>8376.0219249349684</v>
          </cell>
          <cell r="BT141">
            <v>8361.7944571879816</v>
          </cell>
          <cell r="BU141">
            <v>8359.0493036096159</v>
          </cell>
          <cell r="BV141">
            <v>8446.7219816706838</v>
          </cell>
          <cell r="BW141">
            <v>8508.4277729913629</v>
          </cell>
          <cell r="BX141">
            <v>8308.3616597424334</v>
          </cell>
          <cell r="BY141">
            <v>8746.379720487661</v>
          </cell>
          <cell r="BZ141">
            <v>8415.5874601421583</v>
          </cell>
          <cell r="CA141">
            <v>8578.5338467831807</v>
          </cell>
          <cell r="CB141">
            <v>8548.3992822740584</v>
          </cell>
          <cell r="CC141">
            <v>8763.2531149928291</v>
          </cell>
          <cell r="CD141">
            <v>8955.4614507603237</v>
          </cell>
          <cell r="CE141">
            <v>8708.9752835507752</v>
          </cell>
          <cell r="CF141">
            <v>9074.0644932913092</v>
          </cell>
          <cell r="CG141">
            <v>9207.146500384335</v>
          </cell>
          <cell r="CH141">
            <v>9005.6826781512718</v>
          </cell>
          <cell r="CI141">
            <v>9472.8937557937134</v>
          </cell>
          <cell r="CJ141">
            <v>9191.6921367524301</v>
          </cell>
          <cell r="CK141">
            <v>9572.1011729558359</v>
          </cell>
          <cell r="CL141">
            <v>9834.2417779182142</v>
          </cell>
          <cell r="CM141">
            <v>9741.4589104339793</v>
          </cell>
          <cell r="CN141">
            <v>9968.7855512719616</v>
          </cell>
          <cell r="CO141">
            <v>9782.0931476848673</v>
          </cell>
          <cell r="CP141">
            <v>9851.5102023137351</v>
          </cell>
          <cell r="CQ141">
            <v>10131.730082992752</v>
          </cell>
          <cell r="CR141">
            <v>10081.89548055361</v>
          </cell>
          <cell r="CS141">
            <v>10128.386068997963</v>
          </cell>
          <cell r="CT141">
            <v>10047.188835606083</v>
          </cell>
          <cell r="CU141">
            <v>9792.0515399140004</v>
          </cell>
          <cell r="CV141">
            <v>10034.21042273917</v>
          </cell>
          <cell r="CW141">
            <v>9990.2838111955243</v>
          </cell>
          <cell r="CX141">
            <v>10038.496838257772</v>
          </cell>
          <cell r="CY141">
            <v>9962.2422164172494</v>
          </cell>
          <cell r="CZ141">
            <v>9875.0013901067723</v>
          </cell>
          <cell r="DA141">
            <v>10099.859793979844</v>
          </cell>
          <cell r="DB141">
            <v>10061.560453943255</v>
          </cell>
          <cell r="DC141">
            <v>10132.813998248466</v>
          </cell>
          <cell r="DD141">
            <v>10040.928630047994</v>
          </cell>
          <cell r="DE141">
            <v>9989.3760183213453</v>
          </cell>
          <cell r="DF141">
            <v>10206.27064421791</v>
          </cell>
          <cell r="DG141">
            <v>10171.794290459577</v>
          </cell>
          <cell r="DH141">
            <v>10238.980057259574</v>
          </cell>
          <cell r="DI141">
            <v>10150.173014093969</v>
          </cell>
        </row>
        <row r="142">
          <cell r="B142" t="str">
            <v>y/y change - reported</v>
          </cell>
          <cell r="R142" t="str">
            <v>NM</v>
          </cell>
          <cell r="S142" t="str">
            <v>NM</v>
          </cell>
          <cell r="T142" t="str">
            <v>NM</v>
          </cell>
          <cell r="U142" t="str">
            <v>NM</v>
          </cell>
          <cell r="V142" t="str">
            <v>NM</v>
          </cell>
          <cell r="W142" t="str">
            <v>NM</v>
          </cell>
          <cell r="X142" t="str">
            <v>NM</v>
          </cell>
          <cell r="Y142" t="str">
            <v>NM</v>
          </cell>
          <cell r="Z142" t="str">
            <v>NM</v>
          </cell>
          <cell r="AA142" t="str">
            <v>NM</v>
          </cell>
          <cell r="AB142" t="str">
            <v>NM</v>
          </cell>
          <cell r="AC142" t="str">
            <v>NM</v>
          </cell>
          <cell r="AD142" t="str">
            <v>NM</v>
          </cell>
          <cell r="AE142" t="str">
            <v>NM</v>
          </cell>
          <cell r="AF142" t="str">
            <v>NM</v>
          </cell>
          <cell r="AG142" t="str">
            <v>NM</v>
          </cell>
          <cell r="AH142" t="str">
            <v>NM</v>
          </cell>
          <cell r="AI142" t="str">
            <v>NM</v>
          </cell>
          <cell r="AJ142" t="str">
            <v>NM</v>
          </cell>
          <cell r="AK142" t="str">
            <v>NM</v>
          </cell>
          <cell r="AL142" t="str">
            <v>NM</v>
          </cell>
          <cell r="AM142">
            <v>2.2180040946576662E-2</v>
          </cell>
          <cell r="AN142" t="str">
            <v>NM</v>
          </cell>
          <cell r="AO142">
            <v>2.6180927065343029E-2</v>
          </cell>
          <cell r="AP142">
            <v>0.95738278932503573</v>
          </cell>
          <cell r="AQ142">
            <v>4.3117441916141308E-2</v>
          </cell>
          <cell r="AR142">
            <v>-1.1598093591150271E-2</v>
          </cell>
          <cell r="AS142">
            <v>1.4654089533738812E-4</v>
          </cell>
          <cell r="AT142">
            <v>4.1507445938002707E-3</v>
          </cell>
          <cell r="AU142">
            <v>7.9410457756683428E-3</v>
          </cell>
          <cell r="AW142">
            <v>2.2180040946576662E-2</v>
          </cell>
          <cell r="AX142" t="str">
            <v>NM</v>
          </cell>
          <cell r="AY142">
            <v>2.6180927065343029E-2</v>
          </cell>
          <cell r="AZ142">
            <v>4.3117441916141308E-2</v>
          </cell>
          <cell r="BB142">
            <v>-2.465822348723834E-3</v>
          </cell>
          <cell r="BC142">
            <v>4.5712345166462054E-3</v>
          </cell>
          <cell r="BD142">
            <v>7.9296276073366201E-3</v>
          </cell>
          <cell r="BE142">
            <v>4.1475685487947889E-2</v>
          </cell>
          <cell r="BF142">
            <v>1.238830229375254E-2</v>
          </cell>
          <cell r="BG142">
            <v>4.8224776066252195E-2</v>
          </cell>
          <cell r="BH142">
            <v>3.0593997204344747E-2</v>
          </cell>
          <cell r="BI142">
            <v>3.9117353476331607E-2</v>
          </cell>
          <cell r="BJ142">
            <v>3.1925388358209128E-2</v>
          </cell>
          <cell r="BK142">
            <v>3.7714361703163002E-2</v>
          </cell>
          <cell r="BL142">
            <v>7.1044449246351116E-2</v>
          </cell>
          <cell r="BM142">
            <v>3.9604415102911572E-2</v>
          </cell>
          <cell r="BN142">
            <v>4.9089449032622134E-2</v>
          </cell>
          <cell r="BO142">
            <v>3.0669509636723991E-2</v>
          </cell>
          <cell r="BP142">
            <v>4.7669756283055031E-2</v>
          </cell>
          <cell r="BQ142">
            <v>1.7674603240876774E-2</v>
          </cell>
          <cell r="BR142">
            <v>7.556106276374841E-2</v>
          </cell>
          <cell r="BS142">
            <v>3.9742520844365581E-2</v>
          </cell>
          <cell r="BT142">
            <v>2.8499238510798941E-2</v>
          </cell>
          <cell r="BU142">
            <v>3.9949854677393981E-2</v>
          </cell>
          <cell r="BV142">
            <v>2.8376375060262582E-2</v>
          </cell>
          <cell r="BW142">
            <v>-1.2114413223422993E-3</v>
          </cell>
          <cell r="BX142">
            <v>-8.0778519682611627E-3</v>
          </cell>
          <cell r="BY142">
            <v>4.5993149588732241E-2</v>
          </cell>
          <cell r="BZ142">
            <v>6.11354851365431E-3</v>
          </cell>
          <cell r="CA142">
            <v>1.560509099252072E-2</v>
          </cell>
          <cell r="CB142">
            <v>4.6978725505055774E-3</v>
          </cell>
          <cell r="CC142">
            <v>5.4751041646939669E-2</v>
          </cell>
          <cell r="CD142">
            <v>2.393487727050414E-2</v>
          </cell>
          <cell r="CE142">
            <v>2.4254061328367493E-2</v>
          </cell>
          <cell r="CF142">
            <v>5.1657932673271567E-2</v>
          </cell>
          <cell r="CG142">
            <v>7.298537999946153E-2</v>
          </cell>
          <cell r="CH142">
            <v>3.7575720184023886E-2</v>
          </cell>
          <cell r="CI142">
            <v>6.5121566685169441E-2</v>
          </cell>
          <cell r="CJ142">
            <v>5.683196919152933E-2</v>
          </cell>
          <cell r="CK142">
            <v>6.5894024691687481E-2</v>
          </cell>
          <cell r="CL142">
            <v>7.2795877794077146E-2</v>
          </cell>
          <cell r="CM142">
            <v>7.9005553768899617E-2</v>
          </cell>
          <cell r="CN142">
            <v>6.4999498208214046E-2</v>
          </cell>
          <cell r="CO142">
            <v>7.0516879436248514E-2</v>
          </cell>
          <cell r="CP142">
            <v>3.8676306226448132E-2</v>
          </cell>
          <cell r="CQ142">
            <v>3.4438611282414211E-2</v>
          </cell>
          <cell r="CR142">
            <v>3.7191732445729597E-2</v>
          </cell>
          <cell r="CS142">
            <v>1.6010026186754178E-2</v>
          </cell>
          <cell r="CT142">
            <v>3.1544106916625347E-2</v>
          </cell>
          <cell r="CU142">
            <v>-6.0354870652998827E-3</v>
          </cell>
          <cell r="CV142">
            <v>-9.6251735345060929E-3</v>
          </cell>
          <cell r="CW142">
            <v>-9.0867505554677042E-3</v>
          </cell>
          <cell r="CX142">
            <v>-8.8749806857516544E-3</v>
          </cell>
          <cell r="CY142">
            <v>-8.3881661915973238E-3</v>
          </cell>
          <cell r="CZ142">
            <v>8.4711410938407283E-3</v>
          </cell>
          <cell r="DA142">
            <v>6.5425547676278839E-3</v>
          </cell>
          <cell r="DB142">
            <v>7.1345963833235881E-3</v>
          </cell>
          <cell r="DC142">
            <v>9.3955461171479904E-3</v>
          </cell>
          <cell r="DD142">
            <v>7.8984642133146377E-3</v>
          </cell>
          <cell r="DE142">
            <v>1.1582239201420208E-2</v>
          </cell>
          <cell r="DF142">
            <v>1.0535874003072099E-2</v>
          </cell>
          <cell r="DG142">
            <v>1.0955938397519516E-2</v>
          </cell>
          <cell r="DH142">
            <v>1.0477450689360346E-2</v>
          </cell>
          <cell r="DI142">
            <v>1.0879908429889396E-2</v>
          </cell>
        </row>
        <row r="143">
          <cell r="B143" t="str">
            <v>y/y change - restated</v>
          </cell>
          <cell r="CA143">
            <v>1.2629839471199222E-2</v>
          </cell>
          <cell r="CB143">
            <v>2.3452157598498058E-3</v>
          </cell>
          <cell r="CC143">
            <v>5.4766490129995127E-2</v>
          </cell>
          <cell r="CD143">
            <v>2.0396536007292632E-2</v>
          </cell>
          <cell r="CE143">
            <v>2.2185702547247388E-2</v>
          </cell>
          <cell r="CF143">
            <v>5.1448435689455341E-2</v>
          </cell>
          <cell r="CG143">
            <v>7.2826846888837116E-2</v>
          </cell>
          <cell r="CH143">
            <v>3.815561959654179E-2</v>
          </cell>
          <cell r="CI143">
            <v>6.6178953292065357E-2</v>
          </cell>
          <cell r="CJ143">
            <v>5.6738404879733029E-2</v>
          </cell>
          <cell r="CK143">
            <v>5.9323108125237667E-2</v>
          </cell>
          <cell r="CL143">
            <v>6.3269111249223187E-2</v>
          </cell>
          <cell r="CM143">
            <v>6.8540183112919539E-2</v>
          </cell>
        </row>
        <row r="144">
          <cell r="B144" t="str">
            <v>Utilization &amp; Other Metrics</v>
          </cell>
        </row>
        <row r="145">
          <cell r="B145" t="str">
            <v>Patient Days</v>
          </cell>
          <cell r="R145">
            <v>152245</v>
          </cell>
          <cell r="S145">
            <v>174669</v>
          </cell>
          <cell r="T145">
            <v>163221</v>
          </cell>
          <cell r="U145" t="str">
            <v>ND</v>
          </cell>
          <cell r="V145">
            <v>490135</v>
          </cell>
          <cell r="W145">
            <v>178125</v>
          </cell>
          <cell r="X145">
            <v>206644</v>
          </cell>
          <cell r="Y145">
            <v>185146</v>
          </cell>
          <cell r="Z145" t="str">
            <v>ND</v>
          </cell>
          <cell r="AA145">
            <v>569915</v>
          </cell>
          <cell r="AB145">
            <v>201323</v>
          </cell>
          <cell r="AC145">
            <v>229154</v>
          </cell>
          <cell r="AD145">
            <v>208401</v>
          </cell>
          <cell r="AE145" t="str">
            <v>ND</v>
          </cell>
          <cell r="AF145">
            <v>638878</v>
          </cell>
          <cell r="AG145">
            <v>221650</v>
          </cell>
          <cell r="AH145">
            <v>262803</v>
          </cell>
          <cell r="AI145">
            <v>239247</v>
          </cell>
          <cell r="AJ145">
            <v>245708</v>
          </cell>
          <cell r="AK145">
            <v>969408</v>
          </cell>
          <cell r="AL145">
            <v>260545</v>
          </cell>
          <cell r="AM145">
            <v>282101</v>
          </cell>
          <cell r="AN145">
            <v>246734</v>
          </cell>
          <cell r="AO145">
            <v>240402</v>
          </cell>
          <cell r="AP145">
            <v>1029782</v>
          </cell>
          <cell r="AQ145">
            <v>261376</v>
          </cell>
          <cell r="AR145">
            <v>338571</v>
          </cell>
          <cell r="AS145">
            <v>305453</v>
          </cell>
          <cell r="AT145">
            <v>288011</v>
          </cell>
          <cell r="AU145">
            <v>1193411</v>
          </cell>
          <cell r="AW145">
            <v>282101</v>
          </cell>
          <cell r="AX145">
            <v>246734</v>
          </cell>
          <cell r="AY145">
            <v>240402</v>
          </cell>
          <cell r="AZ145">
            <v>261376</v>
          </cell>
          <cell r="BA145">
            <v>1030613</v>
          </cell>
          <cell r="BB145">
            <v>338571</v>
          </cell>
          <cell r="BC145">
            <v>305453</v>
          </cell>
          <cell r="BD145">
            <v>288011</v>
          </cell>
          <cell r="BE145">
            <v>295408</v>
          </cell>
          <cell r="BF145">
            <v>1227443</v>
          </cell>
          <cell r="BG145">
            <v>331847</v>
          </cell>
          <cell r="BH145">
            <v>321624</v>
          </cell>
          <cell r="BI145">
            <v>307663</v>
          </cell>
          <cell r="BJ145">
            <v>316831</v>
          </cell>
          <cell r="BK145">
            <v>1277965</v>
          </cell>
          <cell r="BL145">
            <v>350903</v>
          </cell>
          <cell r="BM145">
            <v>321035</v>
          </cell>
          <cell r="BN145">
            <v>317403</v>
          </cell>
          <cell r="BO145">
            <v>317744</v>
          </cell>
          <cell r="BP145">
            <v>1307085</v>
          </cell>
          <cell r="BQ145">
            <v>365023</v>
          </cell>
          <cell r="BR145">
            <v>317431</v>
          </cell>
          <cell r="BS145">
            <v>303622</v>
          </cell>
          <cell r="BT145">
            <v>323897</v>
          </cell>
          <cell r="BU145">
            <v>1309973</v>
          </cell>
          <cell r="BV145">
            <v>356813</v>
          </cell>
          <cell r="BW145">
            <v>325577</v>
          </cell>
          <cell r="BX145">
            <v>306871</v>
          </cell>
          <cell r="BY145">
            <v>318648</v>
          </cell>
          <cell r="BZ145">
            <v>1307909</v>
          </cell>
          <cell r="CA145">
            <v>345558</v>
          </cell>
          <cell r="CB145">
            <v>310291</v>
          </cell>
          <cell r="CC145">
            <v>298308</v>
          </cell>
          <cell r="CD145">
            <v>304329</v>
          </cell>
          <cell r="CE145">
            <v>1258486</v>
          </cell>
          <cell r="CF145">
            <v>349607</v>
          </cell>
          <cell r="CG145">
            <v>311890</v>
          </cell>
          <cell r="CH145">
            <v>311537</v>
          </cell>
          <cell r="CI145">
            <v>328340</v>
          </cell>
          <cell r="CJ145">
            <v>1301374</v>
          </cell>
          <cell r="CK145">
            <v>361573</v>
          </cell>
          <cell r="CL145">
            <v>324806</v>
          </cell>
          <cell r="CM145">
            <v>318357</v>
          </cell>
          <cell r="CO145">
            <v>1004736</v>
          </cell>
        </row>
        <row r="146">
          <cell r="B146" t="str">
            <v>y/y change - restated</v>
          </cell>
          <cell r="BB146">
            <v>1.5500803142758368E-3</v>
          </cell>
          <cell r="BC146">
            <v>2.7955954312021802E-2</v>
          </cell>
          <cell r="BD146">
            <v>4.0089102387568243E-3</v>
          </cell>
          <cell r="BE146">
            <v>-1.6506528701650702E-2</v>
          </cell>
          <cell r="BF146">
            <v>4.1090623517285874E-3</v>
          </cell>
          <cell r="BG146">
            <v>-1.6111195116238375E-2</v>
          </cell>
          <cell r="BH146">
            <v>-1.7413938482971014E-2</v>
          </cell>
          <cell r="BI146">
            <v>6.9681279333888568E-3</v>
          </cell>
          <cell r="BJ146">
            <v>9.9518980966437631E-3</v>
          </cell>
          <cell r="BK146">
            <v>5.9616239270884552E-2</v>
          </cell>
          <cell r="BL146">
            <v>-2.7063970898121292E-2</v>
          </cell>
          <cell r="BM146">
            <v>-5.8527521870402888E-3</v>
          </cell>
          <cell r="BN146">
            <v>-7.5977150575456953E-3</v>
          </cell>
          <cell r="BO146">
            <v>-1.466784919094255E-2</v>
          </cell>
          <cell r="BP146">
            <v>1.8024957513657069E-2</v>
          </cell>
          <cell r="BQ146">
            <v>3.6240585708729789E-2</v>
          </cell>
          <cell r="BR146">
            <v>-1.9181866215134735E-2</v>
          </cell>
          <cell r="BS146">
            <v>-3.3337259983508116E-2</v>
          </cell>
          <cell r="BT146">
            <v>9.1443846935150841E-3</v>
          </cell>
          <cell r="BU146">
            <v>6.0023484111362269E-3</v>
          </cell>
          <cell r="BV146">
            <v>-2.4498734191057858E-2</v>
          </cell>
          <cell r="BW146">
            <v>2.5662269910626145E-2</v>
          </cell>
          <cell r="BX146">
            <v>2.9398840013820537E-2</v>
          </cell>
          <cell r="BY146">
            <v>2.1858576582074463E-3</v>
          </cell>
          <cell r="BZ146">
            <v>1.7428961714627045E-2</v>
          </cell>
          <cell r="CA146">
            <v>-1.3933871892843563E-2</v>
          </cell>
          <cell r="CB146">
            <v>-2.987981791350891E-2</v>
          </cell>
          <cell r="CC146">
            <v>-2.7904233374936083E-2</v>
          </cell>
          <cell r="CD146">
            <v>-5.0633266783129516E-2</v>
          </cell>
          <cell r="CE146">
            <v>-1.9250491744000064E-2</v>
          </cell>
          <cell r="CF146">
            <v>-3.5282138451901646E-2</v>
          </cell>
          <cell r="CG146">
            <v>-4.6152528740202037E-2</v>
          </cell>
          <cell r="CH146">
            <v>-2.4395055851838432E-2</v>
          </cell>
          <cell r="CI146">
            <v>-4.2486490584965675E-2</v>
          </cell>
          <cell r="CJ146">
            <v>-3.6516702117499356E-2</v>
          </cell>
          <cell r="CK146">
            <v>-4.9849819862669897E-2</v>
          </cell>
          <cell r="CL146">
            <v>-5.3339045837012988E-2</v>
          </cell>
          <cell r="CM146">
            <v>-5.2322777688474487E-2</v>
          </cell>
        </row>
        <row r="147">
          <cell r="B147" t="str">
            <v>Adj. Patient Days</v>
          </cell>
          <cell r="V147">
            <v>822019.34283228789</v>
          </cell>
          <cell r="W147">
            <v>273671.01093575242</v>
          </cell>
          <cell r="X147">
            <v>311106.30777446489</v>
          </cell>
          <cell r="Y147">
            <v>289776.73328153073</v>
          </cell>
          <cell r="Z147" t="str">
            <v>ND</v>
          </cell>
          <cell r="AA147">
            <v>883449.22160395316</v>
          </cell>
          <cell r="AB147">
            <v>320342.74716348061</v>
          </cell>
          <cell r="AC147">
            <v>355470.17362879775</v>
          </cell>
          <cell r="AD147">
            <v>331940.4272674431</v>
          </cell>
          <cell r="AE147" t="str">
            <v>ND</v>
          </cell>
          <cell r="AF147">
            <v>1012813.7008331494</v>
          </cell>
          <cell r="AG147">
            <v>350899.45631758962</v>
          </cell>
          <cell r="AH147">
            <v>408628.47841173253</v>
          </cell>
          <cell r="AI147">
            <v>383593.27790269075</v>
          </cell>
          <cell r="AJ147">
            <v>398186.70157286205</v>
          </cell>
          <cell r="AK147">
            <v>1541719.6807560185</v>
          </cell>
          <cell r="AL147">
            <v>411878.40502686432</v>
          </cell>
          <cell r="AM147">
            <v>438776.7948216286</v>
          </cell>
          <cell r="AN147">
            <v>402669.33926399553</v>
          </cell>
          <cell r="AO147">
            <v>393417.02003617643</v>
          </cell>
          <cell r="AP147">
            <v>1647480.2502997324</v>
          </cell>
          <cell r="AQ147">
            <v>421656.1733296602</v>
          </cell>
          <cell r="AR147">
            <v>546522.22621045844</v>
          </cell>
          <cell r="AS147">
            <v>511659.7258203252</v>
          </cell>
          <cell r="AT147">
            <v>490422.82368074841</v>
          </cell>
          <cell r="AU147">
            <v>1970619.8816098475</v>
          </cell>
          <cell r="AW147">
            <v>438776.7948216286</v>
          </cell>
          <cell r="AX147">
            <v>402669.33926399553</v>
          </cell>
          <cell r="AY147">
            <v>393417.02003617643</v>
          </cell>
          <cell r="AZ147">
            <v>421656.1733296602</v>
          </cell>
          <cell r="BA147">
            <v>1657256.1582798224</v>
          </cell>
          <cell r="BB147">
            <v>546522.22621045844</v>
          </cell>
          <cell r="BC147">
            <v>511659.7258203252</v>
          </cell>
          <cell r="BD147">
            <v>490422.82368074841</v>
          </cell>
          <cell r="BE147">
            <v>492258.88667145942</v>
          </cell>
          <cell r="BF147">
            <v>2041384.3152339808</v>
          </cell>
          <cell r="BG147">
            <v>551269.95871863491</v>
          </cell>
          <cell r="BH147">
            <v>548506.74296659883</v>
          </cell>
          <cell r="BI147">
            <v>518775.92028856801</v>
          </cell>
          <cell r="BJ147">
            <v>531115.09531979414</v>
          </cell>
          <cell r="BK147">
            <v>2149848.1028936217</v>
          </cell>
          <cell r="BL147">
            <v>581342.33634137386</v>
          </cell>
          <cell r="BM147">
            <v>548894.59423946182</v>
          </cell>
          <cell r="BN147">
            <v>552809.91045308602</v>
          </cell>
          <cell r="BO147">
            <v>552874.72755556728</v>
          </cell>
          <cell r="BP147">
            <v>2236389.9003908713</v>
          </cell>
          <cell r="BQ147">
            <v>613933.36434108531</v>
          </cell>
          <cell r="BR147">
            <v>558012.63828259427</v>
          </cell>
          <cell r="BS147">
            <v>541329.59496466431</v>
          </cell>
          <cell r="BT147">
            <v>562510.96634100471</v>
          </cell>
          <cell r="BU147">
            <v>2276757.5543407369</v>
          </cell>
          <cell r="BV147">
            <v>602024.82740130275</v>
          </cell>
          <cell r="BW147">
            <v>569910.82981438516</v>
          </cell>
          <cell r="BX147">
            <v>553314.35095473367</v>
          </cell>
          <cell r="BY147">
            <v>562474.95584395132</v>
          </cell>
          <cell r="BZ147">
            <v>2288574.589399368</v>
          </cell>
          <cell r="CA147">
            <v>601228.17685171554</v>
          </cell>
          <cell r="CB147">
            <v>564428.98920397484</v>
          </cell>
          <cell r="CC147">
            <v>552765.53718644159</v>
          </cell>
          <cell r="CD147">
            <v>554240.84977348719</v>
          </cell>
          <cell r="CE147">
            <v>2273397.8040201333</v>
          </cell>
          <cell r="CF147">
            <v>630455.66772649146</v>
          </cell>
          <cell r="CG147">
            <v>587202.44387037435</v>
          </cell>
          <cell r="CH147">
            <v>594181.27433047723</v>
          </cell>
          <cell r="CI147">
            <v>618155.31200562487</v>
          </cell>
          <cell r="CJ147">
            <v>2430884.666088359</v>
          </cell>
          <cell r="CK147">
            <v>679258.90245692967</v>
          </cell>
          <cell r="CL147">
            <v>636751.88220111502</v>
          </cell>
          <cell r="CM147">
            <v>633737.99779429147</v>
          </cell>
          <cell r="CO147">
            <v>1967857.8816208988</v>
          </cell>
        </row>
        <row r="148">
          <cell r="B148" t="str">
            <v>y/y change - restated</v>
          </cell>
        </row>
        <row r="150">
          <cell r="B150" t="str">
            <v>Length of Stay</v>
          </cell>
          <cell r="R150">
            <v>4.4089368972807046</v>
          </cell>
          <cell r="S150">
            <v>4.6366966632157363</v>
          </cell>
          <cell r="T150">
            <v>4.4833543921331644</v>
          </cell>
          <cell r="U150" t="str">
            <v>NM</v>
          </cell>
          <cell r="V150">
            <v>3.3311018832532504</v>
          </cell>
          <cell r="W150">
            <v>4.42711569529017</v>
          </cell>
          <cell r="X150">
            <v>4.5980152196163946</v>
          </cell>
          <cell r="Y150">
            <v>4.4957991355446554</v>
          </cell>
          <cell r="Z150" t="str">
            <v>NM</v>
          </cell>
          <cell r="AA150">
            <v>3.3808602903227718</v>
          </cell>
          <cell r="AB150">
            <v>4.4440201315615209</v>
          </cell>
          <cell r="AC150">
            <v>4.5954878171061866</v>
          </cell>
          <cell r="AD150">
            <v>4.4864696131407289</v>
          </cell>
          <cell r="AE150" t="str">
            <v>NM</v>
          </cell>
          <cell r="AF150">
            <v>3.3561214948361542</v>
          </cell>
          <cell r="AG150">
            <v>4.3820802277535043</v>
          </cell>
          <cell r="AH150">
            <v>4.4920518255162039</v>
          </cell>
          <cell r="AI150">
            <v>4.4092701806118688</v>
          </cell>
          <cell r="AJ150">
            <v>4.2656157772299572</v>
          </cell>
          <cell r="AK150">
            <v>4.3875137476408366</v>
          </cell>
          <cell r="AL150">
            <v>4.3339654340702296</v>
          </cell>
          <cell r="AM150">
            <v>4.451016898341722</v>
          </cell>
          <cell r="AN150">
            <v>4.2870000347499744</v>
          </cell>
          <cell r="AO150">
            <v>4.1811952135800752</v>
          </cell>
          <cell r="AP150">
            <v>4.3169116229154962</v>
          </cell>
          <cell r="AQ150">
            <v>4.2356220324425937</v>
          </cell>
          <cell r="AR150">
            <v>4.3714783731439635</v>
          </cell>
          <cell r="AS150">
            <v>4.307190095463711</v>
          </cell>
          <cell r="AT150">
            <v>4.2100716269551235</v>
          </cell>
          <cell r="AU150">
            <v>4.285353662302593</v>
          </cell>
          <cell r="AW150">
            <v>4.451016898341722</v>
          </cell>
          <cell r="AX150">
            <v>4.2870000347499744</v>
          </cell>
          <cell r="AY150">
            <v>4.1811952135800752</v>
          </cell>
          <cell r="AZ150">
            <v>4.2356220324425937</v>
          </cell>
          <cell r="BA150">
            <v>4.291753075315027</v>
          </cell>
          <cell r="BB150">
            <v>4.3714783731439635</v>
          </cell>
          <cell r="BC150">
            <v>4.307190095463711</v>
          </cell>
          <cell r="BD150">
            <v>4.2100716269551235</v>
          </cell>
          <cell r="BE150">
            <v>4.2474191229331417</v>
          </cell>
          <cell r="BF150">
            <v>4.2868573344462799</v>
          </cell>
          <cell r="BG150">
            <v>4.3963726451339395</v>
          </cell>
          <cell r="BH150">
            <v>4.2782233927930085</v>
          </cell>
          <cell r="BI150">
            <v>4.2036781483556274</v>
          </cell>
          <cell r="BJ150">
            <v>4.2137945710143772</v>
          </cell>
          <cell r="BK150">
            <v>4.2736015944515229</v>
          </cell>
          <cell r="BL150">
            <v>4.2965960573037831</v>
          </cell>
          <cell r="BM150">
            <v>4.2183722274781879</v>
          </cell>
          <cell r="BN150">
            <v>4.193958853609228</v>
          </cell>
          <cell r="BO150">
            <v>4.1888891818493423</v>
          </cell>
          <cell r="BP150">
            <v>4.2258227209683517</v>
          </cell>
          <cell r="BQ150">
            <v>4.4351656095842138</v>
          </cell>
          <cell r="BR150">
            <v>4.3007085856738341</v>
          </cell>
          <cell r="BS150">
            <v>4.1908955388692579</v>
          </cell>
          <cell r="BT150">
            <v>4.2305190564509809</v>
          </cell>
          <cell r="BU150">
            <v>4.2932902029031101</v>
          </cell>
          <cell r="BV150">
            <v>4.2803349288036374</v>
          </cell>
          <cell r="BW150">
            <v>4.1966615106986334</v>
          </cell>
          <cell r="BX150">
            <v>4.097623180664975</v>
          </cell>
          <cell r="BY150">
            <v>4.1813481701156059</v>
          </cell>
          <cell r="BZ150">
            <v>4.191505521763375</v>
          </cell>
          <cell r="CA150">
            <v>4.2403916948902962</v>
          </cell>
          <cell r="CB150">
            <v>4.1002563560441887</v>
          </cell>
          <cell r="CC150">
            <v>4.107002230360437</v>
          </cell>
          <cell r="CD150">
            <v>4.1032385934634883</v>
          </cell>
          <cell r="CE150">
            <v>4.1401651478764352</v>
          </cell>
          <cell r="CF150">
            <v>4.2917628283820282</v>
          </cell>
          <cell r="CG150">
            <v>4.2183780566976843</v>
          </cell>
          <cell r="CH150">
            <v>4.0878219679573817</v>
          </cell>
          <cell r="CI150">
            <v>4.1224920272204502</v>
          </cell>
          <cell r="CJ150">
            <v>4.1810809855647975</v>
          </cell>
          <cell r="CK150">
            <v>4.2812503700195368</v>
          </cell>
          <cell r="CL150">
            <v>4.1916941978112741</v>
          </cell>
          <cell r="CM150">
            <v>4.1797783788041905</v>
          </cell>
          <cell r="CN150">
            <v>0</v>
          </cell>
          <cell r="CO150">
            <v>3.1175703672083053</v>
          </cell>
        </row>
        <row r="151">
          <cell r="B151" t="str">
            <v>Average daily census</v>
          </cell>
          <cell r="R151">
            <v>1654.8369565217392</v>
          </cell>
          <cell r="S151">
            <v>1940.7666666666667</v>
          </cell>
          <cell r="T151">
            <v>1793.6373626373627</v>
          </cell>
          <cell r="U151" t="str">
            <v>NM</v>
          </cell>
          <cell r="V151">
            <v>1342.8356164383561</v>
          </cell>
          <cell r="W151">
            <v>1936.141304347826</v>
          </cell>
          <cell r="X151">
            <v>2296.0444444444443</v>
          </cell>
          <cell r="Y151">
            <v>2034.5714285714287</v>
          </cell>
          <cell r="Z151" t="str">
            <v>NM</v>
          </cell>
          <cell r="AA151">
            <v>1561.4109589041095</v>
          </cell>
          <cell r="AB151">
            <v>2188.2934782608695</v>
          </cell>
          <cell r="AC151">
            <v>2546.1555555555556</v>
          </cell>
          <cell r="AD151">
            <v>2290.1208791208792</v>
          </cell>
          <cell r="AE151" t="str">
            <v>NM</v>
          </cell>
          <cell r="AF151">
            <v>1750.3506849315067</v>
          </cell>
          <cell r="AG151">
            <v>2409.2391304347825</v>
          </cell>
          <cell r="AH151">
            <v>2920.0333333333333</v>
          </cell>
          <cell r="AI151">
            <v>2629.0879120879122</v>
          </cell>
          <cell r="AJ151">
            <v>2670.7391304347825</v>
          </cell>
          <cell r="AK151">
            <v>2655.9123287671232</v>
          </cell>
          <cell r="AL151">
            <v>2832.0108695652175</v>
          </cell>
          <cell r="AM151">
            <v>3100.0109890109889</v>
          </cell>
          <cell r="AN151">
            <v>2711.3626373626375</v>
          </cell>
          <cell r="AO151">
            <v>2613.0652173913045</v>
          </cell>
          <cell r="AP151">
            <v>2813.6120218579235</v>
          </cell>
          <cell r="AQ151">
            <v>2841.0434782608695</v>
          </cell>
          <cell r="AR151">
            <v>3761.9</v>
          </cell>
          <cell r="AS151">
            <v>3356.6263736263736</v>
          </cell>
          <cell r="AT151">
            <v>3130.554347826087</v>
          </cell>
          <cell r="AU151">
            <v>3269.6191780821919</v>
          </cell>
          <cell r="AW151">
            <v>3100.0109890109889</v>
          </cell>
          <cell r="AX151">
            <v>2711.3626373626375</v>
          </cell>
          <cell r="AY151">
            <v>2613.0652173913045</v>
          </cell>
          <cell r="AZ151">
            <v>2841.0434782608695</v>
          </cell>
          <cell r="BA151">
            <v>2815.8825136612022</v>
          </cell>
          <cell r="BB151">
            <v>3761.9</v>
          </cell>
          <cell r="BC151">
            <v>3356.6263736263736</v>
          </cell>
          <cell r="BD151">
            <v>3130.554347826087</v>
          </cell>
          <cell r="BE151">
            <v>3210.9565217391305</v>
          </cell>
          <cell r="BF151">
            <v>3362.8575342465751</v>
          </cell>
          <cell r="BG151">
            <v>3687.1888888888889</v>
          </cell>
          <cell r="BH151">
            <v>3534.3296703296705</v>
          </cell>
          <cell r="BI151">
            <v>3344.163043478261</v>
          </cell>
          <cell r="BJ151">
            <v>3443.8152173913045</v>
          </cell>
          <cell r="BK151">
            <v>3501.2739726027398</v>
          </cell>
          <cell r="BL151">
            <v>3898.9222222222224</v>
          </cell>
          <cell r="BM151">
            <v>3527.8571428571427</v>
          </cell>
          <cell r="BN151">
            <v>3450.032608695652</v>
          </cell>
          <cell r="BO151">
            <v>3453.7391304347825</v>
          </cell>
          <cell r="BP151">
            <v>3581.0547945205481</v>
          </cell>
          <cell r="BQ151">
            <v>4011.2417582417584</v>
          </cell>
          <cell r="BR151">
            <v>3488.2527472527472</v>
          </cell>
          <cell r="BS151">
            <v>3300.2391304347825</v>
          </cell>
          <cell r="BT151">
            <v>3520.6195652173915</v>
          </cell>
          <cell r="BU151">
            <v>3579.1612021857923</v>
          </cell>
          <cell r="BV151">
            <v>3964.588888888889</v>
          </cell>
          <cell r="BW151">
            <v>3577.7692307692309</v>
          </cell>
          <cell r="BX151">
            <v>3335.554347826087</v>
          </cell>
          <cell r="BY151">
            <v>3463.5652173913045</v>
          </cell>
          <cell r="BZ151">
            <v>3583.3123287671233</v>
          </cell>
          <cell r="CA151">
            <v>3839.5333333333333</v>
          </cell>
          <cell r="CB151">
            <v>3409.7912087912086</v>
          </cell>
          <cell r="CC151">
            <v>3242.478260869565</v>
          </cell>
          <cell r="CD151">
            <v>3307.9239130434785</v>
          </cell>
          <cell r="CE151">
            <v>3447.9068493150685</v>
          </cell>
          <cell r="CF151">
            <v>3884.5222222222224</v>
          </cell>
          <cell r="CG151">
            <v>3427.3626373626375</v>
          </cell>
          <cell r="CH151">
            <v>3386.271739130435</v>
          </cell>
          <cell r="CI151">
            <v>3568.913043478261</v>
          </cell>
          <cell r="CJ151">
            <v>3565.4082191780822</v>
          </cell>
          <cell r="CK151">
            <v>3973.3296703296705</v>
          </cell>
          <cell r="CL151">
            <v>3569.2967032967031</v>
          </cell>
          <cell r="CM151">
            <v>3460.4021739130435</v>
          </cell>
          <cell r="CN151">
            <v>0</v>
          </cell>
          <cell r="CO151">
            <v>2745.1803278688526</v>
          </cell>
        </row>
        <row r="152">
          <cell r="B152" t="str">
            <v>Occupany Rate</v>
          </cell>
          <cell r="R152">
            <v>0.46899999999999997</v>
          </cell>
          <cell r="S152">
            <v>0.54400000000000004</v>
          </cell>
          <cell r="T152">
            <v>0.44800000000000001</v>
          </cell>
          <cell r="U152" t="str">
            <v>ND</v>
          </cell>
          <cell r="V152" t="str">
            <v>ND</v>
          </cell>
          <cell r="W152">
            <v>0.443</v>
          </cell>
          <cell r="X152">
            <v>0.52600000000000002</v>
          </cell>
          <cell r="Y152">
            <v>0.47099999999999997</v>
          </cell>
          <cell r="Z152" t="str">
            <v>ND</v>
          </cell>
          <cell r="AA152" t="str">
            <v>ND</v>
          </cell>
          <cell r="AB152">
            <v>0.44600000000000001</v>
          </cell>
          <cell r="AC152">
            <v>0.51900000000000002</v>
          </cell>
          <cell r="AD152">
            <v>0.48199999999999998</v>
          </cell>
          <cell r="AE152" t="str">
            <v>ND</v>
          </cell>
          <cell r="AF152" t="str">
            <v>ND</v>
          </cell>
          <cell r="AG152">
            <v>0.46800000000000003</v>
          </cell>
          <cell r="AH152">
            <v>0.51800000000000002</v>
          </cell>
          <cell r="AI152">
            <v>0.46</v>
          </cell>
          <cell r="AJ152">
            <v>0.45200000000000001</v>
          </cell>
          <cell r="AK152">
            <v>0.47699999999999998</v>
          </cell>
          <cell r="AL152">
            <v>0.48499999999999999</v>
          </cell>
          <cell r="AM152">
            <v>0.52400000000000002</v>
          </cell>
          <cell r="AN152">
            <v>0.45800000000000002</v>
          </cell>
          <cell r="AO152">
            <v>0.48</v>
          </cell>
          <cell r="AP152">
            <v>0.48899999999999999</v>
          </cell>
          <cell r="AQ152">
            <v>0.45600000000000002</v>
          </cell>
          <cell r="AR152">
            <v>0.51600000000000001</v>
          </cell>
          <cell r="AS152">
            <v>0.45900000000000002</v>
          </cell>
          <cell r="AT152">
            <v>0.42499999999999999</v>
          </cell>
          <cell r="AU152">
            <v>0.46800000000000003</v>
          </cell>
          <cell r="AW152">
            <v>0.52400000000000002</v>
          </cell>
          <cell r="AX152">
            <v>0.45800000000000002</v>
          </cell>
          <cell r="AY152">
            <v>0.48</v>
          </cell>
          <cell r="AZ152">
            <v>0.45600000000000002</v>
          </cell>
          <cell r="BA152">
            <v>0</v>
          </cell>
          <cell r="BB152">
            <v>0.51600000000000001</v>
          </cell>
          <cell r="BC152">
            <v>0.45900000000000002</v>
          </cell>
          <cell r="BD152">
            <v>0.42499999999999999</v>
          </cell>
          <cell r="BE152">
            <v>0.438</v>
          </cell>
          <cell r="BF152">
            <v>0</v>
          </cell>
          <cell r="BG152">
            <v>0.502</v>
          </cell>
          <cell r="BH152">
            <v>0.434</v>
          </cell>
          <cell r="BI152">
            <v>0.432</v>
          </cell>
          <cell r="BJ152">
            <v>0.44</v>
          </cell>
          <cell r="BK152">
            <v>0.46100000000000002</v>
          </cell>
          <cell r="BL152">
            <v>0.49199999999999999</v>
          </cell>
          <cell r="BM152">
            <v>0.44800000000000001</v>
          </cell>
          <cell r="BN152">
            <v>0.42399999999999999</v>
          </cell>
          <cell r="BO152">
            <v>0.42799999999999999</v>
          </cell>
          <cell r="BP152">
            <v>0.45</v>
          </cell>
          <cell r="BQ152">
            <v>0.51</v>
          </cell>
          <cell r="BR152">
            <v>0.442</v>
          </cell>
          <cell r="BS152">
            <v>0.41899999999999998</v>
          </cell>
          <cell r="BT152">
            <v>0.44400000000000001</v>
          </cell>
          <cell r="BU152">
            <v>0.45</v>
          </cell>
          <cell r="BV152">
            <v>0.496</v>
          </cell>
          <cell r="BW152">
            <v>0.44800000000000001</v>
          </cell>
          <cell r="BX152">
            <v>0.42499999999999999</v>
          </cell>
          <cell r="BY152">
            <v>0.442</v>
          </cell>
          <cell r="BZ152">
            <v>0.44900000000000001</v>
          </cell>
          <cell r="CA152">
            <v>0.48899999999999999</v>
          </cell>
          <cell r="CB152">
            <v>0.435</v>
          </cell>
          <cell r="CC152">
            <v>0.41399999999999998</v>
          </cell>
          <cell r="CD152">
            <v>0.41899999999999998</v>
          </cell>
          <cell r="CE152">
            <v>0.435</v>
          </cell>
          <cell r="CF152">
            <v>0.47299999999999998</v>
          </cell>
          <cell r="CG152">
            <v>0.41699999999999998</v>
          </cell>
          <cell r="CH152">
            <v>0.40500000000000003</v>
          </cell>
          <cell r="CI152">
            <v>0.40699999999999997</v>
          </cell>
          <cell r="CJ152">
            <v>0.42099999999999999</v>
          </cell>
          <cell r="CK152">
            <v>0.45300000000000001</v>
          </cell>
          <cell r="CL152">
            <v>0.40300000000000002</v>
          </cell>
          <cell r="CM152">
            <v>0.38900000000000001</v>
          </cell>
        </row>
        <row r="155">
          <cell r="B155" t="str">
            <v>Same-Store Gross Revenue</v>
          </cell>
          <cell r="D155" t="str">
            <v>NM</v>
          </cell>
          <cell r="E155" t="str">
            <v>NM</v>
          </cell>
          <cell r="F155" t="str">
            <v>NM</v>
          </cell>
          <cell r="G155" t="str">
            <v>NM</v>
          </cell>
          <cell r="H155" t="str">
            <v>NM</v>
          </cell>
          <cell r="I155" t="str">
            <v>NM</v>
          </cell>
          <cell r="J155" t="str">
            <v>NM</v>
          </cell>
          <cell r="K155" t="str">
            <v>NM</v>
          </cell>
          <cell r="L155" t="str">
            <v>NM</v>
          </cell>
          <cell r="M155" t="str">
            <v>NM</v>
          </cell>
          <cell r="N155" t="str">
            <v>NM</v>
          </cell>
          <cell r="O155" t="str">
            <v>NM</v>
          </cell>
          <cell r="P155" t="str">
            <v>NM</v>
          </cell>
          <cell r="Q155">
            <v>0</v>
          </cell>
          <cell r="R155" t="str">
            <v>NM</v>
          </cell>
          <cell r="S155" t="str">
            <v>NM</v>
          </cell>
          <cell r="T155" t="str">
            <v>NM</v>
          </cell>
          <cell r="U155" t="str">
            <v>NM</v>
          </cell>
          <cell r="V155">
            <v>0</v>
          </cell>
          <cell r="W155" t="str">
            <v>NM</v>
          </cell>
          <cell r="X155" t="str">
            <v>NM</v>
          </cell>
          <cell r="Y155" t="str">
            <v>NM</v>
          </cell>
          <cell r="Z155" t="str">
            <v>NM</v>
          </cell>
          <cell r="AA155">
            <v>0</v>
          </cell>
          <cell r="AB155" t="str">
            <v>NM</v>
          </cell>
          <cell r="AC155" t="str">
            <v>NM</v>
          </cell>
          <cell r="AD155" t="str">
            <v>NM</v>
          </cell>
          <cell r="AE155" t="str">
            <v>NM</v>
          </cell>
          <cell r="AF155">
            <v>0</v>
          </cell>
          <cell r="AG155" t="str">
            <v>NM</v>
          </cell>
          <cell r="AH155">
            <v>618.76400000000001</v>
          </cell>
          <cell r="AI155" t="str">
            <v>NM</v>
          </cell>
          <cell r="AJ155">
            <v>635.04499999999996</v>
          </cell>
          <cell r="AK155">
            <v>1253.809</v>
          </cell>
          <cell r="AL155">
            <v>651.48299999999995</v>
          </cell>
          <cell r="AM155">
            <v>685.41399999999999</v>
          </cell>
          <cell r="AN155">
            <v>671.66800000000001</v>
          </cell>
          <cell r="AO155">
            <v>656.86500000000001</v>
          </cell>
          <cell r="AP155">
            <v>2665.4300000000003</v>
          </cell>
          <cell r="AQ155">
            <v>711.85900000000004</v>
          </cell>
          <cell r="AR155">
            <v>859.17499999999995</v>
          </cell>
          <cell r="AS155">
            <v>849.59199999999998</v>
          </cell>
          <cell r="AT155">
            <v>816.58900000000006</v>
          </cell>
          <cell r="AU155">
            <v>3237.2150000000001</v>
          </cell>
          <cell r="AW155">
            <v>685.41399999999999</v>
          </cell>
          <cell r="AX155">
            <v>671.66800000000001</v>
          </cell>
          <cell r="AY155">
            <v>656.86500000000001</v>
          </cell>
          <cell r="AZ155">
            <v>711.85900000000004</v>
          </cell>
          <cell r="BA155">
            <v>2725.806</v>
          </cell>
          <cell r="BB155">
            <v>859.17499999999995</v>
          </cell>
          <cell r="BC155">
            <v>849.59199999999998</v>
          </cell>
          <cell r="BD155">
            <v>816.58900000000006</v>
          </cell>
          <cell r="BE155">
            <v>846.84100000000001</v>
          </cell>
          <cell r="BF155">
            <v>3372.1969999999997</v>
          </cell>
          <cell r="BG155">
            <v>916.07500000000005</v>
          </cell>
          <cell r="BH155">
            <v>959.42700000000002</v>
          </cell>
          <cell r="BI155">
            <v>925.36</v>
          </cell>
          <cell r="BJ155">
            <v>967.23</v>
          </cell>
          <cell r="BK155">
            <v>3768.0920000000001</v>
          </cell>
          <cell r="BL155">
            <v>1067.606</v>
          </cell>
          <cell r="BM155">
            <v>1026.1959999999999</v>
          </cell>
          <cell r="BN155">
            <v>1054.4549999999999</v>
          </cell>
          <cell r="BO155">
            <v>1071.0139999999999</v>
          </cell>
          <cell r="BP155">
            <v>4219.2709999999997</v>
          </cell>
          <cell r="BQ155">
            <v>1133.8150000000001</v>
          </cell>
          <cell r="BR155">
            <v>1105.299</v>
          </cell>
          <cell r="BS155">
            <v>1081.914</v>
          </cell>
          <cell r="BT155">
            <v>1111.826</v>
          </cell>
          <cell r="BU155">
            <v>4432.8540000000003</v>
          </cell>
          <cell r="BV155">
            <v>1188.0229999999999</v>
          </cell>
          <cell r="BW155">
            <v>1155.453</v>
          </cell>
          <cell r="BX155">
            <v>1121.903</v>
          </cell>
          <cell r="BY155">
            <v>1176.5630000000001</v>
          </cell>
          <cell r="BZ155">
            <v>4594.9359999999997</v>
          </cell>
          <cell r="CA155">
            <v>1216.316</v>
          </cell>
          <cell r="CB155">
            <v>1176.7470000000001</v>
          </cell>
          <cell r="CC155">
            <v>1179.4549999999999</v>
          </cell>
          <cell r="CD155">
            <v>1209.6500000000001</v>
          </cell>
          <cell r="CE155">
            <v>4782.1679999999997</v>
          </cell>
          <cell r="CF155">
            <v>1332.971</v>
          </cell>
          <cell r="CG155">
            <v>1281.644</v>
          </cell>
          <cell r="CH155">
            <v>1309.0119999999999</v>
          </cell>
          <cell r="CI155">
            <v>1420.432</v>
          </cell>
          <cell r="CJ155">
            <v>5344.0589999999993</v>
          </cell>
          <cell r="CK155">
            <v>1518.7</v>
          </cell>
          <cell r="CL155">
            <v>1493.9</v>
          </cell>
          <cell r="CM155">
            <v>1477</v>
          </cell>
          <cell r="CN155">
            <v>1685.0061297917275</v>
          </cell>
          <cell r="CO155">
            <v>6174.6061297917277</v>
          </cell>
          <cell r="CP155">
            <v>1749.946240270453</v>
          </cell>
          <cell r="CQ155">
            <v>1748.3017764068638</v>
          </cell>
          <cell r="CR155">
            <v>1727.0014888007336</v>
          </cell>
          <cell r="CS155">
            <v>1774.4609769352023</v>
          </cell>
          <cell r="CT155">
            <v>6999.710482413253</v>
          </cell>
          <cell r="CU155">
            <v>1808.7387179919394</v>
          </cell>
          <cell r="CV155">
            <v>1781.0200924392448</v>
          </cell>
          <cell r="CW155">
            <v>1761.1587791980387</v>
          </cell>
          <cell r="CX155">
            <v>1806.0845996925368</v>
          </cell>
          <cell r="CY155">
            <v>7157.0021893217599</v>
          </cell>
          <cell r="CZ155">
            <v>1881.1170686709002</v>
          </cell>
          <cell r="DA155">
            <v>1849.8988829022953</v>
          </cell>
          <cell r="DB155">
            <v>1830.7465494006099</v>
          </cell>
          <cell r="DC155">
            <v>1881.3219862595788</v>
          </cell>
          <cell r="DD155">
            <v>7443.0844872333846</v>
          </cell>
          <cell r="DE155">
            <v>1964.9563156098177</v>
          </cell>
          <cell r="DF155">
            <v>1927.8969063987906</v>
          </cell>
          <cell r="DG155">
            <v>1909.0801770309545</v>
          </cell>
          <cell r="DH155">
            <v>1957.1362860311051</v>
          </cell>
          <cell r="DI155">
            <v>7759.0696850706681</v>
          </cell>
        </row>
        <row r="156">
          <cell r="B156" t="str">
            <v>y/y change - restated</v>
          </cell>
          <cell r="AL156">
            <v>7.8721396165181812E-2</v>
          </cell>
          <cell r="AM156">
            <v>6.950885361728143E-2</v>
          </cell>
          <cell r="AN156">
            <v>4.7590676201542559E-2</v>
          </cell>
          <cell r="AO156">
            <v>3.6664757043903817E-2</v>
          </cell>
          <cell r="AP156" t="str">
            <v>NM</v>
          </cell>
          <cell r="AQ156" t="str">
            <v>NM</v>
          </cell>
          <cell r="AR156">
            <v>3.7911697624523955E-2</v>
          </cell>
          <cell r="AS156">
            <v>5.1326916746894602E-2</v>
          </cell>
          <cell r="AT156">
            <v>4.6098918273542067E-2</v>
          </cell>
          <cell r="AU156">
            <v>0.1565472230776761</v>
          </cell>
          <cell r="AW156">
            <v>6.950885361728143E-2</v>
          </cell>
          <cell r="AX156">
            <v>4.7590676201542559E-2</v>
          </cell>
          <cell r="AY156">
            <v>3.6664757043903817E-2</v>
          </cell>
          <cell r="AZ156" t="str">
            <v>NM</v>
          </cell>
          <cell r="BB156">
            <v>3.7911697624523955E-2</v>
          </cell>
          <cell r="BC156">
            <v>5.1326916746894602E-2</v>
          </cell>
          <cell r="BD156">
            <v>4.6098918273542067E-2</v>
          </cell>
          <cell r="BE156">
            <v>4.6772443084195148E-2</v>
          </cell>
          <cell r="BF156">
            <v>4.5476501095019772E-2</v>
          </cell>
          <cell r="BG156">
            <v>6.541037620096013E-2</v>
          </cell>
          <cell r="BH156">
            <v>4.0918421372402758E-2</v>
          </cell>
          <cell r="BI156">
            <v>4.5076667491108946E-2</v>
          </cell>
          <cell r="BJ156">
            <v>6.078951351280204E-2</v>
          </cell>
          <cell r="BK156">
            <v>0.13209494944153755</v>
          </cell>
          <cell r="BL156">
            <v>6.8250154843370492E-2</v>
          </cell>
          <cell r="BM156">
            <v>7.0758841464050759E-2</v>
          </cell>
          <cell r="BN156">
            <v>6.5409540899528995E-2</v>
          </cell>
          <cell r="BO156">
            <v>4.6410789516879047E-2</v>
          </cell>
          <cell r="BP156">
            <v>0.10134086620546778</v>
          </cell>
          <cell r="BQ156">
            <v>3.1245281783272238E-2</v>
          </cell>
          <cell r="BR156">
            <v>3.8713321254313371E-2</v>
          </cell>
          <cell r="BS156">
            <v>3.3528337358236682E-2</v>
          </cell>
          <cell r="BT156">
            <v>3.2831916528175631E-2</v>
          </cell>
          <cell r="BU156">
            <v>4.4459434974309486E-2</v>
          </cell>
          <cell r="BV156" t="str">
            <v>NM</v>
          </cell>
          <cell r="BW156" t="str">
            <v>NM</v>
          </cell>
          <cell r="BX156" t="str">
            <v>NM</v>
          </cell>
          <cell r="BY156">
            <v>7.9496806181749591E-2</v>
          </cell>
          <cell r="BZ156">
            <v>5.3771775768920005E-2</v>
          </cell>
          <cell r="CA156">
            <v>4.4312508317556842E-2</v>
          </cell>
          <cell r="CB156">
            <v>3.9745000066268243E-2</v>
          </cell>
          <cell r="CC156">
            <v>5.1298552548660448E-2</v>
          </cell>
          <cell r="CD156">
            <v>2.123086326574386E-2</v>
          </cell>
          <cell r="CE156">
            <v>4.9455441296749392E-2</v>
          </cell>
          <cell r="CF156">
            <v>4.8144123345579048E-2</v>
          </cell>
          <cell r="CG156">
            <v>4.1901437361647531E-2</v>
          </cell>
          <cell r="CH156">
            <v>4.6906415901954768E-2</v>
          </cell>
          <cell r="CI156">
            <v>5.4868408056446549E-2</v>
          </cell>
          <cell r="CJ156">
            <v>4.9466769150887657E-2</v>
          </cell>
          <cell r="CK156">
            <v>0.21035098345500347</v>
          </cell>
          <cell r="CL156">
            <v>0.21994241225054423</v>
          </cell>
          <cell r="CM156">
            <v>0.21103095877247213</v>
          </cell>
        </row>
        <row r="157">
          <cell r="B157" t="str">
            <v>y/y change - reported</v>
          </cell>
          <cell r="AL157" t="str">
            <v>NM</v>
          </cell>
          <cell r="AM157">
            <v>0.10771473453529934</v>
          </cell>
          <cell r="AN157" t="str">
            <v>NM</v>
          </cell>
          <cell r="AO157">
            <v>3.4359769780094362E-2</v>
          </cell>
          <cell r="AP157">
            <v>1.1258660609391065</v>
          </cell>
          <cell r="AQ157">
            <v>9.2674712924205371E-2</v>
          </cell>
          <cell r="AR157">
            <v>0.25351247567163782</v>
          </cell>
          <cell r="AS157">
            <v>0.26489872972956885</v>
          </cell>
          <cell r="AT157">
            <v>0.24316107571571033</v>
          </cell>
          <cell r="AU157">
            <v>0.21451885812045335</v>
          </cell>
          <cell r="AW157">
            <v>0.10771473453529934</v>
          </cell>
          <cell r="AX157" t="str">
            <v>NM</v>
          </cell>
          <cell r="AY157">
            <v>3.4359769780094362E-2</v>
          </cell>
          <cell r="AZ157">
            <v>9.2674712924205371E-2</v>
          </cell>
          <cell r="BB157">
            <v>3.0300740969916307E-2</v>
          </cell>
          <cell r="BC157">
            <v>3.9458439011379465E-2</v>
          </cell>
          <cell r="BD157">
            <v>2.3186782343713297E-2</v>
          </cell>
          <cell r="BE157">
            <v>2.9993395614834162E-2</v>
          </cell>
          <cell r="BF157">
            <v>3.0775974296907593E-2</v>
          </cell>
          <cell r="BG157">
            <v>-1.496542583339755E-3</v>
          </cell>
          <cell r="BH157">
            <v>2.6933500595120785E-2</v>
          </cell>
          <cell r="BI157">
            <v>2.1828814742179681E-2</v>
          </cell>
          <cell r="BJ157">
            <v>3.2810359390199384E-2</v>
          </cell>
          <cell r="BK157">
            <v>2.0110687970432695E-2</v>
          </cell>
          <cell r="BL157">
            <v>3.3840760753781396E-2</v>
          </cell>
          <cell r="BM157">
            <v>4.0997802361237845E-3</v>
          </cell>
          <cell r="BN157">
            <v>6.0701470962498005E-2</v>
          </cell>
          <cell r="BO157">
            <v>1.7365276855574985E-2</v>
          </cell>
          <cell r="BP157">
            <v>2.8711620842079899E-2</v>
          </cell>
          <cell r="BQ157">
            <v>-8.4982243625674192E-3</v>
          </cell>
          <cell r="BR157">
            <v>5.5842592668406965E-3</v>
          </cell>
          <cell r="BS157">
            <v>1.0956008705004461E-2</v>
          </cell>
          <cell r="BT157">
            <v>1.4182533992290303E-2</v>
          </cell>
          <cell r="BU157">
            <v>5.373584679715826E-3</v>
          </cell>
          <cell r="BV157">
            <v>3.0758165216576483E-2</v>
          </cell>
          <cell r="BW157">
            <v>4.5375957093962915E-2</v>
          </cell>
          <cell r="BX157">
            <v>3.6961348129333826E-2</v>
          </cell>
          <cell r="BY157">
            <v>5.8225837496155064E-2</v>
          </cell>
          <cell r="BZ157">
            <v>3.2196209417219901E-2</v>
          </cell>
          <cell r="CA157">
            <v>2.3815195497056907E-2</v>
          </cell>
          <cell r="CB157">
            <v>1.8429135585783296E-2</v>
          </cell>
          <cell r="CC157">
            <v>5.1298552548660448E-2</v>
          </cell>
          <cell r="CD157">
            <v>9.0759695354405423E-3</v>
          </cell>
          <cell r="CE157">
            <v>2.530343691850323E-2</v>
          </cell>
          <cell r="CF157">
            <v>3.7316179760766177E-2</v>
          </cell>
          <cell r="CG157">
            <v>2.713363739163821E-2</v>
          </cell>
          <cell r="CH157">
            <v>3.01835504254091E-2</v>
          </cell>
          <cell r="CI157">
            <v>5.0569538755335319E-2</v>
          </cell>
          <cell r="CJ157">
            <v>3.6569512623740863E-2</v>
          </cell>
          <cell r="CK157">
            <v>5.9330752956981536E-2</v>
          </cell>
          <cell r="CL157">
            <v>7.0625139301667694E-2</v>
          </cell>
          <cell r="CM157">
            <v>5.4816160612007669E-2</v>
          </cell>
          <cell r="CN157">
            <v>6.391829250368275E-2</v>
          </cell>
          <cell r="CO157">
            <v>6.2204263433780493E-2</v>
          </cell>
          <cell r="CP157">
            <v>3.7608990992360036E-2</v>
          </cell>
          <cell r="CQ157">
            <v>3.6619789502220224E-2</v>
          </cell>
          <cell r="CR157">
            <v>3.7744850068371916E-2</v>
          </cell>
          <cell r="CS157">
            <v>3.4818273051297588E-2</v>
          </cell>
          <cell r="CT157">
            <v>3.6686652027043465E-2</v>
          </cell>
          <cell r="CU157">
            <v>1.9756752552028356E-2</v>
          </cell>
          <cell r="CV157">
            <v>1.8714341238973198E-2</v>
          </cell>
          <cell r="CW157">
            <v>1.9778379242177069E-2</v>
          </cell>
          <cell r="CX157">
            <v>1.7821537451871095E-2</v>
          </cell>
          <cell r="CY157">
            <v>1.9013662459252956E-2</v>
          </cell>
          <cell r="CZ157">
            <v>4.0015923781028473E-2</v>
          </cell>
          <cell r="DA157">
            <v>3.8673786306765212E-2</v>
          </cell>
          <cell r="DB157">
            <v>3.9512490880724949E-2</v>
          </cell>
          <cell r="DC157">
            <v>4.1657731082946015E-2</v>
          </cell>
          <cell r="DD157">
            <v>3.9972364174829966E-2</v>
          </cell>
          <cell r="DE157">
            <v>4.4568861946563398E-2</v>
          </cell>
          <cell r="DF157">
            <v>4.2163398344305492E-2</v>
          </cell>
          <cell r="DG157">
            <v>4.2787805693798031E-2</v>
          </cell>
          <cell r="DH157">
            <v>4.0298417987587154E-2</v>
          </cell>
          <cell r="DI157">
            <v>4.2453528289148279E-2</v>
          </cell>
        </row>
        <row r="158">
          <cell r="B158" t="str">
            <v>Same-store outpatient revenue</v>
          </cell>
          <cell r="AL158">
            <v>302.939595</v>
          </cell>
          <cell r="AM158">
            <v>301.58215999999999</v>
          </cell>
          <cell r="AN158">
            <v>329.78898800000002</v>
          </cell>
          <cell r="AO158">
            <v>314.63833499999998</v>
          </cell>
          <cell r="AP158">
            <v>1248.9490780000001</v>
          </cell>
          <cell r="AQ158">
            <v>330.30257600000004</v>
          </cell>
          <cell r="AR158">
            <v>398.65719999999999</v>
          </cell>
          <cell r="AS158">
            <v>415.45048800000001</v>
          </cell>
          <cell r="AT158">
            <v>414.01062300000001</v>
          </cell>
          <cell r="AU158">
            <v>1558.4208870000002</v>
          </cell>
          <cell r="AW158">
            <v>301.58215999999999</v>
          </cell>
          <cell r="AX158">
            <v>329.78898800000002</v>
          </cell>
          <cell r="AY158">
            <v>314.63833499999998</v>
          </cell>
          <cell r="AZ158">
            <v>330.30257600000004</v>
          </cell>
          <cell r="BA158">
            <v>1276.3120589999999</v>
          </cell>
          <cell r="BB158">
            <v>398.65719999999999</v>
          </cell>
          <cell r="BC158">
            <v>415.45048800000001</v>
          </cell>
          <cell r="BD158">
            <v>414.01062300000001</v>
          </cell>
          <cell r="BE158">
            <v>410.71788499999997</v>
          </cell>
          <cell r="BF158">
            <v>1638.8361960000002</v>
          </cell>
          <cell r="BG158">
            <v>451.62497500000001</v>
          </cell>
          <cell r="BH158">
            <v>476.835219</v>
          </cell>
          <cell r="BI158">
            <v>438.62063999999998</v>
          </cell>
          <cell r="BJ158">
            <v>478.77884999999998</v>
          </cell>
          <cell r="BK158">
            <v>1845.8596839999998</v>
          </cell>
          <cell r="BL158">
            <v>514.58609200000001</v>
          </cell>
          <cell r="BM158">
            <v>488.46929599999993</v>
          </cell>
          <cell r="BN158">
            <v>532.499775</v>
          </cell>
          <cell r="BO158">
            <v>531.22294399999998</v>
          </cell>
          <cell r="BP158">
            <v>2066.7781070000001</v>
          </cell>
          <cell r="BQ158">
            <v>534.02686500000004</v>
          </cell>
          <cell r="BR158">
            <v>539.38591199999996</v>
          </cell>
          <cell r="BS158">
            <v>543.12082799999996</v>
          </cell>
          <cell r="BT158">
            <v>525.89369799999997</v>
          </cell>
          <cell r="BU158">
            <v>2142.4273029999999</v>
          </cell>
          <cell r="BV158">
            <v>557.18278699999996</v>
          </cell>
          <cell r="BW158">
            <v>546.529269</v>
          </cell>
          <cell r="BX158">
            <v>563.19530599999996</v>
          </cell>
          <cell r="BY158">
            <v>585.92837400000008</v>
          </cell>
          <cell r="BZ158">
            <v>2228.54396</v>
          </cell>
          <cell r="CA158">
            <v>591.12957600000004</v>
          </cell>
          <cell r="CB158">
            <v>596.61072899999999</v>
          </cell>
          <cell r="CC158">
            <v>607.41932499999996</v>
          </cell>
          <cell r="CD158">
            <v>603.61535000000003</v>
          </cell>
          <cell r="CE158">
            <v>2398.7749800000001</v>
          </cell>
          <cell r="CF158">
            <v>658.48767399999997</v>
          </cell>
          <cell r="CG158">
            <v>669.01816800000006</v>
          </cell>
          <cell r="CH158">
            <v>689.84932400000002</v>
          </cell>
          <cell r="CI158">
            <v>741.46550400000001</v>
          </cell>
          <cell r="CJ158">
            <v>2758.8206700000001</v>
          </cell>
          <cell r="CK158">
            <v>803.39230000000009</v>
          </cell>
          <cell r="CL158">
            <v>815.66940000000011</v>
          </cell>
          <cell r="CM158">
            <v>819.73500000000013</v>
          </cell>
          <cell r="CN158">
            <v>938.0653807650001</v>
          </cell>
          <cell r="CO158">
            <v>3376.8620807650004</v>
          </cell>
          <cell r="CP158">
            <v>951.51237412500006</v>
          </cell>
          <cell r="CQ158">
            <v>983.7804470625</v>
          </cell>
          <cell r="CR158">
            <v>979.58207287499999</v>
          </cell>
          <cell r="CS158">
            <v>1014.2918276129393</v>
          </cell>
          <cell r="CT158">
            <v>3929.1667216754395</v>
          </cell>
          <cell r="CU158">
            <v>996.69616385939821</v>
          </cell>
          <cell r="CV158">
            <v>1015.1311434509</v>
          </cell>
          <cell r="CW158">
            <v>1011.7074389968886</v>
          </cell>
          <cell r="CX158">
            <v>1045.4285603845876</v>
          </cell>
          <cell r="CY158">
            <v>4068.9633066917741</v>
          </cell>
          <cell r="CZ158">
            <v>1048.8192649934936</v>
          </cell>
          <cell r="DA158">
            <v>1066.3425868912084</v>
          </cell>
          <cell r="DB158">
            <v>1063.466242470208</v>
          </cell>
          <cell r="DC158">
            <v>1101.0160634739905</v>
          </cell>
          <cell r="DD158">
            <v>4279.6441578289005</v>
          </cell>
          <cell r="DE158">
            <v>1108.2278343888534</v>
          </cell>
          <cell r="DF158">
            <v>1123.6469043948082</v>
          </cell>
          <cell r="DG158">
            <v>1121.1473192331164</v>
          </cell>
          <cell r="DH158">
            <v>1157.8769478696734</v>
          </cell>
          <cell r="DI158">
            <v>4510.8990058864511</v>
          </cell>
        </row>
        <row r="159">
          <cell r="B159" t="str">
            <v>% of net revenue</v>
          </cell>
          <cell r="AL159">
            <v>0.46500000000000002</v>
          </cell>
          <cell r="AM159">
            <v>0.44</v>
          </cell>
          <cell r="AN159">
            <v>0.49099999999999999</v>
          </cell>
          <cell r="AO159">
            <v>0.47899999999999998</v>
          </cell>
          <cell r="AQ159">
            <v>0.46400000000000002</v>
          </cell>
          <cell r="AR159">
            <v>0.46400000000000002</v>
          </cell>
          <cell r="AS159">
            <v>0.48899999999999999</v>
          </cell>
          <cell r="AT159">
            <v>0.50700000000000001</v>
          </cell>
          <cell r="AW159">
            <v>0.44</v>
          </cell>
          <cell r="AX159">
            <v>0.49099999999999999</v>
          </cell>
          <cell r="AY159">
            <v>0.47899999999999998</v>
          </cell>
          <cell r="AZ159">
            <v>0.46400000000000002</v>
          </cell>
          <cell r="BB159">
            <v>0.46400000000000002</v>
          </cell>
          <cell r="BC159">
            <v>0.48899999999999999</v>
          </cell>
          <cell r="BD159">
            <v>0.50700000000000001</v>
          </cell>
          <cell r="BE159">
            <v>0.48499999999999999</v>
          </cell>
          <cell r="BG159">
            <v>0.49299999999999999</v>
          </cell>
          <cell r="BH159">
            <v>0.497</v>
          </cell>
          <cell r="BI159">
            <v>0.47399999999999998</v>
          </cell>
          <cell r="BJ159">
            <v>0.495</v>
          </cell>
          <cell r="BL159">
            <v>0.48199999999999998</v>
          </cell>
          <cell r="BM159">
            <v>0.47599999999999998</v>
          </cell>
          <cell r="BN159">
            <v>0.505</v>
          </cell>
          <cell r="BO159">
            <v>0.496</v>
          </cell>
          <cell r="BQ159">
            <v>0.47099999999999997</v>
          </cell>
          <cell r="BR159">
            <v>0.48799999999999999</v>
          </cell>
          <cell r="BS159">
            <v>0.502</v>
          </cell>
          <cell r="BT159">
            <v>0.47299999999999998</v>
          </cell>
          <cell r="BV159">
            <v>0.46899999999999997</v>
          </cell>
          <cell r="BW159">
            <v>0.47299999999999998</v>
          </cell>
          <cell r="BX159">
            <v>0.502</v>
          </cell>
          <cell r="BY159">
            <v>0.498</v>
          </cell>
          <cell r="BZ159">
            <v>0.48499999999999999</v>
          </cell>
          <cell r="CA159">
            <v>0.48599999999999999</v>
          </cell>
          <cell r="CB159">
            <v>0.50700000000000001</v>
          </cell>
          <cell r="CC159">
            <v>0.51500000000000001</v>
          </cell>
          <cell r="CD159">
            <v>0.499</v>
          </cell>
          <cell r="CF159">
            <v>0.49399999999999999</v>
          </cell>
          <cell r="CG159">
            <v>0.52200000000000002</v>
          </cell>
          <cell r="CH159">
            <v>0.52700000000000002</v>
          </cell>
          <cell r="CI159">
            <v>0.52200000000000002</v>
          </cell>
          <cell r="CK159">
            <v>0.52900000000000003</v>
          </cell>
          <cell r="CL159">
            <v>0.54600000000000004</v>
          </cell>
          <cell r="CM159">
            <v>0.55500000000000005</v>
          </cell>
          <cell r="CN159">
            <v>0.55671333426006475</v>
          </cell>
          <cell r="CO159">
            <v>0.54689513950890722</v>
          </cell>
          <cell r="CP159">
            <v>0.54373806019203452</v>
          </cell>
          <cell r="CQ159">
            <v>0.56270631325695974</v>
          </cell>
          <cell r="CR159">
            <v>0.56721553468679553</v>
          </cell>
          <cell r="CS159">
            <v>0.57160559786713083</v>
          </cell>
          <cell r="CT159">
            <v>0.56133274819686563</v>
          </cell>
          <cell r="CU159">
            <v>0.55104485459675989</v>
          </cell>
          <cell r="CV159">
            <v>0.56997175257051669</v>
          </cell>
          <cell r="CW159">
            <v>0.57445555218909894</v>
          </cell>
          <cell r="CX159">
            <v>0.57883698280942031</v>
          </cell>
          <cell r="CY159">
            <v>0.56852900125735095</v>
          </cell>
          <cell r="CZ159">
            <v>0.55755129888568544</v>
          </cell>
          <cell r="DA159">
            <v>0.57643290492625732</v>
          </cell>
          <cell r="DB159">
            <v>0.58089211902018278</v>
          </cell>
          <cell r="DC159">
            <v>0.58523531405860885</v>
          </cell>
          <cell r="DD159">
            <v>0.57498261173435317</v>
          </cell>
          <cell r="DE159">
            <v>0.56399616906746275</v>
          </cell>
          <cell r="DF159">
            <v>0.58283557625169968</v>
          </cell>
          <cell r="DG159">
            <v>0.58727094478386477</v>
          </cell>
          <cell r="DH159">
            <v>0.59161794512417054</v>
          </cell>
          <cell r="DI159">
            <v>0.58137111650974516</v>
          </cell>
        </row>
        <row r="160">
          <cell r="B160" t="str">
            <v>y/y change - reported</v>
          </cell>
          <cell r="AL160">
            <v>0.11456446236445861</v>
          </cell>
          <cell r="AM160">
            <v>6.5078989178552815E-2</v>
          </cell>
          <cell r="AN160">
            <v>6.8386153267365968E-2</v>
          </cell>
          <cell r="AO160">
            <v>1.8074855689455216E-2</v>
          </cell>
          <cell r="AP160">
            <v>6.5031504400453466E-2</v>
          </cell>
          <cell r="AQ160">
            <v>-7.6979254374901718E-2</v>
          </cell>
          <cell r="AR160">
            <v>3.0300740969916085E-2</v>
          </cell>
          <cell r="AS160">
            <v>4.3727262169537262E-2</v>
          </cell>
          <cell r="AT160">
            <v>5.8685099282168585E-2</v>
          </cell>
          <cell r="AU160">
            <v>1.5993496722178202E-2</v>
          </cell>
          <cell r="BB160">
            <v>3.0300740969916085E-2</v>
          </cell>
          <cell r="BC160">
            <v>4.3727262169537262E-2</v>
          </cell>
          <cell r="BD160">
            <v>5.8685099282168585E-2</v>
          </cell>
          <cell r="BE160">
            <v>6.7407685626483804E-2</v>
          </cell>
          <cell r="BF160">
            <v>4.998425433207121E-2</v>
          </cell>
          <cell r="BG160">
            <v>6.7813892638640905E-2</v>
          </cell>
          <cell r="BH160">
            <v>2.4871385132078538E-2</v>
          </cell>
          <cell r="BI160">
            <v>-2.7415947414069941E-2</v>
          </cell>
          <cell r="BJ160">
            <v>5.6283322103613198E-2</v>
          </cell>
          <cell r="BK160">
            <v>2.9791704031067345E-2</v>
          </cell>
          <cell r="BL160">
            <v>8.7272200067260997E-3</v>
          </cell>
          <cell r="BM160">
            <v>-4.0258041380733078E-2</v>
          </cell>
          <cell r="BN160">
            <v>9.317192415522757E-2</v>
          </cell>
          <cell r="BO160">
            <v>9.2263546407302943E-3</v>
          </cell>
          <cell r="BP160">
            <v>1.6828017272629392E-2</v>
          </cell>
          <cell r="BQ160">
            <v>-3.9100131018043771E-2</v>
          </cell>
          <cell r="BR160">
            <v>2.0218541626233266E-2</v>
          </cell>
          <cell r="BS160">
            <v>6.9442785117304062E-3</v>
          </cell>
          <cell r="BT160">
            <v>-2.8930488707786917E-2</v>
          </cell>
          <cell r="BU160">
            <v>-1.0604446907717446E-2</v>
          </cell>
          <cell r="BV160">
            <v>2.638127279527458E-2</v>
          </cell>
          <cell r="BW160">
            <v>1.3243499396402569E-2</v>
          </cell>
          <cell r="BX160">
            <v>3.6961348129333826E-2</v>
          </cell>
          <cell r="BY160">
            <v>0.11415743567248482</v>
          </cell>
          <cell r="BZ160">
            <v>3.5924083346711155E-2</v>
          </cell>
          <cell r="CA160">
            <v>6.092576761528723E-2</v>
          </cell>
          <cell r="CB160">
            <v>9.1635458228313205E-2</v>
          </cell>
          <cell r="CC160">
            <v>7.8523415463267465E-2</v>
          </cell>
          <cell r="CD160">
            <v>-9.347047655062779E-4</v>
          </cell>
          <cell r="CE160">
            <v>5.6223083109276484E-2</v>
          </cell>
          <cell r="CF160">
            <v>6.3141478841947096E-2</v>
          </cell>
          <cell r="CG160">
            <v>6.8055296251862796E-2</v>
          </cell>
          <cell r="CH160">
            <v>3.01835504254091E-2</v>
          </cell>
          <cell r="CI160">
            <v>8.8089879425168771E-2</v>
          </cell>
          <cell r="CJ160">
            <v>6.2374734521953856E-2</v>
          </cell>
          <cell r="CK160">
            <v>0.12753715958600265</v>
          </cell>
          <cell r="CL160">
            <v>0.11557504973036381</v>
          </cell>
          <cell r="CM160">
            <v>0.10249146730633596</v>
          </cell>
          <cell r="CN160">
            <v>0.13250000000000001</v>
          </cell>
          <cell r="CO160">
            <v>0.1198245136341245</v>
          </cell>
          <cell r="CP160">
            <v>6.25E-2</v>
          </cell>
          <cell r="CQ160">
            <v>6.25E-2</v>
          </cell>
          <cell r="CR160">
            <v>6.25E-2</v>
          </cell>
          <cell r="CS160">
            <v>6.25E-2</v>
          </cell>
          <cell r="CT160">
            <v>6.25E-2</v>
          </cell>
          <cell r="CU160">
            <v>3.3460323221877392E-2</v>
          </cell>
          <cell r="CV160">
            <v>3.1867574195046239E-2</v>
          </cell>
          <cell r="CW160">
            <v>3.279497145920926E-2</v>
          </cell>
          <cell r="CX160">
            <v>3.069800221591687E-2</v>
          </cell>
          <cell r="CY160">
            <v>3.2186761804407826E-2</v>
          </cell>
          <cell r="CZ160">
            <v>5.2295878146319558E-2</v>
          </cell>
          <cell r="DA160">
            <v>5.0448105912913738E-2</v>
          </cell>
          <cell r="DB160">
            <v>5.1159852619684504E-2</v>
          </cell>
          <cell r="DC160">
            <v>5.3171976733592891E-2</v>
          </cell>
          <cell r="DD160">
            <v>5.1777525442572303E-2</v>
          </cell>
          <cell r="DE160">
            <v>5.664328581505243E-2</v>
          </cell>
          <cell r="DF160">
            <v>5.3739124937946553E-2</v>
          </cell>
          <cell r="DG160">
            <v>5.4238747276949134E-2</v>
          </cell>
          <cell r="DH160">
            <v>5.164400982150244E-2</v>
          </cell>
          <cell r="DI160">
            <v>5.4035999145982228E-2</v>
          </cell>
        </row>
        <row r="161">
          <cell r="B161" t="str">
            <v>Same-store inpatient revenue</v>
          </cell>
          <cell r="AL161">
            <v>348.54340500000001</v>
          </cell>
          <cell r="AM161">
            <v>383.83184000000006</v>
          </cell>
          <cell r="AN161">
            <v>341.87901199999999</v>
          </cell>
          <cell r="AO161">
            <v>342.22666500000003</v>
          </cell>
          <cell r="AP161">
            <v>1416.4809220000002</v>
          </cell>
          <cell r="AQ161">
            <v>381.55642400000005</v>
          </cell>
          <cell r="AR161">
            <v>460.51780000000002</v>
          </cell>
          <cell r="AS161">
            <v>434.14151199999998</v>
          </cell>
          <cell r="AT161">
            <v>402.57837700000005</v>
          </cell>
          <cell r="AU161">
            <v>1678.7941130000002</v>
          </cell>
          <cell r="AW161">
            <v>383.83184000000006</v>
          </cell>
          <cell r="AX161">
            <v>341.87901199999999</v>
          </cell>
          <cell r="AY161">
            <v>342.22666500000003</v>
          </cell>
          <cell r="AZ161">
            <v>381.55642400000005</v>
          </cell>
          <cell r="BA161">
            <v>1449.4939410000002</v>
          </cell>
          <cell r="BB161">
            <v>460.51780000000002</v>
          </cell>
          <cell r="BC161">
            <v>434.14151199999998</v>
          </cell>
          <cell r="BD161">
            <v>402.57837700000005</v>
          </cell>
          <cell r="BE161">
            <v>436.12311500000004</v>
          </cell>
          <cell r="BF161">
            <v>1733.3608040000001</v>
          </cell>
          <cell r="BG161">
            <v>464.45002500000004</v>
          </cell>
          <cell r="BH161">
            <v>482.59178100000003</v>
          </cell>
          <cell r="BI161">
            <v>486.73936000000003</v>
          </cell>
          <cell r="BJ161">
            <v>488.45115000000004</v>
          </cell>
          <cell r="BK161">
            <v>1922.2323160000003</v>
          </cell>
          <cell r="BL161">
            <v>553.01990799999999</v>
          </cell>
          <cell r="BM161">
            <v>537.72670399999993</v>
          </cell>
          <cell r="BN161">
            <v>521.95522499999993</v>
          </cell>
          <cell r="BO161">
            <v>539.79105599999991</v>
          </cell>
          <cell r="BP161">
            <v>2152.4928929999996</v>
          </cell>
          <cell r="BQ161">
            <v>599.78813500000001</v>
          </cell>
          <cell r="BR161">
            <v>565.91308800000002</v>
          </cell>
          <cell r="BS161">
            <v>538.79317200000003</v>
          </cell>
          <cell r="BT161">
            <v>585.93230200000005</v>
          </cell>
          <cell r="BU161">
            <v>2290.4266970000003</v>
          </cell>
          <cell r="BV161">
            <v>630.84021299999995</v>
          </cell>
          <cell r="BW161">
            <v>608.92373099999998</v>
          </cell>
          <cell r="BX161">
            <v>558.70769400000006</v>
          </cell>
          <cell r="BY161">
            <v>590.63462600000003</v>
          </cell>
          <cell r="BZ161">
            <v>2366.3920399999997</v>
          </cell>
          <cell r="CA161">
            <v>625.18642399999999</v>
          </cell>
          <cell r="CB161">
            <v>580.13627100000008</v>
          </cell>
          <cell r="CC161">
            <v>572.03567499999997</v>
          </cell>
          <cell r="CD161">
            <v>606.03465000000006</v>
          </cell>
          <cell r="CE161">
            <v>2383.39302</v>
          </cell>
          <cell r="CF161">
            <v>674.48332600000003</v>
          </cell>
          <cell r="CG161">
            <v>612.62583199999995</v>
          </cell>
          <cell r="CH161">
            <v>619.16267599999992</v>
          </cell>
          <cell r="CI161">
            <v>678.96649600000001</v>
          </cell>
          <cell r="CJ161">
            <v>2585.2383300000001</v>
          </cell>
          <cell r="CK161">
            <v>715.30769999999995</v>
          </cell>
          <cell r="CL161">
            <v>678.23060000000009</v>
          </cell>
          <cell r="CM161">
            <v>657.26499999999999</v>
          </cell>
          <cell r="CN161">
            <v>746.94074902672742</v>
          </cell>
          <cell r="CO161">
            <v>2797.7440490267272</v>
          </cell>
          <cell r="CP161">
            <v>798.43386614545295</v>
          </cell>
          <cell r="CQ161">
            <v>764.52132934436383</v>
          </cell>
          <cell r="CR161">
            <v>747.41941592573357</v>
          </cell>
          <cell r="CS161">
            <v>760.16914932226291</v>
          </cell>
          <cell r="CT161">
            <v>3070.543760737813</v>
          </cell>
          <cell r="CU161">
            <v>812.04255413254123</v>
          </cell>
          <cell r="CV161">
            <v>765.88894898834462</v>
          </cell>
          <cell r="CW161">
            <v>749.45134020115006</v>
          </cell>
          <cell r="CX161">
            <v>760.65603930794907</v>
          </cell>
          <cell r="CY161">
            <v>3088.038882629985</v>
          </cell>
          <cell r="CZ161">
            <v>832.2978036774067</v>
          </cell>
          <cell r="DA161">
            <v>783.55629601108694</v>
          </cell>
          <cell r="DB161">
            <v>767.28030693040182</v>
          </cell>
          <cell r="DC161">
            <v>780.30592278558822</v>
          </cell>
          <cell r="DD161">
            <v>3163.4403294044837</v>
          </cell>
          <cell r="DE161">
            <v>856.72848122096434</v>
          </cell>
          <cell r="DF161">
            <v>804.25000200398233</v>
          </cell>
          <cell r="DG161">
            <v>787.93285779783798</v>
          </cell>
          <cell r="DH161">
            <v>799.25933816143174</v>
          </cell>
          <cell r="DI161">
            <v>3248.1706791842162</v>
          </cell>
        </row>
        <row r="162">
          <cell r="B162" t="str">
            <v>% of net revenue</v>
          </cell>
          <cell r="AL162">
            <v>0.53500000000000003</v>
          </cell>
          <cell r="AM162">
            <v>0.56000000000000005</v>
          </cell>
          <cell r="AN162">
            <v>0.50900000000000001</v>
          </cell>
          <cell r="AO162">
            <v>0.52100000000000002</v>
          </cell>
          <cell r="AQ162">
            <v>0.53600000000000003</v>
          </cell>
          <cell r="AR162">
            <v>0.53600000000000003</v>
          </cell>
          <cell r="AS162">
            <v>0.51100000000000001</v>
          </cell>
          <cell r="AT162">
            <v>0.49299999999999999</v>
          </cell>
          <cell r="AW162">
            <v>0.56000000000000005</v>
          </cell>
          <cell r="AX162">
            <v>0.50900000000000001</v>
          </cell>
          <cell r="AY162">
            <v>0.52100000000000002</v>
          </cell>
          <cell r="AZ162">
            <v>0.53600000000000003</v>
          </cell>
          <cell r="BB162">
            <v>0.53600000000000003</v>
          </cell>
          <cell r="BC162">
            <v>0.51100000000000001</v>
          </cell>
          <cell r="BD162">
            <v>0.49299999999999999</v>
          </cell>
          <cell r="BE162">
            <v>0.51500000000000001</v>
          </cell>
          <cell r="BG162">
            <v>0.50700000000000001</v>
          </cell>
          <cell r="BH162">
            <v>0.503</v>
          </cell>
          <cell r="BI162">
            <v>0.52600000000000002</v>
          </cell>
          <cell r="BJ162">
            <v>0.505</v>
          </cell>
          <cell r="BL162">
            <v>0.51800000000000002</v>
          </cell>
          <cell r="BM162">
            <v>0.52400000000000002</v>
          </cell>
          <cell r="BN162">
            <v>0.495</v>
          </cell>
          <cell r="BO162">
            <v>0.504</v>
          </cell>
          <cell r="BQ162">
            <v>0.52900000000000003</v>
          </cell>
          <cell r="BR162">
            <v>0.51200000000000001</v>
          </cell>
          <cell r="BS162">
            <v>0.498</v>
          </cell>
          <cell r="BT162">
            <v>0.52700000000000002</v>
          </cell>
          <cell r="BV162">
            <v>0.53100000000000003</v>
          </cell>
          <cell r="BW162">
            <v>0.52700000000000002</v>
          </cell>
          <cell r="BX162">
            <v>0.498</v>
          </cell>
          <cell r="BY162">
            <v>0.502</v>
          </cell>
          <cell r="BZ162">
            <v>0.51500000000000001</v>
          </cell>
          <cell r="CA162">
            <v>0.51400000000000001</v>
          </cell>
          <cell r="CB162">
            <v>0.49299999999999999</v>
          </cell>
          <cell r="CC162">
            <v>0.48499999999999999</v>
          </cell>
          <cell r="CD162">
            <v>0.501</v>
          </cell>
          <cell r="CF162">
            <v>0.50600000000000001</v>
          </cell>
          <cell r="CG162">
            <v>0.47799999999999998</v>
          </cell>
          <cell r="CH162">
            <v>0.47299999999999998</v>
          </cell>
          <cell r="CI162">
            <v>0.47799999999999998</v>
          </cell>
          <cell r="CK162">
            <v>0.47099999999999997</v>
          </cell>
          <cell r="CL162">
            <v>0.45400000000000001</v>
          </cell>
          <cell r="CM162">
            <v>0.44500000000000001</v>
          </cell>
          <cell r="CN162">
            <v>0.44328666573993519</v>
          </cell>
          <cell r="CO162">
            <v>0.45310486049109283</v>
          </cell>
          <cell r="CP162">
            <v>0.45626193980796548</v>
          </cell>
          <cell r="CQ162">
            <v>0.4372936867430402</v>
          </cell>
          <cell r="CR162">
            <v>0.43278446531320447</v>
          </cell>
          <cell r="CS162">
            <v>0.42839440213286917</v>
          </cell>
          <cell r="CT162">
            <v>0.43866725180313432</v>
          </cell>
          <cell r="CU162">
            <v>0.44895514540324011</v>
          </cell>
          <cell r="CV162">
            <v>0.4300282474294832</v>
          </cell>
          <cell r="CW162">
            <v>0.42554444781090112</v>
          </cell>
          <cell r="CX162">
            <v>0.42116301719057969</v>
          </cell>
          <cell r="CY162">
            <v>0.43147099874264899</v>
          </cell>
          <cell r="CZ162">
            <v>0.44244870111431461</v>
          </cell>
          <cell r="DA162">
            <v>0.42356709507374268</v>
          </cell>
          <cell r="DB162">
            <v>0.41910788097981722</v>
          </cell>
          <cell r="DC162">
            <v>0.41476468594139104</v>
          </cell>
          <cell r="DD162">
            <v>0.42501738826564678</v>
          </cell>
          <cell r="DE162">
            <v>0.43600383093253731</v>
          </cell>
          <cell r="DF162">
            <v>0.41716442374830032</v>
          </cell>
          <cell r="DG162">
            <v>0.41272905521613523</v>
          </cell>
          <cell r="DH162">
            <v>0.4083820548758294</v>
          </cell>
          <cell r="DI162">
            <v>0.41862888349025473</v>
          </cell>
        </row>
        <row r="163">
          <cell r="B163" t="str">
            <v>y/y change - reported</v>
          </cell>
          <cell r="AL163" t="str">
            <v>NM</v>
          </cell>
          <cell r="AM163" t="str">
            <v>NM</v>
          </cell>
          <cell r="AN163" t="str">
            <v>NM</v>
          </cell>
          <cell r="AO163" t="str">
            <v>NM</v>
          </cell>
          <cell r="AP163" t="str">
            <v>NM</v>
          </cell>
          <cell r="AQ163">
            <v>9.4717095565185261E-2</v>
          </cell>
          <cell r="AR163">
            <v>0.19979051242856749</v>
          </cell>
          <cell r="AS163">
            <v>0.26986886226288731</v>
          </cell>
          <cell r="AT163">
            <v>0.17635011579240922</v>
          </cell>
          <cell r="AU163">
            <v>0.18518653299588883</v>
          </cell>
          <cell r="AW163" t="str">
            <v>NM</v>
          </cell>
          <cell r="AX163" t="str">
            <v>NM</v>
          </cell>
          <cell r="AY163" t="str">
            <v>NM</v>
          </cell>
          <cell r="AZ163">
            <v>9.4717095565185261E-2</v>
          </cell>
          <cell r="BB163">
            <v>0.19979051242856749</v>
          </cell>
          <cell r="BC163">
            <v>0.26986886226288731</v>
          </cell>
          <cell r="BD163">
            <v>0.17635011579240922</v>
          </cell>
          <cell r="BE163">
            <v>0.14301080408490252</v>
          </cell>
          <cell r="BF163">
            <v>0.19583859923150926</v>
          </cell>
          <cell r="BG163">
            <v>-6.0776896270414271E-2</v>
          </cell>
          <cell r="BH163">
            <v>2.8979184859254659E-2</v>
          </cell>
          <cell r="BI163">
            <v>7.0681188355351754E-2</v>
          </cell>
          <cell r="BJ163">
            <v>1.0793084286919941E-2</v>
          </cell>
          <cell r="BK163">
            <v>1.0984094938821132E-2</v>
          </cell>
          <cell r="BL163">
            <v>5.8358723459404738E-2</v>
          </cell>
          <cell r="BM163">
            <v>4.8104153075157141E-2</v>
          </cell>
          <cell r="BN163">
            <v>2.9504368875365783E-2</v>
          </cell>
          <cell r="BO163">
            <v>2.5504199070419453E-2</v>
          </cell>
          <cell r="BP163">
            <v>4.0386366561516507E-2</v>
          </cell>
          <cell r="BQ163">
            <v>2.0436652358369223E-2</v>
          </cell>
          <cell r="BR163">
            <v>-7.9785342107466795E-3</v>
          </cell>
          <cell r="BS163">
            <v>1.5032444223976205E-2</v>
          </cell>
          <cell r="BT163">
            <v>5.6273113466278613E-2</v>
          </cell>
          <cell r="BU163">
            <v>2.0793461272635483E-2</v>
          </cell>
          <cell r="BV163">
            <v>3.4655171512291361E-2</v>
          </cell>
          <cell r="BW163">
            <v>7.6002205836949832E-2</v>
          </cell>
          <cell r="BX163">
            <v>3.6961348129333826E-2</v>
          </cell>
          <cell r="BY163">
            <v>8.0253708217643549E-3</v>
          </cell>
          <cell r="BZ163">
            <v>2.8709941706023034E-2</v>
          </cell>
          <cell r="CA163">
            <v>-8.9623154698921237E-3</v>
          </cell>
          <cell r="CB163">
            <v>-4.7275969935880013E-2</v>
          </cell>
          <cell r="CC163">
            <v>2.3855016036345988E-2</v>
          </cell>
          <cell r="CD163">
            <v>1.9248106325112424E-2</v>
          </cell>
          <cell r="CE163">
            <v>-4.0402378984686349E-3</v>
          </cell>
          <cell r="CF163">
            <v>1.3285689109937548E-2</v>
          </cell>
          <cell r="CG163">
            <v>-1.4116709491560187E-2</v>
          </cell>
          <cell r="CH163">
            <v>3.01835504254091E-2</v>
          </cell>
          <cell r="CI163">
            <v>1.2444031300504754E-2</v>
          </cell>
          <cell r="CJ163">
            <v>1.0379407870314994E-2</v>
          </cell>
          <cell r="CK163">
            <v>-8.0620583643374877E-3</v>
          </cell>
          <cell r="CL163">
            <v>2.1142464796128468E-2</v>
          </cell>
          <cell r="CM163">
            <v>8.3836134828008113E-4</v>
          </cell>
          <cell r="CN163">
            <v>-1.1277164562510045E-2</v>
          </cell>
          <cell r="CO163">
            <v>9.2927794699937394E-5</v>
          </cell>
          <cell r="CP163">
            <v>9.4274861244350028E-3</v>
          </cell>
          <cell r="CQ163">
            <v>5.115941246607747E-3</v>
          </cell>
          <cell r="CR163">
            <v>6.9951795254974414E-3</v>
          </cell>
          <cell r="CS163">
            <v>5.3440948881267047E-5</v>
          </cell>
          <cell r="CT163">
            <v>5.4293058405623373E-3</v>
          </cell>
          <cell r="CU163">
            <v>3.4258858203781717E-3</v>
          </cell>
          <cell r="CV163">
            <v>1.7888574085351827E-3</v>
          </cell>
          <cell r="CW163">
            <v>2.7185864216543454E-3</v>
          </cell>
          <cell r="CX163">
            <v>6.4050216470912247E-4</v>
          </cell>
          <cell r="CY163">
            <v>2.1610125531563718E-3</v>
          </cell>
          <cell r="CZ163">
            <v>2.4943581394577308E-2</v>
          </cell>
          <cell r="DA163">
            <v>2.3067765954945418E-2</v>
          </cell>
          <cell r="DB163">
            <v>2.3789358658650839E-2</v>
          </cell>
          <cell r="DC163">
            <v>2.5832810708394049E-2</v>
          </cell>
          <cell r="DD163">
            <v>2.4417259510113976E-2</v>
          </cell>
          <cell r="DE163">
            <v>2.9353288493149554E-2</v>
          </cell>
          <cell r="DF163">
            <v>2.6409979854979726E-2</v>
          </cell>
          <cell r="DG163">
            <v>2.6916565798566161E-2</v>
          </cell>
          <cell r="DH163">
            <v>2.4289723840852373E-2</v>
          </cell>
          <cell r="DI163">
            <v>2.6784241508257756E-2</v>
          </cell>
        </row>
        <row r="164">
          <cell r="B164" t="str">
            <v>Net revenue</v>
          </cell>
          <cell r="AL164">
            <v>651483</v>
          </cell>
          <cell r="AM164">
            <v>685414</v>
          </cell>
          <cell r="AN164">
            <v>671668</v>
          </cell>
          <cell r="AO164">
            <v>656865</v>
          </cell>
          <cell r="AP164">
            <v>2665430</v>
          </cell>
          <cell r="AQ164">
            <v>711859</v>
          </cell>
          <cell r="AR164">
            <v>859175</v>
          </cell>
          <cell r="AS164">
            <v>849592</v>
          </cell>
          <cell r="AT164">
            <v>816589</v>
          </cell>
          <cell r="AU164">
            <v>3237215</v>
          </cell>
          <cell r="AW164">
            <v>685414</v>
          </cell>
          <cell r="AX164">
            <v>671668</v>
          </cell>
          <cell r="AY164">
            <v>656865</v>
          </cell>
          <cell r="AZ164">
            <v>711859</v>
          </cell>
          <cell r="BA164">
            <v>2725806</v>
          </cell>
          <cell r="BB164">
            <v>859175</v>
          </cell>
          <cell r="BC164">
            <v>849592</v>
          </cell>
          <cell r="BD164">
            <v>816589</v>
          </cell>
          <cell r="BE164">
            <v>846841</v>
          </cell>
          <cell r="BF164">
            <v>3372197</v>
          </cell>
          <cell r="BG164">
            <v>916075</v>
          </cell>
          <cell r="BH164">
            <v>959427</v>
          </cell>
          <cell r="BI164">
            <v>925360</v>
          </cell>
          <cell r="BJ164">
            <v>967230</v>
          </cell>
          <cell r="BK164">
            <v>3768092</v>
          </cell>
          <cell r="BL164">
            <v>1067606</v>
          </cell>
          <cell r="BM164">
            <v>1026196</v>
          </cell>
          <cell r="BN164">
            <v>1054455</v>
          </cell>
          <cell r="BO164">
            <v>1071014</v>
          </cell>
          <cell r="BP164">
            <v>4219271</v>
          </cell>
          <cell r="BQ164">
            <v>1133815</v>
          </cell>
          <cell r="BR164">
            <v>1105299</v>
          </cell>
          <cell r="BS164">
            <v>1081914</v>
          </cell>
          <cell r="BT164">
            <v>1111826</v>
          </cell>
          <cell r="BU164">
            <v>4432854</v>
          </cell>
          <cell r="BV164">
            <v>1188023</v>
          </cell>
          <cell r="BW164">
            <v>1155453</v>
          </cell>
          <cell r="BX164">
            <v>1121903</v>
          </cell>
          <cell r="BY164">
            <v>1176563</v>
          </cell>
          <cell r="BZ164">
            <v>4594936</v>
          </cell>
          <cell r="CA164">
            <v>1216316</v>
          </cell>
          <cell r="CB164">
            <v>1176747</v>
          </cell>
          <cell r="CC164">
            <v>1179455</v>
          </cell>
          <cell r="CD164">
            <v>1209650</v>
          </cell>
          <cell r="CE164">
            <v>4782168</v>
          </cell>
          <cell r="CF164">
            <v>1332971</v>
          </cell>
          <cell r="CG164">
            <v>1281644</v>
          </cell>
          <cell r="CH164">
            <v>1309012</v>
          </cell>
          <cell r="CI164">
            <v>1420432</v>
          </cell>
          <cell r="CJ164">
            <v>5344059</v>
          </cell>
          <cell r="CK164">
            <v>1325992</v>
          </cell>
          <cell r="CL164">
            <v>1299430</v>
          </cell>
          <cell r="CM164">
            <v>1274050</v>
          </cell>
          <cell r="CO164">
            <v>3899472</v>
          </cell>
          <cell r="CT164">
            <v>0</v>
          </cell>
          <cell r="CY164">
            <v>0</v>
          </cell>
          <cell r="DD164">
            <v>0</v>
          </cell>
          <cell r="DI164">
            <v>0</v>
          </cell>
        </row>
        <row r="165">
          <cell r="B165" t="str">
            <v>y/y change - restated</v>
          </cell>
          <cell r="AL165">
            <v>6.9023118740964673E-2</v>
          </cell>
          <cell r="AM165">
            <v>6.0237721045923065E-2</v>
          </cell>
          <cell r="AN165">
            <v>3.7923004294365681E-2</v>
          </cell>
          <cell r="AO165">
            <v>-1.0538994278831426E-3</v>
          </cell>
          <cell r="AP165">
            <v>4.0949380139468694E-2</v>
          </cell>
          <cell r="AQ165">
            <v>-5.9075834739932276E-2</v>
          </cell>
          <cell r="AR165">
            <v>3.0300740969916307E-2</v>
          </cell>
          <cell r="AS165">
            <v>3.9458439011379687E-2</v>
          </cell>
          <cell r="AT165">
            <v>3.4100709038435539E-2</v>
          </cell>
          <cell r="AU165">
            <v>1.9649228683596531E-2</v>
          </cell>
          <cell r="AW165">
            <v>6.0237721045923065E-2</v>
          </cell>
          <cell r="AX165">
            <v>3.7923004294365681E-2</v>
          </cell>
          <cell r="AY165">
            <v>-1.0538994278831426E-3</v>
          </cell>
          <cell r="AZ165">
            <v>-5.9075834739932276E-2</v>
          </cell>
          <cell r="BB165">
            <v>3.0300740969916307E-2</v>
          </cell>
          <cell r="BC165">
            <v>3.9458439011379687E-2</v>
          </cell>
          <cell r="BD165">
            <v>3.4100709038435539E-2</v>
          </cell>
          <cell r="BE165">
            <v>3.9147763388134971E-2</v>
          </cell>
          <cell r="BF165">
            <v>3.5735708711128078E-2</v>
          </cell>
          <cell r="BG165">
            <v>8.7165353203568774E-3</v>
          </cell>
          <cell r="BH165">
            <v>1.5392381913951203E-2</v>
          </cell>
          <cell r="BI165">
            <v>2.5094521256620261E-2</v>
          </cell>
          <cell r="BJ165">
            <v>5.4562542385077739E-2</v>
          </cell>
          <cell r="BK165">
            <v>4.6931562409961991E-2</v>
          </cell>
          <cell r="BL165">
            <v>5.7570711518401874E-2</v>
          </cell>
          <cell r="BM165">
            <v>2.9422209203644245E-2</v>
          </cell>
          <cell r="BN165">
            <v>6.5913570887035533E-2</v>
          </cell>
          <cell r="BO165">
            <v>2.5287215476943681E-2</v>
          </cell>
          <cell r="BP165">
            <v>4.1685995914009011E-2</v>
          </cell>
          <cell r="BQ165">
            <v>2.3912344581951572E-2</v>
          </cell>
          <cell r="BR165">
            <v>3.8713321254313593E-2</v>
          </cell>
          <cell r="BS165">
            <v>3.3528337358236682E-2</v>
          </cell>
          <cell r="BT165">
            <v>3.2831916528175631E-2</v>
          </cell>
          <cell r="BU165">
            <v>3.2652508789948964E-2</v>
          </cell>
          <cell r="BV165">
            <v>3.0818981973164572E-2</v>
          </cell>
          <cell r="BW165">
            <v>4.5311647624725504E-2</v>
          </cell>
          <cell r="BX165">
            <v>5.8175442170711023E-2</v>
          </cell>
          <cell r="BY165">
            <v>7.9496806181749369E-2</v>
          </cell>
          <cell r="BZ165">
            <v>5.3771775768920005E-2</v>
          </cell>
          <cell r="CA165">
            <v>4.4312508317556842E-2</v>
          </cell>
          <cell r="CB165">
            <v>3.9745000066268243E-2</v>
          </cell>
          <cell r="CC165">
            <v>5.129855254866067E-2</v>
          </cell>
          <cell r="CD165">
            <v>2.1230863265743638E-2</v>
          </cell>
          <cell r="CE165">
            <v>4.9455441296749614E-2</v>
          </cell>
          <cell r="CF165">
            <v>4.8144123345579048E-2</v>
          </cell>
          <cell r="CG165">
            <v>4.1901437361647531E-2</v>
          </cell>
          <cell r="CH165">
            <v>4.6906415901954768E-2</v>
          </cell>
          <cell r="CI165">
            <v>5.4868408056446549E-2</v>
          </cell>
          <cell r="CJ165">
            <v>4.9466769150887879E-2</v>
          </cell>
          <cell r="CK165">
            <v>5.6769422040868323E-2</v>
          </cell>
          <cell r="CL165">
            <v>6.1135128690491092E-2</v>
          </cell>
          <cell r="CM165">
            <v>4.4626941790161245E-2</v>
          </cell>
        </row>
        <row r="166">
          <cell r="B166" t="str">
            <v>Same-Store EBITDA</v>
          </cell>
          <cell r="AL166">
            <v>151675</v>
          </cell>
          <cell r="AM166">
            <v>177688</v>
          </cell>
          <cell r="AN166">
            <v>169752</v>
          </cell>
          <cell r="AO166">
            <v>155596</v>
          </cell>
          <cell r="AP166">
            <v>654711</v>
          </cell>
          <cell r="AQ166">
            <v>164962</v>
          </cell>
          <cell r="AR166">
            <v>215556</v>
          </cell>
          <cell r="AS166">
            <v>205982</v>
          </cell>
          <cell r="AT166">
            <v>171230</v>
          </cell>
          <cell r="AU166">
            <v>757730</v>
          </cell>
          <cell r="AW166">
            <v>177688</v>
          </cell>
          <cell r="AX166">
            <v>169752</v>
          </cell>
          <cell r="AY166">
            <v>155596</v>
          </cell>
          <cell r="AZ166">
            <v>164962</v>
          </cell>
          <cell r="BA166">
            <v>667998</v>
          </cell>
          <cell r="BB166">
            <v>215556</v>
          </cell>
          <cell r="BC166">
            <v>205982</v>
          </cell>
          <cell r="BD166">
            <v>171230</v>
          </cell>
          <cell r="BE166">
            <v>175959</v>
          </cell>
          <cell r="BF166">
            <v>768727</v>
          </cell>
          <cell r="BG166">
            <v>204236</v>
          </cell>
          <cell r="BH166">
            <v>191291</v>
          </cell>
          <cell r="BI166">
            <v>184743</v>
          </cell>
          <cell r="BJ166">
            <v>201774</v>
          </cell>
          <cell r="BK166">
            <v>782044</v>
          </cell>
          <cell r="BL166">
            <v>214787</v>
          </cell>
          <cell r="BM166">
            <v>164275</v>
          </cell>
          <cell r="BN166">
            <v>168355</v>
          </cell>
          <cell r="BO166">
            <v>170802</v>
          </cell>
          <cell r="BP166">
            <v>718219</v>
          </cell>
          <cell r="BQ166">
            <v>202080</v>
          </cell>
          <cell r="BR166">
            <v>183508</v>
          </cell>
          <cell r="BS166">
            <v>160100</v>
          </cell>
          <cell r="BT166">
            <v>175474</v>
          </cell>
          <cell r="BU166">
            <v>721162</v>
          </cell>
          <cell r="BV166">
            <v>214133</v>
          </cell>
          <cell r="BW166">
            <v>200133</v>
          </cell>
          <cell r="BX166">
            <v>180094</v>
          </cell>
          <cell r="BY166">
            <v>200284</v>
          </cell>
          <cell r="BZ166">
            <v>794644</v>
          </cell>
          <cell r="CA166">
            <v>227178</v>
          </cell>
          <cell r="CB166">
            <v>209989</v>
          </cell>
          <cell r="CC166">
            <v>197461</v>
          </cell>
          <cell r="CD166">
            <v>209608</v>
          </cell>
          <cell r="CE166">
            <v>844236</v>
          </cell>
          <cell r="CF166">
            <v>243369</v>
          </cell>
          <cell r="CG166">
            <v>225503</v>
          </cell>
          <cell r="CH166">
            <v>216559</v>
          </cell>
          <cell r="CI166">
            <v>271554</v>
          </cell>
          <cell r="CJ166">
            <v>956985</v>
          </cell>
          <cell r="CK166">
            <v>263993</v>
          </cell>
          <cell r="CL166">
            <v>255397</v>
          </cell>
          <cell r="CM166">
            <v>259577</v>
          </cell>
          <cell r="CO166">
            <v>778967</v>
          </cell>
          <cell r="CT166">
            <v>0</v>
          </cell>
          <cell r="CY166">
            <v>0</v>
          </cell>
          <cell r="DD166">
            <v>0</v>
          </cell>
          <cell r="DI166">
            <v>0</v>
          </cell>
        </row>
        <row r="167">
          <cell r="B167" t="str">
            <v>y/y change - restated</v>
          </cell>
          <cell r="AL167">
            <v>9.1281261691656734E-2</v>
          </cell>
          <cell r="AM167">
            <v>4.5771021299386039E-2</v>
          </cell>
          <cell r="AN167">
            <v>1.2043021009706001E-2</v>
          </cell>
          <cell r="AO167">
            <v>4.6488803946382884E-3</v>
          </cell>
          <cell r="AP167" t="str">
            <v>NM</v>
          </cell>
          <cell r="AQ167">
            <v>5.994230015485158E-2</v>
          </cell>
          <cell r="AR167">
            <v>8.2086705086243272E-2</v>
          </cell>
          <cell r="AS167">
            <v>7.5309570047401353E-2</v>
          </cell>
          <cell r="AT167">
            <v>-1.2229593308335729E-2</v>
          </cell>
          <cell r="AU167">
            <v>0.13152801753746712</v>
          </cell>
          <cell r="AW167">
            <v>-0.18143665955692323</v>
          </cell>
          <cell r="AX167">
            <v>-0.18954610342177003</v>
          </cell>
          <cell r="AY167">
            <v>-0.1945751481740301</v>
          </cell>
          <cell r="AZ167" t="str">
            <v>NM</v>
          </cell>
          <cell r="BA167" t="str">
            <v>NM</v>
          </cell>
          <cell r="BB167">
            <v>8.2086705086243272E-2</v>
          </cell>
          <cell r="BC167">
            <v>7.5309570047401353E-2</v>
          </cell>
          <cell r="BD167">
            <v>-1.2229593308335729E-2</v>
          </cell>
          <cell r="BE167">
            <v>-5.0379397066283804E-2</v>
          </cell>
          <cell r="BF167">
            <v>2.5784490074779454E-2</v>
          </cell>
          <cell r="BG167">
            <v>-5.9136788085114245E-2</v>
          </cell>
          <cell r="BH167">
            <v>-8.6711577298964393E-2</v>
          </cell>
          <cell r="BI167">
            <v>-4.3699044956906574E-2</v>
          </cell>
          <cell r="BJ167">
            <v>6.9908266610106518E-2</v>
          </cell>
          <cell r="BK167">
            <v>7.7198335680681573E-3</v>
          </cell>
          <cell r="BL167">
            <v>-1.7024626213347882E-2</v>
          </cell>
          <cell r="BM167">
            <v>-0.15048480930833874</v>
          </cell>
          <cell r="BN167">
            <v>-9.3261737158737756E-2</v>
          </cell>
          <cell r="BO167">
            <v>-0.15415661785461365</v>
          </cell>
          <cell r="BP167">
            <v>-8.9998099461514047E-2</v>
          </cell>
          <cell r="BQ167">
            <v>-8.5167931985169254E-2</v>
          </cell>
          <cell r="BR167">
            <v>0.16584076643541468</v>
          </cell>
          <cell r="BS167">
            <v>-7.8131387870028601E-2</v>
          </cell>
          <cell r="BT167">
            <v>-1.843024380254632E-3</v>
          </cell>
          <cell r="BU167">
            <v>-6.4079866301650634E-3</v>
          </cell>
          <cell r="BV167">
            <v>3.5609614547564838E-2</v>
          </cell>
          <cell r="BW167">
            <v>7.8517807968183417E-2</v>
          </cell>
          <cell r="BX167">
            <v>0.13577397281871795</v>
          </cell>
          <cell r="BY167">
            <v>0.14932028026603472</v>
          </cell>
          <cell r="BZ167">
            <v>9.6950354218317658E-2</v>
          </cell>
          <cell r="CA167">
            <v>7.3828104689471985E-2</v>
          </cell>
          <cell r="CB167">
            <v>6.4712563252309563E-2</v>
          </cell>
          <cell r="CC167">
            <v>9.644515025653555E-2</v>
          </cell>
          <cell r="CD167">
            <v>5.0092931681437136E-2</v>
          </cell>
          <cell r="CE167">
            <v>7.055984519264058E-2</v>
          </cell>
          <cell r="CF167">
            <v>6.2672477032172491E-2</v>
          </cell>
          <cell r="CG167">
            <v>5.7597246062788932E-2</v>
          </cell>
          <cell r="CH167">
            <v>7.643327931922328E-2</v>
          </cell>
          <cell r="CI167">
            <v>0.25304084608427613</v>
          </cell>
          <cell r="CJ167">
            <v>0.11300103276949702</v>
          </cell>
          <cell r="CK167">
            <v>6.5704009010281839E-2</v>
          </cell>
          <cell r="CL167">
            <v>7.4202435280015244E-2</v>
          </cell>
          <cell r="CM167">
            <v>0.14197663931721705</v>
          </cell>
        </row>
        <row r="168">
          <cell r="B168" t="str">
            <v>Margin</v>
          </cell>
          <cell r="AL168">
            <v>0.23281497752051858</v>
          </cell>
          <cell r="AM168">
            <v>0.25924185966437802</v>
          </cell>
          <cell r="AN168">
            <v>0.25273200450222433</v>
          </cell>
          <cell r="AO168">
            <v>0.23687667937856333</v>
          </cell>
          <cell r="AP168">
            <v>0.24563053616114472</v>
          </cell>
          <cell r="AQ168">
            <v>0.23173409340894754</v>
          </cell>
          <cell r="AR168">
            <v>0.25088718829109319</v>
          </cell>
          <cell r="AS168">
            <v>0.2424481398129926</v>
          </cell>
          <cell r="AT168">
            <v>0.20968932963828804</v>
          </cell>
          <cell r="AU168">
            <v>0.2340684817041809</v>
          </cell>
          <cell r="AW168">
            <v>0.25924185966437802</v>
          </cell>
          <cell r="AX168">
            <v>0.25273200450222433</v>
          </cell>
          <cell r="AY168">
            <v>0.23687667937856333</v>
          </cell>
          <cell r="AZ168">
            <v>0.23173409340894754</v>
          </cell>
          <cell r="BA168">
            <v>0.24506439563197088</v>
          </cell>
          <cell r="BB168">
            <v>0.25088718829109319</v>
          </cell>
          <cell r="BC168">
            <v>0.2424481398129926</v>
          </cell>
          <cell r="BD168">
            <v>0.20968932963828804</v>
          </cell>
          <cell r="BE168">
            <v>0.20778280692597548</v>
          </cell>
          <cell r="BF168">
            <v>0.22796028820380304</v>
          </cell>
          <cell r="BG168">
            <v>0.22294681112354336</v>
          </cell>
          <cell r="BH168">
            <v>0.19938046354751326</v>
          </cell>
          <cell r="BI168">
            <v>0.19964446269559954</v>
          </cell>
          <cell r="BJ168">
            <v>0.20861015477187433</v>
          </cell>
          <cell r="BK168">
            <v>0.20754376485499823</v>
          </cell>
          <cell r="BL168">
            <v>0.20118564339278722</v>
          </cell>
          <cell r="BM168">
            <v>0.16008150489769984</v>
          </cell>
          <cell r="BN168">
            <v>0.15966067779089671</v>
          </cell>
          <cell r="BO168">
            <v>0.15947690693118857</v>
          </cell>
          <cell r="BP168">
            <v>0.17022348173416688</v>
          </cell>
          <cell r="BQ168">
            <v>0.17823013454575923</v>
          </cell>
          <cell r="BR168">
            <v>0.16602566364395516</v>
          </cell>
          <cell r="BS168">
            <v>0.14797848997240076</v>
          </cell>
          <cell r="BT168">
            <v>0.15782505535938177</v>
          </cell>
          <cell r="BU168">
            <v>0.1626857099286374</v>
          </cell>
          <cell r="BV168">
            <v>0.18024314344082565</v>
          </cell>
          <cell r="BW168">
            <v>0.17320739138675481</v>
          </cell>
          <cell r="BX168">
            <v>0.16052546432267317</v>
          </cell>
          <cell r="BY168">
            <v>0.1702280285883544</v>
          </cell>
          <cell r="BZ168">
            <v>0.17293907902090475</v>
          </cell>
          <cell r="CA168">
            <v>0.18677547610982673</v>
          </cell>
          <cell r="CB168">
            <v>0.17844872347242016</v>
          </cell>
          <cell r="CC168">
            <v>0.1674171545332378</v>
          </cell>
          <cell r="CD168">
            <v>0.17327987434381845</v>
          </cell>
          <cell r="CE168">
            <v>0.17653833993285054</v>
          </cell>
          <cell r="CF168">
            <v>0.18257636512722333</v>
          </cell>
          <cell r="CG168">
            <v>0.17594823523536957</v>
          </cell>
          <cell r="CH168">
            <v>0.16543698606277102</v>
          </cell>
          <cell r="CI168">
            <v>0.19117705036214336</v>
          </cell>
          <cell r="CJ168">
            <v>0.17907455737296313</v>
          </cell>
          <cell r="CK168">
            <v>0.19909094474174807</v>
          </cell>
          <cell r="CL168">
            <v>0.19654540837136283</v>
          </cell>
          <cell r="CM168">
            <v>0.20374161139672697</v>
          </cell>
        </row>
        <row r="169">
          <cell r="B169" t="str">
            <v>Acquired</v>
          </cell>
        </row>
        <row r="170">
          <cell r="B170" t="str">
            <v>Patient days</v>
          </cell>
          <cell r="R170">
            <v>42015</v>
          </cell>
          <cell r="S170">
            <v>39094</v>
          </cell>
          <cell r="T170">
            <v>24052</v>
          </cell>
          <cell r="U170" t="str">
            <v>NM</v>
          </cell>
          <cell r="V170">
            <v>105161</v>
          </cell>
          <cell r="W170">
            <v>31306</v>
          </cell>
          <cell r="X170">
            <v>32191</v>
          </cell>
          <cell r="Y170">
            <v>31150</v>
          </cell>
          <cell r="Z170" t="str">
            <v>NM</v>
          </cell>
          <cell r="AA170">
            <v>94647</v>
          </cell>
          <cell r="AB170">
            <v>22379</v>
          </cell>
          <cell r="AC170">
            <v>40163</v>
          </cell>
          <cell r="AD170">
            <v>44648</v>
          </cell>
          <cell r="AE170" t="str">
            <v>NM</v>
          </cell>
          <cell r="AF170">
            <v>107190</v>
          </cell>
          <cell r="AG170">
            <v>40697</v>
          </cell>
          <cell r="AH170">
            <v>23720</v>
          </cell>
          <cell r="AI170">
            <v>25301</v>
          </cell>
          <cell r="AJ170">
            <v>20739</v>
          </cell>
          <cell r="AK170">
            <v>110457</v>
          </cell>
          <cell r="AL170">
            <v>57107</v>
          </cell>
          <cell r="AM170">
            <v>70929</v>
          </cell>
          <cell r="AN170">
            <v>65905</v>
          </cell>
          <cell r="AO170">
            <v>64738</v>
          </cell>
          <cell r="AP170">
            <v>258679</v>
          </cell>
          <cell r="AQ170">
            <v>56331</v>
          </cell>
          <cell r="AR170">
            <v>31964</v>
          </cell>
          <cell r="AS170">
            <v>39778</v>
          </cell>
          <cell r="AT170">
            <v>37384</v>
          </cell>
          <cell r="AU170">
            <v>165457</v>
          </cell>
          <cell r="AW170">
            <v>70929</v>
          </cell>
          <cell r="AX170">
            <v>65905</v>
          </cell>
          <cell r="AY170">
            <v>64738</v>
          </cell>
          <cell r="AZ170">
            <v>56331</v>
          </cell>
          <cell r="BA170">
            <v>257903</v>
          </cell>
          <cell r="BB170">
            <v>31964</v>
          </cell>
          <cell r="BC170">
            <v>39778</v>
          </cell>
          <cell r="BD170">
            <v>37384</v>
          </cell>
          <cell r="BE170">
            <v>38532</v>
          </cell>
          <cell r="BF170">
            <v>147658</v>
          </cell>
          <cell r="BG170">
            <v>50650</v>
          </cell>
          <cell r="BH170">
            <v>25614</v>
          </cell>
          <cell r="BI170">
            <v>14760</v>
          </cell>
          <cell r="BJ170">
            <v>17026</v>
          </cell>
          <cell r="BK170">
            <v>108050</v>
          </cell>
          <cell r="BL170">
            <v>16471</v>
          </cell>
          <cell r="BM170">
            <v>10935</v>
          </cell>
          <cell r="BN170">
            <v>2454</v>
          </cell>
          <cell r="BO170">
            <v>5471</v>
          </cell>
          <cell r="BP170">
            <v>35331</v>
          </cell>
          <cell r="BQ170">
            <v>4636</v>
          </cell>
          <cell r="BR170">
            <v>0</v>
          </cell>
          <cell r="BS170">
            <v>0</v>
          </cell>
          <cell r="BT170">
            <v>0</v>
          </cell>
          <cell r="BU170">
            <v>4636</v>
          </cell>
          <cell r="BV170">
            <v>0</v>
          </cell>
          <cell r="BW170">
            <v>0</v>
          </cell>
          <cell r="BX170">
            <v>0</v>
          </cell>
          <cell r="BY170">
            <v>6601</v>
          </cell>
          <cell r="BZ170">
            <v>6601</v>
          </cell>
          <cell r="CA170">
            <v>21342</v>
          </cell>
          <cell r="CB170">
            <v>21418</v>
          </cell>
          <cell r="CC170">
            <v>25617</v>
          </cell>
          <cell r="CD170">
            <v>39045</v>
          </cell>
          <cell r="CE170">
            <v>107422</v>
          </cell>
          <cell r="CF170">
            <v>31588</v>
          </cell>
          <cell r="CG170">
            <v>31217</v>
          </cell>
          <cell r="CH170">
            <v>24397</v>
          </cell>
          <cell r="CI170">
            <v>36576</v>
          </cell>
          <cell r="CJ170">
            <v>123778</v>
          </cell>
          <cell r="CK170">
            <v>39532</v>
          </cell>
          <cell r="CL170">
            <v>37118</v>
          </cell>
          <cell r="CM170">
            <v>39256</v>
          </cell>
          <cell r="CO170">
            <v>115906</v>
          </cell>
        </row>
        <row r="171">
          <cell r="B171" t="str">
            <v>Admissions</v>
          </cell>
          <cell r="R171">
            <v>5106</v>
          </cell>
          <cell r="S171">
            <v>5121</v>
          </cell>
          <cell r="T171">
            <v>2305</v>
          </cell>
          <cell r="U171">
            <v>2623</v>
          </cell>
          <cell r="V171">
            <v>15155</v>
          </cell>
          <cell r="W171">
            <v>4324</v>
          </cell>
          <cell r="X171">
            <v>5135</v>
          </cell>
          <cell r="Y171">
            <v>4926</v>
          </cell>
          <cell r="Z171">
            <v>4106</v>
          </cell>
          <cell r="AA171">
            <v>18491</v>
          </cell>
          <cell r="AB171">
            <v>2612</v>
          </cell>
          <cell r="AC171">
            <v>7240</v>
          </cell>
          <cell r="AD171">
            <v>8256</v>
          </cell>
          <cell r="AE171">
            <v>7786</v>
          </cell>
          <cell r="AF171">
            <v>25894</v>
          </cell>
          <cell r="AG171">
            <v>7403</v>
          </cell>
          <cell r="AH171">
            <v>2724</v>
          </cell>
          <cell r="AI171">
            <v>2714</v>
          </cell>
          <cell r="AJ171">
            <v>1646</v>
          </cell>
          <cell r="AK171">
            <v>14487</v>
          </cell>
          <cell r="AL171">
            <v>9901</v>
          </cell>
          <cell r="AM171">
            <v>12773</v>
          </cell>
          <cell r="AN171">
            <v>11873</v>
          </cell>
          <cell r="AO171">
            <v>11541</v>
          </cell>
          <cell r="AP171">
            <v>46088</v>
          </cell>
          <cell r="AQ171">
            <v>9758</v>
          </cell>
          <cell r="AR171">
            <v>4242</v>
          </cell>
          <cell r="AS171">
            <v>5941</v>
          </cell>
          <cell r="AT171">
            <v>5421</v>
          </cell>
          <cell r="AU171">
            <v>25362</v>
          </cell>
          <cell r="AW171">
            <v>12773</v>
          </cell>
          <cell r="AX171">
            <v>11873</v>
          </cell>
          <cell r="AY171">
            <v>11541</v>
          </cell>
          <cell r="AZ171">
            <v>9758</v>
          </cell>
          <cell r="BA171">
            <v>45945</v>
          </cell>
          <cell r="BB171">
            <v>4242</v>
          </cell>
          <cell r="BC171">
            <v>5941</v>
          </cell>
          <cell r="BD171">
            <v>5421</v>
          </cell>
          <cell r="BE171">
            <v>6040</v>
          </cell>
          <cell r="BF171">
            <v>21644</v>
          </cell>
          <cell r="BG171">
            <v>8969</v>
          </cell>
          <cell r="BH171">
            <v>3042</v>
          </cell>
          <cell r="BI171">
            <v>3461</v>
          </cell>
          <cell r="BJ171">
            <v>4029</v>
          </cell>
          <cell r="BK171">
            <v>19501</v>
          </cell>
          <cell r="BL171">
            <v>3688</v>
          </cell>
          <cell r="BM171">
            <v>2519</v>
          </cell>
          <cell r="BN171">
            <v>656</v>
          </cell>
          <cell r="BO171">
            <v>1677</v>
          </cell>
          <cell r="BP171">
            <v>8540</v>
          </cell>
          <cell r="BQ171">
            <v>1249</v>
          </cell>
          <cell r="BR171">
            <v>0</v>
          </cell>
          <cell r="BS171">
            <v>0</v>
          </cell>
          <cell r="BT171">
            <v>0</v>
          </cell>
          <cell r="BU171">
            <v>1249</v>
          </cell>
          <cell r="BV171">
            <v>0</v>
          </cell>
          <cell r="BW171">
            <v>0</v>
          </cell>
          <cell r="BX171">
            <v>0</v>
          </cell>
          <cell r="BY171">
            <v>1361</v>
          </cell>
          <cell r="BZ171">
            <v>1361</v>
          </cell>
          <cell r="CA171">
            <v>3990</v>
          </cell>
          <cell r="CB171">
            <v>4220</v>
          </cell>
          <cell r="CC171">
            <v>5932</v>
          </cell>
          <cell r="CD171">
            <v>8716</v>
          </cell>
          <cell r="CE171">
            <v>22858</v>
          </cell>
          <cell r="CF171">
            <v>6883</v>
          </cell>
          <cell r="CG171">
            <v>6817</v>
          </cell>
          <cell r="CH171">
            <v>5200</v>
          </cell>
          <cell r="CI171">
            <v>8684</v>
          </cell>
          <cell r="CJ171">
            <v>27584</v>
          </cell>
          <cell r="CK171">
            <v>8923</v>
          </cell>
          <cell r="CL171">
            <v>8979</v>
          </cell>
          <cell r="CM171">
            <v>8538</v>
          </cell>
          <cell r="CO171">
            <v>26440</v>
          </cell>
        </row>
        <row r="172">
          <cell r="B172" t="str">
            <v>Adjusted admissions</v>
          </cell>
          <cell r="R172" t="str">
            <v>NM</v>
          </cell>
          <cell r="S172" t="str">
            <v>NM</v>
          </cell>
          <cell r="T172" t="str">
            <v>NM</v>
          </cell>
          <cell r="U172">
            <v>462</v>
          </cell>
          <cell r="V172">
            <v>462</v>
          </cell>
          <cell r="W172">
            <v>6773</v>
          </cell>
          <cell r="X172">
            <v>7834</v>
          </cell>
          <cell r="Y172">
            <v>7810</v>
          </cell>
          <cell r="Z172">
            <v>7410</v>
          </cell>
          <cell r="AA172">
            <v>29827</v>
          </cell>
          <cell r="AB172">
            <v>4712</v>
          </cell>
          <cell r="AC172">
            <v>11667</v>
          </cell>
          <cell r="AD172">
            <v>13641</v>
          </cell>
          <cell r="AE172">
            <v>12338</v>
          </cell>
          <cell r="AF172">
            <v>42358</v>
          </cell>
          <cell r="AG172">
            <v>11261</v>
          </cell>
          <cell r="AH172">
            <v>4354</v>
          </cell>
          <cell r="AI172">
            <v>4441</v>
          </cell>
          <cell r="AJ172">
            <v>2344</v>
          </cell>
          <cell r="AK172">
            <v>22400</v>
          </cell>
          <cell r="AL172">
            <v>16665</v>
          </cell>
          <cell r="AM172">
            <v>22465</v>
          </cell>
          <cell r="AN172">
            <v>20877</v>
          </cell>
          <cell r="AO172">
            <v>20659</v>
          </cell>
          <cell r="AP172">
            <v>80666</v>
          </cell>
          <cell r="AQ172">
            <v>17638</v>
          </cell>
          <cell r="AR172">
            <v>6616</v>
          </cell>
          <cell r="AS172">
            <v>9874</v>
          </cell>
          <cell r="AT172">
            <v>9010</v>
          </cell>
          <cell r="AU172">
            <v>43138</v>
          </cell>
          <cell r="AW172">
            <v>22465</v>
          </cell>
          <cell r="AX172">
            <v>20877</v>
          </cell>
          <cell r="AY172">
            <v>20659</v>
          </cell>
          <cell r="AZ172">
            <v>17638</v>
          </cell>
          <cell r="BA172">
            <v>81639</v>
          </cell>
          <cell r="BB172">
            <v>6616</v>
          </cell>
          <cell r="BC172">
            <v>9874</v>
          </cell>
          <cell r="BD172">
            <v>9010</v>
          </cell>
          <cell r="BE172">
            <v>10038</v>
          </cell>
          <cell r="BF172">
            <v>35538</v>
          </cell>
          <cell r="BG172">
            <v>14780</v>
          </cell>
          <cell r="BH172">
            <v>6512</v>
          </cell>
          <cell r="BI172">
            <v>6958</v>
          </cell>
          <cell r="BJ172">
            <v>7670</v>
          </cell>
          <cell r="BK172">
            <v>35920</v>
          </cell>
          <cell r="BL172">
            <v>6775</v>
          </cell>
          <cell r="BM172">
            <v>8658</v>
          </cell>
          <cell r="BN172">
            <v>1035</v>
          </cell>
          <cell r="BO172">
            <v>2856</v>
          </cell>
          <cell r="BP172">
            <v>19324</v>
          </cell>
          <cell r="BQ172">
            <v>1900</v>
          </cell>
          <cell r="BR172">
            <v>0</v>
          </cell>
          <cell r="BS172">
            <v>0</v>
          </cell>
          <cell r="BT172">
            <v>0</v>
          </cell>
          <cell r="BU172">
            <v>1900</v>
          </cell>
          <cell r="BV172">
            <v>0</v>
          </cell>
          <cell r="BW172">
            <v>0</v>
          </cell>
          <cell r="BX172">
            <v>0</v>
          </cell>
          <cell r="BY172">
            <v>2543</v>
          </cell>
          <cell r="BZ172">
            <v>2543</v>
          </cell>
          <cell r="CA172">
            <v>7144</v>
          </cell>
          <cell r="CB172">
            <v>7758</v>
          </cell>
          <cell r="CC172">
            <v>11806</v>
          </cell>
          <cell r="CD172">
            <v>16950</v>
          </cell>
          <cell r="CE172">
            <v>43658</v>
          </cell>
          <cell r="CF172">
            <v>12743</v>
          </cell>
          <cell r="CG172">
            <v>13015</v>
          </cell>
          <cell r="CH172">
            <v>9743</v>
          </cell>
          <cell r="CI172">
            <v>19253</v>
          </cell>
          <cell r="CJ172">
            <v>54754</v>
          </cell>
          <cell r="CK172">
            <v>19156</v>
          </cell>
          <cell r="CL172">
            <v>20286</v>
          </cell>
          <cell r="CM172">
            <v>19586</v>
          </cell>
          <cell r="CO172">
            <v>59028</v>
          </cell>
        </row>
        <row r="173">
          <cell r="B173" t="str">
            <v>Surgeries</v>
          </cell>
          <cell r="R173" t="str">
            <v>NM</v>
          </cell>
          <cell r="S173" t="str">
            <v>NM</v>
          </cell>
          <cell r="T173" t="str">
            <v>NM</v>
          </cell>
          <cell r="U173" t="str">
            <v>NM</v>
          </cell>
          <cell r="V173">
            <v>0</v>
          </cell>
          <cell r="W173" t="str">
            <v>NM</v>
          </cell>
          <cell r="X173" t="str">
            <v>NM</v>
          </cell>
          <cell r="Y173" t="str">
            <v>NM</v>
          </cell>
          <cell r="Z173" t="str">
            <v>NM</v>
          </cell>
          <cell r="AA173">
            <v>0</v>
          </cell>
          <cell r="AB173" t="str">
            <v>NM</v>
          </cell>
          <cell r="AC173" t="str">
            <v>NM</v>
          </cell>
          <cell r="AD173" t="str">
            <v>NM</v>
          </cell>
          <cell r="AE173" t="str">
            <v>NM</v>
          </cell>
          <cell r="AF173">
            <v>0</v>
          </cell>
          <cell r="AG173" t="str">
            <v>NM</v>
          </cell>
          <cell r="AH173">
            <v>1789</v>
          </cell>
          <cell r="AI173" t="str">
            <v>NM</v>
          </cell>
          <cell r="AJ173">
            <v>606</v>
          </cell>
          <cell r="AK173">
            <v>2395</v>
          </cell>
          <cell r="AL173">
            <v>5532</v>
          </cell>
          <cell r="AM173">
            <v>8165</v>
          </cell>
          <cell r="AN173">
            <v>7958</v>
          </cell>
          <cell r="AO173">
            <v>7973</v>
          </cell>
          <cell r="AP173">
            <v>29628</v>
          </cell>
          <cell r="AQ173">
            <v>7151</v>
          </cell>
          <cell r="AR173">
            <v>3222</v>
          </cell>
          <cell r="AS173">
            <v>5348</v>
          </cell>
          <cell r="AT173">
            <v>5089</v>
          </cell>
          <cell r="AU173">
            <v>20810</v>
          </cell>
          <cell r="AW173">
            <v>8165</v>
          </cell>
          <cell r="AX173">
            <v>7958</v>
          </cell>
          <cell r="AY173">
            <v>7973</v>
          </cell>
          <cell r="AZ173">
            <v>7151</v>
          </cell>
          <cell r="BA173">
            <v>31247</v>
          </cell>
          <cell r="BB173">
            <v>3222</v>
          </cell>
          <cell r="BC173">
            <v>5348</v>
          </cell>
          <cell r="BD173">
            <v>5089</v>
          </cell>
          <cell r="BE173">
            <v>5270</v>
          </cell>
          <cell r="BF173">
            <v>18929</v>
          </cell>
          <cell r="BG173">
            <v>7222</v>
          </cell>
          <cell r="BH173">
            <v>3662</v>
          </cell>
          <cell r="BI173">
            <v>3233</v>
          </cell>
          <cell r="BJ173">
            <v>3421</v>
          </cell>
          <cell r="BK173">
            <v>17538</v>
          </cell>
          <cell r="BL173">
            <v>2642</v>
          </cell>
          <cell r="BM173">
            <v>2156</v>
          </cell>
          <cell r="BN173">
            <v>454</v>
          </cell>
          <cell r="BO173">
            <v>1491</v>
          </cell>
          <cell r="BP173">
            <v>6743</v>
          </cell>
          <cell r="BQ173">
            <v>727</v>
          </cell>
          <cell r="BR173">
            <v>0</v>
          </cell>
          <cell r="BS173">
            <v>0</v>
          </cell>
          <cell r="BT173">
            <v>0</v>
          </cell>
          <cell r="BU173">
            <v>727</v>
          </cell>
          <cell r="BV173">
            <v>0</v>
          </cell>
          <cell r="BW173">
            <v>0</v>
          </cell>
          <cell r="BX173">
            <v>0</v>
          </cell>
          <cell r="BY173">
            <v>1111</v>
          </cell>
          <cell r="BZ173">
            <v>1111</v>
          </cell>
          <cell r="CA173">
            <v>3824</v>
          </cell>
          <cell r="CB173">
            <v>4126</v>
          </cell>
          <cell r="CC173">
            <v>4862</v>
          </cell>
          <cell r="CD173">
            <v>7145</v>
          </cell>
          <cell r="CE173">
            <v>19957</v>
          </cell>
          <cell r="CF173">
            <v>4370</v>
          </cell>
          <cell r="CG173">
            <v>4269</v>
          </cell>
          <cell r="CH173">
            <v>3557</v>
          </cell>
          <cell r="CI173">
            <v>13927</v>
          </cell>
          <cell r="CJ173">
            <v>26123</v>
          </cell>
          <cell r="CK173">
            <v>13972</v>
          </cell>
          <cell r="CL173">
            <v>15271</v>
          </cell>
          <cell r="CM173">
            <v>14908</v>
          </cell>
          <cell r="CO173">
            <v>44151</v>
          </cell>
        </row>
        <row r="174">
          <cell r="B174" t="str">
            <v>Emergency room visits</v>
          </cell>
          <cell r="R174" t="str">
            <v>NM</v>
          </cell>
          <cell r="S174" t="str">
            <v>NM</v>
          </cell>
          <cell r="T174" t="str">
            <v>NM</v>
          </cell>
          <cell r="U174" t="str">
            <v>NM</v>
          </cell>
          <cell r="V174">
            <v>0</v>
          </cell>
          <cell r="W174" t="str">
            <v>NM</v>
          </cell>
          <cell r="X174" t="str">
            <v>NM</v>
          </cell>
          <cell r="Y174" t="str">
            <v>NM</v>
          </cell>
          <cell r="Z174" t="str">
            <v>NM</v>
          </cell>
          <cell r="AA174">
            <v>0</v>
          </cell>
          <cell r="AB174" t="str">
            <v>NM</v>
          </cell>
          <cell r="AC174" t="str">
            <v>NM</v>
          </cell>
          <cell r="AD174" t="str">
            <v>NM</v>
          </cell>
          <cell r="AE174" t="str">
            <v>NM</v>
          </cell>
          <cell r="AF174">
            <v>0</v>
          </cell>
          <cell r="AG174" t="str">
            <v>NM</v>
          </cell>
          <cell r="AH174" t="str">
            <v>NM</v>
          </cell>
          <cell r="AI174" t="str">
            <v>NM</v>
          </cell>
          <cell r="AJ174" t="str">
            <v>NM</v>
          </cell>
          <cell r="AK174">
            <v>0</v>
          </cell>
          <cell r="AL174" t="str">
            <v>NM</v>
          </cell>
          <cell r="AM174" t="str">
            <v>NM</v>
          </cell>
          <cell r="AN174" t="str">
            <v>NM</v>
          </cell>
          <cell r="AO174" t="str">
            <v>NM</v>
          </cell>
          <cell r="AP174">
            <v>0</v>
          </cell>
          <cell r="AQ174" t="str">
            <v>NM</v>
          </cell>
          <cell r="AR174" t="str">
            <v>NM</v>
          </cell>
          <cell r="AS174" t="str">
            <v>NM</v>
          </cell>
          <cell r="AT174" t="str">
            <v>NM</v>
          </cell>
          <cell r="AU174">
            <v>0</v>
          </cell>
          <cell r="AW174" t="str">
            <v>NM</v>
          </cell>
          <cell r="AX174" t="str">
            <v>NM</v>
          </cell>
          <cell r="AY174" t="str">
            <v>NM</v>
          </cell>
          <cell r="AZ174" t="str">
            <v>NM</v>
          </cell>
          <cell r="BA174">
            <v>0</v>
          </cell>
          <cell r="BB174" t="str">
            <v>NM</v>
          </cell>
          <cell r="BC174" t="str">
            <v>NM</v>
          </cell>
          <cell r="BD174" t="str">
            <v>NM</v>
          </cell>
          <cell r="BE174" t="str">
            <v>NM</v>
          </cell>
          <cell r="BF174">
            <v>0</v>
          </cell>
          <cell r="BG174" t="str">
            <v>NM</v>
          </cell>
          <cell r="BH174" t="str">
            <v>NM</v>
          </cell>
          <cell r="BI174" t="str">
            <v>NM</v>
          </cell>
          <cell r="BJ174" t="str">
            <v>NM</v>
          </cell>
          <cell r="BK174">
            <v>0</v>
          </cell>
          <cell r="BL174">
            <v>18956</v>
          </cell>
          <cell r="BM174">
            <v>12259</v>
          </cell>
          <cell r="BN174">
            <v>4153</v>
          </cell>
          <cell r="BO174">
            <v>64826</v>
          </cell>
          <cell r="BP174">
            <v>100194</v>
          </cell>
          <cell r="BQ174">
            <v>6839</v>
          </cell>
          <cell r="BR174">
            <v>0</v>
          </cell>
          <cell r="BS174">
            <v>0</v>
          </cell>
          <cell r="BT174">
            <v>0</v>
          </cell>
          <cell r="BU174">
            <v>6839</v>
          </cell>
          <cell r="BV174">
            <v>0</v>
          </cell>
          <cell r="BW174">
            <v>0</v>
          </cell>
          <cell r="BX174">
            <v>0</v>
          </cell>
          <cell r="BY174">
            <v>4354</v>
          </cell>
          <cell r="BZ174">
            <v>4354</v>
          </cell>
          <cell r="CA174">
            <v>13725</v>
          </cell>
          <cell r="CB174">
            <v>14298</v>
          </cell>
          <cell r="CC174">
            <v>31509</v>
          </cell>
          <cell r="CD174">
            <v>41268</v>
          </cell>
          <cell r="CE174">
            <v>100800</v>
          </cell>
          <cell r="CF174">
            <v>32892</v>
          </cell>
          <cell r="CG174">
            <v>33642</v>
          </cell>
          <cell r="CH174">
            <v>17135</v>
          </cell>
          <cell r="CI174">
            <v>48166</v>
          </cell>
          <cell r="CJ174">
            <v>131835</v>
          </cell>
          <cell r="CK174">
            <v>49982</v>
          </cell>
          <cell r="CL174">
            <v>61503</v>
          </cell>
          <cell r="CM174">
            <v>63191</v>
          </cell>
          <cell r="CO174">
            <v>174676</v>
          </cell>
        </row>
        <row r="175">
          <cell r="B175" t="str">
            <v>Net revenue before doubtful accounts</v>
          </cell>
          <cell r="R175" t="str">
            <v>NM</v>
          </cell>
          <cell r="S175" t="str">
            <v>NM</v>
          </cell>
          <cell r="T175" t="str">
            <v>NM</v>
          </cell>
          <cell r="U175" t="str">
            <v>NM</v>
          </cell>
          <cell r="V175">
            <v>0</v>
          </cell>
          <cell r="W175" t="str">
            <v>NM</v>
          </cell>
          <cell r="X175" t="str">
            <v>NM</v>
          </cell>
          <cell r="Y175" t="str">
            <v>NM</v>
          </cell>
          <cell r="Z175" t="str">
            <v>NM</v>
          </cell>
          <cell r="AA175">
            <v>0</v>
          </cell>
          <cell r="AB175" t="str">
            <v>NM</v>
          </cell>
          <cell r="AC175" t="str">
            <v>NM</v>
          </cell>
          <cell r="AD175" t="str">
            <v>NM</v>
          </cell>
          <cell r="AE175" t="str">
            <v>NM</v>
          </cell>
          <cell r="AF175">
            <v>0</v>
          </cell>
          <cell r="AG175" t="str">
            <v>NM</v>
          </cell>
          <cell r="AH175">
            <v>27.70799999999997</v>
          </cell>
          <cell r="AI175" t="str">
            <v>NM</v>
          </cell>
          <cell r="AJ175">
            <v>22.513000000000034</v>
          </cell>
          <cell r="AK175">
            <v>50.221000000000004</v>
          </cell>
          <cell r="AL175">
            <v>105.07000000000005</v>
          </cell>
          <cell r="AM175">
            <v>148.49300000000005</v>
          </cell>
          <cell r="AN175">
            <v>145.673</v>
          </cell>
          <cell r="AO175">
            <v>141.21899999999994</v>
          </cell>
          <cell r="AP175">
            <v>540.45500000000004</v>
          </cell>
          <cell r="AQ175">
            <v>110.322</v>
          </cell>
          <cell r="AR175">
            <v>58.273000000000025</v>
          </cell>
          <cell r="AS175">
            <v>84.672000000000025</v>
          </cell>
          <cell r="AT175">
            <v>89.002999999999929</v>
          </cell>
          <cell r="AU175">
            <v>342.27</v>
          </cell>
          <cell r="AW175">
            <v>148.49300000000005</v>
          </cell>
          <cell r="AX175">
            <v>145.673</v>
          </cell>
          <cell r="AY175">
            <v>141.21899999999994</v>
          </cell>
          <cell r="AZ175">
            <v>110.322</v>
          </cell>
          <cell r="BA175">
            <v>545.70699999999999</v>
          </cell>
          <cell r="BB175">
            <v>58.273000000000025</v>
          </cell>
          <cell r="BC175">
            <v>84.672000000000025</v>
          </cell>
          <cell r="BD175">
            <v>89.002999999999929</v>
          </cell>
          <cell r="BE175">
            <v>89.662000000000035</v>
          </cell>
          <cell r="BF175">
            <v>321.61</v>
          </cell>
          <cell r="BG175">
            <v>116.58500000000004</v>
          </cell>
          <cell r="BH175">
            <v>62.578999999999951</v>
          </cell>
          <cell r="BI175">
            <v>68.750999999999976</v>
          </cell>
          <cell r="BJ175">
            <v>85.502999999999929</v>
          </cell>
          <cell r="BK175">
            <v>333.41799999999989</v>
          </cell>
          <cell r="BL175">
            <v>75.926999999999907</v>
          </cell>
          <cell r="BM175">
            <v>72.965000000000146</v>
          </cell>
          <cell r="BN175">
            <v>15.734000000000151</v>
          </cell>
          <cell r="BO175">
            <v>25.264000000000124</v>
          </cell>
          <cell r="BP175">
            <v>189.89000000000033</v>
          </cell>
          <cell r="BQ175">
            <v>18.756999999999834</v>
          </cell>
          <cell r="BR175">
            <v>0</v>
          </cell>
          <cell r="BS175">
            <v>0</v>
          </cell>
          <cell r="BT175">
            <v>0</v>
          </cell>
          <cell r="BU175">
            <v>18.756999999999834</v>
          </cell>
          <cell r="BV175">
            <v>0</v>
          </cell>
          <cell r="BW175">
            <v>0</v>
          </cell>
          <cell r="BX175">
            <v>0</v>
          </cell>
          <cell r="BY175">
            <v>22.20699999999988</v>
          </cell>
          <cell r="BZ175">
            <v>22.20699999999988</v>
          </cell>
          <cell r="CA175">
            <v>68.702999999999975</v>
          </cell>
          <cell r="CB175">
            <v>71.039999999999964</v>
          </cell>
          <cell r="CC175">
            <v>91.204000000000178</v>
          </cell>
          <cell r="CD175">
            <v>142.40899999999988</v>
          </cell>
          <cell r="CE175">
            <v>373.35599999999999</v>
          </cell>
          <cell r="CF175">
            <v>100.67000000000007</v>
          </cell>
          <cell r="CG175">
            <v>113.70900000000006</v>
          </cell>
          <cell r="CH175">
            <v>91.231999999999971</v>
          </cell>
          <cell r="CI175">
            <v>163.34199999999987</v>
          </cell>
          <cell r="CJ175">
            <v>468.95299999999997</v>
          </cell>
          <cell r="CK175">
            <v>167.81799999999998</v>
          </cell>
          <cell r="CL175">
            <v>192.64099999999985</v>
          </cell>
          <cell r="CM175">
            <v>187.1869999999999</v>
          </cell>
          <cell r="CO175">
            <v>547.64599999999973</v>
          </cell>
        </row>
        <row r="176">
          <cell r="B176" t="str">
            <v>Net revenue per adjusted admission</v>
          </cell>
          <cell r="R176" t="str">
            <v>NM</v>
          </cell>
          <cell r="S176" t="str">
            <v>NM</v>
          </cell>
          <cell r="T176" t="str">
            <v>NM</v>
          </cell>
          <cell r="U176" t="str">
            <v>NM</v>
          </cell>
          <cell r="V176">
            <v>0</v>
          </cell>
          <cell r="W176" t="str">
            <v>NM</v>
          </cell>
          <cell r="X176" t="str">
            <v>NM</v>
          </cell>
          <cell r="Y176" t="str">
            <v>NM</v>
          </cell>
          <cell r="Z176" t="str">
            <v>NM</v>
          </cell>
          <cell r="AA176">
            <v>0</v>
          </cell>
          <cell r="AB176" t="str">
            <v>NM</v>
          </cell>
          <cell r="AC176" t="str">
            <v>NM</v>
          </cell>
          <cell r="AD176" t="str">
            <v>NM</v>
          </cell>
          <cell r="AE176" t="str">
            <v>NM</v>
          </cell>
          <cell r="AF176">
            <v>0</v>
          </cell>
          <cell r="AG176" t="str">
            <v>NM</v>
          </cell>
          <cell r="AH176">
            <v>636.38033991731675</v>
          </cell>
          <cell r="AI176" t="str">
            <v>NM</v>
          </cell>
          <cell r="AJ176">
            <v>960.45221843003549</v>
          </cell>
          <cell r="AK176">
            <v>1596.8325583473522</v>
          </cell>
          <cell r="AL176">
            <v>630.48304830483085</v>
          </cell>
          <cell r="AM176">
            <v>660.99710661028291</v>
          </cell>
          <cell r="AN176">
            <v>697.76787852660823</v>
          </cell>
          <cell r="AO176">
            <v>683.5713248463137</v>
          </cell>
          <cell r="AP176">
            <v>2672.8193582880358</v>
          </cell>
          <cell r="AQ176">
            <v>625.47907926068717</v>
          </cell>
          <cell r="AR176">
            <v>880.7889963724308</v>
          </cell>
          <cell r="AS176">
            <v>857.52481263925483</v>
          </cell>
          <cell r="AT176">
            <v>987.82463928967729</v>
          </cell>
          <cell r="AU176">
            <v>3351.6175275620499</v>
          </cell>
          <cell r="AW176">
            <v>660.99710661028291</v>
          </cell>
          <cell r="AX176">
            <v>697.76787852660823</v>
          </cell>
          <cell r="AY176">
            <v>683.5713248463137</v>
          </cell>
          <cell r="AZ176">
            <v>625.47907926068717</v>
          </cell>
          <cell r="BA176">
            <v>2667.8153892438918</v>
          </cell>
          <cell r="BB176">
            <v>880.7889963724308</v>
          </cell>
          <cell r="BC176">
            <v>857.52481263925483</v>
          </cell>
          <cell r="BD176">
            <v>987.82463928967729</v>
          </cell>
          <cell r="BE176">
            <v>893.22574217971749</v>
          </cell>
          <cell r="BF176">
            <v>3619.3641904810806</v>
          </cell>
          <cell r="BG176">
            <v>788.80243572395159</v>
          </cell>
          <cell r="BH176">
            <v>960.97972972972889</v>
          </cell>
          <cell r="BI176">
            <v>988.08565679793014</v>
          </cell>
          <cell r="BJ176">
            <v>1114.7718383311594</v>
          </cell>
          <cell r="BK176">
            <v>3852.6396605827704</v>
          </cell>
          <cell r="BL176">
            <v>1120.6937269372681</v>
          </cell>
          <cell r="BM176">
            <v>842.7465927465945</v>
          </cell>
          <cell r="BN176">
            <v>1520.1932367149905</v>
          </cell>
          <cell r="BO176">
            <v>884.59383753501822</v>
          </cell>
          <cell r="BP176">
            <v>4368.2273939338711</v>
          </cell>
          <cell r="BQ176">
            <v>987.21052631578073</v>
          </cell>
          <cell r="BR176" t="str">
            <v>NM</v>
          </cell>
          <cell r="BS176" t="str">
            <v>NM</v>
          </cell>
          <cell r="BT176" t="str">
            <v>NM</v>
          </cell>
          <cell r="BU176">
            <v>987.21052631578073</v>
          </cell>
          <cell r="BV176" t="str">
            <v>NM</v>
          </cell>
          <cell r="BW176" t="str">
            <v>NM</v>
          </cell>
          <cell r="BX176" t="str">
            <v>NM</v>
          </cell>
          <cell r="BY176">
            <v>873.2599292174549</v>
          </cell>
          <cell r="BZ176">
            <v>873.2599292174549</v>
          </cell>
          <cell r="CA176">
            <v>961.68812989921582</v>
          </cell>
          <cell r="CB176">
            <v>915.69992266047916</v>
          </cell>
          <cell r="CC176">
            <v>772.52244621379111</v>
          </cell>
          <cell r="CD176">
            <v>840.17109144542712</v>
          </cell>
          <cell r="CE176">
            <v>3490.0815902189133</v>
          </cell>
          <cell r="CF176">
            <v>790.00235423369747</v>
          </cell>
          <cell r="CG176">
            <v>873.67652708413414</v>
          </cell>
          <cell r="CH176">
            <v>936.38509699271242</v>
          </cell>
          <cell r="CI176">
            <v>848.39765231392448</v>
          </cell>
          <cell r="CJ176">
            <v>3448.4616306244684</v>
          </cell>
          <cell r="CK176">
            <v>876.05972019210685</v>
          </cell>
          <cell r="CL176">
            <v>949.62535738933184</v>
          </cell>
          <cell r="CM176">
            <v>955.71837026447417</v>
          </cell>
          <cell r="CO176">
            <v>2781.403447845913</v>
          </cell>
        </row>
        <row r="177">
          <cell r="B177" t="str">
            <v>Inpatient revenue</v>
          </cell>
          <cell r="R177">
            <v>0</v>
          </cell>
          <cell r="S177">
            <v>0</v>
          </cell>
          <cell r="T177">
            <v>0</v>
          </cell>
          <cell r="U177">
            <v>181.93187399999999</v>
          </cell>
          <cell r="V177">
            <v>181.93187399999999</v>
          </cell>
          <cell r="W177">
            <v>199.74902000000003</v>
          </cell>
          <cell r="X177">
            <v>228.54339999999999</v>
          </cell>
          <cell r="Y177">
            <v>206.78971099999998</v>
          </cell>
          <cell r="Z177">
            <v>239.222679</v>
          </cell>
          <cell r="AA177">
            <v>874.30480999999997</v>
          </cell>
          <cell r="AB177">
            <v>271.70990800000004</v>
          </cell>
          <cell r="AC177">
            <v>328.25056799999993</v>
          </cell>
          <cell r="AD177">
            <v>314.01228000000003</v>
          </cell>
          <cell r="AE177">
            <v>341.75469999999996</v>
          </cell>
          <cell r="AF177">
            <v>1255.7274560000001</v>
          </cell>
          <cell r="AG177">
            <v>337.61812600000002</v>
          </cell>
          <cell r="AH177">
            <v>363.31726400000002</v>
          </cell>
          <cell r="AI177">
            <v>338.44742099999996</v>
          </cell>
          <cell r="AJ177">
            <v>348.50574</v>
          </cell>
          <cell r="AK177">
            <v>1387.888551</v>
          </cell>
          <cell r="AL177">
            <v>50.160026000000016</v>
          </cell>
          <cell r="AM177">
            <v>63.142312000000004</v>
          </cell>
          <cell r="AN177">
            <v>77.416921000000002</v>
          </cell>
          <cell r="AO177">
            <v>64.796174999999948</v>
          </cell>
          <cell r="AP177">
            <v>255.51543399999997</v>
          </cell>
          <cell r="AQ177">
            <v>55.843867999999986</v>
          </cell>
          <cell r="AR177">
            <v>33.986671999999999</v>
          </cell>
          <cell r="AS177">
            <v>34.859016000000054</v>
          </cell>
          <cell r="AT177">
            <v>52.028806999999972</v>
          </cell>
          <cell r="AU177">
            <v>176.71836300000001</v>
          </cell>
          <cell r="AW177">
            <v>63.142312000000004</v>
          </cell>
          <cell r="AX177">
            <v>77.416921000000002</v>
          </cell>
          <cell r="AY177">
            <v>64.796174999999948</v>
          </cell>
          <cell r="AZ177">
            <v>55.843867999999986</v>
          </cell>
          <cell r="BA177">
            <v>261.19927599999994</v>
          </cell>
          <cell r="BB177">
            <v>33.986671999999999</v>
          </cell>
          <cell r="BC177">
            <v>34.859016000000054</v>
          </cell>
          <cell r="BD177">
            <v>52.028806999999972</v>
          </cell>
          <cell r="BE177">
            <v>47.11243300000001</v>
          </cell>
          <cell r="BF177">
            <v>167.98692800000003</v>
          </cell>
          <cell r="BG177">
            <v>58.075935000000015</v>
          </cell>
          <cell r="BH177">
            <v>30.455230999999969</v>
          </cell>
          <cell r="BI177">
            <v>20.257249999999942</v>
          </cell>
          <cell r="BJ177">
            <v>37.915349999999933</v>
          </cell>
          <cell r="BK177">
            <v>146.70376599999986</v>
          </cell>
          <cell r="BL177">
            <v>34.756053999999949</v>
          </cell>
          <cell r="BM177">
            <v>32.737855000000081</v>
          </cell>
          <cell r="BN177">
            <v>8.8585190000001148</v>
          </cell>
          <cell r="BO177">
            <v>14.925612000000115</v>
          </cell>
          <cell r="BP177">
            <v>91.27804000000026</v>
          </cell>
          <cell r="BQ177">
            <v>9.9224529999999049</v>
          </cell>
          <cell r="BR177">
            <v>0</v>
          </cell>
          <cell r="BS177">
            <v>0</v>
          </cell>
          <cell r="BT177">
            <v>0</v>
          </cell>
          <cell r="BU177">
            <v>9.9224529999999049</v>
          </cell>
          <cell r="BV177">
            <v>0</v>
          </cell>
          <cell r="BW177">
            <v>0</v>
          </cell>
          <cell r="BX177">
            <v>0</v>
          </cell>
          <cell r="BY177">
            <v>3.9552939999999808</v>
          </cell>
          <cell r="BZ177">
            <v>3.9552939999999808</v>
          </cell>
          <cell r="CA177">
            <v>40.453418000000056</v>
          </cell>
          <cell r="CB177">
            <v>41.261654999999905</v>
          </cell>
          <cell r="CC177">
            <v>28.986032000000023</v>
          </cell>
          <cell r="CD177">
            <v>64.58661399999994</v>
          </cell>
          <cell r="CE177">
            <v>175.28771899999992</v>
          </cell>
          <cell r="CF177">
            <v>46.638097000000016</v>
          </cell>
          <cell r="CG177">
            <v>51.562196000000085</v>
          </cell>
          <cell r="CH177">
            <v>37.551760000000058</v>
          </cell>
          <cell r="CI177">
            <v>76.493701999999871</v>
          </cell>
          <cell r="CJ177">
            <v>212.24575500000003</v>
          </cell>
          <cell r="CK177">
            <v>75.669242000000054</v>
          </cell>
          <cell r="CL177">
            <v>82.399390999999923</v>
          </cell>
          <cell r="CM177">
            <v>84.962401999999997</v>
          </cell>
          <cell r="CO177">
            <v>243.03103499999997</v>
          </cell>
        </row>
        <row r="178">
          <cell r="B178" t="str">
            <v>Outpatient revenue</v>
          </cell>
          <cell r="R178">
            <v>0</v>
          </cell>
          <cell r="S178">
            <v>0</v>
          </cell>
          <cell r="T178">
            <v>0</v>
          </cell>
          <cell r="U178">
            <v>225.98712600000002</v>
          </cell>
          <cell r="V178">
            <v>225.98712600000002</v>
          </cell>
          <cell r="W178">
            <v>234.48798000000002</v>
          </cell>
          <cell r="X178">
            <v>252.60060000000001</v>
          </cell>
          <cell r="Y178">
            <v>266.41328899999996</v>
          </cell>
          <cell r="Z178">
            <v>251.99432099999999</v>
          </cell>
          <cell r="AA178">
            <v>1005.49619</v>
          </cell>
          <cell r="AB178">
            <v>224.11109200000001</v>
          </cell>
          <cell r="AC178">
            <v>251.69743199999999</v>
          </cell>
          <cell r="AD178">
            <v>278.46371999999997</v>
          </cell>
          <cell r="AE178">
            <v>252.60129999999998</v>
          </cell>
          <cell r="AF178">
            <v>1006.873544</v>
          </cell>
          <cell r="AG178">
            <v>271.80087400000002</v>
          </cell>
          <cell r="AH178">
            <v>283.15473600000001</v>
          </cell>
          <cell r="AI178">
            <v>308.67957899999999</v>
          </cell>
          <cell r="AJ178">
            <v>309.05225999999999</v>
          </cell>
          <cell r="AK178">
            <v>1172.687449</v>
          </cell>
          <cell r="AL178">
            <v>54.909973999999977</v>
          </cell>
          <cell r="AM178">
            <v>85.350688000000048</v>
          </cell>
          <cell r="AN178">
            <v>68.256079</v>
          </cell>
          <cell r="AO178">
            <v>76.422824999999989</v>
          </cell>
          <cell r="AP178">
            <v>284.93956600000001</v>
          </cell>
          <cell r="AQ178">
            <v>54.478132000000016</v>
          </cell>
          <cell r="AR178">
            <v>24.286328000000026</v>
          </cell>
          <cell r="AS178">
            <v>49.812983999999972</v>
          </cell>
          <cell r="AT178">
            <v>36.974192999999957</v>
          </cell>
          <cell r="AU178">
            <v>165.55163699999997</v>
          </cell>
          <cell r="AW178">
            <v>85.350688000000048</v>
          </cell>
          <cell r="AX178">
            <v>68.256079</v>
          </cell>
          <cell r="AY178">
            <v>76.422824999999989</v>
          </cell>
          <cell r="AZ178">
            <v>54.478132000000016</v>
          </cell>
          <cell r="BA178">
            <v>284.50772400000005</v>
          </cell>
          <cell r="BB178">
            <v>24.286328000000026</v>
          </cell>
          <cell r="BC178">
            <v>49.812983999999972</v>
          </cell>
          <cell r="BD178">
            <v>36.974192999999957</v>
          </cell>
          <cell r="BE178">
            <v>42.549567000000025</v>
          </cell>
          <cell r="BF178">
            <v>153.62307199999998</v>
          </cell>
          <cell r="BG178">
            <v>58.509065000000021</v>
          </cell>
          <cell r="BH178">
            <v>32.123768999999982</v>
          </cell>
          <cell r="BI178">
            <v>48.493750000000034</v>
          </cell>
          <cell r="BJ178">
            <v>47.587649999999996</v>
          </cell>
          <cell r="BK178">
            <v>186.71423400000003</v>
          </cell>
          <cell r="BL178">
            <v>41.170945999999958</v>
          </cell>
          <cell r="BM178">
            <v>40.227145000000121</v>
          </cell>
          <cell r="BN178">
            <v>6.8754810000000361</v>
          </cell>
          <cell r="BO178">
            <v>10.338388000000009</v>
          </cell>
          <cell r="BP178">
            <v>98.611960000000124</v>
          </cell>
          <cell r="BQ178">
            <v>8.8345469999999295</v>
          </cell>
          <cell r="BR178">
            <v>0</v>
          </cell>
          <cell r="BS178">
            <v>0</v>
          </cell>
          <cell r="BT178">
            <v>0</v>
          </cell>
          <cell r="BU178">
            <v>8.8345469999999295</v>
          </cell>
          <cell r="BV178">
            <v>0</v>
          </cell>
          <cell r="BW178">
            <v>0</v>
          </cell>
          <cell r="BX178">
            <v>0</v>
          </cell>
          <cell r="BY178">
            <v>18.251705999999899</v>
          </cell>
          <cell r="BZ178">
            <v>18.251705999999899</v>
          </cell>
          <cell r="CA178">
            <v>28.249581999999918</v>
          </cell>
          <cell r="CB178">
            <v>29.778345000000058</v>
          </cell>
          <cell r="CC178">
            <v>62.217968000000155</v>
          </cell>
          <cell r="CD178">
            <v>77.822385999999938</v>
          </cell>
          <cell r="CE178">
            <v>198.06828100000007</v>
          </cell>
          <cell r="CF178">
            <v>54.031903000000057</v>
          </cell>
          <cell r="CG178">
            <v>62.146803999999975</v>
          </cell>
          <cell r="CH178">
            <v>53.680239999999912</v>
          </cell>
          <cell r="CI178">
            <v>86.848298</v>
          </cell>
          <cell r="CJ178">
            <v>256.70724499999994</v>
          </cell>
          <cell r="CK178">
            <v>92.14875799999993</v>
          </cell>
          <cell r="CL178">
            <v>110.24160899999993</v>
          </cell>
          <cell r="CM178">
            <v>102.2245979999999</v>
          </cell>
          <cell r="CO178">
            <v>304.61496499999976</v>
          </cell>
        </row>
        <row r="179">
          <cell r="B179" t="str">
            <v>Net revenue</v>
          </cell>
          <cell r="R179" t="str">
            <v>NM</v>
          </cell>
          <cell r="S179" t="str">
            <v>NM</v>
          </cell>
          <cell r="T179" t="str">
            <v>NM</v>
          </cell>
          <cell r="U179" t="str">
            <v>NM</v>
          </cell>
          <cell r="V179">
            <v>0</v>
          </cell>
          <cell r="W179" t="str">
            <v>NM</v>
          </cell>
          <cell r="X179" t="str">
            <v>NM</v>
          </cell>
          <cell r="Y179" t="str">
            <v>NM</v>
          </cell>
          <cell r="Z179" t="str">
            <v>NM</v>
          </cell>
          <cell r="AA179">
            <v>0</v>
          </cell>
          <cell r="AB179" t="str">
            <v>NM</v>
          </cell>
          <cell r="AC179" t="str">
            <v>NM</v>
          </cell>
          <cell r="AD179" t="str">
            <v>NM</v>
          </cell>
          <cell r="AE179" t="str">
            <v>NM</v>
          </cell>
          <cell r="AF179">
            <v>0</v>
          </cell>
          <cell r="AG179" t="str">
            <v>NM</v>
          </cell>
          <cell r="AH179">
            <v>27.70799999999997</v>
          </cell>
          <cell r="AI179" t="str">
            <v>NM</v>
          </cell>
          <cell r="AJ179">
            <v>22.513000000000034</v>
          </cell>
          <cell r="AK179">
            <v>50.221000000000004</v>
          </cell>
          <cell r="AL179">
            <v>105.07000000000005</v>
          </cell>
          <cell r="AM179">
            <v>148.49300000000005</v>
          </cell>
          <cell r="AN179">
            <v>145.673</v>
          </cell>
          <cell r="AO179">
            <v>141.21899999999994</v>
          </cell>
          <cell r="AP179">
            <v>540.45500000000004</v>
          </cell>
          <cell r="AQ179">
            <v>110.322</v>
          </cell>
          <cell r="AR179">
            <v>58.273000000000025</v>
          </cell>
          <cell r="AS179">
            <v>84.672000000000025</v>
          </cell>
          <cell r="AT179">
            <v>89.002999999999929</v>
          </cell>
          <cell r="AU179">
            <v>342.27</v>
          </cell>
          <cell r="AW179">
            <v>148.49300000000005</v>
          </cell>
          <cell r="AX179">
            <v>145.673</v>
          </cell>
          <cell r="AY179">
            <v>141.21899999999994</v>
          </cell>
          <cell r="AZ179">
            <v>110.322</v>
          </cell>
          <cell r="BA179">
            <v>545.70699999999999</v>
          </cell>
          <cell r="BB179">
            <v>58.273000000000025</v>
          </cell>
          <cell r="BC179">
            <v>84.672000000000025</v>
          </cell>
          <cell r="BD179">
            <v>89.002999999999929</v>
          </cell>
          <cell r="BE179">
            <v>89.662000000000035</v>
          </cell>
          <cell r="BF179">
            <v>321.61</v>
          </cell>
          <cell r="BG179">
            <v>116.58500000000004</v>
          </cell>
          <cell r="BH179">
            <v>62.578999999999951</v>
          </cell>
          <cell r="BI179">
            <v>68.750999999999976</v>
          </cell>
          <cell r="BJ179">
            <v>85.502999999999929</v>
          </cell>
          <cell r="BK179">
            <v>333.41799999999989</v>
          </cell>
          <cell r="BL179">
            <v>75.926999999999907</v>
          </cell>
          <cell r="BM179">
            <v>72.965000000000146</v>
          </cell>
          <cell r="BN179">
            <v>15.734000000000151</v>
          </cell>
          <cell r="BO179">
            <v>25.264000000000124</v>
          </cell>
          <cell r="BP179">
            <v>189.89000000000033</v>
          </cell>
          <cell r="BQ179">
            <v>18.756999999999834</v>
          </cell>
          <cell r="BR179">
            <v>0</v>
          </cell>
          <cell r="BS179">
            <v>0</v>
          </cell>
          <cell r="BT179">
            <v>0</v>
          </cell>
          <cell r="BU179">
            <v>18.756999999999834</v>
          </cell>
          <cell r="BV179">
            <v>0</v>
          </cell>
          <cell r="BW179">
            <v>0</v>
          </cell>
          <cell r="BX179">
            <v>0</v>
          </cell>
          <cell r="BY179">
            <v>22.20699999999988</v>
          </cell>
          <cell r="BZ179">
            <v>22.20699999999988</v>
          </cell>
          <cell r="CA179">
            <v>68.702999999999975</v>
          </cell>
          <cell r="CB179">
            <v>71.039999999999964</v>
          </cell>
          <cell r="CC179">
            <v>91.204000000000178</v>
          </cell>
          <cell r="CD179">
            <v>142.40899999999988</v>
          </cell>
          <cell r="CE179">
            <v>373.35599999999999</v>
          </cell>
          <cell r="CF179">
            <v>100.67000000000007</v>
          </cell>
          <cell r="CG179">
            <v>113.70900000000006</v>
          </cell>
          <cell r="CH179">
            <v>91.231999999999971</v>
          </cell>
          <cell r="CI179">
            <v>163.34199999999987</v>
          </cell>
          <cell r="CJ179">
            <v>468.95299999999997</v>
          </cell>
          <cell r="CK179">
            <v>167.81799999999998</v>
          </cell>
          <cell r="CL179">
            <v>192.64099999999985</v>
          </cell>
          <cell r="CM179">
            <v>187.1869999999999</v>
          </cell>
          <cell r="CO179">
            <v>547.64599999999973</v>
          </cell>
        </row>
        <row r="180">
          <cell r="B180" t="str">
            <v>Same hospital operating Adjusted EBITDA</v>
          </cell>
        </row>
        <row r="181">
          <cell r="B181" t="str">
            <v>EBITDA Margin</v>
          </cell>
        </row>
        <row r="183">
          <cell r="B183" t="str">
            <v>ORIGINALLY REPORTED</v>
          </cell>
        </row>
        <row r="184">
          <cell r="B184" t="str">
            <v>Continuing Operations</v>
          </cell>
        </row>
        <row r="185">
          <cell r="B185" t="str">
            <v>Occupancy</v>
          </cell>
          <cell r="D185" t="str">
            <v>ND</v>
          </cell>
          <cell r="E185" t="str">
            <v>ND</v>
          </cell>
          <cell r="F185">
            <v>0.47799999999999998</v>
          </cell>
          <cell r="G185">
            <v>0.45600000000000002</v>
          </cell>
          <cell r="H185">
            <v>0.433</v>
          </cell>
          <cell r="I185">
            <v>0.436</v>
          </cell>
          <cell r="J185">
            <v>0.432</v>
          </cell>
          <cell r="K185">
            <v>0.44800000000000001</v>
          </cell>
          <cell r="L185">
            <v>0.47099999999999997</v>
          </cell>
          <cell r="M185">
            <v>0.46100000000000002</v>
          </cell>
          <cell r="N185">
            <v>0.54700000000000004</v>
          </cell>
          <cell r="O185">
            <v>0.44700000000000001</v>
          </cell>
          <cell r="P185" t="str">
            <v>ND</v>
          </cell>
          <cell r="Q185">
            <v>0.47099999999999997</v>
          </cell>
          <cell r="R185">
            <v>0.45300000000000001</v>
          </cell>
          <cell r="S185">
            <v>0.504</v>
          </cell>
          <cell r="T185">
            <v>0.45300000000000001</v>
          </cell>
          <cell r="U185" t="str">
            <v>ND</v>
          </cell>
          <cell r="V185">
            <v>0.46200000000000002</v>
          </cell>
          <cell r="W185">
            <v>0.44700000000000001</v>
          </cell>
          <cell r="X185">
            <v>0.52800000000000002</v>
          </cell>
          <cell r="Y185">
            <v>0.47599999999999998</v>
          </cell>
          <cell r="Z185" t="str">
            <v>ND</v>
          </cell>
          <cell r="AA185">
            <v>0.47199999999999998</v>
          </cell>
          <cell r="AB185">
            <v>0.45500000000000002</v>
          </cell>
          <cell r="AC185">
            <v>0.51600000000000001</v>
          </cell>
          <cell r="AD185">
            <v>0.48199999999999998</v>
          </cell>
          <cell r="AE185" t="str">
            <v>ND</v>
          </cell>
          <cell r="AF185">
            <v>0.47899999999999998</v>
          </cell>
          <cell r="AG185">
            <v>0.48099999999999998</v>
          </cell>
          <cell r="AH185">
            <v>0.53</v>
          </cell>
          <cell r="AI185">
            <v>0.47499999999999998</v>
          </cell>
          <cell r="AJ185">
            <v>0.45800000000000002</v>
          </cell>
          <cell r="AK185">
            <v>0.48499999999999999</v>
          </cell>
          <cell r="AL185">
            <v>0.48</v>
          </cell>
          <cell r="AM185">
            <v>0.51400000000000001</v>
          </cell>
          <cell r="AN185">
            <v>0.45400000000000001</v>
          </cell>
          <cell r="AO185">
            <v>0.46600000000000003</v>
          </cell>
          <cell r="AP185">
            <v>0.47899999999999998</v>
          </cell>
          <cell r="AQ185">
            <v>0.45800000000000002</v>
          </cell>
          <cell r="AR185">
            <v>0.51600000000000001</v>
          </cell>
          <cell r="AS185">
            <v>0.45700000000000002</v>
          </cell>
          <cell r="AT185">
            <v>0.42399999999999999</v>
          </cell>
          <cell r="AU185">
            <v>0.46300000000000002</v>
          </cell>
          <cell r="AW185">
            <v>0.51400000000000001</v>
          </cell>
          <cell r="AX185">
            <v>0.45400000000000001</v>
          </cell>
          <cell r="AY185">
            <v>0.46600000000000003</v>
          </cell>
          <cell r="AZ185">
            <v>0.45800000000000002</v>
          </cell>
          <cell r="BB185">
            <v>0.51600000000000001</v>
          </cell>
          <cell r="BC185">
            <v>0.45700000000000002</v>
          </cell>
          <cell r="BD185">
            <v>0.42399999999999999</v>
          </cell>
          <cell r="BE185">
            <v>0.439</v>
          </cell>
          <cell r="BG185">
            <v>0.497</v>
          </cell>
          <cell r="BH185">
            <v>0.443</v>
          </cell>
          <cell r="BI185">
            <v>0.42199999999999999</v>
          </cell>
          <cell r="BJ185">
            <v>0.436</v>
          </cell>
          <cell r="BK185">
            <v>0.45</v>
          </cell>
          <cell r="BL185">
            <v>0.48899999999999999</v>
          </cell>
          <cell r="BM185">
            <v>0.442</v>
          </cell>
          <cell r="BN185">
            <v>0.42199999999999999</v>
          </cell>
          <cell r="BO185">
            <v>0.42099999999999999</v>
          </cell>
          <cell r="BP185">
            <v>0.44800000000000001</v>
          </cell>
          <cell r="BQ185">
            <v>0.51</v>
          </cell>
          <cell r="BR185">
            <v>0.442</v>
          </cell>
          <cell r="BS185">
            <v>0.41899999999999998</v>
          </cell>
          <cell r="BT185">
            <v>0.44400000000000001</v>
          </cell>
          <cell r="BU185">
            <v>0.44900000000000001</v>
          </cell>
          <cell r="BV185">
            <v>0.496</v>
          </cell>
          <cell r="BW185">
            <v>0.44800000000000001</v>
          </cell>
          <cell r="BX185">
            <v>0.42499999999999999</v>
          </cell>
          <cell r="BY185">
            <v>0.442</v>
          </cell>
          <cell r="BZ185">
            <v>0.44900000000000001</v>
          </cell>
          <cell r="CA185">
            <v>0.48899999999999999</v>
          </cell>
          <cell r="CB185">
            <v>0.438</v>
          </cell>
          <cell r="CC185">
            <v>0.41599999999999998</v>
          </cell>
          <cell r="CD185">
            <v>0.42599999999999999</v>
          </cell>
          <cell r="CE185">
            <v>0.435</v>
          </cell>
          <cell r="CF185">
            <v>0.48299999999999998</v>
          </cell>
          <cell r="CG185">
            <v>0.42699999999999999</v>
          </cell>
          <cell r="CH185">
            <v>0.41099999999999998</v>
          </cell>
          <cell r="CI185">
            <v>0.41</v>
          </cell>
          <cell r="CJ185">
            <v>0.42799999999999999</v>
          </cell>
          <cell r="CK185">
            <v>0.45200000000000001</v>
          </cell>
          <cell r="CL185">
            <v>0.39600000000000002</v>
          </cell>
          <cell r="CM185">
            <v>0.38900000000000001</v>
          </cell>
        </row>
        <row r="186">
          <cell r="B186" t="str">
            <v>Patient days</v>
          </cell>
          <cell r="D186" t="str">
            <v>ND</v>
          </cell>
          <cell r="E186" t="str">
            <v>ND</v>
          </cell>
          <cell r="F186">
            <v>290026</v>
          </cell>
          <cell r="G186">
            <v>284168</v>
          </cell>
          <cell r="H186">
            <v>317636</v>
          </cell>
          <cell r="I186">
            <v>340485</v>
          </cell>
          <cell r="J186">
            <v>419488</v>
          </cell>
          <cell r="K186">
            <v>494977</v>
          </cell>
          <cell r="L186">
            <v>615248</v>
          </cell>
          <cell r="M186">
            <v>161915</v>
          </cell>
          <cell r="N186">
            <v>188740</v>
          </cell>
          <cell r="O186">
            <v>181338</v>
          </cell>
          <cell r="P186" t="str">
            <v>ND</v>
          </cell>
          <cell r="Q186">
            <v>718035</v>
          </cell>
          <cell r="R186">
            <v>194260</v>
          </cell>
          <cell r="S186">
            <v>213763</v>
          </cell>
          <cell r="T186">
            <v>187273</v>
          </cell>
          <cell r="U186" t="str">
            <v>ND</v>
          </cell>
          <cell r="V186">
            <v>791617</v>
          </cell>
          <cell r="W186">
            <v>209431</v>
          </cell>
          <cell r="X186">
            <v>238835</v>
          </cell>
          <cell r="Y186">
            <v>216296</v>
          </cell>
          <cell r="Z186" t="str">
            <v>ND</v>
          </cell>
          <cell r="AA186">
            <v>880624</v>
          </cell>
          <cell r="AB186">
            <v>223702</v>
          </cell>
          <cell r="AC186">
            <v>269317</v>
          </cell>
          <cell r="AD186">
            <v>253049</v>
          </cell>
          <cell r="AE186" t="str">
            <v>ND</v>
          </cell>
          <cell r="AF186">
            <v>1000480</v>
          </cell>
          <cell r="AG186">
            <v>262347</v>
          </cell>
          <cell r="AH186">
            <v>286523</v>
          </cell>
          <cell r="AI186">
            <v>264548</v>
          </cell>
          <cell r="AJ186">
            <v>266447</v>
          </cell>
          <cell r="AK186">
            <v>1079865</v>
          </cell>
          <cell r="AL186">
            <v>317652</v>
          </cell>
          <cell r="AM186">
            <v>353030</v>
          </cell>
          <cell r="AN186">
            <v>312639</v>
          </cell>
          <cell r="AO186">
            <v>305140</v>
          </cell>
          <cell r="AP186">
            <v>1288461</v>
          </cell>
          <cell r="AQ186">
            <v>317707</v>
          </cell>
          <cell r="AR186">
            <v>370535</v>
          </cell>
          <cell r="AS186">
            <v>345231</v>
          </cell>
          <cell r="AT186">
            <v>325395</v>
          </cell>
          <cell r="AU186">
            <v>1349727</v>
          </cell>
          <cell r="AW186">
            <v>353030</v>
          </cell>
          <cell r="AX186">
            <v>312639</v>
          </cell>
          <cell r="AY186">
            <v>305140</v>
          </cell>
          <cell r="AZ186">
            <v>317707</v>
          </cell>
          <cell r="BA186">
            <v>1288516</v>
          </cell>
          <cell r="BB186">
            <v>370535</v>
          </cell>
          <cell r="BC186">
            <v>345231</v>
          </cell>
          <cell r="BD186">
            <v>325395</v>
          </cell>
          <cell r="BE186">
            <v>333940</v>
          </cell>
          <cell r="BF186">
            <v>1375101</v>
          </cell>
          <cell r="BG186">
            <v>382497</v>
          </cell>
          <cell r="BH186">
            <v>347238</v>
          </cell>
          <cell r="BI186">
            <v>322423</v>
          </cell>
          <cell r="BJ186">
            <v>333857</v>
          </cell>
          <cell r="BK186">
            <v>1348371</v>
          </cell>
          <cell r="BL186">
            <v>367374</v>
          </cell>
          <cell r="BM186">
            <v>331970</v>
          </cell>
          <cell r="BN186">
            <v>319857</v>
          </cell>
          <cell r="BO186">
            <v>323215</v>
          </cell>
          <cell r="BP186">
            <v>1332424</v>
          </cell>
          <cell r="BQ186">
            <v>369659</v>
          </cell>
          <cell r="BR186">
            <v>317431</v>
          </cell>
          <cell r="BS186">
            <v>303622</v>
          </cell>
          <cell r="BT186">
            <v>323897</v>
          </cell>
          <cell r="BU186">
            <v>1314609</v>
          </cell>
          <cell r="BV186">
            <v>356813</v>
          </cell>
          <cell r="BW186">
            <v>325577</v>
          </cell>
          <cell r="BX186">
            <v>306871</v>
          </cell>
          <cell r="BY186">
            <v>325249</v>
          </cell>
          <cell r="BZ186">
            <v>1302409</v>
          </cell>
          <cell r="CA186">
            <v>366900</v>
          </cell>
          <cell r="CB186">
            <v>331709</v>
          </cell>
          <cell r="CC186">
            <v>323925</v>
          </cell>
          <cell r="CD186">
            <v>343374</v>
          </cell>
          <cell r="CE186">
            <v>1353040</v>
          </cell>
          <cell r="CF186">
            <v>381195</v>
          </cell>
          <cell r="CG186">
            <v>343107</v>
          </cell>
          <cell r="CH186">
            <v>335934</v>
          </cell>
          <cell r="CI186">
            <v>364916</v>
          </cell>
          <cell r="CJ186">
            <v>1424500</v>
          </cell>
          <cell r="CK186">
            <v>401105</v>
          </cell>
          <cell r="CL186">
            <v>361924</v>
          </cell>
          <cell r="CM186">
            <v>357613</v>
          </cell>
          <cell r="CO186">
            <v>1120642</v>
          </cell>
        </row>
        <row r="187">
          <cell r="B187" t="str">
            <v>Admissions</v>
          </cell>
          <cell r="D187" t="str">
            <v>ND</v>
          </cell>
          <cell r="E187">
            <v>40217</v>
          </cell>
          <cell r="F187">
            <v>46756</v>
          </cell>
          <cell r="G187">
            <v>48826</v>
          </cell>
          <cell r="H187">
            <v>55985</v>
          </cell>
          <cell r="I187">
            <v>63729</v>
          </cell>
          <cell r="J187">
            <v>82701</v>
          </cell>
          <cell r="K187">
            <v>100677</v>
          </cell>
          <cell r="L187">
            <v>123713</v>
          </cell>
          <cell r="M187" t="str">
            <v>ND</v>
          </cell>
          <cell r="N187" t="str">
            <v>ND</v>
          </cell>
          <cell r="O187" t="str">
            <v>ND</v>
          </cell>
          <cell r="P187" t="str">
            <v>ND</v>
          </cell>
          <cell r="Q187">
            <v>144172</v>
          </cell>
          <cell r="R187" t="str">
            <v>ND</v>
          </cell>
          <cell r="S187" t="str">
            <v>ND</v>
          </cell>
          <cell r="T187" t="str">
            <v>ND</v>
          </cell>
          <cell r="U187" t="str">
            <v>ND</v>
          </cell>
          <cell r="V187">
            <v>161895</v>
          </cell>
          <cell r="W187" t="str">
            <v>ND</v>
          </cell>
          <cell r="X187" t="str">
            <v>ND</v>
          </cell>
          <cell r="Y187" t="str">
            <v>ND</v>
          </cell>
          <cell r="Z187" t="str">
            <v>ND</v>
          </cell>
          <cell r="AA187">
            <v>187062</v>
          </cell>
          <cell r="AB187" t="str">
            <v>ND</v>
          </cell>
          <cell r="AC187" t="str">
            <v>ND</v>
          </cell>
          <cell r="AD187" t="str">
            <v>ND</v>
          </cell>
          <cell r="AE187" t="str">
            <v>ND</v>
          </cell>
          <cell r="AF187">
            <v>216256</v>
          </cell>
          <cell r="AG187" t="str">
            <v>ND</v>
          </cell>
          <cell r="AH187">
            <v>61228</v>
          </cell>
          <cell r="AI187" t="str">
            <v>ND</v>
          </cell>
          <cell r="AJ187">
            <v>59248</v>
          </cell>
          <cell r="AK187">
            <v>235434</v>
          </cell>
          <cell r="AL187">
            <v>70018</v>
          </cell>
          <cell r="AM187">
            <v>76152</v>
          </cell>
          <cell r="AN187">
            <v>69427</v>
          </cell>
          <cell r="AO187">
            <v>69037</v>
          </cell>
          <cell r="AP187">
            <v>284634</v>
          </cell>
          <cell r="AQ187">
            <v>71467</v>
          </cell>
          <cell r="AR187">
            <v>81692</v>
          </cell>
          <cell r="AS187">
            <v>76858</v>
          </cell>
          <cell r="AT187">
            <v>73831</v>
          </cell>
          <cell r="AU187">
            <v>301362</v>
          </cell>
          <cell r="AW187">
            <v>76152</v>
          </cell>
          <cell r="AX187">
            <v>69427</v>
          </cell>
          <cell r="AY187">
            <v>69037</v>
          </cell>
          <cell r="AZ187">
            <v>71467</v>
          </cell>
          <cell r="BA187">
            <v>286083</v>
          </cell>
          <cell r="BB187">
            <v>81692</v>
          </cell>
          <cell r="BC187">
            <v>76858</v>
          </cell>
          <cell r="BD187">
            <v>73831</v>
          </cell>
          <cell r="BE187">
            <v>75590</v>
          </cell>
          <cell r="BF187">
            <v>307971</v>
          </cell>
          <cell r="BG187">
            <v>84451</v>
          </cell>
          <cell r="BH187">
            <v>78219</v>
          </cell>
          <cell r="BI187">
            <v>76650</v>
          </cell>
          <cell r="BJ187">
            <v>79218</v>
          </cell>
          <cell r="BK187">
            <v>316096</v>
          </cell>
          <cell r="BL187">
            <v>85358</v>
          </cell>
          <cell r="BM187">
            <v>78623</v>
          </cell>
          <cell r="BN187">
            <v>76337</v>
          </cell>
          <cell r="BO187">
            <v>77531</v>
          </cell>
          <cell r="BP187">
            <v>316486</v>
          </cell>
          <cell r="BQ187">
            <v>83551</v>
          </cell>
          <cell r="BR187">
            <v>73809</v>
          </cell>
          <cell r="BS187">
            <v>72448</v>
          </cell>
          <cell r="BT187">
            <v>76562</v>
          </cell>
          <cell r="BU187">
            <v>306370</v>
          </cell>
          <cell r="BV187">
            <v>83361</v>
          </cell>
          <cell r="BW187">
            <v>77580</v>
          </cell>
          <cell r="BX187">
            <v>74890</v>
          </cell>
          <cell r="BY187">
            <v>77568</v>
          </cell>
          <cell r="BZ187">
            <v>310366</v>
          </cell>
          <cell r="CA187">
            <v>85482</v>
          </cell>
          <cell r="CB187">
            <v>79896</v>
          </cell>
          <cell r="CC187">
            <v>78566</v>
          </cell>
          <cell r="CD187">
            <v>82884</v>
          </cell>
          <cell r="CE187">
            <v>324575</v>
          </cell>
          <cell r="CF187">
            <v>88343</v>
          </cell>
          <cell r="CG187">
            <v>80753</v>
          </cell>
          <cell r="CH187">
            <v>81411</v>
          </cell>
          <cell r="CI187">
            <v>88330</v>
          </cell>
          <cell r="CJ187">
            <v>338637</v>
          </cell>
          <cell r="CK187">
            <v>93378</v>
          </cell>
          <cell r="CL187">
            <v>86467</v>
          </cell>
          <cell r="CM187">
            <v>84704</v>
          </cell>
          <cell r="CO187">
            <v>264549</v>
          </cell>
        </row>
        <row r="188">
          <cell r="B188" t="str">
            <v>Adjusted admissions</v>
          </cell>
          <cell r="D188" t="str">
            <v>ND</v>
          </cell>
          <cell r="E188" t="str">
            <v>ND</v>
          </cell>
          <cell r="F188" t="str">
            <v>ND</v>
          </cell>
          <cell r="G188" t="str">
            <v>ND</v>
          </cell>
          <cell r="H188" t="str">
            <v>ND</v>
          </cell>
          <cell r="I188" t="str">
            <v>ND</v>
          </cell>
          <cell r="J188" t="str">
            <v>ND</v>
          </cell>
          <cell r="K188" t="str">
            <v>ND</v>
          </cell>
          <cell r="L188" t="str">
            <v>ND</v>
          </cell>
          <cell r="M188" t="str">
            <v>ND</v>
          </cell>
          <cell r="N188" t="str">
            <v>ND</v>
          </cell>
          <cell r="O188" t="str">
            <v>ND</v>
          </cell>
          <cell r="P188" t="str">
            <v>ND</v>
          </cell>
          <cell r="Q188" t="str">
            <v>ND</v>
          </cell>
          <cell r="R188" t="str">
            <v>ND</v>
          </cell>
          <cell r="S188" t="str">
            <v>ND</v>
          </cell>
          <cell r="T188" t="str">
            <v>ND</v>
          </cell>
          <cell r="U188" t="str">
            <v>ND</v>
          </cell>
          <cell r="V188" t="str">
            <v>ND</v>
          </cell>
          <cell r="W188" t="str">
            <v>ND</v>
          </cell>
          <cell r="X188" t="str">
            <v>ND</v>
          </cell>
          <cell r="Y188" t="str">
            <v>ND</v>
          </cell>
          <cell r="Z188" t="str">
            <v>ND</v>
          </cell>
          <cell r="AA188" t="str">
            <v>ND</v>
          </cell>
          <cell r="AB188" t="str">
            <v>ND</v>
          </cell>
          <cell r="AC188" t="str">
            <v>ND</v>
          </cell>
          <cell r="AD188" t="str">
            <v>ND</v>
          </cell>
          <cell r="AE188" t="str">
            <v>ND</v>
          </cell>
          <cell r="AF188" t="str">
            <v>ND</v>
          </cell>
          <cell r="AG188" t="str">
            <v>ND</v>
          </cell>
          <cell r="AH188">
            <v>95321</v>
          </cell>
          <cell r="AI188" t="str">
            <v>ND</v>
          </cell>
          <cell r="AJ188">
            <v>95692</v>
          </cell>
          <cell r="AK188">
            <v>373936</v>
          </cell>
          <cell r="AL188">
            <v>111700</v>
          </cell>
          <cell r="AM188">
            <v>121044</v>
          </cell>
          <cell r="AN188">
            <v>114805</v>
          </cell>
          <cell r="AO188">
            <v>114751</v>
          </cell>
          <cell r="AP188">
            <v>462388</v>
          </cell>
          <cell r="AQ188">
            <v>117188</v>
          </cell>
          <cell r="AR188">
            <v>131636</v>
          </cell>
          <cell r="AS188">
            <v>128666</v>
          </cell>
          <cell r="AT188">
            <v>125498</v>
          </cell>
          <cell r="AU188">
            <v>498168</v>
          </cell>
          <cell r="AW188">
            <v>121044</v>
          </cell>
          <cell r="AX188">
            <v>114805</v>
          </cell>
          <cell r="AY188">
            <v>114751</v>
          </cell>
          <cell r="AZ188">
            <v>117188</v>
          </cell>
          <cell r="BA188">
            <v>467788</v>
          </cell>
          <cell r="BB188">
            <v>131636</v>
          </cell>
          <cell r="BC188">
            <v>128666</v>
          </cell>
          <cell r="BD188">
            <v>125498</v>
          </cell>
          <cell r="BE188">
            <v>125934</v>
          </cell>
          <cell r="BF188">
            <v>511734</v>
          </cell>
          <cell r="BG188">
            <v>140172</v>
          </cell>
          <cell r="BH188">
            <v>134721</v>
          </cell>
          <cell r="BI188">
            <v>130368</v>
          </cell>
          <cell r="BJ188">
            <v>133712</v>
          </cell>
          <cell r="BK188">
            <v>528634</v>
          </cell>
          <cell r="BL188">
            <v>142078</v>
          </cell>
          <cell r="BM188">
            <v>138778</v>
          </cell>
          <cell r="BN188">
            <v>132846</v>
          </cell>
          <cell r="BO188">
            <v>134842</v>
          </cell>
          <cell r="BP188">
            <v>543312</v>
          </cell>
          <cell r="BQ188">
            <v>140324</v>
          </cell>
          <cell r="BR188">
            <v>129749</v>
          </cell>
          <cell r="BS188">
            <v>129168</v>
          </cell>
          <cell r="BT188">
            <v>132965</v>
          </cell>
          <cell r="BU188">
            <v>531552</v>
          </cell>
          <cell r="BV188">
            <v>140649</v>
          </cell>
          <cell r="BW188">
            <v>135801</v>
          </cell>
          <cell r="BX188">
            <v>135033</v>
          </cell>
          <cell r="BY188">
            <v>137063</v>
          </cell>
          <cell r="BZ188">
            <v>542231</v>
          </cell>
          <cell r="CA188">
            <v>148930</v>
          </cell>
          <cell r="CB188">
            <v>145415</v>
          </cell>
          <cell r="CC188">
            <v>146397</v>
          </cell>
          <cell r="CD188">
            <v>152024</v>
          </cell>
          <cell r="CE188">
            <v>587987</v>
          </cell>
          <cell r="CF188">
            <v>159642</v>
          </cell>
          <cell r="CG188">
            <v>152216</v>
          </cell>
          <cell r="CH188">
            <v>155097</v>
          </cell>
          <cell r="CI188">
            <v>169200</v>
          </cell>
          <cell r="CJ188">
            <v>635934</v>
          </cell>
          <cell r="CK188">
            <v>177815</v>
          </cell>
          <cell r="CL188">
            <v>172194</v>
          </cell>
          <cell r="CM188">
            <v>171206</v>
          </cell>
          <cell r="CO188">
            <v>521215</v>
          </cell>
        </row>
        <row r="189">
          <cell r="B189" t="str">
            <v>Average length of stay</v>
          </cell>
          <cell r="D189" t="str">
            <v>ND</v>
          </cell>
          <cell r="E189">
            <v>5.5</v>
          </cell>
          <cell r="F189">
            <v>5.6</v>
          </cell>
          <cell r="G189">
            <v>5.3</v>
          </cell>
          <cell r="H189">
            <v>5.3</v>
          </cell>
          <cell r="I189">
            <v>4.9000000000000004</v>
          </cell>
          <cell r="J189">
            <v>4.7</v>
          </cell>
          <cell r="K189">
            <v>4.5999999999999996</v>
          </cell>
          <cell r="L189">
            <v>4.5999999999999996</v>
          </cell>
          <cell r="M189" t="str">
            <v>ND</v>
          </cell>
          <cell r="N189" t="str">
            <v>ND</v>
          </cell>
          <cell r="O189" t="str">
            <v>ND</v>
          </cell>
          <cell r="P189" t="str">
            <v>ND</v>
          </cell>
          <cell r="Q189">
            <v>4.5</v>
          </cell>
          <cell r="R189" t="str">
            <v>ND</v>
          </cell>
          <cell r="S189" t="str">
            <v>ND</v>
          </cell>
          <cell r="T189" t="str">
            <v>ND</v>
          </cell>
          <cell r="U189" t="str">
            <v>ND</v>
          </cell>
          <cell r="V189">
            <v>4.5</v>
          </cell>
          <cell r="W189" t="str">
            <v>ND</v>
          </cell>
          <cell r="X189" t="str">
            <v>ND</v>
          </cell>
          <cell r="Y189" t="str">
            <v>ND</v>
          </cell>
          <cell r="Z189" t="str">
            <v>ND</v>
          </cell>
          <cell r="AA189">
            <v>4.5</v>
          </cell>
          <cell r="AB189" t="str">
            <v>ND</v>
          </cell>
          <cell r="AC189" t="str">
            <v>ND</v>
          </cell>
          <cell r="AD189" t="str">
            <v>ND</v>
          </cell>
          <cell r="AE189" t="str">
            <v>ND</v>
          </cell>
          <cell r="AF189">
            <v>4.4000000000000004</v>
          </cell>
          <cell r="AG189" t="str">
            <v>ND</v>
          </cell>
          <cell r="AH189">
            <v>4.7</v>
          </cell>
          <cell r="AI189" t="str">
            <v>ND</v>
          </cell>
          <cell r="AJ189">
            <v>4.5</v>
          </cell>
          <cell r="AK189">
            <v>4.4000000000000004</v>
          </cell>
          <cell r="AL189">
            <v>4.5</v>
          </cell>
          <cell r="AM189">
            <v>4.5999999999999996</v>
          </cell>
          <cell r="AN189">
            <v>4.5</v>
          </cell>
          <cell r="AO189">
            <v>4.4000000000000004</v>
          </cell>
          <cell r="AP189">
            <v>4.5</v>
          </cell>
          <cell r="AQ189">
            <v>4.4000000000000004</v>
          </cell>
          <cell r="AR189">
            <v>4.5</v>
          </cell>
          <cell r="AS189">
            <v>4.5</v>
          </cell>
          <cell r="AT189">
            <v>4.4000000000000004</v>
          </cell>
          <cell r="AU189">
            <v>4.5</v>
          </cell>
          <cell r="AW189">
            <v>4.5999999999999996</v>
          </cell>
          <cell r="AX189">
            <v>4.5</v>
          </cell>
          <cell r="AY189">
            <v>4.4000000000000004</v>
          </cell>
          <cell r="AZ189">
            <v>4.4000000000000004</v>
          </cell>
          <cell r="BB189">
            <v>4.5</v>
          </cell>
          <cell r="BC189">
            <v>4.5</v>
          </cell>
          <cell r="BD189">
            <v>4.4000000000000004</v>
          </cell>
          <cell r="BE189" t="str">
            <v>ND</v>
          </cell>
          <cell r="BG189">
            <v>4.5</v>
          </cell>
          <cell r="BH189">
            <v>4.4000000000000004</v>
          </cell>
          <cell r="BI189">
            <v>4.2</v>
          </cell>
          <cell r="BJ189">
            <v>4.2</v>
          </cell>
          <cell r="BK189">
            <v>4.3</v>
          </cell>
          <cell r="BL189">
            <v>4.3</v>
          </cell>
          <cell r="BM189">
            <v>4.2</v>
          </cell>
          <cell r="BN189">
            <v>4.2</v>
          </cell>
          <cell r="BO189">
            <v>4.2</v>
          </cell>
          <cell r="BP189">
            <v>4.2</v>
          </cell>
          <cell r="BQ189">
            <v>4.4000000000000004</v>
          </cell>
          <cell r="BR189">
            <v>4.3</v>
          </cell>
          <cell r="BS189">
            <v>4.2</v>
          </cell>
          <cell r="BT189">
            <v>4.2</v>
          </cell>
          <cell r="BU189">
            <v>4.3</v>
          </cell>
          <cell r="BV189">
            <v>4.3</v>
          </cell>
          <cell r="BW189">
            <v>4.2</v>
          </cell>
          <cell r="BX189">
            <v>4.0999999999999996</v>
          </cell>
          <cell r="BY189">
            <v>4.2</v>
          </cell>
          <cell r="BZ189">
            <v>4.2</v>
          </cell>
          <cell r="CA189">
            <v>4.3</v>
          </cell>
          <cell r="CB189">
            <v>4.2</v>
          </cell>
          <cell r="CC189">
            <v>4.0999999999999996</v>
          </cell>
          <cell r="CD189">
            <v>4.0999999999999996</v>
          </cell>
          <cell r="CE189">
            <v>4.2</v>
          </cell>
          <cell r="CF189">
            <v>4.3</v>
          </cell>
          <cell r="CG189">
            <v>4.2</v>
          </cell>
          <cell r="CH189">
            <v>4.0999999999999996</v>
          </cell>
          <cell r="CI189">
            <v>4.0999999999999996</v>
          </cell>
          <cell r="CJ189">
            <v>4.2</v>
          </cell>
          <cell r="CK189">
            <v>4.9000000000000004</v>
          </cell>
          <cell r="CL189">
            <v>4.2</v>
          </cell>
          <cell r="CM189">
            <v>4.2</v>
          </cell>
        </row>
        <row r="190">
          <cell r="B190" t="str">
            <v>Surgeries</v>
          </cell>
          <cell r="D190" t="str">
            <v>ND</v>
          </cell>
          <cell r="E190" t="str">
            <v>ND</v>
          </cell>
          <cell r="F190" t="str">
            <v>ND</v>
          </cell>
          <cell r="G190" t="str">
            <v>ND</v>
          </cell>
          <cell r="H190" t="str">
            <v>ND</v>
          </cell>
          <cell r="I190" t="str">
            <v>ND</v>
          </cell>
          <cell r="J190" t="str">
            <v>ND</v>
          </cell>
          <cell r="K190" t="str">
            <v>ND</v>
          </cell>
          <cell r="L190" t="str">
            <v>ND</v>
          </cell>
          <cell r="M190" t="str">
            <v>ND</v>
          </cell>
          <cell r="N190" t="str">
            <v>ND</v>
          </cell>
          <cell r="O190" t="str">
            <v>ND</v>
          </cell>
          <cell r="P190" t="str">
            <v>ND</v>
          </cell>
          <cell r="Q190" t="str">
            <v>ND</v>
          </cell>
          <cell r="R190" t="str">
            <v>ND</v>
          </cell>
          <cell r="S190" t="str">
            <v>ND</v>
          </cell>
          <cell r="T190" t="str">
            <v>ND</v>
          </cell>
          <cell r="U190" t="str">
            <v>ND</v>
          </cell>
          <cell r="V190" t="str">
            <v>ND</v>
          </cell>
          <cell r="W190" t="str">
            <v>ND</v>
          </cell>
          <cell r="X190" t="str">
            <v>ND</v>
          </cell>
          <cell r="Y190" t="str">
            <v>ND</v>
          </cell>
          <cell r="Z190" t="str">
            <v>ND</v>
          </cell>
          <cell r="AA190" t="str">
            <v>ND</v>
          </cell>
          <cell r="AB190" t="str">
            <v>ND</v>
          </cell>
          <cell r="AC190" t="str">
            <v>ND</v>
          </cell>
          <cell r="AD190" t="str">
            <v>ND</v>
          </cell>
          <cell r="AE190" t="str">
            <v>ND</v>
          </cell>
          <cell r="AF190" t="str">
            <v>ND</v>
          </cell>
          <cell r="AG190" t="str">
            <v>ND</v>
          </cell>
          <cell r="AH190">
            <v>52782</v>
          </cell>
          <cell r="AI190" t="str">
            <v>ND</v>
          </cell>
          <cell r="AJ190">
            <v>52393</v>
          </cell>
          <cell r="AK190">
            <v>209103</v>
          </cell>
          <cell r="AL190">
            <v>56494</v>
          </cell>
          <cell r="AM190">
            <v>61310</v>
          </cell>
          <cell r="AN190">
            <v>59739</v>
          </cell>
          <cell r="AO190">
            <v>59157</v>
          </cell>
          <cell r="AP190">
            <v>236741</v>
          </cell>
          <cell r="AQ190">
            <v>61136</v>
          </cell>
          <cell r="AR190">
            <v>66557</v>
          </cell>
          <cell r="AS190">
            <v>70006</v>
          </cell>
          <cell r="AT190">
            <v>67644</v>
          </cell>
          <cell r="AU190">
            <v>263632</v>
          </cell>
          <cell r="AW190">
            <v>61310</v>
          </cell>
          <cell r="AX190">
            <v>59739</v>
          </cell>
          <cell r="AY190">
            <v>59157</v>
          </cell>
          <cell r="AZ190">
            <v>61136</v>
          </cell>
          <cell r="BA190">
            <v>241342</v>
          </cell>
          <cell r="BB190">
            <v>66557</v>
          </cell>
          <cell r="BC190">
            <v>70006</v>
          </cell>
          <cell r="BD190">
            <v>67644</v>
          </cell>
          <cell r="BE190">
            <v>67243</v>
          </cell>
          <cell r="BF190">
            <v>271450</v>
          </cell>
          <cell r="BG190">
            <v>72525</v>
          </cell>
          <cell r="BH190">
            <v>72386</v>
          </cell>
          <cell r="BI190">
            <v>69203</v>
          </cell>
          <cell r="BJ190">
            <v>70424</v>
          </cell>
          <cell r="BK190">
            <v>281693</v>
          </cell>
          <cell r="BL190">
            <v>72191</v>
          </cell>
          <cell r="BM190">
            <v>71123</v>
          </cell>
          <cell r="BN190">
            <v>70222</v>
          </cell>
          <cell r="BO190">
            <v>70420</v>
          </cell>
          <cell r="BP190">
            <v>284150</v>
          </cell>
          <cell r="BQ190">
            <v>70527</v>
          </cell>
          <cell r="BR190">
            <v>69649</v>
          </cell>
          <cell r="BS190">
            <v>67518</v>
          </cell>
          <cell r="BT190">
            <v>67898</v>
          </cell>
          <cell r="BU190">
            <v>275951</v>
          </cell>
          <cell r="BV190">
            <v>68347</v>
          </cell>
          <cell r="BW190">
            <v>68994</v>
          </cell>
          <cell r="BX190">
            <v>66337</v>
          </cell>
          <cell r="BY190">
            <v>67885</v>
          </cell>
          <cell r="BZ190">
            <v>268758</v>
          </cell>
          <cell r="CA190">
            <v>79842</v>
          </cell>
          <cell r="CB190">
            <v>80528</v>
          </cell>
          <cell r="CC190">
            <v>80126</v>
          </cell>
          <cell r="CD190">
            <v>81622</v>
          </cell>
          <cell r="CE190">
            <v>316474</v>
          </cell>
          <cell r="CF190">
            <v>82897</v>
          </cell>
          <cell r="CG190">
            <v>82502</v>
          </cell>
          <cell r="CH190">
            <v>81665</v>
          </cell>
          <cell r="CI190">
            <v>95429</v>
          </cell>
          <cell r="CJ190">
            <v>342421</v>
          </cell>
          <cell r="CK190">
            <v>99915</v>
          </cell>
          <cell r="CL190">
            <v>100164</v>
          </cell>
          <cell r="CM190">
            <v>97230</v>
          </cell>
          <cell r="CO190">
            <v>297309</v>
          </cell>
        </row>
        <row r="191">
          <cell r="B191" t="str">
            <v>Emergency room visits</v>
          </cell>
          <cell r="D191" t="str">
            <v>ND</v>
          </cell>
          <cell r="E191" t="str">
            <v>ND</v>
          </cell>
          <cell r="F191" t="str">
            <v>ND</v>
          </cell>
          <cell r="G191" t="str">
            <v>ND</v>
          </cell>
          <cell r="H191" t="str">
            <v>ND</v>
          </cell>
          <cell r="I191" t="str">
            <v>ND</v>
          </cell>
          <cell r="J191" t="str">
            <v>ND</v>
          </cell>
          <cell r="K191" t="str">
            <v>ND</v>
          </cell>
          <cell r="L191" t="str">
            <v>ND</v>
          </cell>
          <cell r="M191" t="str">
            <v>ND</v>
          </cell>
          <cell r="N191" t="str">
            <v>ND</v>
          </cell>
          <cell r="O191" t="str">
            <v>ND</v>
          </cell>
          <cell r="P191" t="str">
            <v>ND</v>
          </cell>
          <cell r="Q191" t="str">
            <v>ND</v>
          </cell>
          <cell r="R191" t="str">
            <v>ND</v>
          </cell>
          <cell r="S191" t="str">
            <v>ND</v>
          </cell>
          <cell r="T191" t="str">
            <v>ND</v>
          </cell>
          <cell r="U191" t="str">
            <v>ND</v>
          </cell>
          <cell r="V191" t="str">
            <v>ND</v>
          </cell>
          <cell r="W191" t="str">
            <v>ND</v>
          </cell>
          <cell r="X191" t="str">
            <v>ND</v>
          </cell>
          <cell r="Y191" t="str">
            <v>ND</v>
          </cell>
          <cell r="Z191" t="str">
            <v>ND</v>
          </cell>
          <cell r="AA191" t="str">
            <v>ND</v>
          </cell>
          <cell r="AB191" t="str">
            <v>ND</v>
          </cell>
          <cell r="AC191" t="str">
            <v>ND</v>
          </cell>
          <cell r="AD191" t="str">
            <v>ND</v>
          </cell>
          <cell r="AE191" t="str">
            <v>ND</v>
          </cell>
          <cell r="AF191" t="str">
            <v>ND</v>
          </cell>
          <cell r="AG191" t="str">
            <v>ND</v>
          </cell>
          <cell r="AH191" t="str">
            <v>ND</v>
          </cell>
          <cell r="AI191" t="str">
            <v>ND</v>
          </cell>
          <cell r="AJ191" t="str">
            <v>ND</v>
          </cell>
          <cell r="AK191" t="str">
            <v>ND</v>
          </cell>
          <cell r="AL191" t="str">
            <v>ND</v>
          </cell>
          <cell r="AM191" t="str">
            <v>ND</v>
          </cell>
          <cell r="AN191" t="str">
            <v>ND</v>
          </cell>
          <cell r="AO191" t="str">
            <v>ND</v>
          </cell>
          <cell r="AP191" t="str">
            <v>ND</v>
          </cell>
          <cell r="AQ191" t="str">
            <v>ND</v>
          </cell>
          <cell r="AR191" t="str">
            <v>ND</v>
          </cell>
          <cell r="AS191" t="str">
            <v>ND</v>
          </cell>
          <cell r="AT191" t="str">
            <v>ND</v>
          </cell>
          <cell r="AU191" t="str">
            <v>ND</v>
          </cell>
          <cell r="AW191" t="str">
            <v>ND</v>
          </cell>
          <cell r="AX191" t="str">
            <v>ND</v>
          </cell>
          <cell r="AY191" t="str">
            <v>ND</v>
          </cell>
          <cell r="AZ191" t="str">
            <v>ND</v>
          </cell>
          <cell r="BB191" t="str">
            <v>ND</v>
          </cell>
          <cell r="BC191" t="str">
            <v>ND</v>
          </cell>
          <cell r="BD191" t="str">
            <v>ND</v>
          </cell>
          <cell r="BE191" t="str">
            <v>ND</v>
          </cell>
          <cell r="BG191" t="str">
            <v>ND</v>
          </cell>
          <cell r="BH191" t="str">
            <v>ND</v>
          </cell>
          <cell r="BI191" t="str">
            <v>ND</v>
          </cell>
          <cell r="BJ191" t="str">
            <v>ND</v>
          </cell>
          <cell r="BK191">
            <v>1310033</v>
          </cell>
          <cell r="BL191">
            <v>353105</v>
          </cell>
          <cell r="BM191">
            <v>336090</v>
          </cell>
          <cell r="BN191">
            <v>338000</v>
          </cell>
          <cell r="BO191">
            <v>344667</v>
          </cell>
          <cell r="BP191">
            <v>1371862</v>
          </cell>
          <cell r="BQ191">
            <v>363041</v>
          </cell>
          <cell r="BR191">
            <v>330424</v>
          </cell>
          <cell r="BS191">
            <v>326765</v>
          </cell>
          <cell r="BT191">
            <v>328983</v>
          </cell>
          <cell r="BU191">
            <v>1349213</v>
          </cell>
          <cell r="BV191">
            <v>354819</v>
          </cell>
          <cell r="BW191">
            <v>348824</v>
          </cell>
          <cell r="BX191">
            <v>355213</v>
          </cell>
          <cell r="BY191">
            <v>341436</v>
          </cell>
          <cell r="BZ191">
            <v>1375507</v>
          </cell>
          <cell r="CA191">
            <v>346609</v>
          </cell>
          <cell r="CB191">
            <v>348236</v>
          </cell>
          <cell r="CC191">
            <v>360940</v>
          </cell>
          <cell r="CD191">
            <v>372344</v>
          </cell>
          <cell r="CE191">
            <v>1421461</v>
          </cell>
          <cell r="CF191">
            <v>393148</v>
          </cell>
          <cell r="CG191">
            <v>378125</v>
          </cell>
          <cell r="CH191">
            <v>376539</v>
          </cell>
          <cell r="CI191">
            <v>416627</v>
          </cell>
          <cell r="CJ191">
            <v>1562028</v>
          </cell>
          <cell r="CK191">
            <v>443115</v>
          </cell>
          <cell r="CL191">
            <v>453964</v>
          </cell>
          <cell r="CM191">
            <v>455372</v>
          </cell>
          <cell r="CO191">
            <v>1352451</v>
          </cell>
        </row>
        <row r="192">
          <cell r="B192" t="str">
            <v>Net revenue (in thousands)</v>
          </cell>
          <cell r="D192" t="str">
            <v>ND</v>
          </cell>
          <cell r="E192" t="str">
            <v>ND</v>
          </cell>
          <cell r="F192" t="str">
            <v>ND</v>
          </cell>
          <cell r="G192" t="str">
            <v>ND</v>
          </cell>
          <cell r="H192" t="str">
            <v>ND</v>
          </cell>
          <cell r="I192" t="str">
            <v>ND</v>
          </cell>
          <cell r="J192" t="str">
            <v>ND</v>
          </cell>
          <cell r="K192" t="str">
            <v>ND</v>
          </cell>
          <cell r="L192" t="str">
            <v>ND</v>
          </cell>
          <cell r="M192" t="str">
            <v>ND</v>
          </cell>
          <cell r="N192" t="str">
            <v>ND</v>
          </cell>
          <cell r="O192" t="str">
            <v>ND</v>
          </cell>
          <cell r="P192" t="str">
            <v>ND</v>
          </cell>
          <cell r="Q192" t="str">
            <v>ND</v>
          </cell>
          <cell r="R192" t="str">
            <v>ND</v>
          </cell>
          <cell r="S192" t="str">
            <v>ND</v>
          </cell>
          <cell r="T192" t="str">
            <v>ND</v>
          </cell>
          <cell r="U192" t="str">
            <v>ND</v>
          </cell>
          <cell r="V192" t="str">
            <v>ND</v>
          </cell>
          <cell r="W192" t="str">
            <v>ND</v>
          </cell>
          <cell r="X192" t="str">
            <v>ND</v>
          </cell>
          <cell r="Y192" t="str">
            <v>ND</v>
          </cell>
          <cell r="Z192" t="str">
            <v>ND</v>
          </cell>
          <cell r="AA192" t="str">
            <v>ND</v>
          </cell>
          <cell r="AB192" t="str">
            <v>ND</v>
          </cell>
          <cell r="AC192" t="str">
            <v>ND</v>
          </cell>
          <cell r="AD192" t="str">
            <v>ND</v>
          </cell>
          <cell r="AE192" t="str">
            <v>ND</v>
          </cell>
          <cell r="AF192" t="str">
            <v>ND</v>
          </cell>
          <cell r="AG192" t="str">
            <v>ND</v>
          </cell>
          <cell r="AH192" t="str">
            <v>ND</v>
          </cell>
          <cell r="AI192" t="str">
            <v>ND</v>
          </cell>
          <cell r="AJ192" t="str">
            <v>ND</v>
          </cell>
          <cell r="AK192" t="str">
            <v>ND</v>
          </cell>
          <cell r="AL192" t="str">
            <v>ND</v>
          </cell>
          <cell r="AM192" t="str">
            <v>ND</v>
          </cell>
          <cell r="AN192" t="str">
            <v>ND</v>
          </cell>
          <cell r="AO192" t="str">
            <v>ND</v>
          </cell>
          <cell r="AP192" t="str">
            <v>ND</v>
          </cell>
          <cell r="AQ192" t="str">
            <v>ND</v>
          </cell>
          <cell r="AR192" t="str">
            <v>ND</v>
          </cell>
          <cell r="AS192" t="str">
            <v>ND</v>
          </cell>
          <cell r="AT192" t="str">
            <v>ND</v>
          </cell>
          <cell r="AU192" t="str">
            <v>ND</v>
          </cell>
          <cell r="AW192" t="str">
            <v>ND</v>
          </cell>
          <cell r="AX192" t="str">
            <v>ND</v>
          </cell>
          <cell r="AY192" t="str">
            <v>ND</v>
          </cell>
          <cell r="AZ192" t="str">
            <v>ND</v>
          </cell>
          <cell r="BB192" t="str">
            <v>ND</v>
          </cell>
          <cell r="BC192" t="str">
            <v>ND</v>
          </cell>
          <cell r="BD192" t="str">
            <v>ND</v>
          </cell>
          <cell r="BE192" t="str">
            <v>ND</v>
          </cell>
          <cell r="BG192">
            <v>1032660.0000000001</v>
          </cell>
          <cell r="BH192">
            <v>1022006</v>
          </cell>
          <cell r="BI192">
            <v>994111</v>
          </cell>
          <cell r="BJ192">
            <v>1052733</v>
          </cell>
          <cell r="BK192">
            <v>4101510</v>
          </cell>
          <cell r="BL192">
            <v>1143533</v>
          </cell>
          <cell r="BM192">
            <v>1099161</v>
          </cell>
          <cell r="BN192">
            <v>1070189</v>
          </cell>
          <cell r="BO192">
            <v>1096278</v>
          </cell>
          <cell r="BP192">
            <v>4409161</v>
          </cell>
          <cell r="BQ192">
            <v>1152572</v>
          </cell>
          <cell r="BR192">
            <v>1105299</v>
          </cell>
          <cell r="BS192">
            <v>1081914</v>
          </cell>
          <cell r="BT192">
            <v>1111826</v>
          </cell>
          <cell r="BU192">
            <v>4451611</v>
          </cell>
          <cell r="BV192">
            <v>1188023</v>
          </cell>
          <cell r="BW192">
            <v>1155453</v>
          </cell>
          <cell r="BX192">
            <v>1121903</v>
          </cell>
          <cell r="BY192">
            <v>1198770</v>
          </cell>
          <cell r="BZ192">
            <v>4617143</v>
          </cell>
          <cell r="CA192">
            <v>1285019</v>
          </cell>
          <cell r="CB192">
            <v>1247787</v>
          </cell>
          <cell r="CC192">
            <v>1270659</v>
          </cell>
          <cell r="CD192">
            <v>1352059</v>
          </cell>
          <cell r="CE192">
            <v>5114997</v>
          </cell>
          <cell r="CF192">
            <v>1433641</v>
          </cell>
          <cell r="CG192">
            <v>1395353</v>
          </cell>
          <cell r="CH192">
            <v>1400244</v>
          </cell>
          <cell r="CI192">
            <v>1583774</v>
          </cell>
          <cell r="CJ192">
            <v>5804451</v>
          </cell>
          <cell r="CK192">
            <v>1485257</v>
          </cell>
          <cell r="CL192">
            <v>1471978</v>
          </cell>
          <cell r="CM192">
            <v>1440109</v>
          </cell>
          <cell r="CO192">
            <v>4397344</v>
          </cell>
        </row>
        <row r="193">
          <cell r="B193" t="str">
            <v>Net revenue per adjusted admission</v>
          </cell>
          <cell r="D193" t="str">
            <v>ND</v>
          </cell>
          <cell r="E193" t="str">
            <v>ND</v>
          </cell>
          <cell r="F193" t="str">
            <v>ND</v>
          </cell>
          <cell r="G193" t="str">
            <v>ND</v>
          </cell>
          <cell r="H193" t="str">
            <v>ND</v>
          </cell>
          <cell r="I193" t="str">
            <v>ND</v>
          </cell>
          <cell r="J193" t="str">
            <v>ND</v>
          </cell>
          <cell r="K193" t="str">
            <v>ND</v>
          </cell>
          <cell r="L193" t="str">
            <v>ND</v>
          </cell>
          <cell r="M193" t="str">
            <v>ND</v>
          </cell>
          <cell r="N193" t="str">
            <v>ND</v>
          </cell>
          <cell r="O193" t="str">
            <v>ND</v>
          </cell>
          <cell r="P193" t="str">
            <v>ND</v>
          </cell>
          <cell r="Q193" t="str">
            <v>ND</v>
          </cell>
          <cell r="R193" t="str">
            <v>ND</v>
          </cell>
          <cell r="S193" t="str">
            <v>ND</v>
          </cell>
          <cell r="T193" t="str">
            <v>ND</v>
          </cell>
          <cell r="U193" t="str">
            <v>ND</v>
          </cell>
          <cell r="V193" t="str">
            <v>ND</v>
          </cell>
          <cell r="W193" t="str">
            <v>ND</v>
          </cell>
          <cell r="X193" t="str">
            <v>ND</v>
          </cell>
          <cell r="Y193" t="str">
            <v>ND</v>
          </cell>
          <cell r="Z193" t="str">
            <v>ND</v>
          </cell>
          <cell r="AA193" t="str">
            <v>ND</v>
          </cell>
          <cell r="AB193" t="str">
            <v>ND</v>
          </cell>
          <cell r="AC193" t="str">
            <v>ND</v>
          </cell>
          <cell r="AD193" t="str">
            <v>ND</v>
          </cell>
          <cell r="AE193" t="str">
            <v>ND</v>
          </cell>
          <cell r="AF193" t="str">
            <v>ND</v>
          </cell>
          <cell r="AG193" t="str">
            <v>ND</v>
          </cell>
          <cell r="AH193" t="str">
            <v>ND</v>
          </cell>
          <cell r="AI193" t="str">
            <v>ND</v>
          </cell>
          <cell r="AJ193" t="str">
            <v>ND</v>
          </cell>
          <cell r="AK193" t="str">
            <v>ND</v>
          </cell>
          <cell r="AL193" t="str">
            <v>ND</v>
          </cell>
          <cell r="AM193" t="str">
            <v>ND</v>
          </cell>
          <cell r="AN193" t="str">
            <v>ND</v>
          </cell>
          <cell r="AO193" t="str">
            <v>ND</v>
          </cell>
          <cell r="AP193" t="str">
            <v>ND</v>
          </cell>
          <cell r="AQ193" t="str">
            <v>ND</v>
          </cell>
          <cell r="AR193" t="str">
            <v>ND</v>
          </cell>
          <cell r="AS193" t="str">
            <v>ND</v>
          </cell>
          <cell r="AT193" t="str">
            <v>ND</v>
          </cell>
          <cell r="AU193" t="str">
            <v>ND</v>
          </cell>
          <cell r="AW193" t="str">
            <v>ND</v>
          </cell>
          <cell r="AX193" t="str">
            <v>ND</v>
          </cell>
          <cell r="AY193" t="str">
            <v>ND</v>
          </cell>
          <cell r="AZ193" t="str">
            <v>ND</v>
          </cell>
          <cell r="BB193" t="str">
            <v>ND</v>
          </cell>
          <cell r="BC193" t="str">
            <v>ND</v>
          </cell>
          <cell r="BD193" t="str">
            <v>ND</v>
          </cell>
          <cell r="BE193" t="str">
            <v>ND</v>
          </cell>
          <cell r="BG193">
            <v>7367.0918585737527</v>
          </cell>
          <cell r="BH193">
            <v>7586.0927398104232</v>
          </cell>
          <cell r="BI193">
            <v>7625.4218826705937</v>
          </cell>
          <cell r="BJ193">
            <v>7873.1377886801483</v>
          </cell>
          <cell r="BK193">
            <v>7758.6950517749519</v>
          </cell>
          <cell r="BL193">
            <v>8048.6282183026233</v>
          </cell>
          <cell r="BM193">
            <v>7920.2827537505946</v>
          </cell>
          <cell r="BN193">
            <v>8055.8616744200044</v>
          </cell>
          <cell r="BO193">
            <v>8130.0929977306778</v>
          </cell>
          <cell r="BP193">
            <v>8115.3388844715373</v>
          </cell>
          <cell r="BQ193">
            <v>8213.648413671217</v>
          </cell>
          <cell r="BR193">
            <v>8518.7477360133798</v>
          </cell>
          <cell r="BS193">
            <v>8376.0219249349684</v>
          </cell>
          <cell r="BT193">
            <v>8361.7944571879816</v>
          </cell>
          <cell r="BU193">
            <v>8374.7422641623016</v>
          </cell>
          <cell r="BV193">
            <v>8446.7219816706838</v>
          </cell>
          <cell r="BW193">
            <v>8508.4277729913629</v>
          </cell>
          <cell r="BX193">
            <v>8308.3616597424334</v>
          </cell>
          <cell r="BY193">
            <v>8746.1240451471222</v>
          </cell>
          <cell r="BZ193">
            <v>8515.0848992403608</v>
          </cell>
          <cell r="CA193">
            <v>8628</v>
          </cell>
          <cell r="CB193">
            <v>8581</v>
          </cell>
          <cell r="CC193">
            <v>8680</v>
          </cell>
          <cell r="CD193">
            <v>8894</v>
          </cell>
          <cell r="CE193">
            <v>8699</v>
          </cell>
          <cell r="CF193">
            <v>8980</v>
          </cell>
          <cell r="CG193">
            <v>9167</v>
          </cell>
          <cell r="CH193">
            <v>9028</v>
          </cell>
          <cell r="CI193">
            <v>9360</v>
          </cell>
          <cell r="CJ193">
            <v>9127</v>
          </cell>
          <cell r="CK193">
            <v>8353</v>
          </cell>
          <cell r="CL193">
            <v>8548</v>
          </cell>
          <cell r="CM193">
            <v>8412</v>
          </cell>
          <cell r="CO193">
            <v>25313</v>
          </cell>
        </row>
        <row r="194">
          <cell r="B194" t="str">
            <v>Total inpatient revenue percentage</v>
          </cell>
          <cell r="D194" t="str">
            <v>ND</v>
          </cell>
          <cell r="E194" t="str">
            <v>ND</v>
          </cell>
          <cell r="F194" t="str">
            <v>ND</v>
          </cell>
          <cell r="G194" t="str">
            <v>ND</v>
          </cell>
          <cell r="H194" t="str">
            <v>ND</v>
          </cell>
          <cell r="I194" t="str">
            <v>ND</v>
          </cell>
          <cell r="J194" t="str">
            <v>ND</v>
          </cell>
          <cell r="K194" t="str">
            <v>ND</v>
          </cell>
          <cell r="L194" t="str">
            <v>ND</v>
          </cell>
          <cell r="M194" t="str">
            <v>ND</v>
          </cell>
          <cell r="N194" t="str">
            <v>ND</v>
          </cell>
          <cell r="O194" t="str">
            <v>ND</v>
          </cell>
          <cell r="P194" t="str">
            <v>ND</v>
          </cell>
          <cell r="Q194" t="str">
            <v>ND</v>
          </cell>
          <cell r="R194" t="str">
            <v>ND</v>
          </cell>
          <cell r="S194" t="str">
            <v>ND</v>
          </cell>
          <cell r="T194" t="str">
            <v>ND</v>
          </cell>
          <cell r="U194" t="str">
            <v>ND</v>
          </cell>
          <cell r="V194" t="str">
            <v>ND</v>
          </cell>
          <cell r="W194" t="str">
            <v>ND</v>
          </cell>
          <cell r="X194" t="str">
            <v>ND</v>
          </cell>
          <cell r="Y194" t="str">
            <v>ND</v>
          </cell>
          <cell r="Z194" t="str">
            <v>ND</v>
          </cell>
          <cell r="AA194" t="str">
            <v>ND</v>
          </cell>
          <cell r="AB194" t="str">
            <v>ND</v>
          </cell>
          <cell r="AC194" t="str">
            <v>ND</v>
          </cell>
          <cell r="AD194" t="str">
            <v>ND</v>
          </cell>
          <cell r="AE194" t="str">
            <v>ND</v>
          </cell>
          <cell r="AF194" t="str">
            <v>ND</v>
          </cell>
          <cell r="AG194" t="str">
            <v>ND</v>
          </cell>
          <cell r="AH194">
            <v>0.56200000000000006</v>
          </cell>
          <cell r="AI194" t="str">
            <v>ND</v>
          </cell>
          <cell r="AJ194">
            <v>0.53</v>
          </cell>
          <cell r="AK194">
            <v>0.54200000000000004</v>
          </cell>
          <cell r="AL194">
            <v>0.52700000000000002</v>
          </cell>
          <cell r="AM194">
            <v>0.53600000000000003</v>
          </cell>
          <cell r="AN194">
            <v>0.51300000000000001</v>
          </cell>
          <cell r="AO194">
            <v>0.51</v>
          </cell>
          <cell r="AP194">
            <v>0.52100000000000002</v>
          </cell>
          <cell r="AQ194">
            <v>0.53200000000000003</v>
          </cell>
          <cell r="AR194">
            <v>0.53900000000000003</v>
          </cell>
          <cell r="AS194">
            <v>0.502</v>
          </cell>
          <cell r="AT194">
            <v>0.502</v>
          </cell>
          <cell r="AU194">
            <v>0.52100000000000002</v>
          </cell>
          <cell r="AW194">
            <v>0.53600000000000003</v>
          </cell>
          <cell r="AX194">
            <v>0.51300000000000001</v>
          </cell>
          <cell r="AY194">
            <v>0.51</v>
          </cell>
          <cell r="AZ194">
            <v>0.53200000000000003</v>
          </cell>
          <cell r="BB194">
            <v>0.53900000000000003</v>
          </cell>
          <cell r="BC194">
            <v>0.502</v>
          </cell>
          <cell r="BD194">
            <v>0.502</v>
          </cell>
          <cell r="BE194">
            <v>0.51600000000000001</v>
          </cell>
          <cell r="BG194">
            <v>0.50600000000000001</v>
          </cell>
          <cell r="BH194">
            <v>0.502</v>
          </cell>
          <cell r="BI194">
            <v>0.51</v>
          </cell>
          <cell r="BJ194">
            <v>0.5</v>
          </cell>
          <cell r="BK194">
            <v>0.502</v>
          </cell>
          <cell r="BL194">
            <v>0.51400000000000001</v>
          </cell>
          <cell r="BM194">
            <v>0.51900000000000002</v>
          </cell>
          <cell r="BN194">
            <v>0.496</v>
          </cell>
          <cell r="BO194">
            <v>0.50600000000000001</v>
          </cell>
          <cell r="BP194">
            <v>0.50700000000000001</v>
          </cell>
          <cell r="BQ194">
            <v>0.52900000000000003</v>
          </cell>
          <cell r="BR194">
            <v>0.51200000000000001</v>
          </cell>
          <cell r="BS194">
            <v>0.498</v>
          </cell>
          <cell r="BT194">
            <v>0.52700000000000002</v>
          </cell>
          <cell r="BU194">
            <v>0.51800000000000002</v>
          </cell>
          <cell r="BV194">
            <v>0.53100000000000003</v>
          </cell>
          <cell r="BW194">
            <v>0.52700000000000002</v>
          </cell>
          <cell r="BX194">
            <v>0.498</v>
          </cell>
          <cell r="BY194">
            <v>0.496</v>
          </cell>
          <cell r="BZ194">
            <v>0.51300000000000001</v>
          </cell>
          <cell r="CA194">
            <v>0.51800000000000002</v>
          </cell>
          <cell r="CB194">
            <v>0.498</v>
          </cell>
          <cell r="CC194">
            <v>0.47299999999999998</v>
          </cell>
          <cell r="CD194">
            <v>0.496</v>
          </cell>
          <cell r="CE194">
            <v>0.496</v>
          </cell>
          <cell r="CF194">
            <v>0.503</v>
          </cell>
          <cell r="CG194">
            <v>0.47599999999999998</v>
          </cell>
          <cell r="CH194">
            <v>0.46899999999999997</v>
          </cell>
          <cell r="CI194">
            <v>0.47699999999999998</v>
          </cell>
          <cell r="CJ194">
            <v>0.48099999999999998</v>
          </cell>
          <cell r="CK194">
            <v>0.46899999999999997</v>
          </cell>
          <cell r="CL194">
            <v>0.45100000000000001</v>
          </cell>
          <cell r="CM194">
            <v>0.44600000000000001</v>
          </cell>
        </row>
        <row r="195">
          <cell r="B195" t="str">
            <v>Total outpatient revenue percentage</v>
          </cell>
          <cell r="D195" t="str">
            <v>ND</v>
          </cell>
          <cell r="E195" t="str">
            <v>ND</v>
          </cell>
          <cell r="F195" t="str">
            <v>ND</v>
          </cell>
          <cell r="G195" t="str">
            <v>ND</v>
          </cell>
          <cell r="H195" t="str">
            <v>ND</v>
          </cell>
          <cell r="I195" t="str">
            <v>ND</v>
          </cell>
          <cell r="J195" t="str">
            <v>ND</v>
          </cell>
          <cell r="K195" t="str">
            <v>ND</v>
          </cell>
          <cell r="L195" t="str">
            <v>ND</v>
          </cell>
          <cell r="M195" t="str">
            <v>ND</v>
          </cell>
          <cell r="N195" t="str">
            <v>ND</v>
          </cell>
          <cell r="O195" t="str">
            <v>ND</v>
          </cell>
          <cell r="P195" t="str">
            <v>ND</v>
          </cell>
          <cell r="Q195" t="str">
            <v>ND</v>
          </cell>
          <cell r="R195" t="str">
            <v>ND</v>
          </cell>
          <cell r="S195" t="str">
            <v>ND</v>
          </cell>
          <cell r="T195" t="str">
            <v>ND</v>
          </cell>
          <cell r="U195" t="str">
            <v>ND</v>
          </cell>
          <cell r="V195" t="str">
            <v>ND</v>
          </cell>
          <cell r="W195" t="str">
            <v>ND</v>
          </cell>
          <cell r="X195" t="str">
            <v>ND</v>
          </cell>
          <cell r="Y195" t="str">
            <v>ND</v>
          </cell>
          <cell r="Z195" t="str">
            <v>ND</v>
          </cell>
          <cell r="AA195" t="str">
            <v>ND</v>
          </cell>
          <cell r="AB195" t="str">
            <v>ND</v>
          </cell>
          <cell r="AC195" t="str">
            <v>ND</v>
          </cell>
          <cell r="AD195" t="str">
            <v>ND</v>
          </cell>
          <cell r="AE195" t="str">
            <v>ND</v>
          </cell>
          <cell r="AF195" t="str">
            <v>ND</v>
          </cell>
          <cell r="AG195" t="str">
            <v>ND</v>
          </cell>
          <cell r="AH195">
            <v>0.438</v>
          </cell>
          <cell r="AI195" t="str">
            <v>ND</v>
          </cell>
          <cell r="AJ195">
            <v>0.47</v>
          </cell>
          <cell r="AK195">
            <v>0.45800000000000002</v>
          </cell>
          <cell r="AL195">
            <v>0.47299999999999998</v>
          </cell>
          <cell r="AM195">
            <v>0.46400000000000002</v>
          </cell>
          <cell r="AN195">
            <v>0.48699999999999999</v>
          </cell>
          <cell r="AO195">
            <v>0.49</v>
          </cell>
          <cell r="AP195">
            <v>0.47899999999999998</v>
          </cell>
          <cell r="AQ195">
            <v>0.46800000000000003</v>
          </cell>
          <cell r="AR195">
            <v>0.46100000000000002</v>
          </cell>
          <cell r="AS195">
            <v>0.498</v>
          </cell>
          <cell r="AT195">
            <v>0.498</v>
          </cell>
          <cell r="AU195">
            <v>0.47899999999999998</v>
          </cell>
          <cell r="AW195">
            <v>0.46400000000000002</v>
          </cell>
          <cell r="AX195">
            <v>0.48699999999999999</v>
          </cell>
          <cell r="AY195">
            <v>0.49</v>
          </cell>
          <cell r="AZ195">
            <v>0.46800000000000003</v>
          </cell>
          <cell r="BB195">
            <v>0.46100000000000002</v>
          </cell>
          <cell r="BC195">
            <v>0.498</v>
          </cell>
          <cell r="BD195">
            <v>0.498</v>
          </cell>
          <cell r="BE195">
            <v>0.48399999999999999</v>
          </cell>
          <cell r="BG195">
            <v>0.49399999999999999</v>
          </cell>
          <cell r="BH195">
            <v>0.498</v>
          </cell>
          <cell r="BI195">
            <v>0.49</v>
          </cell>
          <cell r="BJ195">
            <v>0.5</v>
          </cell>
          <cell r="BK195">
            <v>0.498</v>
          </cell>
          <cell r="BL195">
            <v>0.48599999999999999</v>
          </cell>
          <cell r="BM195">
            <v>0.48099999999999998</v>
          </cell>
          <cell r="BN195">
            <v>0.504</v>
          </cell>
          <cell r="BO195">
            <v>0.49399999999999999</v>
          </cell>
          <cell r="BP195">
            <v>0.49299999999999999</v>
          </cell>
          <cell r="BQ195">
            <v>0.47099999999999997</v>
          </cell>
          <cell r="BR195">
            <v>0.48799999999999999</v>
          </cell>
          <cell r="BS195">
            <v>0.502</v>
          </cell>
          <cell r="BT195">
            <v>0.47299999999999998</v>
          </cell>
          <cell r="BU195">
            <v>0.48199999999999998</v>
          </cell>
          <cell r="BV195">
            <v>0.46899999999999997</v>
          </cell>
          <cell r="BW195">
            <v>0.47299999999999998</v>
          </cell>
          <cell r="BX195">
            <v>0.502</v>
          </cell>
          <cell r="BY195">
            <v>0.504</v>
          </cell>
          <cell r="BZ195">
            <v>0.48699999999999999</v>
          </cell>
          <cell r="CA195">
            <v>0.48199999999999998</v>
          </cell>
          <cell r="CB195">
            <v>0.502</v>
          </cell>
          <cell r="CC195">
            <v>0.52700000000000002</v>
          </cell>
          <cell r="CD195">
            <v>0.504</v>
          </cell>
          <cell r="CE195">
            <v>0.504</v>
          </cell>
          <cell r="CF195">
            <v>0.497</v>
          </cell>
          <cell r="CG195">
            <v>0.52400000000000002</v>
          </cell>
          <cell r="CH195">
            <v>0.53100000000000003</v>
          </cell>
          <cell r="CI195">
            <v>0.52300000000000002</v>
          </cell>
          <cell r="CJ195">
            <v>0.51900000000000002</v>
          </cell>
          <cell r="CK195">
            <v>0.53100000000000003</v>
          </cell>
          <cell r="CL195">
            <v>0.54900000000000004</v>
          </cell>
          <cell r="CM195">
            <v>0.55400000000000005</v>
          </cell>
        </row>
        <row r="196">
          <cell r="B196" t="str">
            <v>Same Hospitals</v>
          </cell>
        </row>
        <row r="197">
          <cell r="B197" t="str">
            <v>Occupancy</v>
          </cell>
          <cell r="D197" t="str">
            <v>ND</v>
          </cell>
          <cell r="E197" t="str">
            <v>ND</v>
          </cell>
          <cell r="F197" t="str">
            <v>ND</v>
          </cell>
          <cell r="G197" t="str">
            <v>ND</v>
          </cell>
          <cell r="H197" t="str">
            <v>ND</v>
          </cell>
          <cell r="I197" t="str">
            <v>ND</v>
          </cell>
          <cell r="J197" t="str">
            <v>ND</v>
          </cell>
          <cell r="K197" t="str">
            <v>ND</v>
          </cell>
          <cell r="L197" t="str">
            <v>ND</v>
          </cell>
          <cell r="M197">
            <v>0.46100000000000002</v>
          </cell>
          <cell r="N197">
            <v>0.52200000000000002</v>
          </cell>
          <cell r="O197">
            <v>0.432</v>
          </cell>
          <cell r="P197" t="str">
            <v>ND</v>
          </cell>
          <cell r="Q197" t="str">
            <v>ND</v>
          </cell>
          <cell r="R197">
            <v>0.46899999999999997</v>
          </cell>
          <cell r="S197">
            <v>0.54400000000000004</v>
          </cell>
          <cell r="T197">
            <v>0.44800000000000001</v>
          </cell>
          <cell r="U197" t="str">
            <v>ND</v>
          </cell>
          <cell r="V197" t="str">
            <v>ND</v>
          </cell>
          <cell r="W197">
            <v>0.443</v>
          </cell>
          <cell r="X197">
            <v>0.52600000000000002</v>
          </cell>
          <cell r="Y197">
            <v>0.47099999999999997</v>
          </cell>
          <cell r="Z197" t="str">
            <v>ND</v>
          </cell>
          <cell r="AA197" t="str">
            <v>ND</v>
          </cell>
          <cell r="AB197">
            <v>0.44600000000000001</v>
          </cell>
          <cell r="AC197">
            <v>0.51900000000000002</v>
          </cell>
          <cell r="AD197">
            <v>0.48199999999999998</v>
          </cell>
          <cell r="AE197" t="str">
            <v>ND</v>
          </cell>
          <cell r="AF197" t="str">
            <v>ND</v>
          </cell>
          <cell r="AG197">
            <v>0.46800000000000003</v>
          </cell>
          <cell r="AH197">
            <v>0.51800000000000002</v>
          </cell>
          <cell r="AI197">
            <v>0.46</v>
          </cell>
          <cell r="AJ197">
            <v>0.45200000000000001</v>
          </cell>
          <cell r="AK197">
            <v>0.47699999999999998</v>
          </cell>
          <cell r="AL197">
            <v>0.48499999999999999</v>
          </cell>
          <cell r="AM197">
            <v>0.52400000000000002</v>
          </cell>
          <cell r="AN197">
            <v>0.45800000000000002</v>
          </cell>
          <cell r="AO197">
            <v>0.48</v>
          </cell>
          <cell r="AP197">
            <v>0.48899999999999999</v>
          </cell>
          <cell r="AQ197">
            <v>0.45600000000000002</v>
          </cell>
          <cell r="AR197">
            <v>0.51600000000000001</v>
          </cell>
          <cell r="AS197">
            <v>0.45900000000000002</v>
          </cell>
          <cell r="AT197">
            <v>0.42499999999999999</v>
          </cell>
          <cell r="AU197">
            <v>0.46800000000000003</v>
          </cell>
          <cell r="AW197">
            <v>0.52400000000000002</v>
          </cell>
          <cell r="AX197">
            <v>0.45800000000000002</v>
          </cell>
          <cell r="AY197">
            <v>0.48</v>
          </cell>
          <cell r="AZ197">
            <v>0.45600000000000002</v>
          </cell>
          <cell r="BB197">
            <v>0.51600000000000001</v>
          </cell>
          <cell r="BC197">
            <v>0.45900000000000002</v>
          </cell>
          <cell r="BD197">
            <v>0.42499999999999999</v>
          </cell>
          <cell r="BE197">
            <v>0.438</v>
          </cell>
          <cell r="BG197">
            <v>0.502</v>
          </cell>
          <cell r="BH197">
            <v>0.434</v>
          </cell>
          <cell r="BI197">
            <v>0.432</v>
          </cell>
          <cell r="BJ197">
            <v>0.44</v>
          </cell>
          <cell r="BK197">
            <v>0.46100000000000002</v>
          </cell>
          <cell r="BL197">
            <v>0.49199999999999999</v>
          </cell>
          <cell r="BM197">
            <v>0.44800000000000001</v>
          </cell>
          <cell r="BN197">
            <v>0.42399999999999999</v>
          </cell>
          <cell r="BO197">
            <v>0.42799999999999999</v>
          </cell>
          <cell r="BP197">
            <v>0.45</v>
          </cell>
          <cell r="BQ197">
            <v>0.51</v>
          </cell>
          <cell r="BR197">
            <v>0.442</v>
          </cell>
          <cell r="BS197">
            <v>0.41899999999999998</v>
          </cell>
          <cell r="BT197">
            <v>0.44400000000000001</v>
          </cell>
          <cell r="BU197">
            <v>0.45</v>
          </cell>
          <cell r="BV197">
            <v>0.496</v>
          </cell>
          <cell r="BW197">
            <v>0.44800000000000001</v>
          </cell>
          <cell r="BX197">
            <v>0.42499999999999999</v>
          </cell>
          <cell r="BY197">
            <v>0.442</v>
          </cell>
          <cell r="BZ197">
            <v>0.44900000000000001</v>
          </cell>
          <cell r="CA197">
            <v>0.48899999999999999</v>
          </cell>
          <cell r="CB197">
            <v>0.435</v>
          </cell>
          <cell r="CC197">
            <v>0.41399999999999998</v>
          </cell>
          <cell r="CD197">
            <v>0.41899999999999998</v>
          </cell>
          <cell r="CE197">
            <v>0.435</v>
          </cell>
          <cell r="CF197">
            <v>0.47299999999999998</v>
          </cell>
          <cell r="CG197">
            <v>0.41699999999999998</v>
          </cell>
          <cell r="CH197">
            <v>0.40500000000000003</v>
          </cell>
          <cell r="CI197">
            <v>0.40699999999999997</v>
          </cell>
          <cell r="CJ197">
            <v>0.42099999999999999</v>
          </cell>
          <cell r="CK197">
            <v>0.45300000000000001</v>
          </cell>
          <cell r="CL197">
            <v>0.40300000000000002</v>
          </cell>
          <cell r="CM197">
            <v>0.38900000000000001</v>
          </cell>
        </row>
        <row r="198">
          <cell r="B198" t="str">
            <v>Patient days</v>
          </cell>
          <cell r="D198" t="str">
            <v>ND</v>
          </cell>
          <cell r="E198" t="str">
            <v>ND</v>
          </cell>
          <cell r="F198" t="str">
            <v>ND</v>
          </cell>
          <cell r="G198" t="str">
            <v>ND</v>
          </cell>
          <cell r="H198" t="str">
            <v>ND</v>
          </cell>
          <cell r="I198" t="str">
            <v>ND</v>
          </cell>
          <cell r="J198" t="str">
            <v>ND</v>
          </cell>
          <cell r="K198" t="str">
            <v>ND</v>
          </cell>
          <cell r="L198" t="str">
            <v>ND</v>
          </cell>
          <cell r="M198">
            <v>132801</v>
          </cell>
          <cell r="N198">
            <v>159078</v>
          </cell>
          <cell r="O198">
            <v>134801</v>
          </cell>
          <cell r="P198" t="str">
            <v>ND</v>
          </cell>
          <cell r="Q198" t="str">
            <v>ND</v>
          </cell>
          <cell r="R198">
            <v>152245</v>
          </cell>
          <cell r="S198">
            <v>174669</v>
          </cell>
          <cell r="T198">
            <v>163221</v>
          </cell>
          <cell r="U198" t="str">
            <v>ND</v>
          </cell>
          <cell r="V198" t="str">
            <v>ND</v>
          </cell>
          <cell r="W198">
            <v>178125</v>
          </cell>
          <cell r="X198">
            <v>206644</v>
          </cell>
          <cell r="Y198">
            <v>185146</v>
          </cell>
          <cell r="Z198" t="str">
            <v>ND</v>
          </cell>
          <cell r="AA198" t="str">
            <v>ND</v>
          </cell>
          <cell r="AB198">
            <v>201323</v>
          </cell>
          <cell r="AC198">
            <v>229154</v>
          </cell>
          <cell r="AD198">
            <v>208401</v>
          </cell>
          <cell r="AE198" t="str">
            <v>ND</v>
          </cell>
          <cell r="AF198" t="str">
            <v>ND</v>
          </cell>
          <cell r="AG198">
            <v>221650</v>
          </cell>
          <cell r="AH198">
            <v>262803</v>
          </cell>
          <cell r="AI198">
            <v>239247</v>
          </cell>
          <cell r="AJ198">
            <v>245708</v>
          </cell>
          <cell r="AK198">
            <v>904567</v>
          </cell>
          <cell r="AL198">
            <v>260545</v>
          </cell>
          <cell r="AM198">
            <v>282101</v>
          </cell>
          <cell r="AN198">
            <v>246734</v>
          </cell>
          <cell r="AO198">
            <v>240402</v>
          </cell>
          <cell r="AP198">
            <v>1025992</v>
          </cell>
          <cell r="AQ198">
            <v>261376</v>
          </cell>
          <cell r="AR198">
            <v>338571</v>
          </cell>
          <cell r="AS198">
            <v>305453</v>
          </cell>
          <cell r="AT198">
            <v>288011</v>
          </cell>
          <cell r="AU198">
            <v>1059666</v>
          </cell>
          <cell r="AW198">
            <v>282101</v>
          </cell>
          <cell r="AX198">
            <v>246734</v>
          </cell>
          <cell r="AY198">
            <v>240402</v>
          </cell>
          <cell r="AZ198">
            <v>261376</v>
          </cell>
          <cell r="BA198">
            <v>1030613</v>
          </cell>
          <cell r="BB198">
            <v>338571</v>
          </cell>
          <cell r="BC198">
            <v>305453</v>
          </cell>
          <cell r="BD198">
            <v>288011</v>
          </cell>
          <cell r="BE198">
            <v>295408</v>
          </cell>
          <cell r="BF198">
            <v>1227443</v>
          </cell>
          <cell r="BG198">
            <v>331847</v>
          </cell>
          <cell r="BH198">
            <v>321624</v>
          </cell>
          <cell r="BI198">
            <v>307663</v>
          </cell>
          <cell r="BJ198">
            <v>316831</v>
          </cell>
          <cell r="BK198">
            <v>1195940</v>
          </cell>
          <cell r="BL198">
            <v>350903</v>
          </cell>
          <cell r="BM198">
            <v>321035</v>
          </cell>
          <cell r="BN198">
            <v>317403</v>
          </cell>
          <cell r="BO198">
            <v>317744</v>
          </cell>
          <cell r="BP198">
            <v>1266207</v>
          </cell>
          <cell r="BQ198">
            <v>365023</v>
          </cell>
          <cell r="BR198">
            <v>317431</v>
          </cell>
          <cell r="BS198">
            <v>303622</v>
          </cell>
          <cell r="BT198">
            <v>323897</v>
          </cell>
          <cell r="BU198">
            <v>1300305</v>
          </cell>
          <cell r="BV198">
            <v>356813</v>
          </cell>
          <cell r="BW198">
            <v>325577</v>
          </cell>
          <cell r="BX198">
            <v>306871</v>
          </cell>
          <cell r="BY198">
            <v>318648</v>
          </cell>
          <cell r="BZ198">
            <v>1295808</v>
          </cell>
          <cell r="CA198">
            <v>345558</v>
          </cell>
          <cell r="CB198">
            <v>310291</v>
          </cell>
          <cell r="CC198">
            <v>298308</v>
          </cell>
          <cell r="CD198">
            <v>304329</v>
          </cell>
          <cell r="CE198">
            <v>1245618</v>
          </cell>
          <cell r="CF198">
            <v>349607</v>
          </cell>
          <cell r="CG198">
            <v>311890</v>
          </cell>
          <cell r="CH198">
            <v>311537</v>
          </cell>
          <cell r="CI198">
            <v>328340</v>
          </cell>
          <cell r="CJ198">
            <v>1300722</v>
          </cell>
          <cell r="CK198">
            <v>361573</v>
          </cell>
          <cell r="CL198">
            <v>324806</v>
          </cell>
          <cell r="CM198">
            <v>318357</v>
          </cell>
          <cell r="CO198">
            <v>1004736</v>
          </cell>
        </row>
        <row r="199">
          <cell r="B199" t="str">
            <v>Admissions</v>
          </cell>
          <cell r="D199" t="str">
            <v>ND</v>
          </cell>
          <cell r="E199">
            <v>33010</v>
          </cell>
          <cell r="F199">
            <v>40844</v>
          </cell>
          <cell r="G199">
            <v>48085</v>
          </cell>
          <cell r="H199">
            <v>47195</v>
          </cell>
          <cell r="I199">
            <v>59071</v>
          </cell>
          <cell r="J199">
            <v>60123</v>
          </cell>
          <cell r="K199">
            <v>78009</v>
          </cell>
          <cell r="L199">
            <v>101025</v>
          </cell>
          <cell r="M199">
            <v>26831</v>
          </cell>
          <cell r="N199">
            <v>34438</v>
          </cell>
          <cell r="O199">
            <v>29950</v>
          </cell>
          <cell r="P199" t="str">
            <v>ND</v>
          </cell>
          <cell r="Q199">
            <v>108673</v>
          </cell>
          <cell r="R199">
            <v>34531</v>
          </cell>
          <cell r="S199">
            <v>37671</v>
          </cell>
          <cell r="T199">
            <v>36406</v>
          </cell>
          <cell r="U199" t="str">
            <v>ND</v>
          </cell>
          <cell r="V199">
            <v>140545</v>
          </cell>
          <cell r="W199">
            <v>40235</v>
          </cell>
          <cell r="X199">
            <v>44942</v>
          </cell>
          <cell r="Y199">
            <v>41182</v>
          </cell>
          <cell r="Z199" t="str">
            <v>ND</v>
          </cell>
          <cell r="AA199">
            <v>166521</v>
          </cell>
          <cell r="AB199">
            <v>45302</v>
          </cell>
          <cell r="AC199">
            <v>49865</v>
          </cell>
          <cell r="AD199">
            <v>46451</v>
          </cell>
          <cell r="AE199" t="str">
            <v>ND</v>
          </cell>
          <cell r="AF199">
            <v>188576</v>
          </cell>
          <cell r="AG199">
            <v>50581</v>
          </cell>
          <cell r="AH199">
            <v>58504</v>
          </cell>
          <cell r="AI199">
            <v>54260</v>
          </cell>
          <cell r="AJ199">
            <v>57602</v>
          </cell>
          <cell r="AK199">
            <v>203875</v>
          </cell>
          <cell r="AL199">
            <v>60117</v>
          </cell>
          <cell r="AM199">
            <v>63379</v>
          </cell>
          <cell r="AN199">
            <v>57554</v>
          </cell>
          <cell r="AO199">
            <v>57496</v>
          </cell>
          <cell r="AP199">
            <v>237494</v>
          </cell>
          <cell r="AQ199">
            <v>61709</v>
          </cell>
          <cell r="AR199">
            <v>77450</v>
          </cell>
          <cell r="AS199">
            <v>70917</v>
          </cell>
          <cell r="AT199">
            <v>68410</v>
          </cell>
          <cell r="AU199">
            <v>247590</v>
          </cell>
          <cell r="AW199">
            <v>63379</v>
          </cell>
          <cell r="AX199">
            <v>57554</v>
          </cell>
          <cell r="AY199">
            <v>57496</v>
          </cell>
          <cell r="AZ199">
            <v>61709</v>
          </cell>
          <cell r="BA199">
            <v>240138</v>
          </cell>
          <cell r="BB199">
            <v>77450</v>
          </cell>
          <cell r="BC199">
            <v>70917</v>
          </cell>
          <cell r="BD199">
            <v>68410</v>
          </cell>
          <cell r="BE199">
            <v>69550</v>
          </cell>
          <cell r="BF199">
            <v>286327</v>
          </cell>
          <cell r="BG199">
            <v>75482</v>
          </cell>
          <cell r="BH199">
            <v>75177</v>
          </cell>
          <cell r="BI199">
            <v>73189</v>
          </cell>
          <cell r="BJ199">
            <v>75189</v>
          </cell>
          <cell r="BK199">
            <v>279240</v>
          </cell>
          <cell r="BL199">
            <v>81670</v>
          </cell>
          <cell r="BM199">
            <v>76104</v>
          </cell>
          <cell r="BN199">
            <v>75681</v>
          </cell>
          <cell r="BO199">
            <v>75854</v>
          </cell>
          <cell r="BP199">
            <v>299253</v>
          </cell>
          <cell r="BQ199">
            <v>82302</v>
          </cell>
          <cell r="BR199">
            <v>73809</v>
          </cell>
          <cell r="BS199">
            <v>72448</v>
          </cell>
          <cell r="BT199">
            <v>76562</v>
          </cell>
          <cell r="BU199">
            <v>302606</v>
          </cell>
          <cell r="BV199">
            <v>83361</v>
          </cell>
          <cell r="BW199">
            <v>77580</v>
          </cell>
          <cell r="BX199">
            <v>74890</v>
          </cell>
          <cell r="BY199">
            <v>76207</v>
          </cell>
          <cell r="BZ199">
            <v>309005</v>
          </cell>
          <cell r="CA199">
            <v>81492</v>
          </cell>
          <cell r="CB199">
            <v>75676</v>
          </cell>
          <cell r="CC199">
            <v>72634</v>
          </cell>
          <cell r="CD199">
            <v>74168</v>
          </cell>
          <cell r="CE199">
            <v>301785</v>
          </cell>
          <cell r="CF199">
            <v>81460</v>
          </cell>
          <cell r="CG199">
            <v>73936</v>
          </cell>
          <cell r="CH199">
            <v>76211</v>
          </cell>
          <cell r="CI199">
            <v>79646</v>
          </cell>
          <cell r="CJ199">
            <v>311053</v>
          </cell>
          <cell r="CK199">
            <v>84455</v>
          </cell>
          <cell r="CL199">
            <v>77488</v>
          </cell>
          <cell r="CM199">
            <v>76166</v>
          </cell>
          <cell r="CO199">
            <v>238109</v>
          </cell>
        </row>
        <row r="200">
          <cell r="B200" t="str">
            <v>Adjusted admissions</v>
          </cell>
          <cell r="D200" t="str">
            <v>ND</v>
          </cell>
          <cell r="E200" t="str">
            <v>ND</v>
          </cell>
          <cell r="F200" t="str">
            <v>ND</v>
          </cell>
          <cell r="G200" t="str">
            <v>ND</v>
          </cell>
          <cell r="H200" t="str">
            <v>ND</v>
          </cell>
          <cell r="I200" t="str">
            <v>ND</v>
          </cell>
          <cell r="J200" t="str">
            <v>ND</v>
          </cell>
          <cell r="K200" t="str">
            <v>ND</v>
          </cell>
          <cell r="L200" t="str">
            <v>ND</v>
          </cell>
          <cell r="M200" t="str">
            <v>ND</v>
          </cell>
          <cell r="N200" t="str">
            <v>ND</v>
          </cell>
          <cell r="O200" t="str">
            <v>ND</v>
          </cell>
          <cell r="P200" t="str">
            <v>ND</v>
          </cell>
          <cell r="Q200" t="str">
            <v>ND</v>
          </cell>
          <cell r="R200" t="str">
            <v>ND</v>
          </cell>
          <cell r="S200" t="str">
            <v>ND</v>
          </cell>
          <cell r="T200" t="str">
            <v>ND</v>
          </cell>
          <cell r="U200" t="str">
            <v>ND</v>
          </cell>
          <cell r="V200" t="str">
            <v>ND</v>
          </cell>
          <cell r="W200" t="str">
            <v>ND</v>
          </cell>
          <cell r="X200" t="str">
            <v>ND</v>
          </cell>
          <cell r="Y200" t="str">
            <v>ND</v>
          </cell>
          <cell r="Z200" t="str">
            <v>ND</v>
          </cell>
          <cell r="AA200" t="str">
            <v>ND</v>
          </cell>
          <cell r="AB200" t="str">
            <v>ND</v>
          </cell>
          <cell r="AC200" t="str">
            <v>ND</v>
          </cell>
          <cell r="AD200">
            <v>73987</v>
          </cell>
          <cell r="AE200" t="str">
            <v>ND</v>
          </cell>
          <cell r="AF200" t="str">
            <v>ND</v>
          </cell>
          <cell r="AG200">
            <v>80076</v>
          </cell>
          <cell r="AH200">
            <v>90967</v>
          </cell>
          <cell r="AI200">
            <v>86997</v>
          </cell>
          <cell r="AJ200">
            <v>93348</v>
          </cell>
          <cell r="AK200">
            <v>325137</v>
          </cell>
          <cell r="AL200">
            <v>95035</v>
          </cell>
          <cell r="AM200">
            <v>98579</v>
          </cell>
          <cell r="AN200">
            <v>93928</v>
          </cell>
          <cell r="AO200">
            <v>94092</v>
          </cell>
          <cell r="AP200">
            <v>380411</v>
          </cell>
          <cell r="AQ200">
            <v>99550</v>
          </cell>
          <cell r="AR200">
            <v>125020</v>
          </cell>
          <cell r="AS200">
            <v>118792</v>
          </cell>
          <cell r="AT200">
            <v>116488</v>
          </cell>
          <cell r="AU200">
            <v>402684</v>
          </cell>
          <cell r="AW200">
            <v>98579</v>
          </cell>
          <cell r="AX200">
            <v>93928</v>
          </cell>
          <cell r="AY200">
            <v>94092</v>
          </cell>
          <cell r="AZ200">
            <v>99550</v>
          </cell>
          <cell r="BA200">
            <v>386149</v>
          </cell>
          <cell r="BB200">
            <v>125020</v>
          </cell>
          <cell r="BC200">
            <v>118792</v>
          </cell>
          <cell r="BD200">
            <v>116488</v>
          </cell>
          <cell r="BE200">
            <v>115896</v>
          </cell>
          <cell r="BF200">
            <v>476196</v>
          </cell>
          <cell r="BG200">
            <v>125392</v>
          </cell>
          <cell r="BH200">
            <v>128209</v>
          </cell>
          <cell r="BI200">
            <v>123410</v>
          </cell>
          <cell r="BJ200">
            <v>126042</v>
          </cell>
          <cell r="BK200">
            <v>464188</v>
          </cell>
          <cell r="BL200">
            <v>135303</v>
          </cell>
          <cell r="BM200">
            <v>130120</v>
          </cell>
          <cell r="BN200">
            <v>131811</v>
          </cell>
          <cell r="BO200">
            <v>131986</v>
          </cell>
          <cell r="BP200">
            <v>511393</v>
          </cell>
          <cell r="BQ200">
            <v>138424</v>
          </cell>
          <cell r="BR200">
            <v>129749</v>
          </cell>
          <cell r="BS200">
            <v>129168</v>
          </cell>
          <cell r="BT200">
            <v>132965</v>
          </cell>
          <cell r="BU200">
            <v>525808</v>
          </cell>
          <cell r="BV200">
            <v>140649</v>
          </cell>
          <cell r="BW200">
            <v>135801</v>
          </cell>
          <cell r="BX200">
            <v>135033</v>
          </cell>
          <cell r="BY200">
            <v>134520</v>
          </cell>
          <cell r="BZ200">
            <v>539691</v>
          </cell>
          <cell r="CA200">
            <v>141786</v>
          </cell>
          <cell r="CB200">
            <v>137657</v>
          </cell>
          <cell r="CC200">
            <v>134591</v>
          </cell>
          <cell r="CD200">
            <v>135074</v>
          </cell>
          <cell r="CE200">
            <v>544534</v>
          </cell>
          <cell r="CF200">
            <v>146899</v>
          </cell>
          <cell r="CG200">
            <v>139201</v>
          </cell>
          <cell r="CH200">
            <v>145354</v>
          </cell>
          <cell r="CI200">
            <v>149947</v>
          </cell>
          <cell r="CJ200">
            <v>581056</v>
          </cell>
          <cell r="CK200">
            <v>158659</v>
          </cell>
          <cell r="CL200">
            <v>151908</v>
          </cell>
          <cell r="CM200">
            <v>151620</v>
          </cell>
          <cell r="CO200">
            <v>462187</v>
          </cell>
        </row>
        <row r="201">
          <cell r="B201" t="str">
            <v>Average length of stay</v>
          </cell>
          <cell r="D201" t="str">
            <v>ND</v>
          </cell>
          <cell r="E201" t="str">
            <v>ND</v>
          </cell>
          <cell r="F201" t="str">
            <v>ND</v>
          </cell>
          <cell r="G201" t="str">
            <v>ND</v>
          </cell>
          <cell r="H201" t="str">
            <v>ND</v>
          </cell>
          <cell r="I201" t="str">
            <v>ND</v>
          </cell>
          <cell r="J201" t="str">
            <v>ND</v>
          </cell>
          <cell r="K201" t="str">
            <v>ND</v>
          </cell>
          <cell r="L201" t="str">
            <v>ND</v>
          </cell>
          <cell r="M201" t="str">
            <v>ND</v>
          </cell>
          <cell r="N201" t="str">
            <v>ND</v>
          </cell>
          <cell r="O201" t="str">
            <v>ND</v>
          </cell>
          <cell r="P201" t="str">
            <v>ND</v>
          </cell>
          <cell r="Q201" t="str">
            <v>ND</v>
          </cell>
          <cell r="R201" t="str">
            <v>ND</v>
          </cell>
          <cell r="S201" t="str">
            <v>ND</v>
          </cell>
          <cell r="T201" t="str">
            <v>ND</v>
          </cell>
          <cell r="U201" t="str">
            <v>ND</v>
          </cell>
          <cell r="V201" t="str">
            <v>ND</v>
          </cell>
          <cell r="W201" t="str">
            <v>ND</v>
          </cell>
          <cell r="X201" t="str">
            <v>ND</v>
          </cell>
          <cell r="Y201" t="str">
            <v>ND</v>
          </cell>
          <cell r="Z201" t="str">
            <v>ND</v>
          </cell>
          <cell r="AA201" t="str">
            <v>ND</v>
          </cell>
          <cell r="AB201" t="str">
            <v>ND</v>
          </cell>
          <cell r="AC201" t="str">
            <v>ND</v>
          </cell>
          <cell r="AD201" t="str">
            <v>ND</v>
          </cell>
          <cell r="AE201" t="str">
            <v>ND</v>
          </cell>
          <cell r="AF201" t="str">
            <v>ND</v>
          </cell>
          <cell r="AG201" t="str">
            <v>ND</v>
          </cell>
          <cell r="AH201">
            <v>4.5</v>
          </cell>
          <cell r="AI201" t="str">
            <v>ND</v>
          </cell>
          <cell r="AJ201">
            <v>4.3</v>
          </cell>
          <cell r="AK201">
            <v>4.4000000000000004</v>
          </cell>
          <cell r="AL201">
            <v>4.3</v>
          </cell>
          <cell r="AM201">
            <v>4.5</v>
          </cell>
          <cell r="AN201">
            <v>4.3</v>
          </cell>
          <cell r="AO201">
            <v>4.2</v>
          </cell>
          <cell r="AP201">
            <v>4.3</v>
          </cell>
          <cell r="AQ201">
            <v>4.2</v>
          </cell>
          <cell r="AR201">
            <v>4.4000000000000004</v>
          </cell>
          <cell r="AS201">
            <v>4.3</v>
          </cell>
          <cell r="AT201">
            <v>4.2</v>
          </cell>
          <cell r="AU201">
            <v>4.3</v>
          </cell>
          <cell r="AW201">
            <v>4.5</v>
          </cell>
          <cell r="AX201">
            <v>4.3</v>
          </cell>
          <cell r="AY201">
            <v>4.2</v>
          </cell>
          <cell r="AZ201">
            <v>4.2</v>
          </cell>
          <cell r="BB201">
            <v>4.4000000000000004</v>
          </cell>
          <cell r="BC201">
            <v>4.3</v>
          </cell>
          <cell r="BD201">
            <v>4.2</v>
          </cell>
          <cell r="BE201" t="str">
            <v>ND</v>
          </cell>
          <cell r="BG201">
            <v>4.4000000000000004</v>
          </cell>
          <cell r="BH201">
            <v>4.3</v>
          </cell>
          <cell r="BI201">
            <v>4.2</v>
          </cell>
          <cell r="BJ201">
            <v>4.2</v>
          </cell>
          <cell r="BK201">
            <v>4.3</v>
          </cell>
          <cell r="BL201">
            <v>4.3</v>
          </cell>
          <cell r="BM201">
            <v>4.2</v>
          </cell>
          <cell r="BN201">
            <v>4.2</v>
          </cell>
          <cell r="BO201">
            <v>4.2</v>
          </cell>
          <cell r="BP201">
            <v>4.2</v>
          </cell>
          <cell r="BQ201">
            <v>4.4000000000000004</v>
          </cell>
          <cell r="BR201">
            <v>4.3</v>
          </cell>
          <cell r="BS201">
            <v>4.2</v>
          </cell>
          <cell r="BT201">
            <v>4.2</v>
          </cell>
          <cell r="BU201" t="str">
            <v>ND</v>
          </cell>
          <cell r="BV201">
            <v>4.3</v>
          </cell>
          <cell r="BW201">
            <v>4.2</v>
          </cell>
          <cell r="BX201">
            <v>4.0999999999999996</v>
          </cell>
          <cell r="BY201">
            <v>4.2</v>
          </cell>
          <cell r="BZ201">
            <v>4.2</v>
          </cell>
          <cell r="CA201">
            <v>4.2</v>
          </cell>
          <cell r="CB201">
            <v>4.0999999999999996</v>
          </cell>
          <cell r="CC201">
            <v>4.0999999999999996</v>
          </cell>
          <cell r="CD201">
            <v>4.0999999999999996</v>
          </cell>
          <cell r="CE201">
            <v>4.0999999999999996</v>
          </cell>
          <cell r="CF201">
            <v>4.3</v>
          </cell>
          <cell r="CG201">
            <v>4.2</v>
          </cell>
          <cell r="CH201">
            <v>4.0999999999999996</v>
          </cell>
          <cell r="CI201">
            <v>4.0999999999999996</v>
          </cell>
          <cell r="CJ201">
            <v>4.2</v>
          </cell>
          <cell r="CK201">
            <v>4.9000000000000004</v>
          </cell>
          <cell r="CL201">
            <v>4.2</v>
          </cell>
          <cell r="CM201">
            <v>4.2</v>
          </cell>
        </row>
        <row r="202">
          <cell r="B202" t="str">
            <v>Surgeries</v>
          </cell>
          <cell r="D202" t="str">
            <v>ND</v>
          </cell>
          <cell r="E202" t="str">
            <v>ND</v>
          </cell>
          <cell r="F202" t="str">
            <v>ND</v>
          </cell>
          <cell r="G202" t="str">
            <v>ND</v>
          </cell>
          <cell r="H202" t="str">
            <v>ND</v>
          </cell>
          <cell r="I202" t="str">
            <v>ND</v>
          </cell>
          <cell r="J202" t="str">
            <v>ND</v>
          </cell>
          <cell r="K202" t="str">
            <v>ND</v>
          </cell>
          <cell r="L202" t="str">
            <v>ND</v>
          </cell>
          <cell r="M202" t="str">
            <v>ND</v>
          </cell>
          <cell r="N202" t="str">
            <v>ND</v>
          </cell>
          <cell r="O202" t="str">
            <v>ND</v>
          </cell>
          <cell r="P202" t="str">
            <v>ND</v>
          </cell>
          <cell r="Q202" t="str">
            <v>ND</v>
          </cell>
          <cell r="R202" t="str">
            <v>ND</v>
          </cell>
          <cell r="S202" t="str">
            <v>ND</v>
          </cell>
          <cell r="T202" t="str">
            <v>ND</v>
          </cell>
          <cell r="U202" t="str">
            <v>ND</v>
          </cell>
          <cell r="V202" t="str">
            <v>ND</v>
          </cell>
          <cell r="W202" t="str">
            <v>ND</v>
          </cell>
          <cell r="X202" t="str">
            <v>ND</v>
          </cell>
          <cell r="Y202" t="str">
            <v>ND</v>
          </cell>
          <cell r="Z202" t="str">
            <v>ND</v>
          </cell>
          <cell r="AA202" t="str">
            <v>ND</v>
          </cell>
          <cell r="AB202" t="str">
            <v>ND</v>
          </cell>
          <cell r="AC202" t="str">
            <v>ND</v>
          </cell>
          <cell r="AD202" t="str">
            <v>ND</v>
          </cell>
          <cell r="AE202" t="str">
            <v>ND</v>
          </cell>
          <cell r="AF202" t="str">
            <v>ND</v>
          </cell>
          <cell r="AG202" t="str">
            <v>ND</v>
          </cell>
          <cell r="AH202">
            <v>50993</v>
          </cell>
          <cell r="AI202" t="str">
            <v>ND</v>
          </cell>
          <cell r="AJ202">
            <v>51787</v>
          </cell>
          <cell r="AK202">
            <v>188453</v>
          </cell>
          <cell r="AL202">
            <v>50962</v>
          </cell>
          <cell r="AM202">
            <v>53145</v>
          </cell>
          <cell r="AN202">
            <v>51781</v>
          </cell>
          <cell r="AO202">
            <v>51184</v>
          </cell>
          <cell r="AP202">
            <v>206911</v>
          </cell>
          <cell r="AQ202">
            <v>53985</v>
          </cell>
          <cell r="AR202">
            <v>63335</v>
          </cell>
          <cell r="AS202">
            <v>64658</v>
          </cell>
          <cell r="AT202">
            <v>62555</v>
          </cell>
          <cell r="AU202">
            <v>221595</v>
          </cell>
          <cell r="AW202">
            <v>53145</v>
          </cell>
          <cell r="AX202">
            <v>51781</v>
          </cell>
          <cell r="AY202">
            <v>51184</v>
          </cell>
          <cell r="AZ202">
            <v>53985</v>
          </cell>
          <cell r="BA202">
            <v>210095</v>
          </cell>
          <cell r="BB202">
            <v>63335</v>
          </cell>
          <cell r="BC202">
            <v>64658</v>
          </cell>
          <cell r="BD202">
            <v>62555</v>
          </cell>
          <cell r="BE202">
            <v>61973</v>
          </cell>
          <cell r="BF202">
            <v>252521</v>
          </cell>
          <cell r="BG202">
            <v>65303</v>
          </cell>
          <cell r="BH202">
            <v>68724</v>
          </cell>
          <cell r="BI202">
            <v>65970</v>
          </cell>
          <cell r="BJ202">
            <v>67003</v>
          </cell>
          <cell r="BK202">
            <v>250903</v>
          </cell>
          <cell r="BL202">
            <v>69549</v>
          </cell>
          <cell r="BM202">
            <v>68967</v>
          </cell>
          <cell r="BN202">
            <v>69768</v>
          </cell>
          <cell r="BO202">
            <v>68929</v>
          </cell>
          <cell r="BP202">
            <v>271051</v>
          </cell>
          <cell r="BQ202">
            <v>69800</v>
          </cell>
          <cell r="BR202">
            <v>69649</v>
          </cell>
          <cell r="BS202">
            <v>67518</v>
          </cell>
          <cell r="BT202">
            <v>67898</v>
          </cell>
          <cell r="BU202">
            <v>273602</v>
          </cell>
          <cell r="BV202">
            <v>68347</v>
          </cell>
          <cell r="BW202">
            <v>68994</v>
          </cell>
          <cell r="BX202">
            <v>66337</v>
          </cell>
          <cell r="BY202">
            <v>66774</v>
          </cell>
          <cell r="BZ202">
            <v>267647</v>
          </cell>
          <cell r="CA202">
            <v>76018</v>
          </cell>
          <cell r="CB202">
            <v>76402</v>
          </cell>
          <cell r="CC202">
            <v>75264</v>
          </cell>
          <cell r="CD202">
            <v>74477</v>
          </cell>
          <cell r="CE202">
            <v>296517</v>
          </cell>
          <cell r="CF202">
            <v>78527</v>
          </cell>
          <cell r="CG202">
            <v>78233</v>
          </cell>
          <cell r="CH202">
            <v>78108</v>
          </cell>
          <cell r="CI202">
            <v>81502</v>
          </cell>
          <cell r="CJ202">
            <v>316298</v>
          </cell>
          <cell r="CK202">
            <v>85943</v>
          </cell>
          <cell r="CL202">
            <v>84893</v>
          </cell>
          <cell r="CM202">
            <v>82322</v>
          </cell>
          <cell r="CO202">
            <v>253158</v>
          </cell>
        </row>
        <row r="203">
          <cell r="B203" t="str">
            <v>Emergency room visits</v>
          </cell>
          <cell r="D203" t="str">
            <v>ND</v>
          </cell>
          <cell r="E203" t="str">
            <v>ND</v>
          </cell>
          <cell r="F203" t="str">
            <v>ND</v>
          </cell>
          <cell r="G203" t="str">
            <v>ND</v>
          </cell>
          <cell r="H203" t="str">
            <v>ND</v>
          </cell>
          <cell r="I203" t="str">
            <v>ND</v>
          </cell>
          <cell r="J203" t="str">
            <v>ND</v>
          </cell>
          <cell r="K203" t="str">
            <v>ND</v>
          </cell>
          <cell r="L203" t="str">
            <v>ND</v>
          </cell>
          <cell r="M203" t="str">
            <v>ND</v>
          </cell>
          <cell r="N203" t="str">
            <v>ND</v>
          </cell>
          <cell r="O203" t="str">
            <v>ND</v>
          </cell>
          <cell r="P203" t="str">
            <v>ND</v>
          </cell>
          <cell r="Q203" t="str">
            <v>ND</v>
          </cell>
          <cell r="R203" t="str">
            <v>ND</v>
          </cell>
          <cell r="S203" t="str">
            <v>ND</v>
          </cell>
          <cell r="T203" t="str">
            <v>ND</v>
          </cell>
          <cell r="U203" t="str">
            <v>ND</v>
          </cell>
          <cell r="V203" t="str">
            <v>ND</v>
          </cell>
          <cell r="W203" t="str">
            <v>ND</v>
          </cell>
          <cell r="X203" t="str">
            <v>ND</v>
          </cell>
          <cell r="Y203" t="str">
            <v>ND</v>
          </cell>
          <cell r="Z203" t="str">
            <v>ND</v>
          </cell>
          <cell r="AA203" t="str">
            <v>ND</v>
          </cell>
          <cell r="AB203" t="str">
            <v>ND</v>
          </cell>
          <cell r="AC203" t="str">
            <v>ND</v>
          </cell>
          <cell r="AD203" t="str">
            <v>ND</v>
          </cell>
          <cell r="AE203" t="str">
            <v>ND</v>
          </cell>
          <cell r="AF203" t="str">
            <v>ND</v>
          </cell>
          <cell r="AG203" t="str">
            <v>ND</v>
          </cell>
          <cell r="AH203" t="str">
            <v>ND</v>
          </cell>
          <cell r="AI203" t="str">
            <v>ND</v>
          </cell>
          <cell r="AJ203" t="str">
            <v>ND</v>
          </cell>
          <cell r="AK203" t="str">
            <v>ND</v>
          </cell>
          <cell r="AL203" t="str">
            <v>ND</v>
          </cell>
          <cell r="AM203" t="str">
            <v>ND</v>
          </cell>
          <cell r="AN203" t="str">
            <v>ND</v>
          </cell>
          <cell r="AO203" t="str">
            <v>ND</v>
          </cell>
          <cell r="AP203" t="str">
            <v>ND</v>
          </cell>
          <cell r="AQ203" t="str">
            <v>ND</v>
          </cell>
          <cell r="AR203" t="str">
            <v>ND</v>
          </cell>
          <cell r="AS203" t="str">
            <v>ND</v>
          </cell>
          <cell r="AT203" t="str">
            <v>ND</v>
          </cell>
          <cell r="AU203" t="str">
            <v>ND</v>
          </cell>
          <cell r="AW203" t="str">
            <v>ND</v>
          </cell>
          <cell r="AX203" t="str">
            <v>ND</v>
          </cell>
          <cell r="AY203" t="str">
            <v>ND</v>
          </cell>
          <cell r="AZ203" t="str">
            <v>ND</v>
          </cell>
          <cell r="BB203" t="str">
            <v>ND</v>
          </cell>
          <cell r="BC203" t="str">
            <v>ND</v>
          </cell>
          <cell r="BD203" t="str">
            <v>ND</v>
          </cell>
          <cell r="BE203" t="str">
            <v>ND</v>
          </cell>
          <cell r="BG203" t="str">
            <v>ND</v>
          </cell>
          <cell r="BH203" t="str">
            <v>ND</v>
          </cell>
          <cell r="BI203" t="str">
            <v>ND</v>
          </cell>
          <cell r="BJ203" t="str">
            <v>ND</v>
          </cell>
          <cell r="BK203">
            <v>1123783</v>
          </cell>
          <cell r="BL203">
            <v>334149</v>
          </cell>
          <cell r="BM203">
            <v>323831</v>
          </cell>
          <cell r="BN203">
            <v>333847</v>
          </cell>
          <cell r="BO203">
            <v>279841</v>
          </cell>
          <cell r="BP203">
            <v>1271668</v>
          </cell>
          <cell r="BQ203">
            <v>356202</v>
          </cell>
          <cell r="BR203">
            <v>330424</v>
          </cell>
          <cell r="BS203">
            <v>326765</v>
          </cell>
          <cell r="BT203">
            <v>328983</v>
          </cell>
          <cell r="BU203">
            <v>1327243</v>
          </cell>
          <cell r="BV203">
            <v>354819</v>
          </cell>
          <cell r="BW203">
            <v>348824</v>
          </cell>
          <cell r="BX203">
            <v>355213</v>
          </cell>
          <cell r="BY203">
            <v>337082</v>
          </cell>
          <cell r="BZ203">
            <v>1371153</v>
          </cell>
          <cell r="CA203">
            <v>332884</v>
          </cell>
          <cell r="CB203">
            <v>333938</v>
          </cell>
          <cell r="CC203">
            <v>329431</v>
          </cell>
          <cell r="CD203">
            <v>331076</v>
          </cell>
          <cell r="CE203">
            <v>1320661</v>
          </cell>
          <cell r="CF203">
            <v>360256</v>
          </cell>
          <cell r="CG203">
            <v>344483</v>
          </cell>
          <cell r="CH203">
            <v>359404</v>
          </cell>
          <cell r="CI203">
            <v>368461</v>
          </cell>
          <cell r="CJ203">
            <v>1430193</v>
          </cell>
          <cell r="CK203">
            <v>393133</v>
          </cell>
          <cell r="CL203">
            <v>392461</v>
          </cell>
          <cell r="CM203">
            <v>392181</v>
          </cell>
          <cell r="CO203">
            <v>1177775</v>
          </cell>
        </row>
        <row r="204">
          <cell r="B204" t="str">
            <v>Net revenue (in thousands)</v>
          </cell>
          <cell r="D204" t="str">
            <v>ND</v>
          </cell>
          <cell r="E204" t="str">
            <v>ND</v>
          </cell>
          <cell r="F204" t="str">
            <v>ND</v>
          </cell>
          <cell r="G204" t="str">
            <v>ND</v>
          </cell>
          <cell r="H204" t="str">
            <v>ND</v>
          </cell>
          <cell r="I204" t="str">
            <v>ND</v>
          </cell>
          <cell r="J204" t="str">
            <v>ND</v>
          </cell>
          <cell r="K204" t="str">
            <v>ND</v>
          </cell>
          <cell r="L204" t="str">
            <v>ND</v>
          </cell>
          <cell r="M204" t="str">
            <v>ND</v>
          </cell>
          <cell r="N204" t="str">
            <v>ND</v>
          </cell>
          <cell r="O204" t="str">
            <v>ND</v>
          </cell>
          <cell r="P204" t="str">
            <v>ND</v>
          </cell>
          <cell r="Q204" t="str">
            <v>ND</v>
          </cell>
          <cell r="R204" t="str">
            <v>ND</v>
          </cell>
          <cell r="S204" t="str">
            <v>ND</v>
          </cell>
          <cell r="T204" t="str">
            <v>ND</v>
          </cell>
          <cell r="U204" t="str">
            <v>ND</v>
          </cell>
          <cell r="V204" t="str">
            <v>ND</v>
          </cell>
          <cell r="W204" t="str">
            <v>ND</v>
          </cell>
          <cell r="X204" t="str">
            <v>ND</v>
          </cell>
          <cell r="Y204" t="str">
            <v>ND</v>
          </cell>
          <cell r="Z204" t="str">
            <v>ND</v>
          </cell>
          <cell r="AA204" t="str">
            <v>ND</v>
          </cell>
          <cell r="AB204" t="str">
            <v>ND</v>
          </cell>
          <cell r="AC204" t="str">
            <v>ND</v>
          </cell>
          <cell r="AD204" t="str">
            <v>ND</v>
          </cell>
          <cell r="AE204" t="str">
            <v>ND</v>
          </cell>
          <cell r="AF204" t="str">
            <v>ND</v>
          </cell>
          <cell r="AG204" t="str">
            <v>ND</v>
          </cell>
          <cell r="AH204">
            <v>618764</v>
          </cell>
          <cell r="AI204" t="str">
            <v>ND</v>
          </cell>
          <cell r="AJ204">
            <v>635045</v>
          </cell>
          <cell r="AK204" t="str">
            <v>ND</v>
          </cell>
          <cell r="AL204">
            <v>651483</v>
          </cell>
          <cell r="AM204">
            <v>685414</v>
          </cell>
          <cell r="AN204">
            <v>671668</v>
          </cell>
          <cell r="AO204">
            <v>656865</v>
          </cell>
          <cell r="AP204" t="str">
            <v>ND</v>
          </cell>
          <cell r="AQ204">
            <v>711859</v>
          </cell>
          <cell r="AR204">
            <v>859175</v>
          </cell>
          <cell r="AS204">
            <v>849592</v>
          </cell>
          <cell r="AT204">
            <v>816589</v>
          </cell>
          <cell r="AU204">
            <v>2905458</v>
          </cell>
          <cell r="AW204">
            <v>685414</v>
          </cell>
          <cell r="AX204">
            <v>671668</v>
          </cell>
          <cell r="AY204">
            <v>656865</v>
          </cell>
          <cell r="AZ204">
            <v>711859</v>
          </cell>
          <cell r="BA204">
            <v>2725806</v>
          </cell>
          <cell r="BB204">
            <v>859175</v>
          </cell>
          <cell r="BC204">
            <v>849592</v>
          </cell>
          <cell r="BD204">
            <v>816589</v>
          </cell>
          <cell r="BE204">
            <v>846841</v>
          </cell>
          <cell r="BF204">
            <v>3372197</v>
          </cell>
          <cell r="BG204">
            <v>916075</v>
          </cell>
          <cell r="BH204">
            <v>959427</v>
          </cell>
          <cell r="BI204">
            <v>925360</v>
          </cell>
          <cell r="BJ204">
            <v>967230</v>
          </cell>
          <cell r="BK204">
            <v>3492498</v>
          </cell>
          <cell r="BL204">
            <v>1067606</v>
          </cell>
          <cell r="BM204">
            <v>1026196</v>
          </cell>
          <cell r="BN204">
            <v>1054455</v>
          </cell>
          <cell r="BO204">
            <v>1071014</v>
          </cell>
          <cell r="BP204">
            <v>4093434</v>
          </cell>
          <cell r="BQ204">
            <v>1133815</v>
          </cell>
          <cell r="BR204">
            <v>1105299</v>
          </cell>
          <cell r="BS204">
            <v>1081914</v>
          </cell>
          <cell r="BT204">
            <v>1111826</v>
          </cell>
          <cell r="BU204">
            <v>4390898</v>
          </cell>
          <cell r="BV204">
            <v>1188023</v>
          </cell>
          <cell r="BW204">
            <v>1155453</v>
          </cell>
          <cell r="BX204">
            <v>1121903</v>
          </cell>
          <cell r="BY204">
            <v>1176563</v>
          </cell>
          <cell r="BZ204">
            <v>4594936</v>
          </cell>
          <cell r="CA204">
            <v>1216316</v>
          </cell>
          <cell r="CB204">
            <v>1176747</v>
          </cell>
          <cell r="CC204">
            <v>1179455</v>
          </cell>
          <cell r="CD204">
            <v>1209650</v>
          </cell>
          <cell r="CE204">
            <v>4741642</v>
          </cell>
          <cell r="CF204">
            <v>1332971</v>
          </cell>
          <cell r="CG204">
            <v>1281644</v>
          </cell>
          <cell r="CH204">
            <v>1309012</v>
          </cell>
          <cell r="CI204">
            <v>1420432</v>
          </cell>
          <cell r="CJ204">
            <v>5335498</v>
          </cell>
          <cell r="CK204">
            <v>1325992</v>
          </cell>
          <cell r="CL204">
            <v>1299430</v>
          </cell>
          <cell r="CM204">
            <v>1274050</v>
          </cell>
          <cell r="CO204">
            <v>3899472</v>
          </cell>
        </row>
        <row r="205">
          <cell r="B205" t="str">
            <v>Net revenue per adjusted admission</v>
          </cell>
          <cell r="D205" t="str">
            <v>ND</v>
          </cell>
          <cell r="E205" t="str">
            <v>ND</v>
          </cell>
          <cell r="F205" t="str">
            <v>ND</v>
          </cell>
          <cell r="G205" t="str">
            <v>ND</v>
          </cell>
          <cell r="H205" t="str">
            <v>ND</v>
          </cell>
          <cell r="I205" t="str">
            <v>ND</v>
          </cell>
          <cell r="J205" t="str">
            <v>ND</v>
          </cell>
          <cell r="K205" t="str">
            <v>ND</v>
          </cell>
          <cell r="L205" t="str">
            <v>ND</v>
          </cell>
          <cell r="M205" t="str">
            <v>ND</v>
          </cell>
          <cell r="N205" t="str">
            <v>ND</v>
          </cell>
          <cell r="O205" t="str">
            <v>ND</v>
          </cell>
          <cell r="P205" t="str">
            <v>ND</v>
          </cell>
          <cell r="Q205" t="str">
            <v>ND</v>
          </cell>
          <cell r="R205" t="str">
            <v>ND</v>
          </cell>
          <cell r="S205" t="str">
            <v>ND</v>
          </cell>
          <cell r="T205" t="str">
            <v>ND</v>
          </cell>
          <cell r="U205" t="str">
            <v>ND</v>
          </cell>
          <cell r="V205" t="str">
            <v>ND</v>
          </cell>
          <cell r="W205" t="str">
            <v>ND</v>
          </cell>
          <cell r="X205" t="str">
            <v>ND</v>
          </cell>
          <cell r="Y205" t="str">
            <v>ND</v>
          </cell>
          <cell r="Z205" t="str">
            <v>ND</v>
          </cell>
          <cell r="AA205" t="str">
            <v>ND</v>
          </cell>
          <cell r="AB205" t="str">
            <v>ND</v>
          </cell>
          <cell r="AC205" t="str">
            <v>ND</v>
          </cell>
          <cell r="AD205" t="str">
            <v>ND</v>
          </cell>
          <cell r="AE205" t="str">
            <v>ND</v>
          </cell>
          <cell r="AF205" t="str">
            <v>ND</v>
          </cell>
          <cell r="AG205" t="str">
            <v>ND</v>
          </cell>
          <cell r="AH205" t="str">
            <v>ND</v>
          </cell>
          <cell r="AI205" t="str">
            <v>ND</v>
          </cell>
          <cell r="AJ205" t="str">
            <v>ND</v>
          </cell>
          <cell r="AK205" t="str">
            <v>ND</v>
          </cell>
          <cell r="AL205" t="str">
            <v>ND</v>
          </cell>
          <cell r="AM205" t="str">
            <v>ND</v>
          </cell>
          <cell r="AN205" t="str">
            <v>ND</v>
          </cell>
          <cell r="AO205" t="str">
            <v>ND</v>
          </cell>
          <cell r="AP205" t="str">
            <v>ND</v>
          </cell>
          <cell r="AQ205" t="str">
            <v>ND</v>
          </cell>
          <cell r="AR205" t="str">
            <v>ND</v>
          </cell>
          <cell r="AS205" t="str">
            <v>ND</v>
          </cell>
          <cell r="AT205" t="str">
            <v>ND</v>
          </cell>
          <cell r="AU205" t="str">
            <v>ND</v>
          </cell>
          <cell r="AW205" t="str">
            <v>ND</v>
          </cell>
          <cell r="AX205" t="str">
            <v>ND</v>
          </cell>
          <cell r="AY205" t="str">
            <v>ND</v>
          </cell>
          <cell r="AZ205" t="str">
            <v>ND</v>
          </cell>
          <cell r="BB205" t="str">
            <v>ND</v>
          </cell>
          <cell r="BC205" t="str">
            <v>ND</v>
          </cell>
          <cell r="BD205" t="str">
            <v>ND</v>
          </cell>
          <cell r="BE205" t="str">
            <v>ND</v>
          </cell>
          <cell r="BG205">
            <v>7305.68935817277</v>
          </cell>
          <cell r="BH205">
            <v>7483.3046042009528</v>
          </cell>
          <cell r="BI205">
            <v>7498.2578397212537</v>
          </cell>
          <cell r="BJ205">
            <v>7673.8706145570522</v>
          </cell>
          <cell r="BK205" t="str">
            <v>ND</v>
          </cell>
          <cell r="BL205">
            <v>7890.4828422134024</v>
          </cell>
          <cell r="BM205">
            <v>7886.5355056870576</v>
          </cell>
          <cell r="BN205">
            <v>7999.7496415321939</v>
          </cell>
          <cell r="BO205">
            <v>8114.6030639613291</v>
          </cell>
          <cell r="BP205" t="str">
            <v>ND</v>
          </cell>
          <cell r="BQ205">
            <v>8190.8845286944452</v>
          </cell>
          <cell r="BR205">
            <v>8518.7477360133798</v>
          </cell>
          <cell r="BS205">
            <v>8376.0219249349684</v>
          </cell>
          <cell r="BT205">
            <v>8361.7944571879816</v>
          </cell>
          <cell r="BU205" t="str">
            <v>ND</v>
          </cell>
          <cell r="BV205">
            <v>8446.7219816706838</v>
          </cell>
          <cell r="BW205">
            <v>8508.4277729913629</v>
          </cell>
          <cell r="BX205">
            <v>8308.3616597424334</v>
          </cell>
          <cell r="BY205">
            <v>8746.3797204876591</v>
          </cell>
          <cell r="BZ205" t="str">
            <v>ND</v>
          </cell>
          <cell r="CA205">
            <v>8579</v>
          </cell>
          <cell r="CB205">
            <v>8548</v>
          </cell>
          <cell r="CC205">
            <v>8763</v>
          </cell>
          <cell r="CD205">
            <v>8955</v>
          </cell>
          <cell r="CE205">
            <v>8708</v>
          </cell>
          <cell r="CF205">
            <v>9074</v>
          </cell>
          <cell r="CG205">
            <v>9207</v>
          </cell>
          <cell r="CH205">
            <v>9006</v>
          </cell>
          <cell r="CI205">
            <v>9473</v>
          </cell>
          <cell r="CJ205">
            <v>9182</v>
          </cell>
          <cell r="CK205">
            <v>8357</v>
          </cell>
          <cell r="CL205">
            <v>8554</v>
          </cell>
          <cell r="CM205">
            <v>8403</v>
          </cell>
          <cell r="CO205">
            <v>25314</v>
          </cell>
        </row>
        <row r="206">
          <cell r="B206" t="str">
            <v>Total inpatient revenue percentage</v>
          </cell>
          <cell r="D206" t="str">
            <v>ND</v>
          </cell>
          <cell r="E206" t="str">
            <v>ND</v>
          </cell>
          <cell r="F206" t="str">
            <v>ND</v>
          </cell>
          <cell r="G206" t="str">
            <v>ND</v>
          </cell>
          <cell r="H206" t="str">
            <v>ND</v>
          </cell>
          <cell r="I206" t="str">
            <v>ND</v>
          </cell>
          <cell r="J206" t="str">
            <v>ND</v>
          </cell>
          <cell r="K206" t="str">
            <v>ND</v>
          </cell>
          <cell r="L206" t="str">
            <v>ND</v>
          </cell>
          <cell r="M206" t="str">
            <v>ND</v>
          </cell>
          <cell r="N206" t="str">
            <v>ND</v>
          </cell>
          <cell r="O206" t="str">
            <v>ND</v>
          </cell>
          <cell r="P206" t="str">
            <v>ND</v>
          </cell>
          <cell r="Q206" t="str">
            <v>ND</v>
          </cell>
          <cell r="R206" t="str">
            <v>ND</v>
          </cell>
          <cell r="S206" t="str">
            <v>ND</v>
          </cell>
          <cell r="T206" t="str">
            <v>ND</v>
          </cell>
          <cell r="U206" t="str">
            <v>ND</v>
          </cell>
          <cell r="V206" t="str">
            <v>ND</v>
          </cell>
          <cell r="W206" t="str">
            <v>ND</v>
          </cell>
          <cell r="X206" t="str">
            <v>ND</v>
          </cell>
          <cell r="Y206" t="str">
            <v>ND</v>
          </cell>
          <cell r="Z206" t="str">
            <v>ND</v>
          </cell>
          <cell r="AA206" t="str">
            <v>ND</v>
          </cell>
          <cell r="AB206" t="str">
            <v>ND</v>
          </cell>
          <cell r="AC206" t="str">
            <v>ND</v>
          </cell>
          <cell r="AD206" t="str">
            <v>ND</v>
          </cell>
          <cell r="AE206" t="str">
            <v>ND</v>
          </cell>
          <cell r="AF206" t="str">
            <v>ND</v>
          </cell>
          <cell r="AG206" t="str">
            <v>ND</v>
          </cell>
          <cell r="AH206">
            <v>0.56000000000000005</v>
          </cell>
          <cell r="AI206" t="str">
            <v>ND</v>
          </cell>
          <cell r="AJ206">
            <v>0.52700000000000002</v>
          </cell>
          <cell r="AK206">
            <v>0.53300000000000003</v>
          </cell>
          <cell r="AL206">
            <v>0.53500000000000003</v>
          </cell>
          <cell r="AM206">
            <v>0.56000000000000005</v>
          </cell>
          <cell r="AN206">
            <v>0.50900000000000001</v>
          </cell>
          <cell r="AO206">
            <v>0.52100000000000002</v>
          </cell>
          <cell r="AP206">
            <v>0.53100000000000003</v>
          </cell>
          <cell r="AQ206">
            <v>0.53600000000000003</v>
          </cell>
          <cell r="AR206">
            <v>0.53600000000000003</v>
          </cell>
          <cell r="AS206">
            <v>0.51100000000000001</v>
          </cell>
          <cell r="AT206">
            <v>0.49299999999999999</v>
          </cell>
          <cell r="AU206">
            <v>0.52500000000000002</v>
          </cell>
          <cell r="AW206">
            <v>0.56000000000000005</v>
          </cell>
          <cell r="AX206">
            <v>0.50900000000000001</v>
          </cell>
          <cell r="AY206">
            <v>0.52100000000000002</v>
          </cell>
          <cell r="AZ206">
            <v>0.53600000000000003</v>
          </cell>
          <cell r="BB206">
            <v>0.53600000000000003</v>
          </cell>
          <cell r="BC206">
            <v>0.51100000000000001</v>
          </cell>
          <cell r="BD206">
            <v>0.49299999999999999</v>
          </cell>
          <cell r="BE206">
            <v>0.51500000000000001</v>
          </cell>
          <cell r="BG206">
            <v>0.50700000000000001</v>
          </cell>
          <cell r="BH206">
            <v>0.503</v>
          </cell>
          <cell r="BI206">
            <v>0.52600000000000002</v>
          </cell>
          <cell r="BJ206">
            <v>0.505</v>
          </cell>
          <cell r="BK206">
            <v>0.51400000000000001</v>
          </cell>
          <cell r="BL206">
            <v>0.51800000000000002</v>
          </cell>
          <cell r="BM206">
            <v>0.52400000000000002</v>
          </cell>
          <cell r="BN206">
            <v>0.495</v>
          </cell>
          <cell r="BO206">
            <v>0.504</v>
          </cell>
          <cell r="BP206">
            <v>0.51</v>
          </cell>
          <cell r="BQ206">
            <v>0.52900000000000003</v>
          </cell>
          <cell r="BR206">
            <v>0.51200000000000001</v>
          </cell>
          <cell r="BS206">
            <v>0.498</v>
          </cell>
          <cell r="BT206">
            <v>0.52700000000000002</v>
          </cell>
          <cell r="BU206">
            <v>0.51700000000000002</v>
          </cell>
          <cell r="BV206">
            <v>0.53100000000000003</v>
          </cell>
          <cell r="BW206">
            <v>0.52700000000000002</v>
          </cell>
          <cell r="BX206">
            <v>0.498</v>
          </cell>
          <cell r="BY206">
            <v>0.502</v>
          </cell>
          <cell r="BZ206">
            <v>0.51500000000000001</v>
          </cell>
          <cell r="CA206">
            <v>0.51400000000000001</v>
          </cell>
          <cell r="CB206">
            <v>0.49299999999999999</v>
          </cell>
          <cell r="CC206">
            <v>0.48499999999999999</v>
          </cell>
          <cell r="CD206">
            <v>0.501</v>
          </cell>
          <cell r="CE206">
            <v>0.498</v>
          </cell>
          <cell r="CF206">
            <v>0.50600000000000001</v>
          </cell>
          <cell r="CG206">
            <v>0.47799999999999998</v>
          </cell>
          <cell r="CH206">
            <v>0.47299999999999998</v>
          </cell>
          <cell r="CI206">
            <v>0.47799999999999998</v>
          </cell>
          <cell r="CJ206">
            <v>0.48399999999999999</v>
          </cell>
          <cell r="CK206">
            <v>0.47099999999999997</v>
          </cell>
          <cell r="CL206">
            <v>0.45400000000000001</v>
          </cell>
          <cell r="CM206">
            <v>0.44500000000000001</v>
          </cell>
        </row>
        <row r="207">
          <cell r="B207" t="str">
            <v>Total outpatient revenue percentage</v>
          </cell>
          <cell r="D207" t="str">
            <v>ND</v>
          </cell>
          <cell r="E207" t="str">
            <v>ND</v>
          </cell>
          <cell r="F207" t="str">
            <v>ND</v>
          </cell>
          <cell r="G207" t="str">
            <v>ND</v>
          </cell>
          <cell r="H207" t="str">
            <v>ND</v>
          </cell>
          <cell r="I207" t="str">
            <v>ND</v>
          </cell>
          <cell r="J207" t="str">
            <v>ND</v>
          </cell>
          <cell r="K207" t="str">
            <v>ND</v>
          </cell>
          <cell r="L207" t="str">
            <v>ND</v>
          </cell>
          <cell r="M207" t="str">
            <v>ND</v>
          </cell>
          <cell r="N207" t="str">
            <v>ND</v>
          </cell>
          <cell r="O207" t="str">
            <v>ND</v>
          </cell>
          <cell r="P207" t="str">
            <v>ND</v>
          </cell>
          <cell r="Q207" t="str">
            <v>ND</v>
          </cell>
          <cell r="R207" t="str">
            <v>ND</v>
          </cell>
          <cell r="S207" t="str">
            <v>ND</v>
          </cell>
          <cell r="T207" t="str">
            <v>ND</v>
          </cell>
          <cell r="U207" t="str">
            <v>ND</v>
          </cell>
          <cell r="V207" t="str">
            <v>ND</v>
          </cell>
          <cell r="W207" t="str">
            <v>ND</v>
          </cell>
          <cell r="X207" t="str">
            <v>ND</v>
          </cell>
          <cell r="Y207" t="str">
            <v>ND</v>
          </cell>
          <cell r="Z207" t="str">
            <v>ND</v>
          </cell>
          <cell r="AA207" t="str">
            <v>ND</v>
          </cell>
          <cell r="AB207" t="str">
            <v>ND</v>
          </cell>
          <cell r="AC207" t="str">
            <v>ND</v>
          </cell>
          <cell r="AD207" t="str">
            <v>ND</v>
          </cell>
          <cell r="AE207" t="str">
            <v>ND</v>
          </cell>
          <cell r="AF207" t="str">
            <v>ND</v>
          </cell>
          <cell r="AG207" t="str">
            <v>ND</v>
          </cell>
          <cell r="AH207">
            <v>0.44</v>
          </cell>
          <cell r="AI207" t="str">
            <v>ND</v>
          </cell>
          <cell r="AJ207">
            <v>0.47299999999999998</v>
          </cell>
          <cell r="AK207">
            <v>0.46700000000000003</v>
          </cell>
          <cell r="AL207">
            <v>0.46500000000000002</v>
          </cell>
          <cell r="AM207">
            <v>0.44</v>
          </cell>
          <cell r="AN207">
            <v>0.49099999999999999</v>
          </cell>
          <cell r="AO207">
            <v>0.47899999999999998</v>
          </cell>
          <cell r="AP207">
            <v>0.46899999999999997</v>
          </cell>
          <cell r="AQ207">
            <v>0.46400000000000002</v>
          </cell>
          <cell r="AR207">
            <v>0.46400000000000002</v>
          </cell>
          <cell r="AS207">
            <v>0.48899999999999999</v>
          </cell>
          <cell r="AT207">
            <v>0.50700000000000001</v>
          </cell>
          <cell r="AU207">
            <v>0.47499999999999998</v>
          </cell>
          <cell r="AW207">
            <v>0.44</v>
          </cell>
          <cell r="AX207">
            <v>0.49099999999999999</v>
          </cell>
          <cell r="AY207">
            <v>0.47899999999999998</v>
          </cell>
          <cell r="AZ207">
            <v>0.46400000000000002</v>
          </cell>
          <cell r="BB207">
            <v>0.46400000000000002</v>
          </cell>
          <cell r="BC207">
            <v>0.48899999999999999</v>
          </cell>
          <cell r="BD207">
            <v>0.50700000000000001</v>
          </cell>
          <cell r="BE207">
            <v>0.48499999999999999</v>
          </cell>
          <cell r="BG207">
            <v>0.49299999999999999</v>
          </cell>
          <cell r="BH207">
            <v>0.497</v>
          </cell>
          <cell r="BI207">
            <v>0.47399999999999998</v>
          </cell>
          <cell r="BJ207">
            <v>0.495</v>
          </cell>
          <cell r="BK207">
            <v>0.48599999999999999</v>
          </cell>
          <cell r="BL207">
            <v>0.48199999999999998</v>
          </cell>
          <cell r="BM207">
            <v>0.47599999999999998</v>
          </cell>
          <cell r="BN207">
            <v>0.505</v>
          </cell>
          <cell r="BO207">
            <v>0.496</v>
          </cell>
          <cell r="BP207">
            <v>0.49</v>
          </cell>
          <cell r="BQ207">
            <v>0.47099999999999997</v>
          </cell>
          <cell r="BR207">
            <v>0.48799999999999999</v>
          </cell>
          <cell r="BS207">
            <v>0.502</v>
          </cell>
          <cell r="BT207">
            <v>0.47299999999999998</v>
          </cell>
          <cell r="BU207">
            <v>0.48299999999999998</v>
          </cell>
          <cell r="BV207">
            <v>0.46899999999999997</v>
          </cell>
          <cell r="BW207">
            <v>0.47299999999999998</v>
          </cell>
          <cell r="BX207">
            <v>0.502</v>
          </cell>
          <cell r="BY207">
            <v>0.498</v>
          </cell>
          <cell r="BZ207">
            <v>0.48499999999999999</v>
          </cell>
          <cell r="CA207">
            <v>0.48599999999999999</v>
          </cell>
          <cell r="CB207">
            <v>0.50700000000000001</v>
          </cell>
          <cell r="CC207">
            <v>0.51500000000000001</v>
          </cell>
          <cell r="CD207">
            <v>0.499</v>
          </cell>
          <cell r="CE207">
            <v>0.502</v>
          </cell>
          <cell r="CF207">
            <v>0.49399999999999999</v>
          </cell>
          <cell r="CG207">
            <v>0.52200000000000002</v>
          </cell>
          <cell r="CH207">
            <v>0.52700000000000002</v>
          </cell>
          <cell r="CI207">
            <v>0.52200000000000002</v>
          </cell>
          <cell r="CJ207">
            <v>0.51600000000000001</v>
          </cell>
          <cell r="CK207">
            <v>0.52900000000000003</v>
          </cell>
          <cell r="CL207">
            <v>0.54600000000000004</v>
          </cell>
          <cell r="CM207">
            <v>0.55500000000000005</v>
          </cell>
        </row>
        <row r="209">
          <cell r="B209" t="str">
            <v>Net revenue</v>
          </cell>
          <cell r="D209" t="str">
            <v>ND</v>
          </cell>
          <cell r="E209">
            <v>245247</v>
          </cell>
          <cell r="F209">
            <v>301883</v>
          </cell>
          <cell r="G209">
            <v>346767</v>
          </cell>
          <cell r="H209">
            <v>438366</v>
          </cell>
          <cell r="I209">
            <v>531094</v>
          </cell>
          <cell r="J209">
            <v>714317</v>
          </cell>
          <cell r="K209">
            <v>895482</v>
          </cell>
          <cell r="L209">
            <v>1138802</v>
          </cell>
          <cell r="M209">
            <v>305496</v>
          </cell>
          <cell r="N209">
            <v>339748</v>
          </cell>
          <cell r="O209">
            <v>352473</v>
          </cell>
          <cell r="P209" t="str">
            <v>ND</v>
          </cell>
          <cell r="Q209">
            <v>1355700</v>
          </cell>
          <cell r="R209">
            <v>370100</v>
          </cell>
          <cell r="S209">
            <v>408700</v>
          </cell>
          <cell r="T209">
            <v>391100</v>
          </cell>
          <cell r="U209" t="str">
            <v>ND</v>
          </cell>
          <cell r="V209">
            <v>1577800</v>
          </cell>
          <cell r="W209">
            <v>434200</v>
          </cell>
          <cell r="X209">
            <v>481100</v>
          </cell>
          <cell r="Y209">
            <v>473200</v>
          </cell>
          <cell r="Z209">
            <v>491217</v>
          </cell>
          <cell r="AA209">
            <v>1879800</v>
          </cell>
          <cell r="AB209">
            <v>495800</v>
          </cell>
          <cell r="AC209">
            <v>579900</v>
          </cell>
          <cell r="AD209">
            <v>592500</v>
          </cell>
          <cell r="AE209">
            <v>594356</v>
          </cell>
          <cell r="AF209">
            <v>2262600</v>
          </cell>
          <cell r="AG209">
            <v>609400</v>
          </cell>
          <cell r="AH209">
            <v>646500</v>
          </cell>
          <cell r="AI209">
            <v>647100</v>
          </cell>
          <cell r="AJ209">
            <v>657558</v>
          </cell>
          <cell r="AK209">
            <v>2560600</v>
          </cell>
          <cell r="AL209">
            <v>756553</v>
          </cell>
          <cell r="AM209">
            <v>833907</v>
          </cell>
          <cell r="AN209">
            <v>817341</v>
          </cell>
          <cell r="AO209">
            <v>798084</v>
          </cell>
          <cell r="AP209">
            <v>3205885</v>
          </cell>
          <cell r="AQ209">
            <v>822181</v>
          </cell>
          <cell r="AR209">
            <v>917448</v>
          </cell>
          <cell r="AS209">
            <v>953303</v>
          </cell>
          <cell r="AT209">
            <v>920842</v>
          </cell>
          <cell r="AU209">
            <v>3588822</v>
          </cell>
          <cell r="AW209">
            <v>833907</v>
          </cell>
          <cell r="AX209">
            <v>817341</v>
          </cell>
          <cell r="AY209">
            <v>798084</v>
          </cell>
          <cell r="AZ209">
            <v>822181</v>
          </cell>
          <cell r="BA209">
            <v>3271513</v>
          </cell>
          <cell r="BB209">
            <v>917448</v>
          </cell>
          <cell r="BC209">
            <v>953303</v>
          </cell>
          <cell r="BD209">
            <v>920842</v>
          </cell>
          <cell r="BE209">
            <v>936503</v>
          </cell>
          <cell r="BF209">
            <v>3728096</v>
          </cell>
          <cell r="BG209">
            <v>1032660</v>
          </cell>
          <cell r="BH209">
            <v>1022006</v>
          </cell>
          <cell r="BI209">
            <v>994111</v>
          </cell>
          <cell r="BJ209">
            <v>1052733</v>
          </cell>
          <cell r="BK209">
            <v>4056599</v>
          </cell>
          <cell r="BL209">
            <v>1143533</v>
          </cell>
          <cell r="BM209">
            <v>1099161</v>
          </cell>
          <cell r="BN209">
            <v>1070189</v>
          </cell>
          <cell r="BO209">
            <v>1096278</v>
          </cell>
          <cell r="BP209">
            <v>4392086</v>
          </cell>
          <cell r="BQ209">
            <v>1152572</v>
          </cell>
          <cell r="BR209">
            <v>1105299</v>
          </cell>
          <cell r="BS209">
            <v>1081914</v>
          </cell>
          <cell r="BT209">
            <v>1111826</v>
          </cell>
          <cell r="BU209">
            <v>4451611</v>
          </cell>
          <cell r="BV209">
            <v>1188023</v>
          </cell>
          <cell r="BW209">
            <v>1155453</v>
          </cell>
          <cell r="BX209">
            <v>1121903</v>
          </cell>
          <cell r="BY209">
            <v>1198770</v>
          </cell>
          <cell r="BZ209">
            <v>4617143</v>
          </cell>
          <cell r="CA209">
            <v>1285019</v>
          </cell>
          <cell r="CB209">
            <v>1247787</v>
          </cell>
          <cell r="CC209">
            <v>1270659</v>
          </cell>
          <cell r="CD209">
            <v>1352059</v>
          </cell>
          <cell r="CE209">
            <v>5114997</v>
          </cell>
          <cell r="CF209">
            <v>1433641</v>
          </cell>
          <cell r="CG209">
            <v>1395353</v>
          </cell>
          <cell r="CH209">
            <v>1400244</v>
          </cell>
          <cell r="CI209">
            <v>1583774</v>
          </cell>
          <cell r="CJ209">
            <v>5804451</v>
          </cell>
          <cell r="CK209">
            <v>1485257</v>
          </cell>
          <cell r="CL209">
            <v>1471978</v>
          </cell>
          <cell r="CM209">
            <v>1440109</v>
          </cell>
          <cell r="CO209">
            <v>4397344</v>
          </cell>
        </row>
        <row r="210">
          <cell r="B210" t="str">
            <v>Less acquisitions</v>
          </cell>
          <cell r="D210" t="str">
            <v>ND</v>
          </cell>
          <cell r="E210" t="str">
            <v>ND</v>
          </cell>
          <cell r="F210" t="str">
            <v>ND</v>
          </cell>
          <cell r="G210" t="str">
            <v>ND</v>
          </cell>
          <cell r="H210" t="str">
            <v>ND</v>
          </cell>
          <cell r="I210" t="str">
            <v>ND</v>
          </cell>
          <cell r="J210" t="str">
            <v>ND</v>
          </cell>
          <cell r="K210" t="str">
            <v>ND</v>
          </cell>
          <cell r="L210" t="str">
            <v>ND</v>
          </cell>
          <cell r="M210" t="str">
            <v>ND</v>
          </cell>
          <cell r="N210" t="str">
            <v>ND</v>
          </cell>
          <cell r="O210" t="str">
            <v>ND</v>
          </cell>
          <cell r="P210" t="str">
            <v>ND</v>
          </cell>
          <cell r="Q210" t="str">
            <v>ND</v>
          </cell>
          <cell r="R210" t="str">
            <v>ND</v>
          </cell>
          <cell r="S210" t="str">
            <v>ND</v>
          </cell>
          <cell r="T210" t="str">
            <v>ND</v>
          </cell>
          <cell r="U210" t="str">
            <v>ND</v>
          </cell>
          <cell r="V210" t="str">
            <v>ND</v>
          </cell>
          <cell r="W210" t="str">
            <v>ND</v>
          </cell>
          <cell r="X210" t="str">
            <v>ND</v>
          </cell>
          <cell r="Y210" t="str">
            <v>ND</v>
          </cell>
          <cell r="Z210" t="str">
            <v>ND</v>
          </cell>
          <cell r="AA210" t="str">
            <v>ND</v>
          </cell>
          <cell r="AB210" t="str">
            <v>ND</v>
          </cell>
          <cell r="AC210" t="str">
            <v>ND</v>
          </cell>
          <cell r="AD210" t="str">
            <v>ND</v>
          </cell>
          <cell r="AE210" t="str">
            <v>ND</v>
          </cell>
          <cell r="AF210" t="str">
            <v>ND</v>
          </cell>
          <cell r="AG210" t="str">
            <v>ND</v>
          </cell>
          <cell r="AH210">
            <v>27708</v>
          </cell>
          <cell r="AI210" t="str">
            <v>ND</v>
          </cell>
          <cell r="AJ210">
            <v>22513</v>
          </cell>
          <cell r="AK210" t="str">
            <v>ND</v>
          </cell>
          <cell r="AL210">
            <v>105070</v>
          </cell>
          <cell r="AM210">
            <v>148493</v>
          </cell>
          <cell r="AN210">
            <v>145673</v>
          </cell>
          <cell r="AO210">
            <v>141219</v>
          </cell>
          <cell r="AP210" t="str">
            <v>ND</v>
          </cell>
          <cell r="AQ210">
            <v>110322</v>
          </cell>
          <cell r="AR210">
            <v>58273</v>
          </cell>
          <cell r="AS210">
            <v>103711</v>
          </cell>
          <cell r="AT210">
            <v>104253</v>
          </cell>
          <cell r="AU210">
            <v>683364</v>
          </cell>
          <cell r="AW210">
            <v>148493</v>
          </cell>
          <cell r="AX210">
            <v>145673</v>
          </cell>
          <cell r="AY210">
            <v>141219</v>
          </cell>
          <cell r="AZ210">
            <v>110322</v>
          </cell>
          <cell r="BA210">
            <v>545707</v>
          </cell>
          <cell r="BB210">
            <v>58273</v>
          </cell>
          <cell r="BC210">
            <v>103711</v>
          </cell>
          <cell r="BD210">
            <v>104253</v>
          </cell>
          <cell r="BE210">
            <v>89662</v>
          </cell>
          <cell r="BF210">
            <v>355899</v>
          </cell>
          <cell r="BG210">
            <v>116585</v>
          </cell>
          <cell r="BH210">
            <v>62579</v>
          </cell>
          <cell r="BI210">
            <v>68751</v>
          </cell>
          <cell r="BJ210">
            <v>85503</v>
          </cell>
          <cell r="BK210">
            <v>564101</v>
          </cell>
          <cell r="BL210">
            <v>75927</v>
          </cell>
          <cell r="BM210">
            <v>72965</v>
          </cell>
          <cell r="BN210">
            <v>15734</v>
          </cell>
          <cell r="BO210">
            <v>25264</v>
          </cell>
          <cell r="BP210">
            <v>298652</v>
          </cell>
          <cell r="BQ210">
            <v>19387</v>
          </cell>
          <cell r="BR210">
            <v>0</v>
          </cell>
          <cell r="BS210">
            <v>0</v>
          </cell>
          <cell r="BT210">
            <v>0</v>
          </cell>
          <cell r="BU210">
            <v>60713</v>
          </cell>
          <cell r="BV210">
            <v>0</v>
          </cell>
          <cell r="BW210">
            <v>0</v>
          </cell>
          <cell r="BX210">
            <v>0</v>
          </cell>
          <cell r="BY210">
            <v>22207</v>
          </cell>
          <cell r="BZ210">
            <v>22207</v>
          </cell>
          <cell r="CA210">
            <v>68703</v>
          </cell>
          <cell r="CB210">
            <v>71040</v>
          </cell>
          <cell r="CC210">
            <v>91204</v>
          </cell>
          <cell r="CD210">
            <v>142409</v>
          </cell>
          <cell r="CE210">
            <v>373355</v>
          </cell>
          <cell r="CF210">
            <v>100670</v>
          </cell>
          <cell r="CG210">
            <v>113709</v>
          </cell>
          <cell r="CH210">
            <v>91232</v>
          </cell>
          <cell r="CI210">
            <v>163342</v>
          </cell>
          <cell r="CJ210">
            <v>468953</v>
          </cell>
          <cell r="CK210">
            <v>159265</v>
          </cell>
          <cell r="CL210">
            <v>172548</v>
          </cell>
          <cell r="CM210">
            <v>166059</v>
          </cell>
          <cell r="CO210">
            <v>497872</v>
          </cell>
        </row>
        <row r="211">
          <cell r="B211" t="str">
            <v>Same hospital net revenue</v>
          </cell>
          <cell r="D211" t="str">
            <v>ND</v>
          </cell>
          <cell r="E211" t="str">
            <v>ND</v>
          </cell>
          <cell r="F211" t="str">
            <v>ND</v>
          </cell>
          <cell r="G211" t="str">
            <v>ND</v>
          </cell>
          <cell r="H211" t="str">
            <v>ND</v>
          </cell>
          <cell r="I211" t="str">
            <v>ND</v>
          </cell>
          <cell r="J211" t="str">
            <v>ND</v>
          </cell>
          <cell r="K211" t="str">
            <v>ND</v>
          </cell>
          <cell r="L211" t="str">
            <v>ND</v>
          </cell>
          <cell r="M211" t="str">
            <v>ND</v>
          </cell>
          <cell r="N211" t="str">
            <v>ND</v>
          </cell>
          <cell r="O211" t="str">
            <v>ND</v>
          </cell>
          <cell r="P211" t="str">
            <v>ND</v>
          </cell>
          <cell r="Q211" t="str">
            <v>ND</v>
          </cell>
          <cell r="R211" t="str">
            <v>ND</v>
          </cell>
          <cell r="S211" t="str">
            <v>ND</v>
          </cell>
          <cell r="T211" t="str">
            <v>ND</v>
          </cell>
          <cell r="U211" t="str">
            <v>ND</v>
          </cell>
          <cell r="V211" t="str">
            <v>ND</v>
          </cell>
          <cell r="W211" t="str">
            <v>ND</v>
          </cell>
          <cell r="X211" t="str">
            <v>ND</v>
          </cell>
          <cell r="Y211" t="str">
            <v>ND</v>
          </cell>
          <cell r="Z211" t="str">
            <v>ND</v>
          </cell>
          <cell r="AA211" t="str">
            <v>ND</v>
          </cell>
          <cell r="AB211" t="str">
            <v>ND</v>
          </cell>
          <cell r="AC211" t="str">
            <v>ND</v>
          </cell>
          <cell r="AD211" t="str">
            <v>ND</v>
          </cell>
          <cell r="AE211" t="str">
            <v>ND</v>
          </cell>
          <cell r="AF211" t="str">
            <v>ND</v>
          </cell>
          <cell r="AG211" t="str">
            <v>ND</v>
          </cell>
          <cell r="AH211">
            <v>618764</v>
          </cell>
          <cell r="AI211" t="str">
            <v>ND</v>
          </cell>
          <cell r="AJ211">
            <v>635045</v>
          </cell>
          <cell r="AK211" t="str">
            <v>ND</v>
          </cell>
          <cell r="AL211">
            <v>651483</v>
          </cell>
          <cell r="AM211">
            <v>685414</v>
          </cell>
          <cell r="AN211">
            <v>671668</v>
          </cell>
          <cell r="AO211">
            <v>656865</v>
          </cell>
          <cell r="AP211" t="str">
            <v>ND</v>
          </cell>
          <cell r="AQ211">
            <v>711859</v>
          </cell>
          <cell r="AR211">
            <v>859175</v>
          </cell>
          <cell r="AS211">
            <v>849592</v>
          </cell>
          <cell r="AT211">
            <v>816589</v>
          </cell>
          <cell r="AU211">
            <v>2905458</v>
          </cell>
          <cell r="AW211">
            <v>685414</v>
          </cell>
          <cell r="AX211">
            <v>671668</v>
          </cell>
          <cell r="AY211">
            <v>656865</v>
          </cell>
          <cell r="AZ211">
            <v>711859</v>
          </cell>
          <cell r="BA211">
            <v>2725806</v>
          </cell>
          <cell r="BB211">
            <v>859175</v>
          </cell>
          <cell r="BC211">
            <v>849592</v>
          </cell>
          <cell r="BD211">
            <v>816589</v>
          </cell>
          <cell r="BE211">
            <v>846841</v>
          </cell>
          <cell r="BF211">
            <v>3372197</v>
          </cell>
          <cell r="BG211">
            <v>916075</v>
          </cell>
          <cell r="BH211">
            <v>959427</v>
          </cell>
          <cell r="BI211">
            <v>925360</v>
          </cell>
          <cell r="BJ211">
            <v>967230</v>
          </cell>
          <cell r="BK211">
            <v>3492498</v>
          </cell>
          <cell r="BL211">
            <v>1067606</v>
          </cell>
          <cell r="BM211">
            <v>1026196</v>
          </cell>
          <cell r="BN211">
            <v>1054455</v>
          </cell>
          <cell r="BO211">
            <v>1071014</v>
          </cell>
          <cell r="BP211">
            <v>4093434</v>
          </cell>
          <cell r="BQ211">
            <v>1133185</v>
          </cell>
          <cell r="BR211">
            <v>1105299</v>
          </cell>
          <cell r="BS211">
            <v>1081914</v>
          </cell>
          <cell r="BT211">
            <v>1111826</v>
          </cell>
          <cell r="BU211">
            <v>4390898</v>
          </cell>
          <cell r="BV211">
            <v>1188023</v>
          </cell>
          <cell r="BW211">
            <v>1155453</v>
          </cell>
          <cell r="BX211">
            <v>1121903</v>
          </cell>
          <cell r="BY211">
            <v>1176563</v>
          </cell>
          <cell r="BZ211">
            <v>4594936</v>
          </cell>
          <cell r="CA211">
            <v>1216316</v>
          </cell>
          <cell r="CB211">
            <v>1176747</v>
          </cell>
          <cell r="CC211">
            <v>1179455</v>
          </cell>
          <cell r="CD211">
            <v>1209650</v>
          </cell>
          <cell r="CE211">
            <v>4741642</v>
          </cell>
          <cell r="CF211">
            <v>1332971</v>
          </cell>
          <cell r="CG211">
            <v>1281644</v>
          </cell>
          <cell r="CH211">
            <v>1309012</v>
          </cell>
          <cell r="CI211">
            <v>1420432</v>
          </cell>
          <cell r="CJ211">
            <v>5335498</v>
          </cell>
          <cell r="CK211">
            <v>1325992</v>
          </cell>
          <cell r="CL211">
            <v>1299430</v>
          </cell>
          <cell r="CM211">
            <v>1274050</v>
          </cell>
          <cell r="CO211">
            <v>3899472</v>
          </cell>
        </row>
        <row r="212">
          <cell r="B212" t="str">
            <v>Same hospital operating Adjusted EBITDA</v>
          </cell>
          <cell r="D212" t="str">
            <v>ND</v>
          </cell>
          <cell r="E212" t="str">
            <v>ND</v>
          </cell>
          <cell r="F212" t="str">
            <v>ND</v>
          </cell>
          <cell r="G212" t="str">
            <v>ND</v>
          </cell>
          <cell r="H212" t="str">
            <v>ND</v>
          </cell>
          <cell r="I212" t="str">
            <v>ND</v>
          </cell>
          <cell r="J212" t="str">
            <v>ND</v>
          </cell>
          <cell r="K212" t="str">
            <v>ND</v>
          </cell>
          <cell r="L212" t="str">
            <v>ND</v>
          </cell>
          <cell r="M212" t="str">
            <v>ND</v>
          </cell>
          <cell r="N212" t="str">
            <v>ND</v>
          </cell>
          <cell r="O212" t="str">
            <v>ND</v>
          </cell>
          <cell r="P212" t="str">
            <v>ND</v>
          </cell>
          <cell r="Q212" t="str">
            <v>ND</v>
          </cell>
          <cell r="R212" t="str">
            <v>ND</v>
          </cell>
          <cell r="S212" t="str">
            <v>ND</v>
          </cell>
          <cell r="T212" t="str">
            <v>ND</v>
          </cell>
          <cell r="U212" t="str">
            <v>ND</v>
          </cell>
          <cell r="V212" t="str">
            <v>ND</v>
          </cell>
          <cell r="W212" t="str">
            <v>ND</v>
          </cell>
          <cell r="X212" t="str">
            <v>ND</v>
          </cell>
          <cell r="Y212" t="str">
            <v>ND</v>
          </cell>
          <cell r="Z212" t="str">
            <v>ND</v>
          </cell>
          <cell r="AA212" t="str">
            <v>ND</v>
          </cell>
          <cell r="AB212" t="str">
            <v>ND</v>
          </cell>
          <cell r="AC212" t="str">
            <v>ND</v>
          </cell>
          <cell r="AD212" t="str">
            <v>ND</v>
          </cell>
          <cell r="AE212" t="str">
            <v>ND</v>
          </cell>
          <cell r="AF212" t="str">
            <v>ND</v>
          </cell>
          <cell r="AG212" t="str">
            <v>ND</v>
          </cell>
          <cell r="AH212">
            <v>167333</v>
          </cell>
          <cell r="AI212" t="str">
            <v>ND</v>
          </cell>
          <cell r="AJ212">
            <v>156733</v>
          </cell>
          <cell r="AK212" t="str">
            <v>ND</v>
          </cell>
          <cell r="AL212">
            <v>151675</v>
          </cell>
          <cell r="AM212">
            <v>177688</v>
          </cell>
          <cell r="AN212">
            <v>169752</v>
          </cell>
          <cell r="AO212">
            <v>155596</v>
          </cell>
          <cell r="AP212" t="str">
            <v>ND</v>
          </cell>
          <cell r="AQ212">
            <v>164962</v>
          </cell>
          <cell r="AR212">
            <v>215556</v>
          </cell>
          <cell r="AS212">
            <v>205982</v>
          </cell>
          <cell r="AT212">
            <v>171230</v>
          </cell>
          <cell r="AU212">
            <v>689543</v>
          </cell>
          <cell r="AW212">
            <v>177688</v>
          </cell>
          <cell r="AX212">
            <v>169752</v>
          </cell>
          <cell r="AY212">
            <v>155596</v>
          </cell>
          <cell r="AZ212">
            <v>164962</v>
          </cell>
          <cell r="BA212">
            <v>667998</v>
          </cell>
          <cell r="BB212">
            <v>215556</v>
          </cell>
          <cell r="BC212">
            <v>205982</v>
          </cell>
          <cell r="BD212">
            <v>171230</v>
          </cell>
          <cell r="BE212">
            <v>175959</v>
          </cell>
          <cell r="BF212">
            <v>768727</v>
          </cell>
          <cell r="BG212">
            <v>204236</v>
          </cell>
          <cell r="BH212">
            <v>191291</v>
          </cell>
          <cell r="BI212">
            <v>184743</v>
          </cell>
          <cell r="BJ212">
            <v>201774</v>
          </cell>
          <cell r="BK212">
            <v>750471</v>
          </cell>
          <cell r="BL212">
            <v>214787</v>
          </cell>
          <cell r="BM212">
            <v>164275</v>
          </cell>
          <cell r="BN212">
            <v>168355</v>
          </cell>
          <cell r="BO212">
            <v>170802</v>
          </cell>
          <cell r="BP212">
            <v>710588</v>
          </cell>
          <cell r="BQ212">
            <v>202080</v>
          </cell>
          <cell r="BR212">
            <v>183508</v>
          </cell>
          <cell r="BS212">
            <v>160100</v>
          </cell>
          <cell r="BT212">
            <v>175474</v>
          </cell>
          <cell r="BU212">
            <v>728899</v>
          </cell>
          <cell r="BV212">
            <v>214133</v>
          </cell>
          <cell r="BW212">
            <v>200133</v>
          </cell>
          <cell r="BX212">
            <v>180094</v>
          </cell>
          <cell r="BY212">
            <v>200284</v>
          </cell>
          <cell r="BZ212">
            <v>789661</v>
          </cell>
          <cell r="CA212">
            <v>227178</v>
          </cell>
          <cell r="CB212">
            <v>209989</v>
          </cell>
          <cell r="CC212">
            <v>197461</v>
          </cell>
          <cell r="CD212">
            <v>209608</v>
          </cell>
          <cell r="CE212">
            <v>842571</v>
          </cell>
          <cell r="CF212">
            <v>243369</v>
          </cell>
          <cell r="CG212">
            <v>225503</v>
          </cell>
          <cell r="CH212">
            <v>216559</v>
          </cell>
          <cell r="CI212">
            <v>271554</v>
          </cell>
          <cell r="CJ212">
            <v>955026</v>
          </cell>
          <cell r="CK212">
            <v>263993</v>
          </cell>
          <cell r="CL212">
            <v>255397</v>
          </cell>
          <cell r="CM212">
            <v>259577</v>
          </cell>
          <cell r="CO212">
            <v>778967</v>
          </cell>
        </row>
        <row r="213">
          <cell r="B213" t="str">
            <v>RESTATED</v>
          </cell>
        </row>
        <row r="214">
          <cell r="B214" t="str">
            <v>Continuing Operations</v>
          </cell>
        </row>
        <row r="215">
          <cell r="B215" t="str">
            <v>Occupancy</v>
          </cell>
          <cell r="D215">
            <v>0.48699999999999999</v>
          </cell>
          <cell r="E215">
            <v>0.49099999999999999</v>
          </cell>
          <cell r="F215">
            <v>0.47799999999999998</v>
          </cell>
          <cell r="G215">
            <v>0.45600000000000002</v>
          </cell>
          <cell r="H215">
            <v>0.433</v>
          </cell>
          <cell r="I215">
            <v>0.436</v>
          </cell>
          <cell r="J215">
            <v>0.432</v>
          </cell>
          <cell r="K215">
            <v>0.44800000000000001</v>
          </cell>
          <cell r="L215">
            <v>0.47099999999999997</v>
          </cell>
          <cell r="M215">
            <v>0.46100000000000002</v>
          </cell>
          <cell r="N215">
            <v>0.55000000000000004</v>
          </cell>
          <cell r="O215">
            <v>0.45100000000000001</v>
          </cell>
          <cell r="P215" t="str">
            <v>ND</v>
          </cell>
          <cell r="Q215">
            <v>0.47099999999999997</v>
          </cell>
          <cell r="R215">
            <v>0.44700000000000001</v>
          </cell>
          <cell r="S215">
            <v>0.504</v>
          </cell>
          <cell r="T215">
            <v>0.45300000000000001</v>
          </cell>
          <cell r="U215" t="str">
            <v>ND</v>
          </cell>
          <cell r="V215">
            <v>0.46200000000000002</v>
          </cell>
          <cell r="W215">
            <v>0.44700000000000001</v>
          </cell>
          <cell r="X215">
            <v>0.52800000000000002</v>
          </cell>
          <cell r="Y215">
            <v>0.47099999999999997</v>
          </cell>
          <cell r="Z215" t="str">
            <v>ND</v>
          </cell>
          <cell r="AA215">
            <v>0.47199999999999998</v>
          </cell>
          <cell r="AB215">
            <v>0.45500000000000002</v>
          </cell>
          <cell r="AC215">
            <v>0.51600000000000001</v>
          </cell>
          <cell r="AD215">
            <v>0.48299999999999998</v>
          </cell>
          <cell r="AE215">
            <v>0.46899999999999997</v>
          </cell>
          <cell r="AF215">
            <v>0.47899999999999998</v>
          </cell>
          <cell r="AG215">
            <v>0.48099999999999998</v>
          </cell>
          <cell r="AH215">
            <v>0.53</v>
          </cell>
          <cell r="AI215">
            <v>0.47499999999999998</v>
          </cell>
          <cell r="AJ215">
            <v>0.45800000000000002</v>
          </cell>
          <cell r="AK215">
            <v>0.48499999999999999</v>
          </cell>
          <cell r="AL215">
            <v>0.48</v>
          </cell>
          <cell r="AM215">
            <v>0.51400000000000001</v>
          </cell>
          <cell r="AN215">
            <v>0.45400000000000001</v>
          </cell>
          <cell r="AO215">
            <v>0.45700000000000002</v>
          </cell>
          <cell r="AP215">
            <v>0.47899999999999998</v>
          </cell>
          <cell r="AQ215">
            <v>0.45900000000000002</v>
          </cell>
          <cell r="AR215">
            <v>0.52</v>
          </cell>
          <cell r="AS215">
            <v>0.45500000000000002</v>
          </cell>
          <cell r="AT215">
            <v>0.43099999999999999</v>
          </cell>
          <cell r="AW215">
            <v>0.51400000000000001</v>
          </cell>
          <cell r="AX215">
            <v>0.45400000000000001</v>
          </cell>
          <cell r="AY215">
            <v>0.45700000000000002</v>
          </cell>
          <cell r="AZ215">
            <v>0.45900000000000002</v>
          </cell>
          <cell r="BB215">
            <v>0.52</v>
          </cell>
          <cell r="BC215">
            <v>0.45500000000000002</v>
          </cell>
          <cell r="BD215">
            <v>0.43099999999999999</v>
          </cell>
          <cell r="BE215">
            <v>0.45100000000000001</v>
          </cell>
          <cell r="BF215">
            <v>0.45800000000000002</v>
          </cell>
          <cell r="BG215">
            <v>0.505</v>
          </cell>
          <cell r="BH215">
            <v>0.44800000000000001</v>
          </cell>
          <cell r="BI215">
            <v>0.438</v>
          </cell>
          <cell r="BJ215">
            <v>0.44600000000000001</v>
          </cell>
          <cell r="BK215">
            <v>0.45600000000000002</v>
          </cell>
          <cell r="BL215">
            <v>0.48699999999999999</v>
          </cell>
          <cell r="BM215">
            <v>0.44800000000000001</v>
          </cell>
          <cell r="BN215">
            <v>0.43</v>
          </cell>
          <cell r="BO215">
            <v>0.44</v>
          </cell>
          <cell r="BP215">
            <v>0.45</v>
          </cell>
          <cell r="BQ215">
            <v>0.51100000000000001</v>
          </cell>
          <cell r="BR215">
            <v>0.443</v>
          </cell>
          <cell r="BS215">
            <v>0.42199999999999999</v>
          </cell>
          <cell r="BT215">
            <v>0.44700000000000001</v>
          </cell>
          <cell r="BU215">
            <v>0.45100000000000001</v>
          </cell>
          <cell r="BV215">
            <v>0.499</v>
          </cell>
          <cell r="BW215">
            <v>0.45100000000000001</v>
          </cell>
          <cell r="BX215">
            <v>0.42499999999999999</v>
          </cell>
          <cell r="BY215">
            <v>0.443</v>
          </cell>
          <cell r="BZ215">
            <v>0.45</v>
          </cell>
          <cell r="CA215">
            <v>0.49099999999999999</v>
          </cell>
          <cell r="CB215">
            <v>0.439</v>
          </cell>
          <cell r="CC215">
            <v>0.41699999999999998</v>
          </cell>
          <cell r="CD215">
            <v>0.42699999999999999</v>
          </cell>
          <cell r="CE215">
            <v>0.439</v>
          </cell>
          <cell r="CF215">
            <v>0.48199999999999998</v>
          </cell>
          <cell r="CG215">
            <v>0.42699999999999999</v>
          </cell>
          <cell r="CH215">
            <v>0.41099999999999998</v>
          </cell>
        </row>
        <row r="216">
          <cell r="B216" t="str">
            <v>Patient days</v>
          </cell>
          <cell r="D216">
            <v>233607</v>
          </cell>
          <cell r="E216">
            <v>254754</v>
          </cell>
          <cell r="F216">
            <v>290026</v>
          </cell>
          <cell r="G216">
            <v>284168</v>
          </cell>
          <cell r="H216">
            <v>317636</v>
          </cell>
          <cell r="I216">
            <v>340485</v>
          </cell>
          <cell r="J216">
            <v>419418</v>
          </cell>
          <cell r="K216">
            <v>494977</v>
          </cell>
          <cell r="L216">
            <v>615248</v>
          </cell>
          <cell r="M216">
            <v>161915</v>
          </cell>
          <cell r="N216">
            <v>188740</v>
          </cell>
          <cell r="O216">
            <v>181338</v>
          </cell>
          <cell r="P216" t="str">
            <v>ND</v>
          </cell>
          <cell r="Q216">
            <v>718035</v>
          </cell>
          <cell r="R216">
            <v>209431</v>
          </cell>
          <cell r="S216">
            <v>213763</v>
          </cell>
          <cell r="T216">
            <v>187273</v>
          </cell>
          <cell r="U216" t="str">
            <v>ND</v>
          </cell>
          <cell r="V216">
            <v>791617</v>
          </cell>
          <cell r="W216">
            <v>209431</v>
          </cell>
          <cell r="X216">
            <v>238835</v>
          </cell>
          <cell r="Y216">
            <v>216296</v>
          </cell>
          <cell r="Z216" t="str">
            <v>ND</v>
          </cell>
          <cell r="AA216">
            <v>880624</v>
          </cell>
          <cell r="AB216">
            <v>223702</v>
          </cell>
          <cell r="AC216">
            <v>269317</v>
          </cell>
          <cell r="AD216">
            <v>253049</v>
          </cell>
          <cell r="AE216">
            <v>254412</v>
          </cell>
          <cell r="AF216">
            <v>1000480</v>
          </cell>
          <cell r="AG216">
            <v>262347</v>
          </cell>
          <cell r="AH216">
            <v>286523</v>
          </cell>
          <cell r="AI216">
            <v>264548</v>
          </cell>
          <cell r="AJ216">
            <v>266447</v>
          </cell>
          <cell r="AK216">
            <v>1079865</v>
          </cell>
          <cell r="AL216">
            <v>317652</v>
          </cell>
          <cell r="AM216">
            <v>353030</v>
          </cell>
          <cell r="AN216">
            <v>312639</v>
          </cell>
          <cell r="AO216">
            <v>302283</v>
          </cell>
          <cell r="AP216">
            <v>1275838</v>
          </cell>
          <cell r="AQ216">
            <v>315105</v>
          </cell>
          <cell r="AR216">
            <v>359930</v>
          </cell>
          <cell r="AS216">
            <v>342392</v>
          </cell>
          <cell r="AT216">
            <v>305534</v>
          </cell>
          <cell r="AW216">
            <v>353030</v>
          </cell>
          <cell r="AX216">
            <v>312639</v>
          </cell>
          <cell r="AY216">
            <v>302283</v>
          </cell>
          <cell r="AZ216">
            <v>315105</v>
          </cell>
          <cell r="BA216">
            <v>1283057</v>
          </cell>
          <cell r="BB216">
            <v>359930</v>
          </cell>
          <cell r="BC216">
            <v>342392</v>
          </cell>
          <cell r="BD216">
            <v>305534</v>
          </cell>
          <cell r="BE216">
            <v>314959</v>
          </cell>
          <cell r="BF216">
            <v>1289712</v>
          </cell>
          <cell r="BG216">
            <v>363862</v>
          </cell>
          <cell r="BH216">
            <v>325842</v>
          </cell>
          <cell r="BI216">
            <v>319833</v>
          </cell>
          <cell r="BJ216">
            <v>329575</v>
          </cell>
          <cell r="BK216">
            <v>1340873</v>
          </cell>
          <cell r="BL216">
            <v>354335</v>
          </cell>
          <cell r="BM216">
            <v>323639</v>
          </cell>
          <cell r="BN216">
            <v>314093</v>
          </cell>
          <cell r="BO216">
            <v>320962</v>
          </cell>
          <cell r="BP216">
            <v>1313029</v>
          </cell>
          <cell r="BQ216">
            <v>365774</v>
          </cell>
          <cell r="BR216">
            <v>317431</v>
          </cell>
          <cell r="BS216">
            <v>298107</v>
          </cell>
          <cell r="BT216">
            <v>317953</v>
          </cell>
          <cell r="BU216">
            <v>1285504</v>
          </cell>
          <cell r="BV216">
            <v>350441</v>
          </cell>
          <cell r="BW216">
            <v>319848</v>
          </cell>
          <cell r="BX216">
            <v>306871</v>
          </cell>
          <cell r="BY216">
            <v>320560</v>
          </cell>
          <cell r="BZ216">
            <v>1283188</v>
          </cell>
          <cell r="CA216">
            <v>362393</v>
          </cell>
          <cell r="CB216">
            <v>326981</v>
          </cell>
          <cell r="CC216">
            <v>319327</v>
          </cell>
          <cell r="CD216">
            <v>342909</v>
          </cell>
          <cell r="CE216">
            <v>1350697</v>
          </cell>
          <cell r="CF216">
            <v>380543</v>
          </cell>
          <cell r="CG216">
            <v>343107</v>
          </cell>
          <cell r="CH216">
            <v>335934</v>
          </cell>
        </row>
        <row r="217">
          <cell r="B217" t="str">
            <v>Admissions</v>
          </cell>
          <cell r="D217">
            <v>36412</v>
          </cell>
          <cell r="E217">
            <v>40217</v>
          </cell>
          <cell r="F217">
            <v>46756</v>
          </cell>
          <cell r="G217">
            <v>48826</v>
          </cell>
          <cell r="H217">
            <v>55985</v>
          </cell>
          <cell r="I217">
            <v>63729</v>
          </cell>
          <cell r="J217">
            <v>82701</v>
          </cell>
          <cell r="K217">
            <v>100677</v>
          </cell>
          <cell r="L217">
            <v>123713</v>
          </cell>
          <cell r="M217" t="str">
            <v>ND</v>
          </cell>
          <cell r="N217" t="str">
            <v>ND</v>
          </cell>
          <cell r="O217" t="str">
            <v>ND</v>
          </cell>
          <cell r="P217" t="str">
            <v>ND</v>
          </cell>
          <cell r="Q217">
            <v>143078</v>
          </cell>
          <cell r="R217" t="str">
            <v>ND</v>
          </cell>
          <cell r="S217" t="str">
            <v>ND</v>
          </cell>
          <cell r="T217" t="str">
            <v>ND</v>
          </cell>
          <cell r="U217" t="str">
            <v>ND</v>
          </cell>
          <cell r="V217">
            <v>161855</v>
          </cell>
          <cell r="W217" t="str">
            <v>ND</v>
          </cell>
          <cell r="X217" t="str">
            <v>ND</v>
          </cell>
          <cell r="Y217" t="str">
            <v>ND</v>
          </cell>
          <cell r="Z217" t="str">
            <v>ND</v>
          </cell>
          <cell r="AA217">
            <v>187062</v>
          </cell>
          <cell r="AB217" t="str">
            <v>ND</v>
          </cell>
          <cell r="AC217">
            <v>56970</v>
          </cell>
          <cell r="AD217" t="str">
            <v>ND</v>
          </cell>
          <cell r="AE217">
            <v>56530</v>
          </cell>
          <cell r="AF217">
            <v>216256</v>
          </cell>
          <cell r="AG217">
            <v>57984</v>
          </cell>
          <cell r="AH217">
            <v>61228</v>
          </cell>
          <cell r="AI217">
            <v>56974</v>
          </cell>
          <cell r="AJ217">
            <v>59248</v>
          </cell>
          <cell r="AK217">
            <v>235434</v>
          </cell>
          <cell r="AL217">
            <v>70018</v>
          </cell>
          <cell r="AM217">
            <v>76152</v>
          </cell>
          <cell r="AN217">
            <v>69427</v>
          </cell>
          <cell r="AO217">
            <v>68306</v>
          </cell>
          <cell r="AP217">
            <v>281549</v>
          </cell>
          <cell r="AQ217">
            <v>70760</v>
          </cell>
          <cell r="AR217">
            <v>79116</v>
          </cell>
          <cell r="AS217">
            <v>76088</v>
          </cell>
          <cell r="AT217">
            <v>72740</v>
          </cell>
          <cell r="AW217">
            <v>76152</v>
          </cell>
          <cell r="AX217">
            <v>69427</v>
          </cell>
          <cell r="AY217">
            <v>68306</v>
          </cell>
          <cell r="AZ217">
            <v>70760</v>
          </cell>
          <cell r="BA217">
            <v>284645</v>
          </cell>
          <cell r="BB217">
            <v>79116</v>
          </cell>
          <cell r="BC217">
            <v>76088</v>
          </cell>
          <cell r="BD217">
            <v>72740</v>
          </cell>
          <cell r="BE217">
            <v>74437</v>
          </cell>
          <cell r="BF217">
            <v>301332</v>
          </cell>
          <cell r="BG217">
            <v>83166</v>
          </cell>
          <cell r="BH217">
            <v>76471</v>
          </cell>
          <cell r="BI217">
            <v>76013</v>
          </cell>
          <cell r="BJ217">
            <v>78576</v>
          </cell>
          <cell r="BK217">
            <v>314914</v>
          </cell>
          <cell r="BL217">
            <v>82531</v>
          </cell>
          <cell r="BM217">
            <v>76757</v>
          </cell>
          <cell r="BN217">
            <v>74904</v>
          </cell>
          <cell r="BO217">
            <v>76705</v>
          </cell>
          <cell r="BP217">
            <v>310897</v>
          </cell>
          <cell r="BQ217">
            <v>83551</v>
          </cell>
          <cell r="BR217">
            <v>73809</v>
          </cell>
          <cell r="BS217">
            <v>71063</v>
          </cell>
          <cell r="BT217">
            <v>75096</v>
          </cell>
          <cell r="BU217">
            <v>300339</v>
          </cell>
          <cell r="BV217">
            <v>81788</v>
          </cell>
          <cell r="BW217">
            <v>76120</v>
          </cell>
          <cell r="BX217">
            <v>74890</v>
          </cell>
          <cell r="BY217">
            <v>76515</v>
          </cell>
          <cell r="BZ217">
            <v>306770</v>
          </cell>
          <cell r="CA217">
            <v>84766</v>
          </cell>
          <cell r="CB217">
            <v>79028</v>
          </cell>
          <cell r="CC217">
            <v>77626</v>
          </cell>
          <cell r="CD217">
            <v>82734</v>
          </cell>
          <cell r="CE217">
            <v>323917</v>
          </cell>
          <cell r="CF217">
            <v>88143</v>
          </cell>
          <cell r="CG217">
            <v>80753</v>
          </cell>
          <cell r="CH217">
            <v>81411</v>
          </cell>
        </row>
        <row r="218">
          <cell r="B218" t="str">
            <v>Adjusted admissions</v>
          </cell>
          <cell r="D218" t="str">
            <v>ND</v>
          </cell>
          <cell r="E218" t="str">
            <v>ND</v>
          </cell>
          <cell r="F218" t="str">
            <v>ND</v>
          </cell>
          <cell r="G218" t="str">
            <v>ND</v>
          </cell>
          <cell r="H218" t="str">
            <v>ND</v>
          </cell>
          <cell r="I218" t="str">
            <v>ND</v>
          </cell>
          <cell r="J218" t="str">
            <v>ND</v>
          </cell>
          <cell r="K218" t="str">
            <v>ND</v>
          </cell>
          <cell r="L218" t="str">
            <v>ND</v>
          </cell>
          <cell r="M218" t="str">
            <v>ND</v>
          </cell>
          <cell r="N218" t="str">
            <v>ND</v>
          </cell>
          <cell r="O218" t="str">
            <v>ND</v>
          </cell>
          <cell r="P218" t="str">
            <v>ND</v>
          </cell>
          <cell r="Q218" t="str">
            <v>ND</v>
          </cell>
          <cell r="R218" t="str">
            <v>ND</v>
          </cell>
          <cell r="S218" t="str">
            <v>ND</v>
          </cell>
          <cell r="T218" t="str">
            <v>ND</v>
          </cell>
          <cell r="U218" t="str">
            <v>ND</v>
          </cell>
          <cell r="V218" t="str">
            <v>ND</v>
          </cell>
          <cell r="W218" t="str">
            <v>ND</v>
          </cell>
          <cell r="X218" t="str">
            <v>ND</v>
          </cell>
          <cell r="Y218" t="str">
            <v>ND</v>
          </cell>
          <cell r="Z218" t="str">
            <v>ND</v>
          </cell>
          <cell r="AA218" t="str">
            <v>ND</v>
          </cell>
          <cell r="AB218" t="str">
            <v>ND</v>
          </cell>
          <cell r="AC218">
            <v>88894</v>
          </cell>
          <cell r="AD218" t="str">
            <v>ND</v>
          </cell>
          <cell r="AE218">
            <v>90706</v>
          </cell>
          <cell r="AF218">
            <v>344155</v>
          </cell>
          <cell r="AG218">
            <v>91523</v>
          </cell>
          <cell r="AH218">
            <v>95235</v>
          </cell>
          <cell r="AI218">
            <v>91530</v>
          </cell>
          <cell r="AJ218">
            <v>96154</v>
          </cell>
          <cell r="AK218">
            <v>374392</v>
          </cell>
          <cell r="AL218">
            <v>111533</v>
          </cell>
          <cell r="AM218">
            <v>121129</v>
          </cell>
          <cell r="AN218">
            <v>114905</v>
          </cell>
          <cell r="AO218">
            <v>113411</v>
          </cell>
          <cell r="AP218">
            <v>456076</v>
          </cell>
          <cell r="AQ218">
            <v>115827</v>
          </cell>
          <cell r="AR218">
            <v>131277</v>
          </cell>
          <cell r="AS218">
            <v>128666</v>
          </cell>
          <cell r="AT218">
            <v>123565</v>
          </cell>
          <cell r="AW218">
            <v>121129</v>
          </cell>
          <cell r="AX218">
            <v>114905</v>
          </cell>
          <cell r="AY218">
            <v>113411</v>
          </cell>
          <cell r="AZ218">
            <v>115827</v>
          </cell>
          <cell r="BA218">
            <v>465272</v>
          </cell>
          <cell r="BB218">
            <v>131277</v>
          </cell>
          <cell r="BC218">
            <v>128666</v>
          </cell>
          <cell r="BD218">
            <v>123565</v>
          </cell>
          <cell r="BE218">
            <v>123430</v>
          </cell>
          <cell r="BF218">
            <v>497946</v>
          </cell>
          <cell r="BG218">
            <v>135627</v>
          </cell>
          <cell r="BH218">
            <v>133489</v>
          </cell>
          <cell r="BI218">
            <v>129411</v>
          </cell>
          <cell r="BJ218">
            <v>133422</v>
          </cell>
          <cell r="BK218">
            <v>529528</v>
          </cell>
          <cell r="BL218">
            <v>137571</v>
          </cell>
          <cell r="BM218">
            <v>131684</v>
          </cell>
          <cell r="BN218">
            <v>130468</v>
          </cell>
          <cell r="BO218">
            <v>131472</v>
          </cell>
          <cell r="BP218">
            <v>533064</v>
          </cell>
          <cell r="BQ218">
            <v>140515</v>
          </cell>
          <cell r="BR218">
            <v>129646</v>
          </cell>
          <cell r="BS218">
            <v>126237</v>
          </cell>
          <cell r="BT218">
            <v>129419</v>
          </cell>
          <cell r="BU218">
            <v>519407</v>
          </cell>
          <cell r="BV218">
            <v>137480</v>
          </cell>
          <cell r="BW218">
            <v>132719</v>
          </cell>
          <cell r="BX218">
            <v>135033</v>
          </cell>
          <cell r="BY218">
            <v>134977</v>
          </cell>
          <cell r="BZ218">
            <v>534917</v>
          </cell>
          <cell r="CA218">
            <v>147365</v>
          </cell>
          <cell r="CB218">
            <v>143338</v>
          </cell>
          <cell r="CC218">
            <v>144133</v>
          </cell>
          <cell r="CD218">
            <v>151548</v>
          </cell>
          <cell r="CE218">
            <v>586060</v>
          </cell>
          <cell r="CF218">
            <v>159044</v>
          </cell>
          <cell r="CG218">
            <v>152216</v>
          </cell>
          <cell r="CH218">
            <v>155097</v>
          </cell>
        </row>
        <row r="219">
          <cell r="B219" t="str">
            <v>Average length of stay</v>
          </cell>
          <cell r="D219">
            <v>5.6</v>
          </cell>
          <cell r="E219">
            <v>5.5</v>
          </cell>
          <cell r="F219">
            <v>5.6</v>
          </cell>
          <cell r="G219">
            <v>5.3</v>
          </cell>
          <cell r="H219">
            <v>5.3</v>
          </cell>
          <cell r="I219">
            <v>4.9000000000000004</v>
          </cell>
          <cell r="J219">
            <v>4.7</v>
          </cell>
          <cell r="K219">
            <v>4.5999999999999996</v>
          </cell>
          <cell r="L219">
            <v>4.5999999999999996</v>
          </cell>
          <cell r="M219" t="str">
            <v>ND</v>
          </cell>
          <cell r="N219" t="str">
            <v>ND</v>
          </cell>
          <cell r="O219" t="str">
            <v>ND</v>
          </cell>
          <cell r="P219" t="str">
            <v>ND</v>
          </cell>
          <cell r="Q219">
            <v>4.5</v>
          </cell>
          <cell r="R219" t="str">
            <v>ND</v>
          </cell>
          <cell r="S219" t="str">
            <v>ND</v>
          </cell>
          <cell r="T219" t="str">
            <v>ND</v>
          </cell>
          <cell r="U219" t="str">
            <v>ND</v>
          </cell>
          <cell r="V219">
            <v>4.5</v>
          </cell>
          <cell r="W219" t="str">
            <v>ND</v>
          </cell>
          <cell r="X219" t="str">
            <v>ND</v>
          </cell>
          <cell r="Y219" t="str">
            <v>ND</v>
          </cell>
          <cell r="Z219" t="str">
            <v>ND</v>
          </cell>
          <cell r="AA219">
            <v>4.5</v>
          </cell>
          <cell r="AB219" t="str">
            <v>ND</v>
          </cell>
          <cell r="AC219">
            <v>4.7</v>
          </cell>
          <cell r="AD219" t="str">
            <v>ND</v>
          </cell>
          <cell r="AE219">
            <v>4.5</v>
          </cell>
          <cell r="AF219">
            <v>4.4000000000000004</v>
          </cell>
          <cell r="AG219">
            <v>4.5</v>
          </cell>
          <cell r="AH219">
            <v>4.7</v>
          </cell>
          <cell r="AI219">
            <v>4.5999999999999996</v>
          </cell>
          <cell r="AJ219">
            <v>4.5</v>
          </cell>
          <cell r="AK219">
            <v>4.5999999999999996</v>
          </cell>
          <cell r="AL219">
            <v>4.5</v>
          </cell>
          <cell r="AM219">
            <v>4.5999999999999996</v>
          </cell>
          <cell r="AN219">
            <v>4.5</v>
          </cell>
          <cell r="AO219">
            <v>4.4000000000000004</v>
          </cell>
          <cell r="AP219">
            <v>4.5</v>
          </cell>
          <cell r="AQ219" t="str">
            <v>ND</v>
          </cell>
          <cell r="AR219">
            <v>4.5</v>
          </cell>
          <cell r="AS219">
            <v>4.5</v>
          </cell>
          <cell r="AT219">
            <v>4.2</v>
          </cell>
          <cell r="AW219">
            <v>4.5999999999999996</v>
          </cell>
          <cell r="AX219">
            <v>4.5</v>
          </cell>
          <cell r="AY219">
            <v>4.4000000000000004</v>
          </cell>
          <cell r="AZ219" t="str">
            <v>ND</v>
          </cell>
          <cell r="BB219">
            <v>4.5</v>
          </cell>
          <cell r="BC219">
            <v>4.5</v>
          </cell>
          <cell r="BD219">
            <v>4.2</v>
          </cell>
          <cell r="BE219">
            <v>4.2</v>
          </cell>
          <cell r="BF219">
            <v>4.3</v>
          </cell>
          <cell r="BG219">
            <v>4.4000000000000004</v>
          </cell>
          <cell r="BH219">
            <v>4.3</v>
          </cell>
          <cell r="BI219">
            <v>4.2</v>
          </cell>
          <cell r="BJ219">
            <v>4.2</v>
          </cell>
          <cell r="BK219">
            <v>4.3</v>
          </cell>
          <cell r="BL219">
            <v>4.3</v>
          </cell>
          <cell r="BM219">
            <v>4.2</v>
          </cell>
          <cell r="BN219">
            <v>4.2</v>
          </cell>
          <cell r="BO219">
            <v>4.2</v>
          </cell>
          <cell r="BP219">
            <v>4.2</v>
          </cell>
          <cell r="BQ219">
            <v>4.4000000000000004</v>
          </cell>
          <cell r="BR219">
            <v>4.3</v>
          </cell>
          <cell r="BS219">
            <v>4.2</v>
          </cell>
          <cell r="BT219">
            <v>4.2</v>
          </cell>
          <cell r="BU219">
            <v>4.3</v>
          </cell>
          <cell r="BV219">
            <v>4.3</v>
          </cell>
          <cell r="BW219">
            <v>4.2</v>
          </cell>
          <cell r="BX219">
            <v>4.0999999999999996</v>
          </cell>
          <cell r="BY219">
            <v>4.2</v>
          </cell>
          <cell r="BZ219">
            <v>4.2</v>
          </cell>
          <cell r="CA219">
            <v>4.3</v>
          </cell>
          <cell r="CB219">
            <v>4.0999999999999996</v>
          </cell>
          <cell r="CC219">
            <v>4.0999999999999996</v>
          </cell>
          <cell r="CD219">
            <v>4.0999999999999996</v>
          </cell>
          <cell r="CE219">
            <v>4.2</v>
          </cell>
          <cell r="CF219">
            <v>5</v>
          </cell>
          <cell r="CG219">
            <v>4.2</v>
          </cell>
          <cell r="CH219">
            <v>4.0999999999999996</v>
          </cell>
        </row>
        <row r="220">
          <cell r="B220" t="str">
            <v>Surgeries</v>
          </cell>
          <cell r="D220" t="str">
            <v>ND</v>
          </cell>
          <cell r="E220" t="str">
            <v>ND</v>
          </cell>
          <cell r="F220" t="str">
            <v>ND</v>
          </cell>
          <cell r="G220" t="str">
            <v>ND</v>
          </cell>
          <cell r="H220" t="str">
            <v>ND</v>
          </cell>
          <cell r="I220" t="str">
            <v>ND</v>
          </cell>
          <cell r="J220" t="str">
            <v>ND</v>
          </cell>
          <cell r="K220" t="str">
            <v>ND</v>
          </cell>
          <cell r="L220" t="str">
            <v>ND</v>
          </cell>
          <cell r="M220" t="str">
            <v>ND</v>
          </cell>
          <cell r="N220" t="str">
            <v>ND</v>
          </cell>
          <cell r="O220" t="str">
            <v>ND</v>
          </cell>
          <cell r="P220" t="str">
            <v>ND</v>
          </cell>
          <cell r="Q220" t="str">
            <v>ND</v>
          </cell>
          <cell r="R220" t="str">
            <v>ND</v>
          </cell>
          <cell r="S220" t="str">
            <v>ND</v>
          </cell>
          <cell r="T220" t="str">
            <v>ND</v>
          </cell>
          <cell r="U220" t="str">
            <v>ND</v>
          </cell>
          <cell r="V220" t="str">
            <v>ND</v>
          </cell>
          <cell r="W220" t="str">
            <v>ND</v>
          </cell>
          <cell r="X220" t="str">
            <v>ND</v>
          </cell>
          <cell r="Y220" t="str">
            <v>ND</v>
          </cell>
          <cell r="Z220" t="str">
            <v>ND</v>
          </cell>
          <cell r="AA220" t="str">
            <v>ND</v>
          </cell>
          <cell r="AB220" t="str">
            <v>ND</v>
          </cell>
          <cell r="AC220">
            <v>50734</v>
          </cell>
          <cell r="AD220" t="str">
            <v>ND</v>
          </cell>
          <cell r="AE220">
            <v>51356</v>
          </cell>
          <cell r="AF220">
            <v>203502</v>
          </cell>
          <cell r="AG220">
            <v>51684</v>
          </cell>
          <cell r="AH220">
            <v>53099</v>
          </cell>
          <cell r="AI220">
            <v>52678</v>
          </cell>
          <cell r="AJ220">
            <v>53083</v>
          </cell>
          <cell r="AK220">
            <v>210422</v>
          </cell>
          <cell r="AL220">
            <v>57064</v>
          </cell>
          <cell r="AM220">
            <v>62242</v>
          </cell>
          <cell r="AN220">
            <v>60308</v>
          </cell>
          <cell r="AO220">
            <v>59061</v>
          </cell>
          <cell r="AP220">
            <v>236767</v>
          </cell>
          <cell r="AQ220">
            <v>60728</v>
          </cell>
          <cell r="AR220">
            <v>66953</v>
          </cell>
          <cell r="AS220">
            <v>69316</v>
          </cell>
          <cell r="AT220">
            <v>66546</v>
          </cell>
          <cell r="AW220">
            <v>62242</v>
          </cell>
          <cell r="AX220">
            <v>60308</v>
          </cell>
          <cell r="AY220">
            <v>59061</v>
          </cell>
          <cell r="AZ220">
            <v>60728</v>
          </cell>
          <cell r="BA220">
            <v>242339</v>
          </cell>
          <cell r="BB220">
            <v>66953</v>
          </cell>
          <cell r="BC220">
            <v>69316</v>
          </cell>
          <cell r="BD220">
            <v>66546</v>
          </cell>
          <cell r="BE220">
            <v>66095</v>
          </cell>
          <cell r="BF220">
            <v>265442</v>
          </cell>
          <cell r="BG220">
            <v>73353</v>
          </cell>
          <cell r="BH220">
            <v>70935</v>
          </cell>
          <cell r="BI220">
            <v>68949</v>
          </cell>
          <cell r="BJ220">
            <v>69828</v>
          </cell>
          <cell r="BK220">
            <v>285144</v>
          </cell>
          <cell r="BL220">
            <v>70615</v>
          </cell>
          <cell r="BM220">
            <v>70187</v>
          </cell>
          <cell r="BN220">
            <v>69288</v>
          </cell>
          <cell r="BO220">
            <v>69473</v>
          </cell>
          <cell r="BP220">
            <v>279563</v>
          </cell>
          <cell r="BQ220">
            <v>70533</v>
          </cell>
          <cell r="BR220">
            <v>69692</v>
          </cell>
          <cell r="BS220">
            <v>66438</v>
          </cell>
          <cell r="BT220">
            <v>66450</v>
          </cell>
          <cell r="BU220">
            <v>269712</v>
          </cell>
          <cell r="BV220">
            <v>72963</v>
          </cell>
          <cell r="BW220">
            <v>73152</v>
          </cell>
          <cell r="BX220">
            <v>71317</v>
          </cell>
          <cell r="BY220">
            <v>70824</v>
          </cell>
          <cell r="BZ220">
            <v>282680</v>
          </cell>
          <cell r="CA220">
            <v>78126</v>
          </cell>
          <cell r="CB220">
            <v>78116</v>
          </cell>
          <cell r="CC220">
            <v>77922</v>
          </cell>
          <cell r="CD220">
            <v>80869</v>
          </cell>
          <cell r="CE220">
            <v>314564</v>
          </cell>
          <cell r="CF220">
            <v>82824</v>
          </cell>
          <cell r="CG220">
            <v>82509</v>
          </cell>
          <cell r="CH220">
            <v>81665</v>
          </cell>
        </row>
        <row r="221">
          <cell r="B221" t="str">
            <v>Emergency room visits</v>
          </cell>
          <cell r="D221" t="str">
            <v>ND</v>
          </cell>
          <cell r="E221" t="str">
            <v>ND</v>
          </cell>
          <cell r="F221" t="str">
            <v>ND</v>
          </cell>
          <cell r="G221" t="str">
            <v>ND</v>
          </cell>
          <cell r="H221" t="str">
            <v>ND</v>
          </cell>
          <cell r="I221" t="str">
            <v>ND</v>
          </cell>
          <cell r="J221" t="str">
            <v>ND</v>
          </cell>
          <cell r="K221" t="str">
            <v>ND</v>
          </cell>
          <cell r="L221" t="str">
            <v>ND</v>
          </cell>
          <cell r="M221" t="str">
            <v>ND</v>
          </cell>
          <cell r="N221" t="str">
            <v>ND</v>
          </cell>
          <cell r="O221" t="str">
            <v>ND</v>
          </cell>
          <cell r="P221" t="str">
            <v>ND</v>
          </cell>
          <cell r="Q221" t="str">
            <v>ND</v>
          </cell>
          <cell r="R221" t="str">
            <v>ND</v>
          </cell>
          <cell r="S221" t="str">
            <v>ND</v>
          </cell>
          <cell r="T221" t="str">
            <v>ND</v>
          </cell>
          <cell r="U221" t="str">
            <v>ND</v>
          </cell>
          <cell r="V221" t="str">
            <v>ND</v>
          </cell>
          <cell r="W221" t="str">
            <v>ND</v>
          </cell>
          <cell r="X221" t="str">
            <v>ND</v>
          </cell>
          <cell r="Y221" t="str">
            <v>ND</v>
          </cell>
          <cell r="Z221" t="str">
            <v>ND</v>
          </cell>
          <cell r="AA221" t="str">
            <v>ND</v>
          </cell>
          <cell r="AB221" t="str">
            <v>ND</v>
          </cell>
          <cell r="AC221" t="str">
            <v>ND</v>
          </cell>
          <cell r="AD221" t="str">
            <v>ND</v>
          </cell>
          <cell r="AE221" t="str">
            <v>ND</v>
          </cell>
          <cell r="AF221" t="str">
            <v>ND</v>
          </cell>
          <cell r="AG221" t="str">
            <v>ND</v>
          </cell>
          <cell r="AH221" t="str">
            <v>ND</v>
          </cell>
          <cell r="AI221" t="str">
            <v>ND</v>
          </cell>
          <cell r="AJ221" t="str">
            <v>ND</v>
          </cell>
          <cell r="AK221" t="str">
            <v>ND</v>
          </cell>
          <cell r="AL221" t="str">
            <v>ND</v>
          </cell>
          <cell r="AM221" t="str">
            <v>ND</v>
          </cell>
          <cell r="AN221" t="str">
            <v>ND</v>
          </cell>
          <cell r="AO221" t="str">
            <v>ND</v>
          </cell>
          <cell r="AP221" t="str">
            <v>ND</v>
          </cell>
          <cell r="AQ221" t="str">
            <v>ND</v>
          </cell>
          <cell r="AR221" t="str">
            <v>ND</v>
          </cell>
          <cell r="AS221" t="str">
            <v>ND</v>
          </cell>
          <cell r="AT221" t="str">
            <v>ND</v>
          </cell>
          <cell r="AW221" t="str">
            <v>ND</v>
          </cell>
          <cell r="AX221" t="str">
            <v>ND</v>
          </cell>
          <cell r="AY221" t="str">
            <v>ND</v>
          </cell>
          <cell r="AZ221" t="str">
            <v>ND</v>
          </cell>
          <cell r="BB221" t="str">
            <v>ND</v>
          </cell>
          <cell r="BC221" t="str">
            <v>ND</v>
          </cell>
          <cell r="BD221" t="str">
            <v>ND</v>
          </cell>
          <cell r="BE221" t="str">
            <v>ND</v>
          </cell>
          <cell r="BF221">
            <v>333356</v>
          </cell>
          <cell r="BG221">
            <v>339286</v>
          </cell>
          <cell r="BH221">
            <v>325303</v>
          </cell>
          <cell r="BI221">
            <v>324262</v>
          </cell>
          <cell r="BJ221">
            <v>337341</v>
          </cell>
          <cell r="BK221">
            <v>1326192</v>
          </cell>
          <cell r="BL221">
            <v>338548</v>
          </cell>
          <cell r="BM221">
            <v>325367</v>
          </cell>
          <cell r="BN221">
            <v>330937</v>
          </cell>
          <cell r="BO221">
            <v>335735</v>
          </cell>
          <cell r="BP221">
            <v>1330587</v>
          </cell>
          <cell r="BQ221">
            <v>363356</v>
          </cell>
          <cell r="BR221">
            <v>330416</v>
          </cell>
          <cell r="BS221">
            <v>314750</v>
          </cell>
          <cell r="BT221">
            <v>316746</v>
          </cell>
          <cell r="BU221">
            <v>1300216</v>
          </cell>
          <cell r="BV221">
            <v>342640</v>
          </cell>
          <cell r="BW221">
            <v>336117</v>
          </cell>
          <cell r="BX221">
            <v>355213</v>
          </cell>
          <cell r="BY221">
            <v>337909</v>
          </cell>
          <cell r="BZ221">
            <v>1360595</v>
          </cell>
          <cell r="CA221">
            <v>343256</v>
          </cell>
          <cell r="CB221">
            <v>345077</v>
          </cell>
          <cell r="CC221">
            <v>356935</v>
          </cell>
          <cell r="CD221">
            <v>370821</v>
          </cell>
          <cell r="CE221">
            <v>1413831</v>
          </cell>
          <cell r="CF221">
            <v>390737</v>
          </cell>
          <cell r="CG221">
            <v>378125</v>
          </cell>
          <cell r="CH221">
            <v>376539</v>
          </cell>
        </row>
        <row r="222">
          <cell r="B222" t="str">
            <v>Net revenue (in thousands)</v>
          </cell>
          <cell r="D222" t="str">
            <v>ND</v>
          </cell>
          <cell r="E222" t="str">
            <v>ND</v>
          </cell>
          <cell r="F222" t="str">
            <v>ND</v>
          </cell>
          <cell r="G222" t="str">
            <v>ND</v>
          </cell>
          <cell r="H222" t="str">
            <v>ND</v>
          </cell>
          <cell r="I222" t="str">
            <v>ND</v>
          </cell>
          <cell r="J222" t="str">
            <v>ND</v>
          </cell>
          <cell r="K222" t="str">
            <v>ND</v>
          </cell>
          <cell r="L222" t="str">
            <v>ND</v>
          </cell>
          <cell r="M222" t="str">
            <v>ND</v>
          </cell>
          <cell r="N222" t="str">
            <v>ND</v>
          </cell>
          <cell r="O222" t="str">
            <v>ND</v>
          </cell>
          <cell r="P222" t="str">
            <v>ND</v>
          </cell>
          <cell r="Q222" t="str">
            <v>ND</v>
          </cell>
          <cell r="R222" t="str">
            <v>ND</v>
          </cell>
          <cell r="S222" t="str">
            <v>ND</v>
          </cell>
          <cell r="T222" t="str">
            <v>ND</v>
          </cell>
          <cell r="U222" t="str">
            <v>ND</v>
          </cell>
          <cell r="V222" t="str">
            <v>ND</v>
          </cell>
          <cell r="W222" t="str">
            <v>ND</v>
          </cell>
          <cell r="X222" t="str">
            <v>ND</v>
          </cell>
          <cell r="Y222" t="str">
            <v>ND</v>
          </cell>
          <cell r="Z222" t="str">
            <v>ND</v>
          </cell>
          <cell r="AA222" t="str">
            <v>ND</v>
          </cell>
          <cell r="AB222" t="str">
            <v>ND</v>
          </cell>
          <cell r="AC222" t="str">
            <v>ND</v>
          </cell>
          <cell r="AD222" t="str">
            <v>ND</v>
          </cell>
          <cell r="AE222" t="str">
            <v>ND</v>
          </cell>
          <cell r="AF222" t="str">
            <v>ND</v>
          </cell>
          <cell r="AG222" t="str">
            <v>ND</v>
          </cell>
          <cell r="AH222" t="str">
            <v>ND</v>
          </cell>
          <cell r="AI222" t="str">
            <v>ND</v>
          </cell>
          <cell r="AJ222" t="str">
            <v>ND</v>
          </cell>
          <cell r="AK222" t="str">
            <v>ND</v>
          </cell>
          <cell r="AL222" t="str">
            <v>ND</v>
          </cell>
          <cell r="AM222" t="str">
            <v>ND</v>
          </cell>
          <cell r="AN222" t="str">
            <v>ND</v>
          </cell>
          <cell r="AO222" t="str">
            <v>ND</v>
          </cell>
          <cell r="AP222" t="str">
            <v>ND</v>
          </cell>
          <cell r="AQ222" t="str">
            <v>ND</v>
          </cell>
          <cell r="AR222" t="str">
            <v>ND</v>
          </cell>
          <cell r="AS222" t="str">
            <v>ND</v>
          </cell>
          <cell r="AT222" t="str">
            <v>ND</v>
          </cell>
          <cell r="AW222" t="str">
            <v>ND</v>
          </cell>
          <cell r="AX222" t="str">
            <v>ND</v>
          </cell>
          <cell r="AY222" t="str">
            <v>ND</v>
          </cell>
          <cell r="AZ222" t="str">
            <v>ND</v>
          </cell>
          <cell r="BB222" t="str">
            <v>ND</v>
          </cell>
          <cell r="BC222" t="str">
            <v>ND</v>
          </cell>
          <cell r="BD222" t="str">
            <v>ND</v>
          </cell>
          <cell r="BE222" t="str">
            <v>ND</v>
          </cell>
          <cell r="BF222" t="str">
            <v>ND</v>
          </cell>
          <cell r="BG222" t="str">
            <v>ND</v>
          </cell>
          <cell r="BH222" t="str">
            <v>ND</v>
          </cell>
          <cell r="BI222" t="str">
            <v>ND</v>
          </cell>
          <cell r="BJ222" t="str">
            <v>ND</v>
          </cell>
          <cell r="BK222" t="str">
            <v>ND</v>
          </cell>
          <cell r="BL222" t="str">
            <v>ND</v>
          </cell>
          <cell r="BM222" t="str">
            <v>ND</v>
          </cell>
          <cell r="BN222" t="str">
            <v>ND</v>
          </cell>
          <cell r="BO222" t="str">
            <v>ND</v>
          </cell>
          <cell r="BP222" t="str">
            <v>ND</v>
          </cell>
          <cell r="BQ222" t="str">
            <v>ND</v>
          </cell>
          <cell r="BR222" t="str">
            <v>ND</v>
          </cell>
          <cell r="BS222">
            <v>1060224</v>
          </cell>
          <cell r="BT222">
            <v>1089918</v>
          </cell>
          <cell r="BU222">
            <v>4360466</v>
          </cell>
          <cell r="BV222">
            <v>1164705</v>
          </cell>
          <cell r="BW222">
            <v>1131765</v>
          </cell>
          <cell r="BX222">
            <v>1121903</v>
          </cell>
          <cell r="BY222">
            <v>1184502</v>
          </cell>
          <cell r="BZ222">
            <v>4556809</v>
          </cell>
          <cell r="CA222">
            <v>1271744</v>
          </cell>
          <cell r="CB222">
            <v>1230101</v>
          </cell>
          <cell r="CC222">
            <v>1250362</v>
          </cell>
          <cell r="CD222">
            <v>1346549</v>
          </cell>
          <cell r="CE222">
            <v>5092166</v>
          </cell>
          <cell r="CF222">
            <v>1254760</v>
          </cell>
          <cell r="CG222">
            <v>1224566</v>
          </cell>
          <cell r="CH222">
            <v>1219622</v>
          </cell>
        </row>
        <row r="223">
          <cell r="B223" t="str">
            <v>Net revenue per adjusted admission</v>
          </cell>
          <cell r="D223" t="str">
            <v>ND</v>
          </cell>
          <cell r="E223" t="str">
            <v>ND</v>
          </cell>
          <cell r="F223" t="str">
            <v>ND</v>
          </cell>
          <cell r="G223" t="str">
            <v>ND</v>
          </cell>
          <cell r="H223" t="str">
            <v>ND</v>
          </cell>
          <cell r="I223" t="str">
            <v>ND</v>
          </cell>
          <cell r="J223" t="str">
            <v>ND</v>
          </cell>
          <cell r="K223" t="str">
            <v>ND</v>
          </cell>
          <cell r="L223" t="str">
            <v>ND</v>
          </cell>
          <cell r="M223" t="str">
            <v>ND</v>
          </cell>
          <cell r="N223" t="str">
            <v>ND</v>
          </cell>
          <cell r="O223" t="str">
            <v>ND</v>
          </cell>
          <cell r="P223" t="str">
            <v>ND</v>
          </cell>
          <cell r="Q223" t="str">
            <v>ND</v>
          </cell>
          <cell r="R223" t="str">
            <v>ND</v>
          </cell>
          <cell r="S223" t="str">
            <v>ND</v>
          </cell>
          <cell r="T223" t="str">
            <v>ND</v>
          </cell>
          <cell r="U223" t="str">
            <v>ND</v>
          </cell>
          <cell r="V223" t="str">
            <v>ND</v>
          </cell>
          <cell r="W223" t="str">
            <v>ND</v>
          </cell>
          <cell r="X223" t="str">
            <v>ND</v>
          </cell>
          <cell r="Y223" t="str">
            <v>ND</v>
          </cell>
          <cell r="Z223" t="str">
            <v>ND</v>
          </cell>
          <cell r="AA223" t="str">
            <v>ND</v>
          </cell>
          <cell r="AB223" t="str">
            <v>ND</v>
          </cell>
          <cell r="AC223" t="str">
            <v>ND</v>
          </cell>
          <cell r="AD223" t="str">
            <v>ND</v>
          </cell>
          <cell r="AE223" t="str">
            <v>ND</v>
          </cell>
          <cell r="AF223" t="str">
            <v>ND</v>
          </cell>
          <cell r="AG223" t="str">
            <v>ND</v>
          </cell>
          <cell r="AH223" t="str">
            <v>ND</v>
          </cell>
          <cell r="AI223" t="str">
            <v>ND</v>
          </cell>
          <cell r="AJ223" t="str">
            <v>ND</v>
          </cell>
          <cell r="AK223" t="str">
            <v>ND</v>
          </cell>
          <cell r="AL223" t="str">
            <v>ND</v>
          </cell>
          <cell r="AM223" t="str">
            <v>ND</v>
          </cell>
          <cell r="AN223" t="str">
            <v>ND</v>
          </cell>
          <cell r="AO223" t="str">
            <v>ND</v>
          </cell>
          <cell r="AP223" t="str">
            <v>ND</v>
          </cell>
          <cell r="AQ223" t="str">
            <v>ND</v>
          </cell>
          <cell r="AR223" t="str">
            <v>ND</v>
          </cell>
          <cell r="AS223" t="str">
            <v>ND</v>
          </cell>
          <cell r="AT223" t="str">
            <v>ND</v>
          </cell>
          <cell r="AW223" t="str">
            <v>ND</v>
          </cell>
          <cell r="AX223" t="str">
            <v>ND</v>
          </cell>
          <cell r="AY223" t="str">
            <v>ND</v>
          </cell>
          <cell r="AZ223" t="str">
            <v>ND</v>
          </cell>
          <cell r="BB223" t="str">
            <v>ND</v>
          </cell>
          <cell r="BC223" t="str">
            <v>ND</v>
          </cell>
          <cell r="BD223" t="str">
            <v>ND</v>
          </cell>
          <cell r="BE223" t="str">
            <v>ND</v>
          </cell>
          <cell r="BF223" t="str">
            <v>ND</v>
          </cell>
          <cell r="BG223" t="str">
            <v>ND</v>
          </cell>
          <cell r="BH223" t="str">
            <v>ND</v>
          </cell>
          <cell r="BI223" t="str">
            <v>ND</v>
          </cell>
          <cell r="BJ223" t="str">
            <v>ND</v>
          </cell>
          <cell r="BK223" t="str">
            <v>ND</v>
          </cell>
          <cell r="BL223" t="str">
            <v>ND</v>
          </cell>
          <cell r="BM223" t="str">
            <v>ND</v>
          </cell>
          <cell r="BN223" t="str">
            <v>ND</v>
          </cell>
          <cell r="BO223" t="str">
            <v>ND</v>
          </cell>
          <cell r="BP223" t="str">
            <v>ND</v>
          </cell>
          <cell r="BQ223" t="str">
            <v>ND</v>
          </cell>
          <cell r="BR223" t="str">
            <v>ND</v>
          </cell>
          <cell r="BS223">
            <v>8398.6786758240451</v>
          </cell>
          <cell r="BT223">
            <v>8421.6227910894067</v>
          </cell>
          <cell r="BU223">
            <v>8395.0851644278955</v>
          </cell>
          <cell r="BV223">
            <v>8472</v>
          </cell>
          <cell r="BW223">
            <v>8528</v>
          </cell>
          <cell r="BX223">
            <v>8308</v>
          </cell>
          <cell r="BY223">
            <v>8776</v>
          </cell>
          <cell r="BZ223">
            <v>8519</v>
          </cell>
          <cell r="CA223">
            <v>8630</v>
          </cell>
          <cell r="CB223">
            <v>8582</v>
          </cell>
          <cell r="CC223">
            <v>8675</v>
          </cell>
          <cell r="CD223">
            <v>8885</v>
          </cell>
          <cell r="CE223">
            <v>8689</v>
          </cell>
          <cell r="CF223">
            <v>7889</v>
          </cell>
          <cell r="CG223">
            <v>8045</v>
          </cell>
          <cell r="CH223">
            <v>7864</v>
          </cell>
        </row>
        <row r="224">
          <cell r="B224" t="str">
            <v>Total inpatient revenue percentage</v>
          </cell>
          <cell r="D224" t="str">
            <v>ND</v>
          </cell>
          <cell r="E224" t="str">
            <v>ND</v>
          </cell>
          <cell r="F224" t="str">
            <v>ND</v>
          </cell>
          <cell r="G224" t="str">
            <v>ND</v>
          </cell>
          <cell r="H224" t="str">
            <v>ND</v>
          </cell>
          <cell r="I224" t="str">
            <v>ND</v>
          </cell>
          <cell r="J224" t="str">
            <v>ND</v>
          </cell>
          <cell r="K224" t="str">
            <v>ND</v>
          </cell>
          <cell r="L224" t="str">
            <v>ND</v>
          </cell>
          <cell r="M224" t="str">
            <v>ND</v>
          </cell>
          <cell r="N224" t="str">
            <v>ND</v>
          </cell>
          <cell r="O224" t="str">
            <v>ND</v>
          </cell>
          <cell r="P224" t="str">
            <v>ND</v>
          </cell>
          <cell r="Q224" t="str">
            <v>ND</v>
          </cell>
          <cell r="R224" t="str">
            <v>ND</v>
          </cell>
          <cell r="S224" t="str">
            <v>ND</v>
          </cell>
          <cell r="T224" t="str">
            <v>ND</v>
          </cell>
          <cell r="U224" t="str">
            <v>ND</v>
          </cell>
          <cell r="V224" t="str">
            <v>ND</v>
          </cell>
          <cell r="W224" t="str">
            <v>ND</v>
          </cell>
          <cell r="X224" t="str">
            <v>ND</v>
          </cell>
          <cell r="Y224" t="str">
            <v>ND</v>
          </cell>
          <cell r="Z224" t="str">
            <v>ND</v>
          </cell>
          <cell r="AA224" t="str">
            <v>ND</v>
          </cell>
          <cell r="AB224" t="str">
            <v>ND</v>
          </cell>
          <cell r="AC224">
            <v>0.56599999999999995</v>
          </cell>
          <cell r="AD224" t="str">
            <v>ND</v>
          </cell>
          <cell r="AE224">
            <v>0.56699999999999995</v>
          </cell>
          <cell r="AF224">
            <v>0.55500000000000005</v>
          </cell>
          <cell r="AG224">
            <v>0.55400000000000005</v>
          </cell>
          <cell r="AH224">
            <v>0.56200000000000006</v>
          </cell>
          <cell r="AI224">
            <v>0.52300000000000002</v>
          </cell>
          <cell r="AJ224">
            <v>0.52900000000000003</v>
          </cell>
          <cell r="AK224">
            <v>0.54300000000000004</v>
          </cell>
          <cell r="AL224">
            <v>0.52700000000000002</v>
          </cell>
          <cell r="AM224">
            <v>0.54500000000000004</v>
          </cell>
          <cell r="AN224">
            <v>0.51300000000000001</v>
          </cell>
          <cell r="AO224">
            <v>0.51100000000000001</v>
          </cell>
          <cell r="AP224">
            <v>0.52400000000000002</v>
          </cell>
          <cell r="AQ224">
            <v>0.53600000000000003</v>
          </cell>
          <cell r="AR224">
            <v>0.54</v>
          </cell>
          <cell r="AS224">
            <v>0.50700000000000001</v>
          </cell>
          <cell r="AT224">
            <v>0.496</v>
          </cell>
          <cell r="AW224">
            <v>0.54500000000000004</v>
          </cell>
          <cell r="AX224">
            <v>0.51300000000000001</v>
          </cell>
          <cell r="AY224">
            <v>0.51100000000000001</v>
          </cell>
          <cell r="AZ224">
            <v>0.46400000000000002</v>
          </cell>
          <cell r="BB224">
            <v>0.54</v>
          </cell>
          <cell r="BC224">
            <v>0.50700000000000001</v>
          </cell>
          <cell r="BD224">
            <v>0.496</v>
          </cell>
          <cell r="BE224">
            <v>0.51500000000000001</v>
          </cell>
          <cell r="BF224">
            <v>0.51300000000000001</v>
          </cell>
          <cell r="BG224">
            <v>0.50700000000000001</v>
          </cell>
          <cell r="BH224">
            <v>0.48399999999999999</v>
          </cell>
          <cell r="BI224">
            <v>0.50800000000000001</v>
          </cell>
          <cell r="BJ224">
            <v>0.49299999999999999</v>
          </cell>
          <cell r="BK224">
            <v>0.49</v>
          </cell>
          <cell r="BL224">
            <v>0.51600000000000001</v>
          </cell>
          <cell r="BM224">
            <v>0.52</v>
          </cell>
          <cell r="BN224">
            <v>0.499</v>
          </cell>
          <cell r="BO224">
            <v>0.50900000000000001</v>
          </cell>
          <cell r="BP224">
            <v>0.51100000000000001</v>
          </cell>
          <cell r="BQ224">
            <v>0.53</v>
          </cell>
          <cell r="BR224">
            <v>0.51500000000000001</v>
          </cell>
          <cell r="BS224">
            <v>0.50700000000000001</v>
          </cell>
          <cell r="BT224">
            <v>0.52700000000000002</v>
          </cell>
          <cell r="BU224">
            <v>0.52200000000000002</v>
          </cell>
          <cell r="BV224">
            <v>0.53300000000000003</v>
          </cell>
          <cell r="BW224">
            <v>0.52800000000000002</v>
          </cell>
          <cell r="BX224">
            <v>0.498</v>
          </cell>
          <cell r="BY224">
            <v>0.497</v>
          </cell>
          <cell r="BZ224">
            <v>0.51400000000000001</v>
          </cell>
          <cell r="CA224">
            <v>0.51900000000000002</v>
          </cell>
          <cell r="CB224">
            <v>0.501</v>
          </cell>
          <cell r="CC224">
            <v>0.48499999999999999</v>
          </cell>
          <cell r="CD224">
            <v>0.495</v>
          </cell>
          <cell r="CE224">
            <v>0.5</v>
          </cell>
          <cell r="CF224">
            <v>0.504</v>
          </cell>
          <cell r="CG224">
            <v>0.47599999999999998</v>
          </cell>
          <cell r="CH224">
            <v>0.46899999999999997</v>
          </cell>
        </row>
        <row r="225">
          <cell r="B225" t="str">
            <v>Total outpatient revenue percentage</v>
          </cell>
          <cell r="D225" t="str">
            <v>ND</v>
          </cell>
          <cell r="E225" t="str">
            <v>ND</v>
          </cell>
          <cell r="F225" t="str">
            <v>ND</v>
          </cell>
          <cell r="G225" t="str">
            <v>ND</v>
          </cell>
          <cell r="H225" t="str">
            <v>ND</v>
          </cell>
          <cell r="I225" t="str">
            <v>ND</v>
          </cell>
          <cell r="J225" t="str">
            <v>ND</v>
          </cell>
          <cell r="K225" t="str">
            <v>ND</v>
          </cell>
          <cell r="L225" t="str">
            <v>ND</v>
          </cell>
          <cell r="M225" t="str">
            <v>ND</v>
          </cell>
          <cell r="N225" t="str">
            <v>ND</v>
          </cell>
          <cell r="O225" t="str">
            <v>ND</v>
          </cell>
          <cell r="P225" t="str">
            <v>ND</v>
          </cell>
          <cell r="Q225" t="str">
            <v>ND</v>
          </cell>
          <cell r="R225" t="str">
            <v>ND</v>
          </cell>
          <cell r="S225" t="str">
            <v>ND</v>
          </cell>
          <cell r="T225" t="str">
            <v>ND</v>
          </cell>
          <cell r="U225" t="str">
            <v>ND</v>
          </cell>
          <cell r="V225" t="str">
            <v>ND</v>
          </cell>
          <cell r="W225" t="str">
            <v>ND</v>
          </cell>
          <cell r="X225" t="str">
            <v>ND</v>
          </cell>
          <cell r="Y225" t="str">
            <v>ND</v>
          </cell>
          <cell r="Z225" t="str">
            <v>ND</v>
          </cell>
          <cell r="AA225" t="str">
            <v>ND</v>
          </cell>
          <cell r="AB225" t="str">
            <v>ND</v>
          </cell>
          <cell r="AC225">
            <v>0.434</v>
          </cell>
          <cell r="AD225" t="str">
            <v>ND</v>
          </cell>
          <cell r="AE225">
            <v>0.433</v>
          </cell>
          <cell r="AF225">
            <v>0.44400000000000001</v>
          </cell>
          <cell r="AG225">
            <v>0.44600000000000001</v>
          </cell>
          <cell r="AH225">
            <v>0.438</v>
          </cell>
          <cell r="AI225">
            <v>0.47699999999999998</v>
          </cell>
          <cell r="AJ225">
            <v>0.47099999999999997</v>
          </cell>
          <cell r="AK225">
            <v>0.45700000000000002</v>
          </cell>
          <cell r="AL225">
            <v>0.47299999999999998</v>
          </cell>
          <cell r="AM225">
            <v>0.45500000000000002</v>
          </cell>
          <cell r="AN225">
            <v>0.48699999999999999</v>
          </cell>
          <cell r="AO225">
            <v>0.48899999999999999</v>
          </cell>
          <cell r="AP225">
            <v>0.47599999999999998</v>
          </cell>
          <cell r="AQ225">
            <v>0.46400000000000002</v>
          </cell>
          <cell r="AR225">
            <v>0.46</v>
          </cell>
          <cell r="AS225">
            <v>0.49299999999999999</v>
          </cell>
          <cell r="AT225">
            <v>0.504</v>
          </cell>
          <cell r="AW225">
            <v>0.45500000000000002</v>
          </cell>
          <cell r="AX225">
            <v>0.48699999999999999</v>
          </cell>
          <cell r="AY225">
            <v>0.48899999999999999</v>
          </cell>
          <cell r="AZ225">
            <v>0.53600000000000003</v>
          </cell>
          <cell r="BB225">
            <v>0.46</v>
          </cell>
          <cell r="BC225">
            <v>0.49299999999999999</v>
          </cell>
          <cell r="BD225">
            <v>0.504</v>
          </cell>
          <cell r="BE225">
            <v>0.48499999999999999</v>
          </cell>
          <cell r="BF225">
            <v>0.48699999999999999</v>
          </cell>
          <cell r="BG225">
            <v>0.49299999999999999</v>
          </cell>
          <cell r="BH225">
            <v>0.51600000000000001</v>
          </cell>
          <cell r="BI225">
            <v>0.49199999999999999</v>
          </cell>
          <cell r="BJ225">
            <v>0.50700000000000001</v>
          </cell>
          <cell r="BK225">
            <v>0.51</v>
          </cell>
          <cell r="BL225">
            <v>0.48399999999999999</v>
          </cell>
          <cell r="BM225">
            <v>0.48</v>
          </cell>
          <cell r="BN225">
            <v>0.501</v>
          </cell>
          <cell r="BO225">
            <v>0.49099999999999999</v>
          </cell>
          <cell r="BP225">
            <v>0.48899999999999999</v>
          </cell>
          <cell r="BQ225">
            <v>0.47</v>
          </cell>
          <cell r="BR225">
            <v>0.48499999999999999</v>
          </cell>
          <cell r="BS225">
            <v>0.49299999999999999</v>
          </cell>
          <cell r="BT225">
            <v>0.47299999999999998</v>
          </cell>
          <cell r="BU225">
            <v>0.47799999999999998</v>
          </cell>
          <cell r="BV225">
            <v>0.46700000000000003</v>
          </cell>
          <cell r="BW225">
            <v>0.47199999999999998</v>
          </cell>
          <cell r="BX225">
            <v>0.502</v>
          </cell>
          <cell r="BY225">
            <v>0.503</v>
          </cell>
          <cell r="BZ225">
            <v>0.48599999999999999</v>
          </cell>
          <cell r="CA225">
            <v>0.48099999999999998</v>
          </cell>
          <cell r="CB225">
            <v>0.499</v>
          </cell>
          <cell r="CC225">
            <v>0.51500000000000001</v>
          </cell>
          <cell r="CD225">
            <v>0.505</v>
          </cell>
          <cell r="CE225">
            <v>0.5</v>
          </cell>
          <cell r="CF225">
            <v>0.496</v>
          </cell>
          <cell r="CG225">
            <v>0.52400000000000002</v>
          </cell>
          <cell r="CH225">
            <v>0.53100000000000003</v>
          </cell>
        </row>
        <row r="226">
          <cell r="B226" t="str">
            <v>Same Hospitals</v>
          </cell>
        </row>
        <row r="227">
          <cell r="B227" t="str">
            <v>Occupancy</v>
          </cell>
          <cell r="D227" t="str">
            <v>ND</v>
          </cell>
          <cell r="E227" t="str">
            <v>ND</v>
          </cell>
          <cell r="F227" t="str">
            <v>ND</v>
          </cell>
          <cell r="G227" t="str">
            <v>ND</v>
          </cell>
          <cell r="H227" t="str">
            <v>ND</v>
          </cell>
          <cell r="I227" t="str">
            <v>ND</v>
          </cell>
          <cell r="J227" t="str">
            <v>ND</v>
          </cell>
          <cell r="K227" t="str">
            <v>ND</v>
          </cell>
          <cell r="L227" t="str">
            <v>ND</v>
          </cell>
          <cell r="M227">
            <v>0.45</v>
          </cell>
          <cell r="N227">
            <v>0.54</v>
          </cell>
          <cell r="O227">
            <v>0.437</v>
          </cell>
          <cell r="P227" t="str">
            <v>ND</v>
          </cell>
          <cell r="Q227" t="str">
            <v>ND</v>
          </cell>
          <cell r="R227">
            <v>0.442</v>
          </cell>
          <cell r="S227">
            <v>0.505</v>
          </cell>
          <cell r="T227">
            <v>0.435</v>
          </cell>
          <cell r="U227" t="str">
            <v>ND</v>
          </cell>
          <cell r="V227" t="str">
            <v>ND</v>
          </cell>
          <cell r="W227">
            <v>0.435</v>
          </cell>
          <cell r="X227">
            <v>0.51600000000000001</v>
          </cell>
          <cell r="Y227">
            <v>0.45700000000000002</v>
          </cell>
          <cell r="Z227" t="str">
            <v>ND</v>
          </cell>
          <cell r="AA227" t="str">
            <v>ND</v>
          </cell>
          <cell r="AB227">
            <v>0.443</v>
          </cell>
          <cell r="AC227">
            <v>0.50700000000000001</v>
          </cell>
          <cell r="AD227">
            <v>0.47</v>
          </cell>
          <cell r="AE227">
            <v>0.45700000000000002</v>
          </cell>
          <cell r="AF227">
            <v>0.47099999999999997</v>
          </cell>
          <cell r="AG227">
            <v>0.46700000000000003</v>
          </cell>
          <cell r="AH227">
            <v>0.51700000000000002</v>
          </cell>
          <cell r="AI227">
            <v>0.46</v>
          </cell>
          <cell r="AJ227">
            <v>0.44500000000000001</v>
          </cell>
          <cell r="AK227">
            <v>0.47499999999999998</v>
          </cell>
          <cell r="AL227">
            <v>0.46800000000000003</v>
          </cell>
          <cell r="AM227">
            <v>0.502</v>
          </cell>
          <cell r="AN227">
            <v>0.441</v>
          </cell>
          <cell r="AO227">
            <v>0.44900000000000001</v>
          </cell>
          <cell r="AP227">
            <v>0.47299999999999998</v>
          </cell>
          <cell r="AQ227">
            <v>0.44800000000000001</v>
          </cell>
          <cell r="AR227">
            <v>0.51400000000000001</v>
          </cell>
          <cell r="AS227">
            <v>0.44500000000000001</v>
          </cell>
          <cell r="AT227">
            <v>0.43099999999999999</v>
          </cell>
          <cell r="AW227">
            <v>0.502</v>
          </cell>
          <cell r="AX227">
            <v>0.441</v>
          </cell>
          <cell r="AY227">
            <v>0.44900000000000001</v>
          </cell>
          <cell r="AZ227">
            <v>0.44800000000000001</v>
          </cell>
          <cell r="BB227">
            <v>0.51400000000000001</v>
          </cell>
          <cell r="BC227">
            <v>0.44500000000000001</v>
          </cell>
          <cell r="BD227">
            <v>0.43099999999999999</v>
          </cell>
          <cell r="BE227">
            <v>0.45100000000000001</v>
          </cell>
          <cell r="BF227">
            <v>0.46800000000000003</v>
          </cell>
          <cell r="BG227">
            <v>0.50600000000000001</v>
          </cell>
          <cell r="BH227">
            <v>0.45100000000000001</v>
          </cell>
          <cell r="BI227">
            <v>0.438</v>
          </cell>
          <cell r="BJ227">
            <v>0.45200000000000001</v>
          </cell>
          <cell r="BK227">
            <v>0.45300000000000001</v>
          </cell>
          <cell r="BL227">
            <v>0.48799999999999999</v>
          </cell>
          <cell r="BM227">
            <v>0.44800000000000001</v>
          </cell>
          <cell r="BN227" t="str">
            <v>ND</v>
          </cell>
          <cell r="BO227" t="str">
            <v>ND</v>
          </cell>
          <cell r="BP227">
            <v>0.45200000000000001</v>
          </cell>
          <cell r="BQ227" t="str">
            <v>ND</v>
          </cell>
          <cell r="BR227" t="str">
            <v>ND</v>
          </cell>
          <cell r="BS227" t="str">
            <v>ND</v>
          </cell>
          <cell r="BT227">
            <v>0.44700000000000001</v>
          </cell>
          <cell r="BU227">
            <v>0.45100000000000001</v>
          </cell>
          <cell r="BV227">
            <v>0.499</v>
          </cell>
          <cell r="BW227">
            <v>0.45100000000000001</v>
          </cell>
          <cell r="BX227">
            <v>0.42499999999999999</v>
          </cell>
          <cell r="BY227">
            <v>0.443</v>
          </cell>
          <cell r="BZ227">
            <v>0.45</v>
          </cell>
          <cell r="CA227">
            <v>0.49099999999999999</v>
          </cell>
          <cell r="CB227">
            <v>0.439</v>
          </cell>
          <cell r="CC227">
            <v>0.41699999999999998</v>
          </cell>
          <cell r="CD227">
            <v>0.42699999999999999</v>
          </cell>
          <cell r="CE227">
            <v>0.439</v>
          </cell>
          <cell r="CF227">
            <v>0.48199999999999998</v>
          </cell>
          <cell r="CG227">
            <v>0.42699999999999999</v>
          </cell>
          <cell r="CH227">
            <v>0.41099999999999998</v>
          </cell>
        </row>
        <row r="228">
          <cell r="B228" t="str">
            <v>Patient days</v>
          </cell>
          <cell r="D228" t="str">
            <v>ND</v>
          </cell>
          <cell r="E228" t="str">
            <v>ND</v>
          </cell>
          <cell r="F228" t="str">
            <v>ND</v>
          </cell>
          <cell r="G228" t="str">
            <v>ND</v>
          </cell>
          <cell r="H228" t="str">
            <v>ND</v>
          </cell>
          <cell r="I228" t="str">
            <v>ND</v>
          </cell>
          <cell r="J228" t="str">
            <v>ND</v>
          </cell>
          <cell r="K228" t="str">
            <v>ND</v>
          </cell>
          <cell r="L228" t="str">
            <v>ND</v>
          </cell>
          <cell r="M228">
            <v>146021</v>
          </cell>
          <cell r="N228">
            <v>171322</v>
          </cell>
          <cell r="O228">
            <v>159801</v>
          </cell>
          <cell r="P228" t="str">
            <v>ND</v>
          </cell>
          <cell r="Q228" t="str">
            <v>ND</v>
          </cell>
          <cell r="R228">
            <v>177764</v>
          </cell>
          <cell r="S228">
            <v>201018</v>
          </cell>
          <cell r="T228">
            <v>172926</v>
          </cell>
          <cell r="U228" t="str">
            <v>ND</v>
          </cell>
          <cell r="V228" t="str">
            <v>ND</v>
          </cell>
          <cell r="W228">
            <v>196393</v>
          </cell>
          <cell r="X228">
            <v>227729</v>
          </cell>
          <cell r="Y228">
            <v>203827</v>
          </cell>
          <cell r="Z228" t="str">
            <v>ND</v>
          </cell>
          <cell r="AA228" t="str">
            <v>ND</v>
          </cell>
          <cell r="AB228">
            <v>211124</v>
          </cell>
          <cell r="AC228">
            <v>258483</v>
          </cell>
          <cell r="AD228">
            <v>235798</v>
          </cell>
          <cell r="AE228">
            <v>242274</v>
          </cell>
          <cell r="AF228">
            <v>885605</v>
          </cell>
          <cell r="AG228">
            <v>249087</v>
          </cell>
          <cell r="AH228">
            <v>273244</v>
          </cell>
          <cell r="AI228">
            <v>249387</v>
          </cell>
          <cell r="AJ228">
            <v>247147</v>
          </cell>
          <cell r="AK228">
            <v>1014645</v>
          </cell>
          <cell r="AL228">
            <v>272917</v>
          </cell>
          <cell r="AM228">
            <v>338047</v>
          </cell>
          <cell r="AN228">
            <v>297146</v>
          </cell>
          <cell r="AO228">
            <v>286861</v>
          </cell>
          <cell r="AP228">
            <v>1061891</v>
          </cell>
          <cell r="AQ228">
            <v>300366</v>
          </cell>
          <cell r="AR228">
            <v>337281</v>
          </cell>
          <cell r="AS228">
            <v>327324</v>
          </cell>
          <cell r="AT228">
            <v>305534</v>
          </cell>
          <cell r="AW228">
            <v>338047</v>
          </cell>
          <cell r="AX228">
            <v>297146</v>
          </cell>
          <cell r="AY228">
            <v>286861</v>
          </cell>
          <cell r="AZ228">
            <v>300366</v>
          </cell>
          <cell r="BA228">
            <v>1222420</v>
          </cell>
          <cell r="BB228">
            <v>337281</v>
          </cell>
          <cell r="BC228">
            <v>327324</v>
          </cell>
          <cell r="BD228">
            <v>305534</v>
          </cell>
          <cell r="BE228">
            <v>313709</v>
          </cell>
          <cell r="BF228">
            <v>1206064</v>
          </cell>
          <cell r="BG228">
            <v>360664</v>
          </cell>
          <cell r="BH228">
            <v>322925</v>
          </cell>
          <cell r="BI228">
            <v>319833</v>
          </cell>
          <cell r="BJ228">
            <v>322474</v>
          </cell>
          <cell r="BK228">
            <v>1283942</v>
          </cell>
          <cell r="BL228">
            <v>352257</v>
          </cell>
          <cell r="BM228">
            <v>323639</v>
          </cell>
          <cell r="BN228" t="str">
            <v>ND</v>
          </cell>
          <cell r="BO228" t="str">
            <v>ND</v>
          </cell>
          <cell r="BP228">
            <v>1302157</v>
          </cell>
          <cell r="BQ228" t="str">
            <v>ND</v>
          </cell>
          <cell r="BR228" t="str">
            <v>ND</v>
          </cell>
          <cell r="BS228" t="str">
            <v>ND</v>
          </cell>
          <cell r="BT228">
            <v>317953</v>
          </cell>
          <cell r="BU228">
            <v>1285504</v>
          </cell>
          <cell r="BV228">
            <v>350441</v>
          </cell>
          <cell r="BW228">
            <v>319848</v>
          </cell>
          <cell r="BX228">
            <v>306871</v>
          </cell>
          <cell r="BY228">
            <v>320560</v>
          </cell>
          <cell r="BZ228">
            <v>1283188</v>
          </cell>
          <cell r="CA228">
            <v>362393</v>
          </cell>
          <cell r="CB228">
            <v>326981</v>
          </cell>
          <cell r="CC228">
            <v>319327</v>
          </cell>
          <cell r="CD228">
            <v>342909</v>
          </cell>
          <cell r="CE228">
            <v>1350697</v>
          </cell>
          <cell r="CF228">
            <v>380543</v>
          </cell>
          <cell r="CG228">
            <v>343107</v>
          </cell>
          <cell r="CH228">
            <v>335934</v>
          </cell>
        </row>
        <row r="229">
          <cell r="B229" t="str">
            <v>Admissions</v>
          </cell>
          <cell r="D229">
            <v>31969</v>
          </cell>
          <cell r="E229">
            <v>39203</v>
          </cell>
          <cell r="F229">
            <v>46756</v>
          </cell>
          <cell r="G229">
            <v>46538</v>
          </cell>
          <cell r="H229">
            <v>54942</v>
          </cell>
          <cell r="I229">
            <v>59071</v>
          </cell>
          <cell r="J229">
            <v>75267</v>
          </cell>
          <cell r="K229">
            <v>95787</v>
          </cell>
          <cell r="L229">
            <v>105235</v>
          </cell>
          <cell r="M229">
            <v>32586</v>
          </cell>
          <cell r="N229">
            <v>37010</v>
          </cell>
          <cell r="O229">
            <v>34219</v>
          </cell>
          <cell r="P229" t="str">
            <v>ND</v>
          </cell>
          <cell r="Q229">
            <v>134285</v>
          </cell>
          <cell r="R229">
            <v>39021</v>
          </cell>
          <cell r="S229">
            <v>42669</v>
          </cell>
          <cell r="T229">
            <v>38609</v>
          </cell>
          <cell r="U229" t="str">
            <v>ND</v>
          </cell>
          <cell r="V229">
            <v>158830</v>
          </cell>
          <cell r="W229">
            <v>44486</v>
          </cell>
          <cell r="X229">
            <v>50004</v>
          </cell>
          <cell r="Y229">
            <v>45712</v>
          </cell>
          <cell r="Z229" t="str">
            <v>ND</v>
          </cell>
          <cell r="AA229">
            <v>184533</v>
          </cell>
          <cell r="AB229">
            <v>47631</v>
          </cell>
          <cell r="AC229">
            <v>56894</v>
          </cell>
          <cell r="AD229">
            <v>53468</v>
          </cell>
          <cell r="AE229">
            <v>56431</v>
          </cell>
          <cell r="AF229">
            <v>198214</v>
          </cell>
          <cell r="AG229">
            <v>57894</v>
          </cell>
          <cell r="AH229">
            <v>61145</v>
          </cell>
          <cell r="AI229">
            <v>56872</v>
          </cell>
          <cell r="AJ229">
            <v>57999</v>
          </cell>
          <cell r="AK229">
            <v>232816</v>
          </cell>
          <cell r="AL229">
            <v>63371</v>
          </cell>
          <cell r="AM229">
            <v>76067</v>
          </cell>
          <cell r="AN229">
            <v>69327</v>
          </cell>
          <cell r="AO229">
            <v>68226</v>
          </cell>
          <cell r="AP229">
            <v>247452</v>
          </cell>
          <cell r="AQ229">
            <v>70671</v>
          </cell>
          <cell r="AR229">
            <v>77064</v>
          </cell>
          <cell r="AS229">
            <v>75985</v>
          </cell>
          <cell r="AT229">
            <v>72740</v>
          </cell>
          <cell r="AW229">
            <v>76067</v>
          </cell>
          <cell r="AX229">
            <v>69327</v>
          </cell>
          <cell r="AY229">
            <v>68226</v>
          </cell>
          <cell r="AZ229">
            <v>70671</v>
          </cell>
          <cell r="BA229">
            <v>284291</v>
          </cell>
          <cell r="BB229">
            <v>77064</v>
          </cell>
          <cell r="BC229">
            <v>75985</v>
          </cell>
          <cell r="BD229">
            <v>72740</v>
          </cell>
          <cell r="BE229">
            <v>74165</v>
          </cell>
          <cell r="BF229">
            <v>281652</v>
          </cell>
          <cell r="BG229">
            <v>82473</v>
          </cell>
          <cell r="BH229">
            <v>75770</v>
          </cell>
          <cell r="BI229">
            <v>76013</v>
          </cell>
          <cell r="BJ229">
            <v>76600</v>
          </cell>
          <cell r="BK229">
            <v>300702</v>
          </cell>
          <cell r="BL229">
            <v>81997</v>
          </cell>
          <cell r="BM229">
            <v>76757</v>
          </cell>
          <cell r="BN229" t="str">
            <v>ND</v>
          </cell>
          <cell r="BO229" t="str">
            <v>ND</v>
          </cell>
          <cell r="BP229">
            <v>308103</v>
          </cell>
          <cell r="BQ229" t="str">
            <v>ND</v>
          </cell>
          <cell r="BR229" t="str">
            <v>ND</v>
          </cell>
          <cell r="BS229" t="str">
            <v>ND</v>
          </cell>
          <cell r="BT229">
            <v>75096</v>
          </cell>
          <cell r="BU229">
            <v>300339</v>
          </cell>
          <cell r="BV229">
            <v>81788</v>
          </cell>
          <cell r="BW229">
            <v>76120</v>
          </cell>
          <cell r="BX229">
            <v>74890</v>
          </cell>
          <cell r="BY229">
            <v>76515</v>
          </cell>
          <cell r="BZ229">
            <v>306770</v>
          </cell>
          <cell r="CA229">
            <v>84766</v>
          </cell>
          <cell r="CB229">
            <v>79028</v>
          </cell>
          <cell r="CC229">
            <v>77626</v>
          </cell>
          <cell r="CD229">
            <v>82734</v>
          </cell>
          <cell r="CE229">
            <v>323917</v>
          </cell>
          <cell r="CF229">
            <v>88143</v>
          </cell>
          <cell r="CG229">
            <v>80753</v>
          </cell>
          <cell r="CH229">
            <v>81411</v>
          </cell>
        </row>
        <row r="230">
          <cell r="B230" t="str">
            <v>Adjusted admissions</v>
          </cell>
          <cell r="D230" t="str">
            <v>ND</v>
          </cell>
          <cell r="E230" t="str">
            <v>ND</v>
          </cell>
          <cell r="F230" t="str">
            <v>ND</v>
          </cell>
          <cell r="G230" t="str">
            <v>ND</v>
          </cell>
          <cell r="H230" t="str">
            <v>ND</v>
          </cell>
          <cell r="I230" t="str">
            <v>ND</v>
          </cell>
          <cell r="J230" t="str">
            <v>ND</v>
          </cell>
          <cell r="K230" t="str">
            <v>ND</v>
          </cell>
          <cell r="L230" t="str">
            <v>ND</v>
          </cell>
          <cell r="M230" t="str">
            <v>ND</v>
          </cell>
          <cell r="N230" t="str">
            <v>ND</v>
          </cell>
          <cell r="O230" t="str">
            <v>ND</v>
          </cell>
          <cell r="P230" t="str">
            <v>ND</v>
          </cell>
          <cell r="Q230" t="str">
            <v>ND</v>
          </cell>
          <cell r="R230" t="str">
            <v>ND</v>
          </cell>
          <cell r="S230" t="str">
            <v>ND</v>
          </cell>
          <cell r="T230" t="str">
            <v>ND</v>
          </cell>
          <cell r="U230" t="str">
            <v>ND</v>
          </cell>
          <cell r="V230" t="str">
            <v>ND</v>
          </cell>
          <cell r="W230" t="str">
            <v>ND</v>
          </cell>
          <cell r="X230" t="str">
            <v>ND</v>
          </cell>
          <cell r="Y230">
            <v>71703</v>
          </cell>
          <cell r="Z230" t="str">
            <v>ND</v>
          </cell>
          <cell r="AA230" t="str">
            <v>ND</v>
          </cell>
          <cell r="AB230">
            <v>76478</v>
          </cell>
          <cell r="AC230">
            <v>88823</v>
          </cell>
          <cell r="AD230">
            <v>85682</v>
          </cell>
          <cell r="AE230">
            <v>90706</v>
          </cell>
          <cell r="AF230">
            <v>316239</v>
          </cell>
          <cell r="AG230">
            <v>91433</v>
          </cell>
          <cell r="AH230">
            <v>94692</v>
          </cell>
          <cell r="AI230">
            <v>91497</v>
          </cell>
          <cell r="AJ230">
            <v>94050</v>
          </cell>
          <cell r="AK230">
            <v>370531</v>
          </cell>
          <cell r="AL230">
            <v>100186</v>
          </cell>
          <cell r="AM230">
            <v>121044</v>
          </cell>
          <cell r="AN230">
            <v>114885</v>
          </cell>
          <cell r="AO230">
            <v>113331</v>
          </cell>
          <cell r="AP230">
            <v>394830</v>
          </cell>
          <cell r="AQ230">
            <v>115812</v>
          </cell>
          <cell r="AR230">
            <v>125569</v>
          </cell>
          <cell r="AS230">
            <v>128367</v>
          </cell>
          <cell r="AT230">
            <v>123565</v>
          </cell>
          <cell r="AW230">
            <v>121044</v>
          </cell>
          <cell r="AX230">
            <v>114885</v>
          </cell>
          <cell r="AY230">
            <v>113331</v>
          </cell>
          <cell r="AZ230">
            <v>115812</v>
          </cell>
          <cell r="BA230">
            <v>465072</v>
          </cell>
          <cell r="BB230">
            <v>125569</v>
          </cell>
          <cell r="BC230">
            <v>128367</v>
          </cell>
          <cell r="BD230">
            <v>123565</v>
          </cell>
          <cell r="BE230">
            <v>122949</v>
          </cell>
          <cell r="BF230">
            <v>465041</v>
          </cell>
          <cell r="BG230">
            <v>134480</v>
          </cell>
          <cell r="BH230">
            <v>127578</v>
          </cell>
          <cell r="BI230">
            <v>129411</v>
          </cell>
          <cell r="BJ230">
            <v>129921</v>
          </cell>
          <cell r="BK230">
            <v>503375</v>
          </cell>
          <cell r="BL230">
            <v>136721</v>
          </cell>
          <cell r="BM230">
            <v>131684</v>
          </cell>
          <cell r="BN230" t="str">
            <v>ND</v>
          </cell>
          <cell r="BO230" t="str">
            <v>ND</v>
          </cell>
          <cell r="BP230">
            <v>528828</v>
          </cell>
          <cell r="BQ230" t="str">
            <v>ND</v>
          </cell>
          <cell r="BR230" t="str">
            <v>ND</v>
          </cell>
          <cell r="BS230" t="str">
            <v>ND</v>
          </cell>
          <cell r="BT230">
            <v>129419</v>
          </cell>
          <cell r="BU230">
            <v>519407</v>
          </cell>
          <cell r="BV230">
            <v>137480</v>
          </cell>
          <cell r="BW230">
            <v>132719</v>
          </cell>
          <cell r="BX230">
            <v>135033</v>
          </cell>
          <cell r="BY230">
            <v>134977</v>
          </cell>
          <cell r="BZ230">
            <v>534917</v>
          </cell>
          <cell r="CA230">
            <v>147365</v>
          </cell>
          <cell r="CB230">
            <v>143338</v>
          </cell>
          <cell r="CC230">
            <v>144133</v>
          </cell>
          <cell r="CD230">
            <v>151548</v>
          </cell>
          <cell r="CE230">
            <v>586060</v>
          </cell>
          <cell r="CF230">
            <v>159044</v>
          </cell>
          <cell r="CG230">
            <v>152216</v>
          </cell>
          <cell r="CH230">
            <v>155097</v>
          </cell>
        </row>
        <row r="231">
          <cell r="B231" t="str">
            <v>Average length of stay</v>
          </cell>
          <cell r="D231" t="str">
            <v>ND</v>
          </cell>
          <cell r="E231" t="str">
            <v>ND</v>
          </cell>
          <cell r="F231" t="str">
            <v>ND</v>
          </cell>
          <cell r="G231" t="str">
            <v>ND</v>
          </cell>
          <cell r="H231" t="str">
            <v>ND</v>
          </cell>
          <cell r="I231" t="str">
            <v>ND</v>
          </cell>
          <cell r="J231" t="str">
            <v>ND</v>
          </cell>
          <cell r="K231" t="str">
            <v>ND</v>
          </cell>
          <cell r="L231" t="str">
            <v>ND</v>
          </cell>
          <cell r="M231" t="str">
            <v>ND</v>
          </cell>
          <cell r="N231" t="str">
            <v>ND</v>
          </cell>
          <cell r="O231" t="str">
            <v>ND</v>
          </cell>
          <cell r="P231" t="str">
            <v>ND</v>
          </cell>
          <cell r="Q231" t="str">
            <v>ND</v>
          </cell>
          <cell r="R231" t="str">
            <v>ND</v>
          </cell>
          <cell r="S231" t="str">
            <v>ND</v>
          </cell>
          <cell r="T231" t="str">
            <v>ND</v>
          </cell>
          <cell r="U231" t="str">
            <v>ND</v>
          </cell>
          <cell r="V231" t="str">
            <v>ND</v>
          </cell>
          <cell r="W231" t="str">
            <v>ND</v>
          </cell>
          <cell r="X231" t="str">
            <v>ND</v>
          </cell>
          <cell r="Y231" t="str">
            <v>ND</v>
          </cell>
          <cell r="Z231" t="str">
            <v>ND</v>
          </cell>
          <cell r="AA231" t="str">
            <v>ND</v>
          </cell>
          <cell r="AB231" t="str">
            <v>ND</v>
          </cell>
          <cell r="AC231">
            <v>4.5</v>
          </cell>
          <cell r="AD231" t="str">
            <v>ND</v>
          </cell>
          <cell r="AE231">
            <v>4.3</v>
          </cell>
          <cell r="AF231">
            <v>4.5</v>
          </cell>
          <cell r="AG231">
            <v>4.3</v>
          </cell>
          <cell r="AH231">
            <v>4.5</v>
          </cell>
          <cell r="AI231">
            <v>4.4000000000000004</v>
          </cell>
          <cell r="AJ231">
            <v>4.3</v>
          </cell>
          <cell r="AK231">
            <v>4.4000000000000004</v>
          </cell>
          <cell r="AL231">
            <v>4.3</v>
          </cell>
          <cell r="AM231">
            <v>4.4000000000000004</v>
          </cell>
          <cell r="AN231">
            <v>4.3</v>
          </cell>
          <cell r="AO231">
            <v>4.2</v>
          </cell>
          <cell r="AP231">
            <v>4.3</v>
          </cell>
          <cell r="AQ231" t="str">
            <v>ND</v>
          </cell>
          <cell r="AR231">
            <v>4.4000000000000004</v>
          </cell>
          <cell r="AS231">
            <v>4.3</v>
          </cell>
          <cell r="AT231">
            <v>4.2</v>
          </cell>
          <cell r="AW231">
            <v>4.4000000000000004</v>
          </cell>
          <cell r="AX231">
            <v>4.3</v>
          </cell>
          <cell r="AY231">
            <v>4.2</v>
          </cell>
          <cell r="AZ231" t="str">
            <v>ND</v>
          </cell>
          <cell r="BB231">
            <v>4.4000000000000004</v>
          </cell>
          <cell r="BC231">
            <v>4.3</v>
          </cell>
          <cell r="BD231">
            <v>4.2</v>
          </cell>
          <cell r="BE231">
            <v>4.2</v>
          </cell>
          <cell r="BF231">
            <v>4.3</v>
          </cell>
          <cell r="BG231">
            <v>4.4000000000000004</v>
          </cell>
          <cell r="BH231">
            <v>4.3</v>
          </cell>
          <cell r="BI231">
            <v>4.2</v>
          </cell>
          <cell r="BJ231">
            <v>4.2</v>
          </cell>
          <cell r="BK231">
            <v>4.3</v>
          </cell>
          <cell r="BL231">
            <v>4.3</v>
          </cell>
          <cell r="BM231">
            <v>4.2</v>
          </cell>
          <cell r="BN231" t="str">
            <v>ND</v>
          </cell>
          <cell r="BO231" t="str">
            <v>ND</v>
          </cell>
          <cell r="BP231" t="str">
            <v>ND</v>
          </cell>
          <cell r="BQ231" t="str">
            <v>ND</v>
          </cell>
          <cell r="BR231" t="str">
            <v>ND</v>
          </cell>
          <cell r="BS231" t="str">
            <v>ND</v>
          </cell>
          <cell r="BT231">
            <v>4.2</v>
          </cell>
          <cell r="BU231">
            <v>4.3</v>
          </cell>
          <cell r="BV231">
            <v>4.3</v>
          </cell>
          <cell r="BW231">
            <v>4.2</v>
          </cell>
          <cell r="BX231">
            <v>4.0999999999999996</v>
          </cell>
          <cell r="BY231">
            <v>4.2</v>
          </cell>
          <cell r="BZ231">
            <v>4.2</v>
          </cell>
          <cell r="CA231">
            <v>4.3</v>
          </cell>
          <cell r="CB231">
            <v>4.0999999999999996</v>
          </cell>
          <cell r="CC231">
            <v>4.0999999999999996</v>
          </cell>
          <cell r="CD231">
            <v>4.0999999999999996</v>
          </cell>
          <cell r="CE231">
            <v>4.2</v>
          </cell>
          <cell r="CF231">
            <v>5</v>
          </cell>
          <cell r="CG231">
            <v>4.2</v>
          </cell>
          <cell r="CH231">
            <v>4.0999999999999996</v>
          </cell>
        </row>
        <row r="232">
          <cell r="B232" t="str">
            <v>Surgeries</v>
          </cell>
          <cell r="D232" t="str">
            <v>ND</v>
          </cell>
          <cell r="E232" t="str">
            <v>ND</v>
          </cell>
          <cell r="F232" t="str">
            <v>ND</v>
          </cell>
          <cell r="G232" t="str">
            <v>ND</v>
          </cell>
          <cell r="H232" t="str">
            <v>ND</v>
          </cell>
          <cell r="I232" t="str">
            <v>ND</v>
          </cell>
          <cell r="J232" t="str">
            <v>ND</v>
          </cell>
          <cell r="K232" t="str">
            <v>ND</v>
          </cell>
          <cell r="L232" t="str">
            <v>ND</v>
          </cell>
          <cell r="M232" t="str">
            <v>ND</v>
          </cell>
          <cell r="N232" t="str">
            <v>ND</v>
          </cell>
          <cell r="O232" t="str">
            <v>ND</v>
          </cell>
          <cell r="P232" t="str">
            <v>ND</v>
          </cell>
          <cell r="Q232" t="str">
            <v>ND</v>
          </cell>
          <cell r="R232" t="str">
            <v>ND</v>
          </cell>
          <cell r="S232" t="str">
            <v>ND</v>
          </cell>
          <cell r="T232" t="str">
            <v>ND</v>
          </cell>
          <cell r="U232" t="str">
            <v>ND</v>
          </cell>
          <cell r="V232" t="str">
            <v>ND</v>
          </cell>
          <cell r="W232" t="str">
            <v>ND</v>
          </cell>
          <cell r="X232" t="str">
            <v>ND</v>
          </cell>
          <cell r="Y232" t="str">
            <v>ND</v>
          </cell>
          <cell r="Z232" t="str">
            <v>ND</v>
          </cell>
          <cell r="AA232" t="str">
            <v>ND</v>
          </cell>
          <cell r="AB232" t="str">
            <v>ND</v>
          </cell>
          <cell r="AC232">
            <v>50734</v>
          </cell>
          <cell r="AD232" t="str">
            <v>ND</v>
          </cell>
          <cell r="AE232">
            <v>51356</v>
          </cell>
          <cell r="AF232">
            <v>187227</v>
          </cell>
          <cell r="AG232">
            <v>51684</v>
          </cell>
          <cell r="AH232">
            <v>53099</v>
          </cell>
          <cell r="AI232">
            <v>52678</v>
          </cell>
          <cell r="AJ232">
            <v>52497</v>
          </cell>
          <cell r="AK232">
            <v>209786</v>
          </cell>
          <cell r="AL232">
            <v>52775</v>
          </cell>
          <cell r="AM232">
            <v>62242</v>
          </cell>
          <cell r="AN232">
            <v>60308</v>
          </cell>
          <cell r="AO232">
            <v>59061</v>
          </cell>
          <cell r="AP232">
            <v>211420</v>
          </cell>
          <cell r="AQ232">
            <v>60728</v>
          </cell>
          <cell r="AR232">
            <v>63236</v>
          </cell>
          <cell r="AS232">
            <v>68398</v>
          </cell>
          <cell r="AT232">
            <v>66546</v>
          </cell>
          <cell r="AW232">
            <v>62242</v>
          </cell>
          <cell r="AX232">
            <v>60308</v>
          </cell>
          <cell r="AY232">
            <v>59061</v>
          </cell>
          <cell r="AZ232">
            <v>60728</v>
          </cell>
          <cell r="BA232">
            <v>242339</v>
          </cell>
          <cell r="BB232">
            <v>63236</v>
          </cell>
          <cell r="BC232">
            <v>68398</v>
          </cell>
          <cell r="BD232">
            <v>66546</v>
          </cell>
          <cell r="BE232">
            <v>65738</v>
          </cell>
          <cell r="BF232">
            <v>247627</v>
          </cell>
          <cell r="BG232">
            <v>70985</v>
          </cell>
          <cell r="BH232">
            <v>70054</v>
          </cell>
          <cell r="BI232">
            <v>68949</v>
          </cell>
          <cell r="BJ232">
            <v>68620</v>
          </cell>
          <cell r="BK232">
            <v>272983</v>
          </cell>
          <cell r="BL232">
            <v>70357</v>
          </cell>
          <cell r="BM232">
            <v>70187</v>
          </cell>
          <cell r="BN232" t="str">
            <v>ND</v>
          </cell>
          <cell r="BO232" t="str">
            <v>ND</v>
          </cell>
          <cell r="BP232">
            <v>277903</v>
          </cell>
          <cell r="BQ232" t="str">
            <v>ND</v>
          </cell>
          <cell r="BR232" t="str">
            <v>ND</v>
          </cell>
          <cell r="BS232" t="str">
            <v>ND</v>
          </cell>
          <cell r="BT232">
            <v>66450</v>
          </cell>
          <cell r="BU232">
            <v>269712</v>
          </cell>
          <cell r="BV232">
            <v>72963</v>
          </cell>
          <cell r="BW232">
            <v>73152</v>
          </cell>
          <cell r="BX232">
            <v>71317</v>
          </cell>
          <cell r="BY232">
            <v>70824</v>
          </cell>
          <cell r="BZ232">
            <v>282680</v>
          </cell>
          <cell r="CA232">
            <v>78126</v>
          </cell>
          <cell r="CB232">
            <v>78116</v>
          </cell>
          <cell r="CC232">
            <v>77922</v>
          </cell>
          <cell r="CD232">
            <v>80869</v>
          </cell>
          <cell r="CE232">
            <v>314564</v>
          </cell>
          <cell r="CF232">
            <v>82824</v>
          </cell>
          <cell r="CG232">
            <v>82509</v>
          </cell>
          <cell r="CH232">
            <v>81665</v>
          </cell>
        </row>
        <row r="233">
          <cell r="B233" t="str">
            <v>Emergency room visits</v>
          </cell>
          <cell r="D233" t="str">
            <v>ND</v>
          </cell>
          <cell r="E233" t="str">
            <v>ND</v>
          </cell>
          <cell r="F233" t="str">
            <v>ND</v>
          </cell>
          <cell r="G233" t="str">
            <v>ND</v>
          </cell>
          <cell r="H233" t="str">
            <v>ND</v>
          </cell>
          <cell r="I233" t="str">
            <v>ND</v>
          </cell>
          <cell r="J233" t="str">
            <v>ND</v>
          </cell>
          <cell r="K233" t="str">
            <v>ND</v>
          </cell>
          <cell r="L233" t="str">
            <v>ND</v>
          </cell>
          <cell r="M233" t="str">
            <v>ND</v>
          </cell>
          <cell r="N233" t="str">
            <v>ND</v>
          </cell>
          <cell r="O233" t="str">
            <v>ND</v>
          </cell>
          <cell r="P233" t="str">
            <v>ND</v>
          </cell>
          <cell r="Q233" t="str">
            <v>ND</v>
          </cell>
          <cell r="R233" t="str">
            <v>ND</v>
          </cell>
          <cell r="S233" t="str">
            <v>ND</v>
          </cell>
          <cell r="T233" t="str">
            <v>ND</v>
          </cell>
          <cell r="U233" t="str">
            <v>ND</v>
          </cell>
          <cell r="V233" t="str">
            <v>ND</v>
          </cell>
          <cell r="W233" t="str">
            <v>ND</v>
          </cell>
          <cell r="X233" t="str">
            <v>ND</v>
          </cell>
          <cell r="Y233" t="str">
            <v>ND</v>
          </cell>
          <cell r="Z233" t="str">
            <v>ND</v>
          </cell>
          <cell r="AA233" t="str">
            <v>ND</v>
          </cell>
          <cell r="AB233" t="str">
            <v>ND</v>
          </cell>
          <cell r="AC233" t="str">
            <v>ND</v>
          </cell>
          <cell r="AD233" t="str">
            <v>ND</v>
          </cell>
          <cell r="AE233" t="str">
            <v>ND</v>
          </cell>
          <cell r="AF233" t="str">
            <v>ND</v>
          </cell>
          <cell r="AG233" t="str">
            <v>ND</v>
          </cell>
          <cell r="AH233" t="str">
            <v>ND</v>
          </cell>
          <cell r="AI233" t="str">
            <v>ND</v>
          </cell>
          <cell r="AJ233" t="str">
            <v>ND</v>
          </cell>
          <cell r="AK233" t="str">
            <v>ND</v>
          </cell>
          <cell r="AL233" t="str">
            <v>ND</v>
          </cell>
          <cell r="AM233" t="str">
            <v>ND</v>
          </cell>
          <cell r="AN233" t="str">
            <v>ND</v>
          </cell>
          <cell r="AO233" t="str">
            <v>ND</v>
          </cell>
          <cell r="AP233" t="str">
            <v>ND</v>
          </cell>
          <cell r="AQ233" t="str">
            <v>ND</v>
          </cell>
          <cell r="AR233" t="str">
            <v>ND</v>
          </cell>
          <cell r="AS233" t="str">
            <v>ND</v>
          </cell>
          <cell r="AT233" t="str">
            <v>ND</v>
          </cell>
          <cell r="AW233" t="str">
            <v>ND</v>
          </cell>
          <cell r="AX233" t="str">
            <v>ND</v>
          </cell>
          <cell r="AY233" t="str">
            <v>ND</v>
          </cell>
          <cell r="AZ233" t="str">
            <v>ND</v>
          </cell>
          <cell r="BB233" t="str">
            <v>ND</v>
          </cell>
          <cell r="BC233" t="str">
            <v>ND</v>
          </cell>
          <cell r="BD233" t="str">
            <v>ND</v>
          </cell>
          <cell r="BE233" t="str">
            <v>ND</v>
          </cell>
          <cell r="BF233">
            <v>1124758</v>
          </cell>
          <cell r="BG233">
            <v>322534</v>
          </cell>
          <cell r="BH233">
            <v>317391</v>
          </cell>
          <cell r="BI233">
            <v>324262</v>
          </cell>
          <cell r="BJ233" t="str">
            <v>ND</v>
          </cell>
          <cell r="BK233">
            <v>1226573</v>
          </cell>
          <cell r="BL233">
            <v>335101</v>
          </cell>
          <cell r="BM233">
            <v>325367</v>
          </cell>
          <cell r="BN233" t="str">
            <v>ND</v>
          </cell>
          <cell r="BO233" t="str">
            <v>ND</v>
          </cell>
          <cell r="BP233">
            <v>1313472</v>
          </cell>
          <cell r="BQ233" t="str">
            <v>ND</v>
          </cell>
          <cell r="BR233" t="str">
            <v>ND</v>
          </cell>
          <cell r="BS233" t="str">
            <v>ND</v>
          </cell>
          <cell r="BT233">
            <v>316746</v>
          </cell>
          <cell r="BU233">
            <v>1300216</v>
          </cell>
          <cell r="BV233">
            <v>342640</v>
          </cell>
          <cell r="BW233">
            <v>336117</v>
          </cell>
          <cell r="BX233">
            <v>355213</v>
          </cell>
          <cell r="BY233">
            <v>337909</v>
          </cell>
          <cell r="BZ233">
            <v>1360595</v>
          </cell>
          <cell r="CA233">
            <v>343256</v>
          </cell>
          <cell r="CB233">
            <v>345077</v>
          </cell>
          <cell r="CC233">
            <v>356935</v>
          </cell>
          <cell r="CD233">
            <v>370821</v>
          </cell>
          <cell r="CE233">
            <v>1413831</v>
          </cell>
          <cell r="CF233">
            <v>390737</v>
          </cell>
          <cell r="CG233">
            <v>378125</v>
          </cell>
          <cell r="CH233">
            <v>376539</v>
          </cell>
        </row>
        <row r="234">
          <cell r="B234" t="str">
            <v>Net revenue (in thousands)</v>
          </cell>
          <cell r="D234" t="str">
            <v>ND</v>
          </cell>
          <cell r="E234" t="str">
            <v>ND</v>
          </cell>
          <cell r="F234" t="str">
            <v>ND</v>
          </cell>
          <cell r="G234" t="str">
            <v>ND</v>
          </cell>
          <cell r="H234" t="str">
            <v>ND</v>
          </cell>
          <cell r="I234" t="str">
            <v>ND</v>
          </cell>
          <cell r="J234" t="str">
            <v>ND</v>
          </cell>
          <cell r="K234" t="str">
            <v>ND</v>
          </cell>
          <cell r="L234" t="str">
            <v>ND</v>
          </cell>
          <cell r="M234" t="str">
            <v>ND</v>
          </cell>
          <cell r="N234" t="str">
            <v>ND</v>
          </cell>
          <cell r="O234" t="str">
            <v>ND</v>
          </cell>
          <cell r="P234" t="str">
            <v>ND</v>
          </cell>
          <cell r="Q234" t="str">
            <v>ND</v>
          </cell>
          <cell r="R234" t="str">
            <v>ND</v>
          </cell>
          <cell r="S234" t="str">
            <v>ND</v>
          </cell>
          <cell r="T234" t="str">
            <v>ND</v>
          </cell>
          <cell r="U234" t="str">
            <v>ND</v>
          </cell>
          <cell r="V234" t="str">
            <v>ND</v>
          </cell>
          <cell r="W234" t="str">
            <v>ND</v>
          </cell>
          <cell r="X234" t="str">
            <v>ND</v>
          </cell>
          <cell r="Y234" t="str">
            <v>ND</v>
          </cell>
          <cell r="Z234" t="str">
            <v>ND</v>
          </cell>
          <cell r="AA234" t="str">
            <v>ND</v>
          </cell>
          <cell r="AB234" t="str">
            <v>ND</v>
          </cell>
          <cell r="AC234">
            <v>576335</v>
          </cell>
          <cell r="AD234" t="str">
            <v>ND</v>
          </cell>
          <cell r="AE234">
            <v>589310</v>
          </cell>
          <cell r="AF234" t="str">
            <v>ND</v>
          </cell>
          <cell r="AG234">
            <v>603940</v>
          </cell>
          <cell r="AH234">
            <v>640868</v>
          </cell>
          <cell r="AI234">
            <v>641155</v>
          </cell>
          <cell r="AJ234">
            <v>633633</v>
          </cell>
          <cell r="AK234" t="str">
            <v>ND</v>
          </cell>
          <cell r="AL234" t="str">
            <v>ND</v>
          </cell>
          <cell r="AM234">
            <v>827792</v>
          </cell>
          <cell r="AN234">
            <v>808114</v>
          </cell>
          <cell r="AO234">
            <v>780604</v>
          </cell>
          <cell r="AP234">
            <v>2799034</v>
          </cell>
          <cell r="AQ234" t="str">
            <v>ND</v>
          </cell>
          <cell r="AR234">
            <v>859833</v>
          </cell>
          <cell r="AS234">
            <v>921712</v>
          </cell>
          <cell r="AT234">
            <v>885447</v>
          </cell>
          <cell r="AW234">
            <v>827792</v>
          </cell>
          <cell r="AX234">
            <v>808114</v>
          </cell>
          <cell r="AY234">
            <v>780604</v>
          </cell>
          <cell r="AZ234">
            <v>809002</v>
          </cell>
          <cell r="BA234">
            <v>3225512</v>
          </cell>
          <cell r="BB234">
            <v>859833</v>
          </cell>
          <cell r="BC234">
            <v>921712</v>
          </cell>
          <cell r="BD234">
            <v>885447</v>
          </cell>
          <cell r="BE234">
            <v>911802</v>
          </cell>
          <cell r="BF234">
            <v>3328424</v>
          </cell>
          <cell r="BG234">
            <v>999397</v>
          </cell>
          <cell r="BH234">
            <v>958382</v>
          </cell>
          <cell r="BI234">
            <v>989718</v>
          </cell>
          <cell r="BJ234">
            <v>1023512</v>
          </cell>
          <cell r="BK234">
            <v>3831031</v>
          </cell>
          <cell r="BL234">
            <v>1099462</v>
          </cell>
          <cell r="BM234">
            <v>1064104</v>
          </cell>
          <cell r="BN234">
            <v>1046816</v>
          </cell>
          <cell r="BO234">
            <v>1076483</v>
          </cell>
          <cell r="BP234">
            <v>4244161</v>
          </cell>
          <cell r="BQ234" t="str">
            <v>ND</v>
          </cell>
          <cell r="BR234" t="str">
            <v>ND</v>
          </cell>
          <cell r="BS234" t="str">
            <v>ND</v>
          </cell>
          <cell r="BT234">
            <v>1089918</v>
          </cell>
          <cell r="BU234">
            <v>4360466</v>
          </cell>
          <cell r="BV234">
            <v>1164705</v>
          </cell>
          <cell r="BW234">
            <v>1131765</v>
          </cell>
          <cell r="BX234">
            <v>1121903</v>
          </cell>
          <cell r="BY234">
            <v>1184502</v>
          </cell>
          <cell r="BZ234">
            <v>4556809</v>
          </cell>
          <cell r="CA234">
            <v>1271744</v>
          </cell>
          <cell r="CB234">
            <v>1230101</v>
          </cell>
          <cell r="CC234">
            <v>1250362</v>
          </cell>
          <cell r="CD234">
            <v>1346549</v>
          </cell>
          <cell r="CE234">
            <v>5092166</v>
          </cell>
          <cell r="CF234">
            <v>1254760</v>
          </cell>
          <cell r="CG234">
            <v>1224566</v>
          </cell>
          <cell r="CH234">
            <v>1219622</v>
          </cell>
        </row>
        <row r="235">
          <cell r="B235" t="str">
            <v>Net revenue per adjusted admission</v>
          </cell>
          <cell r="D235" t="str">
            <v>ND</v>
          </cell>
          <cell r="E235" t="str">
            <v>ND</v>
          </cell>
          <cell r="F235" t="str">
            <v>ND</v>
          </cell>
          <cell r="G235" t="str">
            <v>ND</v>
          </cell>
          <cell r="H235" t="str">
            <v>ND</v>
          </cell>
          <cell r="I235" t="str">
            <v>ND</v>
          </cell>
          <cell r="J235" t="str">
            <v>ND</v>
          </cell>
          <cell r="K235" t="str">
            <v>ND</v>
          </cell>
          <cell r="L235" t="str">
            <v>ND</v>
          </cell>
          <cell r="M235" t="str">
            <v>ND</v>
          </cell>
          <cell r="N235" t="str">
            <v>ND</v>
          </cell>
          <cell r="O235" t="str">
            <v>ND</v>
          </cell>
          <cell r="P235" t="str">
            <v>ND</v>
          </cell>
          <cell r="Q235" t="str">
            <v>ND</v>
          </cell>
          <cell r="R235" t="str">
            <v>ND</v>
          </cell>
          <cell r="S235" t="str">
            <v>ND</v>
          </cell>
          <cell r="T235" t="str">
            <v>ND</v>
          </cell>
          <cell r="U235" t="str">
            <v>ND</v>
          </cell>
          <cell r="V235" t="str">
            <v>ND</v>
          </cell>
          <cell r="W235" t="str">
            <v>ND</v>
          </cell>
          <cell r="X235" t="str">
            <v>ND</v>
          </cell>
          <cell r="Y235" t="str">
            <v>ND</v>
          </cell>
          <cell r="Z235" t="str">
            <v>ND</v>
          </cell>
          <cell r="AA235" t="str">
            <v>ND</v>
          </cell>
          <cell r="AB235" t="str">
            <v>ND</v>
          </cell>
          <cell r="AC235" t="str">
            <v>ND</v>
          </cell>
          <cell r="AD235" t="str">
            <v>ND</v>
          </cell>
          <cell r="AE235" t="str">
            <v>ND</v>
          </cell>
          <cell r="AF235" t="str">
            <v>ND</v>
          </cell>
          <cell r="AG235" t="str">
            <v>ND</v>
          </cell>
          <cell r="AH235" t="str">
            <v>ND</v>
          </cell>
          <cell r="AI235" t="str">
            <v>ND</v>
          </cell>
          <cell r="AJ235" t="str">
            <v>ND</v>
          </cell>
          <cell r="AK235" t="str">
            <v>ND</v>
          </cell>
          <cell r="AL235" t="str">
            <v>ND</v>
          </cell>
          <cell r="AM235" t="str">
            <v>ND</v>
          </cell>
          <cell r="AN235" t="str">
            <v>ND</v>
          </cell>
          <cell r="AO235" t="str">
            <v>ND</v>
          </cell>
          <cell r="AP235" t="str">
            <v>ND</v>
          </cell>
          <cell r="AQ235" t="str">
            <v>ND</v>
          </cell>
          <cell r="AR235" t="str">
            <v>ND</v>
          </cell>
          <cell r="AS235" t="str">
            <v>ND</v>
          </cell>
          <cell r="AT235" t="str">
            <v>ND</v>
          </cell>
          <cell r="AW235" t="str">
            <v>ND</v>
          </cell>
          <cell r="AX235" t="str">
            <v>ND</v>
          </cell>
          <cell r="AY235" t="str">
            <v>ND</v>
          </cell>
          <cell r="AZ235" t="str">
            <v>ND</v>
          </cell>
          <cell r="BB235" t="str">
            <v>ND</v>
          </cell>
          <cell r="BC235" t="str">
            <v>ND</v>
          </cell>
          <cell r="BD235" t="str">
            <v>ND</v>
          </cell>
          <cell r="BE235" t="str">
            <v>ND</v>
          </cell>
          <cell r="BF235" t="str">
            <v>ND</v>
          </cell>
          <cell r="BG235" t="str">
            <v>ND</v>
          </cell>
          <cell r="BH235" t="str">
            <v>ND</v>
          </cell>
          <cell r="BI235" t="str">
            <v>ND</v>
          </cell>
          <cell r="BJ235" t="str">
            <v>ND</v>
          </cell>
          <cell r="BK235" t="str">
            <v>ND</v>
          </cell>
          <cell r="BL235" t="str">
            <v>ND</v>
          </cell>
          <cell r="BM235" t="str">
            <v>ND</v>
          </cell>
          <cell r="BN235" t="str">
            <v>ND</v>
          </cell>
          <cell r="BO235" t="str">
            <v>ND</v>
          </cell>
          <cell r="BP235" t="str">
            <v>ND</v>
          </cell>
          <cell r="BQ235" t="str">
            <v>ND</v>
          </cell>
          <cell r="BR235" t="str">
            <v>ND</v>
          </cell>
          <cell r="BS235" t="str">
            <v>ND</v>
          </cell>
          <cell r="BT235" t="str">
            <v>ND</v>
          </cell>
          <cell r="BU235" t="str">
            <v>ND</v>
          </cell>
          <cell r="BV235">
            <v>8472</v>
          </cell>
          <cell r="BW235">
            <v>8528</v>
          </cell>
          <cell r="BX235">
            <v>8308</v>
          </cell>
          <cell r="BY235">
            <v>8776</v>
          </cell>
          <cell r="BZ235">
            <v>8519</v>
          </cell>
          <cell r="CA235">
            <v>8630</v>
          </cell>
          <cell r="CB235">
            <v>8582</v>
          </cell>
          <cell r="CC235">
            <v>8675</v>
          </cell>
          <cell r="CD235">
            <v>8885</v>
          </cell>
          <cell r="CE235">
            <v>8689</v>
          </cell>
          <cell r="CF235">
            <v>7889</v>
          </cell>
          <cell r="CG235">
            <v>8045</v>
          </cell>
          <cell r="CH235">
            <v>7864</v>
          </cell>
        </row>
        <row r="236">
          <cell r="B236" t="str">
            <v>Total inpatient revenue percentage</v>
          </cell>
          <cell r="D236" t="str">
            <v>ND</v>
          </cell>
          <cell r="E236" t="str">
            <v>ND</v>
          </cell>
          <cell r="F236" t="str">
            <v>ND</v>
          </cell>
          <cell r="G236" t="str">
            <v>ND</v>
          </cell>
          <cell r="H236" t="str">
            <v>ND</v>
          </cell>
          <cell r="I236" t="str">
            <v>ND</v>
          </cell>
          <cell r="J236" t="str">
            <v>ND</v>
          </cell>
          <cell r="K236" t="str">
            <v>ND</v>
          </cell>
          <cell r="L236" t="str">
            <v>ND</v>
          </cell>
          <cell r="M236" t="str">
            <v>ND</v>
          </cell>
          <cell r="N236" t="str">
            <v>ND</v>
          </cell>
          <cell r="O236" t="str">
            <v>ND</v>
          </cell>
          <cell r="P236" t="str">
            <v>ND</v>
          </cell>
          <cell r="Q236" t="str">
            <v>ND</v>
          </cell>
          <cell r="R236" t="str">
            <v>ND</v>
          </cell>
          <cell r="S236" t="str">
            <v>ND</v>
          </cell>
          <cell r="T236" t="str">
            <v>ND</v>
          </cell>
          <cell r="U236" t="str">
            <v>ND</v>
          </cell>
          <cell r="V236" t="str">
            <v>ND</v>
          </cell>
          <cell r="W236" t="str">
            <v>ND</v>
          </cell>
          <cell r="X236" t="str">
            <v>ND</v>
          </cell>
          <cell r="Y236" t="str">
            <v>ND</v>
          </cell>
          <cell r="Z236" t="str">
            <v>ND</v>
          </cell>
          <cell r="AA236" t="str">
            <v>ND</v>
          </cell>
          <cell r="AB236" t="str">
            <v>ND</v>
          </cell>
          <cell r="AC236">
            <v>0.56499999999999995</v>
          </cell>
          <cell r="AD236" t="str">
            <v>ND</v>
          </cell>
          <cell r="AE236">
            <v>0.56599999999999995</v>
          </cell>
          <cell r="AF236">
            <v>0.55600000000000005</v>
          </cell>
          <cell r="AG236">
            <v>0.55100000000000005</v>
          </cell>
          <cell r="AH236">
            <v>0.56000000000000005</v>
          </cell>
          <cell r="AI236">
            <v>0.51900000000000002</v>
          </cell>
          <cell r="AJ236">
            <v>0.52900000000000003</v>
          </cell>
          <cell r="AK236">
            <v>0.54</v>
          </cell>
          <cell r="AL236">
            <v>0.54100000000000004</v>
          </cell>
          <cell r="AM236">
            <v>0.54200000000000004</v>
          </cell>
          <cell r="AN236">
            <v>0.51700000000000002</v>
          </cell>
          <cell r="AO236">
            <v>0.50800000000000001</v>
          </cell>
          <cell r="AP236">
            <v>0.53400000000000003</v>
          </cell>
          <cell r="AQ236">
            <v>0.53300000000000003</v>
          </cell>
          <cell r="AR236">
            <v>0.53700000000000003</v>
          </cell>
          <cell r="AS236">
            <v>0.505</v>
          </cell>
          <cell r="AT236">
            <v>0.496</v>
          </cell>
          <cell r="AW236">
            <v>0.54200000000000004</v>
          </cell>
          <cell r="AX236">
            <v>0.51700000000000002</v>
          </cell>
          <cell r="AY236">
            <v>0.50800000000000001</v>
          </cell>
          <cell r="AZ236">
            <v>0.46700000000000003</v>
          </cell>
          <cell r="BB236">
            <v>0.53700000000000003</v>
          </cell>
          <cell r="BC236">
            <v>0.505</v>
          </cell>
          <cell r="BD236">
            <v>0.496</v>
          </cell>
          <cell r="BE236">
            <v>0.51600000000000001</v>
          </cell>
          <cell r="BF236">
            <v>0.51600000000000001</v>
          </cell>
          <cell r="BG236">
            <v>0.51</v>
          </cell>
          <cell r="BH236">
            <v>0.499</v>
          </cell>
          <cell r="BI236">
            <v>0.50900000000000001</v>
          </cell>
          <cell r="BJ236">
            <v>0.501</v>
          </cell>
          <cell r="BK236">
            <v>0.50600000000000001</v>
          </cell>
          <cell r="BL236">
            <v>0.51700000000000002</v>
          </cell>
          <cell r="BM236">
            <v>0.52</v>
          </cell>
          <cell r="BN236" t="str">
            <v>ND</v>
          </cell>
          <cell r="BO236" t="str">
            <v>ND</v>
          </cell>
          <cell r="BP236">
            <v>0.51100000000000001</v>
          </cell>
          <cell r="BQ236" t="str">
            <v>ND</v>
          </cell>
          <cell r="BR236" t="str">
            <v>ND</v>
          </cell>
          <cell r="BS236" t="str">
            <v>ND</v>
          </cell>
          <cell r="BT236">
            <v>0.52700000000000002</v>
          </cell>
          <cell r="BU236">
            <v>0.52200000000000002</v>
          </cell>
          <cell r="BV236">
            <v>0.53300000000000003</v>
          </cell>
          <cell r="BW236">
            <v>0.52800000000000002</v>
          </cell>
          <cell r="BX236">
            <v>0.498</v>
          </cell>
          <cell r="BY236">
            <v>0.497</v>
          </cell>
          <cell r="BZ236">
            <v>0.51400000000000001</v>
          </cell>
          <cell r="CA236">
            <v>0.51900000000000002</v>
          </cell>
          <cell r="CB236">
            <v>0.501</v>
          </cell>
          <cell r="CC236">
            <v>0.48499999999999999</v>
          </cell>
          <cell r="CD236">
            <v>0.495</v>
          </cell>
          <cell r="CE236">
            <v>0.5</v>
          </cell>
          <cell r="CF236">
            <v>0.504</v>
          </cell>
          <cell r="CG236">
            <v>0.47599999999999998</v>
          </cell>
          <cell r="CH236">
            <v>0.46899999999999997</v>
          </cell>
        </row>
        <row r="237">
          <cell r="B237" t="str">
            <v>Total outpatient revenue percentage</v>
          </cell>
          <cell r="D237" t="str">
            <v>ND</v>
          </cell>
          <cell r="E237" t="str">
            <v>ND</v>
          </cell>
          <cell r="F237" t="str">
            <v>ND</v>
          </cell>
          <cell r="G237" t="str">
            <v>ND</v>
          </cell>
          <cell r="H237" t="str">
            <v>ND</v>
          </cell>
          <cell r="I237" t="str">
            <v>ND</v>
          </cell>
          <cell r="J237" t="str">
            <v>ND</v>
          </cell>
          <cell r="K237" t="str">
            <v>ND</v>
          </cell>
          <cell r="L237" t="str">
            <v>ND</v>
          </cell>
          <cell r="M237" t="str">
            <v>ND</v>
          </cell>
          <cell r="N237" t="str">
            <v>ND</v>
          </cell>
          <cell r="O237" t="str">
            <v>ND</v>
          </cell>
          <cell r="P237" t="str">
            <v>ND</v>
          </cell>
          <cell r="Q237" t="str">
            <v>ND</v>
          </cell>
          <cell r="R237" t="str">
            <v>ND</v>
          </cell>
          <cell r="S237" t="str">
            <v>ND</v>
          </cell>
          <cell r="T237" t="str">
            <v>ND</v>
          </cell>
          <cell r="U237" t="str">
            <v>ND</v>
          </cell>
          <cell r="V237" t="str">
            <v>ND</v>
          </cell>
          <cell r="W237" t="str">
            <v>ND</v>
          </cell>
          <cell r="X237" t="str">
            <v>ND</v>
          </cell>
          <cell r="Y237" t="str">
            <v>ND</v>
          </cell>
          <cell r="Z237" t="str">
            <v>ND</v>
          </cell>
          <cell r="AA237" t="str">
            <v>ND</v>
          </cell>
          <cell r="AB237" t="str">
            <v>ND</v>
          </cell>
          <cell r="AC237">
            <v>0.435</v>
          </cell>
          <cell r="AD237" t="str">
            <v>ND</v>
          </cell>
          <cell r="AE237">
            <v>0.434</v>
          </cell>
          <cell r="AF237">
            <v>0.44400000000000001</v>
          </cell>
          <cell r="AG237">
            <v>0.44900000000000001</v>
          </cell>
          <cell r="AH237">
            <v>0.44</v>
          </cell>
          <cell r="AI237">
            <v>0.48099999999999998</v>
          </cell>
          <cell r="AJ237">
            <v>0.47099999999999997</v>
          </cell>
          <cell r="AK237">
            <v>0.46</v>
          </cell>
          <cell r="AL237">
            <v>0.45900000000000002</v>
          </cell>
          <cell r="AM237">
            <v>0.45800000000000002</v>
          </cell>
          <cell r="AN237">
            <v>0.48299999999999998</v>
          </cell>
          <cell r="AO237">
            <v>0.49199999999999999</v>
          </cell>
          <cell r="AP237">
            <v>0.46600000000000003</v>
          </cell>
          <cell r="AQ237">
            <v>0.46700000000000003</v>
          </cell>
          <cell r="AR237">
            <v>0.46300000000000002</v>
          </cell>
          <cell r="AS237">
            <v>0.495</v>
          </cell>
          <cell r="AT237">
            <v>0.504</v>
          </cell>
          <cell r="AW237">
            <v>0.45800000000000002</v>
          </cell>
          <cell r="AX237">
            <v>0.48299999999999998</v>
          </cell>
          <cell r="AY237">
            <v>0.49199999999999999</v>
          </cell>
          <cell r="AZ237">
            <v>0.53300000000000003</v>
          </cell>
          <cell r="BB237">
            <v>0.46300000000000002</v>
          </cell>
          <cell r="BC237">
            <v>0.495</v>
          </cell>
          <cell r="BD237">
            <v>0.504</v>
          </cell>
          <cell r="BE237">
            <v>0.48399999999999999</v>
          </cell>
          <cell r="BF237">
            <v>0.48399999999999999</v>
          </cell>
          <cell r="BG237">
            <v>0.49</v>
          </cell>
          <cell r="BH237">
            <v>0.501</v>
          </cell>
          <cell r="BI237">
            <v>0.49099999999999999</v>
          </cell>
          <cell r="BJ237">
            <v>0.499</v>
          </cell>
          <cell r="BK237">
            <v>0.49399999999999999</v>
          </cell>
          <cell r="BL237">
            <v>0.48299999999999998</v>
          </cell>
          <cell r="BM237">
            <v>0.48</v>
          </cell>
          <cell r="BN237" t="str">
            <v>ND</v>
          </cell>
          <cell r="BO237" t="str">
            <v>ND</v>
          </cell>
          <cell r="BP237">
            <v>0.48899999999999999</v>
          </cell>
          <cell r="BQ237" t="str">
            <v>ND</v>
          </cell>
          <cell r="BR237" t="str">
            <v>ND</v>
          </cell>
          <cell r="BS237" t="str">
            <v>ND</v>
          </cell>
          <cell r="BT237">
            <v>0.47299999999999998</v>
          </cell>
          <cell r="BU237">
            <v>0.47799999999999998</v>
          </cell>
          <cell r="BV237">
            <v>0.46700000000000003</v>
          </cell>
          <cell r="BW237">
            <v>0.47199999999999998</v>
          </cell>
          <cell r="BX237">
            <v>0.502</v>
          </cell>
          <cell r="BY237">
            <v>0.503</v>
          </cell>
          <cell r="BZ237">
            <v>0.48599999999999999</v>
          </cell>
          <cell r="CA237">
            <v>0.48099999999999998</v>
          </cell>
          <cell r="CB237">
            <v>0.499</v>
          </cell>
          <cell r="CC237">
            <v>0.51500000000000001</v>
          </cell>
          <cell r="CD237">
            <v>0.505</v>
          </cell>
          <cell r="CE237">
            <v>0.5</v>
          </cell>
          <cell r="CF237">
            <v>0.496</v>
          </cell>
          <cell r="CG237">
            <v>0.52400000000000002</v>
          </cell>
          <cell r="CH237">
            <v>0.53100000000000003</v>
          </cell>
        </row>
        <row r="239">
          <cell r="B239" t="str">
            <v>Net revenue</v>
          </cell>
          <cell r="D239">
            <v>211793</v>
          </cell>
          <cell r="E239">
            <v>245247</v>
          </cell>
          <cell r="F239">
            <v>301883</v>
          </cell>
          <cell r="G239">
            <v>346767</v>
          </cell>
          <cell r="H239">
            <v>438366</v>
          </cell>
          <cell r="I239">
            <v>531094</v>
          </cell>
          <cell r="J239">
            <v>714317</v>
          </cell>
          <cell r="K239">
            <v>895482</v>
          </cell>
          <cell r="L239">
            <v>1138800</v>
          </cell>
          <cell r="M239">
            <v>305500</v>
          </cell>
          <cell r="N239">
            <v>339700</v>
          </cell>
          <cell r="O239">
            <v>352500</v>
          </cell>
          <cell r="P239" t="str">
            <v>ND</v>
          </cell>
          <cell r="Q239">
            <v>1355700</v>
          </cell>
          <cell r="R239">
            <v>370100</v>
          </cell>
          <cell r="S239">
            <v>408700</v>
          </cell>
          <cell r="T239">
            <v>391100</v>
          </cell>
          <cell r="U239" t="str">
            <v>ND</v>
          </cell>
          <cell r="V239">
            <v>1577800</v>
          </cell>
          <cell r="W239">
            <v>434200</v>
          </cell>
          <cell r="X239">
            <v>481100</v>
          </cell>
          <cell r="Y239">
            <v>473200</v>
          </cell>
          <cell r="Z239" t="str">
            <v>ND</v>
          </cell>
          <cell r="AA239">
            <v>1879800</v>
          </cell>
          <cell r="AB239">
            <v>495800</v>
          </cell>
          <cell r="AC239">
            <v>579900</v>
          </cell>
          <cell r="AD239">
            <v>592500</v>
          </cell>
          <cell r="AE239">
            <v>594356</v>
          </cell>
          <cell r="AF239">
            <v>2262600</v>
          </cell>
          <cell r="AG239">
            <v>609419</v>
          </cell>
          <cell r="AH239">
            <v>646472</v>
          </cell>
          <cell r="AI239">
            <v>647127</v>
          </cell>
          <cell r="AJ239">
            <v>657558</v>
          </cell>
          <cell r="AK239">
            <v>2560576</v>
          </cell>
          <cell r="AL239">
            <v>756553</v>
          </cell>
          <cell r="AM239">
            <v>833907</v>
          </cell>
          <cell r="AN239">
            <v>817341</v>
          </cell>
          <cell r="AO239">
            <v>789661</v>
          </cell>
          <cell r="AP239">
            <v>3174832</v>
          </cell>
          <cell r="AR239">
            <v>908159</v>
          </cell>
          <cell r="AS239">
            <v>944883</v>
          </cell>
          <cell r="AT239">
            <v>902707</v>
          </cell>
          <cell r="AW239">
            <v>833907</v>
          </cell>
          <cell r="AX239">
            <v>817341</v>
          </cell>
          <cell r="AY239">
            <v>789661</v>
          </cell>
          <cell r="AZ239">
            <v>814938</v>
          </cell>
          <cell r="BA239">
            <v>3255847</v>
          </cell>
          <cell r="BB239">
            <v>908159</v>
          </cell>
          <cell r="BC239">
            <v>944883</v>
          </cell>
          <cell r="BD239">
            <v>902707</v>
          </cell>
          <cell r="BE239">
            <v>917186</v>
          </cell>
          <cell r="BF239">
            <v>3599177</v>
          </cell>
          <cell r="BG239">
            <v>1009489</v>
          </cell>
          <cell r="BH239">
            <v>996866</v>
          </cell>
          <cell r="BI239">
            <v>989250</v>
          </cell>
          <cell r="BJ239">
            <v>1044599</v>
          </cell>
          <cell r="BK239">
            <v>4050425</v>
          </cell>
          <cell r="BL239">
            <v>1107336</v>
          </cell>
          <cell r="BM239">
            <v>1064104</v>
          </cell>
          <cell r="BN239">
            <v>1046816</v>
          </cell>
          <cell r="BO239">
            <v>1076483</v>
          </cell>
          <cell r="BP239">
            <v>4292687</v>
          </cell>
          <cell r="BQ239">
            <v>1152504</v>
          </cell>
          <cell r="BR239">
            <v>1105367</v>
          </cell>
          <cell r="BS239">
            <v>1060224</v>
          </cell>
          <cell r="BT239">
            <v>1089918</v>
          </cell>
          <cell r="BU239">
            <v>4360466</v>
          </cell>
          <cell r="BV239">
            <v>1164705</v>
          </cell>
          <cell r="BW239">
            <v>1131765</v>
          </cell>
          <cell r="BX239">
            <v>1121903</v>
          </cell>
          <cell r="BY239">
            <v>1184502</v>
          </cell>
          <cell r="BZ239">
            <v>4556809</v>
          </cell>
          <cell r="CA239">
            <v>1271744</v>
          </cell>
          <cell r="CB239">
            <v>1230101</v>
          </cell>
          <cell r="CC239">
            <v>1250362</v>
          </cell>
          <cell r="CD239">
            <v>1346549</v>
          </cell>
          <cell r="CE239">
            <v>5092166</v>
          </cell>
          <cell r="CF239">
            <v>1254760</v>
          </cell>
          <cell r="CG239">
            <v>1224566</v>
          </cell>
          <cell r="CH239">
            <v>1219622</v>
          </cell>
        </row>
        <row r="240">
          <cell r="B240" t="str">
            <v>Less acquisitions</v>
          </cell>
          <cell r="D240" t="str">
            <v>ND</v>
          </cell>
          <cell r="E240" t="str">
            <v>ND</v>
          </cell>
          <cell r="F240" t="str">
            <v>ND</v>
          </cell>
          <cell r="G240" t="str">
            <v>ND</v>
          </cell>
          <cell r="H240" t="str">
            <v>ND</v>
          </cell>
          <cell r="I240" t="str">
            <v>ND</v>
          </cell>
          <cell r="J240" t="str">
            <v>ND</v>
          </cell>
          <cell r="K240" t="str">
            <v>ND</v>
          </cell>
          <cell r="L240" t="str">
            <v>ND</v>
          </cell>
          <cell r="M240" t="str">
            <v>ND</v>
          </cell>
          <cell r="N240" t="str">
            <v>ND</v>
          </cell>
          <cell r="O240" t="str">
            <v>ND</v>
          </cell>
          <cell r="P240" t="str">
            <v>ND</v>
          </cell>
          <cell r="Q240" t="str">
            <v>ND</v>
          </cell>
          <cell r="R240" t="str">
            <v>ND</v>
          </cell>
          <cell r="S240" t="str">
            <v>ND</v>
          </cell>
          <cell r="T240" t="str">
            <v>ND</v>
          </cell>
          <cell r="U240" t="str">
            <v>ND</v>
          </cell>
          <cell r="V240" t="str">
            <v>ND</v>
          </cell>
          <cell r="W240" t="str">
            <v>ND</v>
          </cell>
          <cell r="X240" t="str">
            <v>ND</v>
          </cell>
          <cell r="Y240" t="str">
            <v>ND</v>
          </cell>
          <cell r="Z240" t="str">
            <v>ND</v>
          </cell>
          <cell r="AA240" t="str">
            <v>ND</v>
          </cell>
          <cell r="AB240" t="str">
            <v>ND</v>
          </cell>
          <cell r="AC240">
            <v>3613</v>
          </cell>
          <cell r="AD240" t="str">
            <v>ND</v>
          </cell>
          <cell r="AE240">
            <v>5046</v>
          </cell>
          <cell r="AF240" t="str">
            <v>ND</v>
          </cell>
          <cell r="AG240">
            <v>5479</v>
          </cell>
          <cell r="AH240">
            <v>5604</v>
          </cell>
          <cell r="AI240">
            <v>5972</v>
          </cell>
          <cell r="AJ240">
            <v>23925</v>
          </cell>
          <cell r="AK240" t="str">
            <v>ND</v>
          </cell>
          <cell r="AL240">
            <v>68727</v>
          </cell>
          <cell r="AM240">
            <v>6115</v>
          </cell>
          <cell r="AN240">
            <v>9227</v>
          </cell>
          <cell r="AO240">
            <v>9057</v>
          </cell>
          <cell r="AP240">
            <v>375798</v>
          </cell>
          <cell r="AR240">
            <v>48326</v>
          </cell>
          <cell r="AS240">
            <v>23171</v>
          </cell>
          <cell r="AT240">
            <v>17260</v>
          </cell>
          <cell r="AW240">
            <v>6115</v>
          </cell>
          <cell r="AX240">
            <v>9227</v>
          </cell>
          <cell r="AY240">
            <v>9057</v>
          </cell>
          <cell r="AZ240">
            <v>5936</v>
          </cell>
          <cell r="BA240">
            <v>30335</v>
          </cell>
          <cell r="BB240">
            <v>48326</v>
          </cell>
          <cell r="BC240">
            <v>23171</v>
          </cell>
          <cell r="BD240">
            <v>17260</v>
          </cell>
          <cell r="BE240">
            <v>5384</v>
          </cell>
          <cell r="BF240">
            <v>270753</v>
          </cell>
          <cell r="BG240">
            <v>10092</v>
          </cell>
          <cell r="BH240">
            <v>38484</v>
          </cell>
          <cell r="BI240">
            <v>-468</v>
          </cell>
          <cell r="BJ240">
            <v>21087</v>
          </cell>
          <cell r="BK240">
            <v>219394</v>
          </cell>
          <cell r="BL240">
            <v>7874</v>
          </cell>
          <cell r="BM240">
            <v>0</v>
          </cell>
          <cell r="BN240">
            <v>0</v>
          </cell>
          <cell r="BO240">
            <v>0</v>
          </cell>
          <cell r="BP240">
            <v>48526</v>
          </cell>
          <cell r="BQ240" t="str">
            <v>ND</v>
          </cell>
          <cell r="BR240" t="str">
            <v>ND</v>
          </cell>
          <cell r="BS240" t="str">
            <v>ND</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t="str">
            <v>-</v>
          </cell>
        </row>
        <row r="241">
          <cell r="B241" t="str">
            <v>Same hospital net revenue</v>
          </cell>
          <cell r="D241" t="str">
            <v>ND</v>
          </cell>
          <cell r="E241" t="str">
            <v>ND</v>
          </cell>
          <cell r="F241" t="str">
            <v>ND</v>
          </cell>
          <cell r="G241" t="str">
            <v>ND</v>
          </cell>
          <cell r="H241" t="str">
            <v>ND</v>
          </cell>
          <cell r="I241" t="str">
            <v>ND</v>
          </cell>
          <cell r="J241" t="str">
            <v>ND</v>
          </cell>
          <cell r="K241" t="str">
            <v>ND</v>
          </cell>
          <cell r="L241" t="str">
            <v>ND</v>
          </cell>
          <cell r="M241" t="str">
            <v>ND</v>
          </cell>
          <cell r="N241" t="str">
            <v>ND</v>
          </cell>
          <cell r="O241" t="str">
            <v>ND</v>
          </cell>
          <cell r="P241" t="str">
            <v>ND</v>
          </cell>
          <cell r="Q241" t="str">
            <v>ND</v>
          </cell>
          <cell r="R241" t="str">
            <v>ND</v>
          </cell>
          <cell r="S241" t="str">
            <v>ND</v>
          </cell>
          <cell r="T241" t="str">
            <v>ND</v>
          </cell>
          <cell r="U241" t="str">
            <v>ND</v>
          </cell>
          <cell r="V241" t="str">
            <v>ND</v>
          </cell>
          <cell r="W241" t="str">
            <v>ND</v>
          </cell>
          <cell r="X241" t="str">
            <v>ND</v>
          </cell>
          <cell r="Y241" t="str">
            <v>ND</v>
          </cell>
          <cell r="Z241" t="str">
            <v>ND</v>
          </cell>
          <cell r="AA241" t="str">
            <v>ND</v>
          </cell>
          <cell r="AB241" t="str">
            <v>ND</v>
          </cell>
          <cell r="AC241">
            <v>576335</v>
          </cell>
          <cell r="AD241" t="str">
            <v>ND</v>
          </cell>
          <cell r="AE241">
            <v>589310</v>
          </cell>
          <cell r="AF241" t="str">
            <v>ND</v>
          </cell>
          <cell r="AG241">
            <v>603940</v>
          </cell>
          <cell r="AH241">
            <v>640868</v>
          </cell>
          <cell r="AI241">
            <v>641155</v>
          </cell>
          <cell r="AJ241">
            <v>633633</v>
          </cell>
          <cell r="AK241" t="str">
            <v>ND</v>
          </cell>
          <cell r="AL241">
            <v>687826</v>
          </cell>
          <cell r="AM241">
            <v>827792</v>
          </cell>
          <cell r="AN241">
            <v>808114</v>
          </cell>
          <cell r="AO241">
            <v>780604</v>
          </cell>
          <cell r="AP241">
            <v>2799034</v>
          </cell>
          <cell r="AR241">
            <v>859833</v>
          </cell>
          <cell r="AS241">
            <v>921712</v>
          </cell>
          <cell r="AT241">
            <v>885447</v>
          </cell>
          <cell r="AW241">
            <v>827792</v>
          </cell>
          <cell r="AX241">
            <v>808114</v>
          </cell>
          <cell r="AY241">
            <v>780604</v>
          </cell>
          <cell r="AZ241">
            <v>809002</v>
          </cell>
          <cell r="BA241">
            <v>3225512</v>
          </cell>
          <cell r="BB241">
            <v>859833</v>
          </cell>
          <cell r="BC241">
            <v>921712</v>
          </cell>
          <cell r="BD241">
            <v>885447</v>
          </cell>
          <cell r="BE241">
            <v>911802</v>
          </cell>
          <cell r="BF241">
            <v>3328424</v>
          </cell>
          <cell r="BG241">
            <v>999397</v>
          </cell>
          <cell r="BH241">
            <v>958382</v>
          </cell>
          <cell r="BI241">
            <v>989718</v>
          </cell>
          <cell r="BJ241">
            <v>1023512</v>
          </cell>
          <cell r="BK241">
            <v>3831031</v>
          </cell>
          <cell r="BL241">
            <v>1099462</v>
          </cell>
          <cell r="BM241">
            <v>1064104</v>
          </cell>
          <cell r="BN241">
            <v>1046816</v>
          </cell>
          <cell r="BO241">
            <v>1076483</v>
          </cell>
          <cell r="BP241">
            <v>4244161</v>
          </cell>
          <cell r="BQ241" t="str">
            <v>ND</v>
          </cell>
          <cell r="BR241" t="str">
            <v>ND</v>
          </cell>
          <cell r="BS241" t="str">
            <v>ND</v>
          </cell>
          <cell r="BT241">
            <v>1089918</v>
          </cell>
          <cell r="BU241">
            <v>4360466</v>
          </cell>
          <cell r="BV241">
            <v>1164705</v>
          </cell>
          <cell r="BW241">
            <v>1131765</v>
          </cell>
          <cell r="BX241">
            <v>1121903</v>
          </cell>
          <cell r="BY241">
            <v>1184502</v>
          </cell>
          <cell r="BZ241">
            <v>4556809</v>
          </cell>
          <cell r="CA241">
            <v>1271744</v>
          </cell>
          <cell r="CB241">
            <v>1230101</v>
          </cell>
          <cell r="CC241">
            <v>1250362</v>
          </cell>
          <cell r="CD241">
            <v>1346549</v>
          </cell>
          <cell r="CE241">
            <v>5092166</v>
          </cell>
          <cell r="CF241">
            <v>1254760</v>
          </cell>
          <cell r="CG241">
            <v>1224566</v>
          </cell>
          <cell r="CH241">
            <v>1219622</v>
          </cell>
        </row>
        <row r="242">
          <cell r="B242" t="str">
            <v>Same hospital operating Adjusted EBITDA</v>
          </cell>
          <cell r="D242" t="str">
            <v>ND</v>
          </cell>
          <cell r="E242" t="str">
            <v>ND</v>
          </cell>
          <cell r="F242" t="str">
            <v>ND</v>
          </cell>
          <cell r="G242" t="str">
            <v>ND</v>
          </cell>
          <cell r="H242" t="str">
            <v>ND</v>
          </cell>
          <cell r="I242" t="str">
            <v>ND</v>
          </cell>
          <cell r="J242" t="str">
            <v>ND</v>
          </cell>
          <cell r="K242" t="str">
            <v>ND</v>
          </cell>
          <cell r="L242" t="str">
            <v>ND</v>
          </cell>
          <cell r="M242" t="str">
            <v>ND</v>
          </cell>
          <cell r="N242" t="str">
            <v>ND</v>
          </cell>
          <cell r="O242" t="str">
            <v>ND</v>
          </cell>
          <cell r="P242" t="str">
            <v>ND</v>
          </cell>
          <cell r="Q242" t="str">
            <v>ND</v>
          </cell>
          <cell r="R242" t="str">
            <v>ND</v>
          </cell>
          <cell r="S242" t="str">
            <v>ND</v>
          </cell>
          <cell r="T242" t="str">
            <v>ND</v>
          </cell>
          <cell r="U242" t="str">
            <v>ND</v>
          </cell>
          <cell r="V242" t="str">
            <v>ND</v>
          </cell>
          <cell r="W242" t="str">
            <v>ND</v>
          </cell>
          <cell r="X242" t="str">
            <v>ND</v>
          </cell>
          <cell r="Y242" t="str">
            <v>ND</v>
          </cell>
          <cell r="Z242" t="str">
            <v>ND</v>
          </cell>
          <cell r="AA242" t="str">
            <v>ND</v>
          </cell>
          <cell r="AB242" t="str">
            <v>ND</v>
          </cell>
          <cell r="AC242">
            <v>151938</v>
          </cell>
          <cell r="AD242" t="str">
            <v>ND</v>
          </cell>
          <cell r="AE242">
            <v>156733</v>
          </cell>
          <cell r="AF242" t="str">
            <v>ND</v>
          </cell>
          <cell r="AG242">
            <v>138988</v>
          </cell>
          <cell r="AH242">
            <v>169911</v>
          </cell>
          <cell r="AI242">
            <v>167732</v>
          </cell>
          <cell r="AJ242">
            <v>154876</v>
          </cell>
          <cell r="AK242" t="str">
            <v>ND</v>
          </cell>
          <cell r="AL242">
            <v>155633</v>
          </cell>
          <cell r="AM242">
            <v>199204</v>
          </cell>
          <cell r="AN242">
            <v>191556</v>
          </cell>
          <cell r="AO242">
            <v>173350</v>
          </cell>
          <cell r="AP242">
            <v>669652</v>
          </cell>
          <cell r="AR242">
            <v>217073</v>
          </cell>
          <cell r="AS242">
            <v>209453</v>
          </cell>
          <cell r="AT242">
            <v>193185</v>
          </cell>
          <cell r="AW242">
            <v>199204</v>
          </cell>
          <cell r="AX242">
            <v>191556</v>
          </cell>
          <cell r="AY242">
            <v>173350</v>
          </cell>
          <cell r="AZ242">
            <v>185294</v>
          </cell>
          <cell r="BA242">
            <v>749404</v>
          </cell>
          <cell r="BB242">
            <v>217073</v>
          </cell>
          <cell r="BC242">
            <v>209453</v>
          </cell>
          <cell r="BD242">
            <v>193185</v>
          </cell>
          <cell r="BE242">
            <v>188590</v>
          </cell>
          <cell r="BF242">
            <v>776053</v>
          </cell>
          <cell r="BG242">
            <v>218507</v>
          </cell>
          <cell r="BH242">
            <v>193375</v>
          </cell>
          <cell r="BI242">
            <v>185671</v>
          </cell>
          <cell r="BJ242">
            <v>201931</v>
          </cell>
          <cell r="BK242">
            <v>789250</v>
          </cell>
          <cell r="BL242">
            <v>220893</v>
          </cell>
          <cell r="BM242">
            <v>157404</v>
          </cell>
          <cell r="BN242">
            <v>173669</v>
          </cell>
          <cell r="BO242">
            <v>175798</v>
          </cell>
          <cell r="BP242">
            <v>725813</v>
          </cell>
          <cell r="BQ242">
            <v>206770</v>
          </cell>
          <cell r="BR242">
            <v>185563</v>
          </cell>
          <cell r="BS242">
            <v>158565</v>
          </cell>
          <cell r="BT242">
            <v>174263</v>
          </cell>
          <cell r="BU242">
            <v>724412</v>
          </cell>
          <cell r="BV242">
            <v>211559</v>
          </cell>
          <cell r="BW242">
            <v>197226</v>
          </cell>
          <cell r="BX242">
            <v>180092</v>
          </cell>
          <cell r="BY242">
            <v>199609</v>
          </cell>
          <cell r="BZ242">
            <v>788593</v>
          </cell>
          <cell r="CA242">
            <v>229016</v>
          </cell>
          <cell r="CB242">
            <v>213222</v>
          </cell>
          <cell r="CC242">
            <v>201182</v>
          </cell>
          <cell r="CD242">
            <v>216716</v>
          </cell>
          <cell r="CE242">
            <v>859824</v>
          </cell>
          <cell r="CF242">
            <v>247717</v>
          </cell>
          <cell r="CG242">
            <v>237755</v>
          </cell>
          <cell r="CH242">
            <v>227305</v>
          </cell>
        </row>
        <row r="246">
          <cell r="B246" t="str">
            <v>Medicare</v>
          </cell>
          <cell r="D246" t="str">
            <v>ND</v>
          </cell>
          <cell r="E246">
            <v>117718.56</v>
          </cell>
          <cell r="F246">
            <v>150941.5</v>
          </cell>
          <cell r="G246">
            <v>176851.17</v>
          </cell>
          <cell r="H246">
            <v>232333.98</v>
          </cell>
          <cell r="I246">
            <v>292101.7</v>
          </cell>
          <cell r="J246">
            <v>371444.84</v>
          </cell>
          <cell r="K246">
            <v>465650.64</v>
          </cell>
          <cell r="L246">
            <v>558012.98</v>
          </cell>
          <cell r="M246" t="str">
            <v>ND</v>
          </cell>
          <cell r="N246" t="str">
            <v>ND</v>
          </cell>
          <cell r="O246" t="str">
            <v>ND</v>
          </cell>
          <cell r="P246" t="str">
            <v>ND</v>
          </cell>
          <cell r="Q246">
            <v>637182.28999999992</v>
          </cell>
          <cell r="R246" t="str">
            <v>ND</v>
          </cell>
          <cell r="S246" t="str">
            <v>ND</v>
          </cell>
          <cell r="T246" t="str">
            <v>ND</v>
          </cell>
          <cell r="U246" t="str">
            <v>ND</v>
          </cell>
          <cell r="V246">
            <v>757328.15999999992</v>
          </cell>
          <cell r="W246" t="str">
            <v>ND</v>
          </cell>
          <cell r="X246" t="str">
            <v>ND</v>
          </cell>
          <cell r="Y246" t="str">
            <v>ND</v>
          </cell>
          <cell r="Z246" t="str">
            <v>ND</v>
          </cell>
          <cell r="AA246">
            <v>883506.47</v>
          </cell>
          <cell r="AB246" t="str">
            <v>ND</v>
          </cell>
          <cell r="AC246" t="str">
            <v>ND</v>
          </cell>
          <cell r="AD246" t="str">
            <v>ND</v>
          </cell>
          <cell r="AE246" t="str">
            <v>ND</v>
          </cell>
          <cell r="AF246">
            <v>859788.38</v>
          </cell>
          <cell r="AG246" t="str">
            <v>ND</v>
          </cell>
          <cell r="AH246" t="str">
            <v>ND</v>
          </cell>
          <cell r="AI246" t="str">
            <v>ND</v>
          </cell>
          <cell r="AJ246" t="str">
            <v>ND</v>
          </cell>
          <cell r="AK246">
            <v>896201.6</v>
          </cell>
          <cell r="AL246" t="str">
            <v>ND</v>
          </cell>
          <cell r="AM246" t="str">
            <v>ND</v>
          </cell>
          <cell r="AN246" t="str">
            <v>ND</v>
          </cell>
          <cell r="AO246" t="str">
            <v>ND</v>
          </cell>
          <cell r="AP246">
            <v>1122059.75</v>
          </cell>
          <cell r="AQ246" t="str">
            <v>ND</v>
          </cell>
          <cell r="AR246" t="str">
            <v>ND</v>
          </cell>
          <cell r="AS246" t="str">
            <v>ND</v>
          </cell>
          <cell r="AT246" t="str">
            <v>ND</v>
          </cell>
          <cell r="AU246">
            <v>1244086.5499999998</v>
          </cell>
          <cell r="AW246" t="str">
            <v>ND</v>
          </cell>
          <cell r="AX246" t="str">
            <v>ND</v>
          </cell>
          <cell r="AY246" t="str">
            <v>ND</v>
          </cell>
          <cell r="AZ246" t="str">
            <v>ND</v>
          </cell>
          <cell r="BB246" t="str">
            <v>ND</v>
          </cell>
          <cell r="BC246" t="str">
            <v>ND</v>
          </cell>
          <cell r="BD246" t="str">
            <v>ND</v>
          </cell>
          <cell r="BE246" t="str">
            <v>ND</v>
          </cell>
          <cell r="BG246" t="str">
            <v>ND</v>
          </cell>
          <cell r="BH246" t="str">
            <v>ND</v>
          </cell>
          <cell r="BI246" t="str">
            <v>ND</v>
          </cell>
          <cell r="BJ246" t="str">
            <v>ND</v>
          </cell>
          <cell r="BK246">
            <v>1419809.65</v>
          </cell>
          <cell r="BL246" t="str">
            <v>ND</v>
          </cell>
          <cell r="BM246" t="str">
            <v>ND</v>
          </cell>
          <cell r="BN246" t="str">
            <v>ND</v>
          </cell>
          <cell r="BO246" t="str">
            <v>ND</v>
          </cell>
          <cell r="BP246">
            <v>1405467.52</v>
          </cell>
          <cell r="BQ246" t="str">
            <v>ND</v>
          </cell>
          <cell r="BR246" t="str">
            <v>ND</v>
          </cell>
          <cell r="BS246" t="str">
            <v>ND</v>
          </cell>
          <cell r="BT246" t="str">
            <v>ND</v>
          </cell>
          <cell r="BU246">
            <v>1424515.52</v>
          </cell>
          <cell r="BV246" t="str">
            <v>ND</v>
          </cell>
          <cell r="BW246" t="str">
            <v>ND</v>
          </cell>
          <cell r="BX246" t="str">
            <v>ND</v>
          </cell>
          <cell r="BY246" t="str">
            <v>ND</v>
          </cell>
          <cell r="BZ246">
            <v>1477485.76</v>
          </cell>
          <cell r="CA246" t="str">
            <v>ND</v>
          </cell>
          <cell r="CB246" t="str">
            <v>ND</v>
          </cell>
          <cell r="CC246" t="str">
            <v>ND</v>
          </cell>
          <cell r="CD246" t="str">
            <v>ND</v>
          </cell>
          <cell r="CE246">
            <v>1649767.6800000002</v>
          </cell>
          <cell r="CF246" t="str">
            <v>ND</v>
          </cell>
          <cell r="CG246" t="str">
            <v>ND</v>
          </cell>
          <cell r="CH246" t="str">
            <v>ND</v>
          </cell>
          <cell r="CI246" t="str">
            <v>ND</v>
          </cell>
          <cell r="CJ246">
            <v>1802033.7200000002</v>
          </cell>
          <cell r="CK246">
            <v>479285</v>
          </cell>
          <cell r="CL246">
            <v>494507</v>
          </cell>
          <cell r="CM246">
            <v>454076</v>
          </cell>
          <cell r="CO246">
            <v>1427868</v>
          </cell>
        </row>
        <row r="247">
          <cell r="B247" t="str">
            <v>Medicaid</v>
          </cell>
          <cell r="D247" t="str">
            <v>ND</v>
          </cell>
          <cell r="E247">
            <v>26977.170000000002</v>
          </cell>
          <cell r="F247">
            <v>33207.129999999997</v>
          </cell>
          <cell r="G247">
            <v>41612.04</v>
          </cell>
          <cell r="H247">
            <v>52603.92</v>
          </cell>
          <cell r="I247">
            <v>63731.28</v>
          </cell>
          <cell r="J247">
            <v>92861.21</v>
          </cell>
          <cell r="K247">
            <v>125367.48000000001</v>
          </cell>
          <cell r="L247">
            <v>148044.26</v>
          </cell>
          <cell r="M247" t="str">
            <v>ND</v>
          </cell>
          <cell r="N247" t="str">
            <v>ND</v>
          </cell>
          <cell r="O247" t="str">
            <v>ND</v>
          </cell>
          <cell r="P247" t="str">
            <v>ND</v>
          </cell>
          <cell r="Q247">
            <v>162684.84</v>
          </cell>
          <cell r="R247" t="str">
            <v>ND</v>
          </cell>
          <cell r="S247" t="str">
            <v>ND</v>
          </cell>
          <cell r="T247" t="str">
            <v>ND</v>
          </cell>
          <cell r="U247" t="str">
            <v>ND</v>
          </cell>
          <cell r="V247">
            <v>189332.03999999998</v>
          </cell>
          <cell r="W247" t="str">
            <v>ND</v>
          </cell>
          <cell r="X247" t="str">
            <v>ND</v>
          </cell>
          <cell r="Y247" t="str">
            <v>ND</v>
          </cell>
          <cell r="Z247" t="str">
            <v>ND</v>
          </cell>
          <cell r="AA247">
            <v>225576.12</v>
          </cell>
          <cell r="AB247" t="str">
            <v>ND</v>
          </cell>
          <cell r="AC247" t="str">
            <v>ND</v>
          </cell>
          <cell r="AD247" t="str">
            <v>ND</v>
          </cell>
          <cell r="AE247" t="str">
            <v>ND</v>
          </cell>
          <cell r="AF247">
            <v>203634.09</v>
          </cell>
          <cell r="AG247" t="str">
            <v>ND</v>
          </cell>
          <cell r="AH247" t="str">
            <v>ND</v>
          </cell>
          <cell r="AI247" t="str">
            <v>ND</v>
          </cell>
          <cell r="AJ247" t="str">
            <v>ND</v>
          </cell>
          <cell r="AK247">
            <v>230451.84</v>
          </cell>
          <cell r="AL247" t="str">
            <v>ND</v>
          </cell>
          <cell r="AM247" t="str">
            <v>ND</v>
          </cell>
          <cell r="AN247" t="str">
            <v>ND</v>
          </cell>
          <cell r="AO247" t="str">
            <v>ND</v>
          </cell>
          <cell r="AP247">
            <v>288529.64999999997</v>
          </cell>
          <cell r="AQ247" t="str">
            <v>ND</v>
          </cell>
          <cell r="AR247" t="str">
            <v>ND</v>
          </cell>
          <cell r="AS247" t="str">
            <v>ND</v>
          </cell>
          <cell r="AT247" t="str">
            <v>ND</v>
          </cell>
          <cell r="AU247">
            <v>355453.30000000005</v>
          </cell>
          <cell r="AW247" t="str">
            <v>ND</v>
          </cell>
          <cell r="AX247" t="str">
            <v>ND</v>
          </cell>
          <cell r="AY247" t="str">
            <v>ND</v>
          </cell>
          <cell r="AZ247" t="str">
            <v>ND</v>
          </cell>
          <cell r="BB247" t="str">
            <v>ND</v>
          </cell>
          <cell r="BC247" t="str">
            <v>ND</v>
          </cell>
          <cell r="BD247" t="str">
            <v>ND</v>
          </cell>
          <cell r="BE247" t="str">
            <v>ND</v>
          </cell>
          <cell r="BG247" t="str">
            <v>ND</v>
          </cell>
          <cell r="BH247" t="str">
            <v>ND</v>
          </cell>
          <cell r="BI247" t="str">
            <v>ND</v>
          </cell>
          <cell r="BJ247" t="str">
            <v>ND</v>
          </cell>
          <cell r="BK247">
            <v>365093.91</v>
          </cell>
          <cell r="BL247" t="str">
            <v>ND</v>
          </cell>
          <cell r="BM247" t="str">
            <v>ND</v>
          </cell>
          <cell r="BN247" t="str">
            <v>ND</v>
          </cell>
          <cell r="BO247" t="str">
            <v>ND</v>
          </cell>
          <cell r="BP247">
            <v>351366.88</v>
          </cell>
          <cell r="BQ247" t="str">
            <v>ND</v>
          </cell>
          <cell r="BR247" t="str">
            <v>ND</v>
          </cell>
          <cell r="BS247" t="str">
            <v>ND</v>
          </cell>
          <cell r="BT247" t="str">
            <v>ND</v>
          </cell>
          <cell r="BU247">
            <v>356128.88</v>
          </cell>
          <cell r="BV247" t="str">
            <v>ND</v>
          </cell>
          <cell r="BW247" t="str">
            <v>ND</v>
          </cell>
          <cell r="BX247" t="str">
            <v>ND</v>
          </cell>
          <cell r="BY247" t="str">
            <v>ND</v>
          </cell>
          <cell r="BZ247">
            <v>415542.87</v>
          </cell>
          <cell r="CA247" t="str">
            <v>ND</v>
          </cell>
          <cell r="CB247" t="str">
            <v>ND</v>
          </cell>
          <cell r="CC247" t="str">
            <v>ND</v>
          </cell>
          <cell r="CD247" t="str">
            <v>ND</v>
          </cell>
          <cell r="CE247">
            <v>463997.16000000003</v>
          </cell>
          <cell r="CF247" t="str">
            <v>ND</v>
          </cell>
          <cell r="CG247" t="str">
            <v>ND</v>
          </cell>
          <cell r="CH247" t="str">
            <v>ND</v>
          </cell>
          <cell r="CI247" t="str">
            <v>ND</v>
          </cell>
          <cell r="CJ247">
            <v>523171.08000000007</v>
          </cell>
          <cell r="CK247">
            <v>158889</v>
          </cell>
          <cell r="CL247">
            <v>119657</v>
          </cell>
          <cell r="CM247">
            <v>146850</v>
          </cell>
          <cell r="CO247">
            <v>425396</v>
          </cell>
        </row>
        <row r="248">
          <cell r="B248" t="str">
            <v>Commercial insurance</v>
          </cell>
          <cell r="D248" t="str">
            <v>ND</v>
          </cell>
          <cell r="E248">
            <v>100551.26999999999</v>
          </cell>
          <cell r="F248">
            <v>117734.37000000001</v>
          </cell>
          <cell r="G248">
            <v>128303.79</v>
          </cell>
          <cell r="H248">
            <v>153428.09999999998</v>
          </cell>
          <cell r="I248">
            <v>175261.02000000002</v>
          </cell>
          <cell r="J248">
            <v>250010.94999999998</v>
          </cell>
          <cell r="K248">
            <v>304463.88</v>
          </cell>
          <cell r="L248">
            <v>432744.76</v>
          </cell>
          <cell r="M248" t="str">
            <v>ND</v>
          </cell>
          <cell r="N248" t="str">
            <v>ND</v>
          </cell>
          <cell r="O248" t="str">
            <v>ND</v>
          </cell>
          <cell r="P248" t="str">
            <v>ND</v>
          </cell>
          <cell r="Q248">
            <v>555839.87</v>
          </cell>
          <cell r="R248" t="str">
            <v>ND</v>
          </cell>
          <cell r="S248" t="str">
            <v>ND</v>
          </cell>
          <cell r="T248" t="str">
            <v>ND</v>
          </cell>
          <cell r="U248" t="str">
            <v>ND</v>
          </cell>
          <cell r="V248">
            <v>631106.80000000005</v>
          </cell>
          <cell r="W248" t="str">
            <v>ND</v>
          </cell>
          <cell r="X248" t="str">
            <v>ND</v>
          </cell>
          <cell r="Y248" t="str">
            <v>ND</v>
          </cell>
          <cell r="Z248" t="str">
            <v>ND</v>
          </cell>
          <cell r="AA248">
            <v>770718.40999999992</v>
          </cell>
          <cell r="AB248" t="str">
            <v>ND</v>
          </cell>
          <cell r="AC248" t="str">
            <v>ND</v>
          </cell>
          <cell r="AD248" t="str">
            <v>ND</v>
          </cell>
          <cell r="AE248" t="str">
            <v>ND</v>
          </cell>
          <cell r="AF248">
            <v>1199178.53</v>
          </cell>
          <cell r="AG248" t="str">
            <v>ND</v>
          </cell>
          <cell r="AH248" t="str">
            <v>ND</v>
          </cell>
          <cell r="AI248" t="str">
            <v>ND</v>
          </cell>
          <cell r="AJ248" t="str">
            <v>ND</v>
          </cell>
          <cell r="AK248">
            <v>1203470.72</v>
          </cell>
          <cell r="AL248" t="str">
            <v>ND</v>
          </cell>
          <cell r="AM248" t="str">
            <v>ND</v>
          </cell>
          <cell r="AN248" t="str">
            <v>ND</v>
          </cell>
          <cell r="AO248" t="str">
            <v>ND</v>
          </cell>
          <cell r="AP248">
            <v>1474707.1</v>
          </cell>
          <cell r="AQ248" t="str">
            <v>ND</v>
          </cell>
          <cell r="AR248" t="str">
            <v>ND</v>
          </cell>
          <cell r="AS248" t="str">
            <v>ND</v>
          </cell>
          <cell r="AT248" t="str">
            <v>ND</v>
          </cell>
          <cell r="AU248">
            <v>1670630.51</v>
          </cell>
          <cell r="AW248" t="str">
            <v>ND</v>
          </cell>
          <cell r="AX248" t="str">
            <v>ND</v>
          </cell>
          <cell r="AY248" t="str">
            <v>ND</v>
          </cell>
          <cell r="AZ248" t="str">
            <v>ND</v>
          </cell>
          <cell r="BB248" t="str">
            <v>ND</v>
          </cell>
          <cell r="BC248" t="str">
            <v>ND</v>
          </cell>
          <cell r="BD248" t="str">
            <v>ND</v>
          </cell>
          <cell r="BE248" t="str">
            <v>ND</v>
          </cell>
          <cell r="BG248" t="str">
            <v>ND</v>
          </cell>
          <cell r="BH248" t="str">
            <v>ND</v>
          </cell>
          <cell r="BI248" t="str">
            <v>ND</v>
          </cell>
          <cell r="BJ248" t="str">
            <v>ND</v>
          </cell>
          <cell r="BK248">
            <v>1906601.5299999998</v>
          </cell>
          <cell r="BL248" t="str">
            <v>ND</v>
          </cell>
          <cell r="BM248" t="str">
            <v>ND</v>
          </cell>
          <cell r="BN248" t="str">
            <v>ND</v>
          </cell>
          <cell r="BO248" t="str">
            <v>ND</v>
          </cell>
          <cell r="BP248">
            <v>2196043</v>
          </cell>
          <cell r="BQ248" t="str">
            <v>ND</v>
          </cell>
          <cell r="BR248" t="str">
            <v>ND</v>
          </cell>
          <cell r="BS248" t="str">
            <v>ND</v>
          </cell>
          <cell r="BT248" t="str">
            <v>ND</v>
          </cell>
          <cell r="BU248">
            <v>2270321.61</v>
          </cell>
          <cell r="BV248" t="str">
            <v>ND</v>
          </cell>
          <cell r="BW248" t="str">
            <v>ND</v>
          </cell>
          <cell r="BX248" t="str">
            <v>ND</v>
          </cell>
          <cell r="BY248" t="str">
            <v>ND</v>
          </cell>
          <cell r="BZ248">
            <v>2262400.0699999998</v>
          </cell>
          <cell r="CA248" t="str">
            <v>ND</v>
          </cell>
          <cell r="CB248" t="str">
            <v>ND</v>
          </cell>
          <cell r="CC248" t="str">
            <v>ND</v>
          </cell>
          <cell r="CD248" t="str">
            <v>ND</v>
          </cell>
          <cell r="CE248">
            <v>2577762</v>
          </cell>
          <cell r="CF248" t="str">
            <v>ND</v>
          </cell>
          <cell r="CG248" t="str">
            <v>ND</v>
          </cell>
          <cell r="CH248" t="str">
            <v>ND</v>
          </cell>
          <cell r="CI248" t="str">
            <v>ND</v>
          </cell>
          <cell r="CJ248">
            <v>2906506.0000000005</v>
          </cell>
          <cell r="CK248">
            <v>833918</v>
          </cell>
          <cell r="CL248">
            <v>821888</v>
          </cell>
          <cell r="CM248">
            <v>842236</v>
          </cell>
          <cell r="CO248">
            <v>2498042</v>
          </cell>
        </row>
        <row r="249">
          <cell r="B249" t="str">
            <v>Self−pay</v>
          </cell>
          <cell r="D249" t="str">
            <v>ND</v>
          </cell>
          <cell r="E249">
            <v>0</v>
          </cell>
          <cell r="F249">
            <v>0</v>
          </cell>
          <cell r="G249">
            <v>0</v>
          </cell>
          <cell r="H249">
            <v>0</v>
          </cell>
          <cell r="I249">
            <v>0</v>
          </cell>
          <cell r="J249">
            <v>0</v>
          </cell>
          <cell r="K249">
            <v>0</v>
          </cell>
          <cell r="L249">
            <v>0</v>
          </cell>
          <cell r="M249" t="str">
            <v>ND</v>
          </cell>
          <cell r="N249" t="str">
            <v>ND</v>
          </cell>
          <cell r="O249" t="str">
            <v>ND</v>
          </cell>
          <cell r="P249" t="str">
            <v>ND</v>
          </cell>
          <cell r="Q249">
            <v>0</v>
          </cell>
          <cell r="R249" t="str">
            <v>ND</v>
          </cell>
          <cell r="S249" t="str">
            <v>ND</v>
          </cell>
          <cell r="T249" t="str">
            <v>ND</v>
          </cell>
          <cell r="U249" t="str">
            <v>ND</v>
          </cell>
          <cell r="V249">
            <v>0</v>
          </cell>
          <cell r="W249" t="str">
            <v>ND</v>
          </cell>
          <cell r="X249" t="str">
            <v>ND</v>
          </cell>
          <cell r="Y249" t="str">
            <v>ND</v>
          </cell>
          <cell r="Z249" t="str">
            <v>ND</v>
          </cell>
          <cell r="AA249">
            <v>0</v>
          </cell>
          <cell r="AB249" t="str">
            <v>ND</v>
          </cell>
          <cell r="AC249" t="str">
            <v>ND</v>
          </cell>
          <cell r="AD249" t="str">
            <v>ND</v>
          </cell>
          <cell r="AE249" t="str">
            <v>ND</v>
          </cell>
          <cell r="AF249">
            <v>0</v>
          </cell>
          <cell r="AG249" t="str">
            <v>ND</v>
          </cell>
          <cell r="AH249" t="str">
            <v>ND</v>
          </cell>
          <cell r="AI249" t="str">
            <v>ND</v>
          </cell>
          <cell r="AJ249" t="str">
            <v>ND</v>
          </cell>
          <cell r="AK249">
            <v>230451.84</v>
          </cell>
          <cell r="AL249" t="str">
            <v>ND</v>
          </cell>
          <cell r="AM249" t="str">
            <v>ND</v>
          </cell>
          <cell r="AN249" t="str">
            <v>ND</v>
          </cell>
          <cell r="AO249" t="str">
            <v>ND</v>
          </cell>
          <cell r="AP249">
            <v>320588.5</v>
          </cell>
          <cell r="AQ249" t="str">
            <v>ND</v>
          </cell>
          <cell r="AR249" t="str">
            <v>ND</v>
          </cell>
          <cell r="AS249" t="str">
            <v>ND</v>
          </cell>
          <cell r="AT249" t="str">
            <v>ND</v>
          </cell>
          <cell r="AU249">
            <v>284362.64</v>
          </cell>
          <cell r="AW249" t="str">
            <v>ND</v>
          </cell>
          <cell r="AX249" t="str">
            <v>ND</v>
          </cell>
          <cell r="AY249" t="str">
            <v>ND</v>
          </cell>
          <cell r="AZ249" t="str">
            <v>ND</v>
          </cell>
          <cell r="BB249" t="str">
            <v>ND</v>
          </cell>
          <cell r="BC249" t="str">
            <v>ND</v>
          </cell>
          <cell r="BD249" t="str">
            <v>ND</v>
          </cell>
          <cell r="BE249" t="str">
            <v>ND</v>
          </cell>
          <cell r="BG249" t="str">
            <v>ND</v>
          </cell>
          <cell r="BH249" t="str">
            <v>ND</v>
          </cell>
          <cell r="BI249" t="str">
            <v>ND</v>
          </cell>
          <cell r="BJ249" t="str">
            <v>ND</v>
          </cell>
          <cell r="BK249">
            <v>365093.91</v>
          </cell>
          <cell r="BL249" t="str">
            <v>ND</v>
          </cell>
          <cell r="BM249" t="str">
            <v>ND</v>
          </cell>
          <cell r="BN249" t="str">
            <v>ND</v>
          </cell>
          <cell r="BO249" t="str">
            <v>ND</v>
          </cell>
          <cell r="BP249">
            <v>439208.60000000003</v>
          </cell>
          <cell r="BQ249" t="str">
            <v>ND</v>
          </cell>
          <cell r="BR249" t="str">
            <v>ND</v>
          </cell>
          <cell r="BS249" t="str">
            <v>ND</v>
          </cell>
          <cell r="BT249" t="str">
            <v>ND</v>
          </cell>
          <cell r="BU249">
            <v>400644.99</v>
          </cell>
          <cell r="BV249" t="str">
            <v>ND</v>
          </cell>
          <cell r="BW249" t="str">
            <v>ND</v>
          </cell>
          <cell r="BX249" t="str">
            <v>ND</v>
          </cell>
          <cell r="BY249" t="str">
            <v>ND</v>
          </cell>
          <cell r="BZ249">
            <v>461714.30000000005</v>
          </cell>
          <cell r="CA249" t="str">
            <v>ND</v>
          </cell>
          <cell r="CB249" t="str">
            <v>ND</v>
          </cell>
          <cell r="CC249" t="str">
            <v>ND</v>
          </cell>
          <cell r="CD249" t="str">
            <v>ND</v>
          </cell>
          <cell r="CE249">
            <v>463997.16000000003</v>
          </cell>
          <cell r="CF249" t="str">
            <v>ND</v>
          </cell>
          <cell r="CG249" t="str">
            <v>ND</v>
          </cell>
          <cell r="CH249" t="str">
            <v>ND</v>
          </cell>
          <cell r="CI249" t="str">
            <v>ND</v>
          </cell>
          <cell r="CJ249">
            <v>581301.20000000007</v>
          </cell>
          <cell r="CK249">
            <v>165267</v>
          </cell>
          <cell r="CL249">
            <v>188050</v>
          </cell>
          <cell r="CM249">
            <v>198223</v>
          </cell>
          <cell r="CO249">
            <v>551540</v>
          </cell>
        </row>
        <row r="250">
          <cell r="B250" t="str">
            <v>Other</v>
          </cell>
          <cell r="D250" t="str">
            <v>ND</v>
          </cell>
          <cell r="E250">
            <v>0</v>
          </cell>
          <cell r="F250">
            <v>0</v>
          </cell>
          <cell r="G250">
            <v>0</v>
          </cell>
          <cell r="H250">
            <v>0</v>
          </cell>
          <cell r="I250">
            <v>0</v>
          </cell>
          <cell r="J250">
            <v>0</v>
          </cell>
          <cell r="K250">
            <v>0</v>
          </cell>
          <cell r="L250">
            <v>0</v>
          </cell>
          <cell r="M250" t="str">
            <v>ND</v>
          </cell>
          <cell r="N250" t="str">
            <v>ND</v>
          </cell>
          <cell r="O250" t="str">
            <v>ND</v>
          </cell>
          <cell r="P250" t="str">
            <v>ND</v>
          </cell>
          <cell r="Q250">
            <v>0</v>
          </cell>
          <cell r="R250" t="str">
            <v>ND</v>
          </cell>
          <cell r="S250" t="str">
            <v>ND</v>
          </cell>
          <cell r="T250" t="str">
            <v>ND</v>
          </cell>
          <cell r="U250" t="str">
            <v>ND</v>
          </cell>
          <cell r="V250">
            <v>0</v>
          </cell>
          <cell r="W250" t="str">
            <v>ND</v>
          </cell>
          <cell r="X250" t="str">
            <v>ND</v>
          </cell>
          <cell r="Y250" t="str">
            <v>ND</v>
          </cell>
          <cell r="Z250" t="str">
            <v>ND</v>
          </cell>
          <cell r="AA250">
            <v>0</v>
          </cell>
          <cell r="AB250" t="str">
            <v>ND</v>
          </cell>
          <cell r="AC250" t="str">
            <v>ND</v>
          </cell>
          <cell r="AD250" t="str">
            <v>ND</v>
          </cell>
          <cell r="AE250" t="str">
            <v>ND</v>
          </cell>
          <cell r="AF250">
            <v>0</v>
          </cell>
          <cell r="AG250" t="str">
            <v>ND</v>
          </cell>
          <cell r="AH250" t="str">
            <v>ND</v>
          </cell>
          <cell r="AI250" t="str">
            <v>ND</v>
          </cell>
          <cell r="AJ250" t="str">
            <v>ND</v>
          </cell>
          <cell r="AK250">
            <v>0</v>
          </cell>
          <cell r="AL250" t="str">
            <v>ND</v>
          </cell>
          <cell r="AM250" t="str">
            <v>ND</v>
          </cell>
          <cell r="AN250" t="str">
            <v>ND</v>
          </cell>
          <cell r="AO250" t="str">
            <v>ND</v>
          </cell>
          <cell r="AP250">
            <v>0</v>
          </cell>
          <cell r="AQ250" t="str">
            <v>ND</v>
          </cell>
          <cell r="AR250" t="str">
            <v>ND</v>
          </cell>
          <cell r="AS250" t="str">
            <v>ND</v>
          </cell>
          <cell r="AT250" t="str">
            <v>ND</v>
          </cell>
          <cell r="AU250">
            <v>0</v>
          </cell>
          <cell r="AW250" t="str">
            <v>ND</v>
          </cell>
          <cell r="AX250" t="str">
            <v>ND</v>
          </cell>
          <cell r="AY250" t="str">
            <v>ND</v>
          </cell>
          <cell r="AZ250" t="str">
            <v>ND</v>
          </cell>
          <cell r="BB250" t="str">
            <v>ND</v>
          </cell>
          <cell r="BC250" t="str">
            <v>ND</v>
          </cell>
          <cell r="BD250" t="str">
            <v>ND</v>
          </cell>
          <cell r="BE250" t="str">
            <v>ND</v>
          </cell>
          <cell r="BG250" t="str">
            <v>ND</v>
          </cell>
          <cell r="BH250" t="str">
            <v>ND</v>
          </cell>
          <cell r="BI250" t="str">
            <v>ND</v>
          </cell>
          <cell r="BJ250" t="str">
            <v>ND</v>
          </cell>
          <cell r="BK250">
            <v>0</v>
          </cell>
          <cell r="BL250" t="str">
            <v>ND</v>
          </cell>
          <cell r="BM250" t="str">
            <v>ND</v>
          </cell>
          <cell r="BN250" t="str">
            <v>ND</v>
          </cell>
          <cell r="BO250" t="str">
            <v>ND</v>
          </cell>
          <cell r="BP250">
            <v>0</v>
          </cell>
          <cell r="BQ250" t="str">
            <v>ND</v>
          </cell>
          <cell r="BR250" t="str">
            <v>ND</v>
          </cell>
          <cell r="BS250" t="str">
            <v>ND</v>
          </cell>
          <cell r="BT250" t="str">
            <v>ND</v>
          </cell>
          <cell r="BU250">
            <v>0</v>
          </cell>
          <cell r="BV250" t="str">
            <v>ND</v>
          </cell>
          <cell r="BW250" t="str">
            <v>ND</v>
          </cell>
          <cell r="BX250" t="str">
            <v>ND</v>
          </cell>
          <cell r="BY250" t="str">
            <v>ND</v>
          </cell>
          <cell r="BZ250">
            <v>0</v>
          </cell>
          <cell r="CA250" t="str">
            <v>ND</v>
          </cell>
          <cell r="CB250" t="str">
            <v>ND</v>
          </cell>
          <cell r="CC250" t="str">
            <v>ND</v>
          </cell>
          <cell r="CD250" t="str">
            <v>ND</v>
          </cell>
          <cell r="CE250">
            <v>0</v>
          </cell>
          <cell r="CF250" t="str">
            <v>ND</v>
          </cell>
          <cell r="CG250" t="str">
            <v>ND</v>
          </cell>
          <cell r="CH250" t="str">
            <v>ND</v>
          </cell>
          <cell r="CI250" t="str">
            <v>ND</v>
          </cell>
          <cell r="CJ250">
            <v>0</v>
          </cell>
          <cell r="CK250">
            <v>49159</v>
          </cell>
          <cell r="CL250">
            <v>62439</v>
          </cell>
          <cell r="CM250">
            <v>22802</v>
          </cell>
          <cell r="CO250">
            <v>134400</v>
          </cell>
        </row>
        <row r="251">
          <cell r="B251" t="str">
            <v>TOTAL</v>
          </cell>
          <cell r="D251" t="str">
            <v>ND</v>
          </cell>
          <cell r="E251">
            <v>245247</v>
          </cell>
          <cell r="F251">
            <v>301883</v>
          </cell>
          <cell r="G251">
            <v>346767</v>
          </cell>
          <cell r="H251">
            <v>438366</v>
          </cell>
          <cell r="I251">
            <v>531094</v>
          </cell>
          <cell r="J251">
            <v>714317</v>
          </cell>
          <cell r="K251">
            <v>895482</v>
          </cell>
          <cell r="L251">
            <v>1138802</v>
          </cell>
          <cell r="M251" t="str">
            <v>ND</v>
          </cell>
          <cell r="N251" t="str">
            <v>ND</v>
          </cell>
          <cell r="O251" t="str">
            <v>ND</v>
          </cell>
          <cell r="P251" t="str">
            <v>ND</v>
          </cell>
          <cell r="Q251">
            <v>1355707</v>
          </cell>
          <cell r="R251" t="str">
            <v>ND</v>
          </cell>
          <cell r="S251" t="str">
            <v>ND</v>
          </cell>
          <cell r="T251" t="str">
            <v>ND</v>
          </cell>
          <cell r="U251" t="str">
            <v>ND</v>
          </cell>
          <cell r="V251">
            <v>1577767</v>
          </cell>
          <cell r="W251" t="str">
            <v>ND</v>
          </cell>
          <cell r="X251" t="str">
            <v>ND</v>
          </cell>
          <cell r="Y251" t="str">
            <v>ND</v>
          </cell>
          <cell r="Z251" t="str">
            <v>ND</v>
          </cell>
          <cell r="AA251">
            <v>1879800.9999999998</v>
          </cell>
          <cell r="AB251" t="str">
            <v>ND</v>
          </cell>
          <cell r="AC251" t="str">
            <v>ND</v>
          </cell>
          <cell r="AD251" t="str">
            <v>ND</v>
          </cell>
          <cell r="AE251" t="str">
            <v>ND</v>
          </cell>
          <cell r="AF251">
            <v>2262601</v>
          </cell>
          <cell r="AG251" t="str">
            <v>ND</v>
          </cell>
          <cell r="AH251" t="str">
            <v>ND</v>
          </cell>
          <cell r="AI251" t="str">
            <v>ND</v>
          </cell>
          <cell r="AJ251" t="str">
            <v>ND</v>
          </cell>
          <cell r="AK251">
            <v>2560576</v>
          </cell>
          <cell r="AL251" t="str">
            <v>ND</v>
          </cell>
          <cell r="AM251" t="str">
            <v>ND</v>
          </cell>
          <cell r="AN251" t="str">
            <v>ND</v>
          </cell>
          <cell r="AO251" t="str">
            <v>ND</v>
          </cell>
          <cell r="AP251">
            <v>3205885</v>
          </cell>
          <cell r="AQ251" t="str">
            <v>ND</v>
          </cell>
          <cell r="AR251" t="str">
            <v>ND</v>
          </cell>
          <cell r="AS251" t="str">
            <v>ND</v>
          </cell>
          <cell r="AT251" t="str">
            <v>ND</v>
          </cell>
          <cell r="AU251">
            <v>3554533</v>
          </cell>
          <cell r="AW251" t="str">
            <v>ND</v>
          </cell>
          <cell r="AX251" t="str">
            <v>ND</v>
          </cell>
          <cell r="AY251" t="str">
            <v>ND</v>
          </cell>
          <cell r="AZ251" t="str">
            <v>ND</v>
          </cell>
          <cell r="BB251" t="str">
            <v>ND</v>
          </cell>
          <cell r="BC251" t="str">
            <v>ND</v>
          </cell>
          <cell r="BD251" t="str">
            <v>ND</v>
          </cell>
          <cell r="BE251" t="str">
            <v>ND</v>
          </cell>
          <cell r="BG251" t="str">
            <v>ND</v>
          </cell>
          <cell r="BH251" t="str">
            <v>ND</v>
          </cell>
          <cell r="BI251" t="str">
            <v>ND</v>
          </cell>
          <cell r="BJ251" t="str">
            <v>ND</v>
          </cell>
          <cell r="BK251">
            <v>4056599</v>
          </cell>
          <cell r="BL251" t="str">
            <v>ND</v>
          </cell>
          <cell r="BM251" t="str">
            <v>ND</v>
          </cell>
          <cell r="BN251" t="str">
            <v>ND</v>
          </cell>
          <cell r="BO251" t="str">
            <v>ND</v>
          </cell>
          <cell r="BP251">
            <v>4392086</v>
          </cell>
          <cell r="BQ251" t="str">
            <v>ND</v>
          </cell>
          <cell r="BR251" t="str">
            <v>ND</v>
          </cell>
          <cell r="BS251" t="str">
            <v>ND</v>
          </cell>
          <cell r="BT251" t="str">
            <v>ND</v>
          </cell>
          <cell r="BU251">
            <v>4451611</v>
          </cell>
          <cell r="BV251" t="str">
            <v>ND</v>
          </cell>
          <cell r="BW251" t="str">
            <v>ND</v>
          </cell>
          <cell r="BX251" t="str">
            <v>ND</v>
          </cell>
          <cell r="BY251" t="str">
            <v>ND</v>
          </cell>
          <cell r="BZ251">
            <v>4617143</v>
          </cell>
          <cell r="CA251" t="str">
            <v>ND</v>
          </cell>
          <cell r="CB251" t="str">
            <v>ND</v>
          </cell>
          <cell r="CC251" t="str">
            <v>ND</v>
          </cell>
          <cell r="CD251" t="str">
            <v>ND</v>
          </cell>
          <cell r="CE251">
            <v>5155524</v>
          </cell>
          <cell r="CF251" t="str">
            <v>ND</v>
          </cell>
          <cell r="CG251" t="str">
            <v>ND</v>
          </cell>
          <cell r="CH251" t="str">
            <v>ND</v>
          </cell>
          <cell r="CI251" t="str">
            <v>ND</v>
          </cell>
          <cell r="CJ251">
            <v>5813012.0000000009</v>
          </cell>
          <cell r="CK251">
            <v>1686518</v>
          </cell>
          <cell r="CL251">
            <v>1686541</v>
          </cell>
          <cell r="CM251">
            <v>1664187</v>
          </cell>
          <cell r="CO251">
            <v>5037246</v>
          </cell>
        </row>
        <row r="252">
          <cell r="CJ252">
            <v>523171.08000000007</v>
          </cell>
        </row>
        <row r="253">
          <cell r="B253" t="str">
            <v>Medicare</v>
          </cell>
          <cell r="D253" t="str">
            <v>ND</v>
          </cell>
          <cell r="E253">
            <v>0.48</v>
          </cell>
          <cell r="F253">
            <v>0.5</v>
          </cell>
          <cell r="G253">
            <v>0.51</v>
          </cell>
          <cell r="H253">
            <v>0.53</v>
          </cell>
          <cell r="I253">
            <v>0.55000000000000004</v>
          </cell>
          <cell r="J253">
            <v>0.52</v>
          </cell>
          <cell r="K253">
            <v>0.52</v>
          </cell>
          <cell r="L253">
            <v>0.49</v>
          </cell>
          <cell r="M253" t="str">
            <v>ND</v>
          </cell>
          <cell r="N253" t="str">
            <v>ND</v>
          </cell>
          <cell r="O253" t="str">
            <v>ND</v>
          </cell>
          <cell r="P253" t="str">
            <v>ND</v>
          </cell>
          <cell r="Q253">
            <v>0.46999999999999992</v>
          </cell>
          <cell r="R253" t="str">
            <v>ND</v>
          </cell>
          <cell r="S253" t="str">
            <v>ND</v>
          </cell>
          <cell r="T253" t="str">
            <v>ND</v>
          </cell>
          <cell r="U253" t="str">
            <v>ND</v>
          </cell>
          <cell r="V253">
            <v>0.47999999999999993</v>
          </cell>
          <cell r="W253" t="str">
            <v>ND</v>
          </cell>
          <cell r="X253" t="str">
            <v>ND</v>
          </cell>
          <cell r="Y253" t="str">
            <v>ND</v>
          </cell>
          <cell r="Z253" t="str">
            <v>ND</v>
          </cell>
          <cell r="AA253">
            <v>0.47000000000000003</v>
          </cell>
          <cell r="AB253" t="str">
            <v>ND</v>
          </cell>
          <cell r="AC253" t="str">
            <v>ND</v>
          </cell>
          <cell r="AD253" t="str">
            <v>ND</v>
          </cell>
          <cell r="AE253" t="str">
            <v>ND</v>
          </cell>
          <cell r="AF253">
            <v>0.38</v>
          </cell>
          <cell r="AG253" t="str">
            <v>ND</v>
          </cell>
          <cell r="AH253" t="str">
            <v>ND</v>
          </cell>
          <cell r="AI253" t="str">
            <v>ND</v>
          </cell>
          <cell r="AJ253" t="str">
            <v>ND</v>
          </cell>
          <cell r="AK253">
            <v>0.35</v>
          </cell>
          <cell r="AL253" t="str">
            <v>ND</v>
          </cell>
          <cell r="AM253" t="str">
            <v>ND</v>
          </cell>
          <cell r="AN253" t="str">
            <v>ND</v>
          </cell>
          <cell r="AO253" t="str">
            <v>ND</v>
          </cell>
          <cell r="AP253">
            <v>0.35</v>
          </cell>
          <cell r="AQ253" t="str">
            <v>ND</v>
          </cell>
          <cell r="AR253" t="str">
            <v>ND</v>
          </cell>
          <cell r="AS253" t="str">
            <v>ND</v>
          </cell>
          <cell r="AT253" t="str">
            <v>ND</v>
          </cell>
          <cell r="AU253">
            <v>0.34999999999999992</v>
          </cell>
          <cell r="AW253" t="str">
            <v>ND</v>
          </cell>
          <cell r="AX253" t="str">
            <v>ND</v>
          </cell>
          <cell r="AY253" t="str">
            <v>ND</v>
          </cell>
          <cell r="AZ253" t="str">
            <v>ND</v>
          </cell>
          <cell r="BB253" t="str">
            <v>ND</v>
          </cell>
          <cell r="BC253" t="str">
            <v>ND</v>
          </cell>
          <cell r="BD253" t="str">
            <v>ND</v>
          </cell>
          <cell r="BE253" t="str">
            <v>ND</v>
          </cell>
          <cell r="BG253" t="str">
            <v>ND</v>
          </cell>
          <cell r="BH253" t="str">
            <v>ND</v>
          </cell>
          <cell r="BI253" t="str">
            <v>ND</v>
          </cell>
          <cell r="BJ253" t="str">
            <v>ND</v>
          </cell>
          <cell r="BK253">
            <v>0.35</v>
          </cell>
          <cell r="BL253" t="str">
            <v>ND</v>
          </cell>
          <cell r="BM253" t="str">
            <v>ND</v>
          </cell>
          <cell r="BN253" t="str">
            <v>ND</v>
          </cell>
          <cell r="BO253" t="str">
            <v>ND</v>
          </cell>
          <cell r="BP253">
            <v>0.32</v>
          </cell>
          <cell r="BQ253" t="str">
            <v>ND</v>
          </cell>
          <cell r="BR253" t="str">
            <v>ND</v>
          </cell>
          <cell r="BS253" t="str">
            <v>ND</v>
          </cell>
          <cell r="BT253" t="str">
            <v>ND</v>
          </cell>
          <cell r="BU253">
            <v>0.32</v>
          </cell>
          <cell r="BV253" t="str">
            <v>ND</v>
          </cell>
          <cell r="BW253" t="str">
            <v>ND</v>
          </cell>
          <cell r="BX253" t="str">
            <v>ND</v>
          </cell>
          <cell r="BY253" t="str">
            <v>ND</v>
          </cell>
          <cell r="BZ253">
            <v>0.32</v>
          </cell>
          <cell r="CA253" t="str">
            <v>ND</v>
          </cell>
          <cell r="CB253" t="str">
            <v>ND</v>
          </cell>
          <cell r="CC253" t="str">
            <v>ND</v>
          </cell>
          <cell r="CD253" t="str">
            <v>ND</v>
          </cell>
          <cell r="CE253">
            <v>0.32</v>
          </cell>
          <cell r="CF253" t="str">
            <v>ND</v>
          </cell>
          <cell r="CG253" t="str">
            <v>ND</v>
          </cell>
          <cell r="CH253" t="str">
            <v>ND</v>
          </cell>
          <cell r="CI253" t="str">
            <v>ND</v>
          </cell>
          <cell r="CJ253">
            <v>0.31</v>
          </cell>
          <cell r="CK253">
            <v>0.28418611600943483</v>
          </cell>
          <cell r="CL253">
            <v>0.29320781409998337</v>
          </cell>
          <cell r="CM253">
            <v>0.27285154853390875</v>
          </cell>
        </row>
        <row r="254">
          <cell r="B254" t="str">
            <v>Medicaid</v>
          </cell>
          <cell r="D254" t="str">
            <v>ND</v>
          </cell>
          <cell r="E254">
            <v>0.11000000000000001</v>
          </cell>
          <cell r="F254">
            <v>0.10999999999999999</v>
          </cell>
          <cell r="G254">
            <v>0.12000000000000001</v>
          </cell>
          <cell r="H254">
            <v>0.12</v>
          </cell>
          <cell r="I254">
            <v>0.12</v>
          </cell>
          <cell r="J254">
            <v>0.13</v>
          </cell>
          <cell r="K254">
            <v>0.14000000000000001</v>
          </cell>
          <cell r="L254">
            <v>0.13</v>
          </cell>
          <cell r="M254" t="str">
            <v>ND</v>
          </cell>
          <cell r="N254" t="str">
            <v>ND</v>
          </cell>
          <cell r="O254" t="str">
            <v>ND</v>
          </cell>
          <cell r="P254" t="str">
            <v>ND</v>
          </cell>
          <cell r="Q254">
            <v>0.12</v>
          </cell>
          <cell r="R254" t="str">
            <v>ND</v>
          </cell>
          <cell r="S254" t="str">
            <v>ND</v>
          </cell>
          <cell r="T254" t="str">
            <v>ND</v>
          </cell>
          <cell r="U254" t="str">
            <v>ND</v>
          </cell>
          <cell r="V254">
            <v>0.11999999999999998</v>
          </cell>
          <cell r="W254" t="str">
            <v>ND</v>
          </cell>
          <cell r="X254" t="str">
            <v>ND</v>
          </cell>
          <cell r="Y254" t="str">
            <v>ND</v>
          </cell>
          <cell r="Z254" t="str">
            <v>ND</v>
          </cell>
          <cell r="AA254">
            <v>0.12000000000000001</v>
          </cell>
          <cell r="AB254" t="str">
            <v>ND</v>
          </cell>
          <cell r="AC254" t="str">
            <v>ND</v>
          </cell>
          <cell r="AD254" t="str">
            <v>ND</v>
          </cell>
          <cell r="AE254" t="str">
            <v>ND</v>
          </cell>
          <cell r="AF254">
            <v>0.09</v>
          </cell>
          <cell r="AG254" t="str">
            <v>ND</v>
          </cell>
          <cell r="AH254" t="str">
            <v>ND</v>
          </cell>
          <cell r="AI254" t="str">
            <v>ND</v>
          </cell>
          <cell r="AJ254" t="str">
            <v>ND</v>
          </cell>
          <cell r="AK254">
            <v>0.09</v>
          </cell>
          <cell r="AL254" t="str">
            <v>ND</v>
          </cell>
          <cell r="AM254" t="str">
            <v>ND</v>
          </cell>
          <cell r="AN254" t="str">
            <v>ND</v>
          </cell>
          <cell r="AO254" t="str">
            <v>ND</v>
          </cell>
          <cell r="AP254">
            <v>8.9999999999999983E-2</v>
          </cell>
          <cell r="AQ254" t="str">
            <v>ND</v>
          </cell>
          <cell r="AR254" t="str">
            <v>ND</v>
          </cell>
          <cell r="AS254" t="str">
            <v>ND</v>
          </cell>
          <cell r="AT254" t="str">
            <v>ND</v>
          </cell>
          <cell r="AU254">
            <v>0.10000000000000002</v>
          </cell>
          <cell r="AW254" t="str">
            <v>ND</v>
          </cell>
          <cell r="AX254" t="str">
            <v>ND</v>
          </cell>
          <cell r="AY254" t="str">
            <v>ND</v>
          </cell>
          <cell r="AZ254" t="str">
            <v>ND</v>
          </cell>
          <cell r="BB254" t="str">
            <v>ND</v>
          </cell>
          <cell r="BC254" t="str">
            <v>ND</v>
          </cell>
          <cell r="BD254" t="str">
            <v>ND</v>
          </cell>
          <cell r="BE254" t="str">
            <v>ND</v>
          </cell>
          <cell r="BG254" t="str">
            <v>ND</v>
          </cell>
          <cell r="BH254" t="str">
            <v>ND</v>
          </cell>
          <cell r="BI254" t="str">
            <v>ND</v>
          </cell>
          <cell r="BJ254" t="str">
            <v>ND</v>
          </cell>
          <cell r="BK254">
            <v>0.09</v>
          </cell>
          <cell r="BL254" t="str">
            <v>ND</v>
          </cell>
          <cell r="BM254" t="str">
            <v>ND</v>
          </cell>
          <cell r="BN254" t="str">
            <v>ND</v>
          </cell>
          <cell r="BO254" t="str">
            <v>ND</v>
          </cell>
          <cell r="BP254">
            <v>0.08</v>
          </cell>
          <cell r="BQ254" t="str">
            <v>ND</v>
          </cell>
          <cell r="BR254" t="str">
            <v>ND</v>
          </cell>
          <cell r="BS254" t="str">
            <v>ND</v>
          </cell>
          <cell r="BT254" t="str">
            <v>ND</v>
          </cell>
          <cell r="BU254">
            <v>0.08</v>
          </cell>
          <cell r="BV254" t="str">
            <v>ND</v>
          </cell>
          <cell r="BW254" t="str">
            <v>ND</v>
          </cell>
          <cell r="BX254" t="str">
            <v>ND</v>
          </cell>
          <cell r="BY254" t="str">
            <v>ND</v>
          </cell>
          <cell r="BZ254">
            <v>0.09</v>
          </cell>
          <cell r="CA254" t="str">
            <v>ND</v>
          </cell>
          <cell r="CB254" t="str">
            <v>ND</v>
          </cell>
          <cell r="CC254" t="str">
            <v>ND</v>
          </cell>
          <cell r="CD254" t="str">
            <v>ND</v>
          </cell>
          <cell r="CE254">
            <v>0.09</v>
          </cell>
          <cell r="CF254" t="str">
            <v>ND</v>
          </cell>
          <cell r="CG254" t="str">
            <v>ND</v>
          </cell>
          <cell r="CH254" t="str">
            <v>ND</v>
          </cell>
          <cell r="CI254" t="str">
            <v>ND</v>
          </cell>
          <cell r="CJ254">
            <v>0.09</v>
          </cell>
          <cell r="CK254">
            <v>9.4211268424054764E-2</v>
          </cell>
          <cell r="CL254">
            <v>7.0948171434907309E-2</v>
          </cell>
          <cell r="CM254">
            <v>8.8241285384394907E-2</v>
          </cell>
        </row>
        <row r="255">
          <cell r="B255" t="str">
            <v>Commercial insurance</v>
          </cell>
          <cell r="D255" t="str">
            <v>ND</v>
          </cell>
          <cell r="E255">
            <v>0.41</v>
          </cell>
          <cell r="F255">
            <v>0.39</v>
          </cell>
          <cell r="G255">
            <v>0.37</v>
          </cell>
          <cell r="H255">
            <v>0.34999999999999992</v>
          </cell>
          <cell r="I255">
            <v>0.33</v>
          </cell>
          <cell r="J255">
            <v>0.35</v>
          </cell>
          <cell r="K255">
            <v>0.34</v>
          </cell>
          <cell r="L255">
            <v>0.38</v>
          </cell>
          <cell r="M255" t="str">
            <v>ND</v>
          </cell>
          <cell r="N255" t="str">
            <v>ND</v>
          </cell>
          <cell r="O255" t="str">
            <v>ND</v>
          </cell>
          <cell r="P255" t="str">
            <v>ND</v>
          </cell>
          <cell r="Q255">
            <v>0.41</v>
          </cell>
          <cell r="R255" t="str">
            <v>ND</v>
          </cell>
          <cell r="S255" t="str">
            <v>ND</v>
          </cell>
          <cell r="T255" t="str">
            <v>ND</v>
          </cell>
          <cell r="U255" t="str">
            <v>ND</v>
          </cell>
          <cell r="V255">
            <v>0.4</v>
          </cell>
          <cell r="W255" t="str">
            <v>ND</v>
          </cell>
          <cell r="X255" t="str">
            <v>ND</v>
          </cell>
          <cell r="Y255" t="str">
            <v>ND</v>
          </cell>
          <cell r="Z255" t="str">
            <v>ND</v>
          </cell>
          <cell r="AA255">
            <v>0.41000000000000003</v>
          </cell>
          <cell r="AB255" t="str">
            <v>ND</v>
          </cell>
          <cell r="AC255" t="str">
            <v>ND</v>
          </cell>
          <cell r="AD255" t="str">
            <v>ND</v>
          </cell>
          <cell r="AE255" t="str">
            <v>ND</v>
          </cell>
          <cell r="AF255">
            <v>0.53</v>
          </cell>
          <cell r="AG255" t="str">
            <v>ND</v>
          </cell>
          <cell r="AH255" t="str">
            <v>ND</v>
          </cell>
          <cell r="AI255" t="str">
            <v>ND</v>
          </cell>
          <cell r="AJ255" t="str">
            <v>ND</v>
          </cell>
          <cell r="AK255">
            <v>0.47</v>
          </cell>
          <cell r="AL255" t="str">
            <v>ND</v>
          </cell>
          <cell r="AM255" t="str">
            <v>ND</v>
          </cell>
          <cell r="AN255" t="str">
            <v>ND</v>
          </cell>
          <cell r="AO255" t="str">
            <v>ND</v>
          </cell>
          <cell r="AP255">
            <v>0.46</v>
          </cell>
          <cell r="AQ255" t="str">
            <v>ND</v>
          </cell>
          <cell r="AR255" t="str">
            <v>ND</v>
          </cell>
          <cell r="AS255" t="str">
            <v>ND</v>
          </cell>
          <cell r="AT255" t="str">
            <v>ND</v>
          </cell>
          <cell r="AU255">
            <v>0.47000000000000003</v>
          </cell>
          <cell r="AW255" t="str">
            <v>ND</v>
          </cell>
          <cell r="AX255" t="str">
            <v>ND</v>
          </cell>
          <cell r="AY255" t="str">
            <v>ND</v>
          </cell>
          <cell r="AZ255" t="str">
            <v>ND</v>
          </cell>
          <cell r="BB255" t="str">
            <v>ND</v>
          </cell>
          <cell r="BC255" t="str">
            <v>ND</v>
          </cell>
          <cell r="BD255" t="str">
            <v>ND</v>
          </cell>
          <cell r="BE255" t="str">
            <v>ND</v>
          </cell>
          <cell r="BG255" t="str">
            <v>ND</v>
          </cell>
          <cell r="BH255" t="str">
            <v>ND</v>
          </cell>
          <cell r="BI255" t="str">
            <v>ND</v>
          </cell>
          <cell r="BJ255" t="str">
            <v>ND</v>
          </cell>
          <cell r="BK255">
            <v>0.47</v>
          </cell>
          <cell r="BL255" t="str">
            <v>ND</v>
          </cell>
          <cell r="BM255" t="str">
            <v>ND</v>
          </cell>
          <cell r="BN255" t="str">
            <v>ND</v>
          </cell>
          <cell r="BO255" t="str">
            <v>ND</v>
          </cell>
          <cell r="BP255">
            <v>0.5</v>
          </cell>
          <cell r="BQ255" t="str">
            <v>ND</v>
          </cell>
          <cell r="BR255" t="str">
            <v>ND</v>
          </cell>
          <cell r="BS255" t="str">
            <v>ND</v>
          </cell>
          <cell r="BT255" t="str">
            <v>ND</v>
          </cell>
          <cell r="BU255">
            <v>0.51</v>
          </cell>
          <cell r="BV255" t="str">
            <v>ND</v>
          </cell>
          <cell r="BW255" t="str">
            <v>ND</v>
          </cell>
          <cell r="BX255" t="str">
            <v>ND</v>
          </cell>
          <cell r="BY255" t="str">
            <v>ND</v>
          </cell>
          <cell r="BZ255">
            <v>0.49</v>
          </cell>
          <cell r="CA255" t="str">
            <v>ND</v>
          </cell>
          <cell r="CB255" t="str">
            <v>ND</v>
          </cell>
          <cell r="CC255" t="str">
            <v>ND</v>
          </cell>
          <cell r="CD255" t="str">
            <v>ND</v>
          </cell>
          <cell r="CE255">
            <v>0.5</v>
          </cell>
          <cell r="CF255" t="str">
            <v>ND</v>
          </cell>
          <cell r="CG255" t="str">
            <v>ND</v>
          </cell>
          <cell r="CH255" t="str">
            <v>ND</v>
          </cell>
          <cell r="CI255" t="str">
            <v>ND</v>
          </cell>
          <cell r="CJ255">
            <v>0.5</v>
          </cell>
          <cell r="CK255">
            <v>0.49446136951992209</v>
          </cell>
          <cell r="CL255">
            <v>0.48732168384877689</v>
          </cell>
          <cell r="CM255">
            <v>0.5060945674975228</v>
          </cell>
        </row>
        <row r="256">
          <cell r="B256" t="str">
            <v>Self−pay</v>
          </cell>
          <cell r="D256" t="str">
            <v>ND</v>
          </cell>
          <cell r="E256">
            <v>0</v>
          </cell>
          <cell r="F256">
            <v>0</v>
          </cell>
          <cell r="G256">
            <v>0</v>
          </cell>
          <cell r="H256">
            <v>0</v>
          </cell>
          <cell r="I256">
            <v>0</v>
          </cell>
          <cell r="J256">
            <v>0</v>
          </cell>
          <cell r="K256">
            <v>0</v>
          </cell>
          <cell r="L256">
            <v>0</v>
          </cell>
          <cell r="M256" t="str">
            <v>ND</v>
          </cell>
          <cell r="N256" t="str">
            <v>ND</v>
          </cell>
          <cell r="O256" t="str">
            <v>ND</v>
          </cell>
          <cell r="P256" t="str">
            <v>ND</v>
          </cell>
          <cell r="Q256">
            <v>0</v>
          </cell>
          <cell r="R256" t="str">
            <v>ND</v>
          </cell>
          <cell r="S256" t="str">
            <v>ND</v>
          </cell>
          <cell r="T256" t="str">
            <v>ND</v>
          </cell>
          <cell r="U256" t="str">
            <v>ND</v>
          </cell>
          <cell r="V256">
            <v>0</v>
          </cell>
          <cell r="W256" t="str">
            <v>ND</v>
          </cell>
          <cell r="X256" t="str">
            <v>ND</v>
          </cell>
          <cell r="Y256" t="str">
            <v>ND</v>
          </cell>
          <cell r="Z256" t="str">
            <v>ND</v>
          </cell>
          <cell r="AA256">
            <v>0</v>
          </cell>
          <cell r="AB256" t="str">
            <v>ND</v>
          </cell>
          <cell r="AC256" t="str">
            <v>ND</v>
          </cell>
          <cell r="AD256" t="str">
            <v>ND</v>
          </cell>
          <cell r="AE256" t="str">
            <v>ND</v>
          </cell>
          <cell r="AF256">
            <v>0</v>
          </cell>
          <cell r="AG256" t="str">
            <v>ND</v>
          </cell>
          <cell r="AH256" t="str">
            <v>ND</v>
          </cell>
          <cell r="AI256" t="str">
            <v>ND</v>
          </cell>
          <cell r="AJ256" t="str">
            <v>ND</v>
          </cell>
          <cell r="AK256">
            <v>0.09</v>
          </cell>
          <cell r="AL256" t="str">
            <v>ND</v>
          </cell>
          <cell r="AM256" t="str">
            <v>ND</v>
          </cell>
          <cell r="AN256" t="str">
            <v>ND</v>
          </cell>
          <cell r="AO256" t="str">
            <v>ND</v>
          </cell>
          <cell r="AP256">
            <v>0.1</v>
          </cell>
          <cell r="AQ256" t="str">
            <v>ND</v>
          </cell>
          <cell r="AR256" t="str">
            <v>ND</v>
          </cell>
          <cell r="AS256" t="str">
            <v>ND</v>
          </cell>
          <cell r="AT256" t="str">
            <v>ND</v>
          </cell>
          <cell r="AU256">
            <v>0.08</v>
          </cell>
          <cell r="AW256" t="str">
            <v>ND</v>
          </cell>
          <cell r="AX256" t="str">
            <v>ND</v>
          </cell>
          <cell r="AY256" t="str">
            <v>ND</v>
          </cell>
          <cell r="AZ256" t="str">
            <v>ND</v>
          </cell>
          <cell r="BB256" t="str">
            <v>ND</v>
          </cell>
          <cell r="BC256" t="str">
            <v>ND</v>
          </cell>
          <cell r="BD256" t="str">
            <v>ND</v>
          </cell>
          <cell r="BE256" t="str">
            <v>ND</v>
          </cell>
          <cell r="BG256" t="str">
            <v>ND</v>
          </cell>
          <cell r="BH256" t="str">
            <v>ND</v>
          </cell>
          <cell r="BI256" t="str">
            <v>ND</v>
          </cell>
          <cell r="BJ256" t="str">
            <v>ND</v>
          </cell>
          <cell r="BK256">
            <v>0.09</v>
          </cell>
          <cell r="BL256" t="str">
            <v>ND</v>
          </cell>
          <cell r="BM256" t="str">
            <v>ND</v>
          </cell>
          <cell r="BN256" t="str">
            <v>ND</v>
          </cell>
          <cell r="BO256" t="str">
            <v>ND</v>
          </cell>
          <cell r="BP256">
            <v>0.1</v>
          </cell>
          <cell r="BQ256" t="str">
            <v>ND</v>
          </cell>
          <cell r="BR256" t="str">
            <v>ND</v>
          </cell>
          <cell r="BS256" t="str">
            <v>ND</v>
          </cell>
          <cell r="BT256" t="str">
            <v>ND</v>
          </cell>
          <cell r="BU256">
            <v>0.09</v>
          </cell>
          <cell r="BV256" t="str">
            <v>ND</v>
          </cell>
          <cell r="BW256" t="str">
            <v>ND</v>
          </cell>
          <cell r="BX256" t="str">
            <v>ND</v>
          </cell>
          <cell r="BY256" t="str">
            <v>ND</v>
          </cell>
          <cell r="BZ256">
            <v>0.1</v>
          </cell>
          <cell r="CA256" t="str">
            <v>ND</v>
          </cell>
          <cell r="CB256" t="str">
            <v>ND</v>
          </cell>
          <cell r="CC256" t="str">
            <v>ND</v>
          </cell>
          <cell r="CD256" t="str">
            <v>ND</v>
          </cell>
          <cell r="CE256">
            <v>0.09</v>
          </cell>
          <cell r="CF256" t="str">
            <v>ND</v>
          </cell>
          <cell r="CG256" t="str">
            <v>ND</v>
          </cell>
          <cell r="CH256" t="str">
            <v>ND</v>
          </cell>
          <cell r="CI256" t="str">
            <v>ND</v>
          </cell>
          <cell r="CJ256">
            <v>0.1</v>
          </cell>
          <cell r="CK256">
            <v>9.7993024681622132E-2</v>
          </cell>
          <cell r="CL256">
            <v>0.11150040230270121</v>
          </cell>
          <cell r="CM256">
            <v>0.11911101336568547</v>
          </cell>
        </row>
        <row r="257">
          <cell r="B257" t="str">
            <v>Other</v>
          </cell>
          <cell r="D257" t="str">
            <v>ND</v>
          </cell>
          <cell r="E257">
            <v>0</v>
          </cell>
          <cell r="F257">
            <v>0</v>
          </cell>
          <cell r="G257">
            <v>0</v>
          </cell>
          <cell r="H257">
            <v>0</v>
          </cell>
          <cell r="I257">
            <v>0</v>
          </cell>
          <cell r="J257">
            <v>0</v>
          </cell>
          <cell r="K257">
            <v>0</v>
          </cell>
          <cell r="L257">
            <v>0</v>
          </cell>
          <cell r="M257" t="str">
            <v>ND</v>
          </cell>
          <cell r="N257" t="str">
            <v>ND</v>
          </cell>
          <cell r="O257" t="str">
            <v>ND</v>
          </cell>
          <cell r="P257" t="str">
            <v>ND</v>
          </cell>
          <cell r="Q257">
            <v>0</v>
          </cell>
          <cell r="R257" t="str">
            <v>ND</v>
          </cell>
          <cell r="S257" t="str">
            <v>ND</v>
          </cell>
          <cell r="T257" t="str">
            <v>ND</v>
          </cell>
          <cell r="U257" t="str">
            <v>ND</v>
          </cell>
          <cell r="V257">
            <v>0</v>
          </cell>
          <cell r="W257" t="str">
            <v>ND</v>
          </cell>
          <cell r="X257" t="str">
            <v>ND</v>
          </cell>
          <cell r="Y257" t="str">
            <v>ND</v>
          </cell>
          <cell r="Z257" t="str">
            <v>ND</v>
          </cell>
          <cell r="AA257">
            <v>0</v>
          </cell>
          <cell r="AB257" t="str">
            <v>ND</v>
          </cell>
          <cell r="AC257" t="str">
            <v>ND</v>
          </cell>
          <cell r="AD257" t="str">
            <v>ND</v>
          </cell>
          <cell r="AE257" t="str">
            <v>ND</v>
          </cell>
          <cell r="AF257">
            <v>0</v>
          </cell>
          <cell r="AG257" t="str">
            <v>ND</v>
          </cell>
          <cell r="AH257" t="str">
            <v>ND</v>
          </cell>
          <cell r="AI257" t="str">
            <v>ND</v>
          </cell>
          <cell r="AJ257" t="str">
            <v>ND</v>
          </cell>
          <cell r="AK257">
            <v>0</v>
          </cell>
          <cell r="AL257" t="str">
            <v>ND</v>
          </cell>
          <cell r="AM257" t="str">
            <v>ND</v>
          </cell>
          <cell r="AN257" t="str">
            <v>ND</v>
          </cell>
          <cell r="AO257" t="str">
            <v>ND</v>
          </cell>
          <cell r="AP257">
            <v>0</v>
          </cell>
          <cell r="AQ257" t="str">
            <v>ND</v>
          </cell>
          <cell r="AR257" t="str">
            <v>ND</v>
          </cell>
          <cell r="AS257" t="str">
            <v>ND</v>
          </cell>
          <cell r="AT257" t="str">
            <v>ND</v>
          </cell>
          <cell r="AU257">
            <v>0</v>
          </cell>
          <cell r="AW257" t="str">
            <v>ND</v>
          </cell>
          <cell r="AX257" t="str">
            <v>ND</v>
          </cell>
          <cell r="AY257" t="str">
            <v>ND</v>
          </cell>
          <cell r="AZ257" t="str">
            <v>ND</v>
          </cell>
          <cell r="BB257" t="str">
            <v>ND</v>
          </cell>
          <cell r="BC257" t="str">
            <v>ND</v>
          </cell>
          <cell r="BD257" t="str">
            <v>ND</v>
          </cell>
          <cell r="BE257" t="str">
            <v>ND</v>
          </cell>
          <cell r="BG257" t="str">
            <v>ND</v>
          </cell>
          <cell r="BH257" t="str">
            <v>ND</v>
          </cell>
          <cell r="BI257" t="str">
            <v>ND</v>
          </cell>
          <cell r="BJ257" t="str">
            <v>ND</v>
          </cell>
          <cell r="BK257">
            <v>0</v>
          </cell>
          <cell r="BL257" t="str">
            <v>ND</v>
          </cell>
          <cell r="BM257" t="str">
            <v>ND</v>
          </cell>
          <cell r="BN257" t="str">
            <v>ND</v>
          </cell>
          <cell r="BO257" t="str">
            <v>ND</v>
          </cell>
          <cell r="BP257">
            <v>0</v>
          </cell>
          <cell r="BQ257" t="str">
            <v>ND</v>
          </cell>
          <cell r="BR257" t="str">
            <v>ND</v>
          </cell>
          <cell r="BS257" t="str">
            <v>ND</v>
          </cell>
          <cell r="BT257" t="str">
            <v>ND</v>
          </cell>
          <cell r="BU257">
            <v>0</v>
          </cell>
          <cell r="BV257" t="str">
            <v>ND</v>
          </cell>
          <cell r="BW257" t="str">
            <v>ND</v>
          </cell>
          <cell r="BX257" t="str">
            <v>ND</v>
          </cell>
          <cell r="BY257" t="str">
            <v>ND</v>
          </cell>
          <cell r="BZ257">
            <v>0</v>
          </cell>
          <cell r="CA257" t="str">
            <v>ND</v>
          </cell>
          <cell r="CB257" t="str">
            <v>ND</v>
          </cell>
          <cell r="CC257" t="str">
            <v>ND</v>
          </cell>
          <cell r="CD257" t="str">
            <v>ND</v>
          </cell>
          <cell r="CE257">
            <v>0</v>
          </cell>
          <cell r="CF257" t="str">
            <v>ND</v>
          </cell>
          <cell r="CG257" t="str">
            <v>ND</v>
          </cell>
          <cell r="CH257" t="str">
            <v>ND</v>
          </cell>
          <cell r="CI257" t="str">
            <v>ND</v>
          </cell>
          <cell r="CJ257">
            <v>0</v>
          </cell>
          <cell r="CK257">
            <v>2.914822136496616E-2</v>
          </cell>
          <cell r="CL257">
            <v>3.7021928313631269E-2</v>
          </cell>
          <cell r="CM257">
            <v>1.3701585218488067E-2</v>
          </cell>
        </row>
        <row r="258">
          <cell r="B258" t="str">
            <v>TOTAL</v>
          </cell>
          <cell r="D258" t="str">
            <v>ND</v>
          </cell>
          <cell r="E258">
            <v>1</v>
          </cell>
          <cell r="F258">
            <v>1</v>
          </cell>
          <cell r="G258">
            <v>1</v>
          </cell>
          <cell r="H258">
            <v>1</v>
          </cell>
          <cell r="I258">
            <v>1</v>
          </cell>
          <cell r="J258">
            <v>1</v>
          </cell>
          <cell r="K258">
            <v>1</v>
          </cell>
          <cell r="L258">
            <v>1</v>
          </cell>
          <cell r="M258" t="str">
            <v>ND</v>
          </cell>
          <cell r="N258" t="str">
            <v>ND</v>
          </cell>
          <cell r="O258" t="str">
            <v>ND</v>
          </cell>
          <cell r="P258" t="str">
            <v>ND</v>
          </cell>
          <cell r="Q258">
            <v>0.99999999999999978</v>
          </cell>
          <cell r="R258" t="str">
            <v>ND</v>
          </cell>
          <cell r="S258" t="str">
            <v>ND</v>
          </cell>
          <cell r="T258" t="str">
            <v>ND</v>
          </cell>
          <cell r="U258" t="str">
            <v>ND</v>
          </cell>
          <cell r="V258">
            <v>0.99999999999999989</v>
          </cell>
          <cell r="W258" t="str">
            <v>ND</v>
          </cell>
          <cell r="X258" t="str">
            <v>ND</v>
          </cell>
          <cell r="Y258" t="str">
            <v>ND</v>
          </cell>
          <cell r="Z258" t="str">
            <v>ND</v>
          </cell>
          <cell r="AA258">
            <v>1</v>
          </cell>
          <cell r="AB258" t="str">
            <v>ND</v>
          </cell>
          <cell r="AC258" t="str">
            <v>ND</v>
          </cell>
          <cell r="AD258" t="str">
            <v>ND</v>
          </cell>
          <cell r="AE258" t="str">
            <v>ND</v>
          </cell>
          <cell r="AF258">
            <v>1</v>
          </cell>
          <cell r="AG258" t="str">
            <v>ND</v>
          </cell>
          <cell r="AH258" t="str">
            <v>ND</v>
          </cell>
          <cell r="AI258" t="str">
            <v>ND</v>
          </cell>
          <cell r="AJ258" t="str">
            <v>ND</v>
          </cell>
          <cell r="AK258">
            <v>0.99999999999999989</v>
          </cell>
          <cell r="AL258" t="str">
            <v>ND</v>
          </cell>
          <cell r="AM258" t="str">
            <v>ND</v>
          </cell>
          <cell r="AN258" t="str">
            <v>ND</v>
          </cell>
          <cell r="AO258" t="str">
            <v>ND</v>
          </cell>
          <cell r="AP258">
            <v>0.99999999999999989</v>
          </cell>
          <cell r="AQ258" t="str">
            <v>ND</v>
          </cell>
          <cell r="AR258" t="str">
            <v>ND</v>
          </cell>
          <cell r="AS258" t="str">
            <v>ND</v>
          </cell>
          <cell r="AT258" t="str">
            <v>ND</v>
          </cell>
          <cell r="AU258">
            <v>0.99999999999999989</v>
          </cell>
          <cell r="AW258" t="str">
            <v>ND</v>
          </cell>
          <cell r="AX258" t="str">
            <v>ND</v>
          </cell>
          <cell r="AY258" t="str">
            <v>ND</v>
          </cell>
          <cell r="AZ258" t="str">
            <v>ND</v>
          </cell>
          <cell r="BB258" t="str">
            <v>ND</v>
          </cell>
          <cell r="BC258" t="str">
            <v>ND</v>
          </cell>
          <cell r="BD258" t="str">
            <v>ND</v>
          </cell>
          <cell r="BE258" t="str">
            <v>ND</v>
          </cell>
          <cell r="BG258" t="str">
            <v>ND</v>
          </cell>
          <cell r="BH258" t="str">
            <v>ND</v>
          </cell>
          <cell r="BI258" t="str">
            <v>ND</v>
          </cell>
          <cell r="BJ258" t="str">
            <v>ND</v>
          </cell>
          <cell r="BK258">
            <v>0.99999999999999989</v>
          </cell>
          <cell r="BL258" t="str">
            <v>ND</v>
          </cell>
          <cell r="BM258" t="str">
            <v>ND</v>
          </cell>
          <cell r="BN258" t="str">
            <v>ND</v>
          </cell>
          <cell r="BO258" t="str">
            <v>ND</v>
          </cell>
          <cell r="BP258">
            <v>1</v>
          </cell>
          <cell r="BQ258" t="str">
            <v>ND</v>
          </cell>
          <cell r="BR258" t="str">
            <v>ND</v>
          </cell>
          <cell r="BS258" t="str">
            <v>ND</v>
          </cell>
          <cell r="BT258" t="str">
            <v>ND</v>
          </cell>
          <cell r="BU258">
            <v>1</v>
          </cell>
          <cell r="BV258" t="str">
            <v>ND</v>
          </cell>
          <cell r="BW258" t="str">
            <v>ND</v>
          </cell>
          <cell r="BX258" t="str">
            <v>ND</v>
          </cell>
          <cell r="BY258" t="str">
            <v>ND</v>
          </cell>
          <cell r="BZ258">
            <v>1</v>
          </cell>
          <cell r="CA258" t="str">
            <v>ND</v>
          </cell>
          <cell r="CB258" t="str">
            <v>ND</v>
          </cell>
          <cell r="CC258" t="str">
            <v>ND</v>
          </cell>
          <cell r="CD258" t="str">
            <v>ND</v>
          </cell>
          <cell r="CE258">
            <v>1</v>
          </cell>
          <cell r="CF258" t="str">
            <v>ND</v>
          </cell>
          <cell r="CG258" t="str">
            <v>ND</v>
          </cell>
          <cell r="CH258" t="str">
            <v>ND</v>
          </cell>
          <cell r="CI258" t="str">
            <v>ND</v>
          </cell>
          <cell r="CJ258">
            <v>1</v>
          </cell>
          <cell r="CK258">
            <v>0.99999999999999989</v>
          </cell>
          <cell r="CL258">
            <v>1</v>
          </cell>
          <cell r="CM258">
            <v>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refreshError="1">
        <row r="1">
          <cell r="A1" t="str">
            <v>HMA</v>
          </cell>
        </row>
        <row r="2">
          <cell r="A2">
            <v>41284</v>
          </cell>
        </row>
        <row r="4">
          <cell r="B4" t="str">
            <v>HMA Q1 Comps Table</v>
          </cell>
          <cell r="C4" t="str">
            <v>Historicals</v>
          </cell>
          <cell r="K4" t="str">
            <v>Trends</v>
          </cell>
        </row>
        <row r="5">
          <cell r="B5" t="str">
            <v>($ millions, enrollment 000's)</v>
          </cell>
          <cell r="C5" t="str">
            <v>1Q11A</v>
          </cell>
          <cell r="D5" t="str">
            <v>4Q11A</v>
          </cell>
          <cell r="F5" t="str">
            <v>1Q12E</v>
          </cell>
          <cell r="G5" t="str">
            <v>1Q12A</v>
          </cell>
          <cell r="I5" t="str">
            <v>A. vs E</v>
          </cell>
          <cell r="K5" t="str">
            <v>Q-Q ΔE</v>
          </cell>
          <cell r="L5" t="str">
            <v>YOY ΔE</v>
          </cell>
        </row>
        <row r="7">
          <cell r="B7" t="str">
            <v>Revenue</v>
          </cell>
          <cell r="C7">
            <v>1433.6410000000001</v>
          </cell>
          <cell r="D7">
            <v>1583.7739999999999</v>
          </cell>
          <cell r="F7">
            <v>1686.518</v>
          </cell>
          <cell r="G7">
            <v>1686.518</v>
          </cell>
          <cell r="I7">
            <v>0</v>
          </cell>
          <cell r="K7">
            <v>6.4872892218208023E-2</v>
          </cell>
          <cell r="L7">
            <v>0.17638795207447333</v>
          </cell>
        </row>
        <row r="8">
          <cell r="B8" t="str">
            <v>Salaries &amp; benefits</v>
          </cell>
          <cell r="C8">
            <v>571.39300000000003</v>
          </cell>
          <cell r="D8">
            <v>637.75099999999998</v>
          </cell>
          <cell r="F8">
            <v>659.08399999999995</v>
          </cell>
          <cell r="G8">
            <v>659.08399999999995</v>
          </cell>
          <cell r="I8">
            <v>0</v>
          </cell>
          <cell r="K8">
            <v>3.3450359152709996E-2</v>
          </cell>
          <cell r="L8">
            <v>0.15346880343301361</v>
          </cell>
        </row>
        <row r="9">
          <cell r="B9" t="str">
            <v>Supplies &amp; other</v>
          </cell>
          <cell r="C9">
            <v>195.00299999999999</v>
          </cell>
          <cell r="D9">
            <v>216.35</v>
          </cell>
          <cell r="F9">
            <v>234.44300000000001</v>
          </cell>
          <cell r="G9">
            <v>234.44300000000001</v>
          </cell>
          <cell r="I9">
            <v>0</v>
          </cell>
          <cell r="K9">
            <v>8.3628379939912234E-2</v>
          </cell>
          <cell r="L9">
            <v>0.2022532986672001</v>
          </cell>
        </row>
        <row r="10">
          <cell r="B10" t="str">
            <v>Other operating expenses</v>
          </cell>
          <cell r="C10">
            <v>243.99600000000001</v>
          </cell>
          <cell r="D10">
            <v>305.86500000000001</v>
          </cell>
          <cell r="F10">
            <v>311.77999999999997</v>
          </cell>
          <cell r="G10">
            <v>311.77999999999997</v>
          </cell>
          <cell r="I10">
            <v>0</v>
          </cell>
          <cell r="K10">
            <v>1.933859709348873E-2</v>
          </cell>
          <cell r="L10">
            <v>0.27780783291529354</v>
          </cell>
        </row>
        <row r="11">
          <cell r="B11" t="str">
            <v>Provision for doubtful accounts</v>
          </cell>
          <cell r="C11">
            <v>172.80199999999999</v>
          </cell>
          <cell r="D11">
            <v>195.12700000000001</v>
          </cell>
          <cell r="F11">
            <v>201.261</v>
          </cell>
          <cell r="G11">
            <v>201.261</v>
          </cell>
          <cell r="I11">
            <v>0</v>
          </cell>
          <cell r="K11">
            <v>3.1435936595140435E-2</v>
          </cell>
          <cell r="L11">
            <v>0.16469138088679536</v>
          </cell>
        </row>
        <row r="12">
          <cell r="B12" t="str">
            <v xml:space="preserve">EBITDAR </v>
          </cell>
          <cell r="C12">
            <v>250.44700000000014</v>
          </cell>
          <cell r="D12">
            <v>266.91399999999987</v>
          </cell>
          <cell r="F12">
            <v>284.54000000000025</v>
          </cell>
          <cell r="G12">
            <v>279.95000000000027</v>
          </cell>
          <cell r="I12">
            <v>-1.6131299641526597E-2</v>
          </cell>
          <cell r="K12">
            <v>4.8839701177159744E-2</v>
          </cell>
          <cell r="L12">
            <v>0.11780137114838718</v>
          </cell>
        </row>
        <row r="13">
          <cell r="B13" t="str">
            <v>Rent expense</v>
          </cell>
          <cell r="C13">
            <v>36.018000000000001</v>
          </cell>
          <cell r="D13">
            <v>43.540999999999997</v>
          </cell>
          <cell r="F13">
            <v>45.024999999999999</v>
          </cell>
          <cell r="G13">
            <v>45.024999999999999</v>
          </cell>
          <cell r="I13">
            <v>0</v>
          </cell>
          <cell r="K13">
            <v>3.4082818492914724E-2</v>
          </cell>
          <cell r="L13">
            <v>0.25006940973957459</v>
          </cell>
          <cell r="O13" t="str">
            <v>EPS</v>
          </cell>
          <cell r="P13">
            <v>0.23</v>
          </cell>
        </row>
        <row r="14">
          <cell r="B14" t="str">
            <v xml:space="preserve">HCIT incentive payments </v>
          </cell>
          <cell r="F14">
            <v>-4.59</v>
          </cell>
          <cell r="G14">
            <v>-4.59</v>
          </cell>
          <cell r="O14" t="str">
            <v>Revenue</v>
          </cell>
          <cell r="P14">
            <v>1638</v>
          </cell>
          <cell r="Q14" t="str">
            <v>$1582 - $1701</v>
          </cell>
        </row>
        <row r="15">
          <cell r="B15" t="str">
            <v>EBITDA</v>
          </cell>
          <cell r="C15">
            <v>214.42900000000014</v>
          </cell>
          <cell r="D15">
            <v>223.37299999999988</v>
          </cell>
          <cell r="F15">
            <v>239.51500000000027</v>
          </cell>
          <cell r="G15">
            <v>239.51500000000027</v>
          </cell>
          <cell r="I15">
            <v>0</v>
          </cell>
          <cell r="K15">
            <v>7.2264776853068202E-2</v>
          </cell>
          <cell r="L15">
            <v>0.11698977283856249</v>
          </cell>
          <cell r="O15" t="str">
            <v>EBITDA</v>
          </cell>
          <cell r="P15">
            <v>230</v>
          </cell>
          <cell r="Q15" t="str">
            <v>$215-$241</v>
          </cell>
        </row>
        <row r="16">
          <cell r="B16" t="str">
            <v>Depreciation &amp; amortizaton</v>
          </cell>
          <cell r="C16">
            <v>65.372</v>
          </cell>
          <cell r="D16">
            <v>73.465999999999994</v>
          </cell>
          <cell r="F16">
            <v>78.394000000000005</v>
          </cell>
          <cell r="G16">
            <v>78.394000000000005</v>
          </cell>
          <cell r="I16">
            <v>0</v>
          </cell>
          <cell r="K16">
            <v>6.7078648626575754E-2</v>
          </cell>
          <cell r="L16">
            <v>0.19919843358012623</v>
          </cell>
        </row>
        <row r="17">
          <cell r="B17" t="str">
            <v>Operating income</v>
          </cell>
          <cell r="C17">
            <v>149.05700000000013</v>
          </cell>
          <cell r="D17">
            <v>149.90699999999987</v>
          </cell>
          <cell r="F17">
            <v>161.12100000000027</v>
          </cell>
          <cell r="G17">
            <v>161.12100000000027</v>
          </cell>
          <cell r="I17">
            <v>0</v>
          </cell>
          <cell r="K17">
            <v>7.4806379955575153E-2</v>
          </cell>
          <cell r="L17">
            <v>8.0935481057582859E-2</v>
          </cell>
        </row>
        <row r="18">
          <cell r="B18" t="str">
            <v>Interest expense</v>
          </cell>
          <cell r="C18">
            <v>-51.036999999999999</v>
          </cell>
          <cell r="D18">
            <v>-52.826999999999998</v>
          </cell>
          <cell r="F18">
            <v>-88.763000000000005</v>
          </cell>
          <cell r="G18">
            <v>-54.296000000000006</v>
          </cell>
          <cell r="I18">
            <v>-0.38830368509401436</v>
          </cell>
        </row>
        <row r="19">
          <cell r="B19" t="str">
            <v>Interest income</v>
          </cell>
          <cell r="C19">
            <v>0.13400000000000001</v>
          </cell>
          <cell r="D19">
            <v>3.3420000000000001</v>
          </cell>
          <cell r="F19">
            <v>0</v>
          </cell>
          <cell r="I19" t="e">
            <v>#DIV/0!</v>
          </cell>
        </row>
        <row r="20">
          <cell r="B20" t="str">
            <v>Interest expense, net</v>
          </cell>
          <cell r="C20">
            <v>-50.902999999999999</v>
          </cell>
          <cell r="D20">
            <v>-70.659000000000006</v>
          </cell>
          <cell r="F20">
            <v>-88.763000000000005</v>
          </cell>
          <cell r="G20">
            <v>-88.763000000000005</v>
          </cell>
          <cell r="I20">
            <v>0</v>
          </cell>
          <cell r="K20">
            <v>0.25621647631582678</v>
          </cell>
          <cell r="L20">
            <v>0.74376755790424931</v>
          </cell>
        </row>
        <row r="21">
          <cell r="B21" t="str">
            <v>Minority interests</v>
          </cell>
          <cell r="C21" t="e">
            <v>#REF!</v>
          </cell>
          <cell r="D21" t="e">
            <v>#REF!</v>
          </cell>
          <cell r="F21" t="e">
            <v>#REF!</v>
          </cell>
          <cell r="G21">
            <v>-6.9059999999999997</v>
          </cell>
          <cell r="I21" t="e">
            <v>#REF!</v>
          </cell>
          <cell r="K21" t="e">
            <v>#REF!</v>
          </cell>
          <cell r="L21" t="e">
            <v>#REF!</v>
          </cell>
        </row>
        <row r="22">
          <cell r="B22" t="str">
            <v>Gain (loss) on asset sales</v>
          </cell>
          <cell r="C22">
            <v>0.06</v>
          </cell>
          <cell r="D22">
            <v>0</v>
          </cell>
          <cell r="F22">
            <v>0</v>
          </cell>
          <cell r="G22">
            <v>0</v>
          </cell>
          <cell r="I22" t="str">
            <v>nm</v>
          </cell>
          <cell r="K22" t="str">
            <v>nm</v>
          </cell>
          <cell r="L22" t="str">
            <v>nm</v>
          </cell>
        </row>
        <row r="23">
          <cell r="B23" t="str">
            <v>Early debt extinguishment &amp; other</v>
          </cell>
          <cell r="C23">
            <v>0</v>
          </cell>
          <cell r="D23">
            <v>-24.594999999999999</v>
          </cell>
          <cell r="F23">
            <v>0</v>
          </cell>
          <cell r="G23">
            <v>-1.64</v>
          </cell>
          <cell r="I23" t="str">
            <v>nm</v>
          </cell>
          <cell r="K23" t="str">
            <v>nm</v>
          </cell>
          <cell r="L23" t="str">
            <v>nm</v>
          </cell>
        </row>
        <row r="24">
          <cell r="B24" t="str">
            <v>Pretax income</v>
          </cell>
          <cell r="C24">
            <v>98.214000000000141</v>
          </cell>
          <cell r="D24">
            <v>54.640999999999863</v>
          </cell>
          <cell r="F24">
            <v>70.718000000000259</v>
          </cell>
          <cell r="G24">
            <v>63.812000000000253</v>
          </cell>
          <cell r="I24">
            <v>-9.765547668203256E-2</v>
          </cell>
          <cell r="K24">
            <v>0.16784099851760415</v>
          </cell>
          <cell r="L24">
            <v>-0.35027592807542551</v>
          </cell>
        </row>
        <row r="25">
          <cell r="B25" t="str">
            <v>Income tax expense (benefit)</v>
          </cell>
          <cell r="C25">
            <v>35.503999999999998</v>
          </cell>
          <cell r="D25">
            <v>16.893000000000001</v>
          </cell>
          <cell r="F25">
            <v>24.727</v>
          </cell>
          <cell r="G25">
            <v>24.727</v>
          </cell>
          <cell r="I25">
            <v>0</v>
          </cell>
          <cell r="K25">
            <v>0.46374237849997035</v>
          </cell>
          <cell r="L25">
            <v>-0.30354326273095988</v>
          </cell>
        </row>
        <row r="26">
          <cell r="B26" t="str">
            <v>Net income from continuing ops</v>
          </cell>
          <cell r="C26">
            <v>62.710000000000143</v>
          </cell>
          <cell r="D26">
            <v>37.747999999999863</v>
          </cell>
          <cell r="F26">
            <v>45.991000000000255</v>
          </cell>
          <cell r="G26">
            <v>39.08500000000025</v>
          </cell>
          <cell r="I26">
            <v>-0.15015981387662736</v>
          </cell>
          <cell r="K26">
            <v>3.5419095051403726E-2</v>
          </cell>
          <cell r="L26">
            <v>-0.37673417317811897</v>
          </cell>
        </row>
        <row r="27">
          <cell r="B27" t="str">
            <v>Income (loss) discontinued ops, net</v>
          </cell>
          <cell r="C27">
            <v>-0.59799999999999998</v>
          </cell>
          <cell r="D27">
            <v>-1.2270000000000001</v>
          </cell>
          <cell r="F27">
            <v>-1.395</v>
          </cell>
          <cell r="G27">
            <v>-1.395</v>
          </cell>
          <cell r="I27" t="str">
            <v>nm</v>
          </cell>
          <cell r="K27" t="str">
            <v>nm</v>
          </cell>
          <cell r="L27" t="str">
            <v>nm</v>
          </cell>
        </row>
        <row r="28">
          <cell r="B28" t="str">
            <v>Net income as reported</v>
          </cell>
          <cell r="C28">
            <v>62.112000000000144</v>
          </cell>
          <cell r="D28">
            <v>36.520999999999866</v>
          </cell>
          <cell r="F28">
            <v>44.596000000000252</v>
          </cell>
          <cell r="G28">
            <v>37.690000000000246</v>
          </cell>
          <cell r="I28">
            <v>-0.1548569378419582</v>
          </cell>
          <cell r="K28">
            <v>3.2008981134152625E-2</v>
          </cell>
          <cell r="L28">
            <v>-0.39319294178258368</v>
          </cell>
        </row>
        <row r="29">
          <cell r="B29" t="str">
            <v>Operating EPS from Continuing Operations</v>
          </cell>
        </row>
        <row r="30">
          <cell r="B30" t="str">
            <v>Gain (loss) on asset sales</v>
          </cell>
          <cell r="C30">
            <v>-3.8310220538823422E-2</v>
          </cell>
          <cell r="D30">
            <v>0.29035432741392886</v>
          </cell>
          <cell r="F30">
            <v>8.5052848668781905E-2</v>
          </cell>
          <cell r="I30" t="str">
            <v>nm</v>
          </cell>
          <cell r="K30" t="str">
            <v>nm</v>
          </cell>
          <cell r="L30" t="str">
            <v>nm</v>
          </cell>
        </row>
        <row r="31">
          <cell r="B31" t="str">
            <v>Early extinguishment of debt &amp; related charges</v>
          </cell>
          <cell r="C31">
            <v>0</v>
          </cell>
          <cell r="D31">
            <v>0</v>
          </cell>
          <cell r="F31">
            <v>0</v>
          </cell>
          <cell r="I31" t="str">
            <v>nm</v>
          </cell>
          <cell r="K31" t="str">
            <v>nm</v>
          </cell>
          <cell r="L31" t="str">
            <v>nm</v>
          </cell>
        </row>
        <row r="32">
          <cell r="B32" t="str">
            <v>Other one-time items, after-tax</v>
          </cell>
          <cell r="C32">
            <v>0</v>
          </cell>
          <cell r="D32">
            <v>0</v>
          </cell>
          <cell r="F32">
            <v>0</v>
          </cell>
          <cell r="G32">
            <v>-23.012910000000002</v>
          </cell>
          <cell r="I32" t="str">
            <v>nm</v>
          </cell>
          <cell r="K32" t="str">
            <v>nm</v>
          </cell>
          <cell r="L32" t="str">
            <v>nm</v>
          </cell>
        </row>
        <row r="33">
          <cell r="B33" t="str">
            <v>Operating net income</v>
          </cell>
          <cell r="C33">
            <v>56.083689779461317</v>
          </cell>
          <cell r="D33">
            <v>35.583354327413979</v>
          </cell>
          <cell r="F33">
            <v>61.577000000000261</v>
          </cell>
          <cell r="G33">
            <v>62.097910000000255</v>
          </cell>
          <cell r="I33">
            <v>8.4594897445473549E-3</v>
          </cell>
          <cell r="K33">
            <v>0.74513929824089242</v>
          </cell>
          <cell r="L33">
            <v>0.10723652891221569</v>
          </cell>
        </row>
        <row r="35">
          <cell r="B35" t="str">
            <v>Operating EPS - Fully Diluted</v>
          </cell>
          <cell r="C35">
            <v>0.22103950221876786</v>
          </cell>
          <cell r="D35">
            <v>0.25403855768028943</v>
          </cell>
          <cell r="F35">
            <v>0.24081830589873351</v>
          </cell>
          <cell r="G35">
            <v>0.2428555058877831</v>
          </cell>
          <cell r="I35">
            <v>8.4594897445473549E-3</v>
          </cell>
          <cell r="K35">
            <v>-4.4021080479367036E-2</v>
          </cell>
          <cell r="L35">
            <v>9.8697307268740708E-2</v>
          </cell>
        </row>
        <row r="36">
          <cell r="B36" t="str">
            <v>GAAP EPS - Fully Diluted</v>
          </cell>
          <cell r="C36">
            <v>0.22119049214313077</v>
          </cell>
          <cell r="D36">
            <v>0.12527340332458389</v>
          </cell>
          <cell r="F36">
            <v>0.15285550588778313</v>
          </cell>
          <cell r="G36">
            <v>0.18274837655630022</v>
          </cell>
          <cell r="I36">
            <v>-0.16357393281306576</v>
          </cell>
          <cell r="K36">
            <v>0.4587962943961732</v>
          </cell>
          <cell r="L36">
            <v>-0.17379641961262482</v>
          </cell>
        </row>
        <row r="37">
          <cell r="B37" t="str">
            <v>Wtd. Avg Shares Outstanding - Diluted</v>
          </cell>
          <cell r="C37">
            <v>253.727</v>
          </cell>
          <cell r="D37">
            <v>256.03199999999998</v>
          </cell>
          <cell r="F37">
            <v>255.69900000000001</v>
          </cell>
          <cell r="G37">
            <v>255.69900000000001</v>
          </cell>
          <cell r="I37">
            <v>0</v>
          </cell>
          <cell r="K37">
            <v>-1.3006186726658431E-3</v>
          </cell>
          <cell r="L37">
            <v>7.7721330406304023E-3</v>
          </cell>
        </row>
        <row r="39">
          <cell r="B39" t="str">
            <v>Margins &amp; Ratios</v>
          </cell>
        </row>
        <row r="40">
          <cell r="B40" t="str">
            <v>SWB as % of revenue</v>
          </cell>
          <cell r="C40">
            <v>0.39856072754615696</v>
          </cell>
          <cell r="D40">
            <v>0.40267803360833049</v>
          </cell>
          <cell r="F40">
            <v>0.39079571045194889</v>
          </cell>
          <cell r="G40">
            <v>0.39079571045194889</v>
          </cell>
          <cell r="I40">
            <v>0</v>
          </cell>
          <cell r="K40">
            <v>-120</v>
          </cell>
          <cell r="L40">
            <v>-80</v>
          </cell>
        </row>
        <row r="41">
          <cell r="B41" t="str">
            <v>Supplies expense</v>
          </cell>
          <cell r="C41">
            <v>0.13601940792708911</v>
          </cell>
          <cell r="D41">
            <v>0.13660408618906486</v>
          </cell>
          <cell r="F41">
            <v>0.13901007875397714</v>
          </cell>
          <cell r="G41">
            <v>0.13901007875397714</v>
          </cell>
          <cell r="I41">
            <v>0</v>
          </cell>
          <cell r="K41">
            <v>20</v>
          </cell>
          <cell r="L41">
            <v>30</v>
          </cell>
        </row>
        <row r="42">
          <cell r="B42" t="str">
            <v>Other operating expense</v>
          </cell>
          <cell r="C42">
            <v>0.17019323526601149</v>
          </cell>
          <cell r="D42">
            <v>0.19312414523789381</v>
          </cell>
          <cell r="F42">
            <v>0.18486609689312533</v>
          </cell>
          <cell r="G42">
            <v>0.18486609689312533</v>
          </cell>
          <cell r="I42">
            <v>0</v>
          </cell>
          <cell r="K42">
            <v>-80</v>
          </cell>
          <cell r="L42">
            <v>150</v>
          </cell>
        </row>
        <row r="43">
          <cell r="B43" t="str">
            <v>Bad Debt</v>
          </cell>
          <cell r="C43">
            <v>0.12053366219297577</v>
          </cell>
          <cell r="D43">
            <v>0.12320381569592632</v>
          </cell>
          <cell r="F43">
            <v>0.11933522203735744</v>
          </cell>
          <cell r="G43">
            <v>0.11933522203735744</v>
          </cell>
          <cell r="I43">
            <v>0</v>
          </cell>
          <cell r="K43">
            <v>-40</v>
          </cell>
          <cell r="L43">
            <v>-10</v>
          </cell>
        </row>
        <row r="44">
          <cell r="B44" t="str">
            <v>Rent Expense</v>
          </cell>
          <cell r="C44">
            <v>2.5123444432741528E-2</v>
          </cell>
          <cell r="D44">
            <v>2.7491927509859362E-2</v>
          </cell>
          <cell r="F44">
            <v>2.6697017167916379E-2</v>
          </cell>
          <cell r="G44">
            <v>2.6697017167916379E-2</v>
          </cell>
          <cell r="I44">
            <v>0</v>
          </cell>
          <cell r="K44">
            <v>-10</v>
          </cell>
          <cell r="L44">
            <v>20</v>
          </cell>
        </row>
        <row r="45">
          <cell r="B45" t="str">
            <v>EBITDA margin</v>
          </cell>
          <cell r="C45">
            <v>0.14956952263502518</v>
          </cell>
          <cell r="D45">
            <v>0.14103843098825963</v>
          </cell>
          <cell r="F45">
            <v>0.14201745845582453</v>
          </cell>
          <cell r="G45">
            <v>0.14201745845582453</v>
          </cell>
          <cell r="I45">
            <v>0</v>
          </cell>
          <cell r="K45">
            <v>10</v>
          </cell>
          <cell r="L45">
            <v>-80</v>
          </cell>
        </row>
        <row r="46">
          <cell r="B46" t="str">
            <v>Depreciation and Amortization</v>
          </cell>
          <cell r="C46">
            <v>4.5598584303880814E-2</v>
          </cell>
          <cell r="D46">
            <v>4.6386668805018898E-2</v>
          </cell>
          <cell r="F46">
            <v>4.6482753222912537E-2</v>
          </cell>
          <cell r="G46">
            <v>4.6482753222912537E-2</v>
          </cell>
          <cell r="I46">
            <v>0</v>
          </cell>
          <cell r="K46">
            <v>0</v>
          </cell>
          <cell r="L46">
            <v>10</v>
          </cell>
        </row>
        <row r="47">
          <cell r="B47" t="str">
            <v>Operating margin</v>
          </cell>
          <cell r="C47">
            <v>0.10397093833114435</v>
          </cell>
          <cell r="D47">
            <v>9.4651762183240715E-2</v>
          </cell>
          <cell r="F47">
            <v>9.5534705232911993E-2</v>
          </cell>
          <cell r="G47">
            <v>9.5534705232911993E-2</v>
          </cell>
          <cell r="I47">
            <v>0</v>
          </cell>
          <cell r="K47">
            <v>10</v>
          </cell>
          <cell r="L47">
            <v>-80</v>
          </cell>
        </row>
        <row r="48">
          <cell r="B48" t="str">
            <v>Pretax margin</v>
          </cell>
          <cell r="C48">
            <v>6.8506690308103732E-2</v>
          </cell>
          <cell r="D48">
            <v>3.4500503228364572E-2</v>
          </cell>
          <cell r="F48">
            <v>4.1931363910732204E-2</v>
          </cell>
          <cell r="G48">
            <v>3.7836536580101873E-2</v>
          </cell>
          <cell r="I48">
            <v>-40</v>
          </cell>
          <cell r="K48">
            <v>30</v>
          </cell>
          <cell r="L48">
            <v>-310</v>
          </cell>
        </row>
        <row r="49">
          <cell r="B49" t="str">
            <v>Tax Rate</v>
          </cell>
          <cell r="C49">
            <v>0.36149632435294304</v>
          </cell>
          <cell r="D49">
            <v>0.30916344869237466</v>
          </cell>
          <cell r="F49">
            <v>0.34965638168500113</v>
          </cell>
          <cell r="G49">
            <v>0.38749764934494924</v>
          </cell>
          <cell r="I49">
            <v>380</v>
          </cell>
          <cell r="K49">
            <v>780</v>
          </cell>
          <cell r="L49">
            <v>260</v>
          </cell>
        </row>
        <row r="55">
          <cell r="I55">
            <v>198</v>
          </cell>
        </row>
        <row r="60">
          <cell r="O60" t="str">
            <v>Q311</v>
          </cell>
        </row>
        <row r="61">
          <cell r="M61" t="str">
            <v>SS</v>
          </cell>
        </row>
        <row r="68">
          <cell r="L68">
            <v>198</v>
          </cell>
        </row>
        <row r="70">
          <cell r="I70">
            <v>193</v>
          </cell>
        </row>
      </sheetData>
      <sheetData sheetId="20" refreshError="1">
        <row r="1">
          <cell r="A1" t="str">
            <v>HMA</v>
          </cell>
        </row>
        <row r="2">
          <cell r="A2">
            <v>41284</v>
          </cell>
        </row>
        <row r="4">
          <cell r="B4" t="str">
            <v>HMA Q1 Forecasts &amp; Comps</v>
          </cell>
          <cell r="C4" t="str">
            <v>Historicals</v>
          </cell>
          <cell r="F4" t="str">
            <v>MS (E)</v>
          </cell>
          <cell r="G4" t="str">
            <v>Cons (E)</v>
          </cell>
          <cell r="I4" t="str">
            <v>Diff.</v>
          </cell>
          <cell r="K4" t="str">
            <v>Trends (MS - exp.)</v>
          </cell>
        </row>
        <row r="5">
          <cell r="B5" t="str">
            <v>($ millions, enrollment 000's)</v>
          </cell>
          <cell r="C5" t="str">
            <v>1Q11A</v>
          </cell>
          <cell r="D5" t="str">
            <v>4Q11A</v>
          </cell>
          <cell r="F5" t="str">
            <v>1Q12E</v>
          </cell>
          <cell r="G5" t="str">
            <v>1Q12E</v>
          </cell>
          <cell r="I5" t="str">
            <v>MS - Cons</v>
          </cell>
          <cell r="K5" t="str">
            <v>Q-Q ΔE</v>
          </cell>
          <cell r="L5" t="str">
            <v>YOY ΔE</v>
          </cell>
        </row>
        <row r="7">
          <cell r="B7" t="str">
            <v>Revenue</v>
          </cell>
          <cell r="C7">
            <v>1433.6410000000001</v>
          </cell>
          <cell r="D7">
            <v>1583.7739999999999</v>
          </cell>
          <cell r="F7">
            <v>1686.518</v>
          </cell>
          <cell r="G7" t="str">
            <v>Manual Calculation</v>
          </cell>
          <cell r="I7" t="e">
            <v>#VALUE!</v>
          </cell>
          <cell r="K7">
            <v>6.4872892218208023E-2</v>
          </cell>
          <cell r="L7">
            <v>0.17638795207447333</v>
          </cell>
        </row>
        <row r="8">
          <cell r="B8" t="str">
            <v>Salaries &amp; benefits</v>
          </cell>
          <cell r="C8">
            <v>571.39300000000003</v>
          </cell>
          <cell r="D8">
            <v>637.75099999999998</v>
          </cell>
          <cell r="F8">
            <v>659.08399999999995</v>
          </cell>
          <cell r="K8">
            <v>3.3450359152709996E-2</v>
          </cell>
          <cell r="L8">
            <v>0.15346880343301361</v>
          </cell>
        </row>
        <row r="9">
          <cell r="B9" t="str">
            <v>Supplies &amp; other</v>
          </cell>
          <cell r="C9">
            <v>195.00299999999999</v>
          </cell>
          <cell r="D9">
            <v>216.35</v>
          </cell>
          <cell r="F9">
            <v>234.44300000000001</v>
          </cell>
          <cell r="K9">
            <v>8.3628379939912234E-2</v>
          </cell>
          <cell r="L9">
            <v>0.2022532986672001</v>
          </cell>
          <cell r="N9" t="str">
            <v>4Q/11 EPS</v>
          </cell>
          <cell r="O9" t="str">
            <v>Manual Calculation</v>
          </cell>
        </row>
        <row r="10">
          <cell r="B10" t="str">
            <v>Other operating expenses</v>
          </cell>
          <cell r="C10">
            <v>243.99600000000001</v>
          </cell>
          <cell r="D10">
            <v>305.86500000000001</v>
          </cell>
          <cell r="F10">
            <v>311.77999999999997</v>
          </cell>
          <cell r="K10">
            <v>1.933859709348873E-2</v>
          </cell>
          <cell r="L10">
            <v>0.27780783291529354</v>
          </cell>
          <cell r="N10" t="str">
            <v>FY11 EPS</v>
          </cell>
          <cell r="O10" t="str">
            <v>Manual Calculation</v>
          </cell>
        </row>
        <row r="11">
          <cell r="B11" t="str">
            <v>Provision for doubtful accounts</v>
          </cell>
          <cell r="C11">
            <v>172.80199999999999</v>
          </cell>
          <cell r="D11">
            <v>195.12700000000001</v>
          </cell>
          <cell r="F11">
            <v>201.261</v>
          </cell>
          <cell r="K11">
            <v>3.1435936595140435E-2</v>
          </cell>
          <cell r="L11">
            <v>0.16469138088679536</v>
          </cell>
          <cell r="N11" t="str">
            <v>FY12 EPS</v>
          </cell>
          <cell r="O11" t="str">
            <v>Manual Calculation</v>
          </cell>
        </row>
        <row r="12">
          <cell r="B12" t="str">
            <v xml:space="preserve">EBITDAR </v>
          </cell>
          <cell r="C12">
            <v>250.44700000000014</v>
          </cell>
          <cell r="D12">
            <v>266.91399999999987</v>
          </cell>
          <cell r="F12">
            <v>284.54000000000025</v>
          </cell>
          <cell r="K12">
            <v>6.603625137684932E-2</v>
          </cell>
          <cell r="L12">
            <v>0.13612860205951782</v>
          </cell>
        </row>
        <row r="13">
          <cell r="B13" t="str">
            <v>Rent expense</v>
          </cell>
          <cell r="C13">
            <v>36.018000000000001</v>
          </cell>
          <cell r="D13">
            <v>43.540999999999997</v>
          </cell>
          <cell r="F13">
            <v>45.024999999999999</v>
          </cell>
          <cell r="K13">
            <v>3.4082818492914724E-2</v>
          </cell>
          <cell r="L13">
            <v>0.25006940973957459</v>
          </cell>
        </row>
        <row r="14">
          <cell r="B14" t="str">
            <v>EBITDA</v>
          </cell>
          <cell r="C14">
            <v>214.42900000000014</v>
          </cell>
          <cell r="D14">
            <v>223.37299999999988</v>
          </cell>
          <cell r="F14">
            <v>239.51500000000027</v>
          </cell>
          <cell r="G14" t="str">
            <v>Manual Calculation</v>
          </cell>
          <cell r="I14" t="e">
            <v>#VALUE!</v>
          </cell>
          <cell r="K14">
            <v>7.2264776853068202E-2</v>
          </cell>
          <cell r="L14">
            <v>0.11698977283856249</v>
          </cell>
          <cell r="N14" t="str">
            <v xml:space="preserve">Ranges from 215 to 240. There are some estimates in the 240s excluded for whatever reason. </v>
          </cell>
        </row>
        <row r="15">
          <cell r="B15" t="str">
            <v>Depreciation &amp; amortizaton</v>
          </cell>
          <cell r="C15">
            <v>65.372</v>
          </cell>
          <cell r="D15">
            <v>73.465999999999994</v>
          </cell>
          <cell r="F15">
            <v>78.394000000000005</v>
          </cell>
          <cell r="K15">
            <v>6.7078648626575754E-2</v>
          </cell>
          <cell r="L15">
            <v>0.19919843358012623</v>
          </cell>
        </row>
        <row r="16">
          <cell r="B16" t="str">
            <v>Operating income</v>
          </cell>
          <cell r="C16">
            <v>149.05700000000013</v>
          </cell>
          <cell r="D16">
            <v>149.90699999999987</v>
          </cell>
          <cell r="F16">
            <v>161.12100000000027</v>
          </cell>
          <cell r="G16" t="str">
            <v>Manual Calculation</v>
          </cell>
          <cell r="I16" t="e">
            <v>#VALUE!</v>
          </cell>
          <cell r="K16">
            <v>7.4806379955575153E-2</v>
          </cell>
          <cell r="L16">
            <v>8.0935481057582859E-2</v>
          </cell>
        </row>
        <row r="17">
          <cell r="B17" t="str">
            <v>Interest expense</v>
          </cell>
          <cell r="C17">
            <v>-51.036999999999999</v>
          </cell>
          <cell r="D17">
            <v>-70.659000000000006</v>
          </cell>
          <cell r="F17">
            <v>-88.763000000000005</v>
          </cell>
        </row>
        <row r="18">
          <cell r="B18" t="str">
            <v>Interest income</v>
          </cell>
          <cell r="C18">
            <v>0.13400000000000001</v>
          </cell>
          <cell r="D18">
            <v>0</v>
          </cell>
          <cell r="F18">
            <v>0</v>
          </cell>
        </row>
        <row r="19">
          <cell r="B19" t="str">
            <v>Interest expense, net</v>
          </cell>
          <cell r="C19">
            <v>-50.902999999999999</v>
          </cell>
          <cell r="D19">
            <v>-70.659000000000006</v>
          </cell>
          <cell r="F19">
            <v>-88.763000000000005</v>
          </cell>
          <cell r="K19">
            <v>0.25621647631582678</v>
          </cell>
          <cell r="L19">
            <v>0.74376755790424931</v>
          </cell>
        </row>
        <row r="20">
          <cell r="B20" t="str">
            <v>Minority interests</v>
          </cell>
          <cell r="C20" t="e">
            <v>#REF!</v>
          </cell>
          <cell r="D20" t="e">
            <v>#REF!</v>
          </cell>
          <cell r="F20" t="e">
            <v>#REF!</v>
          </cell>
          <cell r="K20" t="e">
            <v>#REF!</v>
          </cell>
          <cell r="L20" t="e">
            <v>#REF!</v>
          </cell>
        </row>
        <row r="21">
          <cell r="B21" t="str">
            <v>Gain (loss) on asset sales</v>
          </cell>
          <cell r="C21">
            <v>0.06</v>
          </cell>
          <cell r="D21">
            <v>0</v>
          </cell>
          <cell r="F21">
            <v>0</v>
          </cell>
          <cell r="K21" t="str">
            <v>nm</v>
          </cell>
          <cell r="L21" t="str">
            <v>nm</v>
          </cell>
        </row>
        <row r="22">
          <cell r="B22" t="str">
            <v>Early debt extinguishment &amp; other</v>
          </cell>
          <cell r="C22">
            <v>0</v>
          </cell>
          <cell r="D22">
            <v>-24.594999999999999</v>
          </cell>
          <cell r="F22">
            <v>0</v>
          </cell>
          <cell r="K22" t="str">
            <v>nm</v>
          </cell>
          <cell r="L22" t="str">
            <v>nm</v>
          </cell>
        </row>
        <row r="23">
          <cell r="B23" t="str">
            <v>Pretax income</v>
          </cell>
          <cell r="C23">
            <v>98.214000000000141</v>
          </cell>
          <cell r="D23">
            <v>54.640999999999863</v>
          </cell>
          <cell r="F23">
            <v>70.718000000000259</v>
          </cell>
          <cell r="K23">
            <v>0.29422960780367191</v>
          </cell>
          <cell r="L23">
            <v>-0.27996008715661558</v>
          </cell>
        </row>
        <row r="24">
          <cell r="B24" t="str">
            <v>Income tax expense (benefit)</v>
          </cell>
          <cell r="C24">
            <v>35.503999999999998</v>
          </cell>
          <cell r="D24">
            <v>16.893000000000001</v>
          </cell>
          <cell r="F24">
            <v>24.727</v>
          </cell>
          <cell r="K24">
            <v>0.46374237849997035</v>
          </cell>
          <cell r="L24">
            <v>-0.30354326273095988</v>
          </cell>
        </row>
        <row r="25">
          <cell r="B25" t="str">
            <v>Net income from continuing ops</v>
          </cell>
          <cell r="C25">
            <v>62.710000000000143</v>
          </cell>
          <cell r="D25">
            <v>37.747999999999863</v>
          </cell>
          <cell r="F25">
            <v>45.991000000000255</v>
          </cell>
          <cell r="K25">
            <v>0.21836918512240189</v>
          </cell>
          <cell r="L25">
            <v>-0.26660819645989231</v>
          </cell>
        </row>
        <row r="26">
          <cell r="B26" t="str">
            <v>Income (loss) discontinued ops, net</v>
          </cell>
          <cell r="C26">
            <v>-0.59799999999999998</v>
          </cell>
          <cell r="D26">
            <v>-1.2270000000000001</v>
          </cell>
          <cell r="F26">
            <v>-1.395</v>
          </cell>
          <cell r="K26" t="str">
            <v>nm</v>
          </cell>
          <cell r="L26" t="str">
            <v>nm</v>
          </cell>
        </row>
        <row r="27">
          <cell r="B27" t="str">
            <v>Net income as reported</v>
          </cell>
          <cell r="C27">
            <v>62.112000000000144</v>
          </cell>
          <cell r="D27">
            <v>36.520999999999866</v>
          </cell>
          <cell r="F27">
            <v>44.596000000000252</v>
          </cell>
          <cell r="K27">
            <v>0.22110566523371245</v>
          </cell>
          <cell r="L27">
            <v>-0.28200669757856534</v>
          </cell>
        </row>
        <row r="28">
          <cell r="B28" t="str">
            <v>Operating EPS from Continuing Operations</v>
          </cell>
        </row>
        <row r="29">
          <cell r="B29" t="str">
            <v>Gain (loss) on asset sales</v>
          </cell>
          <cell r="C29">
            <v>-3.8310220538823422E-2</v>
          </cell>
          <cell r="D29">
            <v>0</v>
          </cell>
          <cell r="F29">
            <v>0</v>
          </cell>
          <cell r="K29" t="str">
            <v>nm</v>
          </cell>
          <cell r="L29" t="str">
            <v>nm</v>
          </cell>
        </row>
        <row r="30">
          <cell r="B30" t="str">
            <v>Early extinguishment of debt &amp; related charges</v>
          </cell>
          <cell r="C30">
            <v>0</v>
          </cell>
          <cell r="D30">
            <v>15.064</v>
          </cell>
          <cell r="F30">
            <v>0</v>
          </cell>
          <cell r="K30" t="str">
            <v>nm</v>
          </cell>
          <cell r="L30" t="str">
            <v>nm</v>
          </cell>
        </row>
        <row r="31">
          <cell r="B31" t="str">
            <v>Other one-time items</v>
          </cell>
          <cell r="C31">
            <v>0</v>
          </cell>
          <cell r="D31">
            <v>17.903999999999996</v>
          </cell>
          <cell r="F31">
            <v>22.492000000000001</v>
          </cell>
          <cell r="K31" t="str">
            <v>nm</v>
          </cell>
          <cell r="L31" t="str">
            <v>nm</v>
          </cell>
        </row>
        <row r="32">
          <cell r="B32" t="str">
            <v>Operating net income</v>
          </cell>
          <cell r="C32">
            <v>56.083689779461317</v>
          </cell>
          <cell r="D32">
            <v>65.041999999999859</v>
          </cell>
          <cell r="F32">
            <v>61.577000000000261</v>
          </cell>
          <cell r="K32">
            <v>-5.3273269579650173E-2</v>
          </cell>
          <cell r="L32">
            <v>9.7948445299165687E-2</v>
          </cell>
        </row>
        <row r="34">
          <cell r="B34" t="str">
            <v>Operating EPS - Fully Diluted</v>
          </cell>
          <cell r="C34">
            <v>0.22103950221876786</v>
          </cell>
          <cell r="D34">
            <v>0.25403855768028943</v>
          </cell>
          <cell r="F34">
            <v>0.24081830589873351</v>
          </cell>
          <cell r="G34" t="str">
            <v>Manual Calculation</v>
          </cell>
          <cell r="I34" t="e">
            <v>#VALUE!</v>
          </cell>
          <cell r="K34">
            <v>-5.2040335539118243E-2</v>
          </cell>
          <cell r="L34">
            <v>8.9480855147737959E-2</v>
          </cell>
          <cell r="N34" t="str">
            <v>Only includes 8 estimates bc of all of the moving parts</v>
          </cell>
        </row>
        <row r="35">
          <cell r="B35" t="str">
            <v>GAAP EPS - Fully Diluted</v>
          </cell>
          <cell r="C35">
            <v>0.14062524903176468</v>
          </cell>
          <cell r="D35">
            <v>0.19665798185985484</v>
          </cell>
          <cell r="F35">
            <v>0.15285550588778313</v>
          </cell>
          <cell r="K35">
            <v>-0.22273429004924317</v>
          </cell>
          <cell r="L35">
            <v>8.6970561405056435E-2</v>
          </cell>
        </row>
        <row r="36">
          <cell r="B36" t="str">
            <v>Wtd. Avg Shares Outstanding - Diluted</v>
          </cell>
          <cell r="C36">
            <v>250.97200000000001</v>
          </cell>
          <cell r="D36">
            <v>256.03199999999998</v>
          </cell>
          <cell r="F36">
            <v>255.69900000000001</v>
          </cell>
          <cell r="K36">
            <v>-1.3006186726658431E-3</v>
          </cell>
          <cell r="L36">
            <v>1.8834770412635704E-2</v>
          </cell>
        </row>
        <row r="38">
          <cell r="B38" t="str">
            <v>Margins &amp; Ratios</v>
          </cell>
        </row>
        <row r="39">
          <cell r="B39" t="str">
            <v>SWB as % of revenue</v>
          </cell>
          <cell r="C39">
            <v>0.39856072754615696</v>
          </cell>
          <cell r="D39">
            <v>0.40267803360833049</v>
          </cell>
          <cell r="F39">
            <v>0.39079571045194889</v>
          </cell>
          <cell r="K39">
            <v>-120</v>
          </cell>
          <cell r="L39">
            <v>-80</v>
          </cell>
        </row>
        <row r="40">
          <cell r="B40" t="str">
            <v>Supplies expense</v>
          </cell>
          <cell r="C40">
            <v>0.13601940792708911</v>
          </cell>
          <cell r="D40">
            <v>0.13660408618906486</v>
          </cell>
          <cell r="F40">
            <v>0.13901007875397714</v>
          </cell>
          <cell r="K40">
            <v>20</v>
          </cell>
          <cell r="L40">
            <v>30</v>
          </cell>
        </row>
        <row r="41">
          <cell r="B41" t="str">
            <v>Other operating expense</v>
          </cell>
          <cell r="C41">
            <v>0.17019323526601149</v>
          </cell>
          <cell r="D41">
            <v>0.19312414523789381</v>
          </cell>
          <cell r="F41">
            <v>0.18486609689312533</v>
          </cell>
          <cell r="K41">
            <v>-80</v>
          </cell>
          <cell r="L41">
            <v>150</v>
          </cell>
        </row>
        <row r="42">
          <cell r="B42" t="str">
            <v>Bad Debt</v>
          </cell>
          <cell r="C42">
            <v>0.12053366219297577</v>
          </cell>
          <cell r="D42">
            <v>0.12320381569592632</v>
          </cell>
          <cell r="F42">
            <v>0.11933522203735744</v>
          </cell>
          <cell r="K42">
            <v>-40</v>
          </cell>
          <cell r="L42">
            <v>-10</v>
          </cell>
        </row>
        <row r="43">
          <cell r="B43" t="str">
            <v>Rent Expense</v>
          </cell>
          <cell r="C43">
            <v>2.5123444432741528E-2</v>
          </cell>
          <cell r="D43">
            <v>2.7491927509859362E-2</v>
          </cell>
          <cell r="F43">
            <v>2.6697017167916379E-2</v>
          </cell>
          <cell r="G43" t="e">
            <v>#REF!</v>
          </cell>
          <cell r="I43" t="e">
            <v>#REF!</v>
          </cell>
          <cell r="K43">
            <v>-10</v>
          </cell>
          <cell r="L43">
            <v>20</v>
          </cell>
        </row>
        <row r="44">
          <cell r="B44" t="str">
            <v>EBITDA margin</v>
          </cell>
          <cell r="C44">
            <v>0.14956952263502518</v>
          </cell>
          <cell r="D44">
            <v>0.14103843098825963</v>
          </cell>
          <cell r="F44">
            <v>0.14201745845582453</v>
          </cell>
          <cell r="G44" t="e">
            <v>#VALUE!</v>
          </cell>
          <cell r="I44" t="e">
            <v>#VALUE!</v>
          </cell>
          <cell r="K44">
            <v>10</v>
          </cell>
          <cell r="L44">
            <v>-80</v>
          </cell>
        </row>
        <row r="45">
          <cell r="B45" t="str">
            <v>Depreciation and Amortization</v>
          </cell>
          <cell r="C45">
            <v>4.5598584303880814E-2</v>
          </cell>
          <cell r="D45">
            <v>4.6386668805018898E-2</v>
          </cell>
          <cell r="F45">
            <v>4.6482753222912537E-2</v>
          </cell>
          <cell r="K45">
            <v>0</v>
          </cell>
          <cell r="L45">
            <v>10</v>
          </cell>
        </row>
        <row r="46">
          <cell r="B46" t="str">
            <v>Operating margin</v>
          </cell>
          <cell r="C46">
            <v>0.10397093833114435</v>
          </cell>
          <cell r="D46">
            <v>9.4651762183240715E-2</v>
          </cell>
          <cell r="F46">
            <v>9.5534705232911993E-2</v>
          </cell>
          <cell r="G46" t="e">
            <v>#VALUE!</v>
          </cell>
          <cell r="I46" t="e">
            <v>#VALUE!</v>
          </cell>
          <cell r="K46">
            <v>10</v>
          </cell>
          <cell r="L46">
            <v>-80</v>
          </cell>
        </row>
        <row r="47">
          <cell r="B47" t="str">
            <v>Pretax margin</v>
          </cell>
          <cell r="C47">
            <v>6.8506690308103732E-2</v>
          </cell>
          <cell r="D47">
            <v>3.4500503228364572E-2</v>
          </cell>
          <cell r="F47">
            <v>4.1931363910732204E-2</v>
          </cell>
          <cell r="K47">
            <v>70</v>
          </cell>
          <cell r="L47">
            <v>-270</v>
          </cell>
        </row>
        <row r="49">
          <cell r="B49" t="str">
            <v>Morgan Stanley View on the Quarter:</v>
          </cell>
          <cell r="F49" t="str">
            <v>Sentiment Swing Factors:</v>
          </cell>
        </row>
        <row r="50">
          <cell r="B50" t="str">
            <v>It will be important for HMA to show some positive Q1 operating momentum  as the company continues to work through various overhangs that have plagued the stock in recent months (FL Medicaid, disappointing Q4 Results, wrongful termination suit / retiremen</v>
          </cell>
          <cell r="F50" t="str">
            <v>+</v>
          </cell>
          <cell r="G50" t="str">
            <v xml:space="preserve">1.  Weak Q4 volumes show signs of stabilization. 
2.  Greather than expected margin improvement in recently acquired Tennova (formerly Merch Health). 
3.  Updated color on projected ramp of Integris JV. </v>
          </cell>
        </row>
        <row r="54">
          <cell r="F54" t="str">
            <v>–</v>
          </cell>
          <cell r="G54" t="str">
            <v>1.  Tennova margins ramp more slowly than anticipated. 
2.  State budget pressures continuing to weigh on Medicaid rates (significant exposure to FL and MS)
3.  Volumes show signs of pressure following recent subpoenas related to physician referrals at ho</v>
          </cell>
        </row>
        <row r="59">
          <cell r="B59" t="str">
            <v>Questions/Focus Areas for the Conference Call:</v>
          </cell>
          <cell r="F59" t="str">
            <v>Company Guidance Summary</v>
          </cell>
        </row>
        <row r="60">
          <cell r="B60" t="str">
            <v>1.  Updates on wrongful termination lawsuit / General Council resignation as well as subpoenas announced in August.  
2.  Integration of Tennova (formerly Mercy Health) and updates on M&amp;A opportunities looking out to 2012 including Integris Health JV. 
4.</v>
          </cell>
          <cell r="F60" t="str">
            <v>2012 Guidance Offered
Consolidated Revenues:  $6,300mm-$6,500mm
EBITDA: $875mm-$925mm
Operating EPS:  $0.80-$090 (excludes impact of SWAP, ~$0.20 a share)
HITECH receipts of $90mm-$120mm
SS Admissions: -2% - 0%</v>
          </cell>
        </row>
      </sheetData>
      <sheetData sheetId="21"/>
      <sheetData sheetId="22" refreshError="1">
        <row r="1">
          <cell r="A1" t="str">
            <v>Guidance</v>
          </cell>
        </row>
        <row r="2">
          <cell r="A2" t="str">
            <v xml:space="preserve"> - We have continued to focus on three main operating initiatives. Emergency room operations,
physician recruitment and retention and market service development while closely managing our
resource consumption. As you can see from our results we are making</v>
          </cell>
        </row>
        <row r="4">
          <cell r="A4" t="str">
            <v>- Bad debt expense to be 12.0% to 12.5% of net revenue for the year</v>
          </cell>
        </row>
        <row r="5">
          <cell r="A5" t="str">
            <v>-5% of net revenues on cap ex</v>
          </cell>
        </row>
        <row r="6">
          <cell r="A6" t="str">
            <v xml:space="preserve"> - EPS of $0.45 to $0.49</v>
          </cell>
        </row>
        <row r="7">
          <cell r="A7" t="str">
            <v xml:space="preserve"> Revenue of 4.55 ti 4.65 billion</v>
          </cell>
        </row>
        <row r="8">
          <cell r="A8" t="str">
            <v>- Admissions growth of 2 to 3%</v>
          </cell>
        </row>
        <row r="9">
          <cell r="A9" t="str">
            <v>- SGA to be largely flat</v>
          </cell>
        </row>
        <row r="10">
          <cell r="A10" t="str">
            <v>- Leverage at 4.6x</v>
          </cell>
        </row>
        <row r="11">
          <cell r="A11" t="str">
            <v>- Minimum of $150 mm of debt paydown</v>
          </cell>
        </row>
        <row r="12">
          <cell r="A12" t="str">
            <v>- Medicare prob more positive than -0.5%. This is included in 4th Quarter. Beg of year people were thinking 2,2.5% increase</v>
          </cell>
        </row>
        <row r="13">
          <cell r="A13" t="str">
            <v>-2010 wont see a medicare increase</v>
          </cell>
        </row>
        <row r="16">
          <cell r="C16" t="str">
            <v>Q4</v>
          </cell>
          <cell r="D16">
            <v>2009</v>
          </cell>
          <cell r="E16">
            <v>2010</v>
          </cell>
          <cell r="F16">
            <v>2011</v>
          </cell>
        </row>
        <row r="17">
          <cell r="A17" t="str">
            <v>Rev</v>
          </cell>
          <cell r="C17">
            <v>1158</v>
          </cell>
          <cell r="D17">
            <v>4635</v>
          </cell>
          <cell r="E17">
            <v>4867</v>
          </cell>
          <cell r="F17">
            <v>5046</v>
          </cell>
        </row>
        <row r="18">
          <cell r="A18" t="str">
            <v>EBITDA</v>
          </cell>
          <cell r="C18">
            <v>162</v>
          </cell>
          <cell r="D18">
            <v>671</v>
          </cell>
          <cell r="E18">
            <v>696</v>
          </cell>
          <cell r="F18">
            <v>706</v>
          </cell>
        </row>
        <row r="19">
          <cell r="A19" t="str">
            <v>EPS</v>
          </cell>
          <cell r="C19">
            <v>0.11</v>
          </cell>
          <cell r="D19">
            <v>0.48</v>
          </cell>
          <cell r="E19">
            <v>0.55000000000000004</v>
          </cell>
          <cell r="F19">
            <v>0.6</v>
          </cell>
        </row>
        <row r="22">
          <cell r="A22" t="str">
            <v>Cap Ex</v>
          </cell>
          <cell r="D22">
            <v>222</v>
          </cell>
          <cell r="E22">
            <v>223</v>
          </cell>
          <cell r="F22">
            <v>253</v>
          </cell>
        </row>
        <row r="23">
          <cell r="A23" t="str">
            <v>Net Debt</v>
          </cell>
          <cell r="D23">
            <v>2920</v>
          </cell>
          <cell r="E23">
            <v>2789</v>
          </cell>
          <cell r="F23">
            <v>2871</v>
          </cell>
        </row>
        <row r="25">
          <cell r="A25" t="str">
            <v>2010 Guidance</v>
          </cell>
          <cell r="D25" t="str">
            <v>Consenses</v>
          </cell>
        </row>
        <row r="26">
          <cell r="D26" t="str">
            <v>FY2010</v>
          </cell>
          <cell r="E26" t="str">
            <v>Q1</v>
          </cell>
        </row>
        <row r="27">
          <cell r="A27" t="str">
            <v>Reveues: $5,075 to $5,150</v>
          </cell>
          <cell r="D27">
            <v>5046.82</v>
          </cell>
          <cell r="E27">
            <v>1289.45</v>
          </cell>
        </row>
        <row r="28">
          <cell r="A28" t="str">
            <v>Bad Debt - 12 - 13%</v>
          </cell>
        </row>
        <row r="29">
          <cell r="A29" t="str">
            <v>EBITDA</v>
          </cell>
          <cell r="B29" t="str">
            <v>715 to 735</v>
          </cell>
          <cell r="D29">
            <v>722</v>
          </cell>
          <cell r="E29">
            <v>191.3</v>
          </cell>
        </row>
        <row r="30">
          <cell r="A30" t="str">
            <v xml:space="preserve">EPS </v>
          </cell>
          <cell r="B30" t="str">
            <v>0.53 to 0.58</v>
          </cell>
          <cell r="D30">
            <v>0.56999999999999995</v>
          </cell>
          <cell r="E30">
            <v>0.17</v>
          </cell>
        </row>
        <row r="34">
          <cell r="A34" t="str">
            <v>Q409 Call</v>
          </cell>
        </row>
        <row r="35">
          <cell r="A35" t="str">
            <v>Primary objective is improving ER admissions</v>
          </cell>
        </row>
        <row r="36">
          <cell r="A36" t="str">
            <v>Not much seasonal flu</v>
          </cell>
        </row>
        <row r="37">
          <cell r="A37" t="str">
            <v>624 physicians for year, over 600 initial 2009 goal</v>
          </cell>
        </row>
        <row r="38">
          <cell r="A38" t="str">
            <v>All in bad debt was 24% for Q4 vs. 22.7% for same qtr a year ago</v>
          </cell>
        </row>
        <row r="39">
          <cell r="A39" t="str">
            <v>Assumes minimum paydowns in guidance (210 to 220 mm) in interest expense</v>
          </cell>
        </row>
      </sheetData>
      <sheetData sheetId="23"/>
      <sheetData sheetId="2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row r="7">
          <cell r="A7" t="str">
            <v>2005A Geographic Mix</v>
          </cell>
        </row>
        <row r="9">
          <cell r="B9" t="str">
            <v>US</v>
          </cell>
          <cell r="C9">
            <v>0.4</v>
          </cell>
        </row>
        <row r="10">
          <cell r="B10" t="str">
            <v>Europe</v>
          </cell>
          <cell r="C10">
            <v>0.41</v>
          </cell>
        </row>
        <row r="11">
          <cell r="B11" t="str">
            <v>Japan</v>
          </cell>
          <cell r="C11">
            <v>0.05</v>
          </cell>
        </row>
        <row r="12">
          <cell r="B12" t="str">
            <v>Latin America</v>
          </cell>
          <cell r="C12">
            <v>0.04</v>
          </cell>
        </row>
        <row r="13">
          <cell r="B13" t="str">
            <v>Asia</v>
          </cell>
          <cell r="C13">
            <v>0.04</v>
          </cell>
        </row>
        <row r="14">
          <cell r="B14" t="str">
            <v>Other</v>
          </cell>
          <cell r="C14">
            <v>0.06</v>
          </cell>
        </row>
        <row r="31">
          <cell r="A31" t="str">
            <v>2005A Product Mix</v>
          </cell>
        </row>
        <row r="32">
          <cell r="B32" t="str">
            <v>Consumable</v>
          </cell>
          <cell r="C32">
            <v>0.36</v>
          </cell>
        </row>
        <row r="33">
          <cell r="B33" t="str">
            <v>Laboratory Products</v>
          </cell>
          <cell r="C33">
            <v>0.28000000000000003</v>
          </cell>
        </row>
        <row r="34">
          <cell r="B34" t="str">
            <v>Specialty Products</v>
          </cell>
          <cell r="C34">
            <v>0.34</v>
          </cell>
        </row>
        <row r="51">
          <cell r="A51" t="str">
            <v>Edentulous rate</v>
          </cell>
        </row>
        <row r="52">
          <cell r="C52" t="str">
            <v>1971 - 1974</v>
          </cell>
          <cell r="D52" t="str">
            <v>1988 - 1994</v>
          </cell>
        </row>
        <row r="53">
          <cell r="B53" t="str">
            <v>Total</v>
          </cell>
          <cell r="C53">
            <v>0.15</v>
          </cell>
          <cell r="D53">
            <v>0.08</v>
          </cell>
        </row>
        <row r="54">
          <cell r="B54" t="str">
            <v>18 - 24</v>
          </cell>
          <cell r="C54">
            <v>0.01</v>
          </cell>
          <cell r="D54">
            <v>0</v>
          </cell>
        </row>
        <row r="55">
          <cell r="B55" t="str">
            <v>25 - 34</v>
          </cell>
          <cell r="C55">
            <v>0.03</v>
          </cell>
          <cell r="D55">
            <v>0.01</v>
          </cell>
        </row>
        <row r="56">
          <cell r="B56" t="str">
            <v>35 - 44</v>
          </cell>
          <cell r="C56">
            <v>0.09</v>
          </cell>
          <cell r="D56">
            <v>0.03</v>
          </cell>
        </row>
        <row r="57">
          <cell r="B57" t="str">
            <v>45 - 54</v>
          </cell>
          <cell r="C57">
            <v>0.16</v>
          </cell>
          <cell r="D57">
            <v>0.09</v>
          </cell>
        </row>
        <row r="58">
          <cell r="B58" t="str">
            <v>55 - 64</v>
          </cell>
          <cell r="C58">
            <v>0.33</v>
          </cell>
          <cell r="D58">
            <v>0.2</v>
          </cell>
        </row>
        <row r="59">
          <cell r="B59" t="str">
            <v>65 - 74</v>
          </cell>
          <cell r="C59">
            <v>0.46</v>
          </cell>
          <cell r="D59">
            <v>0.28999999999999998</v>
          </cell>
        </row>
        <row r="79">
          <cell r="A79" t="str">
            <v>XRAY Market Growth Rate Projections</v>
          </cell>
        </row>
        <row r="81">
          <cell r="B81" t="str">
            <v>Total</v>
          </cell>
          <cell r="C81">
            <v>4.4999999999999998E-2</v>
          </cell>
        </row>
        <row r="82">
          <cell r="B82" t="str">
            <v>US</v>
          </cell>
          <cell r="C82">
            <v>5.5E-2</v>
          </cell>
        </row>
        <row r="83">
          <cell r="B83" t="str">
            <v>Europe</v>
          </cell>
          <cell r="C83">
            <v>0.04</v>
          </cell>
        </row>
        <row r="84">
          <cell r="B84" t="str">
            <v>Japan</v>
          </cell>
          <cell r="C84">
            <v>0</v>
          </cell>
        </row>
        <row r="85">
          <cell r="B85" t="str">
            <v>Latin America</v>
          </cell>
          <cell r="C85">
            <v>0.03</v>
          </cell>
        </row>
        <row r="86">
          <cell r="B86" t="str">
            <v>Asia</v>
          </cell>
          <cell r="C86">
            <v>0.1</v>
          </cell>
        </row>
        <row r="87">
          <cell r="B87" t="str">
            <v>Other</v>
          </cell>
          <cell r="C87">
            <v>0.06</v>
          </cell>
        </row>
        <row r="104">
          <cell r="A104" t="str">
            <v>XRAY Estimated Total Retail Market Size</v>
          </cell>
        </row>
        <row r="106">
          <cell r="B106" t="str">
            <v>US</v>
          </cell>
          <cell r="C106">
            <v>5000</v>
          </cell>
        </row>
        <row r="107">
          <cell r="B107" t="str">
            <v>Europe</v>
          </cell>
          <cell r="C107">
            <v>3800</v>
          </cell>
        </row>
        <row r="108">
          <cell r="B108" t="str">
            <v>Japan</v>
          </cell>
          <cell r="C108">
            <v>1700</v>
          </cell>
        </row>
        <row r="109">
          <cell r="B109" t="str">
            <v>Latin America</v>
          </cell>
          <cell r="C109">
            <v>800</v>
          </cell>
        </row>
        <row r="110">
          <cell r="B110" t="str">
            <v>Asia</v>
          </cell>
          <cell r="C110">
            <v>440</v>
          </cell>
        </row>
        <row r="111">
          <cell r="B111" t="str">
            <v>Other</v>
          </cell>
          <cell r="C111">
            <v>760</v>
          </cell>
        </row>
      </sheetData>
      <sheetData sheetId="1" refreshError="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ket Share"/>
      <sheetName val="Sheet1"/>
      <sheetName val="Pricing Exhibits"/>
      <sheetName val="New Bear Case"/>
      <sheetName val="Generic EPS Table"/>
      <sheetName val="__FDSCACHE__"/>
      <sheetName val="Growth"/>
      <sheetName val="MW-Cache"/>
      <sheetName val="Scenario Analysis"/>
      <sheetName val="ESRX Charts"/>
      <sheetName val="MHS Charts"/>
      <sheetName val="ESRX Ownership"/>
      <sheetName val="MHS Ownership"/>
      <sheetName val="marketing deck (2)"/>
      <sheetName val="marketing deck"/>
      <sheetName val="Quarterly Updates"/>
      <sheetName val="Retention"/>
    </sheetNames>
    <sheetDataSet>
      <sheetData sheetId="0"/>
      <sheetData sheetId="1"/>
      <sheetData sheetId="2"/>
      <sheetData sheetId="3"/>
      <sheetData sheetId="4"/>
      <sheetData sheetId="5"/>
      <sheetData sheetId="6"/>
      <sheetData sheetId="7"/>
      <sheetData sheetId="8"/>
      <sheetData sheetId="9" refreshError="1">
        <row r="3">
          <cell r="B3" t="str">
            <v xml:space="preserve">                                                                                    </v>
          </cell>
          <cell r="D3">
            <v>1999</v>
          </cell>
          <cell r="E3">
            <v>2000</v>
          </cell>
          <cell r="F3" t="str">
            <v>1Q01</v>
          </cell>
          <cell r="G3" t="str">
            <v>2Q01</v>
          </cell>
          <cell r="H3" t="str">
            <v>3Q01</v>
          </cell>
          <cell r="I3" t="str">
            <v>4Q01</v>
          </cell>
          <cell r="J3">
            <v>2001</v>
          </cell>
          <cell r="K3" t="str">
            <v>1Q02</v>
          </cell>
          <cell r="L3" t="str">
            <v>2Q02</v>
          </cell>
          <cell r="M3" t="str">
            <v>3Q02</v>
          </cell>
          <cell r="N3" t="str">
            <v>4Q02</v>
          </cell>
          <cell r="O3" t="str">
            <v>1Q03</v>
          </cell>
          <cell r="P3" t="str">
            <v>2Q03</v>
          </cell>
          <cell r="Q3" t="str">
            <v>3Q03</v>
          </cell>
          <cell r="R3" t="str">
            <v>4Q03</v>
          </cell>
          <cell r="S3" t="str">
            <v>1Q04</v>
          </cell>
          <cell r="T3" t="str">
            <v>2Q04</v>
          </cell>
          <cell r="U3" t="str">
            <v>3Q04</v>
          </cell>
          <cell r="V3" t="str">
            <v>4Q04</v>
          </cell>
          <cell r="W3" t="str">
            <v>1Q05</v>
          </cell>
          <cell r="X3" t="str">
            <v>2Q05</v>
          </cell>
          <cell r="Y3" t="str">
            <v>3Q05</v>
          </cell>
          <cell r="Z3" t="str">
            <v>4Q05</v>
          </cell>
          <cell r="AA3" t="str">
            <v>1Q06</v>
          </cell>
          <cell r="AB3" t="str">
            <v>2Q06</v>
          </cell>
          <cell r="AC3" t="str">
            <v>3Q06</v>
          </cell>
          <cell r="AD3" t="str">
            <v>4Q06</v>
          </cell>
          <cell r="AE3" t="str">
            <v>1Q07</v>
          </cell>
          <cell r="AF3" t="str">
            <v>2Q07</v>
          </cell>
          <cell r="AG3" t="str">
            <v>3Q07</v>
          </cell>
          <cell r="AH3" t="str">
            <v>4Q07</v>
          </cell>
          <cell r="AI3" t="str">
            <v>1Q08</v>
          </cell>
          <cell r="AJ3" t="str">
            <v>2Q08</v>
          </cell>
          <cell r="AK3" t="str">
            <v>3Q08</v>
          </cell>
          <cell r="AL3" t="str">
            <v>4Q08</v>
          </cell>
          <cell r="AM3" t="str">
            <v>1Q09</v>
          </cell>
          <cell r="AN3" t="str">
            <v>2Q09</v>
          </cell>
          <cell r="AO3" t="str">
            <v>3Q09</v>
          </cell>
          <cell r="AP3" t="str">
            <v>4Q09</v>
          </cell>
          <cell r="AQ3" t="str">
            <v>1Q10</v>
          </cell>
          <cell r="AR3" t="str">
            <v>2Q10</v>
          </cell>
          <cell r="AS3" t="str">
            <v>3Q10</v>
          </cell>
          <cell r="AT3" t="str">
            <v>4Q10</v>
          </cell>
          <cell r="AU3" t="str">
            <v>1Q11</v>
          </cell>
          <cell r="AV3" t="str">
            <v>2Q11</v>
          </cell>
          <cell r="AW3" t="str">
            <v>3Q11</v>
          </cell>
          <cell r="AX3" t="str">
            <v>4Q11</v>
          </cell>
          <cell r="AY3" t="str">
            <v>1Q12</v>
          </cell>
          <cell r="AZ3" t="str">
            <v>2Q12</v>
          </cell>
          <cell r="BA3" t="str">
            <v>3Q12</v>
          </cell>
          <cell r="BB3" t="str">
            <v>4Q12</v>
          </cell>
          <cell r="BC3" t="str">
            <v>1Q13</v>
          </cell>
          <cell r="BD3" t="str">
            <v>2Q13</v>
          </cell>
          <cell r="BE3" t="str">
            <v>3Q13</v>
          </cell>
          <cell r="BF3" t="str">
            <v>4Q13</v>
          </cell>
          <cell r="BG3" t="str">
            <v>1Q14</v>
          </cell>
          <cell r="BH3" t="str">
            <v>2Q14</v>
          </cell>
          <cell r="BI3" t="str">
            <v>3Q14</v>
          </cell>
          <cell r="BJ3" t="str">
            <v>4Q14</v>
          </cell>
        </row>
        <row r="4">
          <cell r="B4" t="str">
            <v>Generic Dispensing Rate</v>
          </cell>
        </row>
        <row r="5">
          <cell r="B5" t="str">
            <v>Generic dispensing rate</v>
          </cell>
          <cell r="K5">
            <v>0.43113041055820595</v>
          </cell>
          <cell r="L5">
            <v>0.43107377988780349</v>
          </cell>
          <cell r="M5">
            <v>0.45</v>
          </cell>
          <cell r="N5">
            <v>0.46</v>
          </cell>
          <cell r="O5">
            <v>0.47129045706930001</v>
          </cell>
          <cell r="P5">
            <v>0.46788578122149566</v>
          </cell>
          <cell r="Q5">
            <v>0.47089944513759974</v>
          </cell>
          <cell r="R5">
            <v>0.48091619426995558</v>
          </cell>
          <cell r="S5">
            <v>0.49404206813908402</v>
          </cell>
          <cell r="T5">
            <v>0.49534500289838546</v>
          </cell>
          <cell r="U5">
            <v>0.51571180026186936</v>
          </cell>
          <cell r="V5">
            <v>0.52</v>
          </cell>
          <cell r="W5">
            <v>0.53687623762376246</v>
          </cell>
          <cell r="X5">
            <v>0.53928846153846166</v>
          </cell>
          <cell r="Y5">
            <v>0.54544636678200686</v>
          </cell>
          <cell r="Z5">
            <v>0.55327635914332784</v>
          </cell>
          <cell r="AA5">
            <v>0.56465661047027504</v>
          </cell>
          <cell r="AB5">
            <v>0.56472134203168689</v>
          </cell>
          <cell r="AC5">
            <v>0.58455856727976763</v>
          </cell>
          <cell r="AD5">
            <v>0.5987562442183163</v>
          </cell>
          <cell r="AE5">
            <v>0.60386891385767805</v>
          </cell>
          <cell r="AF5">
            <v>0.611787356321839</v>
          </cell>
          <cell r="AG5">
            <v>0.62353665689149562</v>
          </cell>
          <cell r="AH5">
            <v>0.63818190298507471</v>
          </cell>
          <cell r="AI5">
            <v>0.65049728426479336</v>
          </cell>
          <cell r="AJ5">
            <v>0.65820654246888122</v>
          </cell>
          <cell r="AK5">
            <v>0.66070129026461411</v>
          </cell>
          <cell r="AL5">
            <v>0.67505595131304441</v>
          </cell>
          <cell r="AM5">
            <v>0.67672610868859173</v>
          </cell>
          <cell r="AN5">
            <v>0.67856295596545424</v>
          </cell>
          <cell r="AO5">
            <v>0.68309549986024853</v>
          </cell>
          <cell r="AP5">
            <v>0.69000274307829257</v>
          </cell>
          <cell r="AQ5">
            <v>0.69704092293290731</v>
          </cell>
          <cell r="AR5">
            <v>0.70298539103430902</v>
          </cell>
          <cell r="AS5">
            <v>0.70724234734148661</v>
          </cell>
          <cell r="AT5">
            <v>0.71000246584143079</v>
          </cell>
          <cell r="AU5">
            <v>0.7140981100553343</v>
          </cell>
          <cell r="AV5">
            <v>0.71701722168280368</v>
          </cell>
          <cell r="AW5">
            <v>0.72112484968756163</v>
          </cell>
          <cell r="AX5">
            <v>0.72898296786982353</v>
          </cell>
          <cell r="AY5">
            <v>0.73935482931833041</v>
          </cell>
          <cell r="AZ5">
            <v>0.75540247800480331</v>
          </cell>
          <cell r="BA5">
            <v>0.76967849196679772</v>
          </cell>
          <cell r="BB5">
            <v>0.78310939840191729</v>
          </cell>
          <cell r="BC5">
            <v>0.78546950291276096</v>
          </cell>
          <cell r="BD5">
            <v>0.78910644169047062</v>
          </cell>
          <cell r="BE5">
            <v>0.79293675145579434</v>
          </cell>
          <cell r="BF5">
            <v>0.79862816883548593</v>
          </cell>
          <cell r="BG5">
            <v>0.80322368003788502</v>
          </cell>
          <cell r="BH5">
            <v>0.81037645040186623</v>
          </cell>
          <cell r="BI5">
            <v>0.8179936159689557</v>
          </cell>
          <cell r="BJ5">
            <v>0.82019092901788082</v>
          </cell>
        </row>
        <row r="6">
          <cell r="B6" t="str">
            <v>y/y bp change</v>
          </cell>
          <cell r="O6">
            <v>401.6004651109406</v>
          </cell>
          <cell r="P6">
            <v>368.12001333692166</v>
          </cell>
          <cell r="Q6">
            <v>208.99445137599724</v>
          </cell>
          <cell r="R6">
            <v>209.1619426995556</v>
          </cell>
          <cell r="S6">
            <v>227.51611069784019</v>
          </cell>
          <cell r="T6">
            <v>274.59221676889803</v>
          </cell>
          <cell r="U6">
            <v>448.12355124269618</v>
          </cell>
          <cell r="V6">
            <v>390.8380573004444</v>
          </cell>
          <cell r="W6">
            <v>428.34169484678438</v>
          </cell>
          <cell r="X6">
            <v>439.43458640076204</v>
          </cell>
          <cell r="Y6">
            <v>297.34566520137508</v>
          </cell>
          <cell r="Z6">
            <v>332.76359143327829</v>
          </cell>
          <cell r="AA6">
            <v>277.8037284651258</v>
          </cell>
          <cell r="AB6">
            <v>254.3288049322523</v>
          </cell>
          <cell r="AC6">
            <v>391.12200497760762</v>
          </cell>
          <cell r="AD6">
            <v>454.79885074988459</v>
          </cell>
          <cell r="AE6">
            <v>392.12303387403</v>
          </cell>
          <cell r="AF6">
            <v>470.66014290152117</v>
          </cell>
          <cell r="AG6">
            <v>389.78089611727995</v>
          </cell>
          <cell r="AH6">
            <v>394.25658766758409</v>
          </cell>
          <cell r="AI6">
            <v>466.28370407115318</v>
          </cell>
          <cell r="AJ6">
            <v>464.19186147042211</v>
          </cell>
          <cell r="AK6">
            <v>371.64633373118482</v>
          </cell>
          <cell r="AL6">
            <v>368.740483279697</v>
          </cell>
          <cell r="AM6">
            <v>262.28824423798369</v>
          </cell>
          <cell r="AN6">
            <v>203.56413496573023</v>
          </cell>
          <cell r="AO6">
            <v>223.9420959563443</v>
          </cell>
          <cell r="AP6">
            <v>149.46791765248156</v>
          </cell>
          <cell r="AQ6">
            <v>203.14814244315582</v>
          </cell>
          <cell r="AR6">
            <v>244.22435068854776</v>
          </cell>
          <cell r="AS6">
            <v>241.46847481238075</v>
          </cell>
          <cell r="AT6">
            <v>199.99722763138217</v>
          </cell>
          <cell r="AU6">
            <v>170.57187122426987</v>
          </cell>
          <cell r="AV6">
            <v>140.3183064849467</v>
          </cell>
          <cell r="AW6">
            <v>138.8250234607502</v>
          </cell>
          <cell r="AX6">
            <v>189.80502028392743</v>
          </cell>
          <cell r="AY6">
            <v>252.56719262996108</v>
          </cell>
          <cell r="AZ6">
            <v>383.85256321999628</v>
          </cell>
          <cell r="BA6">
            <v>485.5364227923609</v>
          </cell>
          <cell r="BB6">
            <v>541.26430532093752</v>
          </cell>
          <cell r="BC6">
            <v>461.14673594430559</v>
          </cell>
          <cell r="BD6">
            <v>337.03963685667304</v>
          </cell>
          <cell r="BE6">
            <v>232.58259488996623</v>
          </cell>
          <cell r="BF6">
            <v>155.18770433568642</v>
          </cell>
          <cell r="BG6">
            <v>177.54177125124059</v>
          </cell>
          <cell r="BH6">
            <v>212.70008711395616</v>
          </cell>
          <cell r="BI6">
            <v>250.56864513161358</v>
          </cell>
          <cell r="BJ6">
            <v>215.62760182394891</v>
          </cell>
        </row>
        <row r="7">
          <cell r="B7" t="str">
            <v>Sequential bp change</v>
          </cell>
          <cell r="L7">
            <v>-0.56630670402457728</v>
          </cell>
          <cell r="M7">
            <v>189.26220112196523</v>
          </cell>
          <cell r="N7">
            <v>100.00000000000009</v>
          </cell>
          <cell r="O7">
            <v>112.90457069299987</v>
          </cell>
          <cell r="P7">
            <v>-34.0467584780435</v>
          </cell>
          <cell r="Q7">
            <v>30.136639161040812</v>
          </cell>
          <cell r="R7">
            <v>100.16749132355839</v>
          </cell>
          <cell r="S7">
            <v>131.25873869128446</v>
          </cell>
          <cell r="T7">
            <v>13.029347593014329</v>
          </cell>
          <cell r="U7">
            <v>203.66797363483903</v>
          </cell>
          <cell r="V7">
            <v>42.881997381306604</v>
          </cell>
          <cell r="W7">
            <v>168.76237623762447</v>
          </cell>
          <cell r="X7">
            <v>24.122239146991966</v>
          </cell>
          <cell r="Y7">
            <v>61.579052435452027</v>
          </cell>
          <cell r="Z7">
            <v>78.299923613209813</v>
          </cell>
          <cell r="AA7">
            <v>113.802513269472</v>
          </cell>
          <cell r="AB7">
            <v>0.64731561411845995</v>
          </cell>
          <cell r="AC7">
            <v>198.37225248080736</v>
          </cell>
          <cell r="AD7">
            <v>141.97676938548676</v>
          </cell>
          <cell r="AE7">
            <v>313.54357945557297</v>
          </cell>
          <cell r="AF7">
            <v>79.184424641609581</v>
          </cell>
          <cell r="AG7">
            <v>117.49300569656617</v>
          </cell>
          <cell r="AH7">
            <v>146.4524609357909</v>
          </cell>
          <cell r="AI7">
            <v>123.15381279718652</v>
          </cell>
          <cell r="AJ7">
            <v>77.09258204087854</v>
          </cell>
          <cell r="AK7">
            <v>24.947477957328879</v>
          </cell>
          <cell r="AL7">
            <v>143.54661048430307</v>
          </cell>
          <cell r="AM7">
            <v>16.701573755473209</v>
          </cell>
          <cell r="AN7">
            <v>18.368472768625075</v>
          </cell>
          <cell r="AO7">
            <v>45.325438947942942</v>
          </cell>
          <cell r="AP7">
            <v>69.072432180440344</v>
          </cell>
          <cell r="AQ7">
            <v>70.381798546147451</v>
          </cell>
          <cell r="AR7">
            <v>59.444681014017007</v>
          </cell>
          <cell r="AS7">
            <v>42.569563071775953</v>
          </cell>
          <cell r="AT7">
            <v>27.601184999441752</v>
          </cell>
          <cell r="AU7">
            <v>40.956442139035154</v>
          </cell>
          <cell r="AV7">
            <v>29.19111627469384</v>
          </cell>
          <cell r="AW7">
            <v>41.076280047579459</v>
          </cell>
          <cell r="AX7">
            <v>78.581181822618973</v>
          </cell>
          <cell r="AY7">
            <v>103.7186144850688</v>
          </cell>
          <cell r="AZ7">
            <v>160.47648686472905</v>
          </cell>
          <cell r="BA7">
            <v>142.76013961994406</v>
          </cell>
          <cell r="BB7">
            <v>134.30906435119573</v>
          </cell>
          <cell r="BC7">
            <v>23.601045108436747</v>
          </cell>
          <cell r="BD7">
            <v>36.369387777096527</v>
          </cell>
          <cell r="BE7">
            <v>38.303097653237252</v>
          </cell>
          <cell r="BF7">
            <v>56.914173796915875</v>
          </cell>
          <cell r="BG7">
            <v>45.955112023990942</v>
          </cell>
          <cell r="BH7">
            <v>71.527703639812088</v>
          </cell>
          <cell r="BI7">
            <v>76.17165567089468</v>
          </cell>
          <cell r="BJ7">
            <v>21.973130489251204</v>
          </cell>
        </row>
        <row r="8">
          <cell r="B8" t="str">
            <v>Generic dispensing rate - Retail / Network</v>
          </cell>
          <cell r="K8">
            <v>0.438</v>
          </cell>
          <cell r="L8">
            <v>0.438</v>
          </cell>
          <cell r="M8">
            <v>0.46100000000000002</v>
          </cell>
          <cell r="N8">
            <v>0.46800000000000003</v>
          </cell>
          <cell r="O8">
            <v>0.47899999999999998</v>
          </cell>
          <cell r="P8">
            <v>0.47599999999999998</v>
          </cell>
          <cell r="Q8">
            <v>0.48</v>
          </cell>
          <cell r="R8">
            <v>0.49</v>
          </cell>
          <cell r="S8">
            <v>0.504</v>
          </cell>
          <cell r="T8">
            <v>0.50600000000000001</v>
          </cell>
          <cell r="U8">
            <v>0.52600000000000002</v>
          </cell>
          <cell r="V8">
            <v>0.53</v>
          </cell>
          <cell r="W8">
            <v>0.54600000000000004</v>
          </cell>
          <cell r="X8">
            <v>0.54900000000000004</v>
          </cell>
          <cell r="Y8">
            <v>0.55600000000000005</v>
          </cell>
          <cell r="Z8">
            <v>0.5635</v>
          </cell>
          <cell r="AA8">
            <v>0.57799999999999996</v>
          </cell>
          <cell r="AB8">
            <v>0.57799999999999996</v>
          </cell>
          <cell r="AC8">
            <v>0.59699999999999998</v>
          </cell>
          <cell r="AD8">
            <v>0.61099999999999999</v>
          </cell>
          <cell r="AE8">
            <v>0.61650000000000005</v>
          </cell>
          <cell r="AF8">
            <v>0.624</v>
          </cell>
          <cell r="AG8">
            <v>0.63600000000000001</v>
          </cell>
          <cell r="AH8">
            <v>0.65</v>
          </cell>
          <cell r="AI8">
            <v>0.66400000000000003</v>
          </cell>
          <cell r="AJ8">
            <v>0.67</v>
          </cell>
          <cell r="AK8">
            <v>0.67300000000000004</v>
          </cell>
          <cell r="AL8">
            <v>0.68700000000000006</v>
          </cell>
          <cell r="AM8">
            <v>0.69</v>
          </cell>
          <cell r="AN8">
            <v>0.69199999999999995</v>
          </cell>
          <cell r="AO8">
            <v>0.69599999999999995</v>
          </cell>
          <cell r="AP8">
            <v>0.70134388989407426</v>
          </cell>
          <cell r="AQ8">
            <v>0.70705814076053786</v>
          </cell>
          <cell r="AR8">
            <v>0.71272462289339378</v>
          </cell>
          <cell r="AS8">
            <v>0.71689711864591976</v>
          </cell>
          <cell r="AT8">
            <v>0.71945389803482707</v>
          </cell>
          <cell r="AU8">
            <v>0.7232719849998831</v>
          </cell>
          <cell r="AV8">
            <v>0.72627519525779793</v>
          </cell>
          <cell r="AW8">
            <v>0.73064870623673939</v>
          </cell>
          <cell r="AX8">
            <v>0.7376791982179679</v>
          </cell>
          <cell r="AY8">
            <v>0.74717159768530017</v>
          </cell>
          <cell r="AZ8">
            <v>0.7628228890088653</v>
          </cell>
          <cell r="BA8">
            <v>0.77646057431859572</v>
          </cell>
          <cell r="BB8">
            <v>0.78909788099427203</v>
          </cell>
          <cell r="BC8">
            <v>0.79138199605138559</v>
          </cell>
          <cell r="BD8">
            <v>0.79496265661686849</v>
          </cell>
          <cell r="BE8">
            <v>0.79881033150511704</v>
          </cell>
          <cell r="BF8">
            <v>0.80425432924235807</v>
          </cell>
          <cell r="BG8">
            <v>0.80869447869690914</v>
          </cell>
          <cell r="BH8">
            <v>0.81528800733039508</v>
          </cell>
          <cell r="BI8">
            <v>0.82236639392646571</v>
          </cell>
          <cell r="BJ8">
            <v>0.82447722281286706</v>
          </cell>
        </row>
        <row r="9">
          <cell r="B9" t="str">
            <v>y/y bp change</v>
          </cell>
          <cell r="O9">
            <v>410</v>
          </cell>
          <cell r="P9">
            <v>380</v>
          </cell>
          <cell r="Q9">
            <v>190</v>
          </cell>
          <cell r="R9">
            <v>220</v>
          </cell>
          <cell r="S9">
            <v>250</v>
          </cell>
          <cell r="T9">
            <v>300</v>
          </cell>
          <cell r="U9">
            <v>460</v>
          </cell>
          <cell r="V9">
            <v>400</v>
          </cell>
          <cell r="W9">
            <v>420</v>
          </cell>
          <cell r="X9">
            <v>430</v>
          </cell>
          <cell r="Y9">
            <v>300</v>
          </cell>
          <cell r="Z9">
            <v>335</v>
          </cell>
          <cell r="AA9">
            <v>319.99999999999915</v>
          </cell>
          <cell r="AB9">
            <v>289.99999999999915</v>
          </cell>
          <cell r="AC9">
            <v>409.99999999999926</v>
          </cell>
          <cell r="AD9">
            <v>475</v>
          </cell>
          <cell r="AE9">
            <v>385.00000000000091</v>
          </cell>
          <cell r="AF9">
            <v>460</v>
          </cell>
          <cell r="AG9">
            <v>390</v>
          </cell>
          <cell r="AH9">
            <v>390</v>
          </cell>
          <cell r="AI9">
            <v>474.99999999999983</v>
          </cell>
          <cell r="AJ9">
            <v>460.0000000000004</v>
          </cell>
          <cell r="AK9">
            <v>370.00000000000034</v>
          </cell>
          <cell r="AL9">
            <v>370.00000000000034</v>
          </cell>
          <cell r="AM9">
            <v>259.99999999999915</v>
          </cell>
          <cell r="AN9">
            <v>219.99999999999909</v>
          </cell>
          <cell r="AO9">
            <v>229.99999999999909</v>
          </cell>
          <cell r="AP9">
            <v>143.43889894074204</v>
          </cell>
          <cell r="AQ9">
            <v>170.5814076053791</v>
          </cell>
          <cell r="AR9">
            <v>207.24622893393828</v>
          </cell>
          <cell r="AS9">
            <v>208.97118645919809</v>
          </cell>
          <cell r="AT9">
            <v>181.10008140752808</v>
          </cell>
          <cell r="AU9">
            <v>162.13844239345244</v>
          </cell>
          <cell r="AV9">
            <v>135.50572364404155</v>
          </cell>
          <cell r="AW9">
            <v>137.51587590819625</v>
          </cell>
          <cell r="AX9">
            <v>182.25300183140837</v>
          </cell>
          <cell r="AY9">
            <v>238.99612685417071</v>
          </cell>
          <cell r="AZ9">
            <v>365.47693751067368</v>
          </cell>
          <cell r="BA9">
            <v>458.11868081856329</v>
          </cell>
          <cell r="BB9">
            <v>514.18682776304126</v>
          </cell>
          <cell r="BC9">
            <v>442.10398366085428</v>
          </cell>
          <cell r="BD9">
            <v>321.39767608003189</v>
          </cell>
          <cell r="BE9">
            <v>223.49757186521325</v>
          </cell>
          <cell r="BF9">
            <v>151.56448248086042</v>
          </cell>
          <cell r="BG9">
            <v>173.12482645523542</v>
          </cell>
          <cell r="BH9">
            <v>203.25350713526592</v>
          </cell>
          <cell r="BI9">
            <v>235.56062421348668</v>
          </cell>
          <cell r="BJ9">
            <v>202.22893570508992</v>
          </cell>
        </row>
        <row r="10">
          <cell r="B10" t="str">
            <v>Sequential bp change</v>
          </cell>
          <cell r="L10">
            <v>0</v>
          </cell>
          <cell r="M10">
            <v>230.0000000000002</v>
          </cell>
          <cell r="N10">
            <v>70.000000000000057</v>
          </cell>
          <cell r="O10">
            <v>110</v>
          </cell>
          <cell r="P10">
            <v>-30</v>
          </cell>
          <cell r="Q10">
            <v>40</v>
          </cell>
          <cell r="R10">
            <v>100</v>
          </cell>
          <cell r="S10">
            <v>140</v>
          </cell>
          <cell r="T10">
            <v>20</v>
          </cell>
          <cell r="U10">
            <v>200</v>
          </cell>
          <cell r="V10">
            <v>40</v>
          </cell>
          <cell r="W10">
            <v>160</v>
          </cell>
          <cell r="X10">
            <v>30</v>
          </cell>
          <cell r="Y10">
            <v>70.000000000000057</v>
          </cell>
          <cell r="Z10">
            <v>74.999999999999517</v>
          </cell>
          <cell r="AA10">
            <v>145</v>
          </cell>
          <cell r="AB10">
            <v>0</v>
          </cell>
          <cell r="AC10">
            <v>190</v>
          </cell>
          <cell r="AD10">
            <v>140</v>
          </cell>
          <cell r="AE10">
            <v>55.000000000000604</v>
          </cell>
          <cell r="AF10">
            <v>332.11439339355996</v>
          </cell>
          <cell r="AG10">
            <v>195</v>
          </cell>
          <cell r="AH10">
            <v>260</v>
          </cell>
          <cell r="AI10">
            <v>140.00000000000011</v>
          </cell>
          <cell r="AJ10">
            <v>60.000000000000057</v>
          </cell>
          <cell r="AK10">
            <v>30.000000000000028</v>
          </cell>
          <cell r="AL10">
            <v>170.00000000000014</v>
          </cell>
          <cell r="AM10">
            <v>29.999999999998916</v>
          </cell>
          <cell r="AN10">
            <v>20.000000000000018</v>
          </cell>
          <cell r="AO10">
            <v>40.000000000000036</v>
          </cell>
          <cell r="AP10">
            <v>53.438898940743051</v>
          </cell>
          <cell r="AQ10">
            <v>57.142508664635713</v>
          </cell>
          <cell r="AR10">
            <v>56.664821328559341</v>
          </cell>
          <cell r="AS10">
            <v>41.724957525259704</v>
          </cell>
          <cell r="AT10">
            <v>25.567793889073599</v>
          </cell>
          <cell r="AU10">
            <v>38.180869650560474</v>
          </cell>
          <cell r="AV10">
            <v>30.032102579148624</v>
          </cell>
          <cell r="AW10">
            <v>43.735109789414665</v>
          </cell>
          <cell r="AX10">
            <v>70.304919812285149</v>
          </cell>
          <cell r="AY10">
            <v>94.923994673322966</v>
          </cell>
          <cell r="AZ10">
            <v>156.51291323565118</v>
          </cell>
          <cell r="BA10">
            <v>136.37685309730455</v>
          </cell>
          <cell r="BB10">
            <v>126.37306675676328</v>
          </cell>
          <cell r="BC10">
            <v>22.841150571135671</v>
          </cell>
          <cell r="BD10">
            <v>35.806605654829028</v>
          </cell>
          <cell r="BE10">
            <v>38.476748882486021</v>
          </cell>
          <cell r="BF10">
            <v>54.43997737241024</v>
          </cell>
          <cell r="BG10">
            <v>44.401494545510985</v>
          </cell>
          <cell r="BH10">
            <v>65.935286334859839</v>
          </cell>
          <cell r="BI10">
            <v>70.783865960705924</v>
          </cell>
          <cell r="BJ10">
            <v>21.108288864013936</v>
          </cell>
        </row>
        <row r="11">
          <cell r="B11" t="str">
            <v>Generic dispensing rate - Mail</v>
          </cell>
          <cell r="K11">
            <v>0.34</v>
          </cell>
          <cell r="L11">
            <v>0.34</v>
          </cell>
          <cell r="M11">
            <v>0.36299999999999999</v>
          </cell>
          <cell r="N11">
            <v>0.36499999999999999</v>
          </cell>
          <cell r="O11">
            <v>0.371</v>
          </cell>
          <cell r="P11">
            <v>0.372</v>
          </cell>
          <cell r="Q11">
            <v>0.37</v>
          </cell>
          <cell r="R11">
            <v>0.38</v>
          </cell>
          <cell r="S11">
            <v>0.39200000000000002</v>
          </cell>
          <cell r="T11">
            <v>0.38800000000000001</v>
          </cell>
          <cell r="U11">
            <v>0.40799999999999997</v>
          </cell>
          <cell r="V11">
            <v>0.42199999999999999</v>
          </cell>
          <cell r="W11">
            <v>0.432</v>
          </cell>
          <cell r="X11">
            <v>0.434</v>
          </cell>
          <cell r="Y11">
            <v>0.434</v>
          </cell>
          <cell r="Z11">
            <v>0.443</v>
          </cell>
          <cell r="AA11">
            <v>0.432</v>
          </cell>
          <cell r="AB11">
            <v>0.441</v>
          </cell>
          <cell r="AC11">
            <v>0.47099999999999997</v>
          </cell>
          <cell r="AD11">
            <v>0.48249999999999998</v>
          </cell>
          <cell r="AE11">
            <v>0.48159999999999997</v>
          </cell>
          <cell r="AF11">
            <v>0.499</v>
          </cell>
          <cell r="AG11">
            <v>0.51100000000000001</v>
          </cell>
          <cell r="AH11">
            <v>0.52700000000000002</v>
          </cell>
          <cell r="AI11">
            <v>0.53900000000000003</v>
          </cell>
          <cell r="AJ11">
            <v>0.56799999999999995</v>
          </cell>
          <cell r="AK11">
            <v>0.57199999999999995</v>
          </cell>
          <cell r="AL11">
            <v>0.58499999999999996</v>
          </cell>
          <cell r="AM11">
            <v>0.56899999999999995</v>
          </cell>
          <cell r="AN11">
            <v>0.57199999999999995</v>
          </cell>
          <cell r="AO11">
            <v>0.58299999999999996</v>
          </cell>
          <cell r="AP11">
            <v>0.5917232124853502</v>
          </cell>
          <cell r="AQ11">
            <v>0.59988175295014912</v>
          </cell>
          <cell r="AR11">
            <v>0.61301565715176065</v>
          </cell>
          <cell r="AS11">
            <v>0.6206667096219739</v>
          </cell>
          <cell r="AT11">
            <v>0.62449995032003347</v>
          </cell>
          <cell r="AU11">
            <v>0.63189205819736194</v>
          </cell>
          <cell r="AV11">
            <v>0.6368576768716957</v>
          </cell>
          <cell r="AW11">
            <v>0.64006088037719211</v>
          </cell>
          <cell r="AX11">
            <v>0.65715359718849498</v>
          </cell>
          <cell r="AY11">
            <v>0.67877221092616991</v>
          </cell>
          <cell r="AZ11">
            <v>0.70258248959488934</v>
          </cell>
          <cell r="BA11">
            <v>0.72712983925655317</v>
          </cell>
          <cell r="BB11">
            <v>0.75058249065103211</v>
          </cell>
          <cell r="BC11">
            <v>0.75426777531624978</v>
          </cell>
          <cell r="BD11">
            <v>0.75992166508104964</v>
          </cell>
          <cell r="BE11">
            <v>0.76553393027843686</v>
          </cell>
          <cell r="BF11">
            <v>0.77456251390828634</v>
          </cell>
          <cell r="BG11">
            <v>0.78167449822945068</v>
          </cell>
          <cell r="BH11">
            <v>0.7966068650733199</v>
          </cell>
          <cell r="BI11">
            <v>0.81262291593530811</v>
          </cell>
          <cell r="BJ11">
            <v>0.81663233791710821</v>
          </cell>
        </row>
        <row r="12">
          <cell r="B12" t="str">
            <v>y/y bp change</v>
          </cell>
          <cell r="O12">
            <v>310</v>
          </cell>
          <cell r="P12">
            <v>320</v>
          </cell>
          <cell r="Q12">
            <v>70.000000000000057</v>
          </cell>
          <cell r="R12">
            <v>150</v>
          </cell>
          <cell r="S12">
            <v>210</v>
          </cell>
          <cell r="T12">
            <v>160</v>
          </cell>
          <cell r="U12">
            <v>380</v>
          </cell>
          <cell r="V12">
            <v>420</v>
          </cell>
          <cell r="W12">
            <v>400</v>
          </cell>
          <cell r="X12">
            <v>460</v>
          </cell>
          <cell r="Y12">
            <v>260</v>
          </cell>
          <cell r="Z12">
            <v>210</v>
          </cell>
          <cell r="AA12">
            <v>0</v>
          </cell>
          <cell r="AB12">
            <v>70.000000000000057</v>
          </cell>
          <cell r="AC12">
            <v>370</v>
          </cell>
          <cell r="AD12">
            <v>395</v>
          </cell>
          <cell r="AE12">
            <v>496</v>
          </cell>
          <cell r="AF12">
            <v>580</v>
          </cell>
          <cell r="AG12">
            <v>400</v>
          </cell>
          <cell r="AH12">
            <v>445</v>
          </cell>
          <cell r="AI12">
            <v>574.00000000000068</v>
          </cell>
          <cell r="AJ12">
            <v>689.99999999999955</v>
          </cell>
          <cell r="AK12">
            <v>609.99999999999943</v>
          </cell>
          <cell r="AL12">
            <v>579.99999999999932</v>
          </cell>
          <cell r="AM12">
            <v>299.99999999999915</v>
          </cell>
          <cell r="AN12">
            <v>40.000000000000036</v>
          </cell>
          <cell r="AO12">
            <v>110.0000000000001</v>
          </cell>
          <cell r="AP12">
            <v>67.232124853502384</v>
          </cell>
          <cell r="AQ12">
            <v>308.81752950149166</v>
          </cell>
          <cell r="AR12">
            <v>410.15657151760701</v>
          </cell>
          <cell r="AS12">
            <v>376.66709621973939</v>
          </cell>
          <cell r="AT12">
            <v>327.76737834683269</v>
          </cell>
          <cell r="AU12">
            <v>320.10305247212824</v>
          </cell>
          <cell r="AV12">
            <v>238.42019719935047</v>
          </cell>
          <cell r="AW12">
            <v>193.94170755218209</v>
          </cell>
          <cell r="AX12">
            <v>326.53646868461504</v>
          </cell>
          <cell r="AY12">
            <v>468.80152728807968</v>
          </cell>
          <cell r="AZ12">
            <v>657.24812723193634</v>
          </cell>
          <cell r="BA12">
            <v>870.6895887936106</v>
          </cell>
          <cell r="BB12">
            <v>934.28893462537133</v>
          </cell>
          <cell r="BC12">
            <v>754.95564390079869</v>
          </cell>
          <cell r="BD12">
            <v>573.39175486160298</v>
          </cell>
          <cell r="BE12">
            <v>384.04091021883693</v>
          </cell>
          <cell r="BF12">
            <v>239.80023257254234</v>
          </cell>
          <cell r="BG12">
            <v>274.067229132009</v>
          </cell>
          <cell r="BH12">
            <v>366.8519999227027</v>
          </cell>
          <cell r="BI12">
            <v>470.8898565687125</v>
          </cell>
          <cell r="BJ12">
            <v>420.6982400882186</v>
          </cell>
        </row>
        <row r="13">
          <cell r="B13" t="str">
            <v>Sequential bp change</v>
          </cell>
          <cell r="L13">
            <v>0</v>
          </cell>
          <cell r="M13">
            <v>229.99999999999966</v>
          </cell>
          <cell r="N13">
            <v>20.000000000000018</v>
          </cell>
          <cell r="O13">
            <v>60.000000000000057</v>
          </cell>
          <cell r="P13">
            <v>10</v>
          </cell>
          <cell r="Q13">
            <v>-20</v>
          </cell>
          <cell r="R13">
            <v>100</v>
          </cell>
          <cell r="S13">
            <v>120</v>
          </cell>
          <cell r="T13">
            <v>-40</v>
          </cell>
          <cell r="U13">
            <v>200</v>
          </cell>
          <cell r="V13">
            <v>140</v>
          </cell>
          <cell r="W13">
            <v>100</v>
          </cell>
          <cell r="X13">
            <v>20</v>
          </cell>
          <cell r="Y13">
            <v>0</v>
          </cell>
          <cell r="Z13">
            <v>90.000000000000085</v>
          </cell>
          <cell r="AA13">
            <v>-110</v>
          </cell>
          <cell r="AB13">
            <v>90.000000000000085</v>
          </cell>
          <cell r="AC13">
            <v>300</v>
          </cell>
          <cell r="AD13">
            <v>115</v>
          </cell>
          <cell r="AE13">
            <v>-9.000000000000119</v>
          </cell>
          <cell r="AF13">
            <v>174</v>
          </cell>
          <cell r="AG13">
            <v>120</v>
          </cell>
          <cell r="AH13">
            <v>160</v>
          </cell>
          <cell r="AI13">
            <v>120.00000000000011</v>
          </cell>
          <cell r="AJ13">
            <v>289.99999999999915</v>
          </cell>
          <cell r="AK13">
            <v>40.000000000000036</v>
          </cell>
          <cell r="AL13">
            <v>130.00000000000011</v>
          </cell>
          <cell r="AM13">
            <v>-160.00000000000014</v>
          </cell>
          <cell r="AN13">
            <v>30.000000000000028</v>
          </cell>
          <cell r="AO13">
            <v>110.0000000000001</v>
          </cell>
          <cell r="AP13">
            <v>87.232124853502953</v>
          </cell>
          <cell r="AQ13">
            <v>81.585404647988852</v>
          </cell>
          <cell r="AR13">
            <v>131.33904201611591</v>
          </cell>
          <cell r="AS13">
            <v>76.510524702132216</v>
          </cell>
          <cell r="AT13">
            <v>38.332406980595977</v>
          </cell>
          <cell r="AU13">
            <v>73.921078773284407</v>
          </cell>
          <cell r="AV13">
            <v>49.656186743337884</v>
          </cell>
          <cell r="AW13">
            <v>32.032035054963551</v>
          </cell>
          <cell r="AX13">
            <v>170.92716811302921</v>
          </cell>
          <cell r="AY13">
            <v>216.18613737674957</v>
          </cell>
          <cell r="AZ13">
            <v>238.10278668719457</v>
          </cell>
          <cell r="BA13">
            <v>245.47349661663844</v>
          </cell>
          <cell r="BB13">
            <v>234.5265139447894</v>
          </cell>
          <cell r="BC13">
            <v>36.852846652176837</v>
          </cell>
          <cell r="BD13">
            <v>56.53889764799802</v>
          </cell>
          <cell r="BE13">
            <v>56.122651973872365</v>
          </cell>
          <cell r="BF13">
            <v>90.285836298495269</v>
          </cell>
          <cell r="BG13">
            <v>71.119843211643257</v>
          </cell>
          <cell r="BH13">
            <v>149.32366843869264</v>
          </cell>
          <cell r="BI13">
            <v>160.16050861988245</v>
          </cell>
          <cell r="BJ13">
            <v>40.094219818001129</v>
          </cell>
        </row>
        <row r="14">
          <cell r="B14" t="str">
            <v>Generic dispensing rate - as stated</v>
          </cell>
          <cell r="K14">
            <v>0.43</v>
          </cell>
          <cell r="L14">
            <v>0.43</v>
          </cell>
          <cell r="M14">
            <v>0.45</v>
          </cell>
          <cell r="N14">
            <v>0.46</v>
          </cell>
          <cell r="O14">
            <v>0.47</v>
          </cell>
          <cell r="P14">
            <v>0.47</v>
          </cell>
          <cell r="Q14">
            <v>0.47</v>
          </cell>
          <cell r="R14">
            <v>0.48</v>
          </cell>
          <cell r="S14">
            <v>0.49</v>
          </cell>
          <cell r="T14">
            <v>0.5</v>
          </cell>
          <cell r="U14">
            <v>0.51</v>
          </cell>
          <cell r="V14">
            <v>0.52</v>
          </cell>
          <cell r="W14">
            <v>0.53700000000000003</v>
          </cell>
          <cell r="X14">
            <v>0.53900000000000003</v>
          </cell>
          <cell r="Y14">
            <v>0.54900000000000004</v>
          </cell>
          <cell r="Z14">
            <v>0.55400000000000005</v>
          </cell>
          <cell r="AA14">
            <v>0.56299999999999994</v>
          </cell>
          <cell r="AB14">
            <v>0.56299999999999994</v>
          </cell>
          <cell r="AC14">
            <v>0.58299999999999996</v>
          </cell>
          <cell r="AD14">
            <v>0.59699999999999998</v>
          </cell>
          <cell r="AE14">
            <v>0.60299999999999998</v>
          </cell>
          <cell r="AF14">
            <v>0.61099999999999999</v>
          </cell>
          <cell r="AG14">
            <v>0.622</v>
          </cell>
          <cell r="AH14">
            <v>0.63700000000000001</v>
          </cell>
          <cell r="AI14">
            <v>0.65100000000000002</v>
          </cell>
          <cell r="AJ14">
            <v>0.65900000000000003</v>
          </cell>
          <cell r="AK14">
            <v>0.66200000000000003</v>
          </cell>
          <cell r="AL14">
            <v>0.67300000000000004</v>
          </cell>
          <cell r="AM14">
            <v>0.67700000000000005</v>
          </cell>
          <cell r="AN14">
            <v>0.67800000000000005</v>
          </cell>
          <cell r="AO14">
            <v>0.68300000000000005</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row>
        <row r="15">
          <cell r="B15" t="str">
            <v>Branded utilization rate</v>
          </cell>
          <cell r="K15">
            <v>0.56886958944179411</v>
          </cell>
          <cell r="L15">
            <v>0.56892622011219651</v>
          </cell>
          <cell r="M15">
            <v>0.55000000000000004</v>
          </cell>
          <cell r="N15">
            <v>0.54</v>
          </cell>
          <cell r="O15">
            <v>0.52870954293070005</v>
          </cell>
          <cell r="P15">
            <v>0.5321142187785044</v>
          </cell>
          <cell r="Q15">
            <v>0.52910055486240026</v>
          </cell>
          <cell r="R15">
            <v>0.51908380573004442</v>
          </cell>
          <cell r="S15">
            <v>0.50595793186091598</v>
          </cell>
          <cell r="T15">
            <v>0.50465499710161454</v>
          </cell>
          <cell r="U15">
            <v>0.48428819973813064</v>
          </cell>
          <cell r="V15">
            <v>0.48</v>
          </cell>
          <cell r="W15">
            <v>0.46312376237623754</v>
          </cell>
          <cell r="X15">
            <v>0.46071153846153834</v>
          </cell>
          <cell r="Y15">
            <v>0.45455363321799314</v>
          </cell>
          <cell r="Z15">
            <v>0.44672364085667216</v>
          </cell>
          <cell r="AA15">
            <v>0.43534338952972496</v>
          </cell>
          <cell r="AB15">
            <v>0.43527865796831311</v>
          </cell>
          <cell r="AC15">
            <v>0.41544143272023237</v>
          </cell>
          <cell r="AD15">
            <v>0.4012437557816837</v>
          </cell>
          <cell r="AE15">
            <v>0.39613108614232195</v>
          </cell>
          <cell r="AF15">
            <v>0.388212643678161</v>
          </cell>
          <cell r="AG15">
            <v>0.37646334310850438</v>
          </cell>
          <cell r="AH15">
            <v>0.36181809701492529</v>
          </cell>
          <cell r="AI15">
            <v>0.34950271573520664</v>
          </cell>
          <cell r="AJ15">
            <v>0.34179345753111878</v>
          </cell>
          <cell r="AK15">
            <v>0.33929870973538589</v>
          </cell>
          <cell r="AL15">
            <v>0.32494404868695559</v>
          </cell>
          <cell r="AM15">
            <v>0.32327389131140827</v>
          </cell>
          <cell r="AN15">
            <v>0.32143704403454576</v>
          </cell>
          <cell r="AO15">
            <v>0.31690450013975147</v>
          </cell>
          <cell r="AP15">
            <v>0.30999725692170743</v>
          </cell>
          <cell r="AQ15">
            <v>0.30295907706709269</v>
          </cell>
          <cell r="AR15">
            <v>0.29701460896569098</v>
          </cell>
          <cell r="AS15">
            <v>0.29275765265851339</v>
          </cell>
          <cell r="AT15">
            <v>0.28999753415856921</v>
          </cell>
          <cell r="AU15">
            <v>0.2859018899446657</v>
          </cell>
          <cell r="AV15">
            <v>0.28298277831719632</v>
          </cell>
          <cell r="AW15">
            <v>0.27887515031243837</v>
          </cell>
          <cell r="AX15">
            <v>0.27101703213017647</v>
          </cell>
          <cell r="AY15">
            <v>0.26064517068166959</v>
          </cell>
          <cell r="AZ15">
            <v>0.24459752199519669</v>
          </cell>
          <cell r="BA15">
            <v>0.23032150803320228</v>
          </cell>
          <cell r="BB15">
            <v>0.21689060159808271</v>
          </cell>
          <cell r="BC15">
            <v>0.21453049708723904</v>
          </cell>
          <cell r="BD15">
            <v>0.21089355830952938</v>
          </cell>
          <cell r="BE15">
            <v>0.20706324854420566</v>
          </cell>
          <cell r="BF15">
            <v>0.20137183116451407</v>
          </cell>
          <cell r="BG15">
            <v>0.19677631996211498</v>
          </cell>
          <cell r="BH15">
            <v>0.18962354959813377</v>
          </cell>
          <cell r="BI15">
            <v>0.1820063840310443</v>
          </cell>
          <cell r="BJ15">
            <v>0.17980907098211918</v>
          </cell>
        </row>
        <row r="19">
          <cell r="B19" t="str">
            <v>Generic Dispensing Rate</v>
          </cell>
          <cell r="C19">
            <v>2002</v>
          </cell>
          <cell r="D19">
            <v>2003</v>
          </cell>
          <cell r="E19">
            <v>2004</v>
          </cell>
          <cell r="F19">
            <v>2005</v>
          </cell>
          <cell r="G19">
            <v>2006</v>
          </cell>
          <cell r="H19">
            <v>2007</v>
          </cell>
          <cell r="I19">
            <v>2008</v>
          </cell>
          <cell r="J19">
            <v>2009</v>
          </cell>
          <cell r="K19">
            <v>2010</v>
          </cell>
          <cell r="L19">
            <v>2011</v>
          </cell>
          <cell r="M19">
            <v>2012</v>
          </cell>
          <cell r="N19">
            <v>2013</v>
          </cell>
          <cell r="O19">
            <v>2014</v>
          </cell>
        </row>
        <row r="20">
          <cell r="B20" t="str">
            <v>Generic dispensing rate</v>
          </cell>
          <cell r="C20">
            <v>0.45100000000000001</v>
          </cell>
          <cell r="D20">
            <v>0.47242951242997205</v>
          </cell>
          <cell r="E20">
            <v>0.50900434404865336</v>
          </cell>
          <cell r="F20">
            <v>0.54057569146093121</v>
          </cell>
          <cell r="G20">
            <v>0.57251455591212075</v>
          </cell>
          <cell r="H20">
            <v>0.61294276105532475</v>
          </cell>
          <cell r="I20">
            <v>0.66098592982275484</v>
          </cell>
          <cell r="J20">
            <v>0.68250750997223075</v>
          </cell>
          <cell r="K20">
            <v>0.7043227702636472</v>
          </cell>
          <cell r="L20">
            <v>0.72031488831937995</v>
          </cell>
          <cell r="M20">
            <v>0.76190623860711848</v>
          </cell>
          <cell r="N20">
            <v>0.79154250665139236</v>
          </cell>
          <cell r="O20">
            <v>0.81295132782922075</v>
          </cell>
          <cell r="R20">
            <v>0</v>
          </cell>
        </row>
        <row r="21">
          <cell r="B21" t="str">
            <v>y/y bp change</v>
          </cell>
          <cell r="D21">
            <v>214.29512429972041</v>
          </cell>
          <cell r="E21">
            <v>365.74831618681304</v>
          </cell>
          <cell r="F21">
            <v>315.71347412277851</v>
          </cell>
          <cell r="G21">
            <v>319.38864451189539</v>
          </cell>
          <cell r="H21">
            <v>404.28205143204002</v>
          </cell>
          <cell r="I21">
            <v>480.43168767430086</v>
          </cell>
          <cell r="J21">
            <v>215.21580149475915</v>
          </cell>
          <cell r="K21">
            <v>218.1526029141645</v>
          </cell>
          <cell r="L21">
            <v>159.92118055732752</v>
          </cell>
          <cell r="M21">
            <v>415.91350287738527</v>
          </cell>
          <cell r="N21">
            <v>296.36268044273885</v>
          </cell>
          <cell r="O21">
            <v>214.08821177828386</v>
          </cell>
          <cell r="R21">
            <v>0</v>
          </cell>
        </row>
        <row r="22">
          <cell r="B22" t="str">
            <v>Sequential bp change</v>
          </cell>
          <cell r="D22" t="str">
            <v>NA</v>
          </cell>
          <cell r="E22" t="str">
            <v>NA</v>
          </cell>
          <cell r="F22" t="str">
            <v>NA</v>
          </cell>
          <cell r="G22" t="str">
            <v>NA</v>
          </cell>
          <cell r="H22" t="str">
            <v>NA</v>
          </cell>
          <cell r="I22" t="str">
            <v>NA</v>
          </cell>
          <cell r="J22" t="str">
            <v>NA</v>
          </cell>
          <cell r="K22" t="str">
            <v>NA</v>
          </cell>
          <cell r="L22" t="str">
            <v>NA</v>
          </cell>
          <cell r="M22" t="str">
            <v>NA</v>
          </cell>
          <cell r="N22" t="str">
            <v>NA</v>
          </cell>
          <cell r="O22" t="str">
            <v>NA</v>
          </cell>
          <cell r="R22">
            <v>0</v>
          </cell>
        </row>
        <row r="23">
          <cell r="B23" t="str">
            <v>Generic dispensing rate - Retail / Network</v>
          </cell>
          <cell r="C23">
            <v>0.45100000000000001</v>
          </cell>
          <cell r="D23">
            <v>0.48099999999999998</v>
          </cell>
          <cell r="E23">
            <v>0.51900000000000002</v>
          </cell>
          <cell r="F23">
            <v>0.55400000000000005</v>
          </cell>
          <cell r="G23">
            <v>0.590788560660644</v>
          </cell>
          <cell r="H23">
            <v>0.63162826681542761</v>
          </cell>
          <cell r="I23">
            <v>0.67337170706006322</v>
          </cell>
          <cell r="J23">
            <v>0.69519458014204594</v>
          </cell>
          <cell r="K23">
            <v>0.7140339334236312</v>
          </cell>
          <cell r="L23">
            <v>0.7294742787385402</v>
          </cell>
          <cell r="M23">
            <v>0.76889474491554621</v>
          </cell>
          <cell r="N23">
            <v>0.79735627705219525</v>
          </cell>
          <cell r="O23">
            <v>0.8177052673985149</v>
          </cell>
          <cell r="R23">
            <v>0</v>
          </cell>
        </row>
        <row r="24">
          <cell r="B24" t="str">
            <v>y/y bp change</v>
          </cell>
          <cell r="D24">
            <v>300</v>
          </cell>
          <cell r="E24">
            <v>380</v>
          </cell>
          <cell r="F24">
            <v>350</v>
          </cell>
          <cell r="G24">
            <v>367.88560660643952</v>
          </cell>
          <cell r="H24">
            <v>408.39706154783607</v>
          </cell>
          <cell r="I24">
            <v>417.43440244635616</v>
          </cell>
          <cell r="J24">
            <v>218.22873081982718</v>
          </cell>
          <cell r="K24">
            <v>188.39353281585258</v>
          </cell>
          <cell r="L24">
            <v>154.4034531490901</v>
          </cell>
          <cell r="M24">
            <v>394.20466177006006</v>
          </cell>
          <cell r="N24">
            <v>284.61532136649038</v>
          </cell>
          <cell r="O24">
            <v>203.4899034631965</v>
          </cell>
          <cell r="R24">
            <v>0</v>
          </cell>
        </row>
        <row r="25">
          <cell r="B25" t="str">
            <v>Sequential bp change</v>
          </cell>
          <cell r="D25" t="str">
            <v>NA</v>
          </cell>
          <cell r="E25" t="str">
            <v>NA</v>
          </cell>
          <cell r="F25" t="str">
            <v>NA</v>
          </cell>
          <cell r="G25" t="str">
            <v>NA</v>
          </cell>
          <cell r="H25" t="str">
            <v>NA</v>
          </cell>
          <cell r="I25" t="str">
            <v>NA</v>
          </cell>
          <cell r="J25" t="str">
            <v>NA</v>
          </cell>
          <cell r="K25" t="str">
            <v>NA</v>
          </cell>
          <cell r="L25" t="str">
            <v>NA</v>
          </cell>
          <cell r="M25" t="str">
            <v>NA</v>
          </cell>
          <cell r="N25" t="str">
            <v>NA</v>
          </cell>
          <cell r="O25" t="str">
            <v>NA</v>
          </cell>
          <cell r="R25">
            <v>0</v>
          </cell>
        </row>
        <row r="26">
          <cell r="B26" t="str">
            <v>Generic dispensing rate - Mail</v>
          </cell>
          <cell r="C26">
            <v>0.36</v>
          </cell>
          <cell r="D26">
            <v>0.372</v>
          </cell>
          <cell r="E26">
            <v>0.40500000000000003</v>
          </cell>
          <cell r="F26">
            <v>0.436</v>
          </cell>
          <cell r="G26">
            <v>0.45655218446601942</v>
          </cell>
          <cell r="H26">
            <v>0.50481818181818172</v>
          </cell>
          <cell r="I26">
            <v>0.56598052241432362</v>
          </cell>
          <cell r="J26">
            <v>0.57921701361491995</v>
          </cell>
          <cell r="K26">
            <v>0.614630661619326</v>
          </cell>
          <cell r="L26">
            <v>0.6415368019149964</v>
          </cell>
          <cell r="M26">
            <v>0.71501698930505242</v>
          </cell>
          <cell r="N26">
            <v>0.76363032304271039</v>
          </cell>
          <cell r="O26">
            <v>0.80204265124491003</v>
          </cell>
          <cell r="R26">
            <v>0</v>
          </cell>
        </row>
        <row r="27">
          <cell r="B27" t="str">
            <v>y/y bp change</v>
          </cell>
          <cell r="D27">
            <v>120</v>
          </cell>
          <cell r="E27">
            <v>330</v>
          </cell>
          <cell r="F27">
            <v>310</v>
          </cell>
          <cell r="G27">
            <v>205.5218446601942</v>
          </cell>
          <cell r="H27">
            <v>482.6599735216231</v>
          </cell>
          <cell r="I27">
            <v>611.62340596141894</v>
          </cell>
          <cell r="J27">
            <v>132.36491200596333</v>
          </cell>
          <cell r="K27">
            <v>354.13648004406053</v>
          </cell>
          <cell r="L27">
            <v>269.061402956704</v>
          </cell>
          <cell r="M27">
            <v>734.80187390056017</v>
          </cell>
          <cell r="N27">
            <v>486.13333737657973</v>
          </cell>
          <cell r="O27">
            <v>384.12328202199643</v>
          </cell>
          <cell r="R27">
            <v>0</v>
          </cell>
        </row>
        <row r="28">
          <cell r="B28" t="str">
            <v>Sequential bp change</v>
          </cell>
          <cell r="D28" t="str">
            <v>NA</v>
          </cell>
          <cell r="E28" t="str">
            <v>NA</v>
          </cell>
          <cell r="F28" t="str">
            <v>NA</v>
          </cell>
          <cell r="G28" t="str">
            <v>NA</v>
          </cell>
          <cell r="H28" t="str">
            <v>NA</v>
          </cell>
          <cell r="I28" t="str">
            <v>NA</v>
          </cell>
          <cell r="J28" t="str">
            <v>NA</v>
          </cell>
          <cell r="K28" t="str">
            <v>NA</v>
          </cell>
          <cell r="L28" t="str">
            <v>NA</v>
          </cell>
          <cell r="M28" t="str">
            <v>NA</v>
          </cell>
          <cell r="N28" t="str">
            <v>NA</v>
          </cell>
          <cell r="O28" t="str">
            <v>NA</v>
          </cell>
          <cell r="R28">
            <v>0</v>
          </cell>
        </row>
        <row r="29">
          <cell r="B29" t="str">
            <v>Generic dispensing rate - as stated</v>
          </cell>
          <cell r="C29">
            <v>0</v>
          </cell>
          <cell r="D29">
            <v>0</v>
          </cell>
          <cell r="E29">
            <v>0.504</v>
          </cell>
          <cell r="F29">
            <v>0.54400000000000004</v>
          </cell>
          <cell r="G29">
            <v>0.57599999999999996</v>
          </cell>
          <cell r="H29">
            <v>0.61799999999999999</v>
          </cell>
          <cell r="I29">
            <v>0.66100000000000003</v>
          </cell>
          <cell r="J29">
            <v>0</v>
          </cell>
          <cell r="K29">
            <v>0</v>
          </cell>
          <cell r="L29">
            <v>0</v>
          </cell>
          <cell r="M29">
            <v>0</v>
          </cell>
          <cell r="N29">
            <v>0</v>
          </cell>
          <cell r="O29">
            <v>0</v>
          </cell>
          <cell r="R29">
            <v>0</v>
          </cell>
        </row>
        <row r="30">
          <cell r="B30" t="str">
            <v>Branded utilization rate</v>
          </cell>
          <cell r="C30">
            <v>0.54899999999999993</v>
          </cell>
          <cell r="D30">
            <v>0.527570487570028</v>
          </cell>
          <cell r="E30">
            <v>0.49099565595134664</v>
          </cell>
          <cell r="F30">
            <v>0.45942430853906879</v>
          </cell>
          <cell r="G30">
            <v>0.42748544408787925</v>
          </cell>
          <cell r="H30">
            <v>0.38705723894467525</v>
          </cell>
          <cell r="I30">
            <v>0.33901407017724516</v>
          </cell>
          <cell r="J30">
            <v>0.31749249002776925</v>
          </cell>
          <cell r="K30">
            <v>0.2956772297363528</v>
          </cell>
          <cell r="L30">
            <v>0.27968511168062005</v>
          </cell>
          <cell r="M30">
            <v>0.23809376139288152</v>
          </cell>
          <cell r="N30">
            <v>0.20845749334860764</v>
          </cell>
          <cell r="O30">
            <v>0.18704867217077925</v>
          </cell>
          <cell r="R30">
            <v>0</v>
          </cell>
        </row>
        <row r="31">
          <cell r="R31">
            <v>0</v>
          </cell>
        </row>
        <row r="32">
          <cell r="R32">
            <v>0</v>
          </cell>
        </row>
        <row r="33">
          <cell r="R33">
            <v>0</v>
          </cell>
        </row>
        <row r="34">
          <cell r="R34">
            <v>0</v>
          </cell>
        </row>
        <row r="35">
          <cell r="R35">
            <v>0</v>
          </cell>
        </row>
        <row r="36">
          <cell r="R36">
            <v>0</v>
          </cell>
        </row>
        <row r="37">
          <cell r="R37">
            <v>0</v>
          </cell>
        </row>
        <row r="38">
          <cell r="R38">
            <v>0</v>
          </cell>
        </row>
        <row r="39">
          <cell r="R39">
            <v>0</v>
          </cell>
        </row>
        <row r="40">
          <cell r="R40">
            <v>0</v>
          </cell>
        </row>
        <row r="41">
          <cell r="R41">
            <v>0</v>
          </cell>
        </row>
        <row r="42">
          <cell r="R42">
            <v>0</v>
          </cell>
        </row>
        <row r="43">
          <cell r="R43">
            <v>0</v>
          </cell>
        </row>
        <row r="44">
          <cell r="R44">
            <v>0</v>
          </cell>
        </row>
        <row r="45">
          <cell r="R45">
            <v>0</v>
          </cell>
        </row>
        <row r="46">
          <cell r="R46">
            <v>0</v>
          </cell>
        </row>
        <row r="47">
          <cell r="R47">
            <v>0</v>
          </cell>
        </row>
        <row r="48">
          <cell r="R48">
            <v>0</v>
          </cell>
        </row>
        <row r="49">
          <cell r="R49">
            <v>0</v>
          </cell>
        </row>
        <row r="50">
          <cell r="R50">
            <v>0</v>
          </cell>
        </row>
        <row r="51">
          <cell r="R51">
            <v>0</v>
          </cell>
        </row>
        <row r="52">
          <cell r="R52">
            <v>0</v>
          </cell>
        </row>
        <row r="53">
          <cell r="R53">
            <v>0</v>
          </cell>
        </row>
        <row r="54">
          <cell r="R54">
            <v>0</v>
          </cell>
        </row>
        <row r="55">
          <cell r="R55">
            <v>0</v>
          </cell>
        </row>
        <row r="56">
          <cell r="R56">
            <v>0</v>
          </cell>
        </row>
        <row r="57">
          <cell r="R57">
            <v>0</v>
          </cell>
        </row>
        <row r="58">
          <cell r="R58">
            <v>0</v>
          </cell>
        </row>
        <row r="59">
          <cell r="C59">
            <v>0</v>
          </cell>
          <cell r="D59">
            <v>5</v>
          </cell>
          <cell r="E59">
            <v>10</v>
          </cell>
          <cell r="F59">
            <v>15</v>
          </cell>
          <cell r="G59">
            <v>20</v>
          </cell>
          <cell r="H59">
            <v>25</v>
          </cell>
          <cell r="I59">
            <v>30</v>
          </cell>
          <cell r="J59">
            <v>35</v>
          </cell>
          <cell r="K59">
            <v>40</v>
          </cell>
          <cell r="L59">
            <v>45</v>
          </cell>
          <cell r="M59">
            <v>50</v>
          </cell>
          <cell r="N59">
            <v>55</v>
          </cell>
          <cell r="O59">
            <v>60</v>
          </cell>
          <cell r="R59">
            <v>0</v>
          </cell>
        </row>
        <row r="60">
          <cell r="R60">
            <v>0</v>
          </cell>
        </row>
        <row r="61">
          <cell r="R61">
            <v>0</v>
          </cell>
        </row>
        <row r="62">
          <cell r="R62">
            <v>0</v>
          </cell>
        </row>
        <row r="63">
          <cell r="R63">
            <v>0</v>
          </cell>
        </row>
        <row r="64">
          <cell r="R64">
            <v>0</v>
          </cell>
        </row>
        <row r="65">
          <cell r="R65">
            <v>0</v>
          </cell>
        </row>
        <row r="66">
          <cell r="R66">
            <v>0</v>
          </cell>
        </row>
        <row r="67">
          <cell r="B67" t="str">
            <v>ESRX</v>
          </cell>
          <cell r="C67">
            <v>2002</v>
          </cell>
          <cell r="D67">
            <v>2003</v>
          </cell>
          <cell r="E67">
            <v>2004</v>
          </cell>
          <cell r="F67">
            <v>2005</v>
          </cell>
          <cell r="G67">
            <v>2006</v>
          </cell>
          <cell r="H67">
            <v>2007</v>
          </cell>
          <cell r="I67">
            <v>2008</v>
          </cell>
          <cell r="J67">
            <v>2009</v>
          </cell>
          <cell r="K67">
            <v>2010</v>
          </cell>
          <cell r="L67">
            <v>2011</v>
          </cell>
          <cell r="M67">
            <v>2012</v>
          </cell>
          <cell r="N67">
            <v>2013</v>
          </cell>
          <cell r="O67">
            <v>2014</v>
          </cell>
          <cell r="R67">
            <v>0</v>
          </cell>
        </row>
        <row r="68">
          <cell r="B68" t="str">
            <v>EPS, diluted  (continuing) Non GAAP</v>
          </cell>
          <cell r="C68">
            <v>0.63648060049958433</v>
          </cell>
          <cell r="D68">
            <v>0.79385009122237893</v>
          </cell>
          <cell r="E68">
            <v>0.967741935483871</v>
          </cell>
          <cell r="F68">
            <v>1.2996655518394675</v>
          </cell>
          <cell r="G68">
            <v>1.6482394366197208</v>
          </cell>
          <cell r="H68">
            <v>2.3852272727272785</v>
          </cell>
          <cell r="I68">
            <v>3.0957666017602135</v>
          </cell>
          <cell r="J68">
            <v>3.4833913065036373</v>
          </cell>
          <cell r="K68">
            <v>4.9357784346690101</v>
          </cell>
          <cell r="L68">
            <v>6.1823319253262889</v>
          </cell>
          <cell r="M68">
            <v>7.4870173324706633</v>
          </cell>
          <cell r="N68">
            <v>8.2781086015129919</v>
          </cell>
          <cell r="O68">
            <v>9.4747736108052791</v>
          </cell>
        </row>
        <row r="69">
          <cell r="B69" t="str">
            <v>EPS, diluted  (continuing) Non GAAP - Growth</v>
          </cell>
          <cell r="D69">
            <v>0.24724946934639114</v>
          </cell>
          <cell r="E69">
            <v>0.21904871736391884</v>
          </cell>
          <cell r="F69">
            <v>0.34298773690078299</v>
          </cell>
          <cell r="G69">
            <v>0.26820275746087363</v>
          </cell>
          <cell r="H69">
            <v>0.44713639276766948</v>
          </cell>
          <cell r="I69">
            <v>0.2978916672458225</v>
          </cell>
          <cell r="J69">
            <v>0.12521121731949214</v>
          </cell>
          <cell r="K69">
            <v>0.41694630329176774</v>
          </cell>
          <cell r="L69">
            <v>0.25255458833027467</v>
          </cell>
          <cell r="M69">
            <v>0.21103451301274423</v>
          </cell>
          <cell r="N69">
            <v>0.10566173870219608</v>
          </cell>
          <cell r="O69">
            <v>0.14455778087685056</v>
          </cell>
        </row>
        <row r="75">
          <cell r="J75">
            <v>2.8631165401861107</v>
          </cell>
          <cell r="K75">
            <v>3.3865256877003382</v>
          </cell>
          <cell r="L75">
            <v>4.0653657401724335</v>
          </cell>
          <cell r="M75">
            <v>5.0905340617048367</v>
          </cell>
        </row>
        <row r="76">
          <cell r="M76">
            <v>0.25217124043774719</v>
          </cell>
        </row>
        <row r="77">
          <cell r="J77">
            <v>6.3465078466897484</v>
          </cell>
          <cell r="K77">
            <v>8.3223041223693492</v>
          </cell>
          <cell r="L77">
            <v>10.247697665498723</v>
          </cell>
          <cell r="M77">
            <v>12.577551394175501</v>
          </cell>
        </row>
        <row r="78">
          <cell r="M78">
            <v>0.22935202010692235</v>
          </cell>
          <cell r="O78">
            <v>0.22735387056946221</v>
          </cell>
        </row>
        <row r="79">
          <cell r="J79">
            <v>6.3465078466897484</v>
          </cell>
          <cell r="K79">
            <v>7.8020922419524759</v>
          </cell>
          <cell r="L79">
            <v>9.5915178587048224</v>
          </cell>
          <cell r="M79">
            <v>11.791351855490396</v>
          </cell>
          <cell r="O79">
            <v>0.23160287672524571</v>
          </cell>
        </row>
        <row r="82">
          <cell r="B82" t="str">
            <v>ESRX</v>
          </cell>
          <cell r="C82">
            <v>2002</v>
          </cell>
          <cell r="D82">
            <v>2003</v>
          </cell>
          <cell r="E82">
            <v>2004</v>
          </cell>
          <cell r="F82">
            <v>2005</v>
          </cell>
          <cell r="G82">
            <v>2006</v>
          </cell>
          <cell r="H82">
            <v>2007</v>
          </cell>
          <cell r="I82">
            <v>2008</v>
          </cell>
          <cell r="J82">
            <v>2009</v>
          </cell>
          <cell r="K82">
            <v>2010</v>
          </cell>
          <cell r="L82">
            <v>2011</v>
          </cell>
          <cell r="M82">
            <v>2012</v>
          </cell>
          <cell r="N82">
            <v>2013</v>
          </cell>
          <cell r="O82">
            <v>2014</v>
          </cell>
        </row>
        <row r="83">
          <cell r="B83" t="str">
            <v>Revenue per adj claim</v>
          </cell>
          <cell r="C83">
            <v>27.328874194487931</v>
          </cell>
          <cell r="D83">
            <v>27.160993268661318</v>
          </cell>
          <cell r="E83">
            <v>27.351530337247965</v>
          </cell>
          <cell r="F83">
            <v>25.176574977817214</v>
          </cell>
          <cell r="G83">
            <v>27.062560153994227</v>
          </cell>
          <cell r="H83">
            <v>35.586506214243443</v>
          </cell>
          <cell r="I83">
            <v>40.05435202716054</v>
          </cell>
          <cell r="J83">
            <v>44.242004266524482</v>
          </cell>
          <cell r="K83">
            <v>60.887813069400238</v>
          </cell>
          <cell r="L83">
            <v>62.198559856496097</v>
          </cell>
          <cell r="M83">
            <v>59.956322630987707</v>
          </cell>
          <cell r="N83">
            <v>57.392744566488325</v>
          </cell>
          <cell r="O83">
            <v>56.686359775652818</v>
          </cell>
        </row>
        <row r="84">
          <cell r="B84" t="str">
            <v>EBITDA per adj claim</v>
          </cell>
          <cell r="C84">
            <v>1.873652928969312</v>
          </cell>
          <cell r="D84">
            <v>1.8065720219873709</v>
          </cell>
          <cell r="E84">
            <v>1.8055753394597136</v>
          </cell>
          <cell r="F84">
            <v>2.1285055023074206</v>
          </cell>
          <cell r="G84">
            <v>2.8415784408084712</v>
          </cell>
          <cell r="H84">
            <v>3.4580785164726802</v>
          </cell>
          <cell r="I84">
            <v>4.0310092830337769</v>
          </cell>
          <cell r="J84">
            <v>4.6600034183291905</v>
          </cell>
          <cell r="K84">
            <v>4.5804821009656589</v>
          </cell>
          <cell r="L84">
            <v>4.8855465581511694</v>
          </cell>
          <cell r="M84">
            <v>5.223469632509798</v>
          </cell>
          <cell r="N84">
            <v>5.268730332918218</v>
          </cell>
          <cell r="O84">
            <v>5.4727301591221362</v>
          </cell>
        </row>
        <row r="91">
          <cell r="B91" t="str">
            <v>Contibution to Gross Margin</v>
          </cell>
          <cell r="C91">
            <v>2002</v>
          </cell>
          <cell r="D91">
            <v>2003</v>
          </cell>
          <cell r="E91">
            <v>2004</v>
          </cell>
          <cell r="F91">
            <v>2005</v>
          </cell>
          <cell r="G91">
            <v>2006</v>
          </cell>
          <cell r="H91">
            <v>2007</v>
          </cell>
          <cell r="I91">
            <v>2008</v>
          </cell>
          <cell r="J91">
            <v>2009</v>
          </cell>
          <cell r="K91">
            <v>2010</v>
          </cell>
          <cell r="L91">
            <v>2011</v>
          </cell>
          <cell r="M91">
            <v>2012</v>
          </cell>
          <cell r="N91">
            <v>2013</v>
          </cell>
          <cell r="O91">
            <v>2014</v>
          </cell>
        </row>
        <row r="92">
          <cell r="B92" t="str">
            <v>Total Retail / Network</v>
          </cell>
          <cell r="C92">
            <v>0</v>
          </cell>
          <cell r="D92">
            <v>0</v>
          </cell>
          <cell r="E92">
            <v>0.20525233880139812</v>
          </cell>
          <cell r="F92">
            <v>0.25391122841934877</v>
          </cell>
          <cell r="G92">
            <v>0.25447132703493858</v>
          </cell>
          <cell r="H92">
            <v>0.27214088733863134</v>
          </cell>
          <cell r="I92">
            <v>0.31659516601089238</v>
          </cell>
          <cell r="J92">
            <v>0.35374017115571493</v>
          </cell>
          <cell r="K92">
            <v>0.42157995760694073</v>
          </cell>
          <cell r="L92">
            <v>0.41162217918311877</v>
          </cell>
          <cell r="M92">
            <v>0.39766505235529659</v>
          </cell>
          <cell r="N92">
            <v>0.38570269918602945</v>
          </cell>
          <cell r="O92">
            <v>0.37865395717569622</v>
          </cell>
        </row>
        <row r="93">
          <cell r="B93" t="str">
            <v>Mail / Home Delivery - core</v>
          </cell>
          <cell r="C93">
            <v>0</v>
          </cell>
          <cell r="D93">
            <v>0</v>
          </cell>
          <cell r="E93">
            <v>0.73826520635914317</v>
          </cell>
          <cell r="F93">
            <v>0.61522210737594862</v>
          </cell>
          <cell r="G93">
            <v>0.74272195751090853</v>
          </cell>
          <cell r="H93">
            <v>0.72571702403122029</v>
          </cell>
          <cell r="I93">
            <v>0.45449755569281552</v>
          </cell>
          <cell r="J93">
            <v>0.4241988728515913</v>
          </cell>
          <cell r="K93">
            <v>0.36161923704943794</v>
          </cell>
          <cell r="L93">
            <v>0.36292105376463729</v>
          </cell>
          <cell r="M93">
            <v>0.36739922855434654</v>
          </cell>
          <cell r="N93">
            <v>0.36085627456112845</v>
          </cell>
          <cell r="O93">
            <v>0.35548864678432063</v>
          </cell>
        </row>
        <row r="94">
          <cell r="B94" t="str">
            <v>Total Specialty</v>
          </cell>
          <cell r="C94">
            <v>0</v>
          </cell>
          <cell r="D94">
            <v>0</v>
          </cell>
          <cell r="E94">
            <v>0</v>
          </cell>
          <cell r="F94">
            <v>0</v>
          </cell>
          <cell r="G94">
            <v>0</v>
          </cell>
          <cell r="H94">
            <v>0</v>
          </cell>
          <cell r="I94">
            <v>0.11301751200831807</v>
          </cell>
          <cell r="J94">
            <v>0.11409903744364086</v>
          </cell>
          <cell r="K94">
            <v>0.13768296398744237</v>
          </cell>
          <cell r="L94">
            <v>0.15046151035712882</v>
          </cell>
          <cell r="M94">
            <v>0.1640226411671615</v>
          </cell>
          <cell r="N94">
            <v>0.1819570189524142</v>
          </cell>
          <cell r="O94">
            <v>0.19591680364537409</v>
          </cell>
        </row>
        <row r="95">
          <cell r="B95" t="str">
            <v>Services &amp; Other</v>
          </cell>
          <cell r="C95">
            <v>0</v>
          </cell>
          <cell r="D95">
            <v>0</v>
          </cell>
          <cell r="E95">
            <v>0</v>
          </cell>
          <cell r="F95">
            <v>0</v>
          </cell>
          <cell r="G95">
            <v>2.806715454154111E-3</v>
          </cell>
          <cell r="H95">
            <v>2.142088630148393E-3</v>
          </cell>
          <cell r="I95">
            <v>0.11588976628797415</v>
          </cell>
          <cell r="J95">
            <v>0.10796191854905282</v>
          </cell>
          <cell r="K95">
            <v>7.9117841356178942E-2</v>
          </cell>
          <cell r="L95">
            <v>7.4995256695115059E-2</v>
          </cell>
          <cell r="M95">
            <v>7.0913077923195414E-2</v>
          </cell>
          <cell r="N95">
            <v>7.1484007300427796E-2</v>
          </cell>
          <cell r="O95">
            <v>6.9940592394608994E-2</v>
          </cell>
        </row>
        <row r="100">
          <cell r="B100" t="str">
            <v>Contibution to Gross Margin</v>
          </cell>
          <cell r="C100">
            <v>2002</v>
          </cell>
          <cell r="D100">
            <v>2003</v>
          </cell>
          <cell r="E100">
            <v>2004</v>
          </cell>
          <cell r="F100">
            <v>2005</v>
          </cell>
          <cell r="G100">
            <v>2006</v>
          </cell>
          <cell r="H100">
            <v>2007</v>
          </cell>
          <cell r="I100">
            <v>2008</v>
          </cell>
          <cell r="J100">
            <v>2009</v>
          </cell>
          <cell r="K100">
            <v>2010</v>
          </cell>
          <cell r="L100">
            <v>2011</v>
          </cell>
          <cell r="M100">
            <v>2012</v>
          </cell>
          <cell r="N100">
            <v>2013</v>
          </cell>
          <cell r="O100">
            <v>2014</v>
          </cell>
        </row>
        <row r="101">
          <cell r="B101" t="str">
            <v>Generics</v>
          </cell>
          <cell r="C101">
            <v>0</v>
          </cell>
          <cell r="D101">
            <v>0</v>
          </cell>
          <cell r="E101">
            <v>0.87014837031857883</v>
          </cell>
          <cell r="F101">
            <v>0.59962389097577495</v>
          </cell>
          <cell r="G101">
            <v>0.70390222379582568</v>
          </cell>
          <cell r="H101">
            <v>0.60901042489603152</v>
          </cell>
          <cell r="I101">
            <v>0.60609922880788902</v>
          </cell>
          <cell r="J101">
            <v>0.60567651652901189</v>
          </cell>
          <cell r="K101">
            <v>0.60642188876446701</v>
          </cell>
          <cell r="L101">
            <v>0.59936913046480855</v>
          </cell>
          <cell r="M101">
            <v>0.62287522204068835</v>
          </cell>
          <cell r="N101">
            <v>0.62106759921796506</v>
          </cell>
          <cell r="O101">
            <v>0.62451356144640924</v>
          </cell>
        </row>
        <row r="102">
          <cell r="B102" t="str">
            <v>Brand</v>
          </cell>
          <cell r="C102">
            <v>0</v>
          </cell>
          <cell r="D102">
            <v>0</v>
          </cell>
          <cell r="E102">
            <v>7.3369174841962481E-2</v>
          </cell>
          <cell r="F102">
            <v>0.26950944481952244</v>
          </cell>
          <cell r="G102">
            <v>0.29329106075002148</v>
          </cell>
          <cell r="H102">
            <v>0.38884748647382017</v>
          </cell>
          <cell r="I102">
            <v>0.16499349289581894</v>
          </cell>
          <cell r="J102">
            <v>0.17226252747829435</v>
          </cell>
          <cell r="K102">
            <v>0.17677730589191165</v>
          </cell>
          <cell r="L102">
            <v>0.17517410248294757</v>
          </cell>
          <cell r="M102">
            <v>0.14218905886895483</v>
          </cell>
          <cell r="N102">
            <v>0.12549137452919282</v>
          </cell>
          <cell r="O102">
            <v>0.10962904251360769</v>
          </cell>
        </row>
        <row r="103">
          <cell r="B103" t="str">
            <v>Specialty</v>
          </cell>
          <cell r="C103">
            <v>0</v>
          </cell>
          <cell r="D103">
            <v>0</v>
          </cell>
          <cell r="E103">
            <v>0</v>
          </cell>
          <cell r="F103">
            <v>0</v>
          </cell>
          <cell r="G103">
            <v>0</v>
          </cell>
          <cell r="H103">
            <v>0</v>
          </cell>
          <cell r="I103">
            <v>0.11301751200831807</v>
          </cell>
          <cell r="J103">
            <v>0.11409903744364086</v>
          </cell>
          <cell r="K103">
            <v>0.13768296398744237</v>
          </cell>
          <cell r="L103">
            <v>0.15046151035712882</v>
          </cell>
          <cell r="M103">
            <v>0.1640226411671615</v>
          </cell>
          <cell r="N103">
            <v>0.1819570189524142</v>
          </cell>
          <cell r="O103">
            <v>0.19591680364537409</v>
          </cell>
        </row>
        <row r="104">
          <cell r="B104" t="str">
            <v>Services &amp; Other</v>
          </cell>
          <cell r="C104">
            <v>0</v>
          </cell>
          <cell r="D104">
            <v>0</v>
          </cell>
          <cell r="E104">
            <v>0</v>
          </cell>
          <cell r="F104">
            <v>0</v>
          </cell>
          <cell r="G104">
            <v>2.806715454154111E-3</v>
          </cell>
          <cell r="H104">
            <v>2.142088630148393E-3</v>
          </cell>
          <cell r="I104">
            <v>0.11588976628797415</v>
          </cell>
          <cell r="J104">
            <v>0.10796191854905282</v>
          </cell>
          <cell r="K104">
            <v>7.9117841356178942E-2</v>
          </cell>
          <cell r="L104">
            <v>7.4995256695115059E-2</v>
          </cell>
          <cell r="M104">
            <v>7.0913077923195414E-2</v>
          </cell>
          <cell r="N104">
            <v>7.1484007300427796E-2</v>
          </cell>
          <cell r="O104">
            <v>6.9940592394608994E-2</v>
          </cell>
        </row>
        <row r="107">
          <cell r="B107" t="str">
            <v>Retail / Network - generics</v>
          </cell>
          <cell r="C107">
            <v>0</v>
          </cell>
          <cell r="D107">
            <v>0</v>
          </cell>
          <cell r="E107">
            <v>0.18207820433577135</v>
          </cell>
          <cell r="F107">
            <v>0.12385860260024335</v>
          </cell>
          <cell r="G107">
            <v>0.1271937649064584</v>
          </cell>
          <cell r="H107">
            <v>0.12026126632227407</v>
          </cell>
          <cell r="I107">
            <v>0.21687442251770958</v>
          </cell>
          <cell r="J107">
            <v>0.25029683068883996</v>
          </cell>
          <cell r="K107">
            <v>0.30153274803256308</v>
          </cell>
          <cell r="L107">
            <v>0.29422386927896765</v>
          </cell>
          <cell r="M107">
            <v>0.30059963800396594</v>
          </cell>
          <cell r="N107">
            <v>0.29891881712974061</v>
          </cell>
          <cell r="O107">
            <v>0.3015172279806585</v>
          </cell>
        </row>
        <row r="108">
          <cell r="B108" t="str">
            <v>Retail / Network - brand</v>
          </cell>
          <cell r="C108">
            <v>0</v>
          </cell>
          <cell r="D108">
            <v>0</v>
          </cell>
          <cell r="E108">
            <v>2.3174134465626779E-2</v>
          </cell>
          <cell r="F108">
            <v>0.1300526258191054</v>
          </cell>
          <cell r="G108">
            <v>0.12727756212848018</v>
          </cell>
          <cell r="H108">
            <v>0.1518796210163573</v>
          </cell>
          <cell r="I108">
            <v>9.9720743493182815E-2</v>
          </cell>
          <cell r="J108">
            <v>0.10344334046687505</v>
          </cell>
          <cell r="K108">
            <v>0.12004720957437767</v>
          </cell>
          <cell r="L108">
            <v>0.11739830990415115</v>
          </cell>
          <cell r="M108">
            <v>9.7065414351330662E-2</v>
          </cell>
          <cell r="N108">
            <v>8.6783882056288855E-2</v>
          </cell>
          <cell r="O108">
            <v>7.7136729195037765E-2</v>
          </cell>
        </row>
        <row r="109">
          <cell r="B109" t="str">
            <v>Mail / Home Delivery - generics - core</v>
          </cell>
          <cell r="C109">
            <v>0</v>
          </cell>
          <cell r="D109">
            <v>0</v>
          </cell>
          <cell r="E109">
            <v>0.68807016598280746</v>
          </cell>
          <cell r="F109">
            <v>0.47576528837553156</v>
          </cell>
          <cell r="G109">
            <v>0.57670845888936728</v>
          </cell>
          <cell r="H109">
            <v>0.48874915857375739</v>
          </cell>
          <cell r="I109">
            <v>0.38922480629017941</v>
          </cell>
          <cell r="J109">
            <v>0.35537968584017199</v>
          </cell>
          <cell r="K109">
            <v>0.30488914073190398</v>
          </cell>
          <cell r="L109">
            <v>0.3051452611858409</v>
          </cell>
          <cell r="M109">
            <v>0.32227558403672235</v>
          </cell>
          <cell r="N109">
            <v>0.32214878208822451</v>
          </cell>
          <cell r="O109">
            <v>0.32299633346575068</v>
          </cell>
        </row>
        <row r="110">
          <cell r="B110" t="str">
            <v>Mail / Home Delivery - brand - core</v>
          </cell>
          <cell r="C110">
            <v>0</v>
          </cell>
          <cell r="D110">
            <v>0</v>
          </cell>
          <cell r="E110">
            <v>5.0195040376335695E-2</v>
          </cell>
          <cell r="F110">
            <v>0.13945681900041704</v>
          </cell>
          <cell r="G110">
            <v>0.1660134986215413</v>
          </cell>
          <cell r="H110">
            <v>0.23696786545746287</v>
          </cell>
          <cell r="I110">
            <v>6.527274940263611E-2</v>
          </cell>
          <cell r="J110">
            <v>6.88191870114193E-2</v>
          </cell>
          <cell r="K110">
            <v>5.6730096317533965E-2</v>
          </cell>
          <cell r="L110">
            <v>5.7775792578796413E-2</v>
          </cell>
          <cell r="M110">
            <v>4.5123644517624163E-2</v>
          </cell>
          <cell r="N110">
            <v>3.8707492472903962E-2</v>
          </cell>
          <cell r="O110">
            <v>3.2492313318569922E-2</v>
          </cell>
        </row>
        <row r="111">
          <cell r="B111" t="str">
            <v>Mail / Home Delivery - specialty</v>
          </cell>
          <cell r="C111">
            <v>0</v>
          </cell>
          <cell r="D111">
            <v>0</v>
          </cell>
          <cell r="E111">
            <v>0</v>
          </cell>
          <cell r="F111">
            <v>0</v>
          </cell>
          <cell r="G111">
            <v>0</v>
          </cell>
          <cell r="H111">
            <v>0</v>
          </cell>
          <cell r="I111">
            <v>0.11301751200831807</v>
          </cell>
          <cell r="J111">
            <v>0.11409903744364086</v>
          </cell>
          <cell r="K111">
            <v>0.13768296398744237</v>
          </cell>
          <cell r="L111">
            <v>0.15046151035712882</v>
          </cell>
          <cell r="M111">
            <v>0.1640226411671615</v>
          </cell>
          <cell r="N111">
            <v>0.1819570189524142</v>
          </cell>
          <cell r="O111">
            <v>0.19591680364537409</v>
          </cell>
        </row>
        <row r="118">
          <cell r="B118" t="str">
            <v>Sales by Product &amp; Channel</v>
          </cell>
          <cell r="C118">
            <v>2002</v>
          </cell>
          <cell r="D118">
            <v>2003</v>
          </cell>
          <cell r="E118">
            <v>2004</v>
          </cell>
          <cell r="F118">
            <v>2005</v>
          </cell>
          <cell r="G118">
            <v>2006</v>
          </cell>
          <cell r="H118">
            <v>2007</v>
          </cell>
          <cell r="I118">
            <v>2008</v>
          </cell>
          <cell r="J118">
            <v>2009</v>
          </cell>
          <cell r="K118">
            <v>2010</v>
          </cell>
          <cell r="L118">
            <v>2011</v>
          </cell>
          <cell r="M118">
            <v>2012</v>
          </cell>
          <cell r="N118">
            <v>2013</v>
          </cell>
          <cell r="O118">
            <v>2014</v>
          </cell>
        </row>
        <row r="119">
          <cell r="B119" t="str">
            <v>Retail Generic</v>
          </cell>
          <cell r="C119">
            <v>0</v>
          </cell>
          <cell r="D119">
            <v>1445.7586411742684</v>
          </cell>
          <cell r="E119">
            <v>1501.8864821146765</v>
          </cell>
          <cell r="F119">
            <v>1467.3496401638847</v>
          </cell>
          <cell r="G119">
            <v>1477.3555793885143</v>
          </cell>
          <cell r="H119">
            <v>2343.2008577315969</v>
          </cell>
          <cell r="I119">
            <v>3293.8930439420883</v>
          </cell>
          <cell r="J119">
            <v>4188.4156934860439</v>
          </cell>
          <cell r="K119">
            <v>9280.4859662180534</v>
          </cell>
          <cell r="L119">
            <v>9935.3810676736666</v>
          </cell>
          <cell r="M119">
            <v>11163.106217568449</v>
          </cell>
          <cell r="N119">
            <v>11453.990586830012</v>
          </cell>
          <cell r="O119">
            <v>12280.710469953687</v>
          </cell>
        </row>
        <row r="120">
          <cell r="B120" t="str">
            <v>Retail Brand</v>
          </cell>
          <cell r="C120">
            <v>0</v>
          </cell>
          <cell r="D120">
            <v>7591.2413588257323</v>
          </cell>
          <cell r="E120">
            <v>7885.1135178853237</v>
          </cell>
          <cell r="F120">
            <v>7703.650359836116</v>
          </cell>
          <cell r="G120">
            <v>7391.6444206114847</v>
          </cell>
          <cell r="H120">
            <v>10680.099142268404</v>
          </cell>
          <cell r="I120">
            <v>9746.0069560579122</v>
          </cell>
          <cell r="J120">
            <v>11035.789326885135</v>
          </cell>
          <cell r="K120">
            <v>23753.399679663322</v>
          </cell>
          <cell r="L120">
            <v>24183.485108803041</v>
          </cell>
          <cell r="M120">
            <v>22001.299924142775</v>
          </cell>
          <cell r="N120">
            <v>20286.273717595639</v>
          </cell>
          <cell r="O120">
            <v>19167.812111909461</v>
          </cell>
        </row>
        <row r="121">
          <cell r="B121" t="str">
            <v>Mail Generic</v>
          </cell>
          <cell r="C121">
            <v>0</v>
          </cell>
          <cell r="D121">
            <v>493.50832930692604</v>
          </cell>
          <cell r="E121">
            <v>630.62235922554817</v>
          </cell>
          <cell r="F121">
            <v>663.10340989819974</v>
          </cell>
          <cell r="G121">
            <v>738.7985000000001</v>
          </cell>
          <cell r="H121">
            <v>825.09925523423624</v>
          </cell>
          <cell r="I121">
            <v>837.3833734355419</v>
          </cell>
          <cell r="J121">
            <v>929.05220468016728</v>
          </cell>
          <cell r="K121">
            <v>1566.8514628539592</v>
          </cell>
          <cell r="L121">
            <v>1743.3803363665425</v>
          </cell>
          <cell r="M121">
            <v>2081.4180316936408</v>
          </cell>
          <cell r="N121">
            <v>2208.6942460100381</v>
          </cell>
          <cell r="O121">
            <v>2425.0025697780475</v>
          </cell>
        </row>
        <row r="122">
          <cell r="B122" t="str">
            <v>Mail Brand</v>
          </cell>
          <cell r="C122">
            <v>0</v>
          </cell>
          <cell r="D122">
            <v>3494.4916706930744</v>
          </cell>
          <cell r="E122">
            <v>4140.3776407744517</v>
          </cell>
          <cell r="F122">
            <v>4352.8965901018</v>
          </cell>
          <cell r="G122">
            <v>4451.2015000000001</v>
          </cell>
          <cell r="H122">
            <v>4190.4007447657641</v>
          </cell>
          <cell r="I122">
            <v>4155.3166265644586</v>
          </cell>
          <cell r="J122">
            <v>4340.891237351816</v>
          </cell>
          <cell r="K122">
            <v>6532.8793097001608</v>
          </cell>
          <cell r="L122">
            <v>6636.0658266771616</v>
          </cell>
          <cell r="M122">
            <v>5702.7484317220624</v>
          </cell>
          <cell r="N122">
            <v>5045.1044942204026</v>
          </cell>
          <cell r="O122">
            <v>4502.6506024930486</v>
          </cell>
        </row>
        <row r="123">
          <cell r="B123" t="str">
            <v>Specialty</v>
          </cell>
          <cell r="C123">
            <v>0</v>
          </cell>
          <cell r="D123">
            <v>0</v>
          </cell>
          <cell r="E123">
            <v>0</v>
          </cell>
          <cell r="F123">
            <v>0</v>
          </cell>
          <cell r="G123">
            <v>0</v>
          </cell>
          <cell r="H123">
            <v>0</v>
          </cell>
          <cell r="I123">
            <v>2233</v>
          </cell>
          <cell r="J123">
            <v>2726.4116950696502</v>
          </cell>
          <cell r="K123">
            <v>4668.9493813858862</v>
          </cell>
          <cell r="L123">
            <v>5598.0703082816781</v>
          </cell>
          <cell r="M123">
            <v>6712.0862996297337</v>
          </cell>
          <cell r="N123">
            <v>7681.9827699262323</v>
          </cell>
          <cell r="O123">
            <v>8792.0292801805736</v>
          </cell>
        </row>
        <row r="124">
          <cell r="B124" t="str">
            <v>Services &amp; Other</v>
          </cell>
          <cell r="C124">
            <v>0</v>
          </cell>
          <cell r="D124">
            <v>73</v>
          </cell>
          <cell r="E124">
            <v>101</v>
          </cell>
          <cell r="F124">
            <v>152</v>
          </cell>
          <cell r="G124">
            <v>163</v>
          </cell>
          <cell r="H124">
            <v>168.7</v>
          </cell>
          <cell r="I124">
            <v>305.3</v>
          </cell>
          <cell r="J124">
            <v>343.96858956814947</v>
          </cell>
          <cell r="K124">
            <v>357.72733315087544</v>
          </cell>
          <cell r="L124">
            <v>372.03642647691049</v>
          </cell>
          <cell r="M124">
            <v>386.9178835359869</v>
          </cell>
          <cell r="N124">
            <v>402.39459887742646</v>
          </cell>
          <cell r="O124">
            <v>418.49038283252349</v>
          </cell>
        </row>
        <row r="125">
          <cell r="B125" t="str">
            <v>EM</v>
          </cell>
          <cell r="C125">
            <v>0</v>
          </cell>
          <cell r="D125">
            <v>0</v>
          </cell>
          <cell r="E125">
            <v>0</v>
          </cell>
          <cell r="F125">
            <v>0</v>
          </cell>
          <cell r="G125">
            <v>0</v>
          </cell>
          <cell r="H125">
            <v>0</v>
          </cell>
          <cell r="I125">
            <v>1407.1</v>
          </cell>
          <cell r="J125">
            <v>1294.4989999999998</v>
          </cell>
          <cell r="K125">
            <v>1320.01298</v>
          </cell>
          <cell r="L125">
            <v>1385.254109</v>
          </cell>
          <cell r="M125">
            <v>1453.7345088500001</v>
          </cell>
          <cell r="N125">
            <v>1525.6154595245002</v>
          </cell>
          <cell r="O125">
            <v>1601.0662844896851</v>
          </cell>
        </row>
      </sheetData>
      <sheetData sheetId="10" refreshError="1"/>
      <sheetData sheetId="11"/>
      <sheetData sheetId="12"/>
      <sheetData sheetId="13"/>
      <sheetData sheetId="14"/>
      <sheetData sheetId="15"/>
      <sheetData sheetId="1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odel"/>
      <sheetName val="Revenue"/>
      <sheetName val="Aetna"/>
      <sheetName val="Assumptions"/>
      <sheetName val="Shares"/>
      <sheetName val="Options Expensing"/>
      <sheetName val="Debt"/>
      <sheetName val="Disclaimer"/>
      <sheetName val="__FDSCACHE__"/>
      <sheetName val="DCF"/>
      <sheetName val="WACC"/>
      <sheetName val="WC"/>
      <sheetName val="Valuation"/>
      <sheetName val="New Products"/>
      <sheetName val="Valuation Matrix"/>
      <sheetName val="Products"/>
      <sheetName val="Charts"/>
      <sheetName val="CUS Image(OLD)"/>
      <sheetName val="CUS Image"/>
      <sheetName val="Module1"/>
      <sheetName val="Module2"/>
    </sheetNames>
    <sheetDataSet>
      <sheetData sheetId="0" refreshError="1"/>
      <sheetData sheetId="1" refreshError="1">
        <row r="5">
          <cell r="D5">
            <v>36586</v>
          </cell>
          <cell r="E5">
            <v>36678</v>
          </cell>
          <cell r="F5">
            <v>36770</v>
          </cell>
          <cell r="G5">
            <v>36861</v>
          </cell>
          <cell r="I5">
            <v>36951</v>
          </cell>
          <cell r="J5">
            <v>37043</v>
          </cell>
          <cell r="K5">
            <v>37135</v>
          </cell>
          <cell r="L5">
            <v>37226</v>
          </cell>
          <cell r="N5">
            <v>37316</v>
          </cell>
          <cell r="O5">
            <v>37408</v>
          </cell>
          <cell r="P5">
            <v>37500</v>
          </cell>
          <cell r="Q5">
            <v>37591</v>
          </cell>
          <cell r="S5">
            <v>37681</v>
          </cell>
          <cell r="T5">
            <v>37773</v>
          </cell>
          <cell r="U5">
            <v>37865</v>
          </cell>
          <cell r="V5">
            <v>37956</v>
          </cell>
          <cell r="X5">
            <v>38047</v>
          </cell>
          <cell r="Y5">
            <v>38139</v>
          </cell>
          <cell r="Z5">
            <v>38231</v>
          </cell>
          <cell r="AA5">
            <v>38322</v>
          </cell>
          <cell r="AC5">
            <v>38412</v>
          </cell>
          <cell r="AD5">
            <v>38504</v>
          </cell>
          <cell r="AE5">
            <v>38596</v>
          </cell>
          <cell r="AF5">
            <v>38687</v>
          </cell>
        </row>
        <row r="6">
          <cell r="D6" t="str">
            <v>Fiscal Year End, December 2000</v>
          </cell>
          <cell r="I6" t="str">
            <v>Fiscal Year End, December 2001</v>
          </cell>
          <cell r="N6" t="str">
            <v>Fiscal Year End, December 2002</v>
          </cell>
          <cell r="S6" t="str">
            <v>Fiscal Year End, December 2003</v>
          </cell>
          <cell r="X6" t="str">
            <v>Fiscal Year End, December 2004</v>
          </cell>
          <cell r="AC6" t="str">
            <v>Fiscal Year End, December 2005</v>
          </cell>
        </row>
        <row r="7">
          <cell r="D7" t="str">
            <v>1QA</v>
          </cell>
          <cell r="E7" t="str">
            <v>2QA</v>
          </cell>
          <cell r="F7" t="str">
            <v>3QA</v>
          </cell>
          <cell r="G7" t="str">
            <v>4QA</v>
          </cell>
          <cell r="H7" t="str">
            <v>FY00</v>
          </cell>
          <cell r="I7" t="str">
            <v>1QA</v>
          </cell>
          <cell r="J7" t="str">
            <v>2QA</v>
          </cell>
          <cell r="K7" t="str">
            <v>3QA</v>
          </cell>
          <cell r="L7" t="str">
            <v>4QA</v>
          </cell>
          <cell r="M7" t="str">
            <v>FY01</v>
          </cell>
          <cell r="N7" t="str">
            <v>1QA</v>
          </cell>
          <cell r="O7" t="str">
            <v>2QA</v>
          </cell>
          <cell r="P7" t="str">
            <v>3QA</v>
          </cell>
          <cell r="Q7" t="str">
            <v>4QA</v>
          </cell>
          <cell r="R7" t="str">
            <v>FY02</v>
          </cell>
          <cell r="S7" t="str">
            <v>1QA</v>
          </cell>
          <cell r="T7" t="str">
            <v>2QA</v>
          </cell>
          <cell r="U7" t="str">
            <v>3QA</v>
          </cell>
          <cell r="V7" t="str">
            <v>4QA</v>
          </cell>
          <cell r="W7" t="str">
            <v>FY03</v>
          </cell>
          <cell r="X7" t="str">
            <v>1QA</v>
          </cell>
          <cell r="Y7" t="str">
            <v>2QA</v>
          </cell>
          <cell r="Z7" t="str">
            <v>3QA</v>
          </cell>
          <cell r="AA7" t="str">
            <v>4QA</v>
          </cell>
          <cell r="AB7" t="str">
            <v>FY04</v>
          </cell>
          <cell r="AC7" t="str">
            <v>1QA</v>
          </cell>
          <cell r="AD7" t="str">
            <v>2QE</v>
          </cell>
          <cell r="AE7" t="str">
            <v>3QE</v>
          </cell>
          <cell r="AF7" t="str">
            <v>4QE</v>
          </cell>
          <cell r="AG7" t="str">
            <v>FY 05E</v>
          </cell>
        </row>
        <row r="8">
          <cell r="D8">
            <v>136.553</v>
          </cell>
          <cell r="E8">
            <v>146.18600000000001</v>
          </cell>
          <cell r="F8">
            <v>147.72499999999999</v>
          </cell>
          <cell r="G8">
            <v>154.19299999999998</v>
          </cell>
          <cell r="H8">
            <v>584.65700000000004</v>
          </cell>
          <cell r="I8">
            <v>168.346</v>
          </cell>
          <cell r="J8">
            <v>200.578</v>
          </cell>
          <cell r="K8">
            <v>209.72399999999999</v>
          </cell>
          <cell r="L8">
            <v>226.47200000000009</v>
          </cell>
          <cell r="M8">
            <v>805.12</v>
          </cell>
          <cell r="N8">
            <v>266.45699999999999</v>
          </cell>
          <cell r="O8">
            <v>290.99900000000002</v>
          </cell>
          <cell r="P8">
            <v>306.00900000000001</v>
          </cell>
          <cell r="Q8">
            <v>336.92600000000004</v>
          </cell>
          <cell r="R8">
            <v>1200.3910000000001</v>
          </cell>
          <cell r="S8">
            <v>351.529</v>
          </cell>
          <cell r="T8">
            <v>350.50700000000001</v>
          </cell>
          <cell r="U8">
            <v>362.85500000000002</v>
          </cell>
          <cell r="V8">
            <v>396.91999999999985</v>
          </cell>
          <cell r="W8">
            <v>1461.8109999999999</v>
          </cell>
          <cell r="X8">
            <v>401.24299999999999</v>
          </cell>
          <cell r="Y8">
            <v>438.452</v>
          </cell>
          <cell r="Z8">
            <v>440.15899999999999</v>
          </cell>
          <cell r="AA8">
            <v>459.76400000000001</v>
          </cell>
          <cell r="AB8">
            <v>1739.6179999999999</v>
          </cell>
          <cell r="AC8">
            <v>486.74099999999999</v>
          </cell>
          <cell r="AD8">
            <v>562.25379679909997</v>
          </cell>
          <cell r="AE8">
            <v>593.29297947792497</v>
          </cell>
          <cell r="AF8">
            <v>642.55720016895998</v>
          </cell>
          <cell r="AG8">
            <v>2284.8449764459847</v>
          </cell>
        </row>
        <row r="9">
          <cell r="D9">
            <v>119.661</v>
          </cell>
          <cell r="E9">
            <v>129.005</v>
          </cell>
          <cell r="F9">
            <v>130.328</v>
          </cell>
          <cell r="G9">
            <v>135.36599999999999</v>
          </cell>
          <cell r="H9">
            <v>514.36</v>
          </cell>
          <cell r="I9">
            <v>146.73599999999999</v>
          </cell>
          <cell r="J9">
            <v>178.61199999999999</v>
          </cell>
          <cell r="K9">
            <v>186.542</v>
          </cell>
          <cell r="L9">
            <v>201.08100000000002</v>
          </cell>
          <cell r="M9">
            <v>712.971</v>
          </cell>
          <cell r="N9">
            <v>236.62700000000001</v>
          </cell>
          <cell r="O9">
            <v>258.10300000000001</v>
          </cell>
          <cell r="P9">
            <v>270.67099999999999</v>
          </cell>
          <cell r="Q9">
            <v>297.77999999999992</v>
          </cell>
          <cell r="R9">
            <v>1063.181</v>
          </cell>
          <cell r="S9">
            <v>311.24400000000003</v>
          </cell>
          <cell r="T9">
            <v>312.72300000000001</v>
          </cell>
          <cell r="U9">
            <v>323.483</v>
          </cell>
          <cell r="V9">
            <v>352.49800000000016</v>
          </cell>
          <cell r="W9">
            <v>1299.9480000000001</v>
          </cell>
          <cell r="X9">
            <v>358.23</v>
          </cell>
          <cell r="Y9">
            <v>392.58499999999998</v>
          </cell>
          <cell r="Z9">
            <v>388.33199999999999</v>
          </cell>
          <cell r="AA9">
            <v>407.58</v>
          </cell>
          <cell r="AB9">
            <v>1546.7269999999999</v>
          </cell>
          <cell r="AC9">
            <v>433.39400000000001</v>
          </cell>
          <cell r="AD9">
            <v>502.52960330365795</v>
          </cell>
          <cell r="AE9">
            <v>528.09035196200693</v>
          </cell>
          <cell r="AF9">
            <v>571.30107404447801</v>
          </cell>
          <cell r="AG9">
            <v>2035.315029310143</v>
          </cell>
        </row>
        <row r="10">
          <cell r="D10">
            <v>16.891999999999996</v>
          </cell>
          <cell r="E10">
            <v>17.181000000000012</v>
          </cell>
          <cell r="F10">
            <v>17.396999999999991</v>
          </cell>
          <cell r="G10">
            <v>18.826999999999998</v>
          </cell>
          <cell r="H10">
            <v>70.297000000000025</v>
          </cell>
          <cell r="I10">
            <v>21.610000000000014</v>
          </cell>
          <cell r="J10">
            <v>21.966000000000008</v>
          </cell>
          <cell r="K10">
            <v>23.181999999999988</v>
          </cell>
          <cell r="L10">
            <v>25.391000000000076</v>
          </cell>
          <cell r="M10">
            <v>92.149000000000001</v>
          </cell>
          <cell r="N10">
            <v>29.829999999999984</v>
          </cell>
          <cell r="O10">
            <v>32.896000000000015</v>
          </cell>
          <cell r="P10">
            <v>35.338000000000022</v>
          </cell>
          <cell r="Q10">
            <v>39.146000000000129</v>
          </cell>
          <cell r="R10">
            <v>137.21000000000004</v>
          </cell>
          <cell r="S10">
            <v>40.284999999999968</v>
          </cell>
          <cell r="T10">
            <v>37.783999999999992</v>
          </cell>
          <cell r="U10">
            <v>39.372000000000014</v>
          </cell>
          <cell r="V10">
            <v>44.421999999999684</v>
          </cell>
          <cell r="W10">
            <v>161.86299999999983</v>
          </cell>
          <cell r="X10">
            <v>43.012999999999977</v>
          </cell>
          <cell r="Y10">
            <v>45.867000000000019</v>
          </cell>
          <cell r="Z10">
            <v>51.826999999999998</v>
          </cell>
          <cell r="AA10">
            <v>52.184000000000026</v>
          </cell>
          <cell r="AB10">
            <v>192.89100000000008</v>
          </cell>
          <cell r="AC10">
            <v>53.34699999999998</v>
          </cell>
          <cell r="AD10">
            <v>59.724193495442002</v>
          </cell>
          <cell r="AE10">
            <v>65.202627515917996</v>
          </cell>
          <cell r="AF10">
            <v>71.256126124481995</v>
          </cell>
          <cell r="AG10">
            <v>249.52994713584198</v>
          </cell>
        </row>
        <row r="13">
          <cell r="D13">
            <v>6.7930000000000001</v>
          </cell>
          <cell r="E13">
            <v>6.8730000000000002</v>
          </cell>
          <cell r="F13">
            <v>6.6680000000000001</v>
          </cell>
          <cell r="G13">
            <v>10.978999999999999</v>
          </cell>
          <cell r="H13">
            <v>31.312999999999999</v>
          </cell>
          <cell r="I13">
            <v>8.9809999999999999</v>
          </cell>
          <cell r="J13">
            <v>15.653</v>
          </cell>
          <cell r="K13">
            <v>11.292999999999999</v>
          </cell>
          <cell r="L13">
            <v>12.421999999999997</v>
          </cell>
          <cell r="M13">
            <v>48.348999999999997</v>
          </cell>
          <cell r="N13">
            <v>14.661</v>
          </cell>
          <cell r="O13">
            <v>15.773</v>
          </cell>
          <cell r="P13">
            <v>16.457999999999998</v>
          </cell>
          <cell r="Q13">
            <v>18.067000000000007</v>
          </cell>
          <cell r="R13">
            <v>64.959000000000003</v>
          </cell>
          <cell r="S13">
            <v>18.725000000000001</v>
          </cell>
          <cell r="T13">
            <v>18.8</v>
          </cell>
          <cell r="U13">
            <v>18.981000000000002</v>
          </cell>
          <cell r="V13">
            <v>21.425999999999995</v>
          </cell>
          <cell r="W13">
            <v>77.932000000000002</v>
          </cell>
          <cell r="X13">
            <v>22.158000000000001</v>
          </cell>
          <cell r="Y13">
            <v>23.414000000000001</v>
          </cell>
          <cell r="Z13">
            <v>29.268999999999998</v>
          </cell>
          <cell r="AA13">
            <v>33.356000000000002</v>
          </cell>
          <cell r="AB13">
            <v>108.197</v>
          </cell>
          <cell r="AC13">
            <v>36.195999999999998</v>
          </cell>
          <cell r="AD13">
            <v>38.627697023629985</v>
          </cell>
          <cell r="AE13">
            <v>39.181736722785651</v>
          </cell>
          <cell r="AF13">
            <v>39.583525662887077</v>
          </cell>
          <cell r="AG13">
            <v>153.58613622055771</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D15">
            <v>0</v>
          </cell>
          <cell r="E15">
            <v>0</v>
          </cell>
          <cell r="F15">
            <v>0</v>
          </cell>
          <cell r="G15">
            <v>0</v>
          </cell>
          <cell r="H15">
            <v>0</v>
          </cell>
          <cell r="I15">
            <v>0</v>
          </cell>
          <cell r="J15">
            <v>2.0190000000000001</v>
          </cell>
          <cell r="K15">
            <v>0</v>
          </cell>
          <cell r="L15">
            <v>0</v>
          </cell>
          <cell r="M15">
            <v>2.0190000000000001</v>
          </cell>
          <cell r="N15">
            <v>0</v>
          </cell>
          <cell r="O15">
            <v>0</v>
          </cell>
          <cell r="P15">
            <v>0</v>
          </cell>
          <cell r="Q15">
            <v>2.3860000000000001</v>
          </cell>
          <cell r="R15">
            <v>2.3860000000000001</v>
          </cell>
          <cell r="S15">
            <v>0</v>
          </cell>
          <cell r="T15">
            <v>0</v>
          </cell>
          <cell r="U15">
            <v>0</v>
          </cell>
          <cell r="V15">
            <v>0</v>
          </cell>
          <cell r="W15">
            <v>0</v>
          </cell>
          <cell r="X15">
            <v>0</v>
          </cell>
          <cell r="Y15">
            <v>1.3169999999999999</v>
          </cell>
          <cell r="Z15">
            <v>0</v>
          </cell>
          <cell r="AA15">
            <v>0</v>
          </cell>
          <cell r="AB15">
            <v>1.3169999999999999</v>
          </cell>
          <cell r="AC15">
            <v>0</v>
          </cell>
          <cell r="AD15">
            <v>0</v>
          </cell>
          <cell r="AE15">
            <v>0</v>
          </cell>
          <cell r="AF15">
            <v>0</v>
          </cell>
          <cell r="AG15">
            <v>0</v>
          </cell>
        </row>
        <row r="16">
          <cell r="D16">
            <v>0.34499999999999997</v>
          </cell>
          <cell r="E16">
            <v>0.34499999999999997</v>
          </cell>
          <cell r="F16">
            <v>0.34499999999999997</v>
          </cell>
          <cell r="G16">
            <v>0.30000000000000004</v>
          </cell>
          <cell r="H16">
            <v>1.335</v>
          </cell>
          <cell r="I16">
            <v>0.52900000000000003</v>
          </cell>
          <cell r="J16">
            <v>0.92600000000000005</v>
          </cell>
          <cell r="K16">
            <v>0.95299999999999996</v>
          </cell>
          <cell r="L16">
            <v>0.99199999999999999</v>
          </cell>
          <cell r="M16">
            <v>3.4</v>
          </cell>
          <cell r="N16">
            <v>0.64600000000000002</v>
          </cell>
          <cell r="O16">
            <v>0.65700000000000003</v>
          </cell>
          <cell r="P16">
            <v>0.67700000000000005</v>
          </cell>
          <cell r="Q16">
            <v>0.77999999999999969</v>
          </cell>
          <cell r="R16">
            <v>2.76</v>
          </cell>
          <cell r="S16">
            <v>0.92700000000000005</v>
          </cell>
          <cell r="T16">
            <v>1.083</v>
          </cell>
          <cell r="U16">
            <v>1.127</v>
          </cell>
          <cell r="V16">
            <v>1.1359999999999997</v>
          </cell>
          <cell r="W16">
            <v>4.2729999999999997</v>
          </cell>
          <cell r="X16">
            <v>1.369</v>
          </cell>
          <cell r="Y16">
            <v>1.43</v>
          </cell>
          <cell r="Z16">
            <v>1.778</v>
          </cell>
          <cell r="AA16">
            <v>2.0139999999999998</v>
          </cell>
          <cell r="AB16">
            <v>6.5909999999999993</v>
          </cell>
          <cell r="AC16">
            <v>2.6150000000000002</v>
          </cell>
          <cell r="AD16">
            <v>2.9217499999999998</v>
          </cell>
          <cell r="AE16">
            <v>3.3342499999999999</v>
          </cell>
          <cell r="AF16">
            <v>3.3342499999999999</v>
          </cell>
          <cell r="AG16">
            <v>12.205249999999999</v>
          </cell>
        </row>
        <row r="17">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D18">
            <v>7.1379999999999999</v>
          </cell>
          <cell r="E18">
            <v>7.218</v>
          </cell>
          <cell r="F18">
            <v>7.0129999999999999</v>
          </cell>
          <cell r="G18">
            <v>11.279</v>
          </cell>
          <cell r="H18">
            <v>32.647999999999996</v>
          </cell>
          <cell r="I18">
            <v>9.51</v>
          </cell>
          <cell r="J18">
            <v>18.597999999999999</v>
          </cell>
          <cell r="K18">
            <v>12.245999999999999</v>
          </cell>
          <cell r="L18">
            <v>13.413999999999998</v>
          </cell>
          <cell r="M18">
            <v>53.767999999999994</v>
          </cell>
          <cell r="N18">
            <v>15.307</v>
          </cell>
          <cell r="O18">
            <v>16.43</v>
          </cell>
          <cell r="P18">
            <v>17.134999999999998</v>
          </cell>
          <cell r="Q18">
            <v>21.233000000000008</v>
          </cell>
          <cell r="R18">
            <v>70.105000000000004</v>
          </cell>
          <cell r="S18">
            <v>19.652000000000001</v>
          </cell>
          <cell r="T18">
            <v>19.882999999999999</v>
          </cell>
          <cell r="U18">
            <v>20.108000000000001</v>
          </cell>
          <cell r="V18">
            <v>22.561999999999994</v>
          </cell>
          <cell r="W18">
            <v>82.204999999999998</v>
          </cell>
          <cell r="X18">
            <v>23.527000000000001</v>
          </cell>
          <cell r="Y18">
            <v>26.161000000000001</v>
          </cell>
          <cell r="Z18">
            <v>31.046999999999997</v>
          </cell>
          <cell r="AA18">
            <v>35.370000000000005</v>
          </cell>
          <cell r="AB18">
            <v>116.10499999999999</v>
          </cell>
          <cell r="AC18">
            <v>38.811</v>
          </cell>
          <cell r="AD18">
            <v>41.549447023629988</v>
          </cell>
          <cell r="AE18">
            <v>42.515986722785648</v>
          </cell>
          <cell r="AF18">
            <v>42.917775662887074</v>
          </cell>
          <cell r="AG18">
            <v>165.79138622055771</v>
          </cell>
        </row>
        <row r="19">
          <cell r="D19">
            <v>9.753999999999996</v>
          </cell>
          <cell r="E19">
            <v>9.9630000000000116</v>
          </cell>
          <cell r="F19">
            <v>10.383999999999991</v>
          </cell>
          <cell r="G19">
            <v>7.5479999999999983</v>
          </cell>
          <cell r="H19">
            <v>37.649000000000029</v>
          </cell>
          <cell r="I19">
            <v>12.100000000000014</v>
          </cell>
          <cell r="J19">
            <v>3.3680000000000092</v>
          </cell>
          <cell r="K19">
            <v>10.935999999999989</v>
          </cell>
          <cell r="L19">
            <v>11.977000000000078</v>
          </cell>
          <cell r="M19">
            <v>38.381000000000007</v>
          </cell>
          <cell r="N19">
            <v>14.522999999999984</v>
          </cell>
          <cell r="O19">
            <v>16.466000000000015</v>
          </cell>
          <cell r="P19">
            <v>18.203000000000024</v>
          </cell>
          <cell r="Q19">
            <v>17.913000000000121</v>
          </cell>
          <cell r="R19">
            <v>67.105000000000032</v>
          </cell>
          <cell r="S19">
            <v>20.632999999999967</v>
          </cell>
          <cell r="T19">
            <v>17.900999999999993</v>
          </cell>
          <cell r="U19">
            <v>19.264000000000014</v>
          </cell>
          <cell r="V19">
            <v>21.85999999999969</v>
          </cell>
          <cell r="W19">
            <v>79.657999999999831</v>
          </cell>
          <cell r="X19">
            <v>19.485999999999976</v>
          </cell>
          <cell r="Y19">
            <v>19.706000000000017</v>
          </cell>
          <cell r="Z19">
            <v>20.78</v>
          </cell>
          <cell r="AA19">
            <v>16.814000000000021</v>
          </cell>
          <cell r="AB19">
            <v>76.786000000000087</v>
          </cell>
          <cell r="AC19">
            <v>14.53599999999998</v>
          </cell>
          <cell r="AD19">
            <v>18.174746471812014</v>
          </cell>
          <cell r="AE19">
            <v>22.686640793132348</v>
          </cell>
          <cell r="AF19">
            <v>28.338350461594921</v>
          </cell>
          <cell r="AG19">
            <v>83.738560915284268</v>
          </cell>
        </row>
        <row r="20">
          <cell r="D20">
            <v>1.204</v>
          </cell>
          <cell r="E20">
            <v>1.5389999999999999</v>
          </cell>
          <cell r="F20">
            <v>2.0209999999999999</v>
          </cell>
          <cell r="G20">
            <v>2.1560000000000006</v>
          </cell>
          <cell r="H20">
            <v>6.92</v>
          </cell>
          <cell r="I20">
            <v>1.873</v>
          </cell>
          <cell r="J20">
            <v>1.5389999999999999</v>
          </cell>
          <cell r="K20">
            <v>1.391</v>
          </cell>
          <cell r="L20">
            <v>1.1690000000000005</v>
          </cell>
          <cell r="M20">
            <v>5.9720000000000004</v>
          </cell>
          <cell r="N20">
            <v>0.86699999999999999</v>
          </cell>
          <cell r="O20">
            <v>0.67100000000000004</v>
          </cell>
          <cell r="P20">
            <v>0.50800000000000001</v>
          </cell>
          <cell r="Q20">
            <v>0.58600000000000008</v>
          </cell>
          <cell r="R20">
            <v>2.6320000000000001</v>
          </cell>
          <cell r="S20">
            <v>0.46100000000000002</v>
          </cell>
          <cell r="T20">
            <v>0.35099999999999998</v>
          </cell>
          <cell r="U20">
            <v>0.246</v>
          </cell>
          <cell r="V20">
            <v>0.24400000000000005</v>
          </cell>
          <cell r="W20">
            <v>1.302</v>
          </cell>
          <cell r="X20">
            <v>0.17399999999999999</v>
          </cell>
          <cell r="Y20">
            <v>-1.0000000000000009E-3</v>
          </cell>
          <cell r="Z20">
            <v>-0.3</v>
          </cell>
          <cell r="AA20">
            <v>-0.42499999999999999</v>
          </cell>
          <cell r="AB20">
            <v>-0.55200000000000005</v>
          </cell>
          <cell r="AC20">
            <v>-0.51500000000000001</v>
          </cell>
          <cell r="AD20">
            <v>5.2702125000000044E-2</v>
          </cell>
          <cell r="AE20">
            <v>8.7651375000000031E-2</v>
          </cell>
          <cell r="AF20">
            <v>0.11897287500000009</v>
          </cell>
          <cell r="AG20">
            <v>-0.25567362499999985</v>
          </cell>
        </row>
        <row r="21">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0.19900000000000001</v>
          </cell>
          <cell r="AB21">
            <v>0.19900000000000001</v>
          </cell>
          <cell r="AC21">
            <v>0</v>
          </cell>
          <cell r="AD21">
            <v>0</v>
          </cell>
          <cell r="AE21">
            <v>0</v>
          </cell>
          <cell r="AF21">
            <v>0</v>
          </cell>
          <cell r="AG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-7.8E-2</v>
          </cell>
          <cell r="Y22">
            <v>-8.5000000000000006E-2</v>
          </cell>
          <cell r="Z22">
            <v>-9.1999999999999998E-2</v>
          </cell>
          <cell r="AA22">
            <v>4.2999999999999997E-2</v>
          </cell>
          <cell r="AB22">
            <v>-0.21200000000000002</v>
          </cell>
          <cell r="AC22">
            <v>1.5</v>
          </cell>
          <cell r="AD22">
            <v>0.86357001000000055</v>
          </cell>
          <cell r="AE22">
            <v>0.20375000000000015</v>
          </cell>
          <cell r="AF22">
            <v>-0.33125000000000004</v>
          </cell>
          <cell r="AG22">
            <v>2.2360700100000006</v>
          </cell>
        </row>
        <row r="23">
          <cell r="D23">
            <v>10.957999999999997</v>
          </cell>
          <cell r="E23">
            <v>11.502000000000011</v>
          </cell>
          <cell r="F23">
            <v>12.40499999999999</v>
          </cell>
          <cell r="G23">
            <v>9.7039999999999988</v>
          </cell>
          <cell r="H23">
            <v>44.569000000000031</v>
          </cell>
          <cell r="I23">
            <v>13.973000000000013</v>
          </cell>
          <cell r="J23">
            <v>4.9070000000000089</v>
          </cell>
          <cell r="K23">
            <v>12.326999999999989</v>
          </cell>
          <cell r="L23">
            <v>13.146000000000079</v>
          </cell>
          <cell r="M23">
            <v>44.353000000000009</v>
          </cell>
          <cell r="N23">
            <v>15.389999999999983</v>
          </cell>
          <cell r="O23">
            <v>17.137000000000015</v>
          </cell>
          <cell r="P23">
            <v>18.711000000000023</v>
          </cell>
          <cell r="Q23">
            <v>18.49900000000012</v>
          </cell>
          <cell r="R23">
            <v>69.737000000000037</v>
          </cell>
          <cell r="S23">
            <v>21.093999999999966</v>
          </cell>
          <cell r="T23">
            <v>18.251999999999992</v>
          </cell>
          <cell r="U23">
            <v>19.510000000000012</v>
          </cell>
          <cell r="V23">
            <v>22.10399999999969</v>
          </cell>
          <cell r="W23">
            <v>80.959999999999837</v>
          </cell>
          <cell r="X23">
            <v>19.581999999999976</v>
          </cell>
          <cell r="Y23">
            <v>19.620000000000015</v>
          </cell>
          <cell r="Z23">
            <v>20.388000000000002</v>
          </cell>
          <cell r="AA23">
            <v>16.631000000000022</v>
          </cell>
          <cell r="AB23">
            <v>76.221000000000075</v>
          </cell>
          <cell r="AC23">
            <v>15.520999999999979</v>
          </cell>
          <cell r="AD23">
            <v>19.091018606812014</v>
          </cell>
          <cell r="AE23">
            <v>22.978042168132347</v>
          </cell>
          <cell r="AF23">
            <v>28.126073336594921</v>
          </cell>
          <cell r="AG23">
            <v>85.718957300284274</v>
          </cell>
        </row>
        <row r="24">
          <cell r="D24">
            <v>4.1970000000000001</v>
          </cell>
          <cell r="E24">
            <v>4.4050000000000002</v>
          </cell>
          <cell r="F24">
            <v>4.7510000000000003</v>
          </cell>
          <cell r="G24">
            <v>3.1369999999999969</v>
          </cell>
          <cell r="H24">
            <v>16.489999999999998</v>
          </cell>
          <cell r="I24">
            <v>5.24</v>
          </cell>
          <cell r="J24">
            <v>1.84</v>
          </cell>
          <cell r="K24">
            <v>4.6230000000000002</v>
          </cell>
          <cell r="L24">
            <v>4.93</v>
          </cell>
          <cell r="M24">
            <v>16.632999999999999</v>
          </cell>
          <cell r="N24">
            <v>5.7709999999999999</v>
          </cell>
          <cell r="O24">
            <v>6.4269999999999996</v>
          </cell>
          <cell r="P24">
            <v>7.016</v>
          </cell>
          <cell r="Q24">
            <v>6.9369999999999985</v>
          </cell>
          <cell r="R24">
            <v>26.151</v>
          </cell>
          <cell r="S24">
            <v>7.91</v>
          </cell>
          <cell r="T24">
            <v>6.8449999999999998</v>
          </cell>
          <cell r="U24">
            <v>7.3159999999999998</v>
          </cell>
          <cell r="V24">
            <v>8.2890000000000015</v>
          </cell>
          <cell r="W24">
            <v>30.36</v>
          </cell>
          <cell r="X24">
            <v>7.343</v>
          </cell>
          <cell r="Y24">
            <v>7.4560000000000004</v>
          </cell>
          <cell r="Z24">
            <v>7.7469999999999999</v>
          </cell>
          <cell r="AA24">
            <v>4.6479999999999997</v>
          </cell>
          <cell r="AB24">
            <v>27.193999999999999</v>
          </cell>
          <cell r="AC24">
            <v>5.8979999999999997</v>
          </cell>
          <cell r="AD24">
            <v>7.2545870705885651</v>
          </cell>
          <cell r="AE24">
            <v>8.7316560238902916</v>
          </cell>
          <cell r="AF24">
            <v>10.68790786790607</v>
          </cell>
          <cell r="AG24">
            <v>32.572150962384924</v>
          </cell>
        </row>
        <row r="25">
          <cell r="D25">
            <v>6.7609999999999966</v>
          </cell>
          <cell r="E25">
            <v>7.0970000000000111</v>
          </cell>
          <cell r="F25">
            <v>7.6539999999999901</v>
          </cell>
          <cell r="G25">
            <v>6.5670000000000019</v>
          </cell>
          <cell r="H25">
            <v>28.079000000000033</v>
          </cell>
          <cell r="I25">
            <v>8.733000000000013</v>
          </cell>
          <cell r="J25">
            <v>3.0670000000000091</v>
          </cell>
          <cell r="K25">
            <v>7.7039999999999891</v>
          </cell>
          <cell r="L25">
            <v>8.2160000000000792</v>
          </cell>
          <cell r="M25">
            <v>27.72000000000001</v>
          </cell>
          <cell r="N25">
            <v>9.618999999999982</v>
          </cell>
          <cell r="O25">
            <v>10.710000000000015</v>
          </cell>
          <cell r="P25">
            <v>11.695000000000023</v>
          </cell>
          <cell r="Q25">
            <v>11.562000000000122</v>
          </cell>
          <cell r="R25">
            <v>43.586000000000041</v>
          </cell>
          <cell r="S25">
            <v>13.183999999999966</v>
          </cell>
          <cell r="T25">
            <v>11.406999999999993</v>
          </cell>
          <cell r="U25">
            <v>12.194000000000013</v>
          </cell>
          <cell r="V25">
            <v>13.814999999999689</v>
          </cell>
          <cell r="W25">
            <v>50.599999999999838</v>
          </cell>
          <cell r="X25">
            <v>12.238999999999976</v>
          </cell>
          <cell r="Y25">
            <v>12.164000000000016</v>
          </cell>
          <cell r="Z25">
            <v>12.641000000000002</v>
          </cell>
          <cell r="AA25">
            <v>11.983000000000022</v>
          </cell>
          <cell r="AB25">
            <v>49.027000000000015</v>
          </cell>
          <cell r="AC25">
            <v>9.6229999999999798</v>
          </cell>
          <cell r="AD25">
            <v>11.836431536223449</v>
          </cell>
          <cell r="AE25">
            <v>14.246386144242056</v>
          </cell>
          <cell r="AF25">
            <v>17.438165468688851</v>
          </cell>
          <cell r="AG25">
            <v>53.143983149154337</v>
          </cell>
        </row>
        <row r="26">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-4.4009999999999998</v>
          </cell>
          <cell r="AB26">
            <v>-4.4009999999999998</v>
          </cell>
          <cell r="AC26">
            <v>0</v>
          </cell>
          <cell r="AD26">
            <v>0</v>
          </cell>
          <cell r="AE26">
            <v>0</v>
          </cell>
          <cell r="AF26">
            <v>0</v>
          </cell>
          <cell r="AG26">
            <v>0</v>
          </cell>
        </row>
        <row r="27">
          <cell r="D27">
            <v>6.7609999999999966</v>
          </cell>
          <cell r="E27">
            <v>7.0970000000000111</v>
          </cell>
          <cell r="F27">
            <v>7.6539999999999901</v>
          </cell>
          <cell r="G27">
            <v>6.5670000000000019</v>
          </cell>
          <cell r="H27">
            <v>28.079000000000033</v>
          </cell>
          <cell r="I27">
            <v>8.733000000000013</v>
          </cell>
          <cell r="J27">
            <v>3.0670000000000091</v>
          </cell>
          <cell r="K27">
            <v>7.7039999999999891</v>
          </cell>
          <cell r="L27">
            <v>8.2160000000000792</v>
          </cell>
          <cell r="M27">
            <v>27.72000000000001</v>
          </cell>
          <cell r="N27">
            <v>9.618999999999982</v>
          </cell>
          <cell r="O27">
            <v>10.710000000000015</v>
          </cell>
          <cell r="P27">
            <v>11.695000000000023</v>
          </cell>
          <cell r="Q27">
            <v>11.562000000000122</v>
          </cell>
          <cell r="R27">
            <v>43.586000000000041</v>
          </cell>
          <cell r="S27">
            <v>13.183999999999966</v>
          </cell>
          <cell r="T27">
            <v>11.406999999999993</v>
          </cell>
          <cell r="U27">
            <v>12.194000000000013</v>
          </cell>
          <cell r="V27">
            <v>13.814999999999689</v>
          </cell>
          <cell r="W27">
            <v>50.599999999999838</v>
          </cell>
          <cell r="X27">
            <v>12.238999999999976</v>
          </cell>
          <cell r="Y27">
            <v>12.164000000000016</v>
          </cell>
          <cell r="Z27">
            <v>12.641000000000002</v>
          </cell>
          <cell r="AA27">
            <v>7.5820000000000221</v>
          </cell>
          <cell r="AB27">
            <v>44.626000000000019</v>
          </cell>
          <cell r="AC27">
            <v>9.6229999999999798</v>
          </cell>
          <cell r="AD27">
            <v>11.836431536223449</v>
          </cell>
          <cell r="AE27">
            <v>14.246386144242056</v>
          </cell>
          <cell r="AF27">
            <v>17.438165468688851</v>
          </cell>
          <cell r="AG27">
            <v>53.143983149154337</v>
          </cell>
        </row>
        <row r="28">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0.81651314984709511</v>
          </cell>
          <cell r="Z28">
            <v>0</v>
          </cell>
          <cell r="AA28">
            <v>4.5750000000000002</v>
          </cell>
          <cell r="AB28">
            <v>5.3915131498470954</v>
          </cell>
          <cell r="AC28">
            <v>0</v>
          </cell>
          <cell r="AD28">
            <v>0</v>
          </cell>
          <cell r="AE28">
            <v>0</v>
          </cell>
          <cell r="AF28">
            <v>0</v>
          </cell>
          <cell r="AG28">
            <v>0</v>
          </cell>
        </row>
        <row r="29">
          <cell r="D29">
            <v>6.7609999999999966</v>
          </cell>
          <cell r="E29">
            <v>7.0970000000000111</v>
          </cell>
          <cell r="F29">
            <v>7.6539999999999901</v>
          </cell>
          <cell r="G29">
            <v>6.5670000000000019</v>
          </cell>
          <cell r="H29">
            <v>28.079000000000033</v>
          </cell>
          <cell r="I29">
            <v>8.733000000000013</v>
          </cell>
          <cell r="J29">
            <v>3.0670000000000091</v>
          </cell>
          <cell r="K29">
            <v>7.7039999999999891</v>
          </cell>
          <cell r="L29">
            <v>8.2160000000000792</v>
          </cell>
          <cell r="M29">
            <v>27.72000000000001</v>
          </cell>
          <cell r="N29">
            <v>9.618999999999982</v>
          </cell>
          <cell r="O29">
            <v>10.710000000000015</v>
          </cell>
          <cell r="P29">
            <v>11.695000000000023</v>
          </cell>
          <cell r="Q29">
            <v>11.562000000000122</v>
          </cell>
          <cell r="R29">
            <v>43.586000000000041</v>
          </cell>
          <cell r="S29">
            <v>13.183999999999966</v>
          </cell>
          <cell r="T29">
            <v>11.406999999999993</v>
          </cell>
          <cell r="U29">
            <v>12.194000000000013</v>
          </cell>
          <cell r="V29">
            <v>13.814999999999863</v>
          </cell>
          <cell r="W29">
            <v>50.599999999999838</v>
          </cell>
          <cell r="X29">
            <v>12.238999999999976</v>
          </cell>
          <cell r="Y29">
            <v>12.980513149847111</v>
          </cell>
          <cell r="Z29">
            <v>12.641000000000002</v>
          </cell>
          <cell r="AA29">
            <v>12.157000000000021</v>
          </cell>
          <cell r="AB29">
            <v>50.017513149847112</v>
          </cell>
          <cell r="AC29">
            <v>9.6229999999999798</v>
          </cell>
          <cell r="AD29">
            <v>11.836431536223449</v>
          </cell>
          <cell r="AE29">
            <v>14.246386144242056</v>
          </cell>
          <cell r="AF29">
            <v>17.438165468688851</v>
          </cell>
          <cell r="AG29">
            <v>53.143983149154337</v>
          </cell>
        </row>
        <row r="32">
          <cell r="S32">
            <v>-2.8260000000000001</v>
          </cell>
          <cell r="T32">
            <v>-2.8340000000000001</v>
          </cell>
          <cell r="U32">
            <v>-2.8340000000000001</v>
          </cell>
          <cell r="V32">
            <v>-2.875</v>
          </cell>
          <cell r="W32">
            <v>-11.369</v>
          </cell>
          <cell r="X32">
            <v>-1.72</v>
          </cell>
          <cell r="Y32">
            <v>-1.8029999999999999</v>
          </cell>
          <cell r="Z32">
            <v>-1.8029999999999999</v>
          </cell>
          <cell r="AA32">
            <v>-2.7080000000000011</v>
          </cell>
          <cell r="AB32">
            <v>-8.0340000000000007</v>
          </cell>
          <cell r="AC32">
            <v>-1.1930000000000001</v>
          </cell>
          <cell r="AD32">
            <v>-1.1930000000000001</v>
          </cell>
          <cell r="AE32">
            <v>-1.1930000000000001</v>
          </cell>
          <cell r="AF32">
            <v>-1.1930000000000001</v>
          </cell>
          <cell r="AG32">
            <v>-4.7720000000000002</v>
          </cell>
        </row>
        <row r="33">
          <cell r="S33">
            <v>10.357999999999965</v>
          </cell>
          <cell r="T33">
            <v>8.5729999999999933</v>
          </cell>
          <cell r="U33">
            <v>9.3600000000000136</v>
          </cell>
          <cell r="V33">
            <v>10.939999999999863</v>
          </cell>
          <cell r="W33">
            <v>39.230999999999838</v>
          </cell>
          <cell r="X33">
            <v>10.518999999999975</v>
          </cell>
          <cell r="Y33">
            <v>11.177513149847112</v>
          </cell>
          <cell r="Z33">
            <v>10.838000000000001</v>
          </cell>
          <cell r="AA33">
            <v>9.4490000000000194</v>
          </cell>
          <cell r="AB33">
            <v>41.983513149847113</v>
          </cell>
          <cell r="AC33">
            <v>8.4299999999999802</v>
          </cell>
          <cell r="AD33">
            <v>10.643431536223449</v>
          </cell>
          <cell r="AE33">
            <v>13.053386144242056</v>
          </cell>
          <cell r="AF33">
            <v>16.24516546868885</v>
          </cell>
          <cell r="AG33">
            <v>48.371983149154339</v>
          </cell>
        </row>
        <row r="34">
          <cell r="S34">
            <v>10.357999999999965</v>
          </cell>
          <cell r="T34">
            <v>8.5729999999999933</v>
          </cell>
          <cell r="U34">
            <v>9.3600000000000136</v>
          </cell>
          <cell r="V34">
            <v>10.939999999999689</v>
          </cell>
          <cell r="W34">
            <v>39.230999999999838</v>
          </cell>
          <cell r="X34">
            <v>10.518999999999975</v>
          </cell>
          <cell r="Y34">
            <v>10.361000000000015</v>
          </cell>
          <cell r="Z34">
            <v>10.838000000000001</v>
          </cell>
          <cell r="AA34">
            <v>4.874000000000021</v>
          </cell>
          <cell r="AB34">
            <v>36.59200000000002</v>
          </cell>
          <cell r="AC34">
            <v>8.4299999999999802</v>
          </cell>
          <cell r="AD34">
            <v>10.643431536223449</v>
          </cell>
          <cell r="AE34">
            <v>13.053386144242056</v>
          </cell>
          <cell r="AF34">
            <v>16.24516546868885</v>
          </cell>
          <cell r="AG34">
            <v>48.371983149154339</v>
          </cell>
        </row>
        <row r="37">
          <cell r="D37">
            <v>0.15972019648537131</v>
          </cell>
          <cell r="E37">
            <v>0.16530735125075291</v>
          </cell>
          <cell r="F37">
            <v>0.17524094943687282</v>
          </cell>
          <cell r="G37">
            <v>0.15237735119853946</v>
          </cell>
          <cell r="H37">
            <v>0.65153093411052121</v>
          </cell>
          <cell r="I37">
            <v>0.19581390544208646</v>
          </cell>
          <cell r="J37">
            <v>6.8079598391190724E-2</v>
          </cell>
          <cell r="K37">
            <v>0.17387627660203753</v>
          </cell>
          <cell r="L37">
            <v>0.20078385371322632</v>
          </cell>
          <cell r="M37">
            <v>0.62214421329796921</v>
          </cell>
          <cell r="N37">
            <v>0.21561950471758129</v>
          </cell>
          <cell r="O37">
            <v>0.23960091749030354</v>
          </cell>
          <cell r="P37">
            <v>0.2656000272526754</v>
          </cell>
          <cell r="Q37">
            <v>0.26049537604936573</v>
          </cell>
          <cell r="R37">
            <v>0.98200583467285474</v>
          </cell>
          <cell r="S37">
            <v>0.29956485614354295</v>
          </cell>
          <cell r="T37">
            <v>0.25755587355977716</v>
          </cell>
          <cell r="U37">
            <v>0.27856891695402353</v>
          </cell>
          <cell r="V37">
            <v>0.31447727730375691</v>
          </cell>
          <cell r="W37">
            <v>1.1518313595056393</v>
          </cell>
          <cell r="X37">
            <v>0.27780366006719304</v>
          </cell>
          <cell r="Y37">
            <v>0.2963743784169236</v>
          </cell>
          <cell r="Z37">
            <v>0.28624925256133188</v>
          </cell>
          <cell r="AA37">
            <v>0.27585335565725316</v>
          </cell>
          <cell r="AB37">
            <v>1.1362806467027016</v>
          </cell>
          <cell r="AC37">
            <v>0.21652287084981098</v>
          </cell>
          <cell r="AD37">
            <v>0.26632631578929072</v>
          </cell>
          <cell r="AE37">
            <v>0.32055163952886478</v>
          </cell>
          <cell r="AF37">
            <v>0.39236845574504386</v>
          </cell>
          <cell r="AG37">
            <v>1.1957692819130104</v>
          </cell>
        </row>
        <row r="38">
          <cell r="D38">
            <v>0.15972019648537131</v>
          </cell>
          <cell r="E38">
            <v>0.16530735125075291</v>
          </cell>
          <cell r="F38">
            <v>0.17524094943687282</v>
          </cell>
          <cell r="G38">
            <v>0.15237735119853946</v>
          </cell>
          <cell r="H38">
            <v>0.65153093411052121</v>
          </cell>
          <cell r="I38">
            <v>0.19581390544208646</v>
          </cell>
          <cell r="J38">
            <v>6.8079598391190724E-2</v>
          </cell>
          <cell r="K38">
            <v>0.17387627660203753</v>
          </cell>
          <cell r="L38">
            <v>0.20078385371322632</v>
          </cell>
          <cell r="M38">
            <v>0.62214421329796921</v>
          </cell>
          <cell r="N38">
            <v>0.21561950471758129</v>
          </cell>
          <cell r="O38">
            <v>0.23960091749030354</v>
          </cell>
          <cell r="P38">
            <v>0.2656000272526754</v>
          </cell>
          <cell r="Q38">
            <v>0.26049537604936573</v>
          </cell>
          <cell r="R38">
            <v>0.98200583467285474</v>
          </cell>
          <cell r="S38">
            <v>0.29956485614354295</v>
          </cell>
          <cell r="T38">
            <v>0.25755587355977716</v>
          </cell>
          <cell r="U38">
            <v>0.27856891695402353</v>
          </cell>
          <cell r="V38">
            <v>0.31447727730375691</v>
          </cell>
          <cell r="W38">
            <v>1.1518313595056393</v>
          </cell>
          <cell r="X38">
            <v>0.27780366006719304</v>
          </cell>
          <cell r="Y38">
            <v>0.27773154246262793</v>
          </cell>
          <cell r="Z38">
            <v>0.28624925256133188</v>
          </cell>
          <cell r="AA38">
            <v>0.17204245641139226</v>
          </cell>
          <cell r="AB38">
            <v>1.0138269115025451</v>
          </cell>
          <cell r="AC38">
            <v>0.21652287084981098</v>
          </cell>
          <cell r="AD38">
            <v>0.26632631578929072</v>
          </cell>
          <cell r="AE38">
            <v>0.32055163952886478</v>
          </cell>
          <cell r="AF38">
            <v>0.39236845574504386</v>
          </cell>
          <cell r="AG38">
            <v>1.1957692819130104</v>
          </cell>
        </row>
        <row r="39">
          <cell r="S39">
            <v>0.23535291109942472</v>
          </cell>
          <cell r="T39">
            <v>0.19356767809485134</v>
          </cell>
          <cell r="U39">
            <v>0.21382688721417592</v>
          </cell>
          <cell r="V39">
            <v>0.2490323136954857</v>
          </cell>
          <cell r="W39">
            <v>0.89303351906651574</v>
          </cell>
          <cell r="X39">
            <v>0.23876270122124377</v>
          </cell>
          <cell r="Y39">
            <v>0.25520782374246476</v>
          </cell>
          <cell r="Z39">
            <v>0.24542120079580057</v>
          </cell>
          <cell r="AA39">
            <v>0.21440637966647905</v>
          </cell>
          <cell r="AB39">
            <v>0.95365619086862952</v>
          </cell>
          <cell r="AC39">
            <v>0.18967970500508219</v>
          </cell>
          <cell r="AD39">
            <v>0.23948314994456199</v>
          </cell>
          <cell r="AE39">
            <v>0.293708473684136</v>
          </cell>
          <cell r="AF39">
            <v>0.36552528990031508</v>
          </cell>
          <cell r="AG39">
            <v>1.0883966185340954</v>
          </cell>
        </row>
        <row r="40">
          <cell r="S40">
            <v>0.23535291109942472</v>
          </cell>
          <cell r="T40">
            <v>0.19356767809485134</v>
          </cell>
          <cell r="U40">
            <v>0.21382688721417592</v>
          </cell>
          <cell r="V40">
            <v>0.24903231369548176</v>
          </cell>
          <cell r="W40">
            <v>0.89303351906651574</v>
          </cell>
          <cell r="X40">
            <v>0.23876270122124377</v>
          </cell>
          <cell r="Y40">
            <v>0.23656498778816906</v>
          </cell>
          <cell r="Z40">
            <v>0.24542120079580057</v>
          </cell>
          <cell r="AA40">
            <v>0.11059548042061818</v>
          </cell>
          <cell r="AB40">
            <v>0.83118788110260822</v>
          </cell>
          <cell r="AC40">
            <v>0.18967970500508219</v>
          </cell>
          <cell r="AD40">
            <v>0.23948314994456199</v>
          </cell>
          <cell r="AE40">
            <v>0.293708473684136</v>
          </cell>
          <cell r="AF40">
            <v>0.36552528990031508</v>
          </cell>
          <cell r="AG40">
            <v>1.0883966185340954</v>
          </cell>
        </row>
        <row r="42">
          <cell r="D42">
            <v>42.330275999999998</v>
          </cell>
          <cell r="E42">
            <v>42.93215</v>
          </cell>
          <cell r="F42">
            <v>43.677005999999999</v>
          </cell>
          <cell r="G42">
            <v>43.096955999999999</v>
          </cell>
          <cell r="H42">
            <v>43.096955999999999</v>
          </cell>
          <cell r="I42">
            <v>44.598466999999999</v>
          </cell>
          <cell r="J42">
            <v>45.050207</v>
          </cell>
          <cell r="K42">
            <v>44.307366999999999</v>
          </cell>
          <cell r="L42">
            <v>40.919625000000003</v>
          </cell>
          <cell r="M42">
            <v>44.555585999999998</v>
          </cell>
          <cell r="N42">
            <v>44.610992000000003</v>
          </cell>
          <cell r="O42">
            <v>44.699328000000001</v>
          </cell>
          <cell r="P42">
            <v>44.032375000000002</v>
          </cell>
          <cell r="Q42">
            <v>44.384664999999998</v>
          </cell>
          <cell r="R42">
            <v>44.384664999999998</v>
          </cell>
          <cell r="S42">
            <v>44.010503</v>
          </cell>
          <cell r="T42">
            <v>44.289419000000002</v>
          </cell>
          <cell r="U42">
            <v>43.773727999999998</v>
          </cell>
          <cell r="V42">
            <v>43.930042</v>
          </cell>
          <cell r="W42">
            <v>43.930042</v>
          </cell>
          <cell r="X42">
            <v>44.056294999999999</v>
          </cell>
          <cell r="Y42">
            <v>43.797690000000003</v>
          </cell>
          <cell r="Z42">
            <v>44.160814000000002</v>
          </cell>
          <cell r="AA42">
            <v>44.070517000000002</v>
          </cell>
          <cell r="AB42">
            <v>44.023741000000001</v>
          </cell>
          <cell r="AC42">
            <v>44.443342000000001</v>
          </cell>
          <cell r="AD42">
            <v>44.443342000000001</v>
          </cell>
          <cell r="AE42">
            <v>44.443342000000001</v>
          </cell>
          <cell r="AF42">
            <v>44.443342000000001</v>
          </cell>
          <cell r="AG42">
            <v>44.443342000000001</v>
          </cell>
        </row>
        <row r="44">
          <cell r="AC44">
            <v>0.22</v>
          </cell>
          <cell r="AD44" t="str">
            <v>$0.27 - $0.28</v>
          </cell>
          <cell r="AG44" t="str">
            <v>$1.18 - $1.28</v>
          </cell>
        </row>
        <row r="45">
          <cell r="D45">
            <v>0.16</v>
          </cell>
          <cell r="E45">
            <v>0.17</v>
          </cell>
          <cell r="F45">
            <v>0.18</v>
          </cell>
          <cell r="G45">
            <v>0.2</v>
          </cell>
          <cell r="H45">
            <v>0.7</v>
          </cell>
          <cell r="I45">
            <v>0.2</v>
          </cell>
          <cell r="J45">
            <v>0.16</v>
          </cell>
          <cell r="K45">
            <v>0.17</v>
          </cell>
          <cell r="L45">
            <v>0.19</v>
          </cell>
          <cell r="M45">
            <v>0.72</v>
          </cell>
          <cell r="N45">
            <v>0.22</v>
          </cell>
          <cell r="O45">
            <v>0.24</v>
          </cell>
          <cell r="P45">
            <v>0.27</v>
          </cell>
          <cell r="Q45">
            <v>0.3</v>
          </cell>
          <cell r="R45">
            <v>1.03</v>
          </cell>
          <cell r="S45">
            <v>0.3</v>
          </cell>
          <cell r="T45">
            <v>0.26</v>
          </cell>
          <cell r="U45">
            <v>0.28000000000000003</v>
          </cell>
          <cell r="V45">
            <v>0.32</v>
          </cell>
          <cell r="W45">
            <v>1.1499999999999999</v>
          </cell>
          <cell r="X45">
            <v>0.28000000000000003</v>
          </cell>
          <cell r="Y45">
            <v>0.3</v>
          </cell>
          <cell r="Z45">
            <v>0.28999999999999998</v>
          </cell>
          <cell r="AA45">
            <v>0.28000000000000003</v>
          </cell>
          <cell r="AB45">
            <v>1.1399999999999999</v>
          </cell>
          <cell r="AC45">
            <v>0.22</v>
          </cell>
          <cell r="AD45">
            <v>0.28000000000000003</v>
          </cell>
          <cell r="AE45">
            <v>0.34</v>
          </cell>
          <cell r="AF45">
            <v>0.37</v>
          </cell>
          <cell r="AG45">
            <v>1.2</v>
          </cell>
        </row>
        <row r="47">
          <cell r="D47">
            <v>9.753999999999996</v>
          </cell>
          <cell r="E47">
            <v>9.9630000000000116</v>
          </cell>
          <cell r="F47">
            <v>10.383999999999991</v>
          </cell>
          <cell r="G47">
            <v>7.5479999999999983</v>
          </cell>
          <cell r="H47">
            <v>37.649000000000029</v>
          </cell>
          <cell r="I47">
            <v>12.100000000000014</v>
          </cell>
          <cell r="J47">
            <v>3.3680000000000092</v>
          </cell>
          <cell r="K47">
            <v>10.935999999999989</v>
          </cell>
          <cell r="L47">
            <v>11.977000000000078</v>
          </cell>
          <cell r="M47">
            <v>38.381000000000007</v>
          </cell>
          <cell r="N47">
            <v>14.522999999999984</v>
          </cell>
          <cell r="O47">
            <v>16.466000000000015</v>
          </cell>
          <cell r="P47">
            <v>18.203000000000024</v>
          </cell>
          <cell r="Q47">
            <v>17.913000000000121</v>
          </cell>
          <cell r="R47">
            <v>67.105000000000032</v>
          </cell>
          <cell r="S47">
            <v>20.632999999999967</v>
          </cell>
          <cell r="T47">
            <v>17.900999999999993</v>
          </cell>
          <cell r="U47">
            <v>19.264000000000014</v>
          </cell>
          <cell r="V47">
            <v>21.85999999999969</v>
          </cell>
          <cell r="W47">
            <v>79.657999999999831</v>
          </cell>
          <cell r="X47">
            <v>19.485999999999976</v>
          </cell>
          <cell r="Y47">
            <v>19.706000000000017</v>
          </cell>
          <cell r="Z47">
            <v>20.78</v>
          </cell>
          <cell r="AA47">
            <v>16.814000000000021</v>
          </cell>
          <cell r="AB47">
            <v>76.786000000000087</v>
          </cell>
          <cell r="AC47">
            <v>14.53599999999998</v>
          </cell>
          <cell r="AD47">
            <v>18.174746471812014</v>
          </cell>
          <cell r="AE47">
            <v>22.686640793132348</v>
          </cell>
          <cell r="AF47">
            <v>28.338350461594921</v>
          </cell>
          <cell r="AG47">
            <v>83.738560915284268</v>
          </cell>
        </row>
        <row r="48">
          <cell r="D48">
            <v>0.34499999999999997</v>
          </cell>
          <cell r="E48">
            <v>0.34499999999999997</v>
          </cell>
          <cell r="F48">
            <v>0.34499999999999997</v>
          </cell>
          <cell r="G48">
            <v>0.30000000000000004</v>
          </cell>
          <cell r="H48">
            <v>1.335</v>
          </cell>
          <cell r="I48">
            <v>0.52900000000000003</v>
          </cell>
          <cell r="J48">
            <v>0.92600000000000005</v>
          </cell>
          <cell r="K48">
            <v>0.95299999999999996</v>
          </cell>
          <cell r="L48">
            <v>0.99199999999999999</v>
          </cell>
          <cell r="M48">
            <v>3.4</v>
          </cell>
          <cell r="N48">
            <v>0.64600000000000002</v>
          </cell>
          <cell r="O48">
            <v>0.65700000000000003</v>
          </cell>
          <cell r="P48">
            <v>0.67700000000000005</v>
          </cell>
          <cell r="Q48">
            <v>0.77999999999999969</v>
          </cell>
          <cell r="R48">
            <v>2.76</v>
          </cell>
          <cell r="S48">
            <v>0.92700000000000005</v>
          </cell>
          <cell r="T48">
            <v>1.083</v>
          </cell>
          <cell r="U48">
            <v>1.127</v>
          </cell>
          <cell r="V48">
            <v>1.1359999999999997</v>
          </cell>
          <cell r="W48">
            <v>4.2729999999999997</v>
          </cell>
          <cell r="X48">
            <v>1.369</v>
          </cell>
          <cell r="Y48">
            <v>1.43</v>
          </cell>
          <cell r="Z48">
            <v>1.778</v>
          </cell>
          <cell r="AA48">
            <v>2.0139999999999998</v>
          </cell>
          <cell r="AB48">
            <v>6.5909999999999993</v>
          </cell>
          <cell r="AC48">
            <v>2.6150000000000002</v>
          </cell>
          <cell r="AD48">
            <v>2.9217499999999998</v>
          </cell>
          <cell r="AE48">
            <v>3.3342499999999999</v>
          </cell>
          <cell r="AF48">
            <v>3.3342499999999999</v>
          </cell>
          <cell r="AG48">
            <v>12.205249999999999</v>
          </cell>
        </row>
        <row r="49">
          <cell r="D49">
            <v>10.098999999999997</v>
          </cell>
          <cell r="E49">
            <v>10.308000000000012</v>
          </cell>
          <cell r="F49">
            <v>10.728999999999992</v>
          </cell>
          <cell r="G49">
            <v>7.8479999999999981</v>
          </cell>
          <cell r="H49">
            <v>38.98400000000003</v>
          </cell>
          <cell r="I49">
            <v>12.629000000000014</v>
          </cell>
          <cell r="J49">
            <v>4.2940000000000094</v>
          </cell>
          <cell r="K49">
            <v>11.888999999999989</v>
          </cell>
          <cell r="L49">
            <v>12.969000000000079</v>
          </cell>
          <cell r="M49">
            <v>41.781000000000006</v>
          </cell>
          <cell r="N49">
            <v>15.168999999999984</v>
          </cell>
          <cell r="O49">
            <v>17.123000000000015</v>
          </cell>
          <cell r="P49">
            <v>18.880000000000024</v>
          </cell>
          <cell r="Q49">
            <v>18.693000000000122</v>
          </cell>
          <cell r="R49">
            <v>69.865000000000038</v>
          </cell>
          <cell r="S49">
            <v>21.559999999999967</v>
          </cell>
          <cell r="T49">
            <v>18.983999999999991</v>
          </cell>
          <cell r="U49">
            <v>20.391000000000012</v>
          </cell>
          <cell r="V49">
            <v>22.99599999999969</v>
          </cell>
          <cell r="W49">
            <v>83.930999999999827</v>
          </cell>
          <cell r="X49">
            <v>20.854999999999976</v>
          </cell>
          <cell r="Y49">
            <v>21.136000000000017</v>
          </cell>
          <cell r="Z49">
            <v>22.558</v>
          </cell>
          <cell r="AA49">
            <v>18.828000000000021</v>
          </cell>
          <cell r="AB49">
            <v>83.377000000000081</v>
          </cell>
          <cell r="AC49">
            <v>17.150999999999982</v>
          </cell>
          <cell r="AD49">
            <v>21.096496471812014</v>
          </cell>
          <cell r="AE49">
            <v>26.020890793132349</v>
          </cell>
          <cell r="AF49">
            <v>31.672600461594921</v>
          </cell>
          <cell r="AG49">
            <v>95.943810915284274</v>
          </cell>
        </row>
        <row r="53">
          <cell r="D53">
            <v>0.12370288459426007</v>
          </cell>
          <cell r="E53">
            <v>0.11752835428837242</v>
          </cell>
          <cell r="F53">
            <v>0.11776611947876116</v>
          </cell>
          <cell r="G53">
            <v>0.12210022504264137</v>
          </cell>
          <cell r="H53">
            <v>0.12023630949428472</v>
          </cell>
          <cell r="I53">
            <v>0.12836657835648019</v>
          </cell>
          <cell r="J53">
            <v>0.10951350596775324</v>
          </cell>
          <cell r="K53">
            <v>0.11053575174991889</v>
          </cell>
          <cell r="L53">
            <v>0.11211540499487825</v>
          </cell>
          <cell r="M53">
            <v>0.1144537460254372</v>
          </cell>
          <cell r="N53">
            <v>0.11195052109721262</v>
          </cell>
          <cell r="O53">
            <v>0.11304506201052242</v>
          </cell>
          <cell r="P53">
            <v>0.11548026365237631</v>
          </cell>
          <cell r="Q53">
            <v>0.11618574998664431</v>
          </cell>
          <cell r="R53">
            <v>0.1143044224756767</v>
          </cell>
          <cell r="S53">
            <v>0.11459936449055404</v>
          </cell>
          <cell r="T53">
            <v>0.10779813241960928</v>
          </cell>
          <cell r="U53">
            <v>0.10850615259538937</v>
          </cell>
          <cell r="V53">
            <v>0.111916759044643</v>
          </cell>
          <cell r="W53">
            <v>0.1107277206150452</v>
          </cell>
          <cell r="X53">
            <v>0.10719937793307292</v>
          </cell>
          <cell r="Y53">
            <v>0.10461122312134515</v>
          </cell>
          <cell r="Z53">
            <v>0.11774608720939478</v>
          </cell>
          <cell r="AA53">
            <v>0.11350170957273738</v>
          </cell>
          <cell r="AB53">
            <v>0.11088123944452177</v>
          </cell>
          <cell r="AC53">
            <v>0.10960038295520612</v>
          </cell>
          <cell r="AD53">
            <v>0.10622283715192442</v>
          </cell>
          <cell r="AE53">
            <v>0.10989954334752756</v>
          </cell>
          <cell r="AF53">
            <v>0.11089460378896267</v>
          </cell>
          <cell r="AG53">
            <v>0.10921088726289831</v>
          </cell>
        </row>
        <row r="54">
          <cell r="D54">
            <v>7.3956632223385763E-2</v>
          </cell>
          <cell r="E54">
            <v>7.051290821282484E-2</v>
          </cell>
          <cell r="F54">
            <v>7.2628194279911948E-2</v>
          </cell>
          <cell r="G54">
            <v>5.0897252145039006E-2</v>
          </cell>
          <cell r="H54">
            <v>0</v>
          </cell>
          <cell r="I54">
            <v>7.5018117448588106E-2</v>
          </cell>
          <cell r="J54">
            <v>2.1408130502846821E-2</v>
          </cell>
          <cell r="K54">
            <v>5.6688790982434005E-2</v>
          </cell>
          <cell r="L54">
            <v>5.726535730686387E-2</v>
          </cell>
          <cell r="M54">
            <v>5.1894127583465822E-2</v>
          </cell>
          <cell r="N54">
            <v>5.6928510041019696E-2</v>
          </cell>
          <cell r="O54">
            <v>5.8842126605246112E-2</v>
          </cell>
          <cell r="P54">
            <v>6.169753177194142E-2</v>
          </cell>
          <cell r="Q54">
            <v>5.5481025507084995E-2</v>
          </cell>
          <cell r="R54">
            <v>5.8201869224277787E-2</v>
          </cell>
          <cell r="S54">
            <v>6.1332066486690907E-2</v>
          </cell>
          <cell r="T54">
            <v>5.4161543136085698E-2</v>
          </cell>
          <cell r="U54">
            <v>5.6196001157487185E-2</v>
          </cell>
          <cell r="V54">
            <v>5.7936108031844451E-2</v>
          </cell>
          <cell r="W54">
            <v>5.7415767154577323E-2</v>
          </cell>
          <cell r="X54">
            <v>5.1975984627769145E-2</v>
          </cell>
          <cell r="Y54">
            <v>4.8205960971782584E-2</v>
          </cell>
          <cell r="Z54">
            <v>5.1249662053939597E-2</v>
          </cell>
          <cell r="AA54">
            <v>4.0951444654213943E-2</v>
          </cell>
          <cell r="AB54">
            <v>4.7928338290360348E-2</v>
          </cell>
          <cell r="AC54">
            <v>3.5236398824015198E-2</v>
          </cell>
          <cell r="AD54">
            <v>3.7521305488578224E-2</v>
          </cell>
          <cell r="AE54">
            <v>4.3858416824735957E-2</v>
          </cell>
          <cell r="AF54">
            <v>4.9291487906861262E-2</v>
          </cell>
          <cell r="AG54">
            <v>4.1991387557733705E-2</v>
          </cell>
        </row>
        <row r="55">
          <cell r="D55">
            <v>7.1430140677978482E-2</v>
          </cell>
          <cell r="E55">
            <v>6.8152901098600491E-2</v>
          </cell>
          <cell r="F55">
            <v>7.0292773734980482E-2</v>
          </cell>
          <cell r="G55">
            <v>4.8951638530932005E-2</v>
          </cell>
          <cell r="H55">
            <v>2.2833900902580486E-3</v>
          </cell>
          <cell r="I55">
            <v>7.1875779644304069E-2</v>
          </cell>
          <cell r="J55">
            <v>1.6791472644058718E-2</v>
          </cell>
          <cell r="K55">
            <v>5.2144723541416291E-2</v>
          </cell>
          <cell r="L55">
            <v>5.2885124871949178E-2</v>
          </cell>
          <cell r="M55">
            <v>4.7671154610492858E-2</v>
          </cell>
          <cell r="N55">
            <v>5.4504103851653302E-2</v>
          </cell>
          <cell r="O55">
            <v>5.6584386887927496E-2</v>
          </cell>
          <cell r="P55">
            <v>5.9485178540500519E-2</v>
          </cell>
          <cell r="Q55">
            <v>5.3165977098829177E-2</v>
          </cell>
          <cell r="R55">
            <v>5.5902618396839056E-2</v>
          </cell>
          <cell r="S55">
            <v>5.8695015205004329E-2</v>
          </cell>
          <cell r="T55">
            <v>5.1071733232146553E-2</v>
          </cell>
          <cell r="U55">
            <v>5.309007730360616E-2</v>
          </cell>
          <cell r="V55">
            <v>5.5074070341629797E-2</v>
          </cell>
          <cell r="W55">
            <v>5.4492680654338925E-2</v>
          </cell>
          <cell r="X55">
            <v>4.8564087099338744E-2</v>
          </cell>
          <cell r="Y55">
            <v>4.4944486511636433E-2</v>
          </cell>
          <cell r="Z55">
            <v>4.7210212673147664E-2</v>
          </cell>
          <cell r="AA55">
            <v>3.657093639345408E-2</v>
          </cell>
          <cell r="AB55">
            <v>4.4139575470017033E-2</v>
          </cell>
          <cell r="AC55">
            <v>2.9863931741932529E-2</v>
          </cell>
          <cell r="AD55">
            <v>3.2324808787918366E-2</v>
          </cell>
          <cell r="AE55">
            <v>3.823851213121672E-2</v>
          </cell>
          <cell r="AF55">
            <v>4.4102455710002736E-2</v>
          </cell>
          <cell r="AG55">
            <v>3.664955906353759E-2</v>
          </cell>
        </row>
        <row r="56">
          <cell r="D56">
            <v>8.02472300132549E-2</v>
          </cell>
          <cell r="E56">
            <v>7.8680585008140388E-2</v>
          </cell>
          <cell r="F56">
            <v>8.3973599593839848E-2</v>
          </cell>
          <cell r="G56">
            <v>6.293411503764762E-2</v>
          </cell>
          <cell r="H56">
            <v>7.623102092337905E-2</v>
          </cell>
          <cell r="I56">
            <v>8.300167512147609E-2</v>
          </cell>
          <cell r="J56">
            <v>2.446429817826486E-2</v>
          </cell>
          <cell r="K56">
            <v>5.8777250100131552E-2</v>
          </cell>
          <cell r="L56">
            <v>5.8046910876400057E-2</v>
          </cell>
          <cell r="M56">
            <v>5.5088682432432444E-2</v>
          </cell>
          <cell r="N56">
            <v>5.7757912158434503E-2</v>
          </cell>
          <cell r="O56">
            <v>5.8890236736208759E-2</v>
          </cell>
          <cell r="P56">
            <v>6.1145260433516736E-2</v>
          </cell>
          <cell r="Q56">
            <v>5.4905231415800851E-2</v>
          </cell>
          <cell r="R56">
            <v>5.8095237301845841E-2</v>
          </cell>
          <cell r="S56">
            <v>6.000642905706205E-2</v>
          </cell>
          <cell r="T56">
            <v>5.2073139766110207E-2</v>
          </cell>
          <cell r="U56">
            <v>5.3768034063193318E-2</v>
          </cell>
          <cell r="V56">
            <v>5.56888037891759E-2</v>
          </cell>
          <cell r="W56">
            <v>5.5383356671963639E-2</v>
          </cell>
          <cell r="X56">
            <v>4.8803343609732694E-2</v>
          </cell>
          <cell r="Y56">
            <v>4.4748341893753513E-2</v>
          </cell>
          <cell r="Z56">
            <v>4.6319625408091175E-2</v>
          </cell>
          <cell r="AA56">
            <v>3.6172906099651174E-2</v>
          </cell>
          <cell r="AB56">
            <v>4.381479152319652E-2</v>
          </cell>
          <cell r="AC56">
            <v>3.1887595250862329E-2</v>
          </cell>
          <cell r="AD56">
            <v>3.3954450313180305E-2</v>
          </cell>
          <cell r="AE56">
            <v>3.872967144892249E-2</v>
          </cell>
          <cell r="AF56">
            <v>4.3772092708943562E-2</v>
          </cell>
          <cell r="AG56">
            <v>3.7516312127931682E-2</v>
          </cell>
        </row>
        <row r="57">
          <cell r="D57">
            <v>4.9511911126082886E-2</v>
          </cell>
          <cell r="E57">
            <v>4.8547740549710713E-2</v>
          </cell>
          <cell r="F57">
            <v>5.1812489422914131E-2</v>
          </cell>
          <cell r="G57">
            <v>4.2589482012802153E-2</v>
          </cell>
          <cell r="H57">
            <v>4.8026449696146681E-2</v>
          </cell>
          <cell r="I57">
            <v>5.1875304432537829E-2</v>
          </cell>
          <cell r="J57">
            <v>1.5290809560370574E-2</v>
          </cell>
          <cell r="K57">
            <v>3.6733993248269106E-2</v>
          </cell>
          <cell r="L57">
            <v>3.6278215408527659E-2</v>
          </cell>
          <cell r="M57">
            <v>3.4429650238473782E-2</v>
          </cell>
          <cell r="N57">
            <v>3.6099633336710922E-2</v>
          </cell>
          <cell r="O57">
            <v>3.6804250186426808E-2</v>
          </cell>
          <cell r="P57">
            <v>3.8217830194536839E-2</v>
          </cell>
          <cell r="Q57">
            <v>3.4316140636223146E-2</v>
          </cell>
          <cell r="R57">
            <v>3.6309835711863914E-2</v>
          </cell>
          <cell r="S57">
            <v>3.7504729339542305E-2</v>
          </cell>
          <cell r="T57">
            <v>3.2544285848784743E-2</v>
          </cell>
          <cell r="U57">
            <v>3.3605710269942572E-2</v>
          </cell>
          <cell r="V57">
            <v>3.4805502368234639E-2</v>
          </cell>
          <cell r="W57">
            <v>3.4614597919977237E-2</v>
          </cell>
          <cell r="X57">
            <v>3.0502712819912063E-2</v>
          </cell>
          <cell r="Y57">
            <v>2.7743059673578898E-2</v>
          </cell>
          <cell r="Z57">
            <v>2.8719167391783429E-2</v>
          </cell>
          <cell r="AA57">
            <v>2.6063371642842895E-2</v>
          </cell>
          <cell r="AB57">
            <v>2.8182624001361227E-2</v>
          </cell>
          <cell r="AC57">
            <v>1.9770267965920234E-2</v>
          </cell>
          <cell r="AD57">
            <v>2.1051759194171786E-2</v>
          </cell>
          <cell r="AE57">
            <v>2.4012396298331944E-2</v>
          </cell>
          <cell r="AF57">
            <v>2.7138697479545008E-2</v>
          </cell>
          <cell r="AG57">
            <v>2.3259338684683276E-2</v>
          </cell>
        </row>
        <row r="59">
          <cell r="D59">
            <v>0.87629711540573996</v>
          </cell>
          <cell r="E59">
            <v>0.88247164571162762</v>
          </cell>
          <cell r="F59">
            <v>0.88223388052123886</v>
          </cell>
          <cell r="G59">
            <v>0.8778997749573586</v>
          </cell>
          <cell r="H59">
            <v>0.87976369050571523</v>
          </cell>
          <cell r="I59">
            <v>0.87163342164351987</v>
          </cell>
          <cell r="J59">
            <v>0.89048649403224678</v>
          </cell>
          <cell r="K59">
            <v>0.88946424825008108</v>
          </cell>
          <cell r="L59">
            <v>0.88788459500512174</v>
          </cell>
          <cell r="M59">
            <v>0.88554625397456277</v>
          </cell>
          <cell r="N59">
            <v>0.8880494789027874</v>
          </cell>
          <cell r="O59">
            <v>0.88695493798947755</v>
          </cell>
          <cell r="P59">
            <v>0.88451973634762371</v>
          </cell>
          <cell r="Q59">
            <v>0.88381425001335567</v>
          </cell>
          <cell r="R59">
            <v>0.88569557752432326</v>
          </cell>
          <cell r="S59">
            <v>0.88540063550944592</v>
          </cell>
          <cell r="T59">
            <v>0.89220186758039066</v>
          </cell>
          <cell r="U59">
            <v>0.89149384740461057</v>
          </cell>
          <cell r="V59">
            <v>0.88808324095535696</v>
          </cell>
          <cell r="W59">
            <v>0.88927227938495479</v>
          </cell>
          <cell r="X59">
            <v>0.89280062206692712</v>
          </cell>
          <cell r="Y59">
            <v>0.89538877687865481</v>
          </cell>
          <cell r="Z59">
            <v>0.88225391279060517</v>
          </cell>
          <cell r="AA59">
            <v>0.88649829042726258</v>
          </cell>
          <cell r="AB59">
            <v>0.88911876055547823</v>
          </cell>
          <cell r="AC59">
            <v>0.89039961704479387</v>
          </cell>
          <cell r="AD59">
            <v>0.89377716284807551</v>
          </cell>
          <cell r="AE59">
            <v>0.89010045665247239</v>
          </cell>
          <cell r="AF59">
            <v>0.88910539621103735</v>
          </cell>
          <cell r="AG59">
            <v>0.89078911273710182</v>
          </cell>
        </row>
        <row r="60">
          <cell r="H60">
            <v>5.3557898049625671E-2</v>
          </cell>
          <cell r="I60">
            <v>5.3348460907892074E-2</v>
          </cell>
          <cell r="J60">
            <v>7.8039465943423508E-2</v>
          </cell>
          <cell r="K60">
            <v>5.3846960767484887E-2</v>
          </cell>
          <cell r="L60">
            <v>5.4850047688014374E-2</v>
          </cell>
          <cell r="M60">
            <v>6.0051917726550073E-2</v>
          </cell>
          <cell r="N60">
            <v>5.5022011056192935E-2</v>
          </cell>
          <cell r="O60">
            <v>5.4202935405276299E-2</v>
          </cell>
          <cell r="P60">
            <v>5.3782731880434878E-2</v>
          </cell>
          <cell r="Q60">
            <v>5.3623050758920369E-2</v>
          </cell>
          <cell r="R60">
            <v>5.4114867572316018E-2</v>
          </cell>
          <cell r="S60">
            <v>5.326729800386313E-2</v>
          </cell>
          <cell r="T60">
            <v>5.3636589283523585E-2</v>
          </cell>
          <cell r="U60">
            <v>5.2310151437902193E-2</v>
          </cell>
          <cell r="V60">
            <v>5.3980651012798558E-2</v>
          </cell>
          <cell r="W60">
            <v>5.3311953460467874E-2</v>
          </cell>
          <cell r="X60">
            <v>5.5223393305303771E-2</v>
          </cell>
          <cell r="Y60">
            <v>5.3401512594309072E-2</v>
          </cell>
          <cell r="Z60">
            <v>6.6496425155455188E-2</v>
          </cell>
          <cell r="AA60">
            <v>7.2550264918523413E-2</v>
          </cell>
          <cell r="AB60">
            <v>6.2195838396705484E-2</v>
          </cell>
          <cell r="AC60">
            <v>7.4363984131190913E-2</v>
          </cell>
          <cell r="AD60">
            <v>6.8701531663346194E-2</v>
          </cell>
          <cell r="AE60">
            <v>6.6041126522791607E-2</v>
          </cell>
          <cell r="AF60">
            <v>6.1603115882101413E-2</v>
          </cell>
          <cell r="AG60">
            <v>6.7219499705164609E-2</v>
          </cell>
        </row>
        <row r="61">
          <cell r="D61">
            <v>5.2272743916281589E-2</v>
          </cell>
          <cell r="E61">
            <v>4.9375453189771934E-2</v>
          </cell>
          <cell r="F61">
            <v>4.7473345743780676E-2</v>
          </cell>
          <cell r="G61">
            <v>7.3148586511709357E-2</v>
          </cell>
          <cell r="H61">
            <v>5.5841288139883719E-2</v>
          </cell>
          <cell r="I61">
            <v>5.6490798712176112E-2</v>
          </cell>
          <cell r="J61">
            <v>9.2722033323694511E-2</v>
          </cell>
          <cell r="K61">
            <v>5.8391028208502602E-2</v>
          </cell>
          <cell r="L61">
            <v>5.9230280122929073E-2</v>
          </cell>
          <cell r="M61">
            <v>6.6782591414944345E-2</v>
          </cell>
          <cell r="N61">
            <v>5.7446417245559322E-2</v>
          </cell>
          <cell r="O61">
            <v>5.6460675122594915E-2</v>
          </cell>
          <cell r="P61">
            <v>5.5995085111875786E-2</v>
          </cell>
          <cell r="Q61">
            <v>6.3019772887815143E-2</v>
          </cell>
          <cell r="R61">
            <v>5.8401804078837646E-2</v>
          </cell>
          <cell r="S61">
            <v>5.5904349285549701E-2</v>
          </cell>
          <cell r="T61">
            <v>5.672639918746273E-2</v>
          </cell>
          <cell r="U61">
            <v>5.5416075291783218E-2</v>
          </cell>
          <cell r="V61">
            <v>5.6842688703013206E-2</v>
          </cell>
          <cell r="W61">
            <v>5.6235039960706279E-2</v>
          </cell>
          <cell r="X61">
            <v>5.8635290833734172E-2</v>
          </cell>
          <cell r="Y61">
            <v>5.9666736609708705E-2</v>
          </cell>
          <cell r="Z61">
            <v>7.0535874536247128E-2</v>
          </cell>
          <cell r="AA61">
            <v>7.6930773179283291E-2</v>
          </cell>
          <cell r="AB61">
            <v>6.6741663974504747E-2</v>
          </cell>
          <cell r="AC61">
            <v>7.9736451213273593E-2</v>
          </cell>
          <cell r="AD61">
            <v>7.3898028364006052E-2</v>
          </cell>
          <cell r="AE61">
            <v>7.1661031216310844E-2</v>
          </cell>
          <cell r="AF61">
            <v>6.6792148078959931E-2</v>
          </cell>
          <cell r="AG61">
            <v>7.2561328199360717E-2</v>
          </cell>
        </row>
        <row r="62">
          <cell r="D62">
            <v>0.3830078481474723</v>
          </cell>
          <cell r="E62">
            <v>0.39</v>
          </cell>
          <cell r="F62">
            <v>0.39</v>
          </cell>
          <cell r="G62">
            <v>0.39</v>
          </cell>
          <cell r="H62">
            <v>0.36998810832641493</v>
          </cell>
          <cell r="I62">
            <v>0.36599999999999999</v>
          </cell>
          <cell r="J62">
            <v>0.37497452618707899</v>
          </cell>
          <cell r="K62">
            <v>0.35</v>
          </cell>
          <cell r="L62">
            <v>0.36</v>
          </cell>
          <cell r="M62">
            <v>0.37501409149324727</v>
          </cell>
          <cell r="N62">
            <v>0.37498375568551051</v>
          </cell>
          <cell r="O62">
            <v>0.37503647079418767</v>
          </cell>
          <cell r="P62">
            <v>0.37496659718881892</v>
          </cell>
          <cell r="Q62">
            <v>0.37499324287799091</v>
          </cell>
          <cell r="R62">
            <v>0.37499462265368433</v>
          </cell>
          <cell r="S62">
            <v>0.37498814828861349</v>
          </cell>
          <cell r="T62">
            <v>0.37502739425816367</v>
          </cell>
          <cell r="U62">
            <v>0.37498718605843134</v>
          </cell>
          <cell r="V62">
            <v>0.37500000000000533</v>
          </cell>
          <cell r="W62">
            <v>0.37500000000000072</v>
          </cell>
          <cell r="X62">
            <v>0.37498723317332289</v>
          </cell>
          <cell r="Y62">
            <v>0.38002038735983662</v>
          </cell>
          <cell r="Z62">
            <v>0.37997841867765347</v>
          </cell>
          <cell r="AA62">
            <v>0.27947808309782896</v>
          </cell>
          <cell r="AB62">
            <v>0.35677831568727741</v>
          </cell>
          <cell r="AC62">
            <v>0.38000128857676746</v>
          </cell>
          <cell r="AD62">
            <v>0.38</v>
          </cell>
          <cell r="AE62">
            <v>0.38</v>
          </cell>
          <cell r="AF62">
            <v>0.38</v>
          </cell>
          <cell r="AG62">
            <v>0.37998771786596269</v>
          </cell>
        </row>
        <row r="63">
          <cell r="AD63">
            <v>0.90322580645161299</v>
          </cell>
        </row>
        <row r="64">
          <cell r="I64">
            <v>0.23282534986415526</v>
          </cell>
          <cell r="J64">
            <v>0.37207393320837823</v>
          </cell>
          <cell r="K64">
            <v>0.4196919952614655</v>
          </cell>
          <cell r="L64">
            <v>0.46875668804679926</v>
          </cell>
          <cell r="M64">
            <v>0.37708092095023238</v>
          </cell>
          <cell r="N64">
            <v>0.58279376997374444</v>
          </cell>
          <cell r="O64">
            <v>0.45080218169490194</v>
          </cell>
          <cell r="P64">
            <v>0.45910339303084058</v>
          </cell>
          <cell r="Q64">
            <v>0.48771592073192238</v>
          </cell>
          <cell r="R64">
            <v>0.49094669117647061</v>
          </cell>
          <cell r="S64">
            <v>0.31927102684485686</v>
          </cell>
          <cell r="T64">
            <v>0.20449554809466686</v>
          </cell>
          <cell r="U64">
            <v>0.18576577813070849</v>
          </cell>
          <cell r="V64">
            <v>0.17806283872422957</v>
          </cell>
          <cell r="W64">
            <v>0.21777904032935913</v>
          </cell>
          <cell r="X64">
            <v>0.14142218707418164</v>
          </cell>
          <cell r="Y64">
            <v>0.25090797045422764</v>
          </cell>
          <cell r="Z64">
            <v>0.21304377781758554</v>
          </cell>
          <cell r="AA64">
            <v>0.15832913433437512</v>
          </cell>
          <cell r="AB64">
            <v>0.19004303565919267</v>
          </cell>
          <cell r="AC64">
            <v>0.21308284505897923</v>
          </cell>
          <cell r="AD64">
            <v>0.28236111774857897</v>
          </cell>
          <cell r="AE64">
            <v>0.34790605094505622</v>
          </cell>
          <cell r="AF64">
            <v>0.39758049818811392</v>
          </cell>
          <cell r="AG64">
            <v>0.31341764481971612</v>
          </cell>
        </row>
        <row r="65">
          <cell r="I65">
            <v>0.27930381245560132</v>
          </cell>
          <cell r="J65">
            <v>0.27850532565042752</v>
          </cell>
          <cell r="K65">
            <v>0.33252859688452019</v>
          </cell>
          <cell r="L65">
            <v>0.34864821798481316</v>
          </cell>
          <cell r="M65">
            <v>0.31085252571233424</v>
          </cell>
          <cell r="N65">
            <v>0.38037945395649997</v>
          </cell>
          <cell r="O65">
            <v>0.49758718018756265</v>
          </cell>
          <cell r="P65">
            <v>0.52437235786386172</v>
          </cell>
          <cell r="Q65">
            <v>0.54172738371864093</v>
          </cell>
          <cell r="R65">
            <v>0.48900150842657042</v>
          </cell>
          <cell r="S65">
            <v>0.35048608783104229</v>
          </cell>
          <cell r="T65">
            <v>0.14858949416342337</v>
          </cell>
          <cell r="U65">
            <v>0.1141547342803777</v>
          </cell>
          <cell r="V65">
            <v>0.13477749961680741</v>
          </cell>
          <cell r="W65">
            <v>0.17967349318562631</v>
          </cell>
          <cell r="X65">
            <v>6.7717512721856998E-2</v>
          </cell>
          <cell r="Y65">
            <v>0.21392652974804216</v>
          </cell>
          <cell r="Z65">
            <v>0.31634156253174783</v>
          </cell>
          <cell r="AA65">
            <v>0.17473324028635351</v>
          </cell>
          <cell r="AB65">
            <v>0.19169297492323922</v>
          </cell>
          <cell r="AC65">
            <v>0.24025294678353082</v>
          </cell>
          <cell r="AD65">
            <v>0.30211684861538757</v>
          </cell>
          <cell r="AE65">
            <v>0.25808222578806417</v>
          </cell>
          <cell r="AF65">
            <v>0.36547842489042548</v>
          </cell>
          <cell r="AG65">
            <v>0.29363188088527648</v>
          </cell>
        </row>
        <row r="66">
          <cell r="I66">
            <v>0.2505198534508386</v>
          </cell>
          <cell r="J66">
            <v>-0.58343034536282457</v>
          </cell>
          <cell r="K66">
            <v>0.10811818436014509</v>
          </cell>
          <cell r="L66">
            <v>0.65252293577982701</v>
          </cell>
          <cell r="M66">
            <v>7.1747383541965304E-2</v>
          </cell>
          <cell r="N66">
            <v>0.20112439623089462</v>
          </cell>
          <cell r="O66">
            <v>2.9876571960875591</v>
          </cell>
          <cell r="P66">
            <v>0.58802254184540681</v>
          </cell>
          <cell r="Q66">
            <v>0.44136016655100674</v>
          </cell>
          <cell r="R66">
            <v>0.67217156123596911</v>
          </cell>
          <cell r="S66">
            <v>0.42131979695431387</v>
          </cell>
          <cell r="T66">
            <v>0.1086842258949936</v>
          </cell>
          <cell r="U66">
            <v>8.0031779661016156E-2</v>
          </cell>
          <cell r="V66">
            <v>0.23019312041938367</v>
          </cell>
          <cell r="W66">
            <v>0.20133113862448693</v>
          </cell>
          <cell r="X66">
            <v>-3.2699443413728768E-2</v>
          </cell>
          <cell r="Y66">
            <v>0.11335861778339806</v>
          </cell>
          <cell r="Z66">
            <v>0.10627237506743104</v>
          </cell>
          <cell r="AA66">
            <v>-0.18124891285439748</v>
          </cell>
          <cell r="AB66">
            <v>-6.6006600660035719E-3</v>
          </cell>
          <cell r="AC66">
            <v>-0.17760728842004303</v>
          </cell>
          <cell r="AD66">
            <v>-1.869016284443803E-3</v>
          </cell>
          <cell r="AE66">
            <v>0.15351054141024689</v>
          </cell>
          <cell r="AF66">
            <v>0.68220737527060149</v>
          </cell>
          <cell r="AG66">
            <v>0.15072275226122533</v>
          </cell>
        </row>
        <row r="67">
          <cell r="I67">
            <v>0.24051671109288697</v>
          </cell>
          <cell r="J67">
            <v>-0.66194921208471291</v>
          </cell>
          <cell r="K67">
            <v>5.3158705701078501E-2</v>
          </cell>
          <cell r="L67">
            <v>0.58677795442502401</v>
          </cell>
          <cell r="M67">
            <v>1.9442747483332301E-2</v>
          </cell>
          <cell r="N67">
            <v>0.20024793388429485</v>
          </cell>
          <cell r="O67">
            <v>3.8889548693586606</v>
          </cell>
          <cell r="P67">
            <v>0.66450256035113764</v>
          </cell>
          <cell r="Q67">
            <v>0.49561659848042106</v>
          </cell>
          <cell r="R67">
            <v>0.74839113102837396</v>
          </cell>
          <cell r="S67">
            <v>0.42071197411003181</v>
          </cell>
          <cell r="T67">
            <v>8.714927729867461E-2</v>
          </cell>
          <cell r="U67">
            <v>5.8287095533702482E-2</v>
          </cell>
          <cell r="V67">
            <v>0.2203427678222265</v>
          </cell>
          <cell r="W67">
            <v>0.18706504731390794</v>
          </cell>
          <cell r="X67">
            <v>-5.5590558813550794E-2</v>
          </cell>
          <cell r="Y67">
            <v>0.10083235573431804</v>
          </cell>
          <cell r="Z67">
            <v>7.8696013289035749E-2</v>
          </cell>
          <cell r="AA67">
            <v>-0.23083257090575204</v>
          </cell>
          <cell r="AB67">
            <v>-3.6054131411782264E-2</v>
          </cell>
          <cell r="AC67">
            <v>-0.25402853330596331</v>
          </cell>
          <cell r="AD67">
            <v>-7.7704939012889551E-2</v>
          </cell>
          <cell r="AE67">
            <v>9.1753647407716299E-2</v>
          </cell>
          <cell r="AF67">
            <v>0.68540207336712777</v>
          </cell>
          <cell r="AG67">
            <v>9.0544642451542812E-2</v>
          </cell>
        </row>
        <row r="68">
          <cell r="I68">
            <v>0.27514144916955807</v>
          </cell>
          <cell r="J68">
            <v>-0.57337854286211054</v>
          </cell>
          <cell r="K68">
            <v>-6.2877871825877119E-3</v>
          </cell>
          <cell r="L68">
            <v>0.35469909315746917</v>
          </cell>
          <cell r="M68">
            <v>-4.8464179137970298E-3</v>
          </cell>
          <cell r="N68">
            <v>0.10140986187647383</v>
          </cell>
          <cell r="O68">
            <v>2.4923578561239013</v>
          </cell>
          <cell r="P68">
            <v>0.51788756388416002</v>
          </cell>
          <cell r="Q68">
            <v>0.40719610527917305</v>
          </cell>
          <cell r="R68">
            <v>0.57231754334543372</v>
          </cell>
          <cell r="S68">
            <v>0.3706302794022085</v>
          </cell>
          <cell r="T68">
            <v>6.5063896831416113E-2</v>
          </cell>
          <cell r="U68">
            <v>4.2702153813264365E-2</v>
          </cell>
          <cell r="V68">
            <v>0.19487539867017389</v>
          </cell>
          <cell r="W68">
            <v>0.1609332205285543</v>
          </cell>
          <cell r="X68">
            <v>-7.167915046932738E-2</v>
          </cell>
          <cell r="Y68">
            <v>7.4950690335306991E-2</v>
          </cell>
          <cell r="Z68">
            <v>4.500256278831305E-2</v>
          </cell>
          <cell r="AA68">
            <v>-0.24760224393773733</v>
          </cell>
          <cell r="AB68">
            <v>-5.8535079051380556E-2</v>
          </cell>
          <cell r="AC68">
            <v>-0.20738433255030142</v>
          </cell>
          <cell r="AD68">
            <v>-2.6961335024872635E-2</v>
          </cell>
          <cell r="AE68">
            <v>0.12703757936689941</v>
          </cell>
          <cell r="AF68">
            <v>0.69118353295621926</v>
          </cell>
          <cell r="AG68">
            <v>0.12461076737754939</v>
          </cell>
        </row>
        <row r="69">
          <cell r="I69">
            <v>0.29167282946309969</v>
          </cell>
          <cell r="J69">
            <v>-0.56784556855009094</v>
          </cell>
          <cell r="K69">
            <v>6.532532009406733E-3</v>
          </cell>
          <cell r="L69">
            <v>0.25110400487286078</v>
          </cell>
          <cell r="M69">
            <v>-1.2785355603832871E-2</v>
          </cell>
          <cell r="N69">
            <v>0.10145425397915586</v>
          </cell>
          <cell r="O69">
            <v>2.4920117378545754</v>
          </cell>
          <cell r="P69">
            <v>0.51804257528557107</v>
          </cell>
          <cell r="Q69">
            <v>0.40725413826679779</v>
          </cell>
          <cell r="R69">
            <v>0.5723665223665233</v>
          </cell>
          <cell r="S69">
            <v>0.37062064663686356</v>
          </cell>
          <cell r="T69">
            <v>6.507936507936285E-2</v>
          </cell>
          <cell r="U69">
            <v>4.2667806755022575E-2</v>
          </cell>
          <cell r="V69">
            <v>0.19486248053965949</v>
          </cell>
          <cell r="W69">
            <v>0.16092323223052785</v>
          </cell>
          <cell r="X69">
            <v>-7.167779126213536E-2</v>
          </cell>
          <cell r="Y69">
            <v>6.6362759708952668E-2</v>
          </cell>
          <cell r="Z69">
            <v>3.6657372478267058E-2</v>
          </cell>
          <cell r="AA69">
            <v>-0.13260948244659487</v>
          </cell>
          <cell r="AB69">
            <v>-3.1086956521735765E-2</v>
          </cell>
          <cell r="AC69">
            <v>-0.21374295285562561</v>
          </cell>
          <cell r="AD69">
            <v>-2.6929337699487577E-2</v>
          </cell>
          <cell r="AE69">
            <v>0.12699835014967586</v>
          </cell>
          <cell r="AF69">
            <v>0.45524204862628892</v>
          </cell>
          <cell r="AG69">
            <v>8.3973792994764596E-2</v>
          </cell>
        </row>
        <row r="70">
          <cell r="I70">
            <v>0.22598086998985734</v>
          </cell>
          <cell r="J70">
            <v>-0.58816351556004598</v>
          </cell>
          <cell r="K70">
            <v>-7.7874083610057765E-3</v>
          </cell>
          <cell r="L70">
            <v>0.31767518029379449</v>
          </cell>
          <cell r="M70">
            <v>-4.5104106764586982E-2</v>
          </cell>
          <cell r="N70">
            <v>0.10114500924119763</v>
          </cell>
          <cell r="O70">
            <v>2.5194231921513084</v>
          </cell>
          <cell r="P70">
            <v>0.52752308965398576</v>
          </cell>
          <cell r="Q70">
            <v>0.29739205235807264</v>
          </cell>
          <cell r="R70">
            <v>0.57842155192165023</v>
          </cell>
          <cell r="S70">
            <v>0.3893216967357076</v>
          </cell>
          <cell r="T70">
            <v>7.4936925357141915E-2</v>
          </cell>
          <cell r="U70">
            <v>4.8828645973783447E-2</v>
          </cell>
          <cell r="V70">
            <v>0.20722786743117161</v>
          </cell>
          <cell r="W70">
            <v>0.17293738879806164</v>
          </cell>
          <cell r="X70">
            <v>-7.264268698435894E-2</v>
          </cell>
          <cell r="Y70">
            <v>0.15071877150624124</v>
          </cell>
          <cell r="Z70">
            <v>2.7570684092425024E-2</v>
          </cell>
          <cell r="AA70">
            <v>-0.12281943540612794</v>
          </cell>
          <cell r="AB70">
            <v>-1.3500859022984035E-2</v>
          </cell>
          <cell r="AC70">
            <v>-0.22059028740859621</v>
          </cell>
          <cell r="AD70">
            <v>-0.10138549353737614</v>
          </cell>
          <cell r="AE70">
            <v>0.11983397916535443</v>
          </cell>
          <cell r="AF70">
            <v>0.42238057902242931</v>
          </cell>
          <cell r="AG70">
            <v>5.2353822431927322E-2</v>
          </cell>
        </row>
        <row r="76">
          <cell r="B76" t="str">
            <v>(In millions, except per share data)</v>
          </cell>
        </row>
        <row r="78">
          <cell r="B78" t="str">
            <v>BALANCE SHEET</v>
          </cell>
          <cell r="D78" t="str">
            <v>Fiscal Year End, December 2000</v>
          </cell>
          <cell r="I78" t="str">
            <v>Fiscal Year End, December 2001</v>
          </cell>
          <cell r="N78" t="str">
            <v>Fiscal Year End, December 2002</v>
          </cell>
          <cell r="S78" t="str">
            <v>Fiscal Year End, December 2003</v>
          </cell>
          <cell r="X78" t="str">
            <v>Fiscal Year End, December 2004</v>
          </cell>
          <cell r="AC78" t="str">
            <v>Fiscal Year End, December 2005</v>
          </cell>
        </row>
        <row r="79">
          <cell r="D79" t="str">
            <v>1QA</v>
          </cell>
          <cell r="E79" t="str">
            <v>2QA</v>
          </cell>
          <cell r="F79" t="str">
            <v>3QA</v>
          </cell>
          <cell r="G79" t="str">
            <v>4QA</v>
          </cell>
          <cell r="H79" t="str">
            <v>FY00</v>
          </cell>
          <cell r="I79" t="str">
            <v>1QA</v>
          </cell>
          <cell r="J79" t="str">
            <v>2QA</v>
          </cell>
          <cell r="K79" t="str">
            <v>3QA</v>
          </cell>
          <cell r="L79" t="str">
            <v>4QA</v>
          </cell>
          <cell r="M79" t="str">
            <v>FY01</v>
          </cell>
          <cell r="N79" t="str">
            <v>1QA</v>
          </cell>
          <cell r="O79" t="str">
            <v>2QA</v>
          </cell>
          <cell r="P79" t="str">
            <v>3QA</v>
          </cell>
          <cell r="Q79" t="str">
            <v>4QA</v>
          </cell>
          <cell r="R79" t="str">
            <v>FY02</v>
          </cell>
          <cell r="S79" t="str">
            <v>1QA</v>
          </cell>
          <cell r="T79" t="str">
            <v>2QA</v>
          </cell>
          <cell r="U79" t="str">
            <v>3QA</v>
          </cell>
          <cell r="V79" t="str">
            <v>4QA</v>
          </cell>
          <cell r="W79" t="str">
            <v>FY03</v>
          </cell>
          <cell r="X79" t="str">
            <v>1QA</v>
          </cell>
          <cell r="Y79" t="str">
            <v>2QA</v>
          </cell>
          <cell r="Z79" t="str">
            <v>3QA</v>
          </cell>
          <cell r="AA79" t="str">
            <v>4QA</v>
          </cell>
          <cell r="AB79" t="str">
            <v>FY04</v>
          </cell>
          <cell r="AC79" t="str">
            <v>1QA</v>
          </cell>
          <cell r="AD79" t="str">
            <v>2QE</v>
          </cell>
          <cell r="AE79" t="str">
            <v>3QE</v>
          </cell>
          <cell r="AF79" t="str">
            <v>4QE</v>
          </cell>
          <cell r="AG79" t="str">
            <v>FY 05E</v>
          </cell>
        </row>
        <row r="80">
          <cell r="B80" t="str">
            <v>Assets</v>
          </cell>
        </row>
        <row r="81">
          <cell r="B81" t="str">
            <v>Cash and equivalents / securities</v>
          </cell>
          <cell r="D81">
            <v>99.269000000000005</v>
          </cell>
          <cell r="E81">
            <v>121.38499999999999</v>
          </cell>
          <cell r="F81">
            <v>129.011</v>
          </cell>
          <cell r="G81">
            <v>128.62700000000001</v>
          </cell>
          <cell r="H81">
            <v>128.62700000000001</v>
          </cell>
          <cell r="I81">
            <v>139.63</v>
          </cell>
          <cell r="J81">
            <v>124</v>
          </cell>
          <cell r="K81">
            <v>136.517</v>
          </cell>
          <cell r="L81">
            <v>126.92400000000001</v>
          </cell>
          <cell r="M81">
            <v>126.92400000000001</v>
          </cell>
          <cell r="N81">
            <v>91.347999999999999</v>
          </cell>
          <cell r="O81">
            <v>96.538000000000011</v>
          </cell>
          <cell r="P81">
            <v>76.596999999999994</v>
          </cell>
          <cell r="Q81">
            <v>83.367999999999995</v>
          </cell>
          <cell r="R81">
            <v>83.367999999999995</v>
          </cell>
          <cell r="S81">
            <v>85.671999999999997</v>
          </cell>
          <cell r="T81">
            <v>81.769000000000005</v>
          </cell>
          <cell r="U81">
            <v>75.763000000000005</v>
          </cell>
          <cell r="V81">
            <v>63.036000000000001</v>
          </cell>
          <cell r="W81">
            <v>63.036000000000001</v>
          </cell>
          <cell r="X81">
            <v>65.950999999999993</v>
          </cell>
          <cell r="Y81">
            <v>50.822000000000003</v>
          </cell>
          <cell r="Z81">
            <v>79.265000000000001</v>
          </cell>
          <cell r="AA81">
            <v>62.754000000000005</v>
          </cell>
          <cell r="AB81">
            <v>62.754000000000005</v>
          </cell>
          <cell r="AC81">
            <v>45.331000000000003</v>
          </cell>
          <cell r="AD81">
            <v>22.391821531909585</v>
          </cell>
          <cell r="AE81">
            <v>27.140417600114382</v>
          </cell>
          <cell r="AF81">
            <v>40.898317378188835</v>
          </cell>
          <cell r="AG81">
            <v>40.898317378188835</v>
          </cell>
        </row>
        <row r="82">
          <cell r="B82" t="str">
            <v>Accounts receivable</v>
          </cell>
        </row>
        <row r="83">
          <cell r="B83" t="str">
            <v>Patient accounts</v>
          </cell>
          <cell r="D83">
            <v>91.308999999999997</v>
          </cell>
          <cell r="E83">
            <v>98.385000000000005</v>
          </cell>
          <cell r="F83">
            <v>96.998999999999995</v>
          </cell>
          <cell r="G83">
            <v>99.305000000000007</v>
          </cell>
          <cell r="H83">
            <v>99.305000000000007</v>
          </cell>
          <cell r="I83">
            <v>104.86</v>
          </cell>
          <cell r="J83">
            <v>111.26</v>
          </cell>
          <cell r="K83">
            <v>112.14400000000001</v>
          </cell>
          <cell r="L83">
            <v>118.342</v>
          </cell>
          <cell r="M83">
            <v>118.342</v>
          </cell>
          <cell r="N83">
            <v>138.79300000000001</v>
          </cell>
          <cell r="O83">
            <v>147.262</v>
          </cell>
          <cell r="P83">
            <v>156.27199999999999</v>
          </cell>
          <cell r="Q83">
            <v>163.68799999999999</v>
          </cell>
          <cell r="R83">
            <v>163.68799999999999</v>
          </cell>
          <cell r="S83">
            <v>169.62899999999999</v>
          </cell>
          <cell r="T83">
            <v>171.73699999999999</v>
          </cell>
          <cell r="U83">
            <v>181.97900000000001</v>
          </cell>
          <cell r="V83">
            <v>172.20599999999999</v>
          </cell>
          <cell r="W83">
            <v>172.20599999999999</v>
          </cell>
          <cell r="X83">
            <v>192.17699999999999</v>
          </cell>
          <cell r="Y83">
            <v>213.78899999999999</v>
          </cell>
          <cell r="Z83">
            <v>236.79499999999999</v>
          </cell>
          <cell r="AA83">
            <v>244.73</v>
          </cell>
          <cell r="AB83">
            <v>244.73</v>
          </cell>
          <cell r="AC83">
            <v>287.85500000000002</v>
          </cell>
          <cell r="AD83">
            <v>314.24595766305862</v>
          </cell>
          <cell r="AE83">
            <v>325.09204354954795</v>
          </cell>
          <cell r="AF83">
            <v>338.0026915957269</v>
          </cell>
          <cell r="AG83">
            <v>338.0026915957269</v>
          </cell>
        </row>
        <row r="84">
          <cell r="B84" t="str">
            <v>Allowance for doubtful accounts</v>
          </cell>
          <cell r="D84">
            <v>-1.879</v>
          </cell>
          <cell r="E84">
            <v>-1.909</v>
          </cell>
          <cell r="F84">
            <v>-2.319</v>
          </cell>
          <cell r="G84">
            <v>-2.9540000000000002</v>
          </cell>
          <cell r="H84">
            <v>-2.9540000000000002</v>
          </cell>
          <cell r="I84">
            <v>-2.9870000000000001</v>
          </cell>
          <cell r="J84">
            <v>-3.02</v>
          </cell>
          <cell r="K84">
            <v>-3.153</v>
          </cell>
          <cell r="L84">
            <v>-3.2389999999999999</v>
          </cell>
          <cell r="M84">
            <v>-3.2389999999999999</v>
          </cell>
          <cell r="N84">
            <v>-3.6960000000000002</v>
          </cell>
          <cell r="O84">
            <v>-4.1950000000000003</v>
          </cell>
          <cell r="P84">
            <v>-4.8150000000000004</v>
          </cell>
          <cell r="Q84">
            <v>-5.4370000000000003</v>
          </cell>
          <cell r="R84">
            <v>-5.4370000000000003</v>
          </cell>
          <cell r="S84">
            <v>-5.7489999999999997</v>
          </cell>
          <cell r="T84">
            <v>-5.8840000000000003</v>
          </cell>
          <cell r="U84">
            <v>-6.0730000000000004</v>
          </cell>
          <cell r="V84">
            <v>-5.48</v>
          </cell>
          <cell r="W84">
            <v>-5.48</v>
          </cell>
          <cell r="X84">
            <v>-5.9779999999999998</v>
          </cell>
          <cell r="Y84">
            <v>-6.3150000000000004</v>
          </cell>
          <cell r="Z84">
            <v>-6.8129999999999997</v>
          </cell>
          <cell r="AA84">
            <v>-6.9029999999999996</v>
          </cell>
          <cell r="AB84">
            <v>-6.9029999999999996</v>
          </cell>
          <cell r="AC84">
            <v>-7.6539999999999999</v>
          </cell>
          <cell r="AD84">
            <v>-7.8836200000000005</v>
          </cell>
          <cell r="AE84">
            <v>-8.120128600000001</v>
          </cell>
          <cell r="AF84">
            <v>-8.3637324580000012</v>
          </cell>
          <cell r="AG84">
            <v>-8.3637324580000012</v>
          </cell>
        </row>
        <row r="85">
          <cell r="B85" t="str">
            <v>Due from affiliates</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row>
        <row r="86">
          <cell r="B86" t="str">
            <v>Other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row>
        <row r="87">
          <cell r="B87" t="str">
            <v>Accounts receivable - Total</v>
          </cell>
          <cell r="D87">
            <v>91.308999999999997</v>
          </cell>
          <cell r="E87">
            <v>98.385000000000005</v>
          </cell>
          <cell r="F87">
            <v>96.998999999999995</v>
          </cell>
          <cell r="G87">
            <v>99.305000000000007</v>
          </cell>
          <cell r="H87">
            <v>99.305000000000007</v>
          </cell>
          <cell r="I87">
            <v>104.86</v>
          </cell>
          <cell r="J87">
            <v>111.26</v>
          </cell>
          <cell r="K87">
            <v>112.14400000000001</v>
          </cell>
          <cell r="L87">
            <v>118.342</v>
          </cell>
          <cell r="M87">
            <v>118.342</v>
          </cell>
          <cell r="N87">
            <v>138.79300000000001</v>
          </cell>
          <cell r="O87">
            <v>147.262</v>
          </cell>
          <cell r="P87">
            <v>156.27199999999999</v>
          </cell>
          <cell r="Q87">
            <v>163.68799999999999</v>
          </cell>
          <cell r="R87">
            <v>163.68799999999999</v>
          </cell>
          <cell r="S87">
            <v>169.62899999999999</v>
          </cell>
          <cell r="T87">
            <v>171.73699999999999</v>
          </cell>
          <cell r="U87">
            <v>181.97900000000001</v>
          </cell>
          <cell r="V87">
            <v>172.20599999999999</v>
          </cell>
          <cell r="W87">
            <v>172.20599999999999</v>
          </cell>
          <cell r="X87">
            <v>192.17699999999999</v>
          </cell>
          <cell r="Y87">
            <v>213.78899999999999</v>
          </cell>
          <cell r="Z87">
            <v>236.79499999999999</v>
          </cell>
          <cell r="AA87">
            <v>244.73</v>
          </cell>
          <cell r="AB87">
            <v>244.73</v>
          </cell>
          <cell r="AC87">
            <v>287.85500000000002</v>
          </cell>
          <cell r="AD87">
            <v>314.24595766305862</v>
          </cell>
          <cell r="AE87">
            <v>325.09204354954795</v>
          </cell>
          <cell r="AF87">
            <v>338.0026915957269</v>
          </cell>
          <cell r="AG87">
            <v>338.0026915957269</v>
          </cell>
        </row>
        <row r="88">
          <cell r="B88" t="str">
            <v>Inventory, net</v>
          </cell>
          <cell r="D88">
            <v>31.335999999999999</v>
          </cell>
          <cell r="E88">
            <v>24.806999999999999</v>
          </cell>
          <cell r="F88">
            <v>26.937999999999999</v>
          </cell>
          <cell r="G88">
            <v>48.838999999999999</v>
          </cell>
          <cell r="H88">
            <v>48.838999999999999</v>
          </cell>
          <cell r="I88">
            <v>41.7</v>
          </cell>
          <cell r="J88">
            <v>49.566000000000003</v>
          </cell>
          <cell r="K88">
            <v>50.142000000000003</v>
          </cell>
          <cell r="L88">
            <v>74.058000000000007</v>
          </cell>
          <cell r="M88">
            <v>74.058000000000007</v>
          </cell>
          <cell r="N88">
            <v>71.028000000000006</v>
          </cell>
          <cell r="O88">
            <v>90.835999999999999</v>
          </cell>
          <cell r="P88">
            <v>79.632000000000005</v>
          </cell>
          <cell r="Q88">
            <v>108.604</v>
          </cell>
          <cell r="R88">
            <v>108.604</v>
          </cell>
          <cell r="S88">
            <v>103.998</v>
          </cell>
          <cell r="T88">
            <v>107.188</v>
          </cell>
          <cell r="U88">
            <v>99.552999999999997</v>
          </cell>
          <cell r="V88">
            <v>117.218</v>
          </cell>
          <cell r="W88">
            <v>117.218</v>
          </cell>
          <cell r="X88">
            <v>103.55800000000001</v>
          </cell>
          <cell r="Y88">
            <v>104.759</v>
          </cell>
          <cell r="Z88">
            <v>107.898</v>
          </cell>
          <cell r="AA88">
            <v>112.616</v>
          </cell>
          <cell r="AB88">
            <v>112.616</v>
          </cell>
          <cell r="AC88">
            <v>117.44</v>
          </cell>
          <cell r="AD88">
            <v>134.00789421430878</v>
          </cell>
          <cell r="AE88">
            <v>140.82409385653517</v>
          </cell>
          <cell r="AF88">
            <v>152.34695307852746</v>
          </cell>
          <cell r="AG88">
            <v>152.34695307852746</v>
          </cell>
        </row>
        <row r="89">
          <cell r="B89" t="str">
            <v>Other</v>
          </cell>
          <cell r="D89">
            <v>2.9630000000000001</v>
          </cell>
          <cell r="E89">
            <v>7.423</v>
          </cell>
          <cell r="F89">
            <v>2.742</v>
          </cell>
          <cell r="G89">
            <v>1.7829999999999999</v>
          </cell>
          <cell r="H89">
            <v>1.7829999999999999</v>
          </cell>
          <cell r="I89">
            <v>6.444</v>
          </cell>
          <cell r="J89">
            <v>5.7160000000000002</v>
          </cell>
          <cell r="K89">
            <v>3.1739999999999999</v>
          </cell>
          <cell r="L89">
            <v>8.1449999999999996</v>
          </cell>
          <cell r="M89">
            <v>8.1449999999999996</v>
          </cell>
          <cell r="N89">
            <v>10.393000000000001</v>
          </cell>
          <cell r="O89">
            <v>18.611999999999998</v>
          </cell>
          <cell r="P89">
            <v>13.856999999999999</v>
          </cell>
          <cell r="Q89">
            <v>14.667</v>
          </cell>
          <cell r="R89">
            <v>14.667</v>
          </cell>
          <cell r="S89">
            <v>16.437000000000001</v>
          </cell>
          <cell r="T89">
            <v>16.364000000000001</v>
          </cell>
          <cell r="U89">
            <v>17.878</v>
          </cell>
          <cell r="V89">
            <v>18.317</v>
          </cell>
          <cell r="W89">
            <v>18.317</v>
          </cell>
          <cell r="X89">
            <v>19.305</v>
          </cell>
          <cell r="Y89">
            <v>33.360999999999997</v>
          </cell>
          <cell r="Z89">
            <v>34.226999999999997</v>
          </cell>
          <cell r="AA89">
            <v>33.381999999999998</v>
          </cell>
          <cell r="AB89">
            <v>33.381999999999998</v>
          </cell>
          <cell r="AC89">
            <v>34.323999999999998</v>
          </cell>
          <cell r="AD89">
            <v>34.323999999999998</v>
          </cell>
          <cell r="AE89">
            <v>34.323999999999998</v>
          </cell>
          <cell r="AF89">
            <v>34.323999999999998</v>
          </cell>
          <cell r="AG89">
            <v>34.323999999999998</v>
          </cell>
        </row>
        <row r="90">
          <cell r="B90" t="str">
            <v>Income taxes receivable</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row>
        <row r="91">
          <cell r="B91" t="str">
            <v>Deferred income taxes</v>
          </cell>
          <cell r="D91">
            <v>1.6850000000000001</v>
          </cell>
          <cell r="E91">
            <v>1.917</v>
          </cell>
          <cell r="F91">
            <v>1.9930000000000001</v>
          </cell>
          <cell r="G91">
            <v>2.6680000000000001</v>
          </cell>
          <cell r="H91">
            <v>2.6680000000000001</v>
          </cell>
          <cell r="I91">
            <v>2.6680000000000001</v>
          </cell>
          <cell r="J91">
            <v>2.6680000000000001</v>
          </cell>
          <cell r="K91">
            <v>1.661</v>
          </cell>
          <cell r="L91">
            <v>2.165</v>
          </cell>
          <cell r="M91">
            <v>2.165</v>
          </cell>
          <cell r="N91">
            <v>2.165</v>
          </cell>
          <cell r="O91">
            <v>2.165</v>
          </cell>
          <cell r="P91">
            <v>2.165</v>
          </cell>
          <cell r="Q91">
            <v>3.2210000000000001</v>
          </cell>
          <cell r="R91">
            <v>3.2210000000000001</v>
          </cell>
          <cell r="S91">
            <v>3.2210000000000001</v>
          </cell>
          <cell r="T91">
            <v>3.2210000000000001</v>
          </cell>
          <cell r="U91">
            <v>3.2210000000000001</v>
          </cell>
          <cell r="V91">
            <v>2.3250000000000002</v>
          </cell>
          <cell r="W91">
            <v>2.3250000000000002</v>
          </cell>
          <cell r="X91">
            <v>2.3250000000000002</v>
          </cell>
          <cell r="Y91">
            <v>2.3250000000000002</v>
          </cell>
          <cell r="Z91">
            <v>2.3250000000000002</v>
          </cell>
          <cell r="AA91">
            <v>3.0750000000000002</v>
          </cell>
          <cell r="AB91">
            <v>3.0750000000000002</v>
          </cell>
          <cell r="AC91">
            <v>3.0750000000000002</v>
          </cell>
          <cell r="AD91">
            <v>3.0903749999999999</v>
          </cell>
          <cell r="AE91">
            <v>3.1058268749999995</v>
          </cell>
          <cell r="AF91">
            <v>3.121356009374999</v>
          </cell>
          <cell r="AG91">
            <v>3.121356009374999</v>
          </cell>
        </row>
        <row r="92">
          <cell r="B92" t="str">
            <v>Total current assets</v>
          </cell>
          <cell r="D92">
            <v>226.56199999999998</v>
          </cell>
          <cell r="E92">
            <v>253.91699999999997</v>
          </cell>
          <cell r="F92">
            <v>257.68299999999999</v>
          </cell>
          <cell r="G92">
            <v>281.22200000000004</v>
          </cell>
          <cell r="H92">
            <v>281.22200000000004</v>
          </cell>
          <cell r="I92">
            <v>295.30200000000002</v>
          </cell>
          <cell r="J92">
            <v>293.21000000000004</v>
          </cell>
          <cell r="K92">
            <v>303.63799999999998</v>
          </cell>
          <cell r="L92">
            <v>329.63400000000001</v>
          </cell>
          <cell r="M92">
            <v>329.63400000000001</v>
          </cell>
          <cell r="N92">
            <v>313.72700000000003</v>
          </cell>
          <cell r="O92">
            <v>355.41300000000007</v>
          </cell>
          <cell r="P92">
            <v>328.52299999999997</v>
          </cell>
          <cell r="Q92">
            <v>373.54799999999994</v>
          </cell>
          <cell r="R92">
            <v>373.54799999999994</v>
          </cell>
          <cell r="S92">
            <v>378.95699999999999</v>
          </cell>
          <cell r="T92">
            <v>380.279</v>
          </cell>
          <cell r="U92">
            <v>378.39400000000001</v>
          </cell>
          <cell r="V92">
            <v>373.10199999999998</v>
          </cell>
          <cell r="W92">
            <v>373.10199999999998</v>
          </cell>
          <cell r="X92">
            <v>383.31599999999997</v>
          </cell>
          <cell r="Y92">
            <v>405.05599999999998</v>
          </cell>
          <cell r="Z92">
            <v>460.50999999999993</v>
          </cell>
          <cell r="AA92">
            <v>456.55699999999996</v>
          </cell>
          <cell r="AB92">
            <v>456.55699999999996</v>
          </cell>
          <cell r="AC92">
            <v>488.02500000000003</v>
          </cell>
          <cell r="AD92">
            <v>508.06004840927693</v>
          </cell>
          <cell r="AE92">
            <v>530.48638188119753</v>
          </cell>
          <cell r="AF92">
            <v>568.6933180618181</v>
          </cell>
          <cell r="AG92">
            <v>568.6933180618181</v>
          </cell>
        </row>
        <row r="93">
          <cell r="AB93">
            <v>0</v>
          </cell>
        </row>
        <row r="94">
          <cell r="B94" t="str">
            <v>Fixed assets, net</v>
          </cell>
          <cell r="D94">
            <v>2.7480000000000002</v>
          </cell>
          <cell r="E94">
            <v>3.6549999999999998</v>
          </cell>
          <cell r="F94">
            <v>3.762</v>
          </cell>
          <cell r="G94">
            <v>3.952</v>
          </cell>
          <cell r="H94">
            <v>3.952</v>
          </cell>
          <cell r="I94">
            <v>4.008</v>
          </cell>
          <cell r="J94">
            <v>4.1769999999999996</v>
          </cell>
          <cell r="K94">
            <v>6.6269999999999998</v>
          </cell>
          <cell r="L94">
            <v>9.8279999999999994</v>
          </cell>
          <cell r="M94">
            <v>9.8279999999999994</v>
          </cell>
          <cell r="N94">
            <v>11.090999999999999</v>
          </cell>
          <cell r="O94">
            <v>12.369</v>
          </cell>
          <cell r="P94">
            <v>13.866</v>
          </cell>
          <cell r="Q94">
            <v>13.748999999999999</v>
          </cell>
          <cell r="R94">
            <v>13.748999999999999</v>
          </cell>
          <cell r="S94">
            <v>15.301</v>
          </cell>
          <cell r="T94">
            <v>20.277999999999999</v>
          </cell>
          <cell r="U94">
            <v>23.962</v>
          </cell>
          <cell r="V94">
            <v>29.78</v>
          </cell>
          <cell r="W94">
            <v>29.78</v>
          </cell>
          <cell r="X94">
            <v>31.89</v>
          </cell>
          <cell r="Y94">
            <v>33.417999999999999</v>
          </cell>
          <cell r="Z94">
            <v>37.691000000000003</v>
          </cell>
          <cell r="AA94">
            <v>48.208999999999996</v>
          </cell>
          <cell r="AB94">
            <v>48.208999999999996</v>
          </cell>
          <cell r="AC94">
            <v>60.65</v>
          </cell>
          <cell r="AD94">
            <v>61.309249999999999</v>
          </cell>
          <cell r="AE94">
            <v>61.968499999999999</v>
          </cell>
          <cell r="AF94">
            <v>62.627750000000006</v>
          </cell>
          <cell r="AG94">
            <v>62.627750000000006</v>
          </cell>
        </row>
        <row r="95">
          <cell r="B95" t="str">
            <v>Goodwill, net</v>
          </cell>
          <cell r="D95">
            <v>9.6470000000000002</v>
          </cell>
          <cell r="E95">
            <v>9.5269999999999992</v>
          </cell>
          <cell r="F95">
            <v>9.76</v>
          </cell>
          <cell r="G95">
            <v>9.6349999999999998</v>
          </cell>
          <cell r="H95">
            <v>9.6349999999999998</v>
          </cell>
          <cell r="I95">
            <v>26.300999999999998</v>
          </cell>
          <cell r="J95">
            <v>41.387999999999998</v>
          </cell>
          <cell r="K95">
            <v>40.838999999999999</v>
          </cell>
          <cell r="L95">
            <v>56.554000000000002</v>
          </cell>
          <cell r="M95">
            <v>56.554000000000002</v>
          </cell>
          <cell r="N95">
            <v>83.563000000000002</v>
          </cell>
          <cell r="O95">
            <v>83.64</v>
          </cell>
          <cell r="P95">
            <v>88.417000000000002</v>
          </cell>
          <cell r="Q95">
            <v>92.784999999999997</v>
          </cell>
          <cell r="R95">
            <v>92.784999999999997</v>
          </cell>
          <cell r="S95">
            <v>92.76</v>
          </cell>
          <cell r="T95">
            <v>92.787999999999997</v>
          </cell>
          <cell r="U95">
            <v>105.402</v>
          </cell>
          <cell r="V95">
            <v>107.127</v>
          </cell>
          <cell r="W95">
            <v>107.127</v>
          </cell>
          <cell r="X95">
            <v>112.871</v>
          </cell>
          <cell r="Y95">
            <v>120.56399999999999</v>
          </cell>
          <cell r="Z95">
            <v>157.32499999999999</v>
          </cell>
          <cell r="AA95">
            <v>158.74100000000001</v>
          </cell>
          <cell r="AB95">
            <v>158.74100000000001</v>
          </cell>
          <cell r="AC95">
            <v>159.25899999999999</v>
          </cell>
          <cell r="AD95">
            <v>179.584</v>
          </cell>
          <cell r="AE95">
            <v>182.97149999999999</v>
          </cell>
          <cell r="AF95">
            <v>181.35899999999998</v>
          </cell>
          <cell r="AG95">
            <v>181.35899999999998</v>
          </cell>
        </row>
        <row r="96">
          <cell r="B96" t="str">
            <v>Other</v>
          </cell>
          <cell r="D96">
            <v>3.7999999999999999E-2</v>
          </cell>
          <cell r="E96">
            <v>2.0569999999999999</v>
          </cell>
          <cell r="F96">
            <v>2.0569999999999999</v>
          </cell>
          <cell r="G96">
            <v>2.2920000000000003</v>
          </cell>
          <cell r="H96">
            <v>2.2920000000000003</v>
          </cell>
          <cell r="I96">
            <v>2.2920000000000003</v>
          </cell>
          <cell r="J96">
            <v>0.38600000000000001</v>
          </cell>
          <cell r="K96">
            <v>0.122</v>
          </cell>
          <cell r="L96">
            <v>0</v>
          </cell>
          <cell r="M96">
            <v>0</v>
          </cell>
          <cell r="N96">
            <v>0</v>
          </cell>
          <cell r="O96">
            <v>0.81599999999999995</v>
          </cell>
          <cell r="P96">
            <v>0</v>
          </cell>
          <cell r="Q96">
            <v>4.78</v>
          </cell>
          <cell r="R96">
            <v>4.78</v>
          </cell>
          <cell r="S96">
            <v>1.976</v>
          </cell>
          <cell r="T96">
            <v>0</v>
          </cell>
          <cell r="U96">
            <v>6</v>
          </cell>
          <cell r="V96">
            <v>4</v>
          </cell>
          <cell r="W96">
            <v>4</v>
          </cell>
          <cell r="X96">
            <v>4.5819999999999999</v>
          </cell>
          <cell r="Y96">
            <v>4.5819999999999999</v>
          </cell>
          <cell r="Z96">
            <v>5.1050000000000004</v>
          </cell>
          <cell r="AA96">
            <v>5.8860000000000001</v>
          </cell>
          <cell r="AB96">
            <v>5.8860000000000001</v>
          </cell>
          <cell r="AC96">
            <v>6.0039999999999996</v>
          </cell>
          <cell r="AD96">
            <v>6.0039999999999996</v>
          </cell>
          <cell r="AE96">
            <v>6.0039999999999996</v>
          </cell>
          <cell r="AF96">
            <v>6.0039999999999996</v>
          </cell>
          <cell r="AG96">
            <v>6.0039999999999996</v>
          </cell>
        </row>
        <row r="97">
          <cell r="B97" t="str">
            <v>Total assets</v>
          </cell>
          <cell r="D97">
            <v>238.99499999999998</v>
          </cell>
          <cell r="E97">
            <v>269.15599999999995</v>
          </cell>
          <cell r="F97">
            <v>273.262</v>
          </cell>
          <cell r="G97">
            <v>297.10100000000006</v>
          </cell>
          <cell r="H97">
            <v>297.10100000000006</v>
          </cell>
          <cell r="I97">
            <v>327.90300000000002</v>
          </cell>
          <cell r="J97">
            <v>339.16100000000006</v>
          </cell>
          <cell r="K97">
            <v>351.226</v>
          </cell>
          <cell r="L97">
            <v>396.01600000000002</v>
          </cell>
          <cell r="M97">
            <v>396.01600000000002</v>
          </cell>
          <cell r="N97">
            <v>408.38100000000003</v>
          </cell>
          <cell r="O97">
            <v>452.23800000000006</v>
          </cell>
          <cell r="P97">
            <v>430.80599999999998</v>
          </cell>
          <cell r="Q97">
            <v>484.86199999999997</v>
          </cell>
          <cell r="R97">
            <v>484.86199999999997</v>
          </cell>
          <cell r="S97">
            <v>488.99400000000003</v>
          </cell>
          <cell r="T97">
            <v>493.34500000000003</v>
          </cell>
          <cell r="U97">
            <v>513.75800000000004</v>
          </cell>
          <cell r="V97">
            <v>514.00900000000001</v>
          </cell>
          <cell r="W97">
            <v>514.00900000000001</v>
          </cell>
          <cell r="X97">
            <v>532.65899999999999</v>
          </cell>
          <cell r="Y97">
            <v>563.62</v>
          </cell>
          <cell r="Z97">
            <v>660.63099999999986</v>
          </cell>
          <cell r="AA97">
            <v>669.39300000000003</v>
          </cell>
          <cell r="AB97">
            <v>669.39300000000003</v>
          </cell>
          <cell r="AC97">
            <v>713.93799999999999</v>
          </cell>
          <cell r="AD97">
            <v>754.95729840927697</v>
          </cell>
          <cell r="AE97">
            <v>781.43038188119749</v>
          </cell>
          <cell r="AF97">
            <v>818.68406806181804</v>
          </cell>
          <cell r="AG97">
            <v>818.68406806181804</v>
          </cell>
        </row>
        <row r="99">
          <cell r="B99" t="str">
            <v>Liabilities</v>
          </cell>
        </row>
        <row r="100">
          <cell r="B100" t="str">
            <v>Accounts payable</v>
          </cell>
          <cell r="D100">
            <v>59.317999999999998</v>
          </cell>
          <cell r="E100">
            <v>64.114000000000004</v>
          </cell>
          <cell r="F100">
            <v>65.820999999999998</v>
          </cell>
          <cell r="G100">
            <v>77.257000000000005</v>
          </cell>
          <cell r="H100">
            <v>77.257000000000005</v>
          </cell>
          <cell r="I100">
            <v>81.765000000000001</v>
          </cell>
          <cell r="J100">
            <v>88.866</v>
          </cell>
          <cell r="K100">
            <v>91.637</v>
          </cell>
          <cell r="L100">
            <v>116.148</v>
          </cell>
          <cell r="M100">
            <v>116.148</v>
          </cell>
          <cell r="N100">
            <v>108.21299999999999</v>
          </cell>
          <cell r="O100">
            <v>140.435</v>
          </cell>
          <cell r="P100">
            <v>118.53700000000001</v>
          </cell>
          <cell r="Q100">
            <v>142.666</v>
          </cell>
          <cell r="R100">
            <v>142.666</v>
          </cell>
          <cell r="S100">
            <v>151.37700000000001</v>
          </cell>
          <cell r="T100">
            <v>154.31800000000001</v>
          </cell>
          <cell r="U100">
            <v>157.768</v>
          </cell>
          <cell r="V100">
            <v>151.53899999999999</v>
          </cell>
          <cell r="W100">
            <v>151.53899999999999</v>
          </cell>
          <cell r="X100">
            <v>152.52000000000001</v>
          </cell>
          <cell r="Y100">
            <v>164.19499999999999</v>
          </cell>
          <cell r="Z100">
            <v>163.17599999999999</v>
          </cell>
          <cell r="AA100">
            <v>173.96899999999999</v>
          </cell>
          <cell r="AB100">
            <v>173.96899999999999</v>
          </cell>
          <cell r="AC100">
            <v>199.68600000000001</v>
          </cell>
          <cell r="AD100">
            <v>231.30129686305352</v>
          </cell>
          <cell r="AE100">
            <v>243.06624419073199</v>
          </cell>
          <cell r="AF100">
            <v>262.95501490266383</v>
          </cell>
          <cell r="AG100">
            <v>262.95501490266383</v>
          </cell>
        </row>
        <row r="101">
          <cell r="B101" t="str">
            <v>Accrued expenses</v>
          </cell>
          <cell r="D101">
            <v>0</v>
          </cell>
          <cell r="E101">
            <v>0</v>
          </cell>
          <cell r="F101">
            <v>0</v>
          </cell>
          <cell r="G101">
            <v>0</v>
          </cell>
          <cell r="H101">
            <v>0</v>
          </cell>
          <cell r="I101">
            <v>0</v>
          </cell>
          <cell r="J101">
            <v>0</v>
          </cell>
          <cell r="K101">
            <v>15.83</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row>
        <row r="102">
          <cell r="B102" t="str">
            <v>Income taxes payable</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row>
        <row r="103">
          <cell r="B103" t="str">
            <v>Current portion of long-term debt / Line of Credit</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5.0060000000000002</v>
          </cell>
          <cell r="Z103">
            <v>45.274000000000001</v>
          </cell>
          <cell r="AA103">
            <v>40.29</v>
          </cell>
          <cell r="AB103">
            <v>40.29</v>
          </cell>
          <cell r="AC103">
            <v>45.369</v>
          </cell>
          <cell r="AD103">
            <v>40.29</v>
          </cell>
          <cell r="AE103">
            <v>40.29</v>
          </cell>
          <cell r="AF103">
            <v>40.29</v>
          </cell>
          <cell r="AG103">
            <v>40.29</v>
          </cell>
        </row>
        <row r="104">
          <cell r="B104" t="str">
            <v>Due to affiliates and other</v>
          </cell>
          <cell r="D104">
            <v>5.6539999999999999</v>
          </cell>
          <cell r="E104">
            <v>10.542</v>
          </cell>
          <cell r="F104">
            <v>4.843</v>
          </cell>
          <cell r="G104">
            <v>9.2409999999999997</v>
          </cell>
          <cell r="H104">
            <v>9.2409999999999997</v>
          </cell>
          <cell r="I104">
            <v>11.541</v>
          </cell>
          <cell r="J104">
            <v>11.17</v>
          </cell>
          <cell r="K104">
            <v>0</v>
          </cell>
          <cell r="L104">
            <v>24.806000000000001</v>
          </cell>
          <cell r="M104">
            <v>24.806000000000001</v>
          </cell>
          <cell r="N104">
            <v>29.173999999999999</v>
          </cell>
          <cell r="O104">
            <v>28.463000000000001</v>
          </cell>
          <cell r="P104">
            <v>29.015999999999998</v>
          </cell>
          <cell r="Q104">
            <v>45.448</v>
          </cell>
          <cell r="R104">
            <v>45.448</v>
          </cell>
          <cell r="S104">
            <v>26.474</v>
          </cell>
          <cell r="T104">
            <v>18.393999999999998</v>
          </cell>
          <cell r="U104">
            <v>26.154</v>
          </cell>
          <cell r="V104">
            <v>13.124000000000001</v>
          </cell>
          <cell r="W104">
            <v>13.124000000000001</v>
          </cell>
          <cell r="X104">
            <v>18.696000000000002</v>
          </cell>
          <cell r="Y104">
            <v>20.03</v>
          </cell>
          <cell r="Z104">
            <v>36.249000000000002</v>
          </cell>
          <cell r="AA104">
            <v>26.905999999999999</v>
          </cell>
          <cell r="AB104">
            <v>26.905999999999999</v>
          </cell>
          <cell r="AC104">
            <v>29.716000000000001</v>
          </cell>
          <cell r="AD104">
            <v>29.716000000000001</v>
          </cell>
          <cell r="AE104">
            <v>29.716000000000001</v>
          </cell>
          <cell r="AF104">
            <v>29.716000000000001</v>
          </cell>
          <cell r="AG104">
            <v>29.716000000000001</v>
          </cell>
        </row>
        <row r="105">
          <cell r="B105" t="str">
            <v>Current liabilities</v>
          </cell>
          <cell r="D105">
            <v>64.971999999999994</v>
          </cell>
          <cell r="E105">
            <v>74.656000000000006</v>
          </cell>
          <cell r="F105">
            <v>70.664000000000001</v>
          </cell>
          <cell r="G105">
            <v>86.498000000000005</v>
          </cell>
          <cell r="H105">
            <v>86.498000000000005</v>
          </cell>
          <cell r="I105">
            <v>93.305999999999997</v>
          </cell>
          <cell r="J105">
            <v>100.036</v>
          </cell>
          <cell r="K105">
            <v>107.467</v>
          </cell>
          <cell r="L105">
            <v>140.95400000000001</v>
          </cell>
          <cell r="M105">
            <v>140.95400000000001</v>
          </cell>
          <cell r="N105">
            <v>137.387</v>
          </cell>
          <cell r="O105">
            <v>168.898</v>
          </cell>
          <cell r="P105">
            <v>147.553</v>
          </cell>
          <cell r="Q105">
            <v>188.114</v>
          </cell>
          <cell r="R105">
            <v>188.114</v>
          </cell>
          <cell r="S105">
            <v>177.851</v>
          </cell>
          <cell r="T105">
            <v>172.71200000000002</v>
          </cell>
          <cell r="U105">
            <v>183.922</v>
          </cell>
          <cell r="V105">
            <v>164.66299999999998</v>
          </cell>
          <cell r="W105">
            <v>164.66299999999998</v>
          </cell>
          <cell r="X105">
            <v>171.21600000000001</v>
          </cell>
          <cell r="Y105">
            <v>189.23099999999999</v>
          </cell>
          <cell r="Z105">
            <v>244.69899999999998</v>
          </cell>
          <cell r="AA105">
            <v>241.16499999999999</v>
          </cell>
          <cell r="AB105">
            <v>241.16499999999999</v>
          </cell>
          <cell r="AC105">
            <v>274.77100000000002</v>
          </cell>
          <cell r="AD105">
            <v>301.30729686305352</v>
          </cell>
          <cell r="AE105">
            <v>313.07224419073202</v>
          </cell>
          <cell r="AF105">
            <v>332.96101490266386</v>
          </cell>
          <cell r="AG105">
            <v>332.96101490266386</v>
          </cell>
        </row>
        <row r="107">
          <cell r="B107" t="str">
            <v>Long term debt / LOC</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row>
        <row r="108">
          <cell r="B108" t="str">
            <v>Deferred income taxes</v>
          </cell>
          <cell r="D108">
            <v>0</v>
          </cell>
          <cell r="E108">
            <v>0</v>
          </cell>
          <cell r="F108">
            <v>0</v>
          </cell>
          <cell r="G108">
            <v>0</v>
          </cell>
          <cell r="H108">
            <v>0</v>
          </cell>
          <cell r="I108">
            <v>0</v>
          </cell>
          <cell r="J108">
            <v>0</v>
          </cell>
          <cell r="K108">
            <v>0.16600000000000001</v>
          </cell>
          <cell r="L108">
            <v>0.72199999999999998</v>
          </cell>
          <cell r="M108">
            <v>0.72199999999999998</v>
          </cell>
          <cell r="N108">
            <v>0.72199999999999998</v>
          </cell>
          <cell r="O108">
            <v>0.72199999999999998</v>
          </cell>
          <cell r="P108">
            <v>0.72199999999999998</v>
          </cell>
          <cell r="Q108">
            <v>2.3210000000000002</v>
          </cell>
          <cell r="R108">
            <v>2.3210000000000002</v>
          </cell>
          <cell r="S108">
            <v>2.3210000000000002</v>
          </cell>
          <cell r="T108">
            <v>2.3210000000000002</v>
          </cell>
          <cell r="U108">
            <v>2.3210000000000002</v>
          </cell>
          <cell r="V108">
            <v>6.4370000000000003</v>
          </cell>
          <cell r="W108">
            <v>6.4370000000000003</v>
          </cell>
          <cell r="X108">
            <v>6.4370000000000003</v>
          </cell>
          <cell r="Y108">
            <v>6.49</v>
          </cell>
          <cell r="Z108">
            <v>6.49</v>
          </cell>
          <cell r="AA108">
            <v>9.7140000000000004</v>
          </cell>
          <cell r="AB108">
            <v>9.7140000000000004</v>
          </cell>
          <cell r="AC108">
            <v>9.7140000000000004</v>
          </cell>
          <cell r="AD108">
            <v>9.7140000000000004</v>
          </cell>
          <cell r="AE108">
            <v>9.7140000000000004</v>
          </cell>
          <cell r="AF108">
            <v>9.7140000000000004</v>
          </cell>
          <cell r="AG108">
            <v>9.7140000000000004</v>
          </cell>
        </row>
        <row r="109">
          <cell r="B109" t="str">
            <v xml:space="preserve"> Minority interest in consolidated joint venture</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7.8E-2</v>
          </cell>
          <cell r="Y109">
            <v>0.16300000000000001</v>
          </cell>
          <cell r="Z109">
            <v>23.254999999999999</v>
          </cell>
          <cell r="AA109">
            <v>23.212</v>
          </cell>
          <cell r="AB109">
            <v>23.212</v>
          </cell>
          <cell r="AC109">
            <v>21.712</v>
          </cell>
          <cell r="AD109">
            <v>21.712</v>
          </cell>
          <cell r="AE109">
            <v>21.712</v>
          </cell>
          <cell r="AF109">
            <v>21.712</v>
          </cell>
          <cell r="AG109">
            <v>21.712</v>
          </cell>
        </row>
        <row r="110">
          <cell r="B110" t="str">
            <v>Liabilities - Total</v>
          </cell>
          <cell r="D110">
            <v>64.971999999999994</v>
          </cell>
          <cell r="E110">
            <v>74.656000000000006</v>
          </cell>
          <cell r="F110">
            <v>70.664000000000001</v>
          </cell>
          <cell r="G110">
            <v>86.498000000000005</v>
          </cell>
          <cell r="H110">
            <v>86.498000000000005</v>
          </cell>
          <cell r="I110">
            <v>93.305999999999997</v>
          </cell>
          <cell r="J110">
            <v>100.036</v>
          </cell>
          <cell r="K110">
            <v>107.633</v>
          </cell>
          <cell r="L110">
            <v>141.67600000000002</v>
          </cell>
          <cell r="M110">
            <v>141.67600000000002</v>
          </cell>
          <cell r="N110">
            <v>138.10900000000001</v>
          </cell>
          <cell r="O110">
            <v>169.62</v>
          </cell>
          <cell r="P110">
            <v>148.27500000000001</v>
          </cell>
          <cell r="Q110">
            <v>190.435</v>
          </cell>
          <cell r="R110">
            <v>190.435</v>
          </cell>
          <cell r="S110">
            <v>180.172</v>
          </cell>
          <cell r="T110">
            <v>175.03300000000002</v>
          </cell>
          <cell r="U110">
            <v>186.24299999999999</v>
          </cell>
          <cell r="V110">
            <v>171.1</v>
          </cell>
          <cell r="W110">
            <v>171.1</v>
          </cell>
          <cell r="X110">
            <v>177.73100000000002</v>
          </cell>
          <cell r="Y110">
            <v>195.88400000000001</v>
          </cell>
          <cell r="Z110">
            <v>274.44400000000002</v>
          </cell>
          <cell r="AA110">
            <v>274.09100000000001</v>
          </cell>
          <cell r="AB110">
            <v>274.09100000000001</v>
          </cell>
          <cell r="AC110">
            <v>306.197</v>
          </cell>
          <cell r="AD110">
            <v>332.73329686305351</v>
          </cell>
          <cell r="AE110">
            <v>344.49824419073201</v>
          </cell>
          <cell r="AF110">
            <v>364.38701490266385</v>
          </cell>
          <cell r="AG110">
            <v>364.38701490266385</v>
          </cell>
        </row>
        <row r="112">
          <cell r="B112" t="str">
            <v>Preferred Secuities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row>
        <row r="113">
          <cell r="B113" t="str">
            <v>Common stock</v>
          </cell>
          <cell r="D113">
            <v>0.22299999999999998</v>
          </cell>
          <cell r="E113">
            <v>0.22699999999999998</v>
          </cell>
          <cell r="F113">
            <v>0.22700000000000001</v>
          </cell>
          <cell r="G113">
            <v>0.45400000000000001</v>
          </cell>
          <cell r="H113">
            <v>0.45400000000000001</v>
          </cell>
          <cell r="I113">
            <v>0.45400000000000001</v>
          </cell>
          <cell r="J113">
            <v>0.45400000000000001</v>
          </cell>
          <cell r="K113">
            <v>0.45400000000000001</v>
          </cell>
          <cell r="L113">
            <v>0.45400000000000001</v>
          </cell>
          <cell r="M113">
            <v>0.45400000000000001</v>
          </cell>
          <cell r="N113">
            <v>0.45400000000000001</v>
          </cell>
          <cell r="O113">
            <v>0.45400000000000001</v>
          </cell>
          <cell r="P113">
            <v>0.45400000000000001</v>
          </cell>
          <cell r="Q113">
            <v>0.45400000000000001</v>
          </cell>
          <cell r="R113">
            <v>0.45400000000000001</v>
          </cell>
          <cell r="S113">
            <v>0.45400000000000001</v>
          </cell>
          <cell r="T113">
            <v>0.45400000000000001</v>
          </cell>
          <cell r="U113">
            <v>0.45400000000000001</v>
          </cell>
          <cell r="V113">
            <v>0.45400000000000001</v>
          </cell>
          <cell r="W113">
            <v>0.45400000000000001</v>
          </cell>
          <cell r="X113">
            <v>0.45400000000000001</v>
          </cell>
          <cell r="Y113">
            <v>0.45400000000000001</v>
          </cell>
          <cell r="Z113">
            <v>0.45400000000000001</v>
          </cell>
          <cell r="AA113">
            <v>0.45400000000000001</v>
          </cell>
          <cell r="AB113">
            <v>0.45400000000000001</v>
          </cell>
          <cell r="AC113">
            <v>0.45400000000000001</v>
          </cell>
          <cell r="AD113">
            <v>0.45400000000000001</v>
          </cell>
          <cell r="AE113">
            <v>0.45400000000000001</v>
          </cell>
          <cell r="AF113">
            <v>0.45400000000000001</v>
          </cell>
          <cell r="AG113">
            <v>0.45400000000000001</v>
          </cell>
        </row>
        <row r="114">
          <cell r="B114" t="str">
            <v>Additional paid-in capital</v>
          </cell>
          <cell r="D114">
            <v>160.08500000000001</v>
          </cell>
          <cell r="E114">
            <v>173.834</v>
          </cell>
          <cell r="F114">
            <v>174.291</v>
          </cell>
          <cell r="G114">
            <v>174.279</v>
          </cell>
          <cell r="H114">
            <v>174.279</v>
          </cell>
          <cell r="I114">
            <v>180.65</v>
          </cell>
          <cell r="J114">
            <v>181.316</v>
          </cell>
          <cell r="K114">
            <v>181.47399999999999</v>
          </cell>
          <cell r="L114">
            <v>182.81800000000001</v>
          </cell>
          <cell r="M114">
            <v>182.81800000000001</v>
          </cell>
          <cell r="N114">
            <v>186.26599999999999</v>
          </cell>
          <cell r="O114">
            <v>186.48500000000001</v>
          </cell>
          <cell r="P114">
            <v>186.624</v>
          </cell>
          <cell r="Q114">
            <v>187.15799999999999</v>
          </cell>
          <cell r="R114">
            <v>187.15799999999999</v>
          </cell>
          <cell r="S114">
            <v>187.31100000000001</v>
          </cell>
          <cell r="T114">
            <v>187.762</v>
          </cell>
          <cell r="U114">
            <v>188.90700000000001</v>
          </cell>
          <cell r="V114">
            <v>189.309</v>
          </cell>
          <cell r="W114">
            <v>189.309</v>
          </cell>
          <cell r="X114">
            <v>189.37200000000001</v>
          </cell>
          <cell r="Y114">
            <v>189.50800000000001</v>
          </cell>
          <cell r="Z114">
            <v>190.917</v>
          </cell>
          <cell r="AA114">
            <v>190.524</v>
          </cell>
          <cell r="AB114">
            <v>190.524</v>
          </cell>
          <cell r="AC114">
            <v>190.65199999999999</v>
          </cell>
          <cell r="AD114">
            <v>190.65199999999999</v>
          </cell>
          <cell r="AE114">
            <v>190.65199999999999</v>
          </cell>
          <cell r="AF114">
            <v>190.65199999999999</v>
          </cell>
          <cell r="AG114">
            <v>190.65199999999999</v>
          </cell>
        </row>
        <row r="115">
          <cell r="B115" t="str">
            <v>Accumulated other comprehensive income (loss)</v>
          </cell>
          <cell r="D115">
            <v>-30.734000000000002</v>
          </cell>
          <cell r="E115">
            <v>-31.107000000000003</v>
          </cell>
          <cell r="F115">
            <v>-31.12</v>
          </cell>
          <cell r="G115">
            <v>-29.896999999999998</v>
          </cell>
          <cell r="H115">
            <v>-29.896999999999998</v>
          </cell>
          <cell r="I115">
            <v>-21.007000000000001</v>
          </cell>
          <cell r="J115">
            <v>-20.212</v>
          </cell>
          <cell r="K115">
            <v>-23.606000000000002</v>
          </cell>
          <cell r="L115">
            <v>-22.419</v>
          </cell>
          <cell r="M115">
            <v>-22.419</v>
          </cell>
          <cell r="N115">
            <v>-18.613</v>
          </cell>
          <cell r="O115">
            <v>-18.137</v>
          </cell>
          <cell r="P115">
            <v>-30.058</v>
          </cell>
          <cell r="Q115">
            <v>-30.257999999999999</v>
          </cell>
          <cell r="R115">
            <v>-30.257999999999999</v>
          </cell>
          <cell r="S115">
            <v>-29.2</v>
          </cell>
          <cell r="T115">
            <v>-31.568000000000001</v>
          </cell>
          <cell r="U115">
            <v>-35.704000000000001</v>
          </cell>
          <cell r="V115">
            <v>-34.527000000000001</v>
          </cell>
          <cell r="W115">
            <v>-34.527000000000001</v>
          </cell>
          <cell r="X115">
            <v>-34.81</v>
          </cell>
          <cell r="Y115">
            <v>-34.302</v>
          </cell>
          <cell r="Z115">
            <v>-29.901</v>
          </cell>
          <cell r="AA115">
            <v>-27.975000000000001</v>
          </cell>
          <cell r="AB115">
            <v>-27.975000000000001</v>
          </cell>
          <cell r="AC115">
            <v>-25.286999999999999</v>
          </cell>
          <cell r="AD115">
            <v>-25.286999999999999</v>
          </cell>
          <cell r="AE115">
            <v>-25.286999999999999</v>
          </cell>
          <cell r="AF115">
            <v>-25.286999999999999</v>
          </cell>
          <cell r="AG115">
            <v>-25.286999999999999</v>
          </cell>
        </row>
        <row r="116">
          <cell r="B116" t="str">
            <v>Retained earnings</v>
          </cell>
          <cell r="D116">
            <v>44.448999999999998</v>
          </cell>
          <cell r="E116">
            <v>51.545999999999999</v>
          </cell>
          <cell r="F116">
            <v>59.2</v>
          </cell>
          <cell r="G116">
            <v>65.766999999999996</v>
          </cell>
          <cell r="H116">
            <v>65.766999999999996</v>
          </cell>
          <cell r="I116">
            <v>74.5</v>
          </cell>
          <cell r="J116">
            <v>77.566999999999993</v>
          </cell>
          <cell r="K116">
            <v>85.271000000000001</v>
          </cell>
          <cell r="L116">
            <v>93.486999999999995</v>
          </cell>
          <cell r="M116">
            <v>93.486999999999995</v>
          </cell>
          <cell r="N116">
            <v>103.10599999999999</v>
          </cell>
          <cell r="O116">
            <v>113.816</v>
          </cell>
          <cell r="P116">
            <v>125.511</v>
          </cell>
          <cell r="Q116">
            <v>137.07300000000001</v>
          </cell>
          <cell r="R116">
            <v>137.07300000000001</v>
          </cell>
          <cell r="S116">
            <v>150.25700000000001</v>
          </cell>
          <cell r="T116">
            <v>161.66399999999999</v>
          </cell>
          <cell r="U116">
            <v>173.858</v>
          </cell>
          <cell r="V116">
            <v>187.673</v>
          </cell>
          <cell r="W116">
            <v>187.673</v>
          </cell>
          <cell r="X116">
            <v>199.91200000000001</v>
          </cell>
          <cell r="Y116">
            <v>212.07599999999999</v>
          </cell>
          <cell r="Z116">
            <v>224.71700000000001</v>
          </cell>
          <cell r="AA116">
            <v>232.29900000000001</v>
          </cell>
          <cell r="AB116">
            <v>232.29900000000001</v>
          </cell>
          <cell r="AC116">
            <v>241.922</v>
          </cell>
          <cell r="AD116">
            <v>253.75843153622344</v>
          </cell>
          <cell r="AE116">
            <v>268.00481768046552</v>
          </cell>
          <cell r="AF116">
            <v>285.44298314915437</v>
          </cell>
          <cell r="AG116">
            <v>285.44298314915437</v>
          </cell>
        </row>
        <row r="117">
          <cell r="B117" t="str">
            <v>Equity</v>
          </cell>
          <cell r="D117">
            <v>174.02300000000002</v>
          </cell>
          <cell r="E117">
            <v>194.5</v>
          </cell>
          <cell r="F117">
            <v>202.59800000000001</v>
          </cell>
          <cell r="G117">
            <v>210.60300000000001</v>
          </cell>
          <cell r="H117">
            <v>210.60300000000001</v>
          </cell>
          <cell r="I117">
            <v>234.59700000000001</v>
          </cell>
          <cell r="J117">
            <v>239.125</v>
          </cell>
          <cell r="K117">
            <v>243.59300000000002</v>
          </cell>
          <cell r="L117">
            <v>254.34</v>
          </cell>
          <cell r="M117">
            <v>254.34</v>
          </cell>
          <cell r="N117">
            <v>271.21299999999997</v>
          </cell>
          <cell r="O117">
            <v>282.61800000000005</v>
          </cell>
          <cell r="P117">
            <v>282.53100000000001</v>
          </cell>
          <cell r="Q117">
            <v>294.42700000000002</v>
          </cell>
          <cell r="R117">
            <v>294.42700000000002</v>
          </cell>
          <cell r="S117">
            <v>308.822</v>
          </cell>
          <cell r="T117">
            <v>318.31200000000001</v>
          </cell>
          <cell r="U117">
            <v>327.51499999999999</v>
          </cell>
          <cell r="V117">
            <v>342.90899999999999</v>
          </cell>
          <cell r="W117">
            <v>342.90899999999999</v>
          </cell>
          <cell r="X117">
            <v>354.928</v>
          </cell>
          <cell r="Y117">
            <v>367.73599999999999</v>
          </cell>
          <cell r="Z117">
            <v>386.18700000000001</v>
          </cell>
          <cell r="AA117">
            <v>395.30200000000002</v>
          </cell>
          <cell r="AB117">
            <v>395.30200000000002</v>
          </cell>
          <cell r="AC117">
            <v>407.74099999999999</v>
          </cell>
          <cell r="AD117">
            <v>419.57743153622346</v>
          </cell>
          <cell r="AE117">
            <v>433.82381768046548</v>
          </cell>
          <cell r="AF117">
            <v>451.26198314915439</v>
          </cell>
          <cell r="AG117">
            <v>451.26198314915439</v>
          </cell>
        </row>
        <row r="118">
          <cell r="B118" t="str">
            <v>Total Liabilities and Shareholders Equity</v>
          </cell>
          <cell r="D118">
            <v>238.995</v>
          </cell>
          <cell r="E118">
            <v>269.15600000000001</v>
          </cell>
          <cell r="F118">
            <v>273.262</v>
          </cell>
          <cell r="G118">
            <v>297.101</v>
          </cell>
          <cell r="H118">
            <v>297.101</v>
          </cell>
          <cell r="I118">
            <v>327.90300000000002</v>
          </cell>
          <cell r="J118">
            <v>339.161</v>
          </cell>
          <cell r="K118">
            <v>351.226</v>
          </cell>
          <cell r="L118">
            <v>396.01600000000002</v>
          </cell>
          <cell r="M118">
            <v>396.01600000000002</v>
          </cell>
          <cell r="N118">
            <v>409.322</v>
          </cell>
          <cell r="O118">
            <v>452.23800000000006</v>
          </cell>
          <cell r="P118">
            <v>430.80600000000004</v>
          </cell>
          <cell r="Q118">
            <v>484.86200000000002</v>
          </cell>
          <cell r="R118">
            <v>484.86200000000002</v>
          </cell>
          <cell r="S118">
            <v>488.99400000000003</v>
          </cell>
          <cell r="T118">
            <v>493.34500000000003</v>
          </cell>
          <cell r="U118">
            <v>513.75800000000004</v>
          </cell>
          <cell r="V118">
            <v>514.00900000000001</v>
          </cell>
          <cell r="W118">
            <v>514.00900000000001</v>
          </cell>
          <cell r="X118">
            <v>532.65899999999999</v>
          </cell>
          <cell r="Y118">
            <v>563.62</v>
          </cell>
          <cell r="Z118">
            <v>660.63100000000009</v>
          </cell>
          <cell r="AA118">
            <v>669.39300000000003</v>
          </cell>
          <cell r="AB118">
            <v>669.39300000000003</v>
          </cell>
          <cell r="AC118">
            <v>713.93799999999999</v>
          </cell>
          <cell r="AD118">
            <v>752.31072839927697</v>
          </cell>
          <cell r="AE118">
            <v>778.32206187119755</v>
          </cell>
          <cell r="AF118">
            <v>815.64899805181824</v>
          </cell>
          <cell r="AG118">
            <v>815.64899805181824</v>
          </cell>
        </row>
        <row r="120">
          <cell r="B120" t="str">
            <v>Balance Sheet Check</v>
          </cell>
          <cell r="D120" t="str">
            <v>OK</v>
          </cell>
          <cell r="E120" t="str">
            <v>OK</v>
          </cell>
          <cell r="F120" t="str">
            <v>OK</v>
          </cell>
          <cell r="G120" t="str">
            <v>OK</v>
          </cell>
          <cell r="H120" t="str">
            <v>OK</v>
          </cell>
          <cell r="I120" t="str">
            <v>OK</v>
          </cell>
          <cell r="J120" t="str">
            <v>OK</v>
          </cell>
          <cell r="K120" t="str">
            <v>OK</v>
          </cell>
          <cell r="L120" t="str">
            <v>OK</v>
          </cell>
          <cell r="M120" t="str">
            <v>OK</v>
          </cell>
          <cell r="N120" t="str">
            <v>Balance</v>
          </cell>
          <cell r="O120" t="str">
            <v>OK</v>
          </cell>
          <cell r="P120" t="str">
            <v>OK</v>
          </cell>
          <cell r="Q120" t="str">
            <v>OK</v>
          </cell>
          <cell r="R120" t="str">
            <v>OK</v>
          </cell>
          <cell r="S120" t="str">
            <v>OK</v>
          </cell>
          <cell r="T120" t="str">
            <v>OK</v>
          </cell>
          <cell r="U120" t="str">
            <v>OK</v>
          </cell>
          <cell r="V120" t="str">
            <v>OK</v>
          </cell>
          <cell r="W120" t="str">
            <v>OK</v>
          </cell>
          <cell r="X120" t="str">
            <v>OK</v>
          </cell>
          <cell r="Y120" t="str">
            <v>OK</v>
          </cell>
          <cell r="Z120" t="str">
            <v>OK</v>
          </cell>
          <cell r="AA120" t="str">
            <v>OK</v>
          </cell>
          <cell r="AB120" t="str">
            <v>OK</v>
          </cell>
          <cell r="AC120" t="str">
            <v>OK</v>
          </cell>
          <cell r="AD120" t="str">
            <v>OK</v>
          </cell>
          <cell r="AE120" t="str">
            <v>OK</v>
          </cell>
          <cell r="AF120" t="str">
            <v>OK</v>
          </cell>
          <cell r="AG120" t="str">
            <v>OK</v>
          </cell>
        </row>
        <row r="121">
          <cell r="B121" t="str">
            <v>Balance Sheet Check</v>
          </cell>
          <cell r="D121">
            <v>0</v>
          </cell>
          <cell r="E121">
            <v>0</v>
          </cell>
          <cell r="F121">
            <v>0</v>
          </cell>
          <cell r="G121">
            <v>0</v>
          </cell>
          <cell r="H121">
            <v>0</v>
          </cell>
          <cell r="I121">
            <v>0</v>
          </cell>
          <cell r="J121">
            <v>0</v>
          </cell>
          <cell r="K121">
            <v>0</v>
          </cell>
          <cell r="L121">
            <v>0</v>
          </cell>
          <cell r="M121">
            <v>0</v>
          </cell>
          <cell r="N121">
            <v>0.94099999999997408</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row>
        <row r="123">
          <cell r="B123" t="str">
            <v xml:space="preserve">PHCC DSO without Integrity </v>
          </cell>
        </row>
        <row r="124">
          <cell r="B124" t="str">
            <v>PHCC receivables</v>
          </cell>
          <cell r="X124">
            <v>43.704566185578315</v>
          </cell>
          <cell r="Y124">
            <v>44.493459375256585</v>
          </cell>
          <cell r="Z124">
            <v>44.493459375256585</v>
          </cell>
          <cell r="AA124">
            <v>44.493459375256585</v>
          </cell>
        </row>
        <row r="125">
          <cell r="B125" t="str">
            <v>Integrity receivables</v>
          </cell>
          <cell r="X125">
            <v>192.17699999999999</v>
          </cell>
          <cell r="Y125">
            <v>213.78900000000002</v>
          </cell>
          <cell r="Z125">
            <v>214.62133244003905</v>
          </cell>
          <cell r="AA125">
            <v>224.18072171184076</v>
          </cell>
        </row>
        <row r="126">
          <cell r="B126" t="str">
            <v>Integrity DSOs</v>
          </cell>
          <cell r="X126">
            <v>0</v>
          </cell>
          <cell r="Y126">
            <v>0</v>
          </cell>
          <cell r="Z126">
            <v>22.173667559960933</v>
          </cell>
          <cell r="AA126">
            <v>20.549278288159229</v>
          </cell>
        </row>
        <row r="127">
          <cell r="B127" t="str">
            <v>Bad Debt</v>
          </cell>
        </row>
        <row r="128">
          <cell r="B128" t="str">
            <v>Allowance for Doubtful Accounts as % of Rec</v>
          </cell>
          <cell r="D128">
            <v>2.0578475287211555E-2</v>
          </cell>
          <cell r="E128">
            <v>1.9403364333994002E-2</v>
          </cell>
          <cell r="F128">
            <v>2.3907462963535707E-2</v>
          </cell>
          <cell r="G128">
            <v>2.9746739841901213E-2</v>
          </cell>
          <cell r="H128">
            <v>2.9746739841901213E-2</v>
          </cell>
          <cell r="I128">
            <v>2.8485599847415603E-2</v>
          </cell>
          <cell r="J128">
            <v>2.7143627539097607E-2</v>
          </cell>
          <cell r="K128">
            <v>2.8115637038093878E-2</v>
          </cell>
          <cell r="L128">
            <v>2.7369826435246995E-2</v>
          </cell>
          <cell r="M128">
            <v>2.7369826435246995E-2</v>
          </cell>
          <cell r="N128">
            <v>2.6629585065529243E-2</v>
          </cell>
          <cell r="O128">
            <v>2.8486642854232594E-2</v>
          </cell>
          <cell r="P128">
            <v>3.0811661718030105E-2</v>
          </cell>
          <cell r="Q128">
            <v>3.3215629734617079E-2</v>
          </cell>
          <cell r="R128">
            <v>3.3215629734617079E-2</v>
          </cell>
          <cell r="S128">
            <v>3.3891610514711519E-2</v>
          </cell>
          <cell r="T128">
            <v>3.4261690841228161E-2</v>
          </cell>
          <cell r="U128">
            <v>3.3371982481495116E-2</v>
          </cell>
          <cell r="V128">
            <v>3.1822352298990747E-2</v>
          </cell>
          <cell r="W128">
            <v>3.1822352298990747E-2</v>
          </cell>
          <cell r="X128">
            <v>3.110674014059955E-2</v>
          </cell>
          <cell r="Y128">
            <v>2.9538470173863018E-2</v>
          </cell>
          <cell r="Z128">
            <v>2.8771722375894763E-2</v>
          </cell>
          <cell r="AA128">
            <v>2.8206595023086665E-2</v>
          </cell>
          <cell r="AB128">
            <v>2.8206595023086665E-2</v>
          </cell>
          <cell r="AC128">
            <v>2.6589776102551629E-2</v>
          </cell>
          <cell r="AD128">
            <v>2.5087418971520996E-2</v>
          </cell>
          <cell r="AE128">
            <v>2.4977937052348669E-2</v>
          </cell>
          <cell r="AF128">
            <v>2.474457353731244E-2</v>
          </cell>
          <cell r="AG128">
            <v>2.474457353731244E-2</v>
          </cell>
        </row>
        <row r="129">
          <cell r="B129" t="str">
            <v>Allowance y/y Growth Rate</v>
          </cell>
          <cell r="M129">
            <v>9.6479350033852329E-2</v>
          </cell>
          <cell r="N129">
            <v>0.23736190157348513</v>
          </cell>
          <cell r="O129">
            <v>0.38907284768211925</v>
          </cell>
          <cell r="P129">
            <v>0.52711703139866795</v>
          </cell>
          <cell r="Q129">
            <v>0.67860450756406321</v>
          </cell>
          <cell r="R129">
            <v>0.67860450756406321</v>
          </cell>
          <cell r="S129">
            <v>0.55546536796536783</v>
          </cell>
          <cell r="T129">
            <v>0.4026221692491061</v>
          </cell>
          <cell r="U129">
            <v>0.2612668743509865</v>
          </cell>
          <cell r="V129">
            <v>7.9087732205260775E-3</v>
          </cell>
          <cell r="W129">
            <v>7.9087732205260775E-3</v>
          </cell>
          <cell r="X129">
            <v>3.9833014437293368E-2</v>
          </cell>
          <cell r="Y129">
            <v>7.3249490142760054E-2</v>
          </cell>
          <cell r="Z129">
            <v>0.12185081508315476</v>
          </cell>
          <cell r="AA129">
            <v>0.25967153284671518</v>
          </cell>
          <cell r="AB129">
            <v>0.25967153284671518</v>
          </cell>
          <cell r="AC129">
            <v>0.28036132485781207</v>
          </cell>
        </row>
        <row r="130">
          <cell r="B130" t="str">
            <v>Receivables y/y growth rate</v>
          </cell>
          <cell r="M130">
            <v>0.19170233120185287</v>
          </cell>
          <cell r="N130">
            <v>0.32360289910356665</v>
          </cell>
          <cell r="O130">
            <v>0.32358439690814311</v>
          </cell>
          <cell r="P130">
            <v>0.39349407904123246</v>
          </cell>
          <cell r="Q130">
            <v>0.38317757009345788</v>
          </cell>
          <cell r="R130">
            <v>0.38317757009345788</v>
          </cell>
          <cell r="S130">
            <v>0.22217258795472383</v>
          </cell>
          <cell r="T130">
            <v>0.16620037755836536</v>
          </cell>
          <cell r="U130">
            <v>0.16450163816934582</v>
          </cell>
          <cell r="V130">
            <v>5.2038023557010815E-2</v>
          </cell>
          <cell r="W130">
            <v>5.2038023557010815E-2</v>
          </cell>
          <cell r="X130">
            <v>0.13292538422085842</v>
          </cell>
          <cell r="Y130">
            <v>0.24486278437378073</v>
          </cell>
          <cell r="Z130">
            <v>0.30122156952175794</v>
          </cell>
          <cell r="AA130">
            <v>0.42114676608248258</v>
          </cell>
          <cell r="AB130">
            <v>0.42114676608248258</v>
          </cell>
          <cell r="AC130">
            <v>0.49786394833929148</v>
          </cell>
        </row>
        <row r="133">
          <cell r="B133" t="str">
            <v>Days receivable</v>
          </cell>
          <cell r="D133">
            <v>61.016207992501073</v>
          </cell>
          <cell r="E133">
            <v>61.412387301109547</v>
          </cell>
          <cell r="F133">
            <v>59.916457945506856</v>
          </cell>
          <cell r="G133">
            <v>58.767786151122309</v>
          </cell>
          <cell r="H133">
            <v>15.498969908852541</v>
          </cell>
          <cell r="I133">
            <v>56.838148812564597</v>
          </cell>
          <cell r="J133">
            <v>50.616094486932766</v>
          </cell>
          <cell r="K133">
            <v>48.793366519806995</v>
          </cell>
          <cell r="L133">
            <v>47.682307305097297</v>
          </cell>
          <cell r="M133">
            <v>13.412544092806042</v>
          </cell>
          <cell r="N133">
            <v>47.530600622239241</v>
          </cell>
          <cell r="O133">
            <v>46.177675868301954</v>
          </cell>
          <cell r="P133">
            <v>46.59934838517821</v>
          </cell>
          <cell r="Q133">
            <v>44.331782053032406</v>
          </cell>
          <cell r="R133">
            <v>12.443053971580925</v>
          </cell>
          <cell r="S133">
            <v>44.032345126575613</v>
          </cell>
          <cell r="T133">
            <v>44.709524346161416</v>
          </cell>
          <cell r="U133">
            <v>45.763690041476622</v>
          </cell>
          <cell r="V133">
            <v>39.589331603345777</v>
          </cell>
          <cell r="W133">
            <v>42.998164605410686</v>
          </cell>
          <cell r="X133">
            <v>43.704566185578315</v>
          </cell>
          <cell r="Y133">
            <v>44.493459375256585</v>
          </cell>
          <cell r="Z133">
            <v>49.090314522706564</v>
          </cell>
          <cell r="AA133">
            <v>48.571903193812481</v>
          </cell>
          <cell r="AB133">
            <v>51.348313250380258</v>
          </cell>
          <cell r="AC133">
            <v>53.964569966368153</v>
          </cell>
          <cell r="AD133">
            <v>51</v>
          </cell>
          <cell r="AE133">
            <v>50</v>
          </cell>
          <cell r="AF133">
            <v>48</v>
          </cell>
          <cell r="AG133">
            <v>53.995340473532082</v>
          </cell>
        </row>
        <row r="134">
          <cell r="B134" t="str">
            <v>Inventory turns</v>
          </cell>
          <cell r="D134">
            <v>15.274572376818995</v>
          </cell>
          <cell r="E134">
            <v>20.80138670536542</v>
          </cell>
          <cell r="F134">
            <v>19.352290444724925</v>
          </cell>
          <cell r="G134">
            <v>11.086713487172137</v>
          </cell>
          <cell r="H134">
            <v>42.12698867708184</v>
          </cell>
          <cell r="I134">
            <v>14.075395683453236</v>
          </cell>
          <cell r="J134">
            <v>14.414074163741272</v>
          </cell>
          <cell r="K134">
            <v>14.881097682581467</v>
          </cell>
          <cell r="L134">
            <v>10.860730778578951</v>
          </cell>
          <cell r="M134">
            <v>38.508790407518426</v>
          </cell>
          <cell r="N134">
            <v>13.325843329391226</v>
          </cell>
          <cell r="O134">
            <v>11.365669998678939</v>
          </cell>
          <cell r="P134">
            <v>13.596092023307213</v>
          </cell>
          <cell r="Q134">
            <v>10.967551839711241</v>
          </cell>
          <cell r="R134">
            <v>39.158078892121836</v>
          </cell>
          <cell r="S134">
            <v>11.971153291409451</v>
          </cell>
          <cell r="T134">
            <v>11.670075008396463</v>
          </cell>
          <cell r="U134">
            <v>12.997418460518519</v>
          </cell>
          <cell r="V134">
            <v>12.028801037383342</v>
          </cell>
          <cell r="W134">
            <v>11.090003241822929</v>
          </cell>
          <cell r="X134">
            <v>13.836883678711446</v>
          </cell>
          <cell r="Y134">
            <v>14.990024723412784</v>
          </cell>
          <cell r="Z134">
            <v>14.396263137407551</v>
          </cell>
          <cell r="AA134">
            <v>14.476806137671378</v>
          </cell>
          <cell r="AB134">
            <v>13.734522625559421</v>
          </cell>
          <cell r="AC134">
            <v>14.761376021798366</v>
          </cell>
          <cell r="AD134">
            <v>15</v>
          </cell>
          <cell r="AE134">
            <v>15</v>
          </cell>
          <cell r="AF134">
            <v>15</v>
          </cell>
          <cell r="AG134">
            <v>13.359735709719359</v>
          </cell>
        </row>
        <row r="135">
          <cell r="B135" t="str">
            <v>Days payables</v>
          </cell>
          <cell r="D135">
            <v>45.234182398609406</v>
          </cell>
          <cell r="E135">
            <v>45.350199604666493</v>
          </cell>
          <cell r="F135">
            <v>46.085002838990853</v>
          </cell>
          <cell r="G135">
            <v>52.078817797674468</v>
          </cell>
          <cell r="H135">
            <v>13.705772707831091</v>
          </cell>
          <cell r="I135">
            <v>50.846801398429839</v>
          </cell>
          <cell r="J135">
            <v>45.400211072044435</v>
          </cell>
          <cell r="K135">
            <v>44.82570279079242</v>
          </cell>
          <cell r="L135">
            <v>52.707640204693625</v>
          </cell>
          <cell r="M135">
            <v>14.865268012303446</v>
          </cell>
          <cell r="N135">
            <v>41.729964247528812</v>
          </cell>
          <cell r="O135">
            <v>49.649534294448337</v>
          </cell>
          <cell r="P135">
            <v>39.96180325930743</v>
          </cell>
          <cell r="Q135">
            <v>43.717753039156435</v>
          </cell>
          <cell r="R135">
            <v>12.244643668387603</v>
          </cell>
          <cell r="S135">
            <v>44.380457936538534</v>
          </cell>
          <cell r="T135">
            <v>45.028723502908328</v>
          </cell>
          <cell r="U135">
            <v>44.504131592695757</v>
          </cell>
          <cell r="V135">
            <v>39.228403423565503</v>
          </cell>
          <cell r="W135">
            <v>42.549190429155622</v>
          </cell>
          <cell r="X135">
            <v>38.850598777321835</v>
          </cell>
          <cell r="Y135">
            <v>38.164458015461619</v>
          </cell>
          <cell r="Z135">
            <v>38.342990018849846</v>
          </cell>
          <cell r="AA135">
            <v>38.948602114922224</v>
          </cell>
          <cell r="AB135">
            <v>41.053582823601062</v>
          </cell>
          <cell r="AC135">
            <v>42.043377388704045</v>
          </cell>
          <cell r="AD135">
            <v>42</v>
          </cell>
          <cell r="AE135">
            <v>42</v>
          </cell>
          <cell r="AF135">
            <v>42</v>
          </cell>
          <cell r="AG135">
            <v>47.1566214847849</v>
          </cell>
        </row>
        <row r="136">
          <cell r="B136" t="str">
            <v>EBITDA/Interest Expense</v>
          </cell>
          <cell r="D136">
            <v>8.387873754152821</v>
          </cell>
          <cell r="E136">
            <v>6.6978557504873377</v>
          </cell>
          <cell r="F136">
            <v>5.30875804057397</v>
          </cell>
          <cell r="G136">
            <v>3.6400742115027809</v>
          </cell>
          <cell r="H136">
            <v>5.633526011560698</v>
          </cell>
          <cell r="I136">
            <v>6.7426588360918389</v>
          </cell>
          <cell r="J136">
            <v>2.7901234567901296</v>
          </cell>
          <cell r="K136">
            <v>8.5470884255930901</v>
          </cell>
          <cell r="L136">
            <v>11.094097519247283</v>
          </cell>
          <cell r="M136">
            <v>6.9961486939048898</v>
          </cell>
          <cell r="N136">
            <v>17.495963091118782</v>
          </cell>
          <cell r="O136">
            <v>25.518628912071556</v>
          </cell>
          <cell r="P136">
            <v>37.165354330708709</v>
          </cell>
          <cell r="Q136">
            <v>31.899317406143549</v>
          </cell>
          <cell r="R136">
            <v>26.544452887538007</v>
          </cell>
          <cell r="S136">
            <v>46.767895878524868</v>
          </cell>
          <cell r="T136">
            <v>54.085470085470064</v>
          </cell>
          <cell r="U136">
            <v>82.890243902439082</v>
          </cell>
          <cell r="V136">
            <v>94.245901639342975</v>
          </cell>
          <cell r="W136">
            <v>64.463133640552854</v>
          </cell>
          <cell r="X136" t="str">
            <v>NM</v>
          </cell>
          <cell r="Y136" t="str">
            <v>NM</v>
          </cell>
          <cell r="Z136" t="str">
            <v>NM</v>
          </cell>
          <cell r="AA136">
            <v>44.301176470588288</v>
          </cell>
          <cell r="AB136" t="str">
            <v>NM</v>
          </cell>
          <cell r="AC136">
            <v>33.302912621359191</v>
          </cell>
          <cell r="AD136" t="str">
            <v>NM</v>
          </cell>
          <cell r="AE136" t="str">
            <v>NM</v>
          </cell>
          <cell r="AF136" t="str">
            <v>NM</v>
          </cell>
          <cell r="AG136" t="str">
            <v>NM</v>
          </cell>
        </row>
        <row r="137">
          <cell r="B137" t="str">
            <v>Debt to total capitalization</v>
          </cell>
          <cell r="D137">
            <v>3.1467577931510428E-2</v>
          </cell>
          <cell r="E137">
            <v>5.1413856673266936E-2</v>
          </cell>
          <cell r="F137">
            <v>2.3346397288867678E-2</v>
          </cell>
          <cell r="G137">
            <v>4.2034351631156638E-2</v>
          </cell>
          <cell r="H137">
            <v>4.2034351631156638E-2</v>
          </cell>
          <cell r="I137">
            <v>4.6888330936304026E-2</v>
          </cell>
          <cell r="J137">
            <v>4.4627339739107853E-2</v>
          </cell>
          <cell r="K137">
            <v>0</v>
          </cell>
          <cell r="L137">
            <v>8.8863892013498313E-2</v>
          </cell>
          <cell r="M137">
            <v>8.8863892013498313E-2</v>
          </cell>
          <cell r="N137">
            <v>9.7121380086355291E-2</v>
          </cell>
          <cell r="O137">
            <v>9.1497069894979105E-2</v>
          </cell>
          <cell r="P137">
            <v>9.3135225182717205E-2</v>
          </cell>
          <cell r="Q137">
            <v>0.13371974990805444</v>
          </cell>
          <cell r="R137">
            <v>0.13371974990805444</v>
          </cell>
          <cell r="S137">
            <v>7.8957100591715984E-2</v>
          </cell>
          <cell r="T137">
            <v>5.4629261135827688E-2</v>
          </cell>
          <cell r="U137">
            <v>7.3950501740327829E-2</v>
          </cell>
          <cell r="V137">
            <v>3.6861751579207548E-2</v>
          </cell>
          <cell r="W137">
            <v>3.6861751579207548E-2</v>
          </cell>
          <cell r="X137">
            <v>5.0039612016358696E-2</v>
          </cell>
          <cell r="Y137">
            <v>5.1654864015927136E-2</v>
          </cell>
          <cell r="Z137">
            <v>8.5809448058404111E-2</v>
          </cell>
          <cell r="AA137">
            <v>6.372688343186296E-2</v>
          </cell>
          <cell r="AB137">
            <v>6.372688343186296E-2</v>
          </cell>
          <cell r="AC137">
            <v>6.7928962160852382E-2</v>
          </cell>
          <cell r="AD137">
            <v>6.6139404483157249E-2</v>
          </cell>
          <cell r="AE137">
            <v>6.4106682676577098E-2</v>
          </cell>
          <cell r="AF137">
            <v>6.1782453752742515E-2</v>
          </cell>
          <cell r="AG137">
            <v>6.1782453752742515E-2</v>
          </cell>
        </row>
        <row r="138">
          <cell r="B138" t="str">
            <v>Bad debt allowance (% of receivables)</v>
          </cell>
          <cell r="D138">
            <v>2.0578475287211555E-2</v>
          </cell>
          <cell r="E138">
            <v>1.9403364333994002E-2</v>
          </cell>
          <cell r="F138">
            <v>2.3907462963535707E-2</v>
          </cell>
          <cell r="G138">
            <v>2.9746739841901213E-2</v>
          </cell>
          <cell r="H138">
            <v>2.9746739841901213E-2</v>
          </cell>
          <cell r="I138">
            <v>2.8485599847415603E-2</v>
          </cell>
          <cell r="J138">
            <v>2.7143627539097607E-2</v>
          </cell>
          <cell r="K138">
            <v>2.8115637038093878E-2</v>
          </cell>
          <cell r="L138">
            <v>2.7369826435246995E-2</v>
          </cell>
          <cell r="M138">
            <v>2.7369826435246995E-2</v>
          </cell>
          <cell r="N138">
            <v>2.6629585065529243E-2</v>
          </cell>
          <cell r="O138">
            <v>2.8486642854232594E-2</v>
          </cell>
          <cell r="P138">
            <v>3.0811661718030105E-2</v>
          </cell>
          <cell r="Q138">
            <v>3.3215629734617079E-2</v>
          </cell>
          <cell r="R138">
            <v>3.3215629734617079E-2</v>
          </cell>
          <cell r="S138">
            <v>3.3891610514711519E-2</v>
          </cell>
          <cell r="T138">
            <v>3.4261690841228161E-2</v>
          </cell>
          <cell r="U138">
            <v>3.3371982481495116E-2</v>
          </cell>
          <cell r="V138">
            <v>3.1822352298990747E-2</v>
          </cell>
          <cell r="W138">
            <v>3.1822352298990747E-2</v>
          </cell>
          <cell r="X138">
            <v>3.110674014059955E-2</v>
          </cell>
          <cell r="Y138">
            <v>2.9538470173863018E-2</v>
          </cell>
          <cell r="Z138">
            <v>2.8771722375894763E-2</v>
          </cell>
          <cell r="AA138">
            <v>2.8206595023086665E-2</v>
          </cell>
          <cell r="AB138">
            <v>2.8206595023086665E-2</v>
          </cell>
          <cell r="AC138">
            <v>2.6589776102551629E-2</v>
          </cell>
          <cell r="AD138">
            <v>2.5087418971520996E-2</v>
          </cell>
          <cell r="AE138">
            <v>2.4977937052348669E-2</v>
          </cell>
          <cell r="AF138">
            <v>2.474457353731244E-2</v>
          </cell>
          <cell r="AG138">
            <v>2.474457353731244E-2</v>
          </cell>
        </row>
        <row r="140">
          <cell r="B140" t="str">
            <v>CASH FLOW STATEMENT</v>
          </cell>
          <cell r="D140" t="str">
            <v>Fiscal Year End, December 2000</v>
          </cell>
          <cell r="I140" t="str">
            <v>Fiscal Year End, December 2001</v>
          </cell>
          <cell r="N140" t="str">
            <v>Fiscal Year End, December 2002</v>
          </cell>
          <cell r="S140" t="str">
            <v>Fiscal Year End, December 2003</v>
          </cell>
          <cell r="X140" t="str">
            <v>Fiscal Year End, December 2004</v>
          </cell>
          <cell r="AC140" t="str">
            <v>Fiscal Year End, December 2005</v>
          </cell>
        </row>
        <row r="141">
          <cell r="D141" t="str">
            <v>1QA</v>
          </cell>
          <cell r="E141" t="str">
            <v>2QA</v>
          </cell>
          <cell r="F141" t="str">
            <v>3QA</v>
          </cell>
          <cell r="G141" t="str">
            <v>4QA</v>
          </cell>
          <cell r="H141" t="str">
            <v>FY00</v>
          </cell>
          <cell r="I141" t="str">
            <v>1QA</v>
          </cell>
          <cell r="J141" t="str">
            <v>2QA</v>
          </cell>
          <cell r="K141" t="str">
            <v>3QA</v>
          </cell>
          <cell r="L141" t="str">
            <v>4QA</v>
          </cell>
          <cell r="M141" t="str">
            <v>FY01</v>
          </cell>
          <cell r="N141" t="str">
            <v>1QA</v>
          </cell>
          <cell r="O141" t="str">
            <v>2QA</v>
          </cell>
          <cell r="P141" t="str">
            <v>3QA</v>
          </cell>
          <cell r="Q141" t="str">
            <v>4QA</v>
          </cell>
          <cell r="R141" t="str">
            <v>FY02</v>
          </cell>
          <cell r="S141" t="str">
            <v>1QA</v>
          </cell>
          <cell r="T141" t="str">
            <v>2QA</v>
          </cell>
          <cell r="U141" t="str">
            <v>3QA</v>
          </cell>
          <cell r="V141" t="str">
            <v>4QA</v>
          </cell>
          <cell r="W141" t="str">
            <v>FY03</v>
          </cell>
          <cell r="X141" t="str">
            <v>1QA</v>
          </cell>
          <cell r="Y141" t="str">
            <v>2QA</v>
          </cell>
          <cell r="Z141" t="str">
            <v>3QA</v>
          </cell>
          <cell r="AA141" t="str">
            <v>4QA</v>
          </cell>
          <cell r="AB141" t="str">
            <v>FY04</v>
          </cell>
          <cell r="AC141" t="str">
            <v>1QA</v>
          </cell>
          <cell r="AD141" t="str">
            <v>2QE</v>
          </cell>
          <cell r="AE141" t="str">
            <v>3QE</v>
          </cell>
          <cell r="AF141" t="str">
            <v>4QE</v>
          </cell>
          <cell r="AG141" t="str">
            <v>FY 05E</v>
          </cell>
        </row>
        <row r="143">
          <cell r="B143" t="str">
            <v>Net income</v>
          </cell>
          <cell r="D143">
            <v>6.7609999999999966</v>
          </cell>
          <cell r="E143">
            <v>7.0970000000000111</v>
          </cell>
          <cell r="F143">
            <v>7.6539999999999901</v>
          </cell>
          <cell r="G143">
            <v>6.5670000000000019</v>
          </cell>
          <cell r="H143">
            <v>28.079000000000033</v>
          </cell>
          <cell r="I143">
            <v>8.733000000000013</v>
          </cell>
          <cell r="J143">
            <v>3.0670000000000091</v>
          </cell>
          <cell r="K143">
            <v>7.7039999999999891</v>
          </cell>
          <cell r="L143">
            <v>8.2160000000000792</v>
          </cell>
          <cell r="M143">
            <v>27.72000000000001</v>
          </cell>
          <cell r="N143">
            <v>9.618999999999982</v>
          </cell>
          <cell r="O143">
            <v>10.710000000000015</v>
          </cell>
          <cell r="P143">
            <v>11.695000000000023</v>
          </cell>
          <cell r="Q143">
            <v>11.562000000000122</v>
          </cell>
          <cell r="R143">
            <v>43.586000000000041</v>
          </cell>
          <cell r="S143">
            <v>13.183999999999966</v>
          </cell>
          <cell r="T143">
            <v>11.406999999999993</v>
          </cell>
          <cell r="U143">
            <v>12.194000000000013</v>
          </cell>
          <cell r="V143">
            <v>13.814999999999863</v>
          </cell>
          <cell r="W143">
            <v>50.599999999999838</v>
          </cell>
          <cell r="X143">
            <v>12.238999999999976</v>
          </cell>
          <cell r="Y143">
            <v>12.164000000000023</v>
          </cell>
          <cell r="Z143">
            <v>12.641000000000002</v>
          </cell>
          <cell r="AA143">
            <v>7.5820000000000221</v>
          </cell>
          <cell r="AB143">
            <v>44.626000000000019</v>
          </cell>
          <cell r="AC143">
            <v>9.6229999999999798</v>
          </cell>
          <cell r="AD143">
            <v>11.836431536223449</v>
          </cell>
          <cell r="AE143">
            <v>14.246386144242056</v>
          </cell>
          <cell r="AF143">
            <v>17.438165468688851</v>
          </cell>
          <cell r="AG143">
            <v>53.143983149154337</v>
          </cell>
        </row>
        <row r="144">
          <cell r="B144" t="str">
            <v>Depreciation and amortization</v>
          </cell>
          <cell r="D144">
            <v>0.34499999999999997</v>
          </cell>
          <cell r="E144">
            <v>0.34499999999999997</v>
          </cell>
          <cell r="F144">
            <v>0.34499999999999997</v>
          </cell>
          <cell r="G144">
            <v>0.30000000000000004</v>
          </cell>
          <cell r="H144">
            <v>1.335</v>
          </cell>
          <cell r="I144">
            <v>0.52900000000000003</v>
          </cell>
          <cell r="J144">
            <v>0.92600000000000005</v>
          </cell>
          <cell r="K144">
            <v>0.95299999999999974</v>
          </cell>
          <cell r="L144">
            <v>0.99199999999999988</v>
          </cell>
          <cell r="M144">
            <v>3.4</v>
          </cell>
          <cell r="N144">
            <v>0.64600000000000002</v>
          </cell>
          <cell r="O144">
            <v>0.65699999999999992</v>
          </cell>
          <cell r="P144">
            <v>0.67699999999999994</v>
          </cell>
          <cell r="Q144">
            <v>0.77999999999999969</v>
          </cell>
          <cell r="R144">
            <v>2.76</v>
          </cell>
          <cell r="S144">
            <v>0.92700000000000005</v>
          </cell>
          <cell r="T144">
            <v>1.0829999999999997</v>
          </cell>
          <cell r="U144">
            <v>1.1270000000000002</v>
          </cell>
          <cell r="V144">
            <v>1.1359999999999997</v>
          </cell>
          <cell r="W144">
            <v>4.2729999999999997</v>
          </cell>
          <cell r="X144">
            <v>1.369</v>
          </cell>
          <cell r="Y144">
            <v>1.43</v>
          </cell>
          <cell r="Z144">
            <v>1.7780000000000002</v>
          </cell>
          <cell r="AA144">
            <v>2.0140000000000002</v>
          </cell>
          <cell r="AB144">
            <v>6.5910000000000002</v>
          </cell>
          <cell r="AC144">
            <v>2.6150000000000002</v>
          </cell>
          <cell r="AD144">
            <v>2.9217499999999998</v>
          </cell>
          <cell r="AE144">
            <v>3.3342499999999999</v>
          </cell>
          <cell r="AF144">
            <v>3.3342499999999999</v>
          </cell>
          <cell r="AG144">
            <v>12.205249999999999</v>
          </cell>
        </row>
        <row r="145">
          <cell r="B145" t="str">
            <v>Provision for losses on accounts receivable</v>
          </cell>
          <cell r="D145">
            <v>0.38400000000000001</v>
          </cell>
          <cell r="E145">
            <v>0.124</v>
          </cell>
          <cell r="F145">
            <v>0.67299999999999993</v>
          </cell>
          <cell r="G145">
            <v>4.4290000000000003</v>
          </cell>
          <cell r="H145">
            <v>5.61</v>
          </cell>
          <cell r="I145">
            <v>0.35099999999999998</v>
          </cell>
          <cell r="J145">
            <v>4.3029999999999999</v>
          </cell>
          <cell r="K145">
            <v>0.14900000000000002</v>
          </cell>
          <cell r="L145">
            <v>0.11699999999999999</v>
          </cell>
          <cell r="M145">
            <v>4.92</v>
          </cell>
          <cell r="N145">
            <v>0.46700000000000003</v>
          </cell>
          <cell r="O145">
            <v>0.88300000000000001</v>
          </cell>
          <cell r="P145">
            <v>0.39900000000000008</v>
          </cell>
          <cell r="Q145">
            <v>0.69999999999999973</v>
          </cell>
          <cell r="R145">
            <v>2.4489999999999998</v>
          </cell>
          <cell r="S145">
            <v>0.57599999999999996</v>
          </cell>
          <cell r="T145">
            <v>0.50900000000000001</v>
          </cell>
          <cell r="U145">
            <v>0.75700000000000023</v>
          </cell>
          <cell r="V145">
            <v>0.35499999999999998</v>
          </cell>
          <cell r="W145">
            <v>2.1970000000000001</v>
          </cell>
          <cell r="X145">
            <v>0.70099999999999996</v>
          </cell>
          <cell r="Y145">
            <v>0.77800000000000014</v>
          </cell>
          <cell r="Z145">
            <v>1.0840000000000001</v>
          </cell>
          <cell r="AA145">
            <v>3.5779999999999998</v>
          </cell>
          <cell r="AB145">
            <v>6.141</v>
          </cell>
          <cell r="AC145">
            <v>1.044</v>
          </cell>
          <cell r="AD145">
            <v>0</v>
          </cell>
          <cell r="AE145">
            <v>0</v>
          </cell>
          <cell r="AF145">
            <v>0</v>
          </cell>
          <cell r="AG145">
            <v>1.044</v>
          </cell>
        </row>
        <row r="146">
          <cell r="B146" t="str">
            <v>Deferred income taxes</v>
          </cell>
          <cell r="D146">
            <v>0</v>
          </cell>
          <cell r="E146">
            <v>0</v>
          </cell>
          <cell r="F146">
            <v>0</v>
          </cell>
          <cell r="G146">
            <v>-1.218</v>
          </cell>
          <cell r="H146">
            <v>-1.218</v>
          </cell>
          <cell r="I146">
            <v>0</v>
          </cell>
          <cell r="J146">
            <v>0</v>
          </cell>
          <cell r="K146">
            <v>1.466</v>
          </cell>
          <cell r="L146">
            <v>3.2000000000000028E-2</v>
          </cell>
          <cell r="M146">
            <v>1.498</v>
          </cell>
          <cell r="N146">
            <v>0</v>
          </cell>
          <cell r="O146">
            <v>0</v>
          </cell>
          <cell r="P146">
            <v>0</v>
          </cell>
          <cell r="Q146">
            <v>0.54300000000000004</v>
          </cell>
          <cell r="R146">
            <v>0.54300000000000004</v>
          </cell>
          <cell r="S146">
            <v>0</v>
          </cell>
          <cell r="T146">
            <v>0</v>
          </cell>
          <cell r="U146">
            <v>0</v>
          </cell>
          <cell r="V146">
            <v>5.0119999999999996</v>
          </cell>
          <cell r="W146">
            <v>5.0119999999999996</v>
          </cell>
          <cell r="X146">
            <v>0</v>
          </cell>
          <cell r="Y146">
            <v>0</v>
          </cell>
          <cell r="Z146">
            <v>0</v>
          </cell>
          <cell r="AA146">
            <v>2.5259999999999998</v>
          </cell>
          <cell r="AB146">
            <v>2.5259999999999998</v>
          </cell>
          <cell r="AC146">
            <v>0</v>
          </cell>
          <cell r="AD146">
            <v>-1.5374999999999694E-2</v>
          </cell>
          <cell r="AE146">
            <v>-1.5451874999999671E-2</v>
          </cell>
          <cell r="AF146">
            <v>-1.5529134374999476E-2</v>
          </cell>
          <cell r="AG146">
            <v>-4.6356009374998841E-2</v>
          </cell>
        </row>
        <row r="147">
          <cell r="B147" t="str">
            <v>Tax benefit of exercise of stock options</v>
          </cell>
          <cell r="D147">
            <v>0</v>
          </cell>
          <cell r="E147">
            <v>0</v>
          </cell>
          <cell r="F147">
            <v>12.436999999999999</v>
          </cell>
          <cell r="G147">
            <v>0.22300000000000075</v>
          </cell>
          <cell r="H147">
            <v>12.66</v>
          </cell>
          <cell r="I147">
            <v>8.8070000000000004</v>
          </cell>
          <cell r="J147">
            <v>0.54999999999999893</v>
          </cell>
          <cell r="K147">
            <v>0.10599999999999987</v>
          </cell>
          <cell r="L147">
            <v>0.13800000000000168</v>
          </cell>
          <cell r="M147">
            <v>9.6010000000000009</v>
          </cell>
          <cell r="N147">
            <v>0.35599999999999998</v>
          </cell>
          <cell r="O147">
            <v>0.16500000000000004</v>
          </cell>
          <cell r="P147">
            <v>0.371</v>
          </cell>
          <cell r="Q147">
            <v>5.1999999999999935E-2</v>
          </cell>
          <cell r="R147">
            <v>0.94399999999999995</v>
          </cell>
          <cell r="S147">
            <v>0.20300000000000001</v>
          </cell>
          <cell r="T147">
            <v>4.2999999999999983E-2</v>
          </cell>
          <cell r="U147">
            <v>0.17599999999999999</v>
          </cell>
          <cell r="V147">
            <v>0.25000000000000006</v>
          </cell>
          <cell r="W147">
            <v>0.67200000000000004</v>
          </cell>
          <cell r="X147">
            <v>0.14499999999999999</v>
          </cell>
          <cell r="Y147">
            <v>4.0000000000000036E-3</v>
          </cell>
          <cell r="Z147">
            <v>5.2000000000000018E-2</v>
          </cell>
          <cell r="AA147">
            <v>0.59799999999999998</v>
          </cell>
          <cell r="AB147">
            <v>0.79900000000000004</v>
          </cell>
          <cell r="AC147">
            <v>0.47199999999999998</v>
          </cell>
          <cell r="AD147">
            <v>0</v>
          </cell>
          <cell r="AE147">
            <v>0</v>
          </cell>
          <cell r="AF147">
            <v>0</v>
          </cell>
          <cell r="AG147">
            <v>0.47199999999999998</v>
          </cell>
        </row>
        <row r="148">
          <cell r="B148" t="str">
            <v>Compensation expense on stock grants</v>
          </cell>
          <cell r="D148">
            <v>0</v>
          </cell>
          <cell r="E148">
            <v>0</v>
          </cell>
          <cell r="G148">
            <v>0.03</v>
          </cell>
          <cell r="H148">
            <v>0.03</v>
          </cell>
          <cell r="I148">
            <v>0</v>
          </cell>
          <cell r="J148">
            <v>0</v>
          </cell>
          <cell r="K148">
            <v>0</v>
          </cell>
          <cell r="M148">
            <v>0.03</v>
          </cell>
          <cell r="N148">
            <v>0</v>
          </cell>
          <cell r="O148">
            <v>0</v>
          </cell>
          <cell r="P148">
            <v>0</v>
          </cell>
          <cell r="R148">
            <v>0.03</v>
          </cell>
          <cell r="S148">
            <v>0.26700000000000002</v>
          </cell>
          <cell r="T148">
            <v>0.19700000000000001</v>
          </cell>
          <cell r="U148">
            <v>0.15499999999999997</v>
          </cell>
          <cell r="V148">
            <v>0.31300000000000006</v>
          </cell>
          <cell r="W148">
            <v>0.93200000000000005</v>
          </cell>
          <cell r="X148">
            <v>0.249</v>
          </cell>
          <cell r="Y148">
            <v>0.31200000000000006</v>
          </cell>
          <cell r="Z148">
            <v>0.27399999999999991</v>
          </cell>
          <cell r="AA148">
            <v>0.36899999999999999</v>
          </cell>
          <cell r="AB148">
            <v>1.204</v>
          </cell>
          <cell r="AC148">
            <v>0.25800000000000001</v>
          </cell>
          <cell r="AD148">
            <v>0.25800000000000001</v>
          </cell>
          <cell r="AE148">
            <v>0.25800000000000001</v>
          </cell>
          <cell r="AF148">
            <v>0.25800000000000001</v>
          </cell>
          <cell r="AG148">
            <v>1.032</v>
          </cell>
        </row>
        <row r="149">
          <cell r="B149" t="str">
            <v>Undistributed earnings of joint ventures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8.5000000000000006E-2</v>
          </cell>
          <cell r="Z149">
            <v>23.091999999999999</v>
          </cell>
          <cell r="AA149">
            <v>-23.177</v>
          </cell>
          <cell r="AB149">
            <v>0</v>
          </cell>
          <cell r="AC149">
            <v>0</v>
          </cell>
          <cell r="AD149">
            <v>0</v>
          </cell>
          <cell r="AE149">
            <v>0</v>
          </cell>
          <cell r="AF149">
            <v>0</v>
          </cell>
          <cell r="AG149">
            <v>0</v>
          </cell>
        </row>
        <row r="150">
          <cell r="B150" t="str">
            <v>Minority interest income of consolidated joint venture</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7.8E-2</v>
          </cell>
          <cell r="Y150">
            <v>8.5000000000000006E-2</v>
          </cell>
          <cell r="Z150">
            <v>9.1999999999999985E-2</v>
          </cell>
          <cell r="AA150">
            <v>-4.2999999999999997E-2</v>
          </cell>
          <cell r="AB150">
            <v>0.21199999999999999</v>
          </cell>
          <cell r="AC150">
            <v>-1.5</v>
          </cell>
          <cell r="AD150">
            <v>0.86357001000000055</v>
          </cell>
          <cell r="AE150">
            <v>0.20375000000000015</v>
          </cell>
          <cell r="AF150">
            <v>-0.33125000000000004</v>
          </cell>
          <cell r="AG150">
            <v>-0.76392998999999939</v>
          </cell>
        </row>
        <row r="151">
          <cell r="B151" t="str">
            <v>Changes in working capital</v>
          </cell>
        </row>
        <row r="152">
          <cell r="B152" t="str">
            <v>Patient and other receivables</v>
          </cell>
          <cell r="D152">
            <v>-2.9</v>
          </cell>
          <cell r="E152">
            <v>-7.1999999999999993</v>
          </cell>
          <cell r="F152">
            <v>0.71299999999999875</v>
          </cell>
          <cell r="G152">
            <v>-6.7349999999999977</v>
          </cell>
          <cell r="H152">
            <v>-16.122</v>
          </cell>
          <cell r="I152">
            <v>-1.4330000000000001</v>
          </cell>
          <cell r="J152">
            <v>-7.3460000000000001</v>
          </cell>
          <cell r="K152">
            <v>-1.0329999999999993</v>
          </cell>
          <cell r="L152">
            <v>-5.088000000000001</v>
          </cell>
          <cell r="M152">
            <v>-14.9</v>
          </cell>
          <cell r="N152">
            <v>-18.027999999999999</v>
          </cell>
          <cell r="O152">
            <v>-9.3520000000000003</v>
          </cell>
          <cell r="P152">
            <v>-9.4090000000000025</v>
          </cell>
          <cell r="Q152">
            <v>-8.1159999999999961</v>
          </cell>
          <cell r="R152">
            <v>-44.905000000000001</v>
          </cell>
          <cell r="S152">
            <v>-6.5170000000000003</v>
          </cell>
          <cell r="T152">
            <v>-2.617</v>
          </cell>
          <cell r="U152">
            <v>-10.998999999999999</v>
          </cell>
          <cell r="V152">
            <v>9.4179999999999993</v>
          </cell>
          <cell r="W152">
            <v>-10.715</v>
          </cell>
          <cell r="X152">
            <v>-20.672000000000001</v>
          </cell>
          <cell r="Y152">
            <v>-21.257000000000001</v>
          </cell>
          <cell r="Z152">
            <v>-11.373999999999992</v>
          </cell>
          <cell r="AA152">
            <v>-11.094000000000008</v>
          </cell>
          <cell r="AB152">
            <v>-64.397000000000006</v>
          </cell>
          <cell r="AC152">
            <v>-44.167999999999999</v>
          </cell>
          <cell r="AD152">
            <v>-26.3909576630586</v>
          </cell>
          <cell r="AE152">
            <v>-10.846085886489334</v>
          </cell>
          <cell r="AF152">
            <v>-12.910648046178949</v>
          </cell>
          <cell r="AG152">
            <v>-94.315691595726889</v>
          </cell>
        </row>
        <row r="153">
          <cell r="B153" t="str">
            <v>Due from affiliates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row>
        <row r="154">
          <cell r="B154" t="str">
            <v>Inventories</v>
          </cell>
          <cell r="D154">
            <v>-0.41599999999999998</v>
          </cell>
          <cell r="E154">
            <v>6.5290000000000008</v>
          </cell>
          <cell r="F154">
            <v>-2.1310000000000007</v>
          </cell>
          <cell r="G154">
            <v>-21.901</v>
          </cell>
          <cell r="H154">
            <v>-17.919</v>
          </cell>
          <cell r="I154">
            <v>9.734</v>
          </cell>
          <cell r="J154">
            <v>-7.7669999999999995</v>
          </cell>
          <cell r="K154">
            <v>-0.57600000000000051</v>
          </cell>
          <cell r="L154">
            <v>-23.741</v>
          </cell>
          <cell r="M154">
            <v>-22.35</v>
          </cell>
          <cell r="N154">
            <v>5.3869999999999996</v>
          </cell>
          <cell r="O154">
            <v>-19.808</v>
          </cell>
          <cell r="P154">
            <v>11.204000000000001</v>
          </cell>
          <cell r="Q154">
            <v>-28.972000000000001</v>
          </cell>
          <cell r="R154">
            <v>-32.189</v>
          </cell>
          <cell r="S154">
            <v>4.6059999999999999</v>
          </cell>
          <cell r="T154">
            <v>-3.19</v>
          </cell>
          <cell r="U154">
            <v>7.8919999999999995</v>
          </cell>
          <cell r="V154">
            <v>-17.492000000000001</v>
          </cell>
          <cell r="W154">
            <v>-8.1839999999999993</v>
          </cell>
          <cell r="X154">
            <v>13.904999999999999</v>
          </cell>
          <cell r="Y154">
            <v>-1.2009999999999987</v>
          </cell>
          <cell r="Z154">
            <v>-0.70000000000000107</v>
          </cell>
          <cell r="AA154">
            <v>-4.3539999999999992</v>
          </cell>
          <cell r="AB154">
            <v>7.65</v>
          </cell>
          <cell r="AC154">
            <v>-4.8239999999999998</v>
          </cell>
          <cell r="AD154">
            <v>-16.56789421430878</v>
          </cell>
          <cell r="AE154">
            <v>-6.816199642226394</v>
          </cell>
          <cell r="AF154">
            <v>-11.522859221992292</v>
          </cell>
          <cell r="AG154">
            <v>-39.730953078527463</v>
          </cell>
        </row>
        <row r="155">
          <cell r="B155" t="str">
            <v>Prepaid expenses and other current assets</v>
          </cell>
          <cell r="D155">
            <v>0</v>
          </cell>
          <cell r="E155">
            <v>0</v>
          </cell>
          <cell r="F155">
            <v>0</v>
          </cell>
          <cell r="G155">
            <v>3.7999999999999999E-2</v>
          </cell>
          <cell r="H155">
            <v>3.7999999999999999E-2</v>
          </cell>
          <cell r="I155">
            <v>0</v>
          </cell>
          <cell r="J155">
            <v>0</v>
          </cell>
          <cell r="K155">
            <v>0</v>
          </cell>
          <cell r="L155">
            <v>0</v>
          </cell>
          <cell r="M155">
            <v>0</v>
          </cell>
          <cell r="N155">
            <v>0</v>
          </cell>
          <cell r="O155">
            <v>0</v>
          </cell>
          <cell r="P155">
            <v>0</v>
          </cell>
          <cell r="Q155">
            <v>0</v>
          </cell>
          <cell r="R155">
            <v>0</v>
          </cell>
          <cell r="T155">
            <v>0</v>
          </cell>
          <cell r="U155">
            <v>0</v>
          </cell>
          <cell r="V155">
            <v>0</v>
          </cell>
          <cell r="W155">
            <v>0</v>
          </cell>
          <cell r="X155">
            <v>4.319</v>
          </cell>
          <cell r="Y155">
            <v>2.1790000000000003</v>
          </cell>
          <cell r="Z155">
            <v>5.8790000000000004</v>
          </cell>
          <cell r="AA155">
            <v>-12.376999999999999</v>
          </cell>
          <cell r="AB155">
            <v>0</v>
          </cell>
          <cell r="AC155">
            <v>0</v>
          </cell>
          <cell r="AD155">
            <v>0</v>
          </cell>
          <cell r="AE155">
            <v>0</v>
          </cell>
          <cell r="AF155">
            <v>0</v>
          </cell>
          <cell r="AG155">
            <v>0</v>
          </cell>
        </row>
        <row r="156">
          <cell r="B156" t="str">
            <v>Income taxes payable</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row>
        <row r="157">
          <cell r="B157" t="str">
            <v>Income taxes receivable</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row>
        <row r="158">
          <cell r="B158" t="str">
            <v>Accounts payable and accrued expenses</v>
          </cell>
          <cell r="D158">
            <v>4.7720000000000002</v>
          </cell>
          <cell r="E158">
            <v>5.2240000000000002</v>
          </cell>
          <cell r="F158">
            <v>0.68899999999999828</v>
          </cell>
          <cell r="G158">
            <v>12.674999999999999</v>
          </cell>
          <cell r="H158">
            <v>23.36</v>
          </cell>
          <cell r="I158">
            <v>-3.2480000000000002</v>
          </cell>
          <cell r="J158">
            <v>5.109</v>
          </cell>
          <cell r="K158">
            <v>2.7709999999999999</v>
          </cell>
          <cell r="L158">
            <v>23.044999999999998</v>
          </cell>
          <cell r="M158">
            <v>27.677</v>
          </cell>
          <cell r="N158">
            <v>-8.8109999999999999</v>
          </cell>
          <cell r="O158">
            <v>32.222000000000001</v>
          </cell>
          <cell r="P158">
            <v>-21.898000000000003</v>
          </cell>
          <cell r="Q158">
            <v>24.129000000000005</v>
          </cell>
          <cell r="R158">
            <v>25.641999999999999</v>
          </cell>
          <cell r="S158">
            <v>8.7110000000000003</v>
          </cell>
          <cell r="T158">
            <v>2.9409999999999989</v>
          </cell>
          <cell r="U158">
            <v>0.79800000000000004</v>
          </cell>
          <cell r="V158">
            <v>-5.68</v>
          </cell>
          <cell r="W158">
            <v>6.77</v>
          </cell>
          <cell r="X158">
            <v>0.34200000000000003</v>
          </cell>
          <cell r="Y158">
            <v>12.302999999999999</v>
          </cell>
          <cell r="Z158">
            <v>-3.762</v>
          </cell>
          <cell r="AA158">
            <v>4.8939999999999992</v>
          </cell>
          <cell r="AB158">
            <v>13.776999999999999</v>
          </cell>
          <cell r="AC158">
            <v>30.599</v>
          </cell>
          <cell r="AD158">
            <v>31.615296863053516</v>
          </cell>
          <cell r="AE158">
            <v>11.76494732767847</v>
          </cell>
          <cell r="AF158">
            <v>19.888770711931841</v>
          </cell>
          <cell r="AG158">
            <v>93.86801490266383</v>
          </cell>
        </row>
        <row r="159">
          <cell r="B159" t="str">
            <v>Total change in working capital</v>
          </cell>
          <cell r="D159">
            <v>1.4560000000000004</v>
          </cell>
          <cell r="E159">
            <v>4.5530000000000017</v>
          </cell>
          <cell r="F159">
            <v>-0.72900000000000365</v>
          </cell>
          <cell r="G159">
            <v>-15.922999999999996</v>
          </cell>
          <cell r="H159">
            <v>-10.643000000000001</v>
          </cell>
          <cell r="I159">
            <v>5.0529999999999999</v>
          </cell>
          <cell r="J159">
            <v>-10.004</v>
          </cell>
          <cell r="K159">
            <v>1.1620000000000001</v>
          </cell>
          <cell r="L159">
            <v>-5.7840000000000025</v>
          </cell>
          <cell r="M159">
            <v>-9.5730000000000004</v>
          </cell>
          <cell r="N159">
            <v>-21.451999999999998</v>
          </cell>
          <cell r="O159">
            <v>3.0620000000000012</v>
          </cell>
          <cell r="P159">
            <v>-20.103000000000005</v>
          </cell>
          <cell r="Q159">
            <v>-12.958999999999989</v>
          </cell>
          <cell r="R159">
            <v>-51.451999999999998</v>
          </cell>
          <cell r="S159">
            <v>6.8</v>
          </cell>
          <cell r="T159">
            <v>-2.8660000000000014</v>
          </cell>
          <cell r="U159">
            <v>-2.3089999999999993</v>
          </cell>
          <cell r="V159">
            <v>-13.754000000000001</v>
          </cell>
          <cell r="W159">
            <v>-12.129000000000001</v>
          </cell>
          <cell r="X159">
            <v>-2.1060000000000012</v>
          </cell>
          <cell r="Y159">
            <v>-7.9759999999999973</v>
          </cell>
          <cell r="Z159">
            <v>-9.9569999999999919</v>
          </cell>
          <cell r="AA159">
            <v>-22.931000000000008</v>
          </cell>
          <cell r="AB159">
            <v>-42.970000000000006</v>
          </cell>
          <cell r="AC159">
            <v>-18.392999999999997</v>
          </cell>
          <cell r="AD159">
            <v>-11.343555014313864</v>
          </cell>
          <cell r="AE159">
            <v>-5.8973382010372575</v>
          </cell>
          <cell r="AF159">
            <v>-4.5447365562393998</v>
          </cell>
          <cell r="AG159">
            <v>-40.178629771590522</v>
          </cell>
        </row>
        <row r="160">
          <cell r="B160" t="str">
            <v>Other</v>
          </cell>
          <cell r="D160">
            <v>0</v>
          </cell>
          <cell r="E160">
            <v>0</v>
          </cell>
          <cell r="F160">
            <v>0</v>
          </cell>
          <cell r="G160">
            <v>4.1180000000000003</v>
          </cell>
          <cell r="H160">
            <v>4.1180000000000003</v>
          </cell>
          <cell r="I160">
            <v>-7.29</v>
          </cell>
          <cell r="J160">
            <v>2.8520000000000003</v>
          </cell>
          <cell r="K160">
            <v>3.5369999999999999</v>
          </cell>
          <cell r="L160">
            <v>8.7729999999999997</v>
          </cell>
          <cell r="M160">
            <v>7.8719999999999999</v>
          </cell>
          <cell r="N160">
            <v>-4.8230000000000004</v>
          </cell>
          <cell r="O160">
            <v>-1.7889999999999997</v>
          </cell>
          <cell r="P160">
            <v>15.3</v>
          </cell>
          <cell r="Q160">
            <v>12.115</v>
          </cell>
          <cell r="R160">
            <v>20.803000000000001</v>
          </cell>
          <cell r="S160">
            <v>-20.37</v>
          </cell>
          <cell r="T160">
            <v>0.90900000000000247</v>
          </cell>
          <cell r="U160">
            <v>1.9009999999999998</v>
          </cell>
          <cell r="V160">
            <v>-5.703000000000003</v>
          </cell>
          <cell r="W160">
            <v>-23.263000000000002</v>
          </cell>
          <cell r="X160">
            <v>0</v>
          </cell>
          <cell r="Y160">
            <v>0</v>
          </cell>
          <cell r="Z160">
            <v>0</v>
          </cell>
          <cell r="AA160">
            <v>5.0860000000000003</v>
          </cell>
          <cell r="AB160">
            <v>5.0860000000000003</v>
          </cell>
          <cell r="AC160">
            <v>3.8679999999999999</v>
          </cell>
          <cell r="AD160">
            <v>0</v>
          </cell>
          <cell r="AE160">
            <v>0</v>
          </cell>
          <cell r="AF160">
            <v>0</v>
          </cell>
          <cell r="AG160">
            <v>3.8679999999999999</v>
          </cell>
        </row>
        <row r="161">
          <cell r="B161" t="str">
            <v>Cash from operations</v>
          </cell>
          <cell r="D161">
            <v>8.945999999999998</v>
          </cell>
          <cell r="E161">
            <v>12.119000000000012</v>
          </cell>
          <cell r="F161">
            <v>20.379999999999985</v>
          </cell>
          <cell r="G161">
            <v>-1.4739999999999931</v>
          </cell>
          <cell r="H161">
            <v>39.971000000000039</v>
          </cell>
          <cell r="I161">
            <v>16.183000000000018</v>
          </cell>
          <cell r="J161">
            <v>1.6940000000000097</v>
          </cell>
          <cell r="K161">
            <v>15.076999999999991</v>
          </cell>
          <cell r="L161">
            <v>12.484000000000076</v>
          </cell>
          <cell r="M161">
            <v>45.468000000000004</v>
          </cell>
          <cell r="N161">
            <v>-15.187000000000015</v>
          </cell>
          <cell r="O161">
            <v>13.688000000000015</v>
          </cell>
          <cell r="P161">
            <v>8.33900000000002</v>
          </cell>
          <cell r="Q161">
            <v>12.793000000000131</v>
          </cell>
          <cell r="R161">
            <v>19.663000000000043</v>
          </cell>
          <cell r="S161">
            <v>1.5869999999999642</v>
          </cell>
          <cell r="T161">
            <v>11.281999999999993</v>
          </cell>
          <cell r="U161">
            <v>14.001000000000014</v>
          </cell>
          <cell r="V161">
            <v>1.4239999999998574</v>
          </cell>
          <cell r="W161">
            <v>28.29399999999983</v>
          </cell>
          <cell r="X161">
            <v>12.674999999999974</v>
          </cell>
          <cell r="Y161">
            <v>6.8820000000000263</v>
          </cell>
          <cell r="Z161">
            <v>29.056000000000004</v>
          </cell>
          <cell r="AA161">
            <v>-24.397999999999989</v>
          </cell>
          <cell r="AB161">
            <v>24.215000000000011</v>
          </cell>
          <cell r="AC161">
            <v>-2.0130000000000181</v>
          </cell>
          <cell r="AD161">
            <v>4.5208215319095828</v>
          </cell>
          <cell r="AE161">
            <v>12.129596068204798</v>
          </cell>
          <cell r="AF161">
            <v>16.13889977807445</v>
          </cell>
          <cell r="AG161">
            <v>30.776317378188811</v>
          </cell>
        </row>
        <row r="163">
          <cell r="B163" t="str">
            <v>Sales, net of purchases, of marketable securities</v>
          </cell>
          <cell r="D163">
            <v>7.8719999999999999</v>
          </cell>
          <cell r="E163">
            <v>-44.287999999999997</v>
          </cell>
          <cell r="F163">
            <v>24.544999999999995</v>
          </cell>
          <cell r="G163">
            <v>-9.9039999999999964</v>
          </cell>
          <cell r="H163">
            <v>-21.774999999999999</v>
          </cell>
          <cell r="I163">
            <v>7.3179999999999996</v>
          </cell>
          <cell r="J163">
            <v>-4.302999999999999</v>
          </cell>
          <cell r="K163">
            <v>-17.25</v>
          </cell>
          <cell r="L163">
            <v>-1.3610000000000007</v>
          </cell>
          <cell r="M163">
            <v>-15.596</v>
          </cell>
          <cell r="N163">
            <v>32.923000000000002</v>
          </cell>
          <cell r="O163">
            <v>-0.34700000000000131</v>
          </cell>
          <cell r="P163">
            <v>22.923999999999999</v>
          </cell>
          <cell r="R163">
            <v>47.829000000000001</v>
          </cell>
          <cell r="S163">
            <v>20.52</v>
          </cell>
          <cell r="T163">
            <v>2.2850000000000001</v>
          </cell>
          <cell r="U163">
            <v>-7.1430000000000007</v>
          </cell>
          <cell r="V163">
            <v>15.358000000000001</v>
          </cell>
          <cell r="W163">
            <v>31.02</v>
          </cell>
          <cell r="X163">
            <v>4.7290000000000001</v>
          </cell>
          <cell r="Y163">
            <v>2.2850000000000001</v>
          </cell>
          <cell r="Z163">
            <v>-1.426000000000001</v>
          </cell>
          <cell r="AA163">
            <v>-7.5599999999999987</v>
          </cell>
          <cell r="AB163">
            <v>-1.972</v>
          </cell>
          <cell r="AC163">
            <v>7.55</v>
          </cell>
        </row>
        <row r="164">
          <cell r="B164" t="str">
            <v>PP&amp;E (and capitalized software expenditures)</v>
          </cell>
          <cell r="D164">
            <v>-0.41</v>
          </cell>
          <cell r="E164">
            <v>-1.1320000000000001</v>
          </cell>
          <cell r="F164">
            <v>-0.33099999999999991</v>
          </cell>
          <cell r="G164">
            <v>-0.40299999999999975</v>
          </cell>
          <cell r="H164">
            <v>-2.2759999999999998</v>
          </cell>
          <cell r="I164">
            <v>-0.121</v>
          </cell>
          <cell r="J164">
            <v>-0.74</v>
          </cell>
          <cell r="K164">
            <v>-2.863</v>
          </cell>
          <cell r="L164">
            <v>-3.722</v>
          </cell>
          <cell r="M164">
            <v>-7.4459999999999997</v>
          </cell>
          <cell r="N164">
            <v>-1.849</v>
          </cell>
          <cell r="O164">
            <v>-1.9139999999999999</v>
          </cell>
          <cell r="P164">
            <v>-2.149</v>
          </cell>
          <cell r="Q164">
            <v>-3.0680000000000005</v>
          </cell>
          <cell r="R164">
            <v>-8.98</v>
          </cell>
          <cell r="S164">
            <v>-2.4540000000000002</v>
          </cell>
          <cell r="T164">
            <v>-6.0350000000000001</v>
          </cell>
          <cell r="U164">
            <v>-3.0989999999999989</v>
          </cell>
          <cell r="V164">
            <v>-6.5359999999999996</v>
          </cell>
          <cell r="W164">
            <v>-18.123999999999999</v>
          </cell>
          <cell r="X164">
            <v>-2.7679999999999998</v>
          </cell>
          <cell r="Y164">
            <v>-3.16</v>
          </cell>
          <cell r="Z164">
            <v>-5.319</v>
          </cell>
          <cell r="AA164">
            <v>-6.8690000000000007</v>
          </cell>
          <cell r="AB164">
            <v>-18.116</v>
          </cell>
          <cell r="AC164">
            <v>-19.856999999999999</v>
          </cell>
          <cell r="AD164">
            <v>-2.3810000000000002</v>
          </cell>
          <cell r="AE164">
            <v>-2.3810000000000002</v>
          </cell>
          <cell r="AF164">
            <v>-2.3810000000000002</v>
          </cell>
          <cell r="AG164">
            <v>-27</v>
          </cell>
        </row>
        <row r="165">
          <cell r="B165" t="str">
            <v>Acquisitions</v>
          </cell>
          <cell r="D165">
            <v>0</v>
          </cell>
          <cell r="E165">
            <v>0</v>
          </cell>
          <cell r="F165">
            <v>0</v>
          </cell>
          <cell r="G165">
            <v>0</v>
          </cell>
          <cell r="H165">
            <v>0</v>
          </cell>
          <cell r="I165">
            <v>-11.513</v>
          </cell>
          <cell r="J165">
            <v>-17.381999999999998</v>
          </cell>
          <cell r="K165">
            <v>0</v>
          </cell>
          <cell r="L165">
            <v>-7.7159999999999993</v>
          </cell>
          <cell r="M165">
            <v>-36.610999999999997</v>
          </cell>
          <cell r="N165">
            <v>-19.213000000000001</v>
          </cell>
          <cell r="O165">
            <v>-7.1140000000000008</v>
          </cell>
          <cell r="P165">
            <v>-6.5539999999999985</v>
          </cell>
          <cell r="Q165">
            <v>-1.5000000000000568E-2</v>
          </cell>
          <cell r="R165">
            <v>-32.896000000000001</v>
          </cell>
          <cell r="S165">
            <v>0</v>
          </cell>
          <cell r="T165">
            <v>-8.0280000000000005</v>
          </cell>
          <cell r="U165">
            <v>-7.1980000000000004</v>
          </cell>
          <cell r="V165">
            <v>-8.1059999999999999</v>
          </cell>
          <cell r="W165">
            <v>-23.332000000000001</v>
          </cell>
          <cell r="X165">
            <v>-5.7960000000000003</v>
          </cell>
          <cell r="Y165">
            <v>-8.870000000000001</v>
          </cell>
          <cell r="Z165">
            <v>-35.431000000000004</v>
          </cell>
          <cell r="AA165">
            <v>10.449000000000002</v>
          </cell>
          <cell r="AB165">
            <v>-39.648000000000003</v>
          </cell>
          <cell r="AC165">
            <v>-2.6</v>
          </cell>
          <cell r="AD165">
            <v>-20</v>
          </cell>
          <cell r="AE165">
            <v>-5</v>
          </cell>
          <cell r="AF165">
            <v>0</v>
          </cell>
          <cell r="AG165">
            <v>-27.6</v>
          </cell>
        </row>
        <row r="166">
          <cell r="B166" t="str">
            <v>Other</v>
          </cell>
          <cell r="D166">
            <v>0.46899999999999997</v>
          </cell>
          <cell r="E166">
            <v>-2.0190000000000001</v>
          </cell>
          <cell r="F166">
            <v>0</v>
          </cell>
          <cell r="G166">
            <v>0</v>
          </cell>
          <cell r="H166">
            <v>-1.55</v>
          </cell>
          <cell r="I166">
            <v>0</v>
          </cell>
          <cell r="J166">
            <v>-0.113</v>
          </cell>
          <cell r="K166">
            <v>-8.9999999999999941E-3</v>
          </cell>
          <cell r="L166">
            <v>-7.3779999999999992</v>
          </cell>
          <cell r="M166">
            <v>-7.5</v>
          </cell>
          <cell r="N166">
            <v>-1.2250000000000001</v>
          </cell>
          <cell r="O166">
            <v>0</v>
          </cell>
          <cell r="P166">
            <v>-7.4239999999999995</v>
          </cell>
          <cell r="Q166">
            <v>-3.2209999999999996</v>
          </cell>
          <cell r="R166">
            <v>-11.87</v>
          </cell>
          <cell r="S166">
            <v>0</v>
          </cell>
          <cell r="T166">
            <v>4.4649999999999999</v>
          </cell>
          <cell r="U166">
            <v>-1.3899999999999997</v>
          </cell>
          <cell r="V166">
            <v>-3.101</v>
          </cell>
          <cell r="W166">
            <v>-2.6000000000000023E-2</v>
          </cell>
          <cell r="X166">
            <v>0</v>
          </cell>
          <cell r="Y166">
            <v>-15</v>
          </cell>
          <cell r="Z166">
            <v>0</v>
          </cell>
          <cell r="AA166">
            <v>-2.9170000000000016</v>
          </cell>
          <cell r="AB166">
            <v>-17.917000000000002</v>
          </cell>
          <cell r="AC166">
            <v>-0.11799999999999999</v>
          </cell>
          <cell r="AD166">
            <v>0</v>
          </cell>
          <cell r="AE166">
            <v>0</v>
          </cell>
          <cell r="AF166">
            <v>0</v>
          </cell>
          <cell r="AG166">
            <v>-0.11799999999999999</v>
          </cell>
        </row>
        <row r="167">
          <cell r="B167" t="str">
            <v>Cash from investing</v>
          </cell>
          <cell r="D167">
            <v>7.931</v>
          </cell>
          <cell r="E167">
            <v>-47.438999999999993</v>
          </cell>
          <cell r="F167">
            <v>24.213999999999995</v>
          </cell>
          <cell r="G167">
            <v>-10.306999999999997</v>
          </cell>
          <cell r="H167">
            <v>-25.600999999999999</v>
          </cell>
          <cell r="I167">
            <v>-4.3160000000000007</v>
          </cell>
          <cell r="J167">
            <v>-22.537999999999997</v>
          </cell>
          <cell r="K167">
            <v>-20.122</v>
          </cell>
          <cell r="L167">
            <v>-20.177</v>
          </cell>
          <cell r="M167">
            <v>-67.152999999999992</v>
          </cell>
          <cell r="N167">
            <v>10.636000000000001</v>
          </cell>
          <cell r="O167">
            <v>-9.3750000000000018</v>
          </cell>
          <cell r="P167">
            <v>6.7970000000000006</v>
          </cell>
          <cell r="Q167">
            <v>-6.3040000000000003</v>
          </cell>
          <cell r="R167">
            <v>-5.9169999999999963</v>
          </cell>
          <cell r="S167">
            <v>18.065999999999999</v>
          </cell>
          <cell r="T167">
            <v>-7.3130000000000006</v>
          </cell>
          <cell r="U167">
            <v>-18.829999999999998</v>
          </cell>
          <cell r="V167">
            <v>-2.3849999999999989</v>
          </cell>
          <cell r="W167">
            <v>-10.462</v>
          </cell>
          <cell r="X167">
            <v>-3.835</v>
          </cell>
          <cell r="Y167">
            <v>-24.745000000000001</v>
          </cell>
          <cell r="Z167">
            <v>-42.176000000000002</v>
          </cell>
          <cell r="AA167">
            <v>-6.8969999999999985</v>
          </cell>
          <cell r="AB167">
            <v>-77.653000000000006</v>
          </cell>
          <cell r="AC167">
            <v>-15.024999999999999</v>
          </cell>
          <cell r="AD167">
            <v>-22.381</v>
          </cell>
          <cell r="AE167">
            <v>-7.3810000000000002</v>
          </cell>
          <cell r="AF167">
            <v>-2.3810000000000002</v>
          </cell>
          <cell r="AG167">
            <v>-54.718000000000004</v>
          </cell>
        </row>
        <row r="169">
          <cell r="B169" t="str">
            <v>Proceeds from stock option exercises</v>
          </cell>
          <cell r="D169">
            <v>9.0530000000000008</v>
          </cell>
          <cell r="E169">
            <v>13.753</v>
          </cell>
          <cell r="F169">
            <v>-12.226000000000001</v>
          </cell>
          <cell r="G169">
            <v>0.45899999999999963</v>
          </cell>
          <cell r="H169">
            <v>11.039</v>
          </cell>
          <cell r="I169">
            <v>6.819</v>
          </cell>
          <cell r="J169">
            <v>0.91100000000000048</v>
          </cell>
          <cell r="K169">
            <v>0.33199999999999896</v>
          </cell>
          <cell r="L169">
            <v>0.36300000000000132</v>
          </cell>
          <cell r="M169">
            <v>8.4250000000000007</v>
          </cell>
          <cell r="N169">
            <v>1.8979999999999999</v>
          </cell>
          <cell r="O169">
            <v>0.53</v>
          </cell>
          <cell r="P169">
            <v>1.0369999999999997</v>
          </cell>
          <cell r="Q169">
            <v>0.25100000000000011</v>
          </cell>
          <cell r="R169">
            <v>3.7160000000000002</v>
          </cell>
          <cell r="S169">
            <v>0.74099999999999999</v>
          </cell>
          <cell r="T169">
            <v>0.27700000000000002</v>
          </cell>
          <cell r="U169">
            <v>0.51600000000000013</v>
          </cell>
          <cell r="V169">
            <v>0.67499999999999993</v>
          </cell>
          <cell r="W169">
            <v>2.2090000000000001</v>
          </cell>
          <cell r="X169">
            <v>0.46800000000000003</v>
          </cell>
          <cell r="Y169">
            <v>1.699999999999996E-2</v>
          </cell>
          <cell r="Z169">
            <v>0.38699999999999996</v>
          </cell>
          <cell r="AA169">
            <v>0.51400000000000001</v>
          </cell>
          <cell r="AB169">
            <v>1.3859999999999999</v>
          </cell>
          <cell r="AC169">
            <v>1.9319999999999999</v>
          </cell>
          <cell r="AD169">
            <v>0</v>
          </cell>
          <cell r="AE169">
            <v>0</v>
          </cell>
          <cell r="AF169">
            <v>0</v>
          </cell>
          <cell r="AG169">
            <v>1.9319999999999999</v>
          </cell>
        </row>
        <row r="170">
          <cell r="B170" t="str">
            <v>Joint venture contribution</v>
          </cell>
          <cell r="D170">
            <v>0</v>
          </cell>
          <cell r="E170">
            <v>0</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23</v>
          </cell>
          <cell r="AA170">
            <v>0</v>
          </cell>
          <cell r="AB170">
            <v>23</v>
          </cell>
          <cell r="AC170">
            <v>0</v>
          </cell>
          <cell r="AD170">
            <v>0</v>
          </cell>
          <cell r="AE170">
            <v>0</v>
          </cell>
          <cell r="AF170">
            <v>0</v>
          </cell>
          <cell r="AG170">
            <v>0</v>
          </cell>
        </row>
        <row r="171">
          <cell r="B171" t="str">
            <v>Proceeds from ESPP</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7.4999999999999997E-2</v>
          </cell>
          <cell r="Y171">
            <v>8.1000000000000003E-2</v>
          </cell>
          <cell r="Z171">
            <v>9.6999999999999989E-2</v>
          </cell>
          <cell r="AA171">
            <v>-9.9999999999997313E-4</v>
          </cell>
          <cell r="AB171">
            <v>0.252</v>
          </cell>
          <cell r="AC171">
            <v>0.154</v>
          </cell>
          <cell r="AD171">
            <v>0</v>
          </cell>
          <cell r="AE171">
            <v>0</v>
          </cell>
          <cell r="AF171">
            <v>0</v>
          </cell>
          <cell r="AG171">
            <v>0.154</v>
          </cell>
        </row>
        <row r="172">
          <cell r="B172" t="str">
            <v>Proceeds from line of credit</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5.0060000000000002</v>
          </cell>
          <cell r="Z172">
            <v>40.268000000000001</v>
          </cell>
          <cell r="AA172">
            <v>20.016000000000005</v>
          </cell>
          <cell r="AB172">
            <v>65.290000000000006</v>
          </cell>
          <cell r="AC172">
            <v>20.079000000000001</v>
          </cell>
          <cell r="AD172">
            <v>0</v>
          </cell>
          <cell r="AE172">
            <v>0</v>
          </cell>
          <cell r="AF172">
            <v>0</v>
          </cell>
          <cell r="AG172">
            <v>20.079000000000001</v>
          </cell>
        </row>
        <row r="173">
          <cell r="B173" t="str">
            <v>Payment of proceeds from notes payable and LOC</v>
          </cell>
          <cell r="D173">
            <v>0</v>
          </cell>
          <cell r="E173">
            <v>0</v>
          </cell>
          <cell r="F173">
            <v>0</v>
          </cell>
          <cell r="G173">
            <v>0</v>
          </cell>
          <cell r="H173">
            <v>0</v>
          </cell>
          <cell r="M173">
            <v>0</v>
          </cell>
          <cell r="R173">
            <v>0</v>
          </cell>
          <cell r="S173">
            <v>0</v>
          </cell>
          <cell r="T173">
            <v>0</v>
          </cell>
          <cell r="U173">
            <v>0</v>
          </cell>
          <cell r="V173">
            <v>0</v>
          </cell>
          <cell r="W173">
            <v>0</v>
          </cell>
          <cell r="X173">
            <v>0</v>
          </cell>
          <cell r="Y173">
            <v>0</v>
          </cell>
          <cell r="Z173">
            <v>0</v>
          </cell>
          <cell r="AA173">
            <v>-37.421999999999997</v>
          </cell>
          <cell r="AB173">
            <v>-37.421999999999997</v>
          </cell>
          <cell r="AC173">
            <v>-15</v>
          </cell>
          <cell r="AD173">
            <v>-5.0790000000000006</v>
          </cell>
          <cell r="AE173">
            <v>0</v>
          </cell>
          <cell r="AF173">
            <v>0</v>
          </cell>
          <cell r="AG173">
            <v>-20.079000000000001</v>
          </cell>
        </row>
        <row r="174">
          <cell r="B174" t="str">
            <v>Payments for purchase of treasury stock</v>
          </cell>
          <cell r="D174">
            <v>-0.39800000000000002</v>
          </cell>
          <cell r="E174">
            <v>0</v>
          </cell>
          <cell r="F174">
            <v>0</v>
          </cell>
          <cell r="G174">
            <v>-3.7999999999999978E-2</v>
          </cell>
          <cell r="H174">
            <v>-0.436</v>
          </cell>
          <cell r="I174">
            <v>-0.36499999999999999</v>
          </cell>
          <cell r="J174">
            <v>0</v>
          </cell>
          <cell r="K174">
            <v>0</v>
          </cell>
          <cell r="L174">
            <v>-3.6739999999999995</v>
          </cell>
          <cell r="M174">
            <v>-4.0389999999999997</v>
          </cell>
          <cell r="N174">
            <v>0</v>
          </cell>
          <cell r="O174">
            <v>0</v>
          </cell>
          <cell r="P174">
            <v>-13.19</v>
          </cell>
          <cell r="Q174">
            <v>9.9999999999944578E-4</v>
          </cell>
          <cell r="R174">
            <v>-13.189</v>
          </cell>
          <cell r="S174">
            <v>0</v>
          </cell>
          <cell r="T174">
            <v>-3.4340000000000002</v>
          </cell>
          <cell r="U174">
            <v>-6.8359999999999994</v>
          </cell>
          <cell r="V174">
            <v>-1.0830000000000002</v>
          </cell>
          <cell r="W174">
            <v>-11.353</v>
          </cell>
          <cell r="X174">
            <v>-1.157</v>
          </cell>
          <cell r="Y174">
            <v>0</v>
          </cell>
          <cell r="Z174">
            <v>0</v>
          </cell>
          <cell r="AA174">
            <v>-0.16500000000000004</v>
          </cell>
          <cell r="AB174">
            <v>-1.3220000000000001</v>
          </cell>
          <cell r="AC174">
            <v>0</v>
          </cell>
          <cell r="AD174">
            <v>0</v>
          </cell>
          <cell r="AE174">
            <v>0</v>
          </cell>
          <cell r="AF174">
            <v>0</v>
          </cell>
          <cell r="AG174">
            <v>0</v>
          </cell>
        </row>
        <row r="175">
          <cell r="B175" t="str">
            <v>Distributions to minority interest partner</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row>
        <row r="176">
          <cell r="B176" t="str">
            <v>Other</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row>
        <row r="177">
          <cell r="B177" t="str">
            <v>Cash from financing</v>
          </cell>
          <cell r="D177">
            <v>8.6550000000000011</v>
          </cell>
          <cell r="E177">
            <v>13.753</v>
          </cell>
          <cell r="F177">
            <v>-12.226000000000001</v>
          </cell>
          <cell r="G177">
            <v>0.42099999999999937</v>
          </cell>
          <cell r="H177">
            <v>10.603</v>
          </cell>
          <cell r="I177">
            <v>6.4539999999999997</v>
          </cell>
          <cell r="J177">
            <v>0.91100000000000048</v>
          </cell>
          <cell r="K177">
            <v>0.33199999999999896</v>
          </cell>
          <cell r="L177">
            <v>-3.3109999999999982</v>
          </cell>
          <cell r="M177">
            <v>4.386000000000001</v>
          </cell>
          <cell r="N177">
            <v>1.8979999999999999</v>
          </cell>
          <cell r="O177">
            <v>0.53</v>
          </cell>
          <cell r="P177">
            <v>-12.153</v>
          </cell>
          <cell r="Q177">
            <v>0.25199999999999956</v>
          </cell>
          <cell r="R177">
            <v>-9.472999999999999</v>
          </cell>
          <cell r="S177">
            <v>0.74099999999999999</v>
          </cell>
          <cell r="T177">
            <v>-3.157</v>
          </cell>
          <cell r="U177">
            <v>-6.3199999999999994</v>
          </cell>
          <cell r="V177">
            <v>-0.40800000000000025</v>
          </cell>
          <cell r="W177">
            <v>-9.1440000000000001</v>
          </cell>
          <cell r="X177">
            <v>-0.61399999999999999</v>
          </cell>
          <cell r="Y177">
            <v>5.1040000000000001</v>
          </cell>
          <cell r="Z177">
            <v>63.752000000000002</v>
          </cell>
          <cell r="AA177">
            <v>-17.057999999999989</v>
          </cell>
          <cell r="AB177">
            <v>51.183999999999997</v>
          </cell>
          <cell r="AC177">
            <v>7.1649999999999991</v>
          </cell>
          <cell r="AD177">
            <v>-5.0790000000000006</v>
          </cell>
          <cell r="AE177">
            <v>0</v>
          </cell>
          <cell r="AF177">
            <v>0</v>
          </cell>
          <cell r="AG177">
            <v>2.0859999999999985</v>
          </cell>
        </row>
        <row r="179">
          <cell r="B179" t="str">
            <v>Net Increase (Decrease) in Cash and Cash Equivalents</v>
          </cell>
          <cell r="D179">
            <v>25.532</v>
          </cell>
          <cell r="E179">
            <v>-21.566999999999979</v>
          </cell>
          <cell r="F179">
            <v>32.367999999999981</v>
          </cell>
          <cell r="G179">
            <v>-11.359999999999991</v>
          </cell>
          <cell r="H179">
            <v>24.973000000000042</v>
          </cell>
          <cell r="I179">
            <v>18.321000000000016</v>
          </cell>
          <cell r="J179">
            <v>-19.932999999999986</v>
          </cell>
          <cell r="K179">
            <v>-4.7130000000000098</v>
          </cell>
          <cell r="L179">
            <v>-11.003999999999921</v>
          </cell>
          <cell r="M179">
            <v>-17.298999999999985</v>
          </cell>
          <cell r="N179">
            <v>-2.6530000000000147</v>
          </cell>
          <cell r="O179">
            <v>4.8430000000000133</v>
          </cell>
          <cell r="P179">
            <v>2.9830000000000201</v>
          </cell>
          <cell r="Q179">
            <v>6.7410000000001302</v>
          </cell>
          <cell r="R179">
            <v>4.2730000000000476</v>
          </cell>
          <cell r="S179">
            <v>20.393999999999963</v>
          </cell>
          <cell r="T179">
            <v>0.81199999999999228</v>
          </cell>
          <cell r="U179">
            <v>-11.148999999999983</v>
          </cell>
          <cell r="V179">
            <v>-1.3690000000001419</v>
          </cell>
          <cell r="W179">
            <v>8.6879999999998301</v>
          </cell>
          <cell r="X179">
            <v>8.2259999999999742</v>
          </cell>
          <cell r="Y179">
            <v>-12.758999999999975</v>
          </cell>
          <cell r="Z179">
            <v>50.632000000000005</v>
          </cell>
          <cell r="AA179">
            <v>-48.35299999999998</v>
          </cell>
          <cell r="AB179">
            <v>-2.2539999999999978</v>
          </cell>
          <cell r="AC179">
            <v>-9.8730000000000189</v>
          </cell>
          <cell r="AD179">
            <v>-22.939178468090418</v>
          </cell>
          <cell r="AE179">
            <v>4.7485960682047974</v>
          </cell>
          <cell r="AF179">
            <v>13.757899778074449</v>
          </cell>
          <cell r="AG179">
            <v>-21.855682621811194</v>
          </cell>
        </row>
        <row r="180">
          <cell r="B180" t="str">
            <v>Source: Company reports and UBS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Scenarios"/>
      <sheetName val="IS"/>
      <sheetName val="MW-Cache"/>
      <sheetName val="BS &amp; CF"/>
      <sheetName val="Revenue Model"/>
      <sheetName val="Expense Assumptions"/>
      <sheetName val="Debt"/>
      <sheetName val="One Pager"/>
      <sheetName val="Guidance"/>
      <sheetName val="DCF"/>
      <sheetName val="Variance"/>
      <sheetName val="Operating Metrics"/>
      <sheetName val="Model Variance Analysis"/>
      <sheetName val="MS vs Consensus"/>
      <sheetName val="mwareSettings"/>
      <sheetName val="NY UPLOAD shadow"/>
      <sheetName val="__APW_ACTIVE_FIELD_RESTORE__"/>
      <sheetName val="MWA RR"/>
      <sheetName val="Valuation"/>
      <sheetName val="Marketing"/>
      <sheetName val="Taxes"/>
      <sheetName val="mwareDates"/>
      <sheetName val="HCA"/>
    </sheetNames>
    <sheetDataSet>
      <sheetData sheetId="0"/>
      <sheetData sheetId="1"/>
      <sheetData sheetId="2"/>
      <sheetData sheetId="3"/>
      <sheetData sheetId="4"/>
      <sheetData sheetId="5"/>
      <sheetData sheetId="6"/>
      <sheetData sheetId="7"/>
      <sheetData sheetId="8">
        <row r="130">
          <cell r="B130" t="str">
            <v>Y</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mailto:Zachary.Sopcak@morganstanley.com" TargetMode="External" Type="http://schemas.openxmlformats.org/officeDocument/2006/relationships/hyperlink"/>
<Relationship Id="rId2" Target="mailto:Leigh.Pressman@morganstanley.com" TargetMode="External" Type="http://schemas.openxmlformats.org/officeDocument/2006/relationships/hyperlink"/>
<Relationship Id="rId3" Target="mailto:Moses.Mutoko@morganstanley.com" TargetMode="External" Type="http://schemas.openxmlformats.org/officeDocument/2006/relationships/hyperlink"/>
<Relationship Id="rId4" Target="../printerSettings/printerSettings4.bin" Type="http://schemas.openxmlformats.org/officeDocument/2006/relationships/printerSettings"/>
<Relationship Id="rId5" Target="../drawings/drawing2.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1"/>
  <sheetViews>
    <sheetView workbookViewId="0"/>
  </sheetViews>
  <sheetFormatPr defaultRowHeight="12.75"/>
  <sheetData>
    <row r="1" spans="1:2">
      <c r="A1" s="12"/>
      <c r="B1" t="s">
        <v>71</v>
      </c>
    </row>
  </sheetData>
  <phoneticPr fontId="18"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95"/>
  <sheetViews>
    <sheetView showGridLines="0" tabSelected="1" workbookViewId="0">
      <selection activeCell="C40" sqref="C40"/>
    </sheetView>
  </sheetViews>
  <sheetFormatPr defaultRowHeight="12.75"/>
  <cols>
    <col min="1" max="1" width="25.7109375" style="1382" customWidth="1"/>
    <col min="2" max="5" width="9.140625" style="1382"/>
    <col min="6" max="6" width="18.7109375" style="1382" customWidth="1"/>
    <col min="7" max="256" width="9.140625" style="1382"/>
    <col min="257" max="257" width="100.7109375" style="1382" customWidth="1"/>
    <col min="258" max="512" width="9.140625" style="1382"/>
    <col min="513" max="513" width="100.7109375" style="1382" customWidth="1"/>
    <col min="514" max="768" width="9.140625" style="1382"/>
    <col min="769" max="769" width="100.7109375" style="1382" customWidth="1"/>
    <col min="770" max="1024" width="9.140625" style="1382"/>
    <col min="1025" max="1025" width="100.7109375" style="1382" customWidth="1"/>
    <col min="1026" max="1280" width="9.140625" style="1382"/>
    <col min="1281" max="1281" width="100.7109375" style="1382" customWidth="1"/>
    <col min="1282" max="1536" width="9.140625" style="1382"/>
    <col min="1537" max="1537" width="100.7109375" style="1382" customWidth="1"/>
    <col min="1538" max="1792" width="9.140625" style="1382"/>
    <col min="1793" max="1793" width="100.7109375" style="1382" customWidth="1"/>
    <col min="1794" max="2048" width="9.140625" style="1382"/>
    <col min="2049" max="2049" width="100.7109375" style="1382" customWidth="1"/>
    <col min="2050" max="2304" width="9.140625" style="1382"/>
    <col min="2305" max="2305" width="100.7109375" style="1382" customWidth="1"/>
    <col min="2306" max="2560" width="9.140625" style="1382"/>
    <col min="2561" max="2561" width="100.7109375" style="1382" customWidth="1"/>
    <col min="2562" max="2816" width="9.140625" style="1382"/>
    <col min="2817" max="2817" width="100.7109375" style="1382" customWidth="1"/>
    <col min="2818" max="3072" width="9.140625" style="1382"/>
    <col min="3073" max="3073" width="100.7109375" style="1382" customWidth="1"/>
    <col min="3074" max="3328" width="9.140625" style="1382"/>
    <col min="3329" max="3329" width="100.7109375" style="1382" customWidth="1"/>
    <col min="3330" max="3584" width="9.140625" style="1382"/>
    <col min="3585" max="3585" width="100.7109375" style="1382" customWidth="1"/>
    <col min="3586" max="3840" width="9.140625" style="1382"/>
    <col min="3841" max="3841" width="100.7109375" style="1382" customWidth="1"/>
    <col min="3842" max="4096" width="9.140625" style="1382"/>
    <col min="4097" max="4097" width="100.7109375" style="1382" customWidth="1"/>
    <col min="4098" max="4352" width="9.140625" style="1382"/>
    <col min="4353" max="4353" width="100.7109375" style="1382" customWidth="1"/>
    <col min="4354" max="4608" width="9.140625" style="1382"/>
    <col min="4609" max="4609" width="100.7109375" style="1382" customWidth="1"/>
    <col min="4610" max="4864" width="9.140625" style="1382"/>
    <col min="4865" max="4865" width="100.7109375" style="1382" customWidth="1"/>
    <col min="4866" max="5120" width="9.140625" style="1382"/>
    <col min="5121" max="5121" width="100.7109375" style="1382" customWidth="1"/>
    <col min="5122" max="5376" width="9.140625" style="1382"/>
    <col min="5377" max="5377" width="100.7109375" style="1382" customWidth="1"/>
    <col min="5378" max="5632" width="9.140625" style="1382"/>
    <col min="5633" max="5633" width="100.7109375" style="1382" customWidth="1"/>
    <col min="5634" max="5888" width="9.140625" style="1382"/>
    <col min="5889" max="5889" width="100.7109375" style="1382" customWidth="1"/>
    <col min="5890" max="6144" width="9.140625" style="1382"/>
    <col min="6145" max="6145" width="100.7109375" style="1382" customWidth="1"/>
    <col min="6146" max="6400" width="9.140625" style="1382"/>
    <col min="6401" max="6401" width="100.7109375" style="1382" customWidth="1"/>
    <col min="6402" max="6656" width="9.140625" style="1382"/>
    <col min="6657" max="6657" width="100.7109375" style="1382" customWidth="1"/>
    <col min="6658" max="6912" width="9.140625" style="1382"/>
    <col min="6913" max="6913" width="100.7109375" style="1382" customWidth="1"/>
    <col min="6914" max="7168" width="9.140625" style="1382"/>
    <col min="7169" max="7169" width="100.7109375" style="1382" customWidth="1"/>
    <col min="7170" max="7424" width="9.140625" style="1382"/>
    <col min="7425" max="7425" width="100.7109375" style="1382" customWidth="1"/>
    <col min="7426" max="7680" width="9.140625" style="1382"/>
    <col min="7681" max="7681" width="100.7109375" style="1382" customWidth="1"/>
    <col min="7682" max="7936" width="9.140625" style="1382"/>
    <col min="7937" max="7937" width="100.7109375" style="1382" customWidth="1"/>
    <col min="7938" max="8192" width="9.140625" style="1382"/>
    <col min="8193" max="8193" width="100.7109375" style="1382" customWidth="1"/>
    <col min="8194" max="8448" width="9.140625" style="1382"/>
    <col min="8449" max="8449" width="100.7109375" style="1382" customWidth="1"/>
    <col min="8450" max="8704" width="9.140625" style="1382"/>
    <col min="8705" max="8705" width="100.7109375" style="1382" customWidth="1"/>
    <col min="8706" max="8960" width="9.140625" style="1382"/>
    <col min="8961" max="8961" width="100.7109375" style="1382" customWidth="1"/>
    <col min="8962" max="9216" width="9.140625" style="1382"/>
    <col min="9217" max="9217" width="100.7109375" style="1382" customWidth="1"/>
    <col min="9218" max="9472" width="9.140625" style="1382"/>
    <col min="9473" max="9473" width="100.7109375" style="1382" customWidth="1"/>
    <col min="9474" max="9728" width="9.140625" style="1382"/>
    <col min="9729" max="9729" width="100.7109375" style="1382" customWidth="1"/>
    <col min="9730" max="9984" width="9.140625" style="1382"/>
    <col min="9985" max="9985" width="100.7109375" style="1382" customWidth="1"/>
    <col min="9986" max="10240" width="9.140625" style="1382"/>
    <col min="10241" max="10241" width="100.7109375" style="1382" customWidth="1"/>
    <col min="10242" max="10496" width="9.140625" style="1382"/>
    <col min="10497" max="10497" width="100.7109375" style="1382" customWidth="1"/>
    <col min="10498" max="10752" width="9.140625" style="1382"/>
    <col min="10753" max="10753" width="100.7109375" style="1382" customWidth="1"/>
    <col min="10754" max="11008" width="9.140625" style="1382"/>
    <col min="11009" max="11009" width="100.7109375" style="1382" customWidth="1"/>
    <col min="11010" max="11264" width="9.140625" style="1382"/>
    <col min="11265" max="11265" width="100.7109375" style="1382" customWidth="1"/>
    <col min="11266" max="11520" width="9.140625" style="1382"/>
    <col min="11521" max="11521" width="100.7109375" style="1382" customWidth="1"/>
    <col min="11522" max="11776" width="9.140625" style="1382"/>
    <col min="11777" max="11777" width="100.7109375" style="1382" customWidth="1"/>
    <col min="11778" max="12032" width="9.140625" style="1382"/>
    <col min="12033" max="12033" width="100.7109375" style="1382" customWidth="1"/>
    <col min="12034" max="12288" width="9.140625" style="1382"/>
    <col min="12289" max="12289" width="100.7109375" style="1382" customWidth="1"/>
    <col min="12290" max="12544" width="9.140625" style="1382"/>
    <col min="12545" max="12545" width="100.7109375" style="1382" customWidth="1"/>
    <col min="12546" max="12800" width="9.140625" style="1382"/>
    <col min="12801" max="12801" width="100.7109375" style="1382" customWidth="1"/>
    <col min="12802" max="13056" width="9.140625" style="1382"/>
    <col min="13057" max="13057" width="100.7109375" style="1382" customWidth="1"/>
    <col min="13058" max="13312" width="9.140625" style="1382"/>
    <col min="13313" max="13313" width="100.7109375" style="1382" customWidth="1"/>
    <col min="13314" max="13568" width="9.140625" style="1382"/>
    <col min="13569" max="13569" width="100.7109375" style="1382" customWidth="1"/>
    <col min="13570" max="13824" width="9.140625" style="1382"/>
    <col min="13825" max="13825" width="100.7109375" style="1382" customWidth="1"/>
    <col min="13826" max="14080" width="9.140625" style="1382"/>
    <col min="14081" max="14081" width="100.7109375" style="1382" customWidth="1"/>
    <col min="14082" max="14336" width="9.140625" style="1382"/>
    <col min="14337" max="14337" width="100.7109375" style="1382" customWidth="1"/>
    <col min="14338" max="14592" width="9.140625" style="1382"/>
    <col min="14593" max="14593" width="100.7109375" style="1382" customWidth="1"/>
    <col min="14594" max="14848" width="9.140625" style="1382"/>
    <col min="14849" max="14849" width="100.7109375" style="1382" customWidth="1"/>
    <col min="14850" max="15104" width="9.140625" style="1382"/>
    <col min="15105" max="15105" width="100.7109375" style="1382" customWidth="1"/>
    <col min="15106" max="15360" width="9.140625" style="1382"/>
    <col min="15361" max="15361" width="100.7109375" style="1382" customWidth="1"/>
    <col min="15362" max="15616" width="9.140625" style="1382"/>
    <col min="15617" max="15617" width="100.7109375" style="1382" customWidth="1"/>
    <col min="15618" max="15872" width="9.140625" style="1382"/>
    <col min="15873" max="15873" width="100.7109375" style="1382" customWidth="1"/>
    <col min="15874" max="16128" width="9.140625" style="1382"/>
    <col min="16129" max="16129" width="100.7109375" style="1382" customWidth="1"/>
    <col min="16130" max="16384" width="9.140625" style="1382"/>
  </cols>
  <sheetData>
    <row r="1" spans="1:8" ht="30" customHeight="1">
      <c r="A1" s="1380"/>
      <c r="B1" s="1381"/>
      <c r="C1" s="1381"/>
      <c r="D1" s="1381"/>
      <c r="E1" s="1381"/>
      <c r="F1" s="1381"/>
      <c r="G1" s="1381"/>
      <c r="H1" s="1381"/>
    </row>
    <row r="2" spans="1:8" ht="14.25">
      <c r="A2" s="1383" t="s">
        <v>727</v>
      </c>
      <c r="B2" s="1381"/>
      <c r="C2" s="1381"/>
      <c r="D2" s="1381"/>
      <c r="E2" s="1381"/>
      <c r="F2" s="1381"/>
      <c r="G2" s="1381"/>
      <c r="H2" s="1381"/>
    </row>
    <row r="3" spans="1:8" ht="14.25">
      <c r="A3" s="1383" t="s">
        <v>728</v>
      </c>
      <c r="B3" s="1381"/>
      <c r="C3" s="1381"/>
      <c r="D3" s="1381"/>
      <c r="E3" s="1381"/>
      <c r="F3" s="1381"/>
      <c r="G3" s="1381"/>
      <c r="H3" s="1381"/>
    </row>
    <row r="4" spans="1:8" ht="14.25">
      <c r="A4" s="1383" t="s">
        <v>729</v>
      </c>
      <c r="B4" s="1381"/>
      <c r="C4" s="1381"/>
      <c r="D4" s="1381"/>
      <c r="E4" s="1381"/>
      <c r="F4" s="1381"/>
      <c r="G4" s="1381"/>
      <c r="H4" s="1381"/>
    </row>
    <row r="5" spans="1:8" ht="14.25">
      <c r="A5" s="1383" t="s">
        <v>730</v>
      </c>
      <c r="B5" s="1381"/>
      <c r="C5" s="1381"/>
      <c r="D5" s="1381"/>
      <c r="E5" s="1381"/>
      <c r="F5" s="1381"/>
      <c r="G5" s="1381"/>
      <c r="H5" s="1381"/>
    </row>
    <row r="6" spans="1:8" ht="14.25">
      <c r="A6" s="1383"/>
      <c r="B6" s="1381"/>
      <c r="C6" s="1381"/>
      <c r="D6" s="1381"/>
      <c r="E6" s="1381"/>
      <c r="F6" s="1381"/>
      <c r="G6" s="1381"/>
      <c r="H6" s="1381"/>
    </row>
    <row r="7" spans="1:8">
      <c r="A7" s="1380" t="s">
        <v>731</v>
      </c>
      <c r="B7" s="1381"/>
      <c r="C7" s="1381"/>
      <c r="D7" s="1381"/>
      <c r="E7" s="1381"/>
      <c r="F7" s="1381"/>
      <c r="G7" s="1381"/>
      <c r="H7" s="1381"/>
    </row>
    <row r="8" spans="1:8">
      <c r="A8" s="1380" t="s">
        <v>732</v>
      </c>
      <c r="B8" s="1381"/>
      <c r="C8" s="1381"/>
      <c r="D8" s="1381"/>
      <c r="E8" s="1381"/>
      <c r="F8" s="1381"/>
      <c r="G8" s="1381"/>
      <c r="H8" s="1381"/>
    </row>
    <row r="9" spans="1:8">
      <c r="A9" s="1380"/>
      <c r="B9" s="1381"/>
      <c r="C9" s="1381"/>
      <c r="D9" s="1381"/>
      <c r="E9" s="1381"/>
      <c r="F9" s="1381"/>
      <c r="G9" s="1381"/>
      <c r="H9" s="1381"/>
    </row>
    <row r="10" spans="1:8">
      <c r="A10" s="1384" t="s">
        <v>733</v>
      </c>
      <c r="B10" s="1381"/>
      <c r="C10" s="1381"/>
      <c r="D10" s="1381"/>
      <c r="E10" s="1381"/>
      <c r="F10" s="1381"/>
      <c r="G10" s="1381"/>
      <c r="H10" s="1381"/>
    </row>
    <row r="11" spans="1:8">
      <c r="A11" s="1384" t="s">
        <v>734</v>
      </c>
      <c r="B11" s="1381"/>
      <c r="C11" s="1381"/>
      <c r="D11" s="1381"/>
      <c r="E11" s="1381"/>
      <c r="F11" s="1381"/>
      <c r="G11" s="1381"/>
      <c r="H11" s="1381"/>
    </row>
    <row r="12" spans="1:8">
      <c r="A12" s="1384" t="s">
        <v>735</v>
      </c>
      <c r="B12" s="1381"/>
      <c r="C12" s="1381"/>
      <c r="D12" s="1381"/>
      <c r="E12" s="1381"/>
      <c r="F12" s="1381"/>
      <c r="G12" s="1381"/>
      <c r="H12" s="1381"/>
    </row>
    <row r="13" spans="1:8">
      <c r="A13" s="1384" t="s">
        <v>736</v>
      </c>
      <c r="B13" s="1381"/>
      <c r="C13" s="1381"/>
      <c r="D13" s="1381"/>
      <c r="E13" s="1381"/>
      <c r="F13" s="1381"/>
      <c r="G13" s="1381"/>
      <c r="H13" s="1381"/>
    </row>
    <row r="14" spans="1:8">
      <c r="A14" s="1384" t="s">
        <v>737</v>
      </c>
      <c r="B14" s="1381"/>
      <c r="C14" s="1381"/>
      <c r="D14" s="1381"/>
      <c r="E14" s="1381"/>
      <c r="F14" s="1381"/>
      <c r="G14" s="1381"/>
      <c r="H14" s="1381"/>
    </row>
    <row r="15" spans="1:8">
      <c r="A15" s="1384" t="s">
        <v>738</v>
      </c>
      <c r="B15" s="1381"/>
      <c r="C15" s="1381"/>
      <c r="D15" s="1381"/>
      <c r="E15" s="1381"/>
      <c r="F15" s="1381"/>
      <c r="G15" s="1381"/>
      <c r="H15" s="1381"/>
    </row>
    <row r="16" spans="1:8">
      <c r="A16" s="1384"/>
      <c r="B16" s="1381"/>
      <c r="C16" s="1381"/>
      <c r="D16" s="1381"/>
      <c r="E16" s="1381"/>
      <c r="F16" s="1381"/>
      <c r="G16" s="1381"/>
      <c r="H16" s="1381"/>
    </row>
    <row r="17" spans="1:8">
      <c r="A17" s="1384" t="s">
        <v>724</v>
      </c>
      <c r="B17" s="1381"/>
      <c r="C17" s="1381"/>
      <c r="D17" s="1381"/>
      <c r="E17" s="1381"/>
      <c r="F17" s="1381"/>
      <c r="G17" s="1381"/>
      <c r="H17" s="1381"/>
    </row>
    <row r="18" spans="1:8">
      <c r="A18" s="1384"/>
      <c r="B18" s="1381"/>
      <c r="C18" s="1381"/>
      <c r="D18" s="1381"/>
      <c r="E18" s="1381"/>
      <c r="F18" s="1381"/>
      <c r="G18" s="1381"/>
      <c r="H18" s="1381"/>
    </row>
    <row r="19" spans="1:8">
      <c r="A19" s="1384" t="s">
        <v>725</v>
      </c>
      <c r="B19" s="1381"/>
      <c r="C19" s="1381"/>
      <c r="D19" s="1381"/>
      <c r="E19" s="1381"/>
      <c r="F19" s="1381"/>
      <c r="G19" s="1381"/>
      <c r="H19" s="1381"/>
    </row>
    <row r="20" spans="1:8">
      <c r="A20" s="1380"/>
      <c r="B20" s="1381"/>
      <c r="C20" s="1381"/>
      <c r="D20" s="1381"/>
      <c r="E20" s="1381"/>
      <c r="F20" s="1381"/>
      <c r="G20" s="1381"/>
      <c r="H20" s="1381"/>
    </row>
    <row r="21" spans="1:8">
      <c r="A21" s="1385" t="s">
        <v>726</v>
      </c>
      <c r="B21" s="1381"/>
      <c r="C21" s="1381"/>
      <c r="D21" s="1381"/>
      <c r="E21" s="1381"/>
      <c r="F21" s="1381"/>
      <c r="G21" s="1381"/>
      <c r="H21" s="1381"/>
    </row>
    <row r="22" spans="1:8">
      <c r="A22" s="1386"/>
      <c r="B22" s="1386"/>
      <c r="C22" s="1386"/>
      <c r="D22" s="1386"/>
      <c r="E22" s="1386"/>
      <c r="F22" s="1386"/>
      <c r="G22" s="1386"/>
      <c r="H22" s="1386"/>
    </row>
    <row r="23" spans="1:8">
      <c r="A23" s="1387" t="s">
        <v>1021</v>
      </c>
      <c r="B23" s="1386"/>
      <c r="C23" s="1386"/>
      <c r="D23" s="1386"/>
      <c r="E23" s="1386"/>
      <c r="F23" s="1386"/>
      <c r="G23" s="1386"/>
      <c r="H23" s="1386"/>
    </row>
    <row r="24" spans="1:8">
      <c r="A24" s="1387" t="s">
        <v>1022</v>
      </c>
      <c r="B24" s="1386"/>
      <c r="C24" s="1386"/>
      <c r="D24" s="1386"/>
      <c r="E24" s="1386"/>
      <c r="F24" s="1386"/>
      <c r="G24" s="1386"/>
      <c r="H24" s="1386"/>
    </row>
    <row r="25" spans="1:8">
      <c r="A25" s="1387" t="s">
        <v>1023</v>
      </c>
      <c r="B25" s="1386"/>
      <c r="C25" s="1386"/>
      <c r="D25" s="1386"/>
      <c r="E25" s="1386"/>
      <c r="F25" s="1386"/>
      <c r="G25" s="1386"/>
      <c r="H25" s="1386"/>
    </row>
    <row r="26" spans="1:8">
      <c r="A26" s="1387" t="s">
        <v>1024</v>
      </c>
      <c r="B26" s="1386"/>
      <c r="C26" s="1386"/>
      <c r="D26" s="1386"/>
      <c r="E26" s="1386"/>
      <c r="F26" s="1386"/>
      <c r="G26" s="1386"/>
      <c r="H26" s="1386"/>
    </row>
    <row r="27" spans="1:8">
      <c r="A27" s="1386"/>
      <c r="B27" s="1386"/>
      <c r="C27" s="1386"/>
      <c r="D27" s="1386"/>
      <c r="E27" s="1386"/>
      <c r="F27" s="1386"/>
      <c r="G27" s="1386"/>
      <c r="H27" s="1386"/>
    </row>
    <row r="28" spans="1:8">
      <c r="A28" s="1386"/>
      <c r="B28" s="1386"/>
      <c r="C28" s="1386"/>
      <c r="D28" s="1386"/>
      <c r="E28" s="1386"/>
      <c r="F28" s="1386"/>
      <c r="G28" s="1386"/>
      <c r="H28" s="1386"/>
    </row>
    <row r="29" spans="1:8">
      <c r="A29" s="1387" t="s">
        <v>1016</v>
      </c>
      <c r="B29" s="1386"/>
      <c r="C29" s="1386"/>
      <c r="D29" s="1386"/>
      <c r="E29" s="1386"/>
      <c r="F29" s="1386"/>
      <c r="G29" s="1386"/>
      <c r="H29" s="1386"/>
    </row>
    <row r="30" spans="1:8">
      <c r="A30" s="1387" t="s">
        <v>1017</v>
      </c>
      <c r="B30" s="1386"/>
      <c r="C30" s="1386"/>
      <c r="D30" s="1386"/>
      <c r="E30" s="1386"/>
      <c r="F30" s="1386"/>
      <c r="G30" s="1386"/>
      <c r="H30" s="1386"/>
    </row>
    <row r="31" spans="1:8">
      <c r="A31" s="1387" t="s">
        <v>1018</v>
      </c>
      <c r="B31" s="1386"/>
      <c r="C31" s="1386"/>
      <c r="D31" s="1386"/>
      <c r="E31" s="1386"/>
      <c r="F31" s="1386"/>
      <c r="G31" s="1386"/>
      <c r="H31" s="1386"/>
    </row>
    <row r="32" spans="1:8">
      <c r="A32" s="1387" t="s">
        <v>1019</v>
      </c>
      <c r="B32" s="1386"/>
      <c r="C32" s="1386"/>
      <c r="D32" s="1386"/>
      <c r="E32" s="1386"/>
      <c r="F32" s="1386"/>
      <c r="G32" s="1386"/>
      <c r="H32" s="1386"/>
    </row>
    <row r="33" spans="1:8">
      <c r="A33" s="1387" t="s">
        <v>1020</v>
      </c>
      <c r="B33" s="1386"/>
      <c r="C33" s="1386"/>
      <c r="D33" s="1386"/>
      <c r="E33" s="1386"/>
      <c r="F33" s="1386"/>
      <c r="G33" s="1386"/>
      <c r="H33" s="1386"/>
    </row>
    <row r="34" spans="1:8">
      <c r="A34" s="1386"/>
      <c r="B34" s="1386"/>
      <c r="C34" s="1386"/>
      <c r="D34" s="1386"/>
      <c r="E34" s="1386"/>
      <c r="F34" s="1386"/>
      <c r="G34" s="1386"/>
      <c r="H34" s="1386"/>
    </row>
    <row r="35" spans="1:8">
      <c r="A35" s="1387" t="s">
        <v>1012</v>
      </c>
      <c r="B35" s="1386"/>
      <c r="C35" s="1386"/>
      <c r="D35" s="1386"/>
      <c r="E35" s="1386"/>
      <c r="F35" s="1386"/>
      <c r="G35" s="1386"/>
      <c r="H35" s="1386"/>
    </row>
    <row r="36" spans="1:8">
      <c r="A36" s="1387" t="s">
        <v>1013</v>
      </c>
      <c r="B36" s="1386"/>
      <c r="C36" s="1386"/>
      <c r="D36" s="1386"/>
      <c r="E36" s="1386"/>
      <c r="F36" s="1386"/>
      <c r="G36" s="1386"/>
      <c r="H36" s="1386"/>
    </row>
    <row r="37" spans="1:8">
      <c r="A37" s="1387" t="s">
        <v>1014</v>
      </c>
      <c r="B37" s="1386"/>
      <c r="C37" s="1386"/>
      <c r="D37" s="1386"/>
      <c r="E37" s="1386"/>
      <c r="F37" s="1386"/>
      <c r="G37" s="1386"/>
      <c r="H37" s="1386"/>
    </row>
    <row r="38" spans="1:8">
      <c r="A38" s="1387" t="s">
        <v>1015</v>
      </c>
      <c r="B38" s="1386"/>
      <c r="C38" s="1386"/>
      <c r="D38" s="1386"/>
      <c r="E38" s="1386"/>
      <c r="F38" s="1386"/>
      <c r="G38" s="1386"/>
      <c r="H38" s="1386"/>
    </row>
    <row r="39" spans="1:8">
      <c r="A39" s="1386"/>
      <c r="B39" s="1386"/>
      <c r="C39" s="1386"/>
      <c r="D39" s="1386"/>
      <c r="E39" s="1386"/>
      <c r="F39" s="1386"/>
      <c r="G39" s="1386"/>
      <c r="H39" s="1386"/>
    </row>
    <row r="40" spans="1:8">
      <c r="A40" s="1387" t="s">
        <v>1006</v>
      </c>
      <c r="B40" s="1386"/>
      <c r="C40" s="1386"/>
      <c r="D40" s="1386"/>
      <c r="E40" s="1386"/>
      <c r="F40" s="1386"/>
      <c r="G40" s="1386"/>
      <c r="H40" s="1386"/>
    </row>
    <row r="41" spans="1:8">
      <c r="A41" s="1387" t="s">
        <v>1007</v>
      </c>
      <c r="B41" s="1386"/>
      <c r="C41" s="1386"/>
      <c r="D41" s="1386"/>
      <c r="E41" s="1386"/>
      <c r="F41" s="1386"/>
      <c r="G41" s="1386"/>
      <c r="H41" s="1386"/>
    </row>
    <row r="42" spans="1:8">
      <c r="A42" s="1387" t="s">
        <v>1008</v>
      </c>
      <c r="B42" s="1386"/>
      <c r="C42" s="1386"/>
      <c r="D42" s="1386"/>
      <c r="E42" s="1386"/>
      <c r="F42" s="1386"/>
      <c r="G42" s="1386"/>
      <c r="H42" s="1386"/>
    </row>
    <row r="43" spans="1:8">
      <c r="A43" s="1387" t="s">
        <v>1009</v>
      </c>
      <c r="B43" s="1386"/>
      <c r="C43" s="1386"/>
      <c r="D43" s="1386"/>
      <c r="E43" s="1386"/>
      <c r="F43" s="1386"/>
      <c r="G43" s="1386"/>
      <c r="H43" s="1386"/>
    </row>
    <row r="44" spans="1:8">
      <c r="A44" s="1387" t="s">
        <v>1010</v>
      </c>
      <c r="B44" s="1386"/>
      <c r="C44" s="1386"/>
      <c r="D44" s="1386"/>
      <c r="E44" s="1386"/>
      <c r="F44" s="1386"/>
      <c r="G44" s="1386"/>
      <c r="H44" s="1386"/>
    </row>
    <row r="45" spans="1:8">
      <c r="A45" s="1387" t="s">
        <v>1011</v>
      </c>
      <c r="B45" s="1386"/>
      <c r="C45" s="1386"/>
      <c r="D45" s="1386"/>
      <c r="E45" s="1386"/>
      <c r="F45" s="1386"/>
      <c r="G45" s="1386"/>
      <c r="H45" s="1386"/>
    </row>
    <row r="46" spans="1:8">
      <c r="A46" s="1386"/>
      <c r="B46" s="1386"/>
      <c r="C46" s="1386"/>
      <c r="D46" s="1386"/>
      <c r="E46" s="1386"/>
      <c r="F46" s="1386"/>
      <c r="G46" s="1386"/>
      <c r="H46" s="1386"/>
    </row>
    <row r="47" spans="1:8" ht="15.75">
      <c r="A47" s="1388" t="s">
        <v>739</v>
      </c>
      <c r="B47" s="1386"/>
      <c r="C47" s="1386"/>
      <c r="D47" s="1386"/>
      <c r="E47" s="1386"/>
      <c r="F47" s="1386"/>
      <c r="G47" s="1386"/>
      <c r="H47" s="1386"/>
    </row>
    <row r="48" spans="1:8">
      <c r="A48" s="1386"/>
      <c r="B48" s="1386"/>
      <c r="C48" s="1386"/>
      <c r="D48" s="1386"/>
      <c r="E48" s="1386"/>
      <c r="F48" s="1386"/>
      <c r="G48" s="1386"/>
      <c r="H48" s="1386"/>
    </row>
    <row r="49" spans="1:8">
      <c r="A49" s="1387" t="s">
        <v>1002</v>
      </c>
      <c r="B49" s="1386"/>
      <c r="C49" s="1386"/>
      <c r="D49" s="1386"/>
      <c r="E49" s="1386"/>
      <c r="F49" s="1386"/>
      <c r="G49" s="1386"/>
      <c r="H49" s="1386"/>
    </row>
    <row r="50" spans="1:8">
      <c r="A50" s="1387" t="s">
        <v>1003</v>
      </c>
      <c r="B50" s="1386"/>
      <c r="C50" s="1386"/>
      <c r="D50" s="1386"/>
      <c r="E50" s="1386"/>
      <c r="F50" s="1386"/>
      <c r="G50" s="1386"/>
      <c r="H50" s="1386"/>
    </row>
    <row r="51" spans="1:8">
      <c r="A51" s="1387" t="s">
        <v>1004</v>
      </c>
      <c r="B51" s="1386"/>
      <c r="C51" s="1386"/>
      <c r="D51" s="1386"/>
      <c r="E51" s="1386"/>
      <c r="F51" s="1386"/>
      <c r="G51" s="1386"/>
      <c r="H51" s="1386"/>
    </row>
    <row r="52" spans="1:8">
      <c r="A52" s="1387" t="s">
        <v>1005</v>
      </c>
      <c r="B52" s="1386"/>
      <c r="C52" s="1386"/>
      <c r="D52" s="1386"/>
      <c r="E52" s="1386"/>
      <c r="F52" s="1386"/>
      <c r="G52" s="1386"/>
      <c r="H52" s="1386"/>
    </row>
    <row r="53" spans="1:8">
      <c r="A53" s="1386"/>
      <c r="B53" s="1386"/>
      <c r="C53" s="1386"/>
      <c r="D53" s="1386"/>
      <c r="E53" s="1386"/>
      <c r="F53" s="1386"/>
      <c r="G53" s="1386"/>
      <c r="H53" s="1386"/>
    </row>
    <row r="54" spans="1:8">
      <c r="A54" s="1387" t="s">
        <v>740</v>
      </c>
      <c r="B54" s="1386"/>
      <c r="C54" s="1386"/>
      <c r="D54" s="1386"/>
      <c r="E54" s="1386"/>
      <c r="F54" s="1386"/>
      <c r="G54" s="1386"/>
      <c r="H54" s="1386"/>
    </row>
    <row r="55" spans="1:8">
      <c r="A55" s="1386"/>
      <c r="B55" s="1386"/>
      <c r="C55" s="1386"/>
      <c r="D55" s="1386"/>
      <c r="E55" s="1386"/>
      <c r="F55" s="1386"/>
      <c r="G55" s="1386"/>
      <c r="H55" s="1386"/>
    </row>
    <row r="56" spans="1:8" ht="15.75">
      <c r="A56" s="1388" t="s">
        <v>741</v>
      </c>
      <c r="B56" s="1386"/>
      <c r="C56" s="1386"/>
      <c r="D56" s="1386"/>
      <c r="E56" s="1386"/>
      <c r="F56" s="1386"/>
      <c r="G56" s="1386"/>
      <c r="H56" s="1386"/>
    </row>
    <row r="57" spans="1:8">
      <c r="A57" s="1386"/>
      <c r="B57" s="1386"/>
      <c r="C57" s="1386"/>
      <c r="D57" s="1386"/>
      <c r="E57" s="1386"/>
      <c r="F57" s="1386"/>
      <c r="G57" s="1386"/>
      <c r="H57" s="1386"/>
    </row>
    <row r="58" spans="1:8">
      <c r="A58" s="1387" t="s">
        <v>1000</v>
      </c>
      <c r="B58" s="1386"/>
      <c r="C58" s="1386"/>
      <c r="D58" s="1386"/>
      <c r="E58" s="1386"/>
      <c r="F58" s="1386"/>
      <c r="G58" s="1386"/>
      <c r="H58" s="1386"/>
    </row>
    <row r="59" spans="1:8">
      <c r="A59" s="1387" t="s">
        <v>1001</v>
      </c>
      <c r="B59" s="1386"/>
      <c r="C59" s="1386"/>
      <c r="D59" s="1386"/>
      <c r="E59" s="1386"/>
      <c r="F59" s="1386"/>
      <c r="G59" s="1386"/>
      <c r="H59" s="1386"/>
    </row>
    <row r="60" spans="1:8">
      <c r="A60" s="1386"/>
      <c r="B60" s="1386"/>
      <c r="C60" s="1386"/>
      <c r="D60" s="1386"/>
      <c r="E60" s="1386"/>
      <c r="F60" s="1386"/>
      <c r="G60" s="1386"/>
      <c r="H60" s="1386"/>
    </row>
    <row r="61" spans="1:8" ht="15.75">
      <c r="A61" s="1388" t="s">
        <v>742</v>
      </c>
      <c r="B61" s="1386"/>
      <c r="C61" s="1386"/>
      <c r="D61" s="1386"/>
      <c r="E61" s="1386"/>
      <c r="F61" s="1386"/>
      <c r="G61" s="1386"/>
      <c r="H61" s="1386"/>
    </row>
    <row r="62" spans="1:8">
      <c r="A62" s="1386"/>
      <c r="B62" s="1386"/>
      <c r="C62" s="1386"/>
      <c r="D62" s="1386"/>
      <c r="E62" s="1386"/>
      <c r="F62" s="1386"/>
      <c r="G62" s="1386"/>
      <c r="H62" s="1386"/>
    </row>
    <row r="63" spans="1:8">
      <c r="A63" s="1387" t="s">
        <v>998</v>
      </c>
      <c r="B63" s="1386"/>
      <c r="C63" s="1386"/>
      <c r="D63" s="1386"/>
      <c r="E63" s="1386"/>
      <c r="F63" s="1386"/>
      <c r="G63" s="1386"/>
      <c r="H63" s="1386"/>
    </row>
    <row r="64" spans="1:8">
      <c r="A64" s="1387" t="s">
        <v>999</v>
      </c>
      <c r="B64" s="1386"/>
      <c r="C64" s="1386"/>
      <c r="D64" s="1386"/>
      <c r="E64" s="1386"/>
      <c r="F64" s="1386"/>
      <c r="G64" s="1386"/>
      <c r="H64" s="1386"/>
    </row>
    <row r="65" spans="1:8">
      <c r="A65" s="1386"/>
      <c r="B65" s="1386"/>
      <c r="C65" s="1386"/>
      <c r="D65" s="1386"/>
      <c r="E65" s="1386"/>
      <c r="F65" s="1386"/>
      <c r="G65" s="1386"/>
      <c r="H65" s="1386"/>
    </row>
    <row r="66" spans="1:8">
      <c r="A66" s="1387" t="s">
        <v>996</v>
      </c>
      <c r="B66" s="1386"/>
      <c r="C66" s="1386"/>
      <c r="D66" s="1386"/>
      <c r="E66" s="1386"/>
      <c r="F66" s="1386"/>
      <c r="G66" s="1386"/>
      <c r="H66" s="1386"/>
    </row>
    <row r="67" spans="1:8">
      <c r="A67" s="1387" t="s">
        <v>997</v>
      </c>
      <c r="B67" s="1386"/>
      <c r="C67" s="1386"/>
      <c r="D67" s="1386"/>
      <c r="E67" s="1386"/>
      <c r="F67" s="1386"/>
      <c r="G67" s="1386"/>
      <c r="H67" s="1386"/>
    </row>
    <row r="68" spans="1:8">
      <c r="A68" s="1386"/>
      <c r="B68" s="1386"/>
      <c r="C68" s="1386"/>
      <c r="D68" s="1386"/>
      <c r="E68" s="1386"/>
      <c r="F68" s="1386"/>
      <c r="G68" s="1386"/>
      <c r="H68" s="1386"/>
    </row>
    <row r="69" spans="1:8">
      <c r="A69" s="1387" t="s">
        <v>994</v>
      </c>
      <c r="B69" s="1386"/>
      <c r="C69" s="1386"/>
      <c r="D69" s="1386"/>
      <c r="E69" s="1386"/>
      <c r="F69" s="1386"/>
      <c r="G69" s="1386"/>
      <c r="H69" s="1386"/>
    </row>
    <row r="70" spans="1:8">
      <c r="A70" s="1387" t="s">
        <v>995</v>
      </c>
      <c r="B70" s="1386"/>
      <c r="C70" s="1386"/>
      <c r="D70" s="1386"/>
      <c r="E70" s="1386"/>
      <c r="F70" s="1386"/>
      <c r="G70" s="1386"/>
      <c r="H70" s="1386"/>
    </row>
    <row r="71" spans="1:8">
      <c r="A71" s="1386"/>
      <c r="B71" s="1386"/>
      <c r="C71" s="1386"/>
      <c r="D71" s="1386"/>
      <c r="E71" s="1386"/>
      <c r="F71" s="1386"/>
      <c r="G71" s="1386"/>
      <c r="H71" s="1386"/>
    </row>
    <row r="72" spans="1:8">
      <c r="A72" s="1387" t="s">
        <v>992</v>
      </c>
      <c r="B72" s="1386"/>
      <c r="C72" s="1386"/>
      <c r="D72" s="1386"/>
      <c r="E72" s="1386"/>
      <c r="F72" s="1386"/>
      <c r="G72" s="1386"/>
      <c r="H72" s="1386"/>
    </row>
    <row r="73" spans="1:8">
      <c r="A73" s="1387" t="s">
        <v>993</v>
      </c>
      <c r="B73" s="1386"/>
      <c r="C73" s="1386"/>
      <c r="D73" s="1386"/>
      <c r="E73" s="1386"/>
      <c r="F73" s="1386"/>
      <c r="G73" s="1386"/>
      <c r="H73" s="1386"/>
    </row>
    <row r="74" spans="1:8">
      <c r="A74" s="1386"/>
      <c r="B74" s="1386"/>
      <c r="C74" s="1386"/>
      <c r="D74" s="1386"/>
      <c r="E74" s="1386"/>
      <c r="F74" s="1386"/>
      <c r="G74" s="1386"/>
      <c r="H74" s="1386"/>
    </row>
    <row r="75" spans="1:8">
      <c r="A75" s="1387" t="s">
        <v>989</v>
      </c>
      <c r="B75" s="1386"/>
      <c r="C75" s="1386"/>
      <c r="D75" s="1386"/>
      <c r="E75" s="1386"/>
      <c r="F75" s="1386"/>
      <c r="G75" s="1386"/>
      <c r="H75" s="1386"/>
    </row>
    <row r="76" spans="1:8">
      <c r="A76" s="1387" t="s">
        <v>990</v>
      </c>
      <c r="B76" s="1386"/>
      <c r="C76" s="1386"/>
      <c r="D76" s="1386"/>
      <c r="E76" s="1386"/>
      <c r="F76" s="1386"/>
      <c r="G76" s="1386"/>
      <c r="H76" s="1386"/>
    </row>
    <row r="77" spans="1:8">
      <c r="A77" s="1387" t="s">
        <v>991</v>
      </c>
      <c r="B77" s="1386"/>
      <c r="C77" s="1386"/>
      <c r="D77" s="1386"/>
      <c r="E77" s="1386"/>
      <c r="F77" s="1386"/>
      <c r="G77" s="1386"/>
      <c r="H77" s="1386"/>
    </row>
    <row r="78" spans="1:8">
      <c r="A78" s="1386"/>
      <c r="B78" s="1386"/>
      <c r="C78" s="1386"/>
      <c r="D78" s="1386"/>
      <c r="E78" s="1386"/>
      <c r="F78" s="1386"/>
      <c r="G78" s="1386"/>
      <c r="H78" s="1386"/>
    </row>
    <row r="79" spans="1:8">
      <c r="A79" s="1387" t="s">
        <v>986</v>
      </c>
      <c r="B79" s="1386"/>
      <c r="C79" s="1386"/>
      <c r="D79" s="1386"/>
      <c r="E79" s="1386"/>
      <c r="F79" s="1386"/>
      <c r="G79" s="1386"/>
      <c r="H79" s="1386"/>
    </row>
    <row r="80" spans="1:8">
      <c r="A80" s="1387" t="s">
        <v>987</v>
      </c>
      <c r="B80" s="1386"/>
      <c r="C80" s="1386"/>
      <c r="D80" s="1386"/>
      <c r="E80" s="1386"/>
      <c r="F80" s="1386"/>
      <c r="G80" s="1386"/>
      <c r="H80" s="1386"/>
    </row>
    <row r="81" spans="1:8">
      <c r="A81" s="1387" t="s">
        <v>988</v>
      </c>
      <c r="B81" s="1386"/>
      <c r="C81" s="1386"/>
      <c r="D81" s="1386"/>
      <c r="E81" s="1386"/>
      <c r="F81" s="1386"/>
      <c r="G81" s="1386"/>
      <c r="H81" s="1386"/>
    </row>
    <row r="82" spans="1:8">
      <c r="A82" s="1386"/>
      <c r="B82" s="1386"/>
      <c r="C82" s="1386"/>
      <c r="D82" s="1386"/>
      <c r="E82" s="1386"/>
      <c r="F82" s="1386"/>
      <c r="G82" s="1386"/>
      <c r="H82" s="1386"/>
    </row>
    <row r="83" spans="1:8">
      <c r="A83" s="1387" t="s">
        <v>743</v>
      </c>
      <c r="B83" s="1386"/>
      <c r="C83" s="1386"/>
      <c r="D83" s="1386"/>
      <c r="E83" s="1386"/>
      <c r="F83" s="1386"/>
      <c r="G83" s="1386"/>
      <c r="H83" s="1386"/>
    </row>
    <row r="84" spans="1:8">
      <c r="A84" s="1386"/>
      <c r="B84" s="1386"/>
      <c r="C84" s="1386"/>
      <c r="D84" s="1386"/>
      <c r="E84" s="1386"/>
      <c r="F84" s="1386"/>
      <c r="G84" s="1386"/>
      <c r="H84" s="1386"/>
    </row>
    <row r="85" spans="1:8">
      <c r="A85" s="1387" t="s">
        <v>981</v>
      </c>
      <c r="B85" s="1386"/>
      <c r="C85" s="1386"/>
      <c r="D85" s="1386"/>
      <c r="E85" s="1386"/>
      <c r="F85" s="1386"/>
      <c r="G85" s="1386"/>
      <c r="H85" s="1386"/>
    </row>
    <row r="86" spans="1:8">
      <c r="A86" s="1387" t="s">
        <v>982</v>
      </c>
      <c r="B86" s="1386"/>
      <c r="C86" s="1386"/>
      <c r="D86" s="1386"/>
      <c r="E86" s="1386"/>
      <c r="F86" s="1386"/>
      <c r="G86" s="1386"/>
      <c r="H86" s="1386"/>
    </row>
    <row r="87" spans="1:8">
      <c r="A87" s="1387" t="s">
        <v>983</v>
      </c>
      <c r="B87" s="1386"/>
      <c r="C87" s="1386"/>
      <c r="D87" s="1386"/>
      <c r="E87" s="1386"/>
      <c r="F87" s="1386"/>
      <c r="G87" s="1386"/>
      <c r="H87" s="1386"/>
    </row>
    <row r="88" spans="1:8">
      <c r="A88" s="1387" t="s">
        <v>984</v>
      </c>
      <c r="B88" s="1386"/>
      <c r="C88" s="1386"/>
      <c r="D88" s="1386"/>
      <c r="E88" s="1386"/>
      <c r="F88" s="1386"/>
      <c r="G88" s="1386"/>
      <c r="H88" s="1386"/>
    </row>
    <row r="89" spans="1:8">
      <c r="A89" s="1387" t="s">
        <v>985</v>
      </c>
      <c r="B89" s="1386"/>
      <c r="C89" s="1386"/>
      <c r="D89" s="1386"/>
      <c r="E89" s="1386"/>
      <c r="F89" s="1386"/>
      <c r="G89" s="1386"/>
      <c r="H89" s="1386"/>
    </row>
    <row r="90" spans="1:8">
      <c r="A90" s="1387" t="s">
        <v>870</v>
      </c>
      <c r="B90" s="1386"/>
      <c r="C90" s="1386"/>
      <c r="D90" s="1386"/>
      <c r="E90" s="1386"/>
      <c r="F90" s="1386"/>
      <c r="G90" s="1386"/>
      <c r="H90" s="1386"/>
    </row>
    <row r="91" spans="1:8">
      <c r="A91" s="1386"/>
      <c r="B91" s="1386"/>
      <c r="C91" s="1386"/>
      <c r="D91" s="1386"/>
      <c r="E91" s="1386"/>
      <c r="F91" s="1386"/>
      <c r="G91" s="1386"/>
      <c r="H91" s="1386"/>
    </row>
    <row r="92" spans="1:8">
      <c r="A92" s="1387" t="s">
        <v>974</v>
      </c>
      <c r="B92" s="1386"/>
      <c r="C92" s="1386"/>
      <c r="D92" s="1386"/>
      <c r="E92" s="1386"/>
      <c r="F92" s="1386"/>
      <c r="G92" s="1386"/>
      <c r="H92" s="1386"/>
    </row>
    <row r="93" spans="1:8">
      <c r="A93" s="1387" t="s">
        <v>975</v>
      </c>
      <c r="B93" s="1386"/>
      <c r="C93" s="1386"/>
      <c r="D93" s="1386"/>
      <c r="E93" s="1386"/>
      <c r="F93" s="1386"/>
      <c r="G93" s="1386"/>
      <c r="H93" s="1386"/>
    </row>
    <row r="94" spans="1:8">
      <c r="A94" s="1387" t="s">
        <v>976</v>
      </c>
      <c r="B94" s="1386"/>
      <c r="C94" s="1386"/>
      <c r="D94" s="1386"/>
      <c r="E94" s="1386"/>
      <c r="F94" s="1386"/>
      <c r="G94" s="1386"/>
      <c r="H94" s="1386"/>
    </row>
    <row r="95" spans="1:8">
      <c r="A95" s="1387" t="s">
        <v>977</v>
      </c>
      <c r="B95" s="1386"/>
      <c r="C95" s="1386"/>
      <c r="D95" s="1386"/>
      <c r="E95" s="1386"/>
      <c r="F95" s="1386"/>
      <c r="G95" s="1386"/>
      <c r="H95" s="1386"/>
    </row>
    <row r="96" spans="1:8">
      <c r="A96" s="1387" t="s">
        <v>978</v>
      </c>
      <c r="B96" s="1386"/>
      <c r="C96" s="1386"/>
      <c r="D96" s="1386"/>
      <c r="E96" s="1386"/>
      <c r="F96" s="1386"/>
      <c r="G96" s="1386"/>
      <c r="H96" s="1386"/>
    </row>
    <row r="97" spans="1:8">
      <c r="A97" s="1387" t="s">
        <v>979</v>
      </c>
      <c r="B97" s="1386"/>
      <c r="C97" s="1386"/>
      <c r="D97" s="1386"/>
      <c r="E97" s="1386"/>
      <c r="F97" s="1386"/>
      <c r="G97" s="1386"/>
      <c r="H97" s="1386"/>
    </row>
    <row r="98" spans="1:8">
      <c r="A98" s="1387" t="s">
        <v>980</v>
      </c>
      <c r="B98" s="1386"/>
      <c r="C98" s="1386"/>
      <c r="D98" s="1386"/>
      <c r="E98" s="1386"/>
      <c r="F98" s="1386"/>
      <c r="G98" s="1386"/>
      <c r="H98" s="1386"/>
    </row>
    <row r="99" spans="1:8">
      <c r="A99" s="1386"/>
      <c r="B99" s="1386"/>
      <c r="C99" s="1386"/>
      <c r="D99" s="1386"/>
      <c r="E99" s="1386"/>
      <c r="F99" s="1386"/>
      <c r="G99" s="1386"/>
      <c r="H99" s="1386"/>
    </row>
    <row r="100" spans="1:8">
      <c r="A100" s="1387" t="s">
        <v>972</v>
      </c>
      <c r="B100" s="1386"/>
      <c r="C100" s="1386"/>
      <c r="D100" s="1386"/>
      <c r="E100" s="1386"/>
      <c r="F100" s="1386"/>
      <c r="G100" s="1386"/>
      <c r="H100" s="1386"/>
    </row>
    <row r="101" spans="1:8">
      <c r="A101" s="1387" t="s">
        <v>973</v>
      </c>
      <c r="B101" s="1386"/>
      <c r="C101" s="1386"/>
      <c r="D101" s="1386"/>
      <c r="E101" s="1386"/>
      <c r="F101" s="1386"/>
      <c r="G101" s="1386"/>
      <c r="H101" s="1386"/>
    </row>
    <row r="102" spans="1:8">
      <c r="A102" s="1386"/>
      <c r="B102" s="1386"/>
      <c r="C102" s="1386"/>
      <c r="D102" s="1386"/>
      <c r="E102" s="1386"/>
      <c r="F102" s="1386"/>
      <c r="G102" s="1386"/>
      <c r="H102" s="1386"/>
    </row>
    <row r="103" spans="1:8" ht="15.75">
      <c r="A103" s="1388" t="s">
        <v>744</v>
      </c>
      <c r="B103" s="1386"/>
      <c r="C103" s="1386"/>
      <c r="D103" s="1386"/>
      <c r="E103" s="1386"/>
      <c r="F103" s="1386"/>
      <c r="G103" s="1386"/>
      <c r="H103" s="1386"/>
    </row>
    <row r="104" spans="1:8">
      <c r="A104" s="1386"/>
      <c r="B104" s="1386"/>
      <c r="C104" s="1386"/>
      <c r="D104" s="1386"/>
      <c r="E104" s="1386"/>
      <c r="F104" s="1386"/>
      <c r="G104" s="1386"/>
      <c r="H104" s="1386"/>
    </row>
    <row r="105" spans="1:8">
      <c r="A105" s="1387" t="s">
        <v>963</v>
      </c>
      <c r="B105" s="1386"/>
      <c r="C105" s="1386"/>
      <c r="D105" s="1386"/>
      <c r="E105" s="1386"/>
      <c r="F105" s="1386"/>
      <c r="G105" s="1386"/>
      <c r="H105" s="1386"/>
    </row>
    <row r="106" spans="1:8">
      <c r="A106" s="1387" t="s">
        <v>964</v>
      </c>
      <c r="B106" s="1386"/>
      <c r="C106" s="1386"/>
      <c r="D106" s="1386"/>
      <c r="E106" s="1386"/>
      <c r="F106" s="1386"/>
      <c r="G106" s="1386"/>
      <c r="H106" s="1386"/>
    </row>
    <row r="107" spans="1:8">
      <c r="A107" s="1387" t="s">
        <v>965</v>
      </c>
      <c r="B107" s="1386"/>
      <c r="C107" s="1386"/>
      <c r="D107" s="1386"/>
      <c r="E107" s="1386"/>
      <c r="F107" s="1386"/>
      <c r="G107" s="1386"/>
      <c r="H107" s="1386"/>
    </row>
    <row r="108" spans="1:8">
      <c r="A108" s="1387" t="s">
        <v>966</v>
      </c>
      <c r="B108" s="1386"/>
      <c r="C108" s="1386"/>
      <c r="D108" s="1386"/>
      <c r="E108" s="1386"/>
      <c r="F108" s="1386"/>
      <c r="G108" s="1386"/>
      <c r="H108" s="1386"/>
    </row>
    <row r="109" spans="1:8">
      <c r="A109" s="1387" t="s">
        <v>967</v>
      </c>
      <c r="B109" s="1386"/>
      <c r="C109" s="1386"/>
      <c r="D109" s="1386"/>
      <c r="E109" s="1386"/>
      <c r="F109" s="1386"/>
      <c r="G109" s="1386"/>
      <c r="H109" s="1386"/>
    </row>
    <row r="110" spans="1:8">
      <c r="A110" s="1387" t="s">
        <v>968</v>
      </c>
      <c r="B110" s="1386"/>
      <c r="C110" s="1386"/>
      <c r="D110" s="1386"/>
      <c r="E110" s="1386"/>
      <c r="F110" s="1386"/>
      <c r="G110" s="1386"/>
      <c r="H110" s="1386"/>
    </row>
    <row r="111" spans="1:8">
      <c r="A111" s="1387" t="s">
        <v>969</v>
      </c>
      <c r="B111" s="1386"/>
      <c r="C111" s="1386"/>
      <c r="D111" s="1386"/>
      <c r="E111" s="1386"/>
      <c r="F111" s="1386"/>
      <c r="G111" s="1386"/>
      <c r="H111" s="1386"/>
    </row>
    <row r="112" spans="1:8">
      <c r="A112" s="1387" t="s">
        <v>970</v>
      </c>
      <c r="B112" s="1386"/>
      <c r="C112" s="1386"/>
      <c r="D112" s="1386"/>
      <c r="E112" s="1386"/>
      <c r="F112" s="1386"/>
      <c r="G112" s="1386"/>
      <c r="H112" s="1386"/>
    </row>
    <row r="113" spans="1:8">
      <c r="A113" s="1387" t="s">
        <v>971</v>
      </c>
      <c r="B113" s="1386"/>
      <c r="C113" s="1386"/>
      <c r="D113" s="1386"/>
      <c r="E113" s="1386"/>
      <c r="F113" s="1386"/>
      <c r="G113" s="1386"/>
      <c r="H113" s="1386"/>
    </row>
    <row r="114" spans="1:8">
      <c r="A114" s="1386"/>
      <c r="B114" s="1386"/>
      <c r="C114" s="1386"/>
      <c r="D114" s="1386"/>
      <c r="E114" s="1386"/>
      <c r="F114" s="1386"/>
      <c r="G114" s="1386"/>
      <c r="H114" s="1386"/>
    </row>
    <row r="115" spans="1:8" ht="15.75">
      <c r="A115" s="1406" t="s">
        <v>745</v>
      </c>
      <c r="B115" s="1406"/>
      <c r="C115" s="1406"/>
      <c r="D115" s="1406"/>
      <c r="E115" s="1406"/>
      <c r="F115" s="1406"/>
      <c r="G115" s="1406"/>
      <c r="H115" s="1406"/>
    </row>
    <row r="116" spans="1:8">
      <c r="A116" s="1402" t="s">
        <v>746</v>
      </c>
      <c r="B116" s="1402"/>
      <c r="C116" s="1402"/>
      <c r="D116" s="1402"/>
      <c r="E116" s="1402"/>
      <c r="F116" s="1402"/>
      <c r="G116" s="1402"/>
      <c r="H116" s="1402"/>
    </row>
    <row r="117" spans="1:8">
      <c r="A117" s="1407"/>
      <c r="B117" s="1407"/>
      <c r="C117" s="1407"/>
      <c r="D117" s="1407"/>
      <c r="E117" s="1407"/>
      <c r="F117" s="1407"/>
      <c r="G117" s="1407"/>
      <c r="H117" s="1407"/>
    </row>
    <row r="118" spans="1:8">
      <c r="A118" s="1402" t="s">
        <v>961</v>
      </c>
      <c r="B118" s="1402"/>
      <c r="C118" s="1402"/>
      <c r="D118" s="1402"/>
      <c r="E118" s="1402"/>
      <c r="F118" s="1402"/>
      <c r="G118" s="1402"/>
      <c r="H118" s="1402"/>
    </row>
    <row r="119" spans="1:8">
      <c r="A119" s="1387" t="s">
        <v>962</v>
      </c>
      <c r="B119" s="1387"/>
      <c r="C119" s="1387"/>
      <c r="D119" s="1387"/>
      <c r="E119" s="1387"/>
      <c r="F119" s="1387"/>
      <c r="G119" s="1387"/>
      <c r="H119" s="1387"/>
    </row>
    <row r="120" spans="1:8">
      <c r="A120" s="1407"/>
      <c r="B120" s="1407"/>
      <c r="C120" s="1407"/>
      <c r="D120" s="1407"/>
      <c r="E120" s="1407"/>
      <c r="F120" s="1407"/>
      <c r="G120" s="1407"/>
      <c r="H120" s="1407"/>
    </row>
    <row r="121" spans="1:8">
      <c r="A121" s="1402" t="s">
        <v>954</v>
      </c>
      <c r="B121" s="1402"/>
      <c r="C121" s="1402"/>
      <c r="D121" s="1402"/>
      <c r="E121" s="1402"/>
      <c r="F121" s="1402"/>
      <c r="G121" s="1402"/>
      <c r="H121" s="1402"/>
    </row>
    <row r="122" spans="1:8">
      <c r="A122" s="1387" t="s">
        <v>955</v>
      </c>
      <c r="B122" s="1387"/>
      <c r="C122" s="1387"/>
      <c r="D122" s="1387"/>
      <c r="E122" s="1387"/>
      <c r="F122" s="1387"/>
      <c r="G122" s="1387"/>
      <c r="H122" s="1387"/>
    </row>
    <row r="123" spans="1:8">
      <c r="A123" s="1387" t="s">
        <v>956</v>
      </c>
      <c r="B123" s="1387"/>
      <c r="C123" s="1387"/>
      <c r="D123" s="1387"/>
      <c r="E123" s="1387"/>
      <c r="F123" s="1387"/>
      <c r="G123" s="1387"/>
      <c r="H123" s="1387"/>
    </row>
    <row r="124" spans="1:8">
      <c r="A124" s="1387" t="s">
        <v>957</v>
      </c>
      <c r="B124" s="1387"/>
      <c r="C124" s="1387"/>
      <c r="D124" s="1387"/>
      <c r="E124" s="1387"/>
      <c r="F124" s="1387"/>
      <c r="G124" s="1387"/>
      <c r="H124" s="1387"/>
    </row>
    <row r="125" spans="1:8">
      <c r="A125" s="1387" t="s">
        <v>958</v>
      </c>
      <c r="B125" s="1387"/>
      <c r="C125" s="1387"/>
      <c r="D125" s="1387"/>
      <c r="E125" s="1387"/>
      <c r="F125" s="1387"/>
      <c r="G125" s="1387"/>
      <c r="H125" s="1387"/>
    </row>
    <row r="126" spans="1:8">
      <c r="A126" s="1387" t="s">
        <v>959</v>
      </c>
      <c r="B126" s="1387"/>
      <c r="C126" s="1387"/>
      <c r="D126" s="1387"/>
      <c r="E126" s="1387"/>
      <c r="F126" s="1387"/>
      <c r="G126" s="1387"/>
      <c r="H126" s="1387"/>
    </row>
    <row r="127" spans="1:8">
      <c r="A127" s="1387" t="s">
        <v>960</v>
      </c>
      <c r="B127" s="1387"/>
      <c r="C127" s="1387"/>
      <c r="D127" s="1387"/>
      <c r="E127" s="1387"/>
      <c r="F127" s="1387"/>
      <c r="G127" s="1387"/>
      <c r="H127" s="1387"/>
    </row>
    <row r="128" spans="1:8">
      <c r="A128" s="1408"/>
      <c r="B128" s="1408"/>
      <c r="C128" s="1408"/>
      <c r="D128" s="1408"/>
      <c r="E128" s="1408"/>
      <c r="F128" s="1408"/>
      <c r="G128" s="1408"/>
      <c r="H128" s="1408"/>
    </row>
    <row r="129" spans="1:8">
      <c r="A129" s="1389"/>
      <c r="B129" s="1403" t="s">
        <v>747</v>
      </c>
      <c r="C129" s="1404"/>
      <c r="D129" s="1403" t="s">
        <v>748</v>
      </c>
      <c r="E129" s="1405"/>
      <c r="F129" s="1404"/>
      <c r="G129" s="1403" t="s">
        <v>749</v>
      </c>
      <c r="H129" s="1404"/>
    </row>
    <row r="130" spans="1:8">
      <c r="A130" s="1389" t="s">
        <v>750</v>
      </c>
      <c r="B130" s="1389" t="s">
        <v>19</v>
      </c>
      <c r="C130" s="1389" t="s">
        <v>751</v>
      </c>
      <c r="D130" s="1389" t="s">
        <v>19</v>
      </c>
      <c r="E130" s="1389" t="s">
        <v>752</v>
      </c>
      <c r="F130" s="1389" t="s">
        <v>753</v>
      </c>
      <c r="G130" s="1389" t="s">
        <v>19</v>
      </c>
      <c r="H130" s="1389" t="s">
        <v>754</v>
      </c>
    </row>
    <row r="131" spans="1:8">
      <c r="A131" s="1389" t="s">
        <v>755</v>
      </c>
      <c r="B131" s="1389">
        <v>1189</v>
      </c>
      <c r="C131" s="1390">
        <v>0.38</v>
      </c>
      <c r="D131" s="1389">
        <v>315</v>
      </c>
      <c r="E131" s="1390">
        <v>0.41</v>
      </c>
      <c r="F131" s="1390">
        <v>0.26</v>
      </c>
      <c r="G131" s="1389">
        <v>555</v>
      </c>
      <c r="H131" s="1390">
        <v>0.39</v>
      </c>
    </row>
    <row r="132" spans="1:8">
      <c r="A132" s="1389" t="s">
        <v>756</v>
      </c>
      <c r="B132" s="1389">
        <v>1355</v>
      </c>
      <c r="C132" s="1390">
        <v>0.43</v>
      </c>
      <c r="D132" s="1389">
        <v>364</v>
      </c>
      <c r="E132" s="1390">
        <v>0.47</v>
      </c>
      <c r="F132" s="1390">
        <v>0.27</v>
      </c>
      <c r="G132" s="1389">
        <v>644</v>
      </c>
      <c r="H132" s="1390">
        <v>0.45</v>
      </c>
    </row>
    <row r="133" spans="1:8">
      <c r="A133" s="1389" t="s">
        <v>757</v>
      </c>
      <c r="B133" s="1389">
        <v>53</v>
      </c>
      <c r="C133" s="1390">
        <v>0.02</v>
      </c>
      <c r="D133" s="1389">
        <v>4</v>
      </c>
      <c r="E133" s="1390">
        <v>0.01</v>
      </c>
      <c r="F133" s="1390">
        <v>0.08</v>
      </c>
      <c r="G133" s="1389">
        <v>7</v>
      </c>
      <c r="H133" s="1390">
        <v>0</v>
      </c>
    </row>
    <row r="134" spans="1:8">
      <c r="A134" s="1389" t="s">
        <v>758</v>
      </c>
      <c r="B134" s="1389">
        <v>545</v>
      </c>
      <c r="C134" s="1390">
        <v>0.17</v>
      </c>
      <c r="D134" s="1389">
        <v>84</v>
      </c>
      <c r="E134" s="1390">
        <v>0.11</v>
      </c>
      <c r="F134" s="1390">
        <v>0.15</v>
      </c>
      <c r="G134" s="1389">
        <v>214</v>
      </c>
      <c r="H134" s="1390">
        <v>0.15</v>
      </c>
    </row>
    <row r="135" spans="1:8">
      <c r="A135" s="1389" t="s">
        <v>759</v>
      </c>
      <c r="B135" s="1391">
        <v>3142</v>
      </c>
      <c r="C135" s="1389"/>
      <c r="D135" s="1389">
        <v>767</v>
      </c>
      <c r="E135" s="1389"/>
      <c r="F135" s="1389"/>
      <c r="G135" s="1389">
        <v>1420</v>
      </c>
      <c r="H135" s="1389"/>
    </row>
    <row r="136" spans="1:8">
      <c r="A136" s="1401"/>
      <c r="B136" s="1401"/>
      <c r="C136" s="1401"/>
      <c r="D136" s="1401"/>
      <c r="E136" s="1401"/>
      <c r="F136" s="1401"/>
      <c r="G136" s="1401"/>
      <c r="H136" s="1401"/>
    </row>
    <row r="137" spans="1:8">
      <c r="A137" s="1402" t="s">
        <v>950</v>
      </c>
      <c r="B137" s="1402"/>
      <c r="C137" s="1402"/>
      <c r="D137" s="1402"/>
      <c r="E137" s="1402"/>
      <c r="F137" s="1402"/>
      <c r="G137" s="1402"/>
      <c r="H137" s="1402"/>
    </row>
    <row r="138" spans="1:8">
      <c r="A138" s="1387" t="s">
        <v>951</v>
      </c>
      <c r="B138" s="1387"/>
      <c r="C138" s="1387"/>
      <c r="D138" s="1387"/>
      <c r="E138" s="1387"/>
      <c r="F138" s="1387"/>
      <c r="G138" s="1387"/>
      <c r="H138" s="1387"/>
    </row>
    <row r="139" spans="1:8">
      <c r="A139" s="1387" t="s">
        <v>952</v>
      </c>
      <c r="B139" s="1387"/>
      <c r="C139" s="1387"/>
      <c r="D139" s="1387"/>
      <c r="E139" s="1387"/>
      <c r="F139" s="1387"/>
      <c r="G139" s="1387"/>
      <c r="H139" s="1387"/>
    </row>
    <row r="140" spans="1:8">
      <c r="A140" s="1387" t="s">
        <v>953</v>
      </c>
      <c r="B140" s="1387"/>
      <c r="C140" s="1387"/>
      <c r="D140" s="1387"/>
      <c r="E140" s="1387"/>
      <c r="F140" s="1387"/>
      <c r="G140" s="1387"/>
      <c r="H140" s="1387"/>
    </row>
    <row r="141" spans="1:8">
      <c r="A141" s="1386"/>
      <c r="B141" s="1386"/>
      <c r="C141" s="1386"/>
      <c r="D141" s="1386"/>
      <c r="E141" s="1386"/>
      <c r="F141" s="1386"/>
      <c r="G141" s="1386"/>
      <c r="H141" s="1386"/>
    </row>
    <row r="142" spans="1:8" ht="15.75">
      <c r="A142" s="1388" t="s">
        <v>760</v>
      </c>
      <c r="B142" s="1386"/>
      <c r="C142" s="1386"/>
      <c r="D142" s="1386"/>
      <c r="E142" s="1386"/>
      <c r="F142" s="1386"/>
      <c r="G142" s="1386"/>
      <c r="H142" s="1386"/>
    </row>
    <row r="143" spans="1:8">
      <c r="A143" s="1386"/>
      <c r="B143" s="1386"/>
      <c r="C143" s="1386"/>
      <c r="D143" s="1386"/>
      <c r="E143" s="1386"/>
      <c r="F143" s="1386"/>
      <c r="G143" s="1386"/>
      <c r="H143" s="1386"/>
    </row>
    <row r="144" spans="1:8">
      <c r="A144" s="1387" t="s">
        <v>948</v>
      </c>
      <c r="B144" s="1386"/>
      <c r="C144" s="1386"/>
      <c r="D144" s="1386"/>
      <c r="E144" s="1386"/>
      <c r="F144" s="1386"/>
      <c r="G144" s="1386"/>
      <c r="H144" s="1386"/>
    </row>
    <row r="145" spans="1:8">
      <c r="A145" s="1387" t="s">
        <v>949</v>
      </c>
      <c r="B145" s="1386"/>
      <c r="C145" s="1386"/>
      <c r="D145" s="1386"/>
      <c r="E145" s="1386"/>
      <c r="F145" s="1386"/>
      <c r="G145" s="1386"/>
      <c r="H145" s="1386"/>
    </row>
    <row r="146" spans="1:8">
      <c r="A146" s="1386"/>
      <c r="B146" s="1386"/>
      <c r="C146" s="1386"/>
      <c r="D146" s="1386"/>
      <c r="E146" s="1386"/>
      <c r="F146" s="1386"/>
      <c r="G146" s="1386"/>
      <c r="H146" s="1386"/>
    </row>
    <row r="147" spans="1:8">
      <c r="A147" s="1387" t="s">
        <v>945</v>
      </c>
      <c r="B147" s="1386"/>
      <c r="C147" s="1386"/>
      <c r="D147" s="1386"/>
      <c r="E147" s="1386"/>
      <c r="F147" s="1386"/>
      <c r="G147" s="1386"/>
      <c r="H147" s="1386"/>
    </row>
    <row r="148" spans="1:8">
      <c r="A148" s="1387" t="s">
        <v>946</v>
      </c>
      <c r="B148" s="1386"/>
      <c r="C148" s="1386"/>
      <c r="D148" s="1386"/>
      <c r="E148" s="1386"/>
      <c r="F148" s="1386"/>
      <c r="G148" s="1386"/>
      <c r="H148" s="1386"/>
    </row>
    <row r="149" spans="1:8">
      <c r="A149" s="1387" t="s">
        <v>947</v>
      </c>
      <c r="B149" s="1386"/>
      <c r="C149" s="1386"/>
      <c r="D149" s="1386"/>
      <c r="E149" s="1386"/>
      <c r="F149" s="1386"/>
      <c r="G149" s="1386"/>
      <c r="H149" s="1386"/>
    </row>
    <row r="150" spans="1:8">
      <c r="A150" s="1386"/>
      <c r="B150" s="1386"/>
      <c r="C150" s="1386"/>
      <c r="D150" s="1386"/>
      <c r="E150" s="1386"/>
      <c r="F150" s="1386"/>
      <c r="G150" s="1386"/>
      <c r="H150" s="1386"/>
    </row>
    <row r="151" spans="1:8">
      <c r="A151" s="1387" t="s">
        <v>942</v>
      </c>
      <c r="B151" s="1386"/>
      <c r="C151" s="1386"/>
      <c r="D151" s="1386"/>
      <c r="E151" s="1386"/>
      <c r="F151" s="1386"/>
      <c r="G151" s="1386"/>
      <c r="H151" s="1386"/>
    </row>
    <row r="152" spans="1:8">
      <c r="A152" s="1387" t="s">
        <v>943</v>
      </c>
      <c r="B152" s="1386"/>
      <c r="C152" s="1386"/>
      <c r="D152" s="1386"/>
      <c r="E152" s="1386"/>
      <c r="F152" s="1386"/>
      <c r="G152" s="1386"/>
      <c r="H152" s="1386"/>
    </row>
    <row r="153" spans="1:8">
      <c r="A153" s="1387" t="s">
        <v>944</v>
      </c>
      <c r="B153" s="1386"/>
      <c r="C153" s="1386"/>
      <c r="D153" s="1386"/>
      <c r="E153" s="1386"/>
      <c r="F153" s="1386"/>
      <c r="G153" s="1386"/>
      <c r="H153" s="1386"/>
    </row>
    <row r="154" spans="1:8">
      <c r="A154" s="1386"/>
      <c r="B154" s="1386"/>
      <c r="C154" s="1386"/>
      <c r="D154" s="1386"/>
      <c r="E154" s="1386"/>
      <c r="F154" s="1386"/>
      <c r="G154" s="1386"/>
      <c r="H154" s="1386"/>
    </row>
    <row r="155" spans="1:8">
      <c r="A155" s="1387" t="s">
        <v>939</v>
      </c>
      <c r="B155" s="1386"/>
      <c r="C155" s="1386"/>
      <c r="D155" s="1386"/>
      <c r="E155" s="1386"/>
      <c r="F155" s="1386"/>
      <c r="G155" s="1386"/>
      <c r="H155" s="1386"/>
    </row>
    <row r="156" spans="1:8">
      <c r="A156" s="1387" t="s">
        <v>940</v>
      </c>
      <c r="B156" s="1386"/>
      <c r="C156" s="1386"/>
      <c r="D156" s="1386"/>
      <c r="E156" s="1386"/>
      <c r="F156" s="1386"/>
      <c r="G156" s="1386"/>
      <c r="H156" s="1386"/>
    </row>
    <row r="157" spans="1:8">
      <c r="A157" s="1387" t="s">
        <v>941</v>
      </c>
      <c r="B157" s="1386"/>
      <c r="C157" s="1386"/>
      <c r="D157" s="1386"/>
      <c r="E157" s="1386"/>
      <c r="F157" s="1386"/>
      <c r="G157" s="1386"/>
      <c r="H157" s="1386"/>
    </row>
    <row r="158" spans="1:8">
      <c r="A158" s="1386"/>
      <c r="B158" s="1386"/>
      <c r="C158" s="1386"/>
      <c r="D158" s="1386"/>
      <c r="E158" s="1386"/>
      <c r="F158" s="1386"/>
      <c r="G158" s="1386"/>
      <c r="H158" s="1386"/>
    </row>
    <row r="159" spans="1:8">
      <c r="A159" s="1387" t="s">
        <v>937</v>
      </c>
      <c r="B159" s="1386"/>
      <c r="C159" s="1386"/>
      <c r="D159" s="1386"/>
      <c r="E159" s="1386"/>
      <c r="F159" s="1386"/>
      <c r="G159" s="1386"/>
      <c r="H159" s="1386"/>
    </row>
    <row r="160" spans="1:8">
      <c r="A160" s="1387" t="s">
        <v>938</v>
      </c>
      <c r="B160" s="1386"/>
      <c r="C160" s="1386"/>
      <c r="D160" s="1386"/>
      <c r="E160" s="1386"/>
      <c r="F160" s="1386"/>
      <c r="G160" s="1386"/>
      <c r="H160" s="1386"/>
    </row>
    <row r="161" spans="1:8">
      <c r="A161" s="1386"/>
      <c r="B161" s="1386"/>
      <c r="C161" s="1386"/>
      <c r="D161" s="1386"/>
      <c r="E161" s="1386"/>
      <c r="F161" s="1386"/>
      <c r="G161" s="1386"/>
      <c r="H161" s="1386"/>
    </row>
    <row r="162" spans="1:8" ht="15.75">
      <c r="A162" s="1388" t="s">
        <v>761</v>
      </c>
      <c r="B162" s="1386"/>
      <c r="C162" s="1386"/>
      <c r="D162" s="1386"/>
      <c r="E162" s="1386"/>
      <c r="F162" s="1386"/>
      <c r="G162" s="1386"/>
      <c r="H162" s="1386"/>
    </row>
    <row r="163" spans="1:8">
      <c r="A163" s="1386"/>
      <c r="B163" s="1386"/>
      <c r="C163" s="1386"/>
      <c r="D163" s="1386"/>
      <c r="E163" s="1386"/>
      <c r="F163" s="1386"/>
      <c r="G163" s="1386"/>
      <c r="H163" s="1386"/>
    </row>
    <row r="164" spans="1:8">
      <c r="A164" s="1387" t="s">
        <v>935</v>
      </c>
      <c r="B164" s="1386"/>
      <c r="C164" s="1386"/>
      <c r="D164" s="1386"/>
      <c r="E164" s="1386"/>
      <c r="F164" s="1386"/>
      <c r="G164" s="1386"/>
      <c r="H164" s="1386"/>
    </row>
    <row r="165" spans="1:8">
      <c r="A165" s="1387" t="s">
        <v>936</v>
      </c>
      <c r="B165" s="1386"/>
      <c r="C165" s="1386"/>
      <c r="D165" s="1386"/>
      <c r="E165" s="1386"/>
      <c r="F165" s="1386"/>
      <c r="G165" s="1386"/>
      <c r="H165" s="1386"/>
    </row>
    <row r="166" spans="1:8">
      <c r="A166" s="1386"/>
      <c r="B166" s="1386"/>
      <c r="C166" s="1386"/>
      <c r="D166" s="1386"/>
      <c r="E166" s="1386"/>
      <c r="F166" s="1386"/>
      <c r="G166" s="1386"/>
      <c r="H166" s="1386"/>
    </row>
    <row r="167" spans="1:8">
      <c r="A167" s="1387" t="s">
        <v>933</v>
      </c>
      <c r="B167" s="1386"/>
      <c r="C167" s="1386"/>
      <c r="D167" s="1386"/>
      <c r="E167" s="1386"/>
      <c r="F167" s="1386"/>
      <c r="G167" s="1386"/>
      <c r="H167" s="1386"/>
    </row>
    <row r="168" spans="1:8">
      <c r="A168" s="1387" t="s">
        <v>934</v>
      </c>
      <c r="B168" s="1386"/>
      <c r="C168" s="1386"/>
      <c r="D168" s="1386"/>
      <c r="E168" s="1386"/>
      <c r="F168" s="1386"/>
      <c r="G168" s="1386"/>
      <c r="H168" s="1386"/>
    </row>
    <row r="169" spans="1:8">
      <c r="A169" s="1386"/>
      <c r="B169" s="1386"/>
      <c r="C169" s="1386"/>
      <c r="D169" s="1386"/>
      <c r="E169" s="1386"/>
      <c r="F169" s="1386"/>
      <c r="G169" s="1386"/>
      <c r="H169" s="1386"/>
    </row>
    <row r="170" spans="1:8">
      <c r="A170" s="1387" t="s">
        <v>931</v>
      </c>
      <c r="B170" s="1386"/>
      <c r="C170" s="1386"/>
      <c r="D170" s="1386"/>
      <c r="E170" s="1386"/>
      <c r="F170" s="1386"/>
      <c r="G170" s="1386"/>
      <c r="H170" s="1386"/>
    </row>
    <row r="171" spans="1:8">
      <c r="A171" s="1387" t="s">
        <v>932</v>
      </c>
      <c r="B171" s="1386"/>
      <c r="C171" s="1386"/>
      <c r="D171" s="1386"/>
      <c r="E171" s="1386"/>
      <c r="F171" s="1386"/>
      <c r="G171" s="1386"/>
      <c r="H171" s="1386"/>
    </row>
    <row r="172" spans="1:8">
      <c r="A172" s="1386"/>
      <c r="B172" s="1386"/>
      <c r="C172" s="1386"/>
      <c r="D172" s="1386"/>
      <c r="E172" s="1386"/>
      <c r="F172" s="1386"/>
      <c r="G172" s="1386"/>
      <c r="H172" s="1386"/>
    </row>
    <row r="173" spans="1:8">
      <c r="A173" s="1387" t="s">
        <v>928</v>
      </c>
      <c r="B173" s="1386"/>
      <c r="C173" s="1386"/>
      <c r="D173" s="1386"/>
      <c r="E173" s="1386"/>
      <c r="F173" s="1386"/>
      <c r="G173" s="1386"/>
      <c r="H173" s="1386"/>
    </row>
    <row r="174" spans="1:8">
      <c r="A174" s="1387" t="s">
        <v>929</v>
      </c>
      <c r="B174" s="1386"/>
      <c r="C174" s="1386"/>
      <c r="D174" s="1386"/>
      <c r="E174" s="1386"/>
      <c r="F174" s="1386"/>
      <c r="G174" s="1386"/>
      <c r="H174" s="1386"/>
    </row>
    <row r="175" spans="1:8">
      <c r="A175" s="1387" t="s">
        <v>930</v>
      </c>
      <c r="B175" s="1386"/>
      <c r="C175" s="1386"/>
      <c r="D175" s="1386"/>
      <c r="E175" s="1386"/>
      <c r="F175" s="1386"/>
      <c r="G175" s="1386"/>
      <c r="H175" s="1386"/>
    </row>
    <row r="176" spans="1:8">
      <c r="A176" s="1386"/>
      <c r="B176" s="1386"/>
      <c r="C176" s="1386"/>
      <c r="D176" s="1386"/>
      <c r="E176" s="1386"/>
      <c r="F176" s="1386"/>
      <c r="G176" s="1386"/>
      <c r="H176" s="1386"/>
    </row>
    <row r="177" spans="1:8">
      <c r="A177" s="1386"/>
      <c r="B177" s="1386"/>
      <c r="C177" s="1386"/>
      <c r="D177" s="1386"/>
      <c r="E177" s="1386"/>
      <c r="F177" s="1386"/>
      <c r="G177" s="1386"/>
      <c r="H177" s="1386"/>
    </row>
    <row r="178" spans="1:8">
      <c r="A178" s="1387" t="s">
        <v>762</v>
      </c>
      <c r="B178" s="1386"/>
      <c r="C178" s="1386"/>
      <c r="D178" s="1386"/>
      <c r="E178" s="1386"/>
      <c r="F178" s="1386"/>
      <c r="G178" s="1386"/>
      <c r="H178" s="1386"/>
    </row>
    <row r="179" spans="1:8">
      <c r="A179" s="1386"/>
      <c r="B179" s="1386"/>
      <c r="C179" s="1386"/>
      <c r="D179" s="1386"/>
      <c r="E179" s="1386"/>
      <c r="F179" s="1386"/>
      <c r="G179" s="1386"/>
      <c r="H179" s="1386"/>
    </row>
    <row r="180" spans="1:8" ht="15.75">
      <c r="A180" s="1388" t="s">
        <v>763</v>
      </c>
      <c r="B180" s="1386"/>
      <c r="C180" s="1386"/>
      <c r="D180" s="1386"/>
      <c r="E180" s="1386"/>
      <c r="F180" s="1386"/>
      <c r="G180" s="1386"/>
      <c r="H180" s="1386"/>
    </row>
    <row r="181" spans="1:8">
      <c r="A181" s="1386"/>
      <c r="B181" s="1386"/>
      <c r="C181" s="1386"/>
      <c r="D181" s="1386"/>
      <c r="E181" s="1386"/>
      <c r="F181" s="1386"/>
      <c r="G181" s="1386"/>
      <c r="H181" s="1386"/>
    </row>
    <row r="182" spans="1:8">
      <c r="A182" s="1386"/>
      <c r="B182" s="1386"/>
      <c r="C182" s="1386"/>
      <c r="D182" s="1386"/>
      <c r="E182" s="1386"/>
      <c r="F182" s="1386"/>
      <c r="G182" s="1386"/>
      <c r="H182" s="1386"/>
    </row>
    <row r="183" spans="1:8">
      <c r="A183" s="1386"/>
      <c r="B183" s="1386"/>
      <c r="C183" s="1386"/>
      <c r="D183" s="1386"/>
      <c r="E183" s="1386"/>
      <c r="F183" s="1386"/>
      <c r="G183" s="1386"/>
      <c r="H183" s="1386"/>
    </row>
    <row r="184" spans="1:8">
      <c r="A184" s="1386"/>
      <c r="B184" s="1386"/>
      <c r="C184" s="1386"/>
      <c r="D184" s="1386"/>
      <c r="E184" s="1386"/>
      <c r="F184" s="1386"/>
      <c r="G184" s="1386"/>
      <c r="H184" s="1386"/>
    </row>
    <row r="185" spans="1:8">
      <c r="A185" s="1386"/>
      <c r="B185" s="1386"/>
      <c r="C185" s="1386"/>
      <c r="D185" s="1386"/>
      <c r="E185" s="1386"/>
      <c r="F185" s="1386"/>
      <c r="G185" s="1386"/>
      <c r="H185" s="1386"/>
    </row>
    <row r="186" spans="1:8">
      <c r="A186" s="1386"/>
      <c r="B186" s="1386"/>
      <c r="C186" s="1386"/>
      <c r="D186" s="1386"/>
      <c r="E186" s="1386"/>
      <c r="F186" s="1386"/>
      <c r="G186" s="1386"/>
      <c r="H186" s="1386"/>
    </row>
    <row r="187" spans="1:8">
      <c r="A187" s="1386"/>
      <c r="B187" s="1386"/>
      <c r="C187" s="1386"/>
      <c r="D187" s="1386"/>
      <c r="E187" s="1386"/>
      <c r="F187" s="1386"/>
      <c r="G187" s="1386"/>
      <c r="H187" s="1386"/>
    </row>
    <row r="188" spans="1:8">
      <c r="A188" s="1386"/>
      <c r="B188" s="1386"/>
      <c r="C188" s="1386"/>
      <c r="D188" s="1386"/>
      <c r="E188" s="1386"/>
      <c r="F188" s="1386"/>
      <c r="G188" s="1386"/>
      <c r="H188" s="1386"/>
    </row>
    <row r="189" spans="1:8">
      <c r="A189" s="1386"/>
      <c r="B189" s="1386"/>
      <c r="C189" s="1386"/>
      <c r="D189" s="1386"/>
      <c r="E189" s="1386"/>
      <c r="F189" s="1386"/>
      <c r="G189" s="1386"/>
      <c r="H189" s="1386"/>
    </row>
    <row r="190" spans="1:8">
      <c r="A190" s="1386"/>
      <c r="B190" s="1386"/>
      <c r="C190" s="1386"/>
      <c r="D190" s="1386"/>
      <c r="E190" s="1386"/>
      <c r="F190" s="1386"/>
      <c r="G190" s="1386"/>
      <c r="H190" s="1386"/>
    </row>
    <row r="191" spans="1:8">
      <c r="A191" s="1386"/>
      <c r="B191" s="1386"/>
      <c r="C191" s="1386"/>
      <c r="D191" s="1386"/>
      <c r="E191" s="1386"/>
      <c r="F191" s="1386"/>
      <c r="G191" s="1386"/>
      <c r="H191" s="1386"/>
    </row>
    <row r="192" spans="1:8">
      <c r="A192" s="1386"/>
      <c r="B192" s="1386"/>
      <c r="C192" s="1386"/>
      <c r="D192" s="1386"/>
      <c r="E192" s="1386"/>
      <c r="F192" s="1386"/>
      <c r="G192" s="1386"/>
      <c r="H192" s="1386"/>
    </row>
    <row r="193" spans="1:8">
      <c r="A193" s="1386"/>
      <c r="B193" s="1386"/>
      <c r="C193" s="1386"/>
      <c r="D193" s="1386"/>
      <c r="E193" s="1386"/>
      <c r="F193" s="1386"/>
      <c r="G193" s="1386"/>
      <c r="H193" s="1386"/>
    </row>
    <row r="194" spans="1:8">
      <c r="A194" s="1386"/>
      <c r="B194" s="1386"/>
      <c r="C194" s="1386"/>
      <c r="D194" s="1386"/>
      <c r="E194" s="1386"/>
      <c r="F194" s="1386"/>
      <c r="G194" s="1386"/>
      <c r="H194" s="1386"/>
    </row>
    <row r="195" spans="1:8">
      <c r="A195" s="1386"/>
      <c r="B195" s="1386"/>
      <c r="C195" s="1386"/>
      <c r="D195" s="1386"/>
      <c r="E195" s="1386"/>
      <c r="F195" s="1386"/>
      <c r="G195" s="1386"/>
      <c r="H195" s="1386"/>
    </row>
    <row r="196" spans="1:8">
      <c r="A196" s="1386"/>
      <c r="B196" s="1386"/>
      <c r="C196" s="1386"/>
      <c r="D196" s="1386"/>
      <c r="E196" s="1386"/>
      <c r="F196" s="1386"/>
      <c r="G196" s="1386"/>
      <c r="H196" s="1386"/>
    </row>
    <row r="197" spans="1:8">
      <c r="A197" s="1386"/>
      <c r="B197" s="1386"/>
      <c r="C197" s="1386"/>
      <c r="D197" s="1386"/>
      <c r="E197" s="1386"/>
      <c r="F197" s="1386"/>
      <c r="G197" s="1386"/>
      <c r="H197" s="1386"/>
    </row>
    <row r="198" spans="1:8">
      <c r="A198" s="1386"/>
      <c r="B198" s="1386"/>
      <c r="C198" s="1386"/>
      <c r="D198" s="1386"/>
      <c r="E198" s="1386"/>
      <c r="F198" s="1386"/>
      <c r="G198" s="1386"/>
      <c r="H198" s="1386"/>
    </row>
    <row r="199" spans="1:8">
      <c r="A199" s="1386"/>
      <c r="B199" s="1386"/>
      <c r="C199" s="1386"/>
      <c r="D199" s="1386"/>
      <c r="E199" s="1386"/>
      <c r="F199" s="1386"/>
      <c r="G199" s="1386"/>
      <c r="H199" s="1386"/>
    </row>
    <row r="200" spans="1:8">
      <c r="A200" s="1386"/>
      <c r="B200" s="1386"/>
      <c r="C200" s="1386"/>
      <c r="D200" s="1386"/>
      <c r="E200" s="1386"/>
      <c r="F200" s="1386"/>
      <c r="G200" s="1386"/>
      <c r="H200" s="1386"/>
    </row>
    <row r="201" spans="1:8">
      <c r="A201" s="1386"/>
      <c r="B201" s="1386"/>
      <c r="C201" s="1386"/>
      <c r="D201" s="1386"/>
      <c r="E201" s="1386"/>
      <c r="F201" s="1386"/>
      <c r="G201" s="1386"/>
      <c r="H201" s="1386"/>
    </row>
    <row r="202" spans="1:8">
      <c r="A202" s="1386"/>
      <c r="B202" s="1386"/>
      <c r="C202" s="1386"/>
      <c r="D202" s="1386"/>
      <c r="E202" s="1386"/>
      <c r="F202" s="1386"/>
      <c r="G202" s="1386"/>
      <c r="H202" s="1386"/>
    </row>
    <row r="203" spans="1:8">
      <c r="A203" s="1386"/>
      <c r="B203" s="1386"/>
      <c r="C203" s="1386"/>
      <c r="D203" s="1386"/>
      <c r="E203" s="1386"/>
      <c r="F203" s="1386"/>
      <c r="G203" s="1386"/>
      <c r="H203" s="1386"/>
    </row>
    <row r="204" spans="1:8">
      <c r="A204" s="1386"/>
      <c r="B204" s="1386"/>
      <c r="C204" s="1386"/>
      <c r="D204" s="1386"/>
      <c r="E204" s="1386"/>
      <c r="F204" s="1386"/>
      <c r="G204" s="1386"/>
      <c r="H204" s="1386"/>
    </row>
    <row r="205" spans="1:8">
      <c r="A205" s="1386"/>
      <c r="B205" s="1386"/>
      <c r="C205" s="1386"/>
      <c r="D205" s="1386"/>
      <c r="E205" s="1386"/>
      <c r="F205" s="1386"/>
      <c r="G205" s="1386"/>
      <c r="H205" s="1386"/>
    </row>
    <row r="206" spans="1:8">
      <c r="A206" s="1386"/>
      <c r="B206" s="1386"/>
      <c r="C206" s="1386"/>
      <c r="D206" s="1386"/>
      <c r="E206" s="1386"/>
      <c r="F206" s="1386"/>
      <c r="G206" s="1386"/>
      <c r="H206" s="1386"/>
    </row>
    <row r="207" spans="1:8" ht="15.75">
      <c r="A207" s="1388" t="s">
        <v>764</v>
      </c>
      <c r="B207" s="1386"/>
      <c r="C207" s="1386"/>
      <c r="D207" s="1386"/>
      <c r="E207" s="1386"/>
      <c r="F207" s="1386"/>
      <c r="G207" s="1386"/>
      <c r="H207" s="1386"/>
    </row>
    <row r="208" spans="1:8">
      <c r="A208" s="1386"/>
      <c r="B208" s="1386"/>
      <c r="C208" s="1386"/>
      <c r="D208" s="1386"/>
      <c r="E208" s="1386"/>
      <c r="F208" s="1386"/>
      <c r="G208" s="1386"/>
      <c r="H208" s="1386"/>
    </row>
    <row r="209" spans="1:8">
      <c r="A209" s="1387" t="s">
        <v>923</v>
      </c>
      <c r="B209" s="1386"/>
      <c r="C209" s="1386"/>
      <c r="D209" s="1386"/>
      <c r="E209" s="1386"/>
      <c r="F209" s="1386"/>
      <c r="G209" s="1386"/>
      <c r="H209" s="1386"/>
    </row>
    <row r="210" spans="1:8">
      <c r="A210" s="1387" t="s">
        <v>924</v>
      </c>
      <c r="B210" s="1386"/>
      <c r="C210" s="1386"/>
      <c r="D210" s="1386"/>
      <c r="E210" s="1386"/>
      <c r="F210" s="1386"/>
      <c r="G210" s="1386"/>
      <c r="H210" s="1386"/>
    </row>
    <row r="211" spans="1:8">
      <c r="A211" s="1387" t="s">
        <v>925</v>
      </c>
      <c r="B211" s="1386"/>
      <c r="C211" s="1386"/>
      <c r="D211" s="1386"/>
      <c r="E211" s="1386"/>
      <c r="F211" s="1386"/>
      <c r="G211" s="1386"/>
      <c r="H211" s="1386"/>
    </row>
    <row r="212" spans="1:8">
      <c r="A212" s="1387" t="s">
        <v>926</v>
      </c>
      <c r="B212" s="1386"/>
      <c r="C212" s="1386"/>
      <c r="D212" s="1386"/>
      <c r="E212" s="1386"/>
      <c r="F212" s="1386"/>
      <c r="G212" s="1386"/>
      <c r="H212" s="1386"/>
    </row>
    <row r="213" spans="1:8">
      <c r="A213" s="1387" t="s">
        <v>927</v>
      </c>
      <c r="B213" s="1386"/>
      <c r="C213" s="1386"/>
      <c r="D213" s="1386"/>
      <c r="E213" s="1386"/>
      <c r="F213" s="1386"/>
      <c r="G213" s="1386"/>
      <c r="H213" s="1386"/>
    </row>
    <row r="214" spans="1:8">
      <c r="A214" s="1386"/>
      <c r="B214" s="1386"/>
      <c r="C214" s="1386"/>
      <c r="D214" s="1386"/>
      <c r="E214" s="1386"/>
      <c r="F214" s="1386"/>
      <c r="G214" s="1386"/>
      <c r="H214" s="1386"/>
    </row>
    <row r="215" spans="1:8">
      <c r="A215" s="1387" t="s">
        <v>920</v>
      </c>
      <c r="B215" s="1386"/>
      <c r="C215" s="1386"/>
      <c r="D215" s="1386"/>
      <c r="E215" s="1386"/>
      <c r="F215" s="1386"/>
      <c r="G215" s="1386"/>
      <c r="H215" s="1386"/>
    </row>
    <row r="216" spans="1:8">
      <c r="A216" s="1387" t="s">
        <v>921</v>
      </c>
      <c r="B216" s="1386"/>
      <c r="C216" s="1386"/>
      <c r="D216" s="1386"/>
      <c r="E216" s="1386"/>
      <c r="F216" s="1386"/>
      <c r="G216" s="1386"/>
      <c r="H216" s="1386"/>
    </row>
    <row r="217" spans="1:8">
      <c r="A217" s="1387" t="s">
        <v>922</v>
      </c>
      <c r="B217" s="1386"/>
      <c r="C217" s="1386"/>
      <c r="D217" s="1386"/>
      <c r="E217" s="1386"/>
      <c r="F217" s="1386"/>
      <c r="G217" s="1386"/>
      <c r="H217" s="1386"/>
    </row>
    <row r="218" spans="1:8" ht="15.75">
      <c r="A218" s="1388" t="s">
        <v>765</v>
      </c>
      <c r="B218" s="1386"/>
      <c r="C218" s="1386"/>
      <c r="D218" s="1386"/>
      <c r="E218" s="1386"/>
      <c r="F218" s="1386"/>
      <c r="G218" s="1386"/>
      <c r="H218" s="1386"/>
    </row>
    <row r="219" spans="1:8">
      <c r="A219" s="1386"/>
      <c r="B219" s="1386"/>
      <c r="C219" s="1386"/>
      <c r="D219" s="1386"/>
      <c r="E219" s="1386"/>
      <c r="F219" s="1386"/>
      <c r="G219" s="1386"/>
      <c r="H219" s="1386"/>
    </row>
    <row r="220" spans="1:8">
      <c r="A220" s="1387" t="s">
        <v>913</v>
      </c>
      <c r="B220" s="1386"/>
      <c r="C220" s="1386"/>
      <c r="D220" s="1386"/>
      <c r="E220" s="1386"/>
      <c r="F220" s="1386"/>
      <c r="G220" s="1386"/>
      <c r="H220" s="1386"/>
    </row>
    <row r="221" spans="1:8">
      <c r="A221" s="1387" t="s">
        <v>914</v>
      </c>
      <c r="B221" s="1386"/>
      <c r="C221" s="1386"/>
      <c r="D221" s="1386"/>
      <c r="E221" s="1386"/>
      <c r="F221" s="1386"/>
      <c r="G221" s="1386"/>
      <c r="H221" s="1386"/>
    </row>
    <row r="222" spans="1:8">
      <c r="A222" s="1387" t="s">
        <v>915</v>
      </c>
      <c r="B222" s="1386"/>
      <c r="C222" s="1386"/>
      <c r="D222" s="1386"/>
      <c r="E222" s="1386"/>
      <c r="F222" s="1386"/>
      <c r="G222" s="1386"/>
      <c r="H222" s="1386"/>
    </row>
    <row r="223" spans="1:8">
      <c r="A223" s="1387" t="s">
        <v>916</v>
      </c>
      <c r="B223" s="1386"/>
      <c r="C223" s="1386"/>
      <c r="D223" s="1386"/>
      <c r="E223" s="1386"/>
      <c r="F223" s="1386"/>
      <c r="G223" s="1386"/>
      <c r="H223" s="1386"/>
    </row>
    <row r="224" spans="1:8">
      <c r="A224" s="1387" t="s">
        <v>917</v>
      </c>
      <c r="B224" s="1386"/>
      <c r="C224" s="1386"/>
      <c r="D224" s="1386"/>
      <c r="E224" s="1386"/>
      <c r="F224" s="1386"/>
      <c r="G224" s="1386"/>
      <c r="H224" s="1386"/>
    </row>
    <row r="225" spans="1:8">
      <c r="A225" s="1387" t="s">
        <v>918</v>
      </c>
      <c r="B225" s="1386"/>
      <c r="C225" s="1386"/>
      <c r="D225" s="1386"/>
      <c r="E225" s="1386"/>
      <c r="F225" s="1386"/>
      <c r="G225" s="1386"/>
      <c r="H225" s="1386"/>
    </row>
    <row r="226" spans="1:8">
      <c r="A226" s="1387" t="s">
        <v>919</v>
      </c>
      <c r="B226" s="1386"/>
      <c r="C226" s="1386"/>
      <c r="D226" s="1386"/>
      <c r="E226" s="1386"/>
      <c r="F226" s="1386"/>
      <c r="G226" s="1386"/>
      <c r="H226" s="1386"/>
    </row>
    <row r="227" spans="1:8">
      <c r="A227" s="1386"/>
      <c r="B227" s="1386"/>
      <c r="C227" s="1386"/>
      <c r="D227" s="1386"/>
      <c r="E227" s="1386"/>
      <c r="F227" s="1386"/>
      <c r="G227" s="1386"/>
      <c r="H227" s="1386"/>
    </row>
    <row r="228" spans="1:8">
      <c r="A228" s="1387" t="s">
        <v>910</v>
      </c>
      <c r="B228" s="1386"/>
      <c r="C228" s="1386"/>
      <c r="D228" s="1386"/>
      <c r="E228" s="1386"/>
      <c r="F228" s="1386"/>
      <c r="G228" s="1386"/>
      <c r="H228" s="1386"/>
    </row>
    <row r="229" spans="1:8">
      <c r="A229" s="1387" t="s">
        <v>911</v>
      </c>
      <c r="B229" s="1386"/>
      <c r="C229" s="1386"/>
      <c r="D229" s="1386"/>
      <c r="E229" s="1386"/>
      <c r="F229" s="1386"/>
      <c r="G229" s="1386"/>
      <c r="H229" s="1386"/>
    </row>
    <row r="230" spans="1:8">
      <c r="A230" s="1387" t="s">
        <v>912</v>
      </c>
      <c r="B230" s="1386"/>
      <c r="C230" s="1386"/>
      <c r="D230" s="1386"/>
      <c r="E230" s="1386"/>
      <c r="F230" s="1386"/>
      <c r="G230" s="1386"/>
      <c r="H230" s="1386"/>
    </row>
    <row r="231" spans="1:8">
      <c r="A231" s="1386"/>
      <c r="B231" s="1386"/>
      <c r="C231" s="1386"/>
      <c r="D231" s="1386"/>
      <c r="E231" s="1386"/>
      <c r="F231" s="1386"/>
      <c r="G231" s="1386"/>
      <c r="H231" s="1386"/>
    </row>
    <row r="232" spans="1:8">
      <c r="A232" s="1387" t="s">
        <v>905</v>
      </c>
      <c r="B232" s="1386"/>
      <c r="C232" s="1386"/>
      <c r="D232" s="1386"/>
      <c r="E232" s="1386"/>
      <c r="F232" s="1386"/>
      <c r="G232" s="1386"/>
      <c r="H232" s="1386"/>
    </row>
    <row r="233" spans="1:8">
      <c r="A233" s="1387" t="s">
        <v>906</v>
      </c>
      <c r="B233" s="1386"/>
      <c r="C233" s="1386"/>
      <c r="D233" s="1386"/>
      <c r="E233" s="1386"/>
      <c r="F233" s="1386"/>
      <c r="G233" s="1386"/>
      <c r="H233" s="1386"/>
    </row>
    <row r="234" spans="1:8">
      <c r="A234" s="1387" t="s">
        <v>907</v>
      </c>
      <c r="B234" s="1386"/>
      <c r="C234" s="1386"/>
      <c r="D234" s="1386"/>
      <c r="E234" s="1386"/>
      <c r="F234" s="1386"/>
      <c r="G234" s="1386"/>
      <c r="H234" s="1386"/>
    </row>
    <row r="235" spans="1:8">
      <c r="A235" s="1387" t="s">
        <v>908</v>
      </c>
      <c r="B235" s="1386"/>
      <c r="C235" s="1386"/>
      <c r="D235" s="1386"/>
      <c r="E235" s="1386"/>
      <c r="F235" s="1386"/>
      <c r="G235" s="1386"/>
      <c r="H235" s="1386"/>
    </row>
    <row r="236" spans="1:8">
      <c r="A236" s="1387" t="s">
        <v>909</v>
      </c>
      <c r="B236" s="1386"/>
      <c r="C236" s="1386"/>
      <c r="D236" s="1386"/>
      <c r="E236" s="1386"/>
      <c r="F236" s="1386"/>
      <c r="G236" s="1386"/>
      <c r="H236" s="1386"/>
    </row>
    <row r="237" spans="1:8">
      <c r="A237" s="1386"/>
      <c r="B237" s="1386"/>
      <c r="C237" s="1386"/>
      <c r="D237" s="1386"/>
      <c r="E237" s="1386"/>
      <c r="F237" s="1386"/>
      <c r="G237" s="1386"/>
      <c r="H237" s="1386"/>
    </row>
    <row r="238" spans="1:8">
      <c r="A238" s="1387" t="s">
        <v>899</v>
      </c>
      <c r="B238" s="1386"/>
      <c r="C238" s="1386"/>
      <c r="D238" s="1386"/>
      <c r="E238" s="1386"/>
      <c r="F238" s="1386"/>
      <c r="G238" s="1386"/>
      <c r="H238" s="1386"/>
    </row>
    <row r="239" spans="1:8">
      <c r="A239" s="1387" t="s">
        <v>900</v>
      </c>
      <c r="B239" s="1386"/>
      <c r="C239" s="1386"/>
      <c r="D239" s="1386"/>
      <c r="E239" s="1386"/>
      <c r="F239" s="1386"/>
      <c r="G239" s="1386"/>
      <c r="H239" s="1386"/>
    </row>
    <row r="240" spans="1:8">
      <c r="A240" s="1387" t="s">
        <v>901</v>
      </c>
      <c r="B240" s="1386"/>
      <c r="C240" s="1386"/>
      <c r="D240" s="1386"/>
      <c r="E240" s="1386"/>
      <c r="F240" s="1386"/>
      <c r="G240" s="1386"/>
      <c r="H240" s="1386"/>
    </row>
    <row r="241" spans="1:8">
      <c r="A241" s="1387" t="s">
        <v>902</v>
      </c>
      <c r="B241" s="1386"/>
      <c r="C241" s="1386"/>
      <c r="D241" s="1386"/>
      <c r="E241" s="1386"/>
      <c r="F241" s="1386"/>
      <c r="G241" s="1386"/>
      <c r="H241" s="1386"/>
    </row>
    <row r="242" spans="1:8">
      <c r="A242" s="1387" t="s">
        <v>903</v>
      </c>
      <c r="B242" s="1386"/>
      <c r="C242" s="1386"/>
      <c r="D242" s="1386"/>
      <c r="E242" s="1386"/>
      <c r="F242" s="1386"/>
      <c r="G242" s="1386"/>
      <c r="H242" s="1386"/>
    </row>
    <row r="243" spans="1:8">
      <c r="A243" s="1387" t="s">
        <v>904</v>
      </c>
      <c r="B243" s="1386"/>
      <c r="C243" s="1386"/>
      <c r="D243" s="1386"/>
      <c r="E243" s="1386"/>
      <c r="F243" s="1386"/>
      <c r="G243" s="1386"/>
      <c r="H243" s="1386"/>
    </row>
    <row r="244" spans="1:8">
      <c r="A244" s="1386"/>
      <c r="B244" s="1386"/>
      <c r="C244" s="1386"/>
      <c r="D244" s="1386"/>
      <c r="E244" s="1386"/>
      <c r="F244" s="1386"/>
      <c r="G244" s="1386"/>
      <c r="H244" s="1386"/>
    </row>
    <row r="245" spans="1:8">
      <c r="A245" s="1387" t="s">
        <v>889</v>
      </c>
      <c r="B245" s="1386"/>
      <c r="C245" s="1386"/>
      <c r="D245" s="1386"/>
      <c r="E245" s="1386"/>
      <c r="F245" s="1386"/>
      <c r="G245" s="1386"/>
      <c r="H245" s="1386"/>
    </row>
    <row r="246" spans="1:8">
      <c r="A246" s="1387" t="s">
        <v>890</v>
      </c>
      <c r="B246" s="1386"/>
      <c r="C246" s="1386"/>
      <c r="D246" s="1386"/>
      <c r="E246" s="1386"/>
      <c r="F246" s="1386"/>
      <c r="G246" s="1386"/>
      <c r="H246" s="1386"/>
    </row>
    <row r="247" spans="1:8">
      <c r="A247" s="1387" t="s">
        <v>891</v>
      </c>
      <c r="B247" s="1386"/>
      <c r="C247" s="1386"/>
      <c r="D247" s="1386"/>
      <c r="E247" s="1386"/>
      <c r="F247" s="1386"/>
      <c r="G247" s="1386"/>
      <c r="H247" s="1386"/>
    </row>
    <row r="248" spans="1:8">
      <c r="A248" s="1387" t="s">
        <v>892</v>
      </c>
      <c r="B248" s="1386"/>
      <c r="C248" s="1386"/>
      <c r="D248" s="1386"/>
      <c r="E248" s="1386"/>
      <c r="F248" s="1386"/>
      <c r="G248" s="1386"/>
      <c r="H248" s="1386"/>
    </row>
    <row r="249" spans="1:8">
      <c r="A249" s="1387" t="s">
        <v>893</v>
      </c>
      <c r="B249" s="1386"/>
      <c r="C249" s="1386"/>
      <c r="D249" s="1386"/>
      <c r="E249" s="1386"/>
      <c r="F249" s="1386"/>
      <c r="G249" s="1386"/>
      <c r="H249" s="1386"/>
    </row>
    <row r="250" spans="1:8">
      <c r="A250" s="1387" t="s">
        <v>894</v>
      </c>
      <c r="B250" s="1386"/>
      <c r="C250" s="1386"/>
      <c r="D250" s="1386"/>
      <c r="E250" s="1386"/>
      <c r="F250" s="1386"/>
      <c r="G250" s="1386"/>
      <c r="H250" s="1386"/>
    </row>
    <row r="251" spans="1:8">
      <c r="A251" s="1387" t="s">
        <v>895</v>
      </c>
      <c r="B251" s="1386"/>
      <c r="C251" s="1386"/>
      <c r="D251" s="1386"/>
      <c r="E251" s="1386"/>
      <c r="F251" s="1386"/>
      <c r="G251" s="1386"/>
      <c r="H251" s="1386"/>
    </row>
    <row r="252" spans="1:8">
      <c r="A252" s="1387" t="s">
        <v>896</v>
      </c>
      <c r="B252" s="1386"/>
      <c r="C252" s="1386"/>
      <c r="D252" s="1386"/>
      <c r="E252" s="1386"/>
      <c r="F252" s="1386"/>
      <c r="G252" s="1386"/>
      <c r="H252" s="1386"/>
    </row>
    <row r="253" spans="1:8">
      <c r="A253" s="1387" t="s">
        <v>897</v>
      </c>
      <c r="B253" s="1386"/>
      <c r="C253" s="1386"/>
      <c r="D253" s="1386"/>
      <c r="E253" s="1386"/>
      <c r="F253" s="1386"/>
      <c r="G253" s="1386"/>
      <c r="H253" s="1386"/>
    </row>
    <row r="254" spans="1:8">
      <c r="A254" s="1387" t="s">
        <v>898</v>
      </c>
      <c r="B254" s="1386"/>
      <c r="C254" s="1386"/>
      <c r="D254" s="1386"/>
      <c r="E254" s="1386"/>
      <c r="F254" s="1386"/>
      <c r="G254" s="1386"/>
      <c r="H254" s="1386"/>
    </row>
    <row r="255" spans="1:8">
      <c r="A255" s="1386"/>
      <c r="B255" s="1386"/>
      <c r="C255" s="1386"/>
      <c r="D255" s="1386"/>
      <c r="E255" s="1386"/>
      <c r="F255" s="1386"/>
      <c r="G255" s="1386"/>
      <c r="H255" s="1386"/>
    </row>
    <row r="256" spans="1:8">
      <c r="A256" s="1387" t="s">
        <v>887</v>
      </c>
      <c r="B256" s="1386"/>
      <c r="C256" s="1386"/>
      <c r="D256" s="1386"/>
      <c r="E256" s="1386"/>
      <c r="F256" s="1386"/>
      <c r="G256" s="1386"/>
      <c r="H256" s="1386"/>
    </row>
    <row r="257" spans="1:8">
      <c r="A257" s="1387" t="s">
        <v>888</v>
      </c>
      <c r="B257" s="1386"/>
      <c r="C257" s="1386"/>
      <c r="D257" s="1386"/>
      <c r="E257" s="1386"/>
      <c r="F257" s="1386"/>
      <c r="G257" s="1386"/>
      <c r="H257" s="1386"/>
    </row>
    <row r="258" spans="1:8">
      <c r="A258" s="1386"/>
      <c r="B258" s="1386"/>
      <c r="C258" s="1386"/>
      <c r="D258" s="1386"/>
      <c r="E258" s="1386"/>
      <c r="F258" s="1386"/>
      <c r="G258" s="1386"/>
      <c r="H258" s="1386"/>
    </row>
    <row r="259" spans="1:8">
      <c r="A259" s="1387" t="s">
        <v>871</v>
      </c>
      <c r="B259" s="1386"/>
      <c r="C259" s="1386"/>
      <c r="D259" s="1386"/>
      <c r="E259" s="1386"/>
      <c r="F259" s="1386"/>
      <c r="G259" s="1386"/>
      <c r="H259" s="1386"/>
    </row>
    <row r="260" spans="1:8">
      <c r="A260" s="1387" t="s">
        <v>872</v>
      </c>
      <c r="B260" s="1386"/>
      <c r="C260" s="1386"/>
      <c r="D260" s="1386"/>
      <c r="E260" s="1386"/>
      <c r="F260" s="1386"/>
      <c r="G260" s="1386"/>
      <c r="H260" s="1386"/>
    </row>
    <row r="261" spans="1:8">
      <c r="A261" s="1387" t="s">
        <v>873</v>
      </c>
      <c r="B261" s="1386"/>
      <c r="C261" s="1386"/>
      <c r="D261" s="1386"/>
      <c r="E261" s="1386"/>
      <c r="F261" s="1386"/>
      <c r="G261" s="1386"/>
      <c r="H261" s="1386"/>
    </row>
    <row r="262" spans="1:8">
      <c r="A262" s="1387" t="s">
        <v>874</v>
      </c>
      <c r="B262" s="1386"/>
      <c r="C262" s="1386"/>
      <c r="D262" s="1386"/>
      <c r="E262" s="1386"/>
      <c r="F262" s="1386"/>
      <c r="G262" s="1386"/>
      <c r="H262" s="1386"/>
    </row>
    <row r="263" spans="1:8">
      <c r="A263" s="1387" t="s">
        <v>875</v>
      </c>
      <c r="B263" s="1386"/>
      <c r="C263" s="1386"/>
      <c r="D263" s="1386"/>
      <c r="E263" s="1386"/>
      <c r="F263" s="1386"/>
      <c r="G263" s="1386"/>
      <c r="H263" s="1386"/>
    </row>
    <row r="264" spans="1:8">
      <c r="A264" s="1387" t="s">
        <v>876</v>
      </c>
      <c r="B264" s="1386"/>
      <c r="C264" s="1386"/>
      <c r="D264" s="1386"/>
      <c r="E264" s="1386"/>
      <c r="F264" s="1386"/>
      <c r="G264" s="1386"/>
      <c r="H264" s="1386"/>
    </row>
    <row r="265" spans="1:8">
      <c r="A265" s="1387" t="s">
        <v>877</v>
      </c>
      <c r="B265" s="1386"/>
      <c r="C265" s="1386"/>
      <c r="D265" s="1386"/>
      <c r="E265" s="1386"/>
      <c r="F265" s="1386"/>
      <c r="G265" s="1386"/>
      <c r="H265" s="1386"/>
    </row>
    <row r="266" spans="1:8">
      <c r="A266" s="1387" t="s">
        <v>878</v>
      </c>
      <c r="B266" s="1386"/>
      <c r="C266" s="1386"/>
      <c r="D266" s="1386"/>
      <c r="E266" s="1386"/>
      <c r="F266" s="1386"/>
      <c r="G266" s="1386"/>
      <c r="H266" s="1386"/>
    </row>
    <row r="267" spans="1:8">
      <c r="A267" s="1387" t="s">
        <v>879</v>
      </c>
      <c r="B267" s="1386"/>
      <c r="C267" s="1386"/>
      <c r="D267" s="1386"/>
      <c r="E267" s="1386"/>
      <c r="F267" s="1386"/>
      <c r="G267" s="1386"/>
      <c r="H267" s="1386"/>
    </row>
    <row r="268" spans="1:8">
      <c r="A268" s="1387" t="s">
        <v>880</v>
      </c>
      <c r="B268" s="1386"/>
      <c r="C268" s="1386"/>
      <c r="D268" s="1386"/>
      <c r="E268" s="1386"/>
      <c r="F268" s="1386"/>
      <c r="G268" s="1386"/>
      <c r="H268" s="1386"/>
    </row>
    <row r="269" spans="1:8">
      <c r="A269" s="1387" t="s">
        <v>881</v>
      </c>
      <c r="B269" s="1386"/>
      <c r="C269" s="1386"/>
      <c r="D269" s="1386"/>
      <c r="E269" s="1386"/>
      <c r="F269" s="1386"/>
      <c r="G269" s="1386"/>
      <c r="H269" s="1386"/>
    </row>
    <row r="270" spans="1:8">
      <c r="A270" s="1387" t="s">
        <v>882</v>
      </c>
      <c r="B270" s="1386"/>
      <c r="C270" s="1386"/>
      <c r="D270" s="1386"/>
      <c r="E270" s="1386"/>
      <c r="F270" s="1386"/>
      <c r="G270" s="1386"/>
      <c r="H270" s="1386"/>
    </row>
    <row r="271" spans="1:8">
      <c r="A271" s="1387" t="s">
        <v>883</v>
      </c>
      <c r="B271" s="1386"/>
      <c r="C271" s="1386"/>
      <c r="D271" s="1386"/>
      <c r="E271" s="1386"/>
      <c r="F271" s="1386"/>
      <c r="G271" s="1386"/>
      <c r="H271" s="1386"/>
    </row>
    <row r="272" spans="1:8">
      <c r="A272" s="1387" t="s">
        <v>884</v>
      </c>
      <c r="B272" s="1386"/>
      <c r="C272" s="1386"/>
      <c r="D272" s="1386"/>
      <c r="E272" s="1386"/>
      <c r="F272" s="1386"/>
      <c r="G272" s="1386"/>
      <c r="H272" s="1386"/>
    </row>
    <row r="273" spans="1:8">
      <c r="A273" s="1387" t="s">
        <v>885</v>
      </c>
      <c r="B273" s="1386"/>
      <c r="C273" s="1386"/>
      <c r="D273" s="1386"/>
      <c r="E273" s="1386"/>
      <c r="F273" s="1386"/>
      <c r="G273" s="1386"/>
      <c r="H273" s="1386"/>
    </row>
    <row r="274" spans="1:8">
      <c r="A274" s="1387" t="s">
        <v>886</v>
      </c>
      <c r="B274" s="1386"/>
      <c r="C274" s="1386"/>
      <c r="D274" s="1386"/>
      <c r="E274" s="1386"/>
      <c r="F274" s="1386"/>
      <c r="G274" s="1386"/>
      <c r="H274" s="1386"/>
    </row>
    <row r="275" spans="1:8">
      <c r="A275" s="1386"/>
      <c r="B275" s="1386"/>
      <c r="C275" s="1386"/>
      <c r="D275" s="1386"/>
      <c r="E275" s="1386"/>
      <c r="F275" s="1386"/>
      <c r="G275" s="1386"/>
      <c r="H275" s="1386"/>
    </row>
    <row r="276" spans="1:8">
      <c r="A276" s="1387" t="s">
        <v>864</v>
      </c>
      <c r="B276" s="1386"/>
      <c r="C276" s="1386"/>
      <c r="D276" s="1386"/>
      <c r="E276" s="1386"/>
      <c r="F276" s="1386"/>
      <c r="G276" s="1386"/>
      <c r="H276" s="1386"/>
    </row>
    <row r="277" spans="1:8">
      <c r="A277" s="1387" t="s">
        <v>865</v>
      </c>
      <c r="B277" s="1386"/>
      <c r="C277" s="1386"/>
      <c r="D277" s="1386"/>
      <c r="E277" s="1386"/>
      <c r="F277" s="1386"/>
      <c r="G277" s="1386"/>
      <c r="H277" s="1386"/>
    </row>
    <row r="278" spans="1:8">
      <c r="A278" s="1387" t="s">
        <v>866</v>
      </c>
      <c r="B278" s="1386"/>
      <c r="C278" s="1386"/>
      <c r="D278" s="1386"/>
      <c r="E278" s="1386"/>
      <c r="F278" s="1386"/>
      <c r="G278" s="1386"/>
      <c r="H278" s="1386"/>
    </row>
    <row r="279" spans="1:8">
      <c r="A279" s="1387" t="s">
        <v>867</v>
      </c>
      <c r="B279" s="1386"/>
      <c r="C279" s="1386"/>
      <c r="D279" s="1386"/>
      <c r="E279" s="1386"/>
      <c r="F279" s="1386"/>
      <c r="G279" s="1386"/>
      <c r="H279" s="1386"/>
    </row>
    <row r="280" spans="1:8">
      <c r="A280" s="1387" t="s">
        <v>868</v>
      </c>
      <c r="B280" s="1386"/>
      <c r="C280" s="1386"/>
      <c r="D280" s="1386"/>
      <c r="E280" s="1386"/>
      <c r="F280" s="1386"/>
      <c r="G280" s="1386"/>
      <c r="H280" s="1386"/>
    </row>
    <row r="281" spans="1:8">
      <c r="A281" s="1387" t="s">
        <v>869</v>
      </c>
      <c r="B281" s="1386"/>
      <c r="C281" s="1386"/>
      <c r="D281" s="1386"/>
      <c r="E281" s="1386"/>
      <c r="F281" s="1386"/>
      <c r="G281" s="1386"/>
      <c r="H281" s="1386"/>
    </row>
    <row r="282" spans="1:8">
      <c r="A282" s="1387" t="s">
        <v>870</v>
      </c>
      <c r="B282" s="1386"/>
      <c r="C282" s="1386"/>
      <c r="D282" s="1386"/>
      <c r="E282" s="1386"/>
      <c r="F282" s="1386"/>
      <c r="G282" s="1386"/>
      <c r="H282" s="1386"/>
    </row>
    <row r="283" spans="1:8">
      <c r="A283" s="1386"/>
      <c r="B283" s="1386"/>
      <c r="C283" s="1386"/>
      <c r="D283" s="1386"/>
      <c r="E283" s="1386"/>
      <c r="F283" s="1386"/>
      <c r="G283" s="1386"/>
      <c r="H283" s="1386"/>
    </row>
    <row r="284" spans="1:8">
      <c r="A284" s="1387" t="s">
        <v>855</v>
      </c>
      <c r="B284" s="1386"/>
      <c r="C284" s="1386"/>
      <c r="D284" s="1386"/>
      <c r="E284" s="1386"/>
      <c r="F284" s="1386"/>
      <c r="G284" s="1386"/>
      <c r="H284" s="1386"/>
    </row>
    <row r="285" spans="1:8">
      <c r="A285" s="1387" t="s">
        <v>856</v>
      </c>
      <c r="B285" s="1386"/>
      <c r="C285" s="1386"/>
      <c r="D285" s="1386"/>
      <c r="E285" s="1386"/>
      <c r="F285" s="1386"/>
      <c r="G285" s="1386"/>
      <c r="H285" s="1386"/>
    </row>
    <row r="286" spans="1:8">
      <c r="A286" s="1387" t="s">
        <v>857</v>
      </c>
      <c r="B286" s="1386"/>
      <c r="C286" s="1386"/>
      <c r="D286" s="1386"/>
      <c r="E286" s="1386"/>
      <c r="F286" s="1386"/>
      <c r="G286" s="1386"/>
      <c r="H286" s="1386"/>
    </row>
    <row r="287" spans="1:8">
      <c r="A287" s="1387" t="s">
        <v>858</v>
      </c>
      <c r="B287" s="1386"/>
      <c r="C287" s="1386"/>
      <c r="D287" s="1386"/>
      <c r="E287" s="1386"/>
      <c r="F287" s="1386"/>
      <c r="G287" s="1386"/>
      <c r="H287" s="1386"/>
    </row>
    <row r="288" spans="1:8">
      <c r="A288" s="1387" t="s">
        <v>859</v>
      </c>
      <c r="B288" s="1386"/>
      <c r="C288" s="1386"/>
      <c r="D288" s="1386"/>
      <c r="E288" s="1386"/>
      <c r="F288" s="1386"/>
      <c r="G288" s="1386"/>
      <c r="H288" s="1386"/>
    </row>
    <row r="289" spans="1:8">
      <c r="A289" s="1387" t="s">
        <v>860</v>
      </c>
      <c r="B289" s="1386"/>
      <c r="C289" s="1386"/>
      <c r="D289" s="1386"/>
      <c r="E289" s="1386"/>
      <c r="F289" s="1386"/>
      <c r="G289" s="1386"/>
      <c r="H289" s="1386"/>
    </row>
    <row r="290" spans="1:8">
      <c r="A290" s="1387" t="s">
        <v>861</v>
      </c>
      <c r="B290" s="1386"/>
      <c r="C290" s="1386"/>
      <c r="D290" s="1386"/>
      <c r="E290" s="1386"/>
      <c r="F290" s="1386"/>
      <c r="G290" s="1386"/>
      <c r="H290" s="1386"/>
    </row>
    <row r="291" spans="1:8">
      <c r="A291" s="1387" t="s">
        <v>862</v>
      </c>
      <c r="B291" s="1386"/>
      <c r="C291" s="1386"/>
      <c r="D291" s="1386"/>
      <c r="E291" s="1386"/>
      <c r="F291" s="1386"/>
      <c r="G291" s="1386"/>
      <c r="H291" s="1386"/>
    </row>
    <row r="292" spans="1:8">
      <c r="A292" s="1387" t="s">
        <v>863</v>
      </c>
      <c r="B292" s="1386"/>
      <c r="C292" s="1386"/>
      <c r="D292" s="1386"/>
      <c r="E292" s="1386"/>
      <c r="F292" s="1386"/>
      <c r="G292" s="1386"/>
      <c r="H292" s="1386"/>
    </row>
    <row r="293" spans="1:8">
      <c r="A293" s="1386"/>
      <c r="B293" s="1386"/>
      <c r="C293" s="1386"/>
      <c r="D293" s="1386"/>
      <c r="E293" s="1386"/>
      <c r="F293" s="1386"/>
      <c r="G293" s="1386"/>
      <c r="H293" s="1386"/>
    </row>
    <row r="294" spans="1:8">
      <c r="A294" s="1387" t="s">
        <v>848</v>
      </c>
      <c r="B294" s="1386"/>
      <c r="C294" s="1386"/>
      <c r="D294" s="1386"/>
      <c r="E294" s="1386"/>
      <c r="F294" s="1386"/>
      <c r="G294" s="1386"/>
      <c r="H294" s="1386"/>
    </row>
    <row r="295" spans="1:8">
      <c r="A295" s="1387" t="s">
        <v>849</v>
      </c>
      <c r="B295" s="1386"/>
      <c r="C295" s="1386"/>
      <c r="D295" s="1386"/>
      <c r="E295" s="1386"/>
      <c r="F295" s="1386"/>
      <c r="G295" s="1386"/>
      <c r="H295" s="1386"/>
    </row>
    <row r="296" spans="1:8">
      <c r="A296" s="1387" t="s">
        <v>850</v>
      </c>
      <c r="B296" s="1386"/>
      <c r="C296" s="1386"/>
      <c r="D296" s="1386"/>
      <c r="E296" s="1386"/>
      <c r="F296" s="1386"/>
      <c r="G296" s="1386"/>
      <c r="H296" s="1386"/>
    </row>
    <row r="297" spans="1:8">
      <c r="A297" s="1387" t="s">
        <v>851</v>
      </c>
      <c r="B297" s="1386"/>
      <c r="C297" s="1386"/>
      <c r="D297" s="1386"/>
      <c r="E297" s="1386"/>
      <c r="F297" s="1386"/>
      <c r="G297" s="1386"/>
      <c r="H297" s="1386"/>
    </row>
    <row r="298" spans="1:8">
      <c r="A298" s="1387" t="s">
        <v>852</v>
      </c>
      <c r="B298" s="1386"/>
      <c r="C298" s="1386"/>
      <c r="D298" s="1386"/>
      <c r="E298" s="1386"/>
      <c r="F298" s="1386"/>
      <c r="G298" s="1386"/>
      <c r="H298" s="1386"/>
    </row>
    <row r="299" spans="1:8">
      <c r="A299" s="1387" t="s">
        <v>853</v>
      </c>
      <c r="B299" s="1386"/>
      <c r="C299" s="1386"/>
      <c r="D299" s="1386"/>
      <c r="E299" s="1386"/>
      <c r="F299" s="1386"/>
      <c r="G299" s="1386"/>
      <c r="H299" s="1386"/>
    </row>
    <row r="300" spans="1:8">
      <c r="A300" s="1387" t="s">
        <v>854</v>
      </c>
      <c r="B300" s="1386"/>
      <c r="C300" s="1386"/>
      <c r="D300" s="1386"/>
      <c r="E300" s="1386"/>
      <c r="F300" s="1386"/>
      <c r="G300" s="1386"/>
      <c r="H300" s="1386"/>
    </row>
    <row r="301" spans="1:8">
      <c r="A301" s="1386"/>
      <c r="B301" s="1386"/>
      <c r="C301" s="1386"/>
      <c r="D301" s="1386"/>
      <c r="E301" s="1386"/>
      <c r="F301" s="1386"/>
      <c r="G301" s="1386"/>
      <c r="H301" s="1386"/>
    </row>
    <row r="302" spans="1:8">
      <c r="A302" s="1387" t="s">
        <v>845</v>
      </c>
      <c r="B302" s="1386"/>
      <c r="C302" s="1386"/>
      <c r="D302" s="1386"/>
      <c r="E302" s="1386"/>
      <c r="F302" s="1386"/>
      <c r="G302" s="1386"/>
      <c r="H302" s="1386"/>
    </row>
    <row r="303" spans="1:8">
      <c r="A303" s="1387" t="s">
        <v>846</v>
      </c>
      <c r="B303" s="1386"/>
      <c r="C303" s="1386"/>
      <c r="D303" s="1386"/>
      <c r="E303" s="1386"/>
      <c r="F303" s="1386"/>
      <c r="G303" s="1386"/>
      <c r="H303" s="1386"/>
    </row>
    <row r="304" spans="1:8">
      <c r="A304" s="1387" t="s">
        <v>847</v>
      </c>
      <c r="B304" s="1386"/>
      <c r="C304" s="1386"/>
      <c r="D304" s="1386"/>
      <c r="E304" s="1386"/>
      <c r="F304" s="1386"/>
      <c r="G304" s="1386"/>
      <c r="H304" s="1386"/>
    </row>
    <row r="305" spans="1:8">
      <c r="A305" s="1386"/>
      <c r="B305" s="1386"/>
      <c r="C305" s="1386"/>
      <c r="D305" s="1386"/>
      <c r="E305" s="1386"/>
      <c r="F305" s="1386"/>
      <c r="G305" s="1386"/>
      <c r="H305" s="1386"/>
    </row>
    <row r="306" spans="1:8">
      <c r="A306" s="1387" t="s">
        <v>843</v>
      </c>
      <c r="B306" s="1386"/>
      <c r="C306" s="1386"/>
      <c r="D306" s="1386"/>
      <c r="E306" s="1386"/>
      <c r="F306" s="1386"/>
      <c r="G306" s="1386"/>
      <c r="H306" s="1386"/>
    </row>
    <row r="307" spans="1:8">
      <c r="A307" s="1387" t="s">
        <v>844</v>
      </c>
      <c r="B307" s="1386"/>
      <c r="C307" s="1386"/>
      <c r="D307" s="1386"/>
      <c r="E307" s="1386"/>
      <c r="F307" s="1386"/>
      <c r="G307" s="1386"/>
      <c r="H307" s="1386"/>
    </row>
    <row r="308" spans="1:8">
      <c r="A308" s="1386"/>
      <c r="B308" s="1386"/>
      <c r="C308" s="1386"/>
      <c r="D308" s="1386"/>
      <c r="E308" s="1386"/>
      <c r="F308" s="1386"/>
      <c r="G308" s="1386"/>
      <c r="H308" s="1386"/>
    </row>
    <row r="309" spans="1:8">
      <c r="A309" s="1387" t="s">
        <v>830</v>
      </c>
      <c r="B309" s="1386"/>
      <c r="C309" s="1386"/>
      <c r="D309" s="1386"/>
      <c r="E309" s="1386"/>
      <c r="F309" s="1386"/>
      <c r="G309" s="1386"/>
      <c r="H309" s="1386"/>
    </row>
    <row r="310" spans="1:8">
      <c r="A310" s="1387" t="s">
        <v>831</v>
      </c>
      <c r="B310" s="1386"/>
      <c r="C310" s="1386"/>
      <c r="D310" s="1386"/>
      <c r="E310" s="1386"/>
      <c r="F310" s="1386"/>
      <c r="G310" s="1386"/>
      <c r="H310" s="1386"/>
    </row>
    <row r="311" spans="1:8">
      <c r="A311" s="1387" t="s">
        <v>832</v>
      </c>
      <c r="B311" s="1386"/>
      <c r="C311" s="1386"/>
      <c r="D311" s="1386"/>
      <c r="E311" s="1386"/>
      <c r="F311" s="1386"/>
      <c r="G311" s="1386"/>
      <c r="H311" s="1386"/>
    </row>
    <row r="312" spans="1:8">
      <c r="A312" s="1387" t="s">
        <v>833</v>
      </c>
      <c r="B312" s="1386"/>
      <c r="C312" s="1386"/>
      <c r="D312" s="1386"/>
      <c r="E312" s="1386"/>
      <c r="F312" s="1386"/>
      <c r="G312" s="1386"/>
      <c r="H312" s="1386"/>
    </row>
    <row r="313" spans="1:8">
      <c r="A313" s="1387" t="s">
        <v>834</v>
      </c>
      <c r="B313" s="1386"/>
      <c r="C313" s="1386"/>
      <c r="D313" s="1386"/>
      <c r="E313" s="1386"/>
      <c r="F313" s="1386"/>
      <c r="G313" s="1386"/>
      <c r="H313" s="1386"/>
    </row>
    <row r="314" spans="1:8">
      <c r="A314" s="1387" t="s">
        <v>835</v>
      </c>
      <c r="B314" s="1386"/>
      <c r="C314" s="1386"/>
      <c r="D314" s="1386"/>
      <c r="E314" s="1386"/>
      <c r="F314" s="1386"/>
      <c r="G314" s="1386"/>
      <c r="H314" s="1386"/>
    </row>
    <row r="315" spans="1:8">
      <c r="A315" s="1387" t="s">
        <v>836</v>
      </c>
      <c r="B315" s="1386"/>
      <c r="C315" s="1386"/>
      <c r="D315" s="1386"/>
      <c r="E315" s="1386"/>
      <c r="F315" s="1386"/>
      <c r="G315" s="1386"/>
      <c r="H315" s="1386"/>
    </row>
    <row r="316" spans="1:8">
      <c r="A316" s="1387" t="s">
        <v>837</v>
      </c>
      <c r="B316" s="1386"/>
      <c r="C316" s="1386"/>
      <c r="D316" s="1386"/>
      <c r="E316" s="1386"/>
      <c r="F316" s="1386"/>
      <c r="G316" s="1386"/>
      <c r="H316" s="1386"/>
    </row>
    <row r="317" spans="1:8">
      <c r="A317" s="1387" t="s">
        <v>838</v>
      </c>
      <c r="B317" s="1386"/>
      <c r="C317" s="1386"/>
      <c r="D317" s="1386"/>
      <c r="E317" s="1386"/>
      <c r="F317" s="1386"/>
      <c r="G317" s="1386"/>
      <c r="H317" s="1386"/>
    </row>
    <row r="318" spans="1:8">
      <c r="A318" s="1387" t="s">
        <v>839</v>
      </c>
      <c r="B318" s="1386"/>
      <c r="C318" s="1386"/>
      <c r="D318" s="1386"/>
      <c r="E318" s="1386"/>
      <c r="F318" s="1386"/>
      <c r="G318" s="1386"/>
      <c r="H318" s="1386"/>
    </row>
    <row r="319" spans="1:8">
      <c r="A319" s="1387" t="s">
        <v>840</v>
      </c>
      <c r="B319" s="1386"/>
      <c r="C319" s="1386"/>
      <c r="D319" s="1386"/>
      <c r="E319" s="1386"/>
      <c r="F319" s="1386"/>
      <c r="G319" s="1386"/>
      <c r="H319" s="1386"/>
    </row>
    <row r="320" spans="1:8">
      <c r="A320" s="1387" t="s">
        <v>841</v>
      </c>
      <c r="B320" s="1386"/>
      <c r="C320" s="1386"/>
      <c r="D320" s="1386"/>
      <c r="E320" s="1386"/>
      <c r="F320" s="1386"/>
      <c r="G320" s="1386"/>
      <c r="H320" s="1386"/>
    </row>
    <row r="321" spans="1:8">
      <c r="A321" s="1387" t="s">
        <v>842</v>
      </c>
      <c r="B321" s="1386"/>
      <c r="C321" s="1386"/>
      <c r="D321" s="1386"/>
      <c r="E321" s="1386"/>
      <c r="F321" s="1386"/>
      <c r="G321" s="1386"/>
      <c r="H321" s="1386"/>
    </row>
    <row r="322" spans="1:8">
      <c r="A322" s="1386"/>
      <c r="B322" s="1386"/>
      <c r="C322" s="1386"/>
      <c r="D322" s="1386"/>
      <c r="E322" s="1386"/>
      <c r="F322" s="1386"/>
      <c r="G322" s="1386"/>
      <c r="H322" s="1386"/>
    </row>
    <row r="323" spans="1:8">
      <c r="A323" s="1387" t="s">
        <v>822</v>
      </c>
      <c r="B323" s="1386"/>
      <c r="C323" s="1386"/>
      <c r="D323" s="1386"/>
      <c r="E323" s="1386"/>
      <c r="F323" s="1386"/>
      <c r="G323" s="1386"/>
      <c r="H323" s="1386"/>
    </row>
    <row r="324" spans="1:8">
      <c r="A324" s="1387" t="s">
        <v>823</v>
      </c>
      <c r="B324" s="1386"/>
      <c r="C324" s="1386"/>
      <c r="D324" s="1386"/>
      <c r="E324" s="1386"/>
      <c r="F324" s="1386"/>
      <c r="G324" s="1386"/>
      <c r="H324" s="1386"/>
    </row>
    <row r="325" spans="1:8">
      <c r="A325" s="1387" t="s">
        <v>824</v>
      </c>
      <c r="B325" s="1386"/>
      <c r="C325" s="1386"/>
      <c r="D325" s="1386"/>
      <c r="E325" s="1386"/>
      <c r="F325" s="1386"/>
      <c r="G325" s="1386"/>
      <c r="H325" s="1386"/>
    </row>
    <row r="326" spans="1:8">
      <c r="A326" s="1387" t="s">
        <v>825</v>
      </c>
      <c r="B326" s="1386"/>
      <c r="C326" s="1386"/>
      <c r="D326" s="1386"/>
      <c r="E326" s="1386"/>
      <c r="F326" s="1386"/>
      <c r="G326" s="1386"/>
      <c r="H326" s="1386"/>
    </row>
    <row r="327" spans="1:8">
      <c r="A327" s="1387" t="s">
        <v>826</v>
      </c>
      <c r="B327" s="1386"/>
      <c r="C327" s="1386"/>
      <c r="D327" s="1386"/>
      <c r="E327" s="1386"/>
      <c r="F327" s="1386"/>
      <c r="G327" s="1386"/>
      <c r="H327" s="1386"/>
    </row>
    <row r="328" spans="1:8">
      <c r="A328" s="1387" t="s">
        <v>827</v>
      </c>
      <c r="B328" s="1386"/>
      <c r="C328" s="1386"/>
      <c r="D328" s="1386"/>
      <c r="E328" s="1386"/>
      <c r="F328" s="1386"/>
      <c r="G328" s="1386"/>
      <c r="H328" s="1386"/>
    </row>
    <row r="329" spans="1:8">
      <c r="A329" s="1387" t="s">
        <v>828</v>
      </c>
      <c r="B329" s="1386"/>
      <c r="C329" s="1386"/>
      <c r="D329" s="1386"/>
      <c r="E329" s="1386"/>
      <c r="F329" s="1386"/>
      <c r="G329" s="1386"/>
      <c r="H329" s="1386"/>
    </row>
    <row r="330" spans="1:8">
      <c r="A330" s="1387" t="s">
        <v>829</v>
      </c>
      <c r="B330" s="1386"/>
      <c r="C330" s="1386"/>
      <c r="D330" s="1386"/>
      <c r="E330" s="1386"/>
      <c r="F330" s="1386"/>
      <c r="G330" s="1386"/>
      <c r="H330" s="1386"/>
    </row>
    <row r="331" spans="1:8">
      <c r="A331" s="1386"/>
      <c r="B331" s="1386"/>
      <c r="C331" s="1386"/>
      <c r="D331" s="1386"/>
      <c r="E331" s="1386"/>
      <c r="F331" s="1386"/>
      <c r="G331" s="1386"/>
      <c r="H331" s="1386"/>
    </row>
    <row r="332" spans="1:8">
      <c r="A332" s="1387" t="s">
        <v>787</v>
      </c>
      <c r="B332" s="1386"/>
      <c r="C332" s="1386"/>
      <c r="D332" s="1386"/>
      <c r="E332" s="1386"/>
      <c r="F332" s="1386"/>
      <c r="G332" s="1386"/>
      <c r="H332" s="1386"/>
    </row>
    <row r="333" spans="1:8">
      <c r="A333" s="1387" t="s">
        <v>788</v>
      </c>
      <c r="B333" s="1386"/>
      <c r="C333" s="1386"/>
      <c r="D333" s="1386"/>
      <c r="E333" s="1386"/>
      <c r="F333" s="1386"/>
      <c r="G333" s="1386"/>
      <c r="H333" s="1386"/>
    </row>
    <row r="334" spans="1:8">
      <c r="A334" s="1387" t="s">
        <v>789</v>
      </c>
      <c r="B334" s="1386"/>
      <c r="C334" s="1386"/>
      <c r="D334" s="1386"/>
      <c r="E334" s="1386"/>
      <c r="F334" s="1386"/>
      <c r="G334" s="1386"/>
      <c r="H334" s="1386"/>
    </row>
    <row r="335" spans="1:8">
      <c r="A335" s="1387" t="s">
        <v>790</v>
      </c>
      <c r="B335" s="1386"/>
      <c r="C335" s="1386"/>
      <c r="D335" s="1386"/>
      <c r="E335" s="1386"/>
      <c r="F335" s="1386"/>
      <c r="G335" s="1386"/>
      <c r="H335" s="1386"/>
    </row>
    <row r="336" spans="1:8">
      <c r="A336" s="1387" t="s">
        <v>791</v>
      </c>
      <c r="B336" s="1386"/>
      <c r="C336" s="1386"/>
      <c r="D336" s="1386"/>
      <c r="E336" s="1386"/>
      <c r="F336" s="1386"/>
      <c r="G336" s="1386"/>
      <c r="H336" s="1386"/>
    </row>
    <row r="337" spans="1:8">
      <c r="A337" s="1387" t="s">
        <v>792</v>
      </c>
      <c r="B337" s="1386"/>
      <c r="C337" s="1386"/>
      <c r="D337" s="1386"/>
      <c r="E337" s="1386"/>
      <c r="F337" s="1386"/>
      <c r="G337" s="1386"/>
      <c r="H337" s="1386"/>
    </row>
    <row r="338" spans="1:8">
      <c r="A338" s="1387" t="s">
        <v>793</v>
      </c>
      <c r="B338" s="1386"/>
      <c r="C338" s="1386"/>
      <c r="D338" s="1386"/>
      <c r="E338" s="1386"/>
      <c r="F338" s="1386"/>
      <c r="G338" s="1386"/>
      <c r="H338" s="1386"/>
    </row>
    <row r="339" spans="1:8">
      <c r="A339" s="1387" t="s">
        <v>794</v>
      </c>
      <c r="B339" s="1386"/>
      <c r="C339" s="1386"/>
      <c r="D339" s="1386"/>
      <c r="E339" s="1386"/>
      <c r="F339" s="1386"/>
      <c r="G339" s="1386"/>
      <c r="H339" s="1386"/>
    </row>
    <row r="340" spans="1:8">
      <c r="A340" s="1387" t="s">
        <v>795</v>
      </c>
      <c r="B340" s="1386"/>
      <c r="C340" s="1386"/>
      <c r="D340" s="1386"/>
      <c r="E340" s="1386"/>
      <c r="F340" s="1386"/>
      <c r="G340" s="1386"/>
      <c r="H340" s="1386"/>
    </row>
    <row r="341" spans="1:8">
      <c r="A341" s="1387" t="s">
        <v>796</v>
      </c>
      <c r="B341" s="1386"/>
      <c r="C341" s="1386"/>
      <c r="D341" s="1386"/>
      <c r="E341" s="1386"/>
      <c r="F341" s="1386"/>
      <c r="G341" s="1386"/>
      <c r="H341" s="1386"/>
    </row>
    <row r="342" spans="1:8">
      <c r="A342" s="1387" t="s">
        <v>797</v>
      </c>
      <c r="B342" s="1386"/>
      <c r="C342" s="1386"/>
      <c r="D342" s="1386"/>
      <c r="E342" s="1386"/>
      <c r="F342" s="1386"/>
      <c r="G342" s="1386"/>
      <c r="H342" s="1386"/>
    </row>
    <row r="343" spans="1:8">
      <c r="A343" s="1387" t="s">
        <v>798</v>
      </c>
      <c r="B343" s="1386"/>
      <c r="C343" s="1386"/>
      <c r="D343" s="1386"/>
      <c r="E343" s="1386"/>
      <c r="F343" s="1386"/>
      <c r="G343" s="1386"/>
      <c r="H343" s="1386"/>
    </row>
    <row r="344" spans="1:8">
      <c r="A344" s="1387" t="s">
        <v>799</v>
      </c>
      <c r="B344" s="1386"/>
      <c r="C344" s="1386"/>
      <c r="D344" s="1386"/>
      <c r="E344" s="1386"/>
      <c r="F344" s="1386"/>
      <c r="G344" s="1386"/>
      <c r="H344" s="1386"/>
    </row>
    <row r="345" spans="1:8">
      <c r="A345" s="1387" t="s">
        <v>800</v>
      </c>
      <c r="B345" s="1386"/>
      <c r="C345" s="1386"/>
      <c r="D345" s="1386"/>
      <c r="E345" s="1386"/>
      <c r="F345" s="1386"/>
      <c r="G345" s="1386"/>
      <c r="H345" s="1386"/>
    </row>
    <row r="346" spans="1:8">
      <c r="A346" s="1387" t="s">
        <v>801</v>
      </c>
      <c r="B346" s="1386"/>
      <c r="C346" s="1386"/>
      <c r="D346" s="1386"/>
      <c r="E346" s="1386"/>
      <c r="F346" s="1386"/>
      <c r="G346" s="1386"/>
      <c r="H346" s="1386"/>
    </row>
    <row r="347" spans="1:8">
      <c r="A347" s="1387" t="s">
        <v>802</v>
      </c>
      <c r="B347" s="1386"/>
      <c r="C347" s="1386"/>
      <c r="D347" s="1386"/>
      <c r="E347" s="1386"/>
      <c r="F347" s="1386"/>
      <c r="G347" s="1386"/>
      <c r="H347" s="1386"/>
    </row>
    <row r="348" spans="1:8">
      <c r="A348" s="1387" t="s">
        <v>803</v>
      </c>
      <c r="B348" s="1386"/>
      <c r="C348" s="1386"/>
      <c r="D348" s="1386"/>
      <c r="E348" s="1386"/>
      <c r="F348" s="1386"/>
      <c r="G348" s="1386"/>
      <c r="H348" s="1386"/>
    </row>
    <row r="349" spans="1:8">
      <c r="A349" s="1387" t="s">
        <v>804</v>
      </c>
      <c r="B349" s="1386"/>
      <c r="C349" s="1386"/>
      <c r="D349" s="1386"/>
      <c r="E349" s="1386"/>
      <c r="F349" s="1386"/>
      <c r="G349" s="1386"/>
      <c r="H349" s="1386"/>
    </row>
    <row r="350" spans="1:8">
      <c r="A350" s="1387" t="s">
        <v>805</v>
      </c>
      <c r="B350" s="1386"/>
      <c r="C350" s="1386"/>
      <c r="D350" s="1386"/>
      <c r="E350" s="1386"/>
      <c r="F350" s="1386"/>
      <c r="G350" s="1386"/>
      <c r="H350" s="1386"/>
    </row>
    <row r="351" spans="1:8">
      <c r="A351" s="1387" t="s">
        <v>806</v>
      </c>
      <c r="B351" s="1386"/>
      <c r="C351" s="1386"/>
      <c r="D351" s="1386"/>
      <c r="E351" s="1386"/>
      <c r="F351" s="1386"/>
      <c r="G351" s="1386"/>
      <c r="H351" s="1386"/>
    </row>
    <row r="352" spans="1:8">
      <c r="A352" s="1387" t="s">
        <v>807</v>
      </c>
      <c r="B352" s="1386"/>
      <c r="C352" s="1386"/>
      <c r="D352" s="1386"/>
      <c r="E352" s="1386"/>
      <c r="F352" s="1386"/>
      <c r="G352" s="1386"/>
      <c r="H352" s="1386"/>
    </row>
    <row r="353" spans="1:8">
      <c r="A353" s="1387" t="s">
        <v>808</v>
      </c>
      <c r="B353" s="1386"/>
      <c r="C353" s="1386"/>
      <c r="D353" s="1386"/>
      <c r="E353" s="1386"/>
      <c r="F353" s="1386"/>
      <c r="G353" s="1386"/>
      <c r="H353" s="1386"/>
    </row>
    <row r="354" spans="1:8">
      <c r="A354" s="1387" t="s">
        <v>809</v>
      </c>
      <c r="B354" s="1386"/>
      <c r="C354" s="1386"/>
      <c r="D354" s="1386"/>
      <c r="E354" s="1386"/>
      <c r="F354" s="1386"/>
      <c r="G354" s="1386"/>
      <c r="H354" s="1386"/>
    </row>
    <row r="355" spans="1:8">
      <c r="A355" s="1387" t="s">
        <v>810</v>
      </c>
      <c r="B355" s="1386"/>
      <c r="C355" s="1386"/>
      <c r="D355" s="1386"/>
      <c r="E355" s="1386"/>
      <c r="F355" s="1386"/>
      <c r="G355" s="1386"/>
      <c r="H355" s="1386"/>
    </row>
    <row r="356" spans="1:8">
      <c r="A356" s="1387" t="s">
        <v>811</v>
      </c>
      <c r="B356" s="1386"/>
      <c r="C356" s="1386"/>
      <c r="D356" s="1386"/>
      <c r="E356" s="1386"/>
      <c r="F356" s="1386"/>
      <c r="G356" s="1386"/>
      <c r="H356" s="1386"/>
    </row>
    <row r="357" spans="1:8">
      <c r="A357" s="1387" t="s">
        <v>812</v>
      </c>
      <c r="B357" s="1386"/>
      <c r="C357" s="1386"/>
      <c r="D357" s="1386"/>
      <c r="E357" s="1386"/>
      <c r="F357" s="1386"/>
      <c r="G357" s="1386"/>
      <c r="H357" s="1386"/>
    </row>
    <row r="358" spans="1:8">
      <c r="A358" s="1387" t="s">
        <v>813</v>
      </c>
      <c r="B358" s="1386"/>
      <c r="C358" s="1386"/>
      <c r="D358" s="1386"/>
      <c r="E358" s="1386"/>
      <c r="F358" s="1386"/>
      <c r="G358" s="1386"/>
      <c r="H358" s="1386"/>
    </row>
    <row r="359" spans="1:8">
      <c r="A359" s="1387" t="s">
        <v>814</v>
      </c>
      <c r="B359" s="1386"/>
      <c r="C359" s="1386"/>
      <c r="D359" s="1386"/>
      <c r="E359" s="1386"/>
      <c r="F359" s="1386"/>
      <c r="G359" s="1386"/>
      <c r="H359" s="1386"/>
    </row>
    <row r="360" spans="1:8">
      <c r="A360" s="1387" t="s">
        <v>815</v>
      </c>
      <c r="B360" s="1386"/>
      <c r="C360" s="1386"/>
      <c r="D360" s="1386"/>
      <c r="E360" s="1386"/>
      <c r="F360" s="1386"/>
      <c r="G360" s="1386"/>
      <c r="H360" s="1386"/>
    </row>
    <row r="361" spans="1:8">
      <c r="A361" s="1387" t="s">
        <v>816</v>
      </c>
      <c r="B361" s="1386"/>
      <c r="C361" s="1386"/>
      <c r="D361" s="1386"/>
      <c r="E361" s="1386"/>
      <c r="F361" s="1386"/>
      <c r="G361" s="1386"/>
      <c r="H361" s="1386"/>
    </row>
    <row r="362" spans="1:8">
      <c r="A362" s="1387" t="s">
        <v>817</v>
      </c>
      <c r="B362" s="1386"/>
      <c r="C362" s="1386"/>
      <c r="D362" s="1386"/>
      <c r="E362" s="1386"/>
      <c r="F362" s="1386"/>
      <c r="G362" s="1386"/>
      <c r="H362" s="1386"/>
    </row>
    <row r="363" spans="1:8">
      <c r="A363" s="1387" t="s">
        <v>818</v>
      </c>
      <c r="B363" s="1386"/>
      <c r="C363" s="1386"/>
      <c r="D363" s="1386"/>
      <c r="E363" s="1386"/>
      <c r="F363" s="1386"/>
      <c r="G363" s="1386"/>
      <c r="H363" s="1386"/>
    </row>
    <row r="364" spans="1:8">
      <c r="A364" s="1387" t="s">
        <v>819</v>
      </c>
      <c r="B364" s="1386"/>
      <c r="C364" s="1386"/>
      <c r="D364" s="1386"/>
      <c r="E364" s="1386"/>
      <c r="F364" s="1386"/>
      <c r="G364" s="1386"/>
      <c r="H364" s="1386"/>
    </row>
    <row r="365" spans="1:8">
      <c r="A365" s="1387" t="s">
        <v>820</v>
      </c>
      <c r="B365" s="1386"/>
      <c r="C365" s="1386"/>
      <c r="D365" s="1386"/>
      <c r="E365" s="1386"/>
      <c r="F365" s="1386"/>
      <c r="G365" s="1386"/>
      <c r="H365" s="1386"/>
    </row>
    <row r="366" spans="1:8">
      <c r="A366" s="1387" t="s">
        <v>821</v>
      </c>
      <c r="B366" s="1386"/>
      <c r="C366" s="1386"/>
      <c r="D366" s="1386"/>
      <c r="E366" s="1386"/>
      <c r="F366" s="1386"/>
      <c r="G366" s="1386"/>
      <c r="H366" s="1386"/>
    </row>
    <row r="367" spans="1:8">
      <c r="A367" s="1386"/>
      <c r="B367" s="1386"/>
      <c r="C367" s="1386"/>
      <c r="D367" s="1386"/>
      <c r="E367" s="1386"/>
      <c r="F367" s="1386"/>
      <c r="G367" s="1386"/>
      <c r="H367" s="1386"/>
    </row>
    <row r="368" spans="1:8">
      <c r="A368" s="1387" t="s">
        <v>779</v>
      </c>
      <c r="B368" s="1386"/>
      <c r="C368" s="1386"/>
      <c r="D368" s="1386"/>
      <c r="E368" s="1386"/>
      <c r="F368" s="1386"/>
      <c r="G368" s="1386"/>
      <c r="H368" s="1386"/>
    </row>
    <row r="369" spans="1:8">
      <c r="A369" s="1387" t="s">
        <v>783</v>
      </c>
      <c r="B369" s="1386"/>
      <c r="C369" s="1386"/>
      <c r="D369" s="1386"/>
      <c r="E369" s="1386"/>
      <c r="F369" s="1386"/>
      <c r="G369" s="1386"/>
      <c r="H369" s="1386"/>
    </row>
    <row r="370" spans="1:8">
      <c r="A370" s="1387" t="s">
        <v>784</v>
      </c>
      <c r="B370" s="1386"/>
      <c r="C370" s="1386"/>
      <c r="D370" s="1386"/>
      <c r="E370" s="1386"/>
      <c r="F370" s="1386"/>
      <c r="G370" s="1386"/>
      <c r="H370" s="1386"/>
    </row>
    <row r="371" spans="1:8">
      <c r="A371" s="1387" t="s">
        <v>785</v>
      </c>
      <c r="B371" s="1386"/>
      <c r="C371" s="1386"/>
      <c r="D371" s="1386"/>
      <c r="E371" s="1386"/>
      <c r="F371" s="1386"/>
      <c r="G371" s="1386"/>
      <c r="H371" s="1386"/>
    </row>
    <row r="372" spans="1:8">
      <c r="A372" s="1387" t="s">
        <v>786</v>
      </c>
      <c r="B372" s="1386"/>
      <c r="C372" s="1386"/>
      <c r="D372" s="1386"/>
      <c r="E372" s="1386"/>
      <c r="F372" s="1386"/>
      <c r="G372" s="1386"/>
      <c r="H372" s="1386"/>
    </row>
    <row r="373" spans="1:8">
      <c r="A373" s="1386"/>
      <c r="B373" s="1386"/>
      <c r="C373" s="1386"/>
      <c r="D373" s="1386"/>
      <c r="E373" s="1386"/>
      <c r="F373" s="1386"/>
      <c r="G373" s="1386"/>
      <c r="H373" s="1386"/>
    </row>
    <row r="374" spans="1:8">
      <c r="A374" s="1387" t="s">
        <v>779</v>
      </c>
      <c r="B374" s="1386"/>
      <c r="C374" s="1386"/>
      <c r="D374" s="1386"/>
      <c r="E374" s="1386"/>
      <c r="F374" s="1386"/>
      <c r="G374" s="1386"/>
      <c r="H374" s="1386"/>
    </row>
    <row r="375" spans="1:8">
      <c r="A375" s="1387" t="s">
        <v>780</v>
      </c>
      <c r="B375" s="1386"/>
      <c r="C375" s="1386"/>
      <c r="D375" s="1386"/>
      <c r="E375" s="1386"/>
      <c r="F375" s="1386"/>
      <c r="G375" s="1386"/>
      <c r="H375" s="1386"/>
    </row>
    <row r="376" spans="1:8">
      <c r="A376" s="1387" t="s">
        <v>781</v>
      </c>
      <c r="B376" s="1386"/>
      <c r="C376" s="1386"/>
      <c r="D376" s="1386"/>
      <c r="E376" s="1386"/>
      <c r="F376" s="1386"/>
      <c r="G376" s="1386"/>
      <c r="H376" s="1386"/>
    </row>
    <row r="377" spans="1:8">
      <c r="A377" s="1387" t="s">
        <v>782</v>
      </c>
      <c r="B377" s="1386"/>
      <c r="C377" s="1386"/>
      <c r="D377" s="1386"/>
      <c r="E377" s="1386"/>
      <c r="F377" s="1386"/>
      <c r="G377" s="1386"/>
      <c r="H377" s="1386"/>
    </row>
    <row r="378" spans="1:8">
      <c r="A378" s="1386"/>
      <c r="B378" s="1386"/>
      <c r="C378" s="1386"/>
      <c r="D378" s="1386"/>
      <c r="E378" s="1386"/>
      <c r="F378" s="1386"/>
      <c r="G378" s="1386"/>
      <c r="H378" s="1386"/>
    </row>
    <row r="379" spans="1:8">
      <c r="A379" s="1387" t="s">
        <v>773</v>
      </c>
      <c r="B379" s="1386"/>
      <c r="C379" s="1386"/>
      <c r="D379" s="1386"/>
      <c r="E379" s="1386"/>
      <c r="F379" s="1386"/>
      <c r="G379" s="1386"/>
      <c r="H379" s="1386"/>
    </row>
    <row r="380" spans="1:8">
      <c r="A380" s="1387" t="s">
        <v>774</v>
      </c>
      <c r="B380" s="1386"/>
      <c r="C380" s="1386"/>
      <c r="D380" s="1386"/>
      <c r="E380" s="1386"/>
      <c r="F380" s="1386"/>
      <c r="G380" s="1386"/>
      <c r="H380" s="1386"/>
    </row>
    <row r="381" spans="1:8">
      <c r="A381" s="1387" t="s">
        <v>775</v>
      </c>
      <c r="B381" s="1386"/>
      <c r="C381" s="1386"/>
      <c r="D381" s="1386"/>
      <c r="E381" s="1386"/>
      <c r="F381" s="1386"/>
      <c r="G381" s="1386"/>
      <c r="H381" s="1386"/>
    </row>
    <row r="382" spans="1:8">
      <c r="A382" s="1387" t="s">
        <v>776</v>
      </c>
      <c r="B382" s="1386"/>
      <c r="C382" s="1386"/>
      <c r="D382" s="1386"/>
      <c r="E382" s="1386"/>
      <c r="F382" s="1386"/>
      <c r="G382" s="1386"/>
      <c r="H382" s="1386"/>
    </row>
    <row r="383" spans="1:8">
      <c r="A383" s="1387" t="s">
        <v>777</v>
      </c>
      <c r="B383" s="1386"/>
      <c r="C383" s="1386"/>
      <c r="D383" s="1386"/>
      <c r="E383" s="1386"/>
      <c r="F383" s="1386"/>
      <c r="G383" s="1386"/>
      <c r="H383" s="1386"/>
    </row>
    <row r="384" spans="1:8">
      <c r="A384" s="1387" t="s">
        <v>778</v>
      </c>
      <c r="B384" s="1386"/>
      <c r="C384" s="1386"/>
      <c r="D384" s="1386"/>
      <c r="E384" s="1386"/>
      <c r="F384" s="1386"/>
      <c r="G384" s="1386"/>
      <c r="H384" s="1386"/>
    </row>
    <row r="385" spans="1:8">
      <c r="A385" s="1386"/>
      <c r="B385" s="1386"/>
      <c r="C385" s="1386"/>
      <c r="D385" s="1386"/>
      <c r="E385" s="1386"/>
      <c r="F385" s="1386"/>
      <c r="G385" s="1386"/>
      <c r="H385" s="1386"/>
    </row>
    <row r="386" spans="1:8">
      <c r="A386" s="1387" t="s">
        <v>768</v>
      </c>
      <c r="B386" s="1386"/>
      <c r="C386" s="1386"/>
      <c r="D386" s="1386"/>
      <c r="E386" s="1386"/>
      <c r="F386" s="1386"/>
      <c r="G386" s="1386"/>
      <c r="H386" s="1386"/>
    </row>
    <row r="387" spans="1:8">
      <c r="A387" s="1387" t="s">
        <v>769</v>
      </c>
      <c r="B387" s="1386"/>
      <c r="C387" s="1386"/>
      <c r="D387" s="1386"/>
      <c r="E387" s="1386"/>
      <c r="F387" s="1386"/>
      <c r="G387" s="1386"/>
      <c r="H387" s="1386"/>
    </row>
    <row r="388" spans="1:8">
      <c r="A388" s="1387" t="s">
        <v>770</v>
      </c>
      <c r="B388" s="1386"/>
      <c r="C388" s="1386"/>
      <c r="D388" s="1386"/>
      <c r="E388" s="1386"/>
      <c r="F388" s="1386"/>
      <c r="G388" s="1386"/>
      <c r="H388" s="1386"/>
    </row>
    <row r="389" spans="1:8">
      <c r="A389" s="1387" t="s">
        <v>771</v>
      </c>
      <c r="B389" s="1386"/>
      <c r="C389" s="1386"/>
      <c r="D389" s="1386"/>
      <c r="E389" s="1386"/>
      <c r="F389" s="1386"/>
      <c r="G389" s="1386"/>
      <c r="H389" s="1386"/>
    </row>
    <row r="390" spans="1:8">
      <c r="A390" s="1387" t="s">
        <v>772</v>
      </c>
      <c r="B390" s="1386"/>
      <c r="C390" s="1386"/>
      <c r="D390" s="1386"/>
      <c r="E390" s="1386"/>
      <c r="F390" s="1386"/>
      <c r="G390" s="1386"/>
      <c r="H390" s="1386"/>
    </row>
    <row r="391" spans="1:8">
      <c r="A391" s="1386"/>
      <c r="B391" s="1386"/>
      <c r="C391" s="1386"/>
      <c r="D391" s="1386"/>
      <c r="E391" s="1386"/>
      <c r="F391" s="1386"/>
      <c r="G391" s="1386"/>
      <c r="H391" s="1386"/>
    </row>
    <row r="392" spans="1:8">
      <c r="A392" s="1387" t="s">
        <v>766</v>
      </c>
      <c r="B392" s="1386"/>
      <c r="C392" s="1386"/>
      <c r="D392" s="1386"/>
      <c r="E392" s="1386"/>
      <c r="F392" s="1386"/>
      <c r="G392" s="1386"/>
      <c r="H392" s="1386"/>
    </row>
    <row r="393" spans="1:8">
      <c r="A393" s="1387" t="s">
        <v>767</v>
      </c>
      <c r="B393" s="1386"/>
      <c r="C393" s="1386"/>
      <c r="D393" s="1386"/>
      <c r="E393" s="1386"/>
      <c r="F393" s="1386"/>
      <c r="G393" s="1386"/>
      <c r="H393" s="1386"/>
    </row>
    <row r="395" spans="1:8">
      <c r="A395" s="1382" t="s">
        <v>1025</v>
      </c>
    </row>
  </sheetData>
  <mergeCells count="12">
    <mergeCell ref="A121:H121"/>
    <mergeCell ref="A128:H128"/>
    <mergeCell ref="A115:H115"/>
    <mergeCell ref="A116:H116"/>
    <mergeCell ref="A117:H117"/>
    <mergeCell ref="A118:H118"/>
    <mergeCell ref="A120:H120"/>
    <mergeCell ref="A136:H136"/>
    <mergeCell ref="A137:H137"/>
    <mergeCell ref="B129:C129"/>
    <mergeCell ref="D129:F129"/>
    <mergeCell ref="G129:H129"/>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11"/>
  <sheetViews>
    <sheetView showGridLines="0" showRowColHeaders="0" workbookViewId="0">
      <selection activeCell="N1" sqref="N1"/>
    </sheetView>
  </sheetViews>
  <sheetFormatPr defaultRowHeight="12.75"/>
  <cols>
    <col min="1" max="1" width="9.140625" style="794"/>
    <col min="2" max="2" width="88.28515625" style="794" customWidth="1"/>
    <col min="3" max="257" width="9.140625" style="794"/>
    <col min="258" max="258" width="88.28515625" style="794" customWidth="1"/>
    <col min="259" max="513" width="9.140625" style="794"/>
    <col min="514" max="514" width="88.28515625" style="794" customWidth="1"/>
    <col min="515" max="769" width="9.140625" style="794"/>
    <col min="770" max="770" width="88.28515625" style="794" customWidth="1"/>
    <col min="771" max="1025" width="9.140625" style="794"/>
    <col min="1026" max="1026" width="88.28515625" style="794" customWidth="1"/>
    <col min="1027" max="1281" width="9.140625" style="794"/>
    <col min="1282" max="1282" width="88.28515625" style="794" customWidth="1"/>
    <col min="1283" max="1537" width="9.140625" style="794"/>
    <col min="1538" max="1538" width="88.28515625" style="794" customWidth="1"/>
    <col min="1539" max="1793" width="9.140625" style="794"/>
    <col min="1794" max="1794" width="88.28515625" style="794" customWidth="1"/>
    <col min="1795" max="2049" width="9.140625" style="794"/>
    <col min="2050" max="2050" width="88.28515625" style="794" customWidth="1"/>
    <col min="2051" max="2305" width="9.140625" style="794"/>
    <col min="2306" max="2306" width="88.28515625" style="794" customWidth="1"/>
    <col min="2307" max="2561" width="9.140625" style="794"/>
    <col min="2562" max="2562" width="88.28515625" style="794" customWidth="1"/>
    <col min="2563" max="2817" width="9.140625" style="794"/>
    <col min="2818" max="2818" width="88.28515625" style="794" customWidth="1"/>
    <col min="2819" max="3073" width="9.140625" style="794"/>
    <col min="3074" max="3074" width="88.28515625" style="794" customWidth="1"/>
    <col min="3075" max="3329" width="9.140625" style="794"/>
    <col min="3330" max="3330" width="88.28515625" style="794" customWidth="1"/>
    <col min="3331" max="3585" width="9.140625" style="794"/>
    <col min="3586" max="3586" width="88.28515625" style="794" customWidth="1"/>
    <col min="3587" max="3841" width="9.140625" style="794"/>
    <col min="3842" max="3842" width="88.28515625" style="794" customWidth="1"/>
    <col min="3843" max="4097" width="9.140625" style="794"/>
    <col min="4098" max="4098" width="88.28515625" style="794" customWidth="1"/>
    <col min="4099" max="4353" width="9.140625" style="794"/>
    <col min="4354" max="4354" width="88.28515625" style="794" customWidth="1"/>
    <col min="4355" max="4609" width="9.140625" style="794"/>
    <col min="4610" max="4610" width="88.28515625" style="794" customWidth="1"/>
    <col min="4611" max="4865" width="9.140625" style="794"/>
    <col min="4866" max="4866" width="88.28515625" style="794" customWidth="1"/>
    <col min="4867" max="5121" width="9.140625" style="794"/>
    <col min="5122" max="5122" width="88.28515625" style="794" customWidth="1"/>
    <col min="5123" max="5377" width="9.140625" style="794"/>
    <col min="5378" max="5378" width="88.28515625" style="794" customWidth="1"/>
    <col min="5379" max="5633" width="9.140625" style="794"/>
    <col min="5634" max="5634" width="88.28515625" style="794" customWidth="1"/>
    <col min="5635" max="5889" width="9.140625" style="794"/>
    <col min="5890" max="5890" width="88.28515625" style="794" customWidth="1"/>
    <col min="5891" max="6145" width="9.140625" style="794"/>
    <col min="6146" max="6146" width="88.28515625" style="794" customWidth="1"/>
    <col min="6147" max="6401" width="9.140625" style="794"/>
    <col min="6402" max="6402" width="88.28515625" style="794" customWidth="1"/>
    <col min="6403" max="6657" width="9.140625" style="794"/>
    <col min="6658" max="6658" width="88.28515625" style="794" customWidth="1"/>
    <col min="6659" max="6913" width="9.140625" style="794"/>
    <col min="6914" max="6914" width="88.28515625" style="794" customWidth="1"/>
    <col min="6915" max="7169" width="9.140625" style="794"/>
    <col min="7170" max="7170" width="88.28515625" style="794" customWidth="1"/>
    <col min="7171" max="7425" width="9.140625" style="794"/>
    <col min="7426" max="7426" width="88.28515625" style="794" customWidth="1"/>
    <col min="7427" max="7681" width="9.140625" style="794"/>
    <col min="7682" max="7682" width="88.28515625" style="794" customWidth="1"/>
    <col min="7683" max="7937" width="9.140625" style="794"/>
    <col min="7938" max="7938" width="88.28515625" style="794" customWidth="1"/>
    <col min="7939" max="8193" width="9.140625" style="794"/>
    <col min="8194" max="8194" width="88.28515625" style="794" customWidth="1"/>
    <col min="8195" max="8449" width="9.140625" style="794"/>
    <col min="8450" max="8450" width="88.28515625" style="794" customWidth="1"/>
    <col min="8451" max="8705" width="9.140625" style="794"/>
    <col min="8706" max="8706" width="88.28515625" style="794" customWidth="1"/>
    <col min="8707" max="8961" width="9.140625" style="794"/>
    <col min="8962" max="8962" width="88.28515625" style="794" customWidth="1"/>
    <col min="8963" max="9217" width="9.140625" style="794"/>
    <col min="9218" max="9218" width="88.28515625" style="794" customWidth="1"/>
    <col min="9219" max="9473" width="9.140625" style="794"/>
    <col min="9474" max="9474" width="88.28515625" style="794" customWidth="1"/>
    <col min="9475" max="9729" width="9.140625" style="794"/>
    <col min="9730" max="9730" width="88.28515625" style="794" customWidth="1"/>
    <col min="9731" max="9985" width="9.140625" style="794"/>
    <col min="9986" max="9986" width="88.28515625" style="794" customWidth="1"/>
    <col min="9987" max="10241" width="9.140625" style="794"/>
    <col min="10242" max="10242" width="88.28515625" style="794" customWidth="1"/>
    <col min="10243" max="10497" width="9.140625" style="794"/>
    <col min="10498" max="10498" width="88.28515625" style="794" customWidth="1"/>
    <col min="10499" max="10753" width="9.140625" style="794"/>
    <col min="10754" max="10754" width="88.28515625" style="794" customWidth="1"/>
    <col min="10755" max="11009" width="9.140625" style="794"/>
    <col min="11010" max="11010" width="88.28515625" style="794" customWidth="1"/>
    <col min="11011" max="11265" width="9.140625" style="794"/>
    <col min="11266" max="11266" width="88.28515625" style="794" customWidth="1"/>
    <col min="11267" max="11521" width="9.140625" style="794"/>
    <col min="11522" max="11522" width="88.28515625" style="794" customWidth="1"/>
    <col min="11523" max="11777" width="9.140625" style="794"/>
    <col min="11778" max="11778" width="88.28515625" style="794" customWidth="1"/>
    <col min="11779" max="12033" width="9.140625" style="794"/>
    <col min="12034" max="12034" width="88.28515625" style="794" customWidth="1"/>
    <col min="12035" max="12289" width="9.140625" style="794"/>
    <col min="12290" max="12290" width="88.28515625" style="794" customWidth="1"/>
    <col min="12291" max="12545" width="9.140625" style="794"/>
    <col min="12546" max="12546" width="88.28515625" style="794" customWidth="1"/>
    <col min="12547" max="12801" width="9.140625" style="794"/>
    <col min="12802" max="12802" width="88.28515625" style="794" customWidth="1"/>
    <col min="12803" max="13057" width="9.140625" style="794"/>
    <col min="13058" max="13058" width="88.28515625" style="794" customWidth="1"/>
    <col min="13059" max="13313" width="9.140625" style="794"/>
    <col min="13314" max="13314" width="88.28515625" style="794" customWidth="1"/>
    <col min="13315" max="13569" width="9.140625" style="794"/>
    <col min="13570" max="13570" width="88.28515625" style="794" customWidth="1"/>
    <col min="13571" max="13825" width="9.140625" style="794"/>
    <col min="13826" max="13826" width="88.28515625" style="794" customWidth="1"/>
    <col min="13827" max="14081" width="9.140625" style="794"/>
    <col min="14082" max="14082" width="88.28515625" style="794" customWidth="1"/>
    <col min="14083" max="14337" width="9.140625" style="794"/>
    <col min="14338" max="14338" width="88.28515625" style="794" customWidth="1"/>
    <col min="14339" max="14593" width="9.140625" style="794"/>
    <col min="14594" max="14594" width="88.28515625" style="794" customWidth="1"/>
    <col min="14595" max="14849" width="9.140625" style="794"/>
    <col min="14850" max="14850" width="88.28515625" style="794" customWidth="1"/>
    <col min="14851" max="15105" width="9.140625" style="794"/>
    <col min="15106" max="15106" width="88.28515625" style="794" customWidth="1"/>
    <col min="15107" max="15361" width="9.140625" style="794"/>
    <col min="15362" max="15362" width="88.28515625" style="794" customWidth="1"/>
    <col min="15363" max="15617" width="9.140625" style="794"/>
    <col min="15618" max="15618" width="88.28515625" style="794" customWidth="1"/>
    <col min="15619" max="15873" width="9.140625" style="794"/>
    <col min="15874" max="15874" width="88.28515625" style="794" customWidth="1"/>
    <col min="15875" max="16129" width="9.140625" style="794"/>
    <col min="16130" max="16130" width="88.28515625" style="794" customWidth="1"/>
    <col min="16131" max="16384" width="9.140625" style="794"/>
  </cols>
  <sheetData>
    <row r="1" spans="2:2" ht="32.25" customHeight="1"/>
    <row r="2" spans="2:2" ht="72" hidden="1">
      <c r="B2" s="1397" t="s">
        <v>1091</v>
      </c>
    </row>
    <row r="3" spans="2:2" ht="72">
      <c r="B3" s="1397" t="s">
        <v>1092</v>
      </c>
    </row>
    <row r="4" spans="2:2" ht="18" hidden="1">
      <c r="B4" s="1397"/>
    </row>
    <row r="5" spans="2:2" ht="54" hidden="1">
      <c r="B5" s="1397" t="s">
        <v>1093</v>
      </c>
    </row>
    <row r="6" spans="2:2" ht="7.5" customHeight="1">
      <c r="B6" s="1397"/>
    </row>
    <row r="7" spans="2:2" ht="18">
      <c r="B7" s="1398" t="s">
        <v>1094</v>
      </c>
    </row>
    <row r="8" spans="2:2" ht="18">
      <c r="B8" s="1398" t="s">
        <v>1096</v>
      </c>
    </row>
    <row r="9" spans="2:2" ht="18">
      <c r="B9" s="1398" t="s">
        <v>1097</v>
      </c>
    </row>
    <row r="10" spans="2:2" ht="18">
      <c r="B10" s="1399"/>
    </row>
    <row r="11" spans="2:2" ht="54">
      <c r="B11" s="1400" t="s">
        <v>1095</v>
      </c>
    </row>
  </sheetData>
  <dataConsolidate/>
  <pageMargins left="0.75" right="0.75" top="1" bottom="1" header="0.5" footer="0.5"/>
  <pageSetup orientation="portrait" horizont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25"/>
  <sheetViews>
    <sheetView workbookViewId="0"/>
  </sheetViews>
  <sheetFormatPr defaultRowHeight="12.75"/>
  <cols>
    <col min="1" max="1" width="7.7109375" style="628" customWidth="1"/>
    <col min="2" max="2" width="25.85546875" style="647" customWidth="1"/>
    <col min="3" max="3" width="6.42578125" style="628" customWidth="1"/>
    <col min="4" max="4" width="28.42578125" style="628" customWidth="1"/>
    <col min="5" max="5" width="5.5703125" style="628" customWidth="1"/>
    <col min="6" max="6" width="27.5703125" style="628" customWidth="1"/>
    <col min="7" max="7" width="5.5703125" style="628" customWidth="1"/>
    <col min="8" max="8" width="27.5703125" style="628" customWidth="1"/>
    <col min="9" max="9" width="10.7109375" style="628" customWidth="1"/>
    <col min="10" max="10" width="6.42578125" style="628" customWidth="1"/>
    <col min="11" max="256" width="9.140625" style="628"/>
    <col min="257" max="257" width="7.7109375" style="628" customWidth="1"/>
    <col min="258" max="258" width="25.85546875" style="628" customWidth="1"/>
    <col min="259" max="259" width="6.42578125" style="628" customWidth="1"/>
    <col min="260" max="260" width="28.42578125" style="628" customWidth="1"/>
    <col min="261" max="261" width="5.5703125" style="628" customWidth="1"/>
    <col min="262" max="262" width="27.5703125" style="628" customWidth="1"/>
    <col min="263" max="263" width="5.5703125" style="628" customWidth="1"/>
    <col min="264" max="264" width="27.5703125" style="628" customWidth="1"/>
    <col min="265" max="265" width="10.7109375" style="628" customWidth="1"/>
    <col min="266" max="266" width="6.42578125" style="628" customWidth="1"/>
    <col min="267" max="512" width="9.140625" style="628"/>
    <col min="513" max="513" width="7.7109375" style="628" customWidth="1"/>
    <col min="514" max="514" width="25.85546875" style="628" customWidth="1"/>
    <col min="515" max="515" width="6.42578125" style="628" customWidth="1"/>
    <col min="516" max="516" width="28.42578125" style="628" customWidth="1"/>
    <col min="517" max="517" width="5.5703125" style="628" customWidth="1"/>
    <col min="518" max="518" width="27.5703125" style="628" customWidth="1"/>
    <col min="519" max="519" width="5.5703125" style="628" customWidth="1"/>
    <col min="520" max="520" width="27.5703125" style="628" customWidth="1"/>
    <col min="521" max="521" width="10.7109375" style="628" customWidth="1"/>
    <col min="522" max="522" width="6.42578125" style="628" customWidth="1"/>
    <col min="523" max="768" width="9.140625" style="628"/>
    <col min="769" max="769" width="7.7109375" style="628" customWidth="1"/>
    <col min="770" max="770" width="25.85546875" style="628" customWidth="1"/>
    <col min="771" max="771" width="6.42578125" style="628" customWidth="1"/>
    <col min="772" max="772" width="28.42578125" style="628" customWidth="1"/>
    <col min="773" max="773" width="5.5703125" style="628" customWidth="1"/>
    <col min="774" max="774" width="27.5703125" style="628" customWidth="1"/>
    <col min="775" max="775" width="5.5703125" style="628" customWidth="1"/>
    <col min="776" max="776" width="27.5703125" style="628" customWidth="1"/>
    <col min="777" max="777" width="10.7109375" style="628" customWidth="1"/>
    <col min="778" max="778" width="6.42578125" style="628" customWidth="1"/>
    <col min="779" max="1024" width="9.140625" style="628"/>
    <col min="1025" max="1025" width="7.7109375" style="628" customWidth="1"/>
    <col min="1026" max="1026" width="25.85546875" style="628" customWidth="1"/>
    <col min="1027" max="1027" width="6.42578125" style="628" customWidth="1"/>
    <col min="1028" max="1028" width="28.42578125" style="628" customWidth="1"/>
    <col min="1029" max="1029" width="5.5703125" style="628" customWidth="1"/>
    <col min="1030" max="1030" width="27.5703125" style="628" customWidth="1"/>
    <col min="1031" max="1031" width="5.5703125" style="628" customWidth="1"/>
    <col min="1032" max="1032" width="27.5703125" style="628" customWidth="1"/>
    <col min="1033" max="1033" width="10.7109375" style="628" customWidth="1"/>
    <col min="1034" max="1034" width="6.42578125" style="628" customWidth="1"/>
    <col min="1035" max="1280" width="9.140625" style="628"/>
    <col min="1281" max="1281" width="7.7109375" style="628" customWidth="1"/>
    <col min="1282" max="1282" width="25.85546875" style="628" customWidth="1"/>
    <col min="1283" max="1283" width="6.42578125" style="628" customWidth="1"/>
    <col min="1284" max="1284" width="28.42578125" style="628" customWidth="1"/>
    <col min="1285" max="1285" width="5.5703125" style="628" customWidth="1"/>
    <col min="1286" max="1286" width="27.5703125" style="628" customWidth="1"/>
    <col min="1287" max="1287" width="5.5703125" style="628" customWidth="1"/>
    <col min="1288" max="1288" width="27.5703125" style="628" customWidth="1"/>
    <col min="1289" max="1289" width="10.7109375" style="628" customWidth="1"/>
    <col min="1290" max="1290" width="6.42578125" style="628" customWidth="1"/>
    <col min="1291" max="1536" width="9.140625" style="628"/>
    <col min="1537" max="1537" width="7.7109375" style="628" customWidth="1"/>
    <col min="1538" max="1538" width="25.85546875" style="628" customWidth="1"/>
    <col min="1539" max="1539" width="6.42578125" style="628" customWidth="1"/>
    <col min="1540" max="1540" width="28.42578125" style="628" customWidth="1"/>
    <col min="1541" max="1541" width="5.5703125" style="628" customWidth="1"/>
    <col min="1542" max="1542" width="27.5703125" style="628" customWidth="1"/>
    <col min="1543" max="1543" width="5.5703125" style="628" customWidth="1"/>
    <col min="1544" max="1544" width="27.5703125" style="628" customWidth="1"/>
    <col min="1545" max="1545" width="10.7109375" style="628" customWidth="1"/>
    <col min="1546" max="1546" width="6.42578125" style="628" customWidth="1"/>
    <col min="1547" max="1792" width="9.140625" style="628"/>
    <col min="1793" max="1793" width="7.7109375" style="628" customWidth="1"/>
    <col min="1794" max="1794" width="25.85546875" style="628" customWidth="1"/>
    <col min="1795" max="1795" width="6.42578125" style="628" customWidth="1"/>
    <col min="1796" max="1796" width="28.42578125" style="628" customWidth="1"/>
    <col min="1797" max="1797" width="5.5703125" style="628" customWidth="1"/>
    <col min="1798" max="1798" width="27.5703125" style="628" customWidth="1"/>
    <col min="1799" max="1799" width="5.5703125" style="628" customWidth="1"/>
    <col min="1800" max="1800" width="27.5703125" style="628" customWidth="1"/>
    <col min="1801" max="1801" width="10.7109375" style="628" customWidth="1"/>
    <col min="1802" max="1802" width="6.42578125" style="628" customWidth="1"/>
    <col min="1803" max="2048" width="9.140625" style="628"/>
    <col min="2049" max="2049" width="7.7109375" style="628" customWidth="1"/>
    <col min="2050" max="2050" width="25.85546875" style="628" customWidth="1"/>
    <col min="2051" max="2051" width="6.42578125" style="628" customWidth="1"/>
    <col min="2052" max="2052" width="28.42578125" style="628" customWidth="1"/>
    <col min="2053" max="2053" width="5.5703125" style="628" customWidth="1"/>
    <col min="2054" max="2054" width="27.5703125" style="628" customWidth="1"/>
    <col min="2055" max="2055" width="5.5703125" style="628" customWidth="1"/>
    <col min="2056" max="2056" width="27.5703125" style="628" customWidth="1"/>
    <col min="2057" max="2057" width="10.7109375" style="628" customWidth="1"/>
    <col min="2058" max="2058" width="6.42578125" style="628" customWidth="1"/>
    <col min="2059" max="2304" width="9.140625" style="628"/>
    <col min="2305" max="2305" width="7.7109375" style="628" customWidth="1"/>
    <col min="2306" max="2306" width="25.85546875" style="628" customWidth="1"/>
    <col min="2307" max="2307" width="6.42578125" style="628" customWidth="1"/>
    <col min="2308" max="2308" width="28.42578125" style="628" customWidth="1"/>
    <col min="2309" max="2309" width="5.5703125" style="628" customWidth="1"/>
    <col min="2310" max="2310" width="27.5703125" style="628" customWidth="1"/>
    <col min="2311" max="2311" width="5.5703125" style="628" customWidth="1"/>
    <col min="2312" max="2312" width="27.5703125" style="628" customWidth="1"/>
    <col min="2313" max="2313" width="10.7109375" style="628" customWidth="1"/>
    <col min="2314" max="2314" width="6.42578125" style="628" customWidth="1"/>
    <col min="2315" max="2560" width="9.140625" style="628"/>
    <col min="2561" max="2561" width="7.7109375" style="628" customWidth="1"/>
    <col min="2562" max="2562" width="25.85546875" style="628" customWidth="1"/>
    <col min="2563" max="2563" width="6.42578125" style="628" customWidth="1"/>
    <col min="2564" max="2564" width="28.42578125" style="628" customWidth="1"/>
    <col min="2565" max="2565" width="5.5703125" style="628" customWidth="1"/>
    <col min="2566" max="2566" width="27.5703125" style="628" customWidth="1"/>
    <col min="2567" max="2567" width="5.5703125" style="628" customWidth="1"/>
    <col min="2568" max="2568" width="27.5703125" style="628" customWidth="1"/>
    <col min="2569" max="2569" width="10.7109375" style="628" customWidth="1"/>
    <col min="2570" max="2570" width="6.42578125" style="628" customWidth="1"/>
    <col min="2571" max="2816" width="9.140625" style="628"/>
    <col min="2817" max="2817" width="7.7109375" style="628" customWidth="1"/>
    <col min="2818" max="2818" width="25.85546875" style="628" customWidth="1"/>
    <col min="2819" max="2819" width="6.42578125" style="628" customWidth="1"/>
    <col min="2820" max="2820" width="28.42578125" style="628" customWidth="1"/>
    <col min="2821" max="2821" width="5.5703125" style="628" customWidth="1"/>
    <col min="2822" max="2822" width="27.5703125" style="628" customWidth="1"/>
    <col min="2823" max="2823" width="5.5703125" style="628" customWidth="1"/>
    <col min="2824" max="2824" width="27.5703125" style="628" customWidth="1"/>
    <col min="2825" max="2825" width="10.7109375" style="628" customWidth="1"/>
    <col min="2826" max="2826" width="6.42578125" style="628" customWidth="1"/>
    <col min="2827" max="3072" width="9.140625" style="628"/>
    <col min="3073" max="3073" width="7.7109375" style="628" customWidth="1"/>
    <col min="3074" max="3074" width="25.85546875" style="628" customWidth="1"/>
    <col min="3075" max="3075" width="6.42578125" style="628" customWidth="1"/>
    <col min="3076" max="3076" width="28.42578125" style="628" customWidth="1"/>
    <col min="3077" max="3077" width="5.5703125" style="628" customWidth="1"/>
    <col min="3078" max="3078" width="27.5703125" style="628" customWidth="1"/>
    <col min="3079" max="3079" width="5.5703125" style="628" customWidth="1"/>
    <col min="3080" max="3080" width="27.5703125" style="628" customWidth="1"/>
    <col min="3081" max="3081" width="10.7109375" style="628" customWidth="1"/>
    <col min="3082" max="3082" width="6.42578125" style="628" customWidth="1"/>
    <col min="3083" max="3328" width="9.140625" style="628"/>
    <col min="3329" max="3329" width="7.7109375" style="628" customWidth="1"/>
    <col min="3330" max="3330" width="25.85546875" style="628" customWidth="1"/>
    <col min="3331" max="3331" width="6.42578125" style="628" customWidth="1"/>
    <col min="3332" max="3332" width="28.42578125" style="628" customWidth="1"/>
    <col min="3333" max="3333" width="5.5703125" style="628" customWidth="1"/>
    <col min="3334" max="3334" width="27.5703125" style="628" customWidth="1"/>
    <col min="3335" max="3335" width="5.5703125" style="628" customWidth="1"/>
    <col min="3336" max="3336" width="27.5703125" style="628" customWidth="1"/>
    <col min="3337" max="3337" width="10.7109375" style="628" customWidth="1"/>
    <col min="3338" max="3338" width="6.42578125" style="628" customWidth="1"/>
    <col min="3339" max="3584" width="9.140625" style="628"/>
    <col min="3585" max="3585" width="7.7109375" style="628" customWidth="1"/>
    <col min="3586" max="3586" width="25.85546875" style="628" customWidth="1"/>
    <col min="3587" max="3587" width="6.42578125" style="628" customWidth="1"/>
    <col min="3588" max="3588" width="28.42578125" style="628" customWidth="1"/>
    <col min="3589" max="3589" width="5.5703125" style="628" customWidth="1"/>
    <col min="3590" max="3590" width="27.5703125" style="628" customWidth="1"/>
    <col min="3591" max="3591" width="5.5703125" style="628" customWidth="1"/>
    <col min="3592" max="3592" width="27.5703125" style="628" customWidth="1"/>
    <col min="3593" max="3593" width="10.7109375" style="628" customWidth="1"/>
    <col min="3594" max="3594" width="6.42578125" style="628" customWidth="1"/>
    <col min="3595" max="3840" width="9.140625" style="628"/>
    <col min="3841" max="3841" width="7.7109375" style="628" customWidth="1"/>
    <col min="3842" max="3842" width="25.85546875" style="628" customWidth="1"/>
    <col min="3843" max="3843" width="6.42578125" style="628" customWidth="1"/>
    <col min="3844" max="3844" width="28.42578125" style="628" customWidth="1"/>
    <col min="3845" max="3845" width="5.5703125" style="628" customWidth="1"/>
    <col min="3846" max="3846" width="27.5703125" style="628" customWidth="1"/>
    <col min="3847" max="3847" width="5.5703125" style="628" customWidth="1"/>
    <col min="3848" max="3848" width="27.5703125" style="628" customWidth="1"/>
    <col min="3849" max="3849" width="10.7109375" style="628" customWidth="1"/>
    <col min="3850" max="3850" width="6.42578125" style="628" customWidth="1"/>
    <col min="3851" max="4096" width="9.140625" style="628"/>
    <col min="4097" max="4097" width="7.7109375" style="628" customWidth="1"/>
    <col min="4098" max="4098" width="25.85546875" style="628" customWidth="1"/>
    <col min="4099" max="4099" width="6.42578125" style="628" customWidth="1"/>
    <col min="4100" max="4100" width="28.42578125" style="628" customWidth="1"/>
    <col min="4101" max="4101" width="5.5703125" style="628" customWidth="1"/>
    <col min="4102" max="4102" width="27.5703125" style="628" customWidth="1"/>
    <col min="4103" max="4103" width="5.5703125" style="628" customWidth="1"/>
    <col min="4104" max="4104" width="27.5703125" style="628" customWidth="1"/>
    <col min="4105" max="4105" width="10.7109375" style="628" customWidth="1"/>
    <col min="4106" max="4106" width="6.42578125" style="628" customWidth="1"/>
    <col min="4107" max="4352" width="9.140625" style="628"/>
    <col min="4353" max="4353" width="7.7109375" style="628" customWidth="1"/>
    <col min="4354" max="4354" width="25.85546875" style="628" customWidth="1"/>
    <col min="4355" max="4355" width="6.42578125" style="628" customWidth="1"/>
    <col min="4356" max="4356" width="28.42578125" style="628" customWidth="1"/>
    <col min="4357" max="4357" width="5.5703125" style="628" customWidth="1"/>
    <col min="4358" max="4358" width="27.5703125" style="628" customWidth="1"/>
    <col min="4359" max="4359" width="5.5703125" style="628" customWidth="1"/>
    <col min="4360" max="4360" width="27.5703125" style="628" customWidth="1"/>
    <col min="4361" max="4361" width="10.7109375" style="628" customWidth="1"/>
    <col min="4362" max="4362" width="6.42578125" style="628" customWidth="1"/>
    <col min="4363" max="4608" width="9.140625" style="628"/>
    <col min="4609" max="4609" width="7.7109375" style="628" customWidth="1"/>
    <col min="4610" max="4610" width="25.85546875" style="628" customWidth="1"/>
    <col min="4611" max="4611" width="6.42578125" style="628" customWidth="1"/>
    <col min="4612" max="4612" width="28.42578125" style="628" customWidth="1"/>
    <col min="4613" max="4613" width="5.5703125" style="628" customWidth="1"/>
    <col min="4614" max="4614" width="27.5703125" style="628" customWidth="1"/>
    <col min="4615" max="4615" width="5.5703125" style="628" customWidth="1"/>
    <col min="4616" max="4616" width="27.5703125" style="628" customWidth="1"/>
    <col min="4617" max="4617" width="10.7109375" style="628" customWidth="1"/>
    <col min="4618" max="4618" width="6.42578125" style="628" customWidth="1"/>
    <col min="4619" max="4864" width="9.140625" style="628"/>
    <col min="4865" max="4865" width="7.7109375" style="628" customWidth="1"/>
    <col min="4866" max="4866" width="25.85546875" style="628" customWidth="1"/>
    <col min="4867" max="4867" width="6.42578125" style="628" customWidth="1"/>
    <col min="4868" max="4868" width="28.42578125" style="628" customWidth="1"/>
    <col min="4869" max="4869" width="5.5703125" style="628" customWidth="1"/>
    <col min="4870" max="4870" width="27.5703125" style="628" customWidth="1"/>
    <col min="4871" max="4871" width="5.5703125" style="628" customWidth="1"/>
    <col min="4872" max="4872" width="27.5703125" style="628" customWidth="1"/>
    <col min="4873" max="4873" width="10.7109375" style="628" customWidth="1"/>
    <col min="4874" max="4874" width="6.42578125" style="628" customWidth="1"/>
    <col min="4875" max="5120" width="9.140625" style="628"/>
    <col min="5121" max="5121" width="7.7109375" style="628" customWidth="1"/>
    <col min="5122" max="5122" width="25.85546875" style="628" customWidth="1"/>
    <col min="5123" max="5123" width="6.42578125" style="628" customWidth="1"/>
    <col min="5124" max="5124" width="28.42578125" style="628" customWidth="1"/>
    <col min="5125" max="5125" width="5.5703125" style="628" customWidth="1"/>
    <col min="5126" max="5126" width="27.5703125" style="628" customWidth="1"/>
    <col min="5127" max="5127" width="5.5703125" style="628" customWidth="1"/>
    <col min="5128" max="5128" width="27.5703125" style="628" customWidth="1"/>
    <col min="5129" max="5129" width="10.7109375" style="628" customWidth="1"/>
    <col min="5130" max="5130" width="6.42578125" style="628" customWidth="1"/>
    <col min="5131" max="5376" width="9.140625" style="628"/>
    <col min="5377" max="5377" width="7.7109375" style="628" customWidth="1"/>
    <col min="5378" max="5378" width="25.85546875" style="628" customWidth="1"/>
    <col min="5379" max="5379" width="6.42578125" style="628" customWidth="1"/>
    <col min="5380" max="5380" width="28.42578125" style="628" customWidth="1"/>
    <col min="5381" max="5381" width="5.5703125" style="628" customWidth="1"/>
    <col min="5382" max="5382" width="27.5703125" style="628" customWidth="1"/>
    <col min="5383" max="5383" width="5.5703125" style="628" customWidth="1"/>
    <col min="5384" max="5384" width="27.5703125" style="628" customWidth="1"/>
    <col min="5385" max="5385" width="10.7109375" style="628" customWidth="1"/>
    <col min="5386" max="5386" width="6.42578125" style="628" customWidth="1"/>
    <col min="5387" max="5632" width="9.140625" style="628"/>
    <col min="5633" max="5633" width="7.7109375" style="628" customWidth="1"/>
    <col min="5634" max="5634" width="25.85546875" style="628" customWidth="1"/>
    <col min="5635" max="5635" width="6.42578125" style="628" customWidth="1"/>
    <col min="5636" max="5636" width="28.42578125" style="628" customWidth="1"/>
    <col min="5637" max="5637" width="5.5703125" style="628" customWidth="1"/>
    <col min="5638" max="5638" width="27.5703125" style="628" customWidth="1"/>
    <col min="5639" max="5639" width="5.5703125" style="628" customWidth="1"/>
    <col min="5640" max="5640" width="27.5703125" style="628" customWidth="1"/>
    <col min="5641" max="5641" width="10.7109375" style="628" customWidth="1"/>
    <col min="5642" max="5642" width="6.42578125" style="628" customWidth="1"/>
    <col min="5643" max="5888" width="9.140625" style="628"/>
    <col min="5889" max="5889" width="7.7109375" style="628" customWidth="1"/>
    <col min="5890" max="5890" width="25.85546875" style="628" customWidth="1"/>
    <col min="5891" max="5891" width="6.42578125" style="628" customWidth="1"/>
    <col min="5892" max="5892" width="28.42578125" style="628" customWidth="1"/>
    <col min="5893" max="5893" width="5.5703125" style="628" customWidth="1"/>
    <col min="5894" max="5894" width="27.5703125" style="628" customWidth="1"/>
    <col min="5895" max="5895" width="5.5703125" style="628" customWidth="1"/>
    <col min="5896" max="5896" width="27.5703125" style="628" customWidth="1"/>
    <col min="5897" max="5897" width="10.7109375" style="628" customWidth="1"/>
    <col min="5898" max="5898" width="6.42578125" style="628" customWidth="1"/>
    <col min="5899" max="6144" width="9.140625" style="628"/>
    <col min="6145" max="6145" width="7.7109375" style="628" customWidth="1"/>
    <col min="6146" max="6146" width="25.85546875" style="628" customWidth="1"/>
    <col min="6147" max="6147" width="6.42578125" style="628" customWidth="1"/>
    <col min="6148" max="6148" width="28.42578125" style="628" customWidth="1"/>
    <col min="6149" max="6149" width="5.5703125" style="628" customWidth="1"/>
    <col min="6150" max="6150" width="27.5703125" style="628" customWidth="1"/>
    <col min="6151" max="6151" width="5.5703125" style="628" customWidth="1"/>
    <col min="6152" max="6152" width="27.5703125" style="628" customWidth="1"/>
    <col min="6153" max="6153" width="10.7109375" style="628" customWidth="1"/>
    <col min="6154" max="6154" width="6.42578125" style="628" customWidth="1"/>
    <col min="6155" max="6400" width="9.140625" style="628"/>
    <col min="6401" max="6401" width="7.7109375" style="628" customWidth="1"/>
    <col min="6402" max="6402" width="25.85546875" style="628" customWidth="1"/>
    <col min="6403" max="6403" width="6.42578125" style="628" customWidth="1"/>
    <col min="6404" max="6404" width="28.42578125" style="628" customWidth="1"/>
    <col min="6405" max="6405" width="5.5703125" style="628" customWidth="1"/>
    <col min="6406" max="6406" width="27.5703125" style="628" customWidth="1"/>
    <col min="6407" max="6407" width="5.5703125" style="628" customWidth="1"/>
    <col min="6408" max="6408" width="27.5703125" style="628" customWidth="1"/>
    <col min="6409" max="6409" width="10.7109375" style="628" customWidth="1"/>
    <col min="6410" max="6410" width="6.42578125" style="628" customWidth="1"/>
    <col min="6411" max="6656" width="9.140625" style="628"/>
    <col min="6657" max="6657" width="7.7109375" style="628" customWidth="1"/>
    <col min="6658" max="6658" width="25.85546875" style="628" customWidth="1"/>
    <col min="6659" max="6659" width="6.42578125" style="628" customWidth="1"/>
    <col min="6660" max="6660" width="28.42578125" style="628" customWidth="1"/>
    <col min="6661" max="6661" width="5.5703125" style="628" customWidth="1"/>
    <col min="6662" max="6662" width="27.5703125" style="628" customWidth="1"/>
    <col min="6663" max="6663" width="5.5703125" style="628" customWidth="1"/>
    <col min="6664" max="6664" width="27.5703125" style="628" customWidth="1"/>
    <col min="6665" max="6665" width="10.7109375" style="628" customWidth="1"/>
    <col min="6666" max="6666" width="6.42578125" style="628" customWidth="1"/>
    <col min="6667" max="6912" width="9.140625" style="628"/>
    <col min="6913" max="6913" width="7.7109375" style="628" customWidth="1"/>
    <col min="6914" max="6914" width="25.85546875" style="628" customWidth="1"/>
    <col min="6915" max="6915" width="6.42578125" style="628" customWidth="1"/>
    <col min="6916" max="6916" width="28.42578125" style="628" customWidth="1"/>
    <col min="6917" max="6917" width="5.5703125" style="628" customWidth="1"/>
    <col min="6918" max="6918" width="27.5703125" style="628" customWidth="1"/>
    <col min="6919" max="6919" width="5.5703125" style="628" customWidth="1"/>
    <col min="6920" max="6920" width="27.5703125" style="628" customWidth="1"/>
    <col min="6921" max="6921" width="10.7109375" style="628" customWidth="1"/>
    <col min="6922" max="6922" width="6.42578125" style="628" customWidth="1"/>
    <col min="6923" max="7168" width="9.140625" style="628"/>
    <col min="7169" max="7169" width="7.7109375" style="628" customWidth="1"/>
    <col min="7170" max="7170" width="25.85546875" style="628" customWidth="1"/>
    <col min="7171" max="7171" width="6.42578125" style="628" customWidth="1"/>
    <col min="7172" max="7172" width="28.42578125" style="628" customWidth="1"/>
    <col min="7173" max="7173" width="5.5703125" style="628" customWidth="1"/>
    <col min="7174" max="7174" width="27.5703125" style="628" customWidth="1"/>
    <col min="7175" max="7175" width="5.5703125" style="628" customWidth="1"/>
    <col min="7176" max="7176" width="27.5703125" style="628" customWidth="1"/>
    <col min="7177" max="7177" width="10.7109375" style="628" customWidth="1"/>
    <col min="7178" max="7178" width="6.42578125" style="628" customWidth="1"/>
    <col min="7179" max="7424" width="9.140625" style="628"/>
    <col min="7425" max="7425" width="7.7109375" style="628" customWidth="1"/>
    <col min="7426" max="7426" width="25.85546875" style="628" customWidth="1"/>
    <col min="7427" max="7427" width="6.42578125" style="628" customWidth="1"/>
    <col min="7428" max="7428" width="28.42578125" style="628" customWidth="1"/>
    <col min="7429" max="7429" width="5.5703125" style="628" customWidth="1"/>
    <col min="7430" max="7430" width="27.5703125" style="628" customWidth="1"/>
    <col min="7431" max="7431" width="5.5703125" style="628" customWidth="1"/>
    <col min="7432" max="7432" width="27.5703125" style="628" customWidth="1"/>
    <col min="7433" max="7433" width="10.7109375" style="628" customWidth="1"/>
    <col min="7434" max="7434" width="6.42578125" style="628" customWidth="1"/>
    <col min="7435" max="7680" width="9.140625" style="628"/>
    <col min="7681" max="7681" width="7.7109375" style="628" customWidth="1"/>
    <col min="7682" max="7682" width="25.85546875" style="628" customWidth="1"/>
    <col min="7683" max="7683" width="6.42578125" style="628" customWidth="1"/>
    <col min="7684" max="7684" width="28.42578125" style="628" customWidth="1"/>
    <col min="7685" max="7685" width="5.5703125" style="628" customWidth="1"/>
    <col min="7686" max="7686" width="27.5703125" style="628" customWidth="1"/>
    <col min="7687" max="7687" width="5.5703125" style="628" customWidth="1"/>
    <col min="7688" max="7688" width="27.5703125" style="628" customWidth="1"/>
    <col min="7689" max="7689" width="10.7109375" style="628" customWidth="1"/>
    <col min="7690" max="7690" width="6.42578125" style="628" customWidth="1"/>
    <col min="7691" max="7936" width="9.140625" style="628"/>
    <col min="7937" max="7937" width="7.7109375" style="628" customWidth="1"/>
    <col min="7938" max="7938" width="25.85546875" style="628" customWidth="1"/>
    <col min="7939" max="7939" width="6.42578125" style="628" customWidth="1"/>
    <col min="7940" max="7940" width="28.42578125" style="628" customWidth="1"/>
    <col min="7941" max="7941" width="5.5703125" style="628" customWidth="1"/>
    <col min="7942" max="7942" width="27.5703125" style="628" customWidth="1"/>
    <col min="7943" max="7943" width="5.5703125" style="628" customWidth="1"/>
    <col min="7944" max="7944" width="27.5703125" style="628" customWidth="1"/>
    <col min="7945" max="7945" width="10.7109375" style="628" customWidth="1"/>
    <col min="7946" max="7946" width="6.42578125" style="628" customWidth="1"/>
    <col min="7947" max="8192" width="9.140625" style="628"/>
    <col min="8193" max="8193" width="7.7109375" style="628" customWidth="1"/>
    <col min="8194" max="8194" width="25.85546875" style="628" customWidth="1"/>
    <col min="8195" max="8195" width="6.42578125" style="628" customWidth="1"/>
    <col min="8196" max="8196" width="28.42578125" style="628" customWidth="1"/>
    <col min="8197" max="8197" width="5.5703125" style="628" customWidth="1"/>
    <col min="8198" max="8198" width="27.5703125" style="628" customWidth="1"/>
    <col min="8199" max="8199" width="5.5703125" style="628" customWidth="1"/>
    <col min="8200" max="8200" width="27.5703125" style="628" customWidth="1"/>
    <col min="8201" max="8201" width="10.7109375" style="628" customWidth="1"/>
    <col min="8202" max="8202" width="6.42578125" style="628" customWidth="1"/>
    <col min="8203" max="8448" width="9.140625" style="628"/>
    <col min="8449" max="8449" width="7.7109375" style="628" customWidth="1"/>
    <col min="8450" max="8450" width="25.85546875" style="628" customWidth="1"/>
    <col min="8451" max="8451" width="6.42578125" style="628" customWidth="1"/>
    <col min="8452" max="8452" width="28.42578125" style="628" customWidth="1"/>
    <col min="8453" max="8453" width="5.5703125" style="628" customWidth="1"/>
    <col min="8454" max="8454" width="27.5703125" style="628" customWidth="1"/>
    <col min="8455" max="8455" width="5.5703125" style="628" customWidth="1"/>
    <col min="8456" max="8456" width="27.5703125" style="628" customWidth="1"/>
    <col min="8457" max="8457" width="10.7109375" style="628" customWidth="1"/>
    <col min="8458" max="8458" width="6.42578125" style="628" customWidth="1"/>
    <col min="8459" max="8704" width="9.140625" style="628"/>
    <col min="8705" max="8705" width="7.7109375" style="628" customWidth="1"/>
    <col min="8706" max="8706" width="25.85546875" style="628" customWidth="1"/>
    <col min="8707" max="8707" width="6.42578125" style="628" customWidth="1"/>
    <col min="8708" max="8708" width="28.42578125" style="628" customWidth="1"/>
    <col min="8709" max="8709" width="5.5703125" style="628" customWidth="1"/>
    <col min="8710" max="8710" width="27.5703125" style="628" customWidth="1"/>
    <col min="8711" max="8711" width="5.5703125" style="628" customWidth="1"/>
    <col min="8712" max="8712" width="27.5703125" style="628" customWidth="1"/>
    <col min="8713" max="8713" width="10.7109375" style="628" customWidth="1"/>
    <col min="8714" max="8714" width="6.42578125" style="628" customWidth="1"/>
    <col min="8715" max="8960" width="9.140625" style="628"/>
    <col min="8961" max="8961" width="7.7109375" style="628" customWidth="1"/>
    <col min="8962" max="8962" width="25.85546875" style="628" customWidth="1"/>
    <col min="8963" max="8963" width="6.42578125" style="628" customWidth="1"/>
    <col min="8964" max="8964" width="28.42578125" style="628" customWidth="1"/>
    <col min="8965" max="8965" width="5.5703125" style="628" customWidth="1"/>
    <col min="8966" max="8966" width="27.5703125" style="628" customWidth="1"/>
    <col min="8967" max="8967" width="5.5703125" style="628" customWidth="1"/>
    <col min="8968" max="8968" width="27.5703125" style="628" customWidth="1"/>
    <col min="8969" max="8969" width="10.7109375" style="628" customWidth="1"/>
    <col min="8970" max="8970" width="6.42578125" style="628" customWidth="1"/>
    <col min="8971" max="9216" width="9.140625" style="628"/>
    <col min="9217" max="9217" width="7.7109375" style="628" customWidth="1"/>
    <col min="9218" max="9218" width="25.85546875" style="628" customWidth="1"/>
    <col min="9219" max="9219" width="6.42578125" style="628" customWidth="1"/>
    <col min="9220" max="9220" width="28.42578125" style="628" customWidth="1"/>
    <col min="9221" max="9221" width="5.5703125" style="628" customWidth="1"/>
    <col min="9222" max="9222" width="27.5703125" style="628" customWidth="1"/>
    <col min="9223" max="9223" width="5.5703125" style="628" customWidth="1"/>
    <col min="9224" max="9224" width="27.5703125" style="628" customWidth="1"/>
    <col min="9225" max="9225" width="10.7109375" style="628" customWidth="1"/>
    <col min="9226" max="9226" width="6.42578125" style="628" customWidth="1"/>
    <col min="9227" max="9472" width="9.140625" style="628"/>
    <col min="9473" max="9473" width="7.7109375" style="628" customWidth="1"/>
    <col min="9474" max="9474" width="25.85546875" style="628" customWidth="1"/>
    <col min="9475" max="9475" width="6.42578125" style="628" customWidth="1"/>
    <col min="9476" max="9476" width="28.42578125" style="628" customWidth="1"/>
    <col min="9477" max="9477" width="5.5703125" style="628" customWidth="1"/>
    <col min="9478" max="9478" width="27.5703125" style="628" customWidth="1"/>
    <col min="9479" max="9479" width="5.5703125" style="628" customWidth="1"/>
    <col min="9480" max="9480" width="27.5703125" style="628" customWidth="1"/>
    <col min="9481" max="9481" width="10.7109375" style="628" customWidth="1"/>
    <col min="9482" max="9482" width="6.42578125" style="628" customWidth="1"/>
    <col min="9483" max="9728" width="9.140625" style="628"/>
    <col min="9729" max="9729" width="7.7109375" style="628" customWidth="1"/>
    <col min="9730" max="9730" width="25.85546875" style="628" customWidth="1"/>
    <col min="9731" max="9731" width="6.42578125" style="628" customWidth="1"/>
    <col min="9732" max="9732" width="28.42578125" style="628" customWidth="1"/>
    <col min="9733" max="9733" width="5.5703125" style="628" customWidth="1"/>
    <col min="9734" max="9734" width="27.5703125" style="628" customWidth="1"/>
    <col min="9735" max="9735" width="5.5703125" style="628" customWidth="1"/>
    <col min="9736" max="9736" width="27.5703125" style="628" customWidth="1"/>
    <col min="9737" max="9737" width="10.7109375" style="628" customWidth="1"/>
    <col min="9738" max="9738" width="6.42578125" style="628" customWidth="1"/>
    <col min="9739" max="9984" width="9.140625" style="628"/>
    <col min="9985" max="9985" width="7.7109375" style="628" customWidth="1"/>
    <col min="9986" max="9986" width="25.85546875" style="628" customWidth="1"/>
    <col min="9987" max="9987" width="6.42578125" style="628" customWidth="1"/>
    <col min="9988" max="9988" width="28.42578125" style="628" customWidth="1"/>
    <col min="9989" max="9989" width="5.5703125" style="628" customWidth="1"/>
    <col min="9990" max="9990" width="27.5703125" style="628" customWidth="1"/>
    <col min="9991" max="9991" width="5.5703125" style="628" customWidth="1"/>
    <col min="9992" max="9992" width="27.5703125" style="628" customWidth="1"/>
    <col min="9993" max="9993" width="10.7109375" style="628" customWidth="1"/>
    <col min="9994" max="9994" width="6.42578125" style="628" customWidth="1"/>
    <col min="9995" max="10240" width="9.140625" style="628"/>
    <col min="10241" max="10241" width="7.7109375" style="628" customWidth="1"/>
    <col min="10242" max="10242" width="25.85546875" style="628" customWidth="1"/>
    <col min="10243" max="10243" width="6.42578125" style="628" customWidth="1"/>
    <col min="10244" max="10244" width="28.42578125" style="628" customWidth="1"/>
    <col min="10245" max="10245" width="5.5703125" style="628" customWidth="1"/>
    <col min="10246" max="10246" width="27.5703125" style="628" customWidth="1"/>
    <col min="10247" max="10247" width="5.5703125" style="628" customWidth="1"/>
    <col min="10248" max="10248" width="27.5703125" style="628" customWidth="1"/>
    <col min="10249" max="10249" width="10.7109375" style="628" customWidth="1"/>
    <col min="10250" max="10250" width="6.42578125" style="628" customWidth="1"/>
    <col min="10251" max="10496" width="9.140625" style="628"/>
    <col min="10497" max="10497" width="7.7109375" style="628" customWidth="1"/>
    <col min="10498" max="10498" width="25.85546875" style="628" customWidth="1"/>
    <col min="10499" max="10499" width="6.42578125" style="628" customWidth="1"/>
    <col min="10500" max="10500" width="28.42578125" style="628" customWidth="1"/>
    <col min="10501" max="10501" width="5.5703125" style="628" customWidth="1"/>
    <col min="10502" max="10502" width="27.5703125" style="628" customWidth="1"/>
    <col min="10503" max="10503" width="5.5703125" style="628" customWidth="1"/>
    <col min="10504" max="10504" width="27.5703125" style="628" customWidth="1"/>
    <col min="10505" max="10505" width="10.7109375" style="628" customWidth="1"/>
    <col min="10506" max="10506" width="6.42578125" style="628" customWidth="1"/>
    <col min="10507" max="10752" width="9.140625" style="628"/>
    <col min="10753" max="10753" width="7.7109375" style="628" customWidth="1"/>
    <col min="10754" max="10754" width="25.85546875" style="628" customWidth="1"/>
    <col min="10755" max="10755" width="6.42578125" style="628" customWidth="1"/>
    <col min="10756" max="10756" width="28.42578125" style="628" customWidth="1"/>
    <col min="10757" max="10757" width="5.5703125" style="628" customWidth="1"/>
    <col min="10758" max="10758" width="27.5703125" style="628" customWidth="1"/>
    <col min="10759" max="10759" width="5.5703125" style="628" customWidth="1"/>
    <col min="10760" max="10760" width="27.5703125" style="628" customWidth="1"/>
    <col min="10761" max="10761" width="10.7109375" style="628" customWidth="1"/>
    <col min="10762" max="10762" width="6.42578125" style="628" customWidth="1"/>
    <col min="10763" max="11008" width="9.140625" style="628"/>
    <col min="11009" max="11009" width="7.7109375" style="628" customWidth="1"/>
    <col min="11010" max="11010" width="25.85546875" style="628" customWidth="1"/>
    <col min="11011" max="11011" width="6.42578125" style="628" customWidth="1"/>
    <col min="11012" max="11012" width="28.42578125" style="628" customWidth="1"/>
    <col min="11013" max="11013" width="5.5703125" style="628" customWidth="1"/>
    <col min="11014" max="11014" width="27.5703125" style="628" customWidth="1"/>
    <col min="11015" max="11015" width="5.5703125" style="628" customWidth="1"/>
    <col min="11016" max="11016" width="27.5703125" style="628" customWidth="1"/>
    <col min="11017" max="11017" width="10.7109375" style="628" customWidth="1"/>
    <col min="11018" max="11018" width="6.42578125" style="628" customWidth="1"/>
    <col min="11019" max="11264" width="9.140625" style="628"/>
    <col min="11265" max="11265" width="7.7109375" style="628" customWidth="1"/>
    <col min="11266" max="11266" width="25.85546875" style="628" customWidth="1"/>
    <col min="11267" max="11267" width="6.42578125" style="628" customWidth="1"/>
    <col min="11268" max="11268" width="28.42578125" style="628" customWidth="1"/>
    <col min="11269" max="11269" width="5.5703125" style="628" customWidth="1"/>
    <col min="11270" max="11270" width="27.5703125" style="628" customWidth="1"/>
    <col min="11271" max="11271" width="5.5703125" style="628" customWidth="1"/>
    <col min="11272" max="11272" width="27.5703125" style="628" customWidth="1"/>
    <col min="11273" max="11273" width="10.7109375" style="628" customWidth="1"/>
    <col min="11274" max="11274" width="6.42578125" style="628" customWidth="1"/>
    <col min="11275" max="11520" width="9.140625" style="628"/>
    <col min="11521" max="11521" width="7.7109375" style="628" customWidth="1"/>
    <col min="11522" max="11522" width="25.85546875" style="628" customWidth="1"/>
    <col min="11523" max="11523" width="6.42578125" style="628" customWidth="1"/>
    <col min="11524" max="11524" width="28.42578125" style="628" customWidth="1"/>
    <col min="11525" max="11525" width="5.5703125" style="628" customWidth="1"/>
    <col min="11526" max="11526" width="27.5703125" style="628" customWidth="1"/>
    <col min="11527" max="11527" width="5.5703125" style="628" customWidth="1"/>
    <col min="11528" max="11528" width="27.5703125" style="628" customWidth="1"/>
    <col min="11529" max="11529" width="10.7109375" style="628" customWidth="1"/>
    <col min="11530" max="11530" width="6.42578125" style="628" customWidth="1"/>
    <col min="11531" max="11776" width="9.140625" style="628"/>
    <col min="11777" max="11777" width="7.7109375" style="628" customWidth="1"/>
    <col min="11778" max="11778" width="25.85546875" style="628" customWidth="1"/>
    <col min="11779" max="11779" width="6.42578125" style="628" customWidth="1"/>
    <col min="11780" max="11780" width="28.42578125" style="628" customWidth="1"/>
    <col min="11781" max="11781" width="5.5703125" style="628" customWidth="1"/>
    <col min="11782" max="11782" width="27.5703125" style="628" customWidth="1"/>
    <col min="11783" max="11783" width="5.5703125" style="628" customWidth="1"/>
    <col min="11784" max="11784" width="27.5703125" style="628" customWidth="1"/>
    <col min="11785" max="11785" width="10.7109375" style="628" customWidth="1"/>
    <col min="11786" max="11786" width="6.42578125" style="628" customWidth="1"/>
    <col min="11787" max="12032" width="9.140625" style="628"/>
    <col min="12033" max="12033" width="7.7109375" style="628" customWidth="1"/>
    <col min="12034" max="12034" width="25.85546875" style="628" customWidth="1"/>
    <col min="12035" max="12035" width="6.42578125" style="628" customWidth="1"/>
    <col min="12036" max="12036" width="28.42578125" style="628" customWidth="1"/>
    <col min="12037" max="12037" width="5.5703125" style="628" customWidth="1"/>
    <col min="12038" max="12038" width="27.5703125" style="628" customWidth="1"/>
    <col min="12039" max="12039" width="5.5703125" style="628" customWidth="1"/>
    <col min="12040" max="12040" width="27.5703125" style="628" customWidth="1"/>
    <col min="12041" max="12041" width="10.7109375" style="628" customWidth="1"/>
    <col min="12042" max="12042" width="6.42578125" style="628" customWidth="1"/>
    <col min="12043" max="12288" width="9.140625" style="628"/>
    <col min="12289" max="12289" width="7.7109375" style="628" customWidth="1"/>
    <col min="12290" max="12290" width="25.85546875" style="628" customWidth="1"/>
    <col min="12291" max="12291" width="6.42578125" style="628" customWidth="1"/>
    <col min="12292" max="12292" width="28.42578125" style="628" customWidth="1"/>
    <col min="12293" max="12293" width="5.5703125" style="628" customWidth="1"/>
    <col min="12294" max="12294" width="27.5703125" style="628" customWidth="1"/>
    <col min="12295" max="12295" width="5.5703125" style="628" customWidth="1"/>
    <col min="12296" max="12296" width="27.5703125" style="628" customWidth="1"/>
    <col min="12297" max="12297" width="10.7109375" style="628" customWidth="1"/>
    <col min="12298" max="12298" width="6.42578125" style="628" customWidth="1"/>
    <col min="12299" max="12544" width="9.140625" style="628"/>
    <col min="12545" max="12545" width="7.7109375" style="628" customWidth="1"/>
    <col min="12546" max="12546" width="25.85546875" style="628" customWidth="1"/>
    <col min="12547" max="12547" width="6.42578125" style="628" customWidth="1"/>
    <col min="12548" max="12548" width="28.42578125" style="628" customWidth="1"/>
    <col min="12549" max="12549" width="5.5703125" style="628" customWidth="1"/>
    <col min="12550" max="12550" width="27.5703125" style="628" customWidth="1"/>
    <col min="12551" max="12551" width="5.5703125" style="628" customWidth="1"/>
    <col min="12552" max="12552" width="27.5703125" style="628" customWidth="1"/>
    <col min="12553" max="12553" width="10.7109375" style="628" customWidth="1"/>
    <col min="12554" max="12554" width="6.42578125" style="628" customWidth="1"/>
    <col min="12555" max="12800" width="9.140625" style="628"/>
    <col min="12801" max="12801" width="7.7109375" style="628" customWidth="1"/>
    <col min="12802" max="12802" width="25.85546875" style="628" customWidth="1"/>
    <col min="12803" max="12803" width="6.42578125" style="628" customWidth="1"/>
    <col min="12804" max="12804" width="28.42578125" style="628" customWidth="1"/>
    <col min="12805" max="12805" width="5.5703125" style="628" customWidth="1"/>
    <col min="12806" max="12806" width="27.5703125" style="628" customWidth="1"/>
    <col min="12807" max="12807" width="5.5703125" style="628" customWidth="1"/>
    <col min="12808" max="12808" width="27.5703125" style="628" customWidth="1"/>
    <col min="12809" max="12809" width="10.7109375" style="628" customWidth="1"/>
    <col min="12810" max="12810" width="6.42578125" style="628" customWidth="1"/>
    <col min="12811" max="13056" width="9.140625" style="628"/>
    <col min="13057" max="13057" width="7.7109375" style="628" customWidth="1"/>
    <col min="13058" max="13058" width="25.85546875" style="628" customWidth="1"/>
    <col min="13059" max="13059" width="6.42578125" style="628" customWidth="1"/>
    <col min="13060" max="13060" width="28.42578125" style="628" customWidth="1"/>
    <col min="13061" max="13061" width="5.5703125" style="628" customWidth="1"/>
    <col min="13062" max="13062" width="27.5703125" style="628" customWidth="1"/>
    <col min="13063" max="13063" width="5.5703125" style="628" customWidth="1"/>
    <col min="13064" max="13064" width="27.5703125" style="628" customWidth="1"/>
    <col min="13065" max="13065" width="10.7109375" style="628" customWidth="1"/>
    <col min="13066" max="13066" width="6.42578125" style="628" customWidth="1"/>
    <col min="13067" max="13312" width="9.140625" style="628"/>
    <col min="13313" max="13313" width="7.7109375" style="628" customWidth="1"/>
    <col min="13314" max="13314" width="25.85546875" style="628" customWidth="1"/>
    <col min="13315" max="13315" width="6.42578125" style="628" customWidth="1"/>
    <col min="13316" max="13316" width="28.42578125" style="628" customWidth="1"/>
    <col min="13317" max="13317" width="5.5703125" style="628" customWidth="1"/>
    <col min="13318" max="13318" width="27.5703125" style="628" customWidth="1"/>
    <col min="13319" max="13319" width="5.5703125" style="628" customWidth="1"/>
    <col min="13320" max="13320" width="27.5703125" style="628" customWidth="1"/>
    <col min="13321" max="13321" width="10.7109375" style="628" customWidth="1"/>
    <col min="13322" max="13322" width="6.42578125" style="628" customWidth="1"/>
    <col min="13323" max="13568" width="9.140625" style="628"/>
    <col min="13569" max="13569" width="7.7109375" style="628" customWidth="1"/>
    <col min="13570" max="13570" width="25.85546875" style="628" customWidth="1"/>
    <col min="13571" max="13571" width="6.42578125" style="628" customWidth="1"/>
    <col min="13572" max="13572" width="28.42578125" style="628" customWidth="1"/>
    <col min="13573" max="13573" width="5.5703125" style="628" customWidth="1"/>
    <col min="13574" max="13574" width="27.5703125" style="628" customWidth="1"/>
    <col min="13575" max="13575" width="5.5703125" style="628" customWidth="1"/>
    <col min="13576" max="13576" width="27.5703125" style="628" customWidth="1"/>
    <col min="13577" max="13577" width="10.7109375" style="628" customWidth="1"/>
    <col min="13578" max="13578" width="6.42578125" style="628" customWidth="1"/>
    <col min="13579" max="13824" width="9.140625" style="628"/>
    <col min="13825" max="13825" width="7.7109375" style="628" customWidth="1"/>
    <col min="13826" max="13826" width="25.85546875" style="628" customWidth="1"/>
    <col min="13827" max="13827" width="6.42578125" style="628" customWidth="1"/>
    <col min="13828" max="13828" width="28.42578125" style="628" customWidth="1"/>
    <col min="13829" max="13829" width="5.5703125" style="628" customWidth="1"/>
    <col min="13830" max="13830" width="27.5703125" style="628" customWidth="1"/>
    <col min="13831" max="13831" width="5.5703125" style="628" customWidth="1"/>
    <col min="13832" max="13832" width="27.5703125" style="628" customWidth="1"/>
    <col min="13833" max="13833" width="10.7109375" style="628" customWidth="1"/>
    <col min="13834" max="13834" width="6.42578125" style="628" customWidth="1"/>
    <col min="13835" max="14080" width="9.140625" style="628"/>
    <col min="14081" max="14081" width="7.7109375" style="628" customWidth="1"/>
    <col min="14082" max="14082" width="25.85546875" style="628" customWidth="1"/>
    <col min="14083" max="14083" width="6.42578125" style="628" customWidth="1"/>
    <col min="14084" max="14084" width="28.42578125" style="628" customWidth="1"/>
    <col min="14085" max="14085" width="5.5703125" style="628" customWidth="1"/>
    <col min="14086" max="14086" width="27.5703125" style="628" customWidth="1"/>
    <col min="14087" max="14087" width="5.5703125" style="628" customWidth="1"/>
    <col min="14088" max="14088" width="27.5703125" style="628" customWidth="1"/>
    <col min="14089" max="14089" width="10.7109375" style="628" customWidth="1"/>
    <col min="14090" max="14090" width="6.42578125" style="628" customWidth="1"/>
    <col min="14091" max="14336" width="9.140625" style="628"/>
    <col min="14337" max="14337" width="7.7109375" style="628" customWidth="1"/>
    <col min="14338" max="14338" width="25.85546875" style="628" customWidth="1"/>
    <col min="14339" max="14339" width="6.42578125" style="628" customWidth="1"/>
    <col min="14340" max="14340" width="28.42578125" style="628" customWidth="1"/>
    <col min="14341" max="14341" width="5.5703125" style="628" customWidth="1"/>
    <col min="14342" max="14342" width="27.5703125" style="628" customWidth="1"/>
    <col min="14343" max="14343" width="5.5703125" style="628" customWidth="1"/>
    <col min="14344" max="14344" width="27.5703125" style="628" customWidth="1"/>
    <col min="14345" max="14345" width="10.7109375" style="628" customWidth="1"/>
    <col min="14346" max="14346" width="6.42578125" style="628" customWidth="1"/>
    <col min="14347" max="14592" width="9.140625" style="628"/>
    <col min="14593" max="14593" width="7.7109375" style="628" customWidth="1"/>
    <col min="14594" max="14594" width="25.85546875" style="628" customWidth="1"/>
    <col min="14595" max="14595" width="6.42578125" style="628" customWidth="1"/>
    <col min="14596" max="14596" width="28.42578125" style="628" customWidth="1"/>
    <col min="14597" max="14597" width="5.5703125" style="628" customWidth="1"/>
    <col min="14598" max="14598" width="27.5703125" style="628" customWidth="1"/>
    <col min="14599" max="14599" width="5.5703125" style="628" customWidth="1"/>
    <col min="14600" max="14600" width="27.5703125" style="628" customWidth="1"/>
    <col min="14601" max="14601" width="10.7109375" style="628" customWidth="1"/>
    <col min="14602" max="14602" width="6.42578125" style="628" customWidth="1"/>
    <col min="14603" max="14848" width="9.140625" style="628"/>
    <col min="14849" max="14849" width="7.7109375" style="628" customWidth="1"/>
    <col min="14850" max="14850" width="25.85546875" style="628" customWidth="1"/>
    <col min="14851" max="14851" width="6.42578125" style="628" customWidth="1"/>
    <col min="14852" max="14852" width="28.42578125" style="628" customWidth="1"/>
    <col min="14853" max="14853" width="5.5703125" style="628" customWidth="1"/>
    <col min="14854" max="14854" width="27.5703125" style="628" customWidth="1"/>
    <col min="14855" max="14855" width="5.5703125" style="628" customWidth="1"/>
    <col min="14856" max="14856" width="27.5703125" style="628" customWidth="1"/>
    <col min="14857" max="14857" width="10.7109375" style="628" customWidth="1"/>
    <col min="14858" max="14858" width="6.42578125" style="628" customWidth="1"/>
    <col min="14859" max="15104" width="9.140625" style="628"/>
    <col min="15105" max="15105" width="7.7109375" style="628" customWidth="1"/>
    <col min="15106" max="15106" width="25.85546875" style="628" customWidth="1"/>
    <col min="15107" max="15107" width="6.42578125" style="628" customWidth="1"/>
    <col min="15108" max="15108" width="28.42578125" style="628" customWidth="1"/>
    <col min="15109" max="15109" width="5.5703125" style="628" customWidth="1"/>
    <col min="15110" max="15110" width="27.5703125" style="628" customWidth="1"/>
    <col min="15111" max="15111" width="5.5703125" style="628" customWidth="1"/>
    <col min="15112" max="15112" width="27.5703125" style="628" customWidth="1"/>
    <col min="15113" max="15113" width="10.7109375" style="628" customWidth="1"/>
    <col min="15114" max="15114" width="6.42578125" style="628" customWidth="1"/>
    <col min="15115" max="15360" width="9.140625" style="628"/>
    <col min="15361" max="15361" width="7.7109375" style="628" customWidth="1"/>
    <col min="15362" max="15362" width="25.85546875" style="628" customWidth="1"/>
    <col min="15363" max="15363" width="6.42578125" style="628" customWidth="1"/>
    <col min="15364" max="15364" width="28.42578125" style="628" customWidth="1"/>
    <col min="15365" max="15365" width="5.5703125" style="628" customWidth="1"/>
    <col min="15366" max="15366" width="27.5703125" style="628" customWidth="1"/>
    <col min="15367" max="15367" width="5.5703125" style="628" customWidth="1"/>
    <col min="15368" max="15368" width="27.5703125" style="628" customWidth="1"/>
    <col min="15369" max="15369" width="10.7109375" style="628" customWidth="1"/>
    <col min="15370" max="15370" width="6.42578125" style="628" customWidth="1"/>
    <col min="15371" max="15616" width="9.140625" style="628"/>
    <col min="15617" max="15617" width="7.7109375" style="628" customWidth="1"/>
    <col min="15618" max="15618" width="25.85546875" style="628" customWidth="1"/>
    <col min="15619" max="15619" width="6.42578125" style="628" customWidth="1"/>
    <col min="15620" max="15620" width="28.42578125" style="628" customWidth="1"/>
    <col min="15621" max="15621" width="5.5703125" style="628" customWidth="1"/>
    <col min="15622" max="15622" width="27.5703125" style="628" customWidth="1"/>
    <col min="15623" max="15623" width="5.5703125" style="628" customWidth="1"/>
    <col min="15624" max="15624" width="27.5703125" style="628" customWidth="1"/>
    <col min="15625" max="15625" width="10.7109375" style="628" customWidth="1"/>
    <col min="15626" max="15626" width="6.42578125" style="628" customWidth="1"/>
    <col min="15627" max="15872" width="9.140625" style="628"/>
    <col min="15873" max="15873" width="7.7109375" style="628" customWidth="1"/>
    <col min="15874" max="15874" width="25.85546875" style="628" customWidth="1"/>
    <col min="15875" max="15875" width="6.42578125" style="628" customWidth="1"/>
    <col min="15876" max="15876" width="28.42578125" style="628" customWidth="1"/>
    <col min="15877" max="15877" width="5.5703125" style="628" customWidth="1"/>
    <col min="15878" max="15878" width="27.5703125" style="628" customWidth="1"/>
    <col min="15879" max="15879" width="5.5703125" style="628" customWidth="1"/>
    <col min="15880" max="15880" width="27.5703125" style="628" customWidth="1"/>
    <col min="15881" max="15881" width="10.7109375" style="628" customWidth="1"/>
    <col min="15882" max="15882" width="6.42578125" style="628" customWidth="1"/>
    <col min="15883" max="16128" width="9.140625" style="628"/>
    <col min="16129" max="16129" width="7.7109375" style="628" customWidth="1"/>
    <col min="16130" max="16130" width="25.85546875" style="628" customWidth="1"/>
    <col min="16131" max="16131" width="6.42578125" style="628" customWidth="1"/>
    <col min="16132" max="16132" width="28.42578125" style="628" customWidth="1"/>
    <col min="16133" max="16133" width="5.5703125" style="628" customWidth="1"/>
    <col min="16134" max="16134" width="27.5703125" style="628" customWidth="1"/>
    <col min="16135" max="16135" width="5.5703125" style="628" customWidth="1"/>
    <col min="16136" max="16136" width="27.5703125" style="628" customWidth="1"/>
    <col min="16137" max="16137" width="10.7109375" style="628" customWidth="1"/>
    <col min="16138" max="16138" width="6.42578125" style="628" customWidth="1"/>
    <col min="16139" max="16384" width="9.140625" style="628"/>
  </cols>
  <sheetData>
    <row r="1" spans="1:9" ht="65.25" customHeight="1">
      <c r="A1" s="777"/>
      <c r="B1" s="778"/>
      <c r="C1" s="779"/>
      <c r="D1" s="779"/>
      <c r="E1" s="779"/>
      <c r="F1" s="779"/>
      <c r="G1" s="779"/>
      <c r="H1" s="779"/>
      <c r="I1" s="780"/>
    </row>
    <row r="2" spans="1:9" ht="21.75" customHeight="1">
      <c r="A2" s="781" t="s">
        <v>97</v>
      </c>
      <c r="B2" s="776"/>
      <c r="C2" s="776"/>
      <c r="D2" s="782"/>
      <c r="E2" s="783"/>
      <c r="F2" s="776"/>
      <c r="G2" s="783"/>
      <c r="H2" s="776"/>
      <c r="I2" s="784"/>
    </row>
    <row r="3" spans="1:9" ht="21" customHeight="1">
      <c r="A3" s="785" t="s">
        <v>62</v>
      </c>
      <c r="B3" s="776"/>
      <c r="C3" s="776"/>
      <c r="D3" s="782"/>
      <c r="E3" s="783"/>
      <c r="F3" s="776"/>
      <c r="G3" s="783"/>
      <c r="H3" s="776"/>
      <c r="I3" s="784"/>
    </row>
    <row r="4" spans="1:9" ht="21" customHeight="1">
      <c r="A4" s="786" t="s">
        <v>639</v>
      </c>
      <c r="B4" s="776"/>
      <c r="C4" s="776"/>
      <c r="D4" s="787"/>
      <c r="E4" s="788"/>
      <c r="F4" s="776"/>
      <c r="G4" s="788"/>
      <c r="H4" s="776"/>
      <c r="I4" s="784"/>
    </row>
    <row r="5" spans="1:9" ht="21" customHeight="1">
      <c r="A5" s="786" t="str">
        <f>"Price Target: $4 "</f>
        <v xml:space="preserve">Price Target: $4 </v>
      </c>
      <c r="B5" s="776"/>
      <c r="C5" s="776"/>
      <c r="D5" s="787"/>
      <c r="E5" s="788"/>
      <c r="F5" s="776"/>
      <c r="G5" s="788"/>
      <c r="H5" s="776"/>
      <c r="I5" s="784"/>
    </row>
    <row r="6" spans="1:9">
      <c r="A6" s="629"/>
      <c r="B6" s="630"/>
      <c r="C6" s="631"/>
      <c r="D6" s="631"/>
      <c r="E6" s="631"/>
      <c r="F6" s="631"/>
      <c r="G6" s="631"/>
      <c r="H6" s="631"/>
      <c r="I6" s="632"/>
    </row>
    <row r="7" spans="1:9" ht="15.75">
      <c r="A7" s="633" t="s">
        <v>611</v>
      </c>
      <c r="B7" s="631"/>
      <c r="C7" s="631"/>
      <c r="D7" s="633" t="s">
        <v>632</v>
      </c>
      <c r="E7" s="631"/>
      <c r="F7" s="633" t="s">
        <v>677</v>
      </c>
      <c r="G7" s="631"/>
      <c r="H7" s="633"/>
      <c r="I7" s="632"/>
    </row>
    <row r="8" spans="1:9" ht="15.75">
      <c r="A8" s="633" t="s">
        <v>61</v>
      </c>
      <c r="B8" s="631"/>
      <c r="C8" s="631"/>
      <c r="D8" s="633" t="s">
        <v>633</v>
      </c>
      <c r="E8" s="631"/>
      <c r="F8" s="633" t="s">
        <v>633</v>
      </c>
      <c r="G8" s="631"/>
      <c r="H8" s="633"/>
      <c r="I8" s="632"/>
    </row>
    <row r="9" spans="1:9" ht="15.75">
      <c r="A9" s="633" t="s">
        <v>612</v>
      </c>
      <c r="B9" s="631"/>
      <c r="C9" s="631"/>
      <c r="D9" s="633" t="s">
        <v>634</v>
      </c>
      <c r="E9" s="631"/>
      <c r="F9" s="633" t="s">
        <v>678</v>
      </c>
      <c r="G9" s="631"/>
      <c r="H9" s="633"/>
      <c r="I9" s="632"/>
    </row>
    <row r="10" spans="1:9">
      <c r="A10" s="634" t="s">
        <v>613</v>
      </c>
      <c r="B10" s="631"/>
      <c r="C10" s="631"/>
      <c r="D10" s="634" t="s">
        <v>635</v>
      </c>
      <c r="E10" s="631"/>
      <c r="F10" s="634" t="s">
        <v>679</v>
      </c>
      <c r="G10" s="631"/>
      <c r="H10" s="634"/>
      <c r="I10" s="632"/>
    </row>
    <row r="11" spans="1:9" ht="15.75">
      <c r="A11" s="629"/>
      <c r="B11" s="631"/>
      <c r="C11" s="636"/>
      <c r="D11" s="637"/>
      <c r="E11" s="631"/>
      <c r="F11" s="631"/>
      <c r="G11" s="631"/>
      <c r="H11" s="631"/>
      <c r="I11" s="632"/>
    </row>
    <row r="12" spans="1:9" ht="15.75">
      <c r="A12" s="629"/>
      <c r="B12" s="631"/>
      <c r="C12" s="636"/>
      <c r="D12" s="637"/>
      <c r="E12" s="631"/>
      <c r="F12" s="631"/>
      <c r="G12" s="631"/>
      <c r="H12" s="631"/>
      <c r="I12" s="632"/>
    </row>
    <row r="13" spans="1:9">
      <c r="A13" s="638" t="s">
        <v>614</v>
      </c>
      <c r="B13" s="639"/>
      <c r="C13" s="639"/>
      <c r="D13" s="640" t="s">
        <v>617</v>
      </c>
      <c r="E13" s="631"/>
      <c r="F13" s="640"/>
      <c r="G13" s="631"/>
      <c r="H13" s="640"/>
      <c r="I13" s="632"/>
    </row>
    <row r="14" spans="1:9">
      <c r="A14" s="638" t="s">
        <v>615</v>
      </c>
      <c r="B14" s="639"/>
      <c r="C14" s="639"/>
      <c r="D14" s="640" t="s">
        <v>618</v>
      </c>
      <c r="E14" s="631"/>
      <c r="F14" s="631"/>
      <c r="G14" s="631"/>
      <c r="H14" s="640"/>
      <c r="I14" s="632"/>
    </row>
    <row r="15" spans="1:9">
      <c r="A15" s="638" t="s">
        <v>616</v>
      </c>
      <c r="B15" s="639"/>
      <c r="C15" s="639"/>
      <c r="D15" s="635"/>
      <c r="E15" s="631"/>
      <c r="F15" s="631"/>
      <c r="G15" s="631"/>
      <c r="H15" s="631"/>
      <c r="I15" s="632"/>
    </row>
    <row r="16" spans="1:9">
      <c r="A16" s="629"/>
      <c r="B16" s="631"/>
      <c r="C16" s="631"/>
      <c r="D16" s="635"/>
      <c r="E16" s="631"/>
      <c r="F16" s="631"/>
      <c r="G16" s="631"/>
      <c r="H16" s="631"/>
      <c r="I16" s="632"/>
    </row>
    <row r="17" spans="1:16" ht="16.5" thickBot="1">
      <c r="A17" s="641"/>
      <c r="B17" s="642"/>
      <c r="C17" s="642"/>
      <c r="D17" s="643"/>
      <c r="E17" s="642"/>
      <c r="F17" s="642"/>
      <c r="G17" s="642"/>
      <c r="H17" s="642"/>
      <c r="I17" s="644"/>
      <c r="J17" s="645"/>
      <c r="K17" s="645"/>
    </row>
    <row r="18" spans="1:16" ht="15.75">
      <c r="A18" s="646"/>
      <c r="C18" s="648"/>
      <c r="E18" s="649"/>
      <c r="F18" s="649"/>
      <c r="G18" s="649"/>
      <c r="H18" s="649"/>
      <c r="J18" s="648"/>
      <c r="K18" s="648"/>
    </row>
    <row r="19" spans="1:16" ht="15.75">
      <c r="A19" s="646"/>
      <c r="B19" s="628"/>
      <c r="I19" s="645"/>
    </row>
    <row r="25" spans="1:16">
      <c r="L25" s="650"/>
      <c r="M25" s="650"/>
      <c r="N25" s="650"/>
      <c r="O25" s="650"/>
      <c r="P25" s="650"/>
    </row>
  </sheetData>
  <phoneticPr fontId="18" type="noConversion"/>
  <hyperlinks>
    <hyperlink ref="A14" location="'Balance Sheet &amp; Cash Flow'!A1" display="Go to Balance Sheet"/>
    <hyperlink ref="A15" location="'Balance Sheet &amp; Cash Flow'!A1" display="Go to Cash Flow Statement"/>
    <hyperlink ref="A10" r:id="rId1"/>
    <hyperlink ref="A13" location="'Income Statement'!A1" display="Go to Income Statement"/>
    <hyperlink ref="D13" location="'Revenue Assumptions'!A1" display="Go to Revenue Assumptions"/>
    <hyperlink ref="D14" location="'Expense Assumptions'!A1" display="Go to Expense Assumptions"/>
    <hyperlink ref="D10" r:id="rId2"/>
    <hyperlink ref="F10" r:id="rId3"/>
  </hyperlinks>
  <pageMargins left="0.75" right="0.75" top="1" bottom="1" header="0.5" footer="0.5"/>
  <pageSetup orientation="portrait" r:id="rId4"/>
  <headerFooter alignWithMargins="0"/>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L77"/>
  <sheetViews>
    <sheetView showGridLines="0" topLeftCell="B1" workbookViewId="0">
      <pane xSplit="3" ySplit="6" topLeftCell="AX7" activePane="bottomRight" state="frozen"/>
      <selection activeCell="R147" sqref="R147"/>
      <selection pane="topRight" activeCell="R147" sqref="R147"/>
      <selection pane="bottomLeft" activeCell="R147" sqref="R147"/>
      <selection pane="bottomRight" activeCell="AX7" sqref="AX7"/>
    </sheetView>
  </sheetViews>
  <sheetFormatPr defaultColWidth="9.140625" defaultRowHeight="12.75" outlineLevelRow="1" outlineLevelCol="1"/>
  <cols>
    <col min="1" max="1" width="2.5703125" style="555" customWidth="1"/>
    <col min="2" max="2" width="13.28515625" style="555" customWidth="1"/>
    <col min="3" max="3" width="9.140625" style="555"/>
    <col min="4" max="4" width="11.140625" style="555" customWidth="1"/>
    <col min="5" max="8" width="9.28515625" style="555" hidden="1" customWidth="1" outlineLevel="1"/>
    <col min="9" max="9" width="10.28515625" style="555" hidden="1" customWidth="1" collapsed="1"/>
    <col min="10" max="10" width="9.28515625" style="555" hidden="1" customWidth="1" outlineLevel="1"/>
    <col min="11" max="13" width="10" style="555" hidden="1" customWidth="1" outlineLevel="1"/>
    <col min="14" max="14" width="10.28515625" style="555" hidden="1" customWidth="1" collapsed="1"/>
    <col min="15" max="17" width="10" style="555" hidden="1" customWidth="1" outlineLevel="1"/>
    <col min="18" max="18" width="9.42578125" style="555" hidden="1" customWidth="1" outlineLevel="1"/>
    <col min="19" max="19" width="10.42578125" style="555" hidden="1" customWidth="1" collapsed="1"/>
    <col min="20" max="23" width="9.42578125" style="555" hidden="1" customWidth="1" outlineLevel="1"/>
    <col min="24" max="24" width="10" style="555" hidden="1" customWidth="1" collapsed="1"/>
    <col min="25" max="28" width="9.42578125" style="555" hidden="1" customWidth="1" outlineLevel="1"/>
    <col min="29" max="29" width="10" style="555" hidden="1" customWidth="1" collapsed="1"/>
    <col min="30" max="33" width="9.42578125" style="555" hidden="1" customWidth="1" outlineLevel="1"/>
    <col min="34" max="34" width="9.7109375" style="555" hidden="1" customWidth="1" collapsed="1"/>
    <col min="35" max="38" width="9.42578125" style="555" hidden="1" customWidth="1" outlineLevel="1"/>
    <col min="39" max="39" width="9.28515625" style="555" hidden="1" customWidth="1" collapsed="1"/>
    <col min="40" max="43" width="9.42578125" style="555" hidden="1" customWidth="1" outlineLevel="1"/>
    <col min="44" max="44" width="9.28515625" style="555" hidden="1" customWidth="1" collapsed="1"/>
    <col min="45" max="48" width="9.42578125" style="555" hidden="1" customWidth="1" outlineLevel="1"/>
    <col min="49" max="49" width="10.28515625" style="555" hidden="1" customWidth="1" collapsed="1"/>
    <col min="50" max="53" width="9.42578125" style="555" customWidth="1" outlineLevel="1"/>
    <col min="54" max="54" width="10.42578125" style="555" customWidth="1"/>
    <col min="55" max="58" width="9.42578125" style="555" customWidth="1" outlineLevel="1"/>
    <col min="59" max="59" width="10.140625" style="555" customWidth="1"/>
    <col min="60" max="63" width="9.42578125" style="555" hidden="1" customWidth="1" outlineLevel="1"/>
    <col min="64" max="64" width="10.140625" style="555" customWidth="1" collapsed="1"/>
    <col min="65" max="16384" width="9.140625" style="555"/>
  </cols>
  <sheetData>
    <row r="1" spans="1:64" hidden="1" outlineLevel="1">
      <c r="A1" s="656"/>
      <c r="B1" s="657"/>
      <c r="C1" s="389" t="s">
        <v>191</v>
      </c>
      <c r="D1" s="390"/>
      <c r="E1" s="658"/>
      <c r="F1" s="658"/>
      <c r="G1" s="658"/>
      <c r="H1" s="658"/>
      <c r="I1" s="390"/>
      <c r="J1" s="658"/>
      <c r="K1" s="658"/>
      <c r="L1" s="658"/>
      <c r="M1" s="658"/>
      <c r="N1" s="390"/>
      <c r="O1" s="658"/>
      <c r="P1" s="658"/>
      <c r="Q1" s="658"/>
      <c r="R1" s="658"/>
      <c r="S1" s="390"/>
      <c r="T1" s="658"/>
      <c r="U1" s="658"/>
      <c r="V1" s="658"/>
      <c r="W1" s="658"/>
      <c r="X1" s="390"/>
      <c r="Y1" s="658"/>
      <c r="Z1" s="658"/>
      <c r="AA1" s="658"/>
      <c r="AB1" s="658"/>
      <c r="AC1" s="390"/>
      <c r="AD1" s="658"/>
      <c r="AE1" s="658"/>
      <c r="AF1" s="658"/>
      <c r="AG1" s="658"/>
      <c r="AH1" s="390"/>
      <c r="AI1" s="659"/>
      <c r="AJ1" s="658"/>
      <c r="AK1" s="658"/>
      <c r="AL1" s="658"/>
      <c r="AM1" s="390"/>
      <c r="AN1" s="659"/>
      <c r="AO1" s="390"/>
      <c r="AP1" s="390"/>
      <c r="AQ1" s="390"/>
      <c r="AR1" s="390"/>
      <c r="AS1" s="659"/>
      <c r="AT1" s="390"/>
      <c r="AU1" s="390">
        <f>IS!CK54</f>
        <v>331</v>
      </c>
      <c r="AV1" s="390">
        <f>IS!CL54</f>
        <v>409</v>
      </c>
      <c r="AW1" s="390">
        <f>IS!CM54</f>
        <v>1702</v>
      </c>
      <c r="AX1" s="1349">
        <f ca="1">IS!CN54</f>
        <v>422.2510527919535</v>
      </c>
      <c r="AY1" s="390">
        <f ca="1">IS!CO54</f>
        <v>384.41955534927274</v>
      </c>
      <c r="AZ1" s="390">
        <f ca="1">IS!CP54</f>
        <v>348.12605193048148</v>
      </c>
      <c r="BA1" s="390">
        <f ca="1">IS!CQ54</f>
        <v>402.24394577252997</v>
      </c>
      <c r="BB1" s="598">
        <f ca="1">IS!CR54</f>
        <v>1557.0406058442377</v>
      </c>
      <c r="BC1" s="1349">
        <f ca="1">IS!CS54</f>
        <v>383.07394576676234</v>
      </c>
      <c r="BD1" s="390">
        <f ca="1">IS!CT54</f>
        <v>375.13231053148183</v>
      </c>
      <c r="BE1" s="390">
        <f ca="1">IS!CU54</f>
        <v>381.06897660755158</v>
      </c>
      <c r="BF1" s="390">
        <f ca="1">IS!CV54</f>
        <v>403.94056264570918</v>
      </c>
      <c r="BG1" s="390">
        <f ca="1">IS!CW54</f>
        <v>1543.2157955515049</v>
      </c>
      <c r="BH1" s="1349">
        <f ca="1">IS!CX54</f>
        <v>382.15158982107869</v>
      </c>
      <c r="BI1" s="390">
        <f ca="1">IS!CY54</f>
        <v>380.32658532911819</v>
      </c>
      <c r="BJ1" s="390">
        <f ca="1">IS!CZ54</f>
        <v>362.02724122753216</v>
      </c>
      <c r="BK1" s="390">
        <f ca="1">IS!DA54</f>
        <v>408.33467150451179</v>
      </c>
      <c r="BL1" s="390">
        <f ca="1">IS!DB54</f>
        <v>1532.8400878822408</v>
      </c>
    </row>
    <row r="2" spans="1:64" hidden="1" outlineLevel="1">
      <c r="A2" s="656"/>
      <c r="B2" s="660"/>
      <c r="C2" s="389" t="s">
        <v>682</v>
      </c>
      <c r="D2" s="391"/>
      <c r="E2" s="392"/>
      <c r="F2" s="392"/>
      <c r="G2" s="392"/>
      <c r="H2" s="392"/>
      <c r="I2" s="391"/>
      <c r="J2" s="392"/>
      <c r="K2" s="392"/>
      <c r="L2" s="392"/>
      <c r="M2" s="392"/>
      <c r="N2" s="391"/>
      <c r="O2" s="392"/>
      <c r="P2" s="392"/>
      <c r="Q2" s="392"/>
      <c r="R2" s="392"/>
      <c r="S2" s="391"/>
      <c r="T2" s="392"/>
      <c r="U2" s="392"/>
      <c r="V2" s="392"/>
      <c r="W2" s="392"/>
      <c r="X2" s="391"/>
      <c r="Y2" s="392"/>
      <c r="Z2" s="392"/>
      <c r="AA2" s="392"/>
      <c r="AB2" s="392"/>
      <c r="AC2" s="391"/>
      <c r="AD2" s="393"/>
      <c r="AE2" s="392"/>
      <c r="AF2" s="392"/>
      <c r="AG2" s="392"/>
      <c r="AH2" s="391"/>
      <c r="AI2" s="393"/>
      <c r="AJ2" s="392"/>
      <c r="AK2" s="392"/>
      <c r="AL2" s="392"/>
      <c r="AM2" s="391"/>
      <c r="AN2" s="393"/>
      <c r="AO2" s="392"/>
      <c r="AP2" s="392"/>
      <c r="AQ2" s="392"/>
      <c r="AR2" s="391"/>
      <c r="AS2" s="393"/>
      <c r="AT2" s="392"/>
      <c r="AU2" s="392">
        <v>423</v>
      </c>
      <c r="AV2" s="392"/>
      <c r="AW2" s="391">
        <v>0</v>
      </c>
      <c r="AX2" s="393">
        <v>423</v>
      </c>
      <c r="AY2" s="392"/>
      <c r="AZ2" s="392"/>
      <c r="BA2" s="392"/>
      <c r="BB2" s="599">
        <v>1557</v>
      </c>
      <c r="BC2" s="393"/>
      <c r="BD2" s="392"/>
      <c r="BE2" s="392"/>
      <c r="BF2" s="392"/>
      <c r="BG2" s="391">
        <v>1545</v>
      </c>
      <c r="BH2" s="393"/>
      <c r="BI2" s="392"/>
      <c r="BJ2" s="392"/>
      <c r="BK2" s="392"/>
      <c r="BL2" s="391">
        <v>1577</v>
      </c>
    </row>
    <row r="3" spans="1:64" ht="18" collapsed="1">
      <c r="A3" s="661"/>
      <c r="B3" s="762" t="s">
        <v>99</v>
      </c>
      <c r="C3" s="763"/>
      <c r="D3" s="764"/>
      <c r="E3" s="764"/>
      <c r="F3" s="764"/>
      <c r="G3" s="764"/>
      <c r="H3" s="764"/>
      <c r="I3" s="764"/>
      <c r="J3" s="764"/>
      <c r="K3" s="764"/>
      <c r="L3" s="764"/>
      <c r="M3" s="764"/>
      <c r="N3" s="764"/>
      <c r="O3" s="764"/>
      <c r="P3" s="764"/>
      <c r="Q3" s="764"/>
      <c r="R3" s="764"/>
      <c r="S3" s="764"/>
      <c r="T3" s="764"/>
      <c r="U3" s="764"/>
      <c r="V3" s="764"/>
      <c r="W3" s="764"/>
      <c r="X3" s="764"/>
      <c r="Y3" s="764"/>
      <c r="Z3" s="765"/>
      <c r="AA3" s="765"/>
      <c r="AB3" s="765"/>
      <c r="AC3" s="765"/>
      <c r="AD3" s="764"/>
      <c r="AE3" s="764"/>
      <c r="AF3" s="764"/>
      <c r="AG3" s="764"/>
      <c r="AH3" s="764"/>
      <c r="AI3" s="764"/>
      <c r="AJ3" s="764"/>
      <c r="AK3" s="764"/>
      <c r="AL3" s="764"/>
      <c r="AM3" s="766"/>
      <c r="AN3" s="764"/>
      <c r="AO3" s="764"/>
      <c r="AP3" s="764"/>
      <c r="AQ3" s="764"/>
      <c r="AR3" s="767"/>
      <c r="AS3" s="764"/>
      <c r="AT3" s="764"/>
      <c r="AU3" s="764"/>
      <c r="AV3" s="764"/>
      <c r="AW3" s="767"/>
      <c r="AX3" s="764"/>
      <c r="AY3" s="764"/>
      <c r="AZ3" s="764"/>
      <c r="BA3" s="764"/>
      <c r="BB3" s="768"/>
      <c r="BC3" s="764"/>
      <c r="BD3" s="764"/>
      <c r="BE3" s="764"/>
      <c r="BF3" s="764"/>
      <c r="BG3" s="767"/>
      <c r="BH3" s="764"/>
      <c r="BI3" s="764"/>
      <c r="BJ3" s="764"/>
      <c r="BK3" s="764"/>
      <c r="BL3" s="767"/>
    </row>
    <row r="4" spans="1:64">
      <c r="A4" s="656"/>
      <c r="B4" s="769" t="s">
        <v>20</v>
      </c>
      <c r="C4" s="770"/>
      <c r="D4" s="771"/>
      <c r="E4" s="771"/>
      <c r="F4" s="771"/>
      <c r="G4" s="771"/>
      <c r="H4" s="771"/>
      <c r="I4" s="771"/>
      <c r="J4" s="771"/>
      <c r="K4" s="771"/>
      <c r="L4" s="771"/>
      <c r="M4" s="771"/>
      <c r="N4" s="771"/>
      <c r="O4" s="772"/>
      <c r="P4" s="772"/>
      <c r="Q4" s="772"/>
      <c r="R4" s="772"/>
      <c r="S4" s="772"/>
      <c r="T4" s="772"/>
      <c r="U4" s="772"/>
      <c r="V4" s="772"/>
      <c r="W4" s="773"/>
      <c r="X4" s="773"/>
      <c r="Y4" s="773"/>
      <c r="Z4" s="772"/>
      <c r="AA4" s="772"/>
      <c r="AB4" s="772"/>
      <c r="AC4" s="773"/>
      <c r="AD4" s="772"/>
      <c r="AE4" s="772"/>
      <c r="AF4" s="772"/>
      <c r="AG4" s="774"/>
      <c r="AH4" s="775"/>
      <c r="AI4" s="772"/>
      <c r="AJ4" s="772"/>
      <c r="AK4" s="772"/>
      <c r="AL4" s="772"/>
      <c r="AM4" s="772"/>
      <c r="AN4" s="772"/>
      <c r="AO4" s="772"/>
      <c r="AP4" s="772"/>
      <c r="AQ4" s="772"/>
      <c r="AR4" s="772"/>
      <c r="AS4" s="772"/>
      <c r="AT4" s="772"/>
      <c r="AU4" s="772"/>
      <c r="AV4" s="772"/>
      <c r="AW4" s="772"/>
      <c r="AX4" s="772"/>
      <c r="AY4" s="772"/>
      <c r="AZ4" s="772"/>
      <c r="BA4" s="772"/>
      <c r="BB4" s="1347"/>
      <c r="BC4" s="772"/>
      <c r="BD4" s="772"/>
      <c r="BE4" s="772"/>
      <c r="BF4" s="772"/>
      <c r="BG4" s="1348"/>
      <c r="BH4" s="772"/>
      <c r="BI4" s="772"/>
      <c r="BJ4" s="772"/>
      <c r="BK4" s="772"/>
      <c r="BL4" s="1348"/>
    </row>
    <row r="5" spans="1:64" ht="13.5" thickBot="1">
      <c r="A5" s="656"/>
      <c r="B5" s="662"/>
      <c r="C5" s="513"/>
      <c r="D5" s="663"/>
      <c r="E5" s="664" t="s">
        <v>21</v>
      </c>
      <c r="F5" s="664"/>
      <c r="G5" s="664"/>
      <c r="H5" s="664"/>
      <c r="I5" s="665"/>
      <c r="J5" s="664" t="s">
        <v>22</v>
      </c>
      <c r="K5" s="664"/>
      <c r="L5" s="664"/>
      <c r="M5" s="664"/>
      <c r="N5" s="665"/>
      <c r="O5" s="664" t="s">
        <v>23</v>
      </c>
      <c r="P5" s="664"/>
      <c r="Q5" s="664"/>
      <c r="R5" s="664"/>
      <c r="S5" s="665"/>
      <c r="T5" s="664" t="s">
        <v>24</v>
      </c>
      <c r="U5" s="664"/>
      <c r="V5" s="664"/>
      <c r="W5" s="664"/>
      <c r="X5" s="665"/>
      <c r="Y5" s="664" t="s">
        <v>25</v>
      </c>
      <c r="Z5" s="664"/>
      <c r="AA5" s="664"/>
      <c r="AB5" s="664"/>
      <c r="AC5" s="665"/>
      <c r="AD5" s="664" t="s">
        <v>26</v>
      </c>
      <c r="AE5" s="664"/>
      <c r="AF5" s="664"/>
      <c r="AG5" s="664"/>
      <c r="AH5" s="665"/>
      <c r="AI5" s="664" t="s">
        <v>27</v>
      </c>
      <c r="AJ5" s="664"/>
      <c r="AK5" s="664"/>
      <c r="AL5" s="664"/>
      <c r="AM5" s="665"/>
      <c r="AN5" s="664" t="s">
        <v>559</v>
      </c>
      <c r="AO5" s="664"/>
      <c r="AP5" s="664"/>
      <c r="AQ5" s="664"/>
      <c r="AR5" s="665"/>
      <c r="AS5" s="664" t="s">
        <v>569</v>
      </c>
      <c r="AT5" s="664"/>
      <c r="AU5" s="664"/>
      <c r="AV5" s="664"/>
      <c r="AW5" s="665"/>
      <c r="AX5" s="664" t="s">
        <v>640</v>
      </c>
      <c r="AY5" s="664"/>
      <c r="AZ5" s="664"/>
      <c r="BA5" s="664"/>
      <c r="BB5" s="665"/>
      <c r="BC5" s="664" t="s">
        <v>641</v>
      </c>
      <c r="BD5" s="664"/>
      <c r="BE5" s="664"/>
      <c r="BF5" s="664"/>
      <c r="BG5" s="665"/>
      <c r="BH5" s="664" t="s">
        <v>641</v>
      </c>
      <c r="BI5" s="664"/>
      <c r="BJ5" s="664"/>
      <c r="BK5" s="664"/>
      <c r="BL5" s="665"/>
    </row>
    <row r="6" spans="1:64" ht="13.5" thickBot="1">
      <c r="A6" s="656"/>
      <c r="B6" s="666"/>
      <c r="C6" s="667" t="s">
        <v>273</v>
      </c>
      <c r="D6" s="668"/>
      <c r="E6" s="669" t="str">
        <f>IS!AU4</f>
        <v>1Q09</v>
      </c>
      <c r="F6" s="669" t="str">
        <f>IS!AV4</f>
        <v>2Q09</v>
      </c>
      <c r="G6" s="669" t="str">
        <f>IS!AW4</f>
        <v>3Q09</v>
      </c>
      <c r="H6" s="669" t="str">
        <f>IS!AX4</f>
        <v>4Q09</v>
      </c>
      <c r="I6" s="670" t="str">
        <f>IS!AY4</f>
        <v>2009A</v>
      </c>
      <c r="J6" s="669" t="str">
        <f>IS!AZ4</f>
        <v>1Q10A</v>
      </c>
      <c r="K6" s="669" t="str">
        <f>IS!BA4</f>
        <v>2Q10A</v>
      </c>
      <c r="L6" s="669" t="str">
        <f>IS!BB4</f>
        <v>3Q10A</v>
      </c>
      <c r="M6" s="669" t="str">
        <f>IS!BC4</f>
        <v>4Q10A</v>
      </c>
      <c r="N6" s="670" t="str">
        <f>IS!BD4</f>
        <v>2010A</v>
      </c>
      <c r="O6" s="669" t="str">
        <f>IS!BE4</f>
        <v>1Q11A</v>
      </c>
      <c r="P6" s="669" t="str">
        <f>IS!BF4</f>
        <v>2Q11A</v>
      </c>
      <c r="Q6" s="669" t="str">
        <f>IS!BG4</f>
        <v>3Q11A</v>
      </c>
      <c r="R6" s="669" t="str">
        <f>IS!BH4</f>
        <v>4Q11A</v>
      </c>
      <c r="S6" s="670" t="str">
        <f>IS!BI4</f>
        <v>2011A</v>
      </c>
      <c r="T6" s="669" t="str">
        <f>IS!BJ4</f>
        <v>1Q12A</v>
      </c>
      <c r="U6" s="669" t="str">
        <f>IS!BK4</f>
        <v>2Q12A</v>
      </c>
      <c r="V6" s="669" t="str">
        <f>IS!BL4</f>
        <v>3Q12A</v>
      </c>
      <c r="W6" s="669" t="str">
        <f>IS!BM4</f>
        <v>4Q12A</v>
      </c>
      <c r="X6" s="670" t="str">
        <f>IS!BN4</f>
        <v>2012A</v>
      </c>
      <c r="Y6" s="669" t="str">
        <f>IS!BO4</f>
        <v>1Q13A</v>
      </c>
      <c r="Z6" s="669" t="str">
        <f>IS!BP4</f>
        <v>2Q13A</v>
      </c>
      <c r="AA6" s="669" t="str">
        <f>IS!BQ4</f>
        <v>3Q13A</v>
      </c>
      <c r="AB6" s="669" t="str">
        <f>IS!BR4</f>
        <v>4Q13A</v>
      </c>
      <c r="AC6" s="670" t="str">
        <f>IS!BS4</f>
        <v>2013A</v>
      </c>
      <c r="AD6" s="669" t="str">
        <f>IS!BT4</f>
        <v>1Q14A</v>
      </c>
      <c r="AE6" s="669" t="str">
        <f>IS!BU4</f>
        <v>2Q14A</v>
      </c>
      <c r="AF6" s="669" t="str">
        <f>IS!BV4</f>
        <v>3Q14A</v>
      </c>
      <c r="AG6" s="669" t="str">
        <f>IS!BW4</f>
        <v>4Q14A</v>
      </c>
      <c r="AH6" s="670" t="str">
        <f>IS!BX4</f>
        <v>2014A</v>
      </c>
      <c r="AI6" s="669" t="str">
        <f>IS!BY4</f>
        <v>1Q15A</v>
      </c>
      <c r="AJ6" s="669" t="str">
        <f>IS!BZ4</f>
        <v>2Q15A</v>
      </c>
      <c r="AK6" s="669" t="str">
        <f>IS!CA4</f>
        <v>3Q15A</v>
      </c>
      <c r="AL6" s="669" t="str">
        <f>IS!CB4</f>
        <v>4Q15A</v>
      </c>
      <c r="AM6" s="670" t="str">
        <f>IS!CC4</f>
        <v>2015A</v>
      </c>
      <c r="AN6" s="669" t="str">
        <f>IS!CD4</f>
        <v>1Q16A</v>
      </c>
      <c r="AO6" s="669" t="str">
        <f>IS!CE4</f>
        <v>2Q16A</v>
      </c>
      <c r="AP6" s="669" t="str">
        <f>IS!CF4</f>
        <v>3Q16A</v>
      </c>
      <c r="AQ6" s="669" t="str">
        <f>IS!CG4</f>
        <v>4Q16A</v>
      </c>
      <c r="AR6" s="670" t="str">
        <f>IS!CH4</f>
        <v>2016A</v>
      </c>
      <c r="AS6" s="669" t="str">
        <f>IS!CI4</f>
        <v>1Q17A</v>
      </c>
      <c r="AT6" s="669" t="str">
        <f>IS!CJ4</f>
        <v>2Q17A</v>
      </c>
      <c r="AU6" s="669" t="str">
        <f>IS!CK4</f>
        <v>3Q17A</v>
      </c>
      <c r="AV6" s="669" t="str">
        <f>IS!CL4</f>
        <v>4Q17A</v>
      </c>
      <c r="AW6" s="670" t="str">
        <f>IS!CM4</f>
        <v>2017A</v>
      </c>
      <c r="AX6" s="669" t="str">
        <f>IS!CN4</f>
        <v>1Q18E</v>
      </c>
      <c r="AY6" s="669" t="str">
        <f>IS!CO4</f>
        <v>2Q18E</v>
      </c>
      <c r="AZ6" s="669" t="str">
        <f>IS!CP4</f>
        <v>3Q18E</v>
      </c>
      <c r="BA6" s="669" t="str">
        <f>IS!CQ4</f>
        <v>4Q18E</v>
      </c>
      <c r="BB6" s="670" t="str">
        <f>IS!CR4</f>
        <v>2018E</v>
      </c>
      <c r="BC6" s="669" t="str">
        <f>IS!CS4</f>
        <v>1Q19E</v>
      </c>
      <c r="BD6" s="669" t="str">
        <f>IS!CT4</f>
        <v>2Q19E</v>
      </c>
      <c r="BE6" s="669" t="str">
        <f>IS!CU4</f>
        <v>3Q19E</v>
      </c>
      <c r="BF6" s="669" t="str">
        <f>IS!CV4</f>
        <v>4Q19E</v>
      </c>
      <c r="BG6" s="670" t="str">
        <f>IS!CW4</f>
        <v>2019E</v>
      </c>
      <c r="BH6" s="669" t="str">
        <f>IS!CX4</f>
        <v>1Q20E</v>
      </c>
      <c r="BI6" s="669" t="str">
        <f>IS!CY4</f>
        <v>2Q20E</v>
      </c>
      <c r="BJ6" s="669" t="str">
        <f>IS!CZ4</f>
        <v>3Q20E</v>
      </c>
      <c r="BK6" s="669" t="str">
        <f>IS!DA4</f>
        <v>4Q20E</v>
      </c>
      <c r="BL6" s="670" t="str">
        <f>IS!DB4</f>
        <v>2020E</v>
      </c>
    </row>
    <row r="7" spans="1:64" s="921" customFormat="1" ht="13.5" thickBot="1">
      <c r="A7" s="685"/>
      <c r="B7" s="378"/>
      <c r="C7" s="916"/>
      <c r="D7" s="5"/>
      <c r="E7" s="917"/>
      <c r="F7" s="917"/>
      <c r="G7" s="5"/>
      <c r="H7" s="5"/>
      <c r="I7" s="5"/>
      <c r="J7" s="917"/>
      <c r="K7" s="917"/>
      <c r="L7" s="917"/>
      <c r="M7" s="917"/>
      <c r="N7" s="5"/>
      <c r="O7" s="5"/>
      <c r="P7" s="5"/>
      <c r="Q7" s="5"/>
      <c r="R7" s="5"/>
      <c r="S7" s="5"/>
      <c r="T7" s="5"/>
      <c r="U7" s="5"/>
      <c r="V7" s="5"/>
      <c r="W7" s="5"/>
      <c r="X7" s="5"/>
      <c r="Y7" s="918"/>
      <c r="Z7" s="918"/>
      <c r="AA7" s="918"/>
      <c r="AB7" s="919"/>
      <c r="AC7" s="920"/>
      <c r="AD7" s="919"/>
      <c r="AE7" s="918"/>
      <c r="AF7" s="918"/>
      <c r="AG7" s="918"/>
      <c r="AH7" s="919"/>
      <c r="AI7" s="918"/>
      <c r="AJ7" s="918"/>
      <c r="AK7" s="918"/>
      <c r="AL7" s="918"/>
      <c r="AM7" s="918"/>
      <c r="AN7" s="918"/>
      <c r="AO7" s="918"/>
      <c r="AP7" s="918"/>
      <c r="AQ7" s="918"/>
      <c r="AR7" s="918"/>
      <c r="AS7" s="918"/>
      <c r="AT7" s="918"/>
      <c r="AU7" s="918"/>
      <c r="AV7" s="918"/>
      <c r="AW7" s="1331"/>
      <c r="AX7" s="918"/>
      <c r="AY7" s="918"/>
      <c r="AZ7" s="918"/>
      <c r="BA7" s="918"/>
      <c r="BB7" s="1331"/>
      <c r="BC7" s="918"/>
      <c r="BD7" s="918"/>
      <c r="BE7" s="918"/>
      <c r="BF7" s="918"/>
      <c r="BG7" s="1331"/>
      <c r="BH7" s="918"/>
      <c r="BI7" s="918"/>
      <c r="BJ7" s="918"/>
      <c r="BK7" s="918"/>
      <c r="BL7" s="1331"/>
    </row>
    <row r="8" spans="1:64" s="921" customFormat="1" ht="13.5" thickBot="1">
      <c r="A8" s="685"/>
      <c r="B8" s="378"/>
      <c r="C8" s="1351">
        <v>2</v>
      </c>
      <c r="D8" s="5"/>
      <c r="E8" s="923"/>
      <c r="F8" s="923"/>
      <c r="G8" s="923"/>
      <c r="H8" s="924"/>
      <c r="I8" s="924"/>
      <c r="J8" s="685"/>
      <c r="K8" s="685"/>
      <c r="L8" s="685"/>
      <c r="M8" s="685"/>
      <c r="N8" s="923"/>
      <c r="O8" s="685"/>
      <c r="P8" s="925"/>
      <c r="Q8" s="925"/>
      <c r="R8" s="925"/>
      <c r="S8" s="925"/>
      <c r="T8" s="926"/>
      <c r="U8" s="926"/>
      <c r="V8" s="926"/>
      <c r="W8" s="926"/>
      <c r="X8" s="926"/>
      <c r="Y8" s="927"/>
      <c r="Z8" s="927"/>
      <c r="AA8" s="927"/>
      <c r="AB8" s="926"/>
      <c r="AC8" s="928"/>
      <c r="AD8" s="927"/>
      <c r="AE8" s="926"/>
      <c r="AF8" s="926"/>
      <c r="AG8" s="926"/>
      <c r="AH8" s="926"/>
      <c r="AI8" s="925"/>
      <c r="AJ8" s="925"/>
      <c r="AK8" s="925"/>
      <c r="AL8" s="929"/>
      <c r="AM8" s="926"/>
      <c r="AN8" s="925"/>
      <c r="AO8" s="925"/>
      <c r="AP8" s="925"/>
      <c r="AQ8" s="925"/>
      <c r="AR8" s="926"/>
      <c r="AS8" s="925"/>
      <c r="AT8" s="925"/>
      <c r="AU8" s="925"/>
      <c r="AV8" s="925"/>
      <c r="AW8" s="1332"/>
      <c r="AX8" s="925"/>
      <c r="AY8" s="925"/>
      <c r="AZ8" s="925"/>
      <c r="BA8" s="925"/>
      <c r="BB8" s="1332"/>
      <c r="BC8" s="925"/>
      <c r="BD8" s="925"/>
      <c r="BE8" s="925"/>
      <c r="BF8" s="925"/>
      <c r="BG8" s="1332"/>
      <c r="BH8" s="925"/>
      <c r="BI8" s="925"/>
      <c r="BJ8" s="925"/>
      <c r="BK8" s="925"/>
      <c r="BL8" s="1332"/>
    </row>
    <row r="9" spans="1:64" s="921" customFormat="1">
      <c r="A9" s="685"/>
      <c r="B9" s="378"/>
      <c r="C9" s="930"/>
      <c r="D9" s="5"/>
      <c r="E9" s="923"/>
      <c r="F9" s="923"/>
      <c r="G9" s="924"/>
      <c r="H9" s="924"/>
      <c r="I9" s="931"/>
      <c r="J9" s="924"/>
      <c r="K9" s="932"/>
      <c r="L9" s="932"/>
      <c r="M9" s="932"/>
      <c r="N9" s="923"/>
      <c r="O9" s="924"/>
      <c r="P9" s="925"/>
      <c r="Q9" s="925"/>
      <c r="R9" s="925"/>
      <c r="S9" s="925"/>
      <c r="T9" s="933"/>
      <c r="U9" s="933"/>
      <c r="V9" s="934"/>
      <c r="W9" s="934"/>
      <c r="X9" s="934"/>
      <c r="Y9" s="934"/>
      <c r="Z9" s="934"/>
      <c r="AA9" s="934"/>
      <c r="AB9" s="934"/>
      <c r="AC9" s="934"/>
      <c r="AD9" s="935"/>
      <c r="AE9" s="935"/>
      <c r="AF9" s="935"/>
      <c r="AG9" s="935"/>
      <c r="AH9" s="935"/>
      <c r="AI9" s="935"/>
      <c r="AJ9" s="935"/>
      <c r="AK9" s="936"/>
      <c r="AL9" s="935"/>
      <c r="AM9" s="937"/>
      <c r="AN9" s="935"/>
      <c r="AO9" s="935"/>
      <c r="AP9" s="935"/>
      <c r="AQ9" s="935"/>
      <c r="AR9" s="937"/>
      <c r="AS9" s="935"/>
      <c r="AT9" s="935"/>
      <c r="AU9" s="935"/>
      <c r="AV9" s="935"/>
      <c r="AW9" s="1333"/>
      <c r="AX9" s="935"/>
      <c r="AY9" s="935"/>
      <c r="AZ9" s="935"/>
      <c r="BA9" s="935"/>
      <c r="BB9" s="1333"/>
      <c r="BC9" s="935"/>
      <c r="BD9" s="935"/>
      <c r="BE9" s="935"/>
      <c r="BF9" s="935"/>
      <c r="BG9" s="1333"/>
      <c r="BH9" s="935"/>
      <c r="BI9" s="935"/>
      <c r="BJ9" s="935"/>
      <c r="BK9" s="935"/>
      <c r="BL9" s="1333"/>
    </row>
    <row r="10" spans="1:64" s="921" customFormat="1" ht="23.25" customHeight="1">
      <c r="A10" s="685"/>
      <c r="B10" s="1409" t="s">
        <v>28</v>
      </c>
      <c r="C10" s="1410"/>
      <c r="D10" s="1410"/>
      <c r="E10" s="938"/>
      <c r="F10" s="938"/>
      <c r="G10" s="931"/>
      <c r="H10" s="931"/>
      <c r="I10" s="939"/>
      <c r="J10" s="940"/>
      <c r="K10" s="940"/>
      <c r="L10" s="940"/>
      <c r="M10" s="940"/>
      <c r="N10" s="938"/>
      <c r="O10" s="940"/>
      <c r="P10" s="940"/>
      <c r="Q10" s="940"/>
      <c r="R10" s="940"/>
      <c r="S10" s="941"/>
      <c r="T10" s="940"/>
      <c r="U10" s="940"/>
      <c r="V10" s="940"/>
      <c r="W10" s="940"/>
      <c r="X10" s="942"/>
      <c r="Y10" s="940"/>
      <c r="Z10" s="940"/>
      <c r="AA10" s="940"/>
      <c r="AB10" s="942"/>
      <c r="AC10" s="942"/>
      <c r="AD10" s="942"/>
      <c r="AE10" s="943"/>
      <c r="AF10" s="943"/>
      <c r="AG10" s="943"/>
      <c r="AH10" s="943"/>
      <c r="AI10" s="943"/>
      <c r="AJ10" s="943"/>
      <c r="AK10" s="944"/>
      <c r="AL10" s="938"/>
      <c r="AM10" s="945"/>
      <c r="AN10" s="938"/>
      <c r="AO10" s="938"/>
      <c r="AP10" s="938"/>
      <c r="AQ10" s="938"/>
      <c r="AR10" s="945"/>
      <c r="AS10" s="938"/>
      <c r="AT10" s="938"/>
      <c r="AU10" s="938"/>
      <c r="AV10" s="938"/>
      <c r="AW10" s="1334"/>
      <c r="AX10" s="938"/>
      <c r="AY10" s="938"/>
      <c r="AZ10" s="938"/>
      <c r="BA10" s="938"/>
      <c r="BB10" s="1334"/>
      <c r="BC10" s="938"/>
      <c r="BD10" s="938"/>
      <c r="BE10" s="938"/>
      <c r="BF10" s="938"/>
      <c r="BG10" s="1334"/>
      <c r="BH10" s="938"/>
      <c r="BI10" s="938"/>
      <c r="BJ10" s="938"/>
      <c r="BK10" s="938"/>
      <c r="BL10" s="1334"/>
    </row>
    <row r="11" spans="1:64" s="921" customFormat="1">
      <c r="A11" s="685"/>
      <c r="B11" s="378"/>
      <c r="C11" s="930" t="s">
        <v>29</v>
      </c>
      <c r="D11" s="5"/>
      <c r="E11" s="163"/>
      <c r="F11" s="163"/>
      <c r="G11" s="163"/>
      <c r="H11" s="163"/>
      <c r="I11" s="163"/>
      <c r="J11" s="163"/>
      <c r="K11" s="946"/>
      <c r="L11" s="946"/>
      <c r="M11" s="946"/>
      <c r="N11" s="163"/>
      <c r="O11" s="163"/>
      <c r="P11" s="163"/>
      <c r="Q11" s="163"/>
      <c r="R11" s="163"/>
      <c r="S11" s="163"/>
      <c r="T11" s="163"/>
      <c r="U11" s="163"/>
      <c r="V11" s="163"/>
      <c r="W11" s="163"/>
      <c r="X11" s="947"/>
      <c r="Y11" s="163"/>
      <c r="Z11" s="163"/>
      <c r="AA11" s="163"/>
      <c r="AB11" s="163"/>
      <c r="AC11" s="947"/>
      <c r="AD11" s="947"/>
      <c r="AE11" s="947"/>
      <c r="AF11" s="947"/>
      <c r="AG11" s="947"/>
      <c r="AH11" s="947"/>
      <c r="AI11" s="947"/>
      <c r="AJ11" s="947"/>
      <c r="AK11" s="947"/>
      <c r="AL11" s="947"/>
      <c r="AM11" s="163"/>
      <c r="AN11" s="947"/>
      <c r="AO11" s="947"/>
      <c r="AP11" s="947"/>
      <c r="AQ11" s="947"/>
      <c r="AR11" s="163"/>
      <c r="AS11" s="163"/>
      <c r="AT11" s="946"/>
      <c r="AU11" s="946"/>
      <c r="AV11" s="946"/>
      <c r="AW11" s="1335"/>
      <c r="AX11" s="946">
        <f>AX12+0.1%</f>
        <v>-3.7999999999999999E-2</v>
      </c>
      <c r="AY11" s="946">
        <f>AY12+0.1%</f>
        <v>-3.8399999999999997E-2</v>
      </c>
      <c r="AZ11" s="946">
        <f>AZ12+0.1%</f>
        <v>-3.7499999999999999E-2</v>
      </c>
      <c r="BA11" s="946">
        <f>BA12+0.1%</f>
        <v>-3.85E-2</v>
      </c>
      <c r="BB11" s="1335"/>
      <c r="BC11" s="946">
        <f>BC12+0.1%</f>
        <v>-4.9000000000000002E-2</v>
      </c>
      <c r="BD11" s="946">
        <f>BD12+0.1%</f>
        <v>-4.9000000000000002E-2</v>
      </c>
      <c r="BE11" s="946">
        <f>BE12+0.1%</f>
        <v>-4.9000000000000002E-2</v>
      </c>
      <c r="BF11" s="946">
        <f>BF12+0.1%</f>
        <v>-4.9000000000000002E-2</v>
      </c>
      <c r="BG11" s="1336"/>
      <c r="BH11" s="946">
        <f>BH12+0.1%</f>
        <v>-9.0000000000000011E-3</v>
      </c>
      <c r="BI11" s="946">
        <f>BI12+0.1%</f>
        <v>-9.0000000000000011E-3</v>
      </c>
      <c r="BJ11" s="946">
        <f>BJ12+0.1%</f>
        <v>-9.0000000000000011E-3</v>
      </c>
      <c r="BK11" s="946">
        <f>BK12+0.1%</f>
        <v>-9.0000000000000011E-3</v>
      </c>
      <c r="BL11" s="1336"/>
    </row>
    <row r="12" spans="1:64" s="921" customFormat="1">
      <c r="A12" s="685"/>
      <c r="B12" s="378"/>
      <c r="C12" s="930" t="s">
        <v>30</v>
      </c>
      <c r="D12" s="5"/>
      <c r="E12" s="163">
        <f>'Revenue Model'!AU178</f>
        <v>0.10639606031866755</v>
      </c>
      <c r="F12" s="163">
        <f>'Revenue Model'!AV178</f>
        <v>9.0433692384307873E-2</v>
      </c>
      <c r="G12" s="163">
        <f>'Revenue Model'!AW178</f>
        <v>5.2947012685279349E-2</v>
      </c>
      <c r="H12" s="163">
        <f>'Revenue Model'!AX178</f>
        <v>0.11359942882031104</v>
      </c>
      <c r="I12" s="163">
        <f>'Revenue Model'!AY178</f>
        <v>9.0255780008376307E-2</v>
      </c>
      <c r="J12" s="163">
        <f>'Revenue Model'!AZ178</f>
        <v>4.999210185198022E-2</v>
      </c>
      <c r="K12" s="163">
        <f>'Revenue Model'!BA178</f>
        <v>9.7140344371482445E-2</v>
      </c>
      <c r="L12" s="163">
        <f>'Revenue Model'!BB178</f>
        <v>0.13176858309906891</v>
      </c>
      <c r="M12" s="163">
        <f>'Revenue Model'!BC178</f>
        <v>0.11157914634213895</v>
      </c>
      <c r="N12" s="163">
        <f>'Revenue Model'!BD178</f>
        <v>9.8085793395090048E-2</v>
      </c>
      <c r="O12" s="163">
        <f>'Revenue Model'!BE178</f>
        <v>0.13657024663944628</v>
      </c>
      <c r="P12" s="163">
        <f>'Revenue Model'!BF178</f>
        <v>0.11021424140172087</v>
      </c>
      <c r="Q12" s="163">
        <f>'Revenue Model'!BG178</f>
        <v>0.11169233313681315</v>
      </c>
      <c r="R12" s="163">
        <f>'Revenue Model'!BH178</f>
        <v>0.13981778991688443</v>
      </c>
      <c r="S12" s="163">
        <f>'Revenue Model'!BI178</f>
        <v>0.12437524540497025</v>
      </c>
      <c r="T12" s="163">
        <f>'Revenue Model'!BJ178</f>
        <v>0.16792417089724365</v>
      </c>
      <c r="U12" s="163">
        <f>'Revenue Model'!BK178</f>
        <v>0.13192400853775132</v>
      </c>
      <c r="V12" s="163">
        <f>'Revenue Model'!BL178</f>
        <v>9.3478815182140851E-2</v>
      </c>
      <c r="W12" s="163">
        <f>'Revenue Model'!BM178</f>
        <v>0.10282581163830806</v>
      </c>
      <c r="X12" s="163">
        <f>'Revenue Model'!BN178</f>
        <v>0.12289165799038804</v>
      </c>
      <c r="Y12" s="163">
        <f>'Revenue Model'!BO178</f>
        <v>6.0024198710501464E-2</v>
      </c>
      <c r="Z12" s="163">
        <f>'Revenue Model'!BP178</f>
        <v>6.4997541461826014E-2</v>
      </c>
      <c r="AA12" s="163">
        <f>'Revenue Model'!BQ178</f>
        <v>7.3753064349778352E-2</v>
      </c>
      <c r="AB12" s="163">
        <f>'Revenue Model'!BR178</f>
        <v>6.9340632874374197E-2</v>
      </c>
      <c r="AC12" s="163">
        <f>'Revenue Model'!BS178</f>
        <v>6.7089161611006309E-2</v>
      </c>
      <c r="AD12" s="163">
        <f>'Revenue Model'!BT178</f>
        <v>0.30575869083601415</v>
      </c>
      <c r="AE12" s="163">
        <f>'Revenue Model'!BU178</f>
        <v>0.50093181727407576</v>
      </c>
      <c r="AF12" s="163">
        <f>'Revenue Model'!BV178</f>
        <v>0.45892618428495013</v>
      </c>
      <c r="AG12" s="163">
        <f>'Revenue Model'!BW178</f>
        <v>0.46158624663133008</v>
      </c>
      <c r="AH12" s="163">
        <f>'Revenue Model'!BX178</f>
        <v>0.43278577679568575</v>
      </c>
      <c r="AI12" s="163">
        <f>'Revenue Model'!BY178</f>
        <v>0.17547813246030652</v>
      </c>
      <c r="AJ12" s="163">
        <f>'Revenue Model'!BZ178</f>
        <v>5.2710096665513184E-2</v>
      </c>
      <c r="AK12" s="163">
        <f>'Revenue Model'!CA178</f>
        <v>6.9787436246680379E-2</v>
      </c>
      <c r="AL12" s="163">
        <f>'Revenue Model'!CB178</f>
        <v>8.9894532887400347E-2</v>
      </c>
      <c r="AM12" s="163">
        <f>'Revenue Model'!CC178</f>
        <v>9.4051407873619874E-2</v>
      </c>
      <c r="AN12" s="163">
        <f>'Revenue Model'!CD178</f>
        <v>4.3467765426291383E-2</v>
      </c>
      <c r="AO12" s="163">
        <f>'Revenue Model'!CE178</f>
        <v>-0.11507573034233087</v>
      </c>
      <c r="AP12" s="163">
        <f>'Revenue Model'!CF178</f>
        <v>-0.11100166607139594</v>
      </c>
      <c r="AQ12" s="163">
        <f>'Revenue Model'!CG178</f>
        <v>-0.15534422866014552</v>
      </c>
      <c r="AR12" s="163">
        <f>'Revenue Model'!CH178</f>
        <v>-8.6872042216727396E-2</v>
      </c>
      <c r="AS12" s="163">
        <f>'Revenue Model'!CI178</f>
        <v>-0.10821392525424389</v>
      </c>
      <c r="AT12" s="163">
        <f>'Revenue Model'!CJ178</f>
        <v>-5.9795981736300852E-2</v>
      </c>
      <c r="AU12" s="163">
        <f>'Revenue Model'!CK178</f>
        <v>-0.14514360244381463</v>
      </c>
      <c r="AV12" s="163">
        <f>'Revenue Model'!CL178</f>
        <v>-3.8668895448580209E-2</v>
      </c>
      <c r="AW12" s="1335"/>
      <c r="AX12" s="946">
        <v>-3.9E-2</v>
      </c>
      <c r="AY12" s="946">
        <v>-3.9399999999999998E-2</v>
      </c>
      <c r="AZ12" s="946">
        <v>-3.85E-2</v>
      </c>
      <c r="BA12" s="946">
        <v>-3.95E-2</v>
      </c>
      <c r="BB12" s="1335">
        <f>'Revenue Model'!CR178</f>
        <v>-3.9112983964349923E-2</v>
      </c>
      <c r="BC12" s="946">
        <v>-0.05</v>
      </c>
      <c r="BD12" s="946">
        <v>-0.05</v>
      </c>
      <c r="BE12" s="946">
        <v>-0.05</v>
      </c>
      <c r="BF12" s="946">
        <v>-0.05</v>
      </c>
      <c r="BG12" s="1335">
        <f>'Revenue Model'!CW178</f>
        <v>-5.0000000000000155E-2</v>
      </c>
      <c r="BH12" s="946">
        <v>-0.01</v>
      </c>
      <c r="BI12" s="946">
        <v>-0.01</v>
      </c>
      <c r="BJ12" s="946">
        <v>-0.01</v>
      </c>
      <c r="BK12" s="946">
        <v>-0.01</v>
      </c>
      <c r="BL12" s="1335">
        <f>'Revenue Model'!DG178</f>
        <v>0</v>
      </c>
    </row>
    <row r="13" spans="1:64" s="921" customFormat="1">
      <c r="A13" s="685"/>
      <c r="B13" s="378"/>
      <c r="C13" s="930" t="s">
        <v>31</v>
      </c>
      <c r="D13" s="5"/>
      <c r="E13" s="163"/>
      <c r="F13" s="163"/>
      <c r="G13" s="163"/>
      <c r="H13" s="163"/>
      <c r="I13" s="163"/>
      <c r="J13" s="163"/>
      <c r="K13" s="163"/>
      <c r="L13" s="163"/>
      <c r="M13" s="163"/>
      <c r="N13" s="163"/>
      <c r="O13" s="163"/>
      <c r="P13" s="163"/>
      <c r="Q13" s="163"/>
      <c r="R13" s="163"/>
      <c r="S13" s="163"/>
      <c r="T13" s="163"/>
      <c r="U13" s="163"/>
      <c r="V13" s="163"/>
      <c r="W13" s="163"/>
      <c r="X13" s="163"/>
      <c r="Y13" s="163"/>
      <c r="Z13" s="163"/>
      <c r="AA13" s="163"/>
      <c r="AB13" s="163"/>
      <c r="AC13" s="947"/>
      <c r="AD13" s="947"/>
      <c r="AE13" s="947"/>
      <c r="AF13" s="947"/>
      <c r="AG13" s="947"/>
      <c r="AH13" s="947"/>
      <c r="AI13" s="947"/>
      <c r="AJ13" s="947"/>
      <c r="AK13" s="947"/>
      <c r="AL13" s="947"/>
      <c r="AM13" s="5"/>
      <c r="AN13" s="947"/>
      <c r="AO13" s="947"/>
      <c r="AP13" s="947"/>
      <c r="AQ13" s="947"/>
      <c r="AR13" s="5"/>
      <c r="AS13" s="5"/>
      <c r="AT13" s="946"/>
      <c r="AU13" s="946"/>
      <c r="AV13" s="946"/>
      <c r="AW13" s="1336"/>
      <c r="AX13" s="946">
        <f>AX12-0.1%</f>
        <v>-0.04</v>
      </c>
      <c r="AY13" s="946">
        <f t="shared" ref="AY13:BA13" si="0">AY12-0.1%</f>
        <v>-4.0399999999999998E-2</v>
      </c>
      <c r="AZ13" s="946">
        <f t="shared" si="0"/>
        <v>-3.95E-2</v>
      </c>
      <c r="BA13" s="946">
        <f t="shared" si="0"/>
        <v>-4.0500000000000001E-2</v>
      </c>
      <c r="BB13" s="1336"/>
      <c r="BC13" s="946">
        <f>BC12-0.1%</f>
        <v>-5.1000000000000004E-2</v>
      </c>
      <c r="BD13" s="946">
        <f t="shared" ref="BD13" si="1">BD12-0.1%</f>
        <v>-5.1000000000000004E-2</v>
      </c>
      <c r="BE13" s="946">
        <f t="shared" ref="BE13" si="2">BE12-0.1%</f>
        <v>-5.1000000000000004E-2</v>
      </c>
      <c r="BF13" s="946">
        <f t="shared" ref="BF13" si="3">BF12-0.1%</f>
        <v>-5.1000000000000004E-2</v>
      </c>
      <c r="BG13" s="1336"/>
      <c r="BH13" s="946">
        <f>BH12-0.1%</f>
        <v>-1.0999999999999999E-2</v>
      </c>
      <c r="BI13" s="946">
        <f t="shared" ref="BI13" si="4">BI12-0.1%</f>
        <v>-1.0999999999999999E-2</v>
      </c>
      <c r="BJ13" s="946">
        <f t="shared" ref="BJ13" si="5">BJ12-0.1%</f>
        <v>-1.0999999999999999E-2</v>
      </c>
      <c r="BK13" s="946">
        <f t="shared" ref="BK13" si="6">BK12-0.1%</f>
        <v>-1.0999999999999999E-2</v>
      </c>
      <c r="BL13" s="1336"/>
    </row>
    <row r="14" spans="1:64" s="921" customFormat="1" ht="23.25" customHeight="1">
      <c r="A14" s="685"/>
      <c r="B14" s="1409" t="s">
        <v>264</v>
      </c>
      <c r="C14" s="1410"/>
      <c r="D14" s="1410"/>
      <c r="E14" s="685"/>
      <c r="F14" s="685"/>
      <c r="G14" s="685"/>
      <c r="H14" s="685"/>
      <c r="I14" s="685"/>
      <c r="J14" s="685"/>
      <c r="K14" s="685"/>
      <c r="L14" s="685"/>
      <c r="M14" s="685"/>
      <c r="N14" s="685"/>
      <c r="O14" s="685"/>
      <c r="P14" s="685"/>
      <c r="Q14" s="685"/>
      <c r="R14" s="685"/>
      <c r="S14" s="685"/>
      <c r="T14" s="685"/>
      <c r="U14" s="685"/>
      <c r="V14" s="685"/>
      <c r="W14" s="685"/>
      <c r="X14" s="685"/>
      <c r="Y14" s="685"/>
      <c r="Z14" s="685"/>
      <c r="AA14" s="685"/>
      <c r="AB14" s="685"/>
      <c r="AC14" s="685"/>
      <c r="AD14" s="685"/>
      <c r="AE14" s="685"/>
      <c r="AF14" s="685"/>
      <c r="AG14" s="685"/>
      <c r="AH14" s="685"/>
      <c r="AI14" s="685"/>
      <c r="AJ14" s="685"/>
      <c r="AK14" s="685"/>
      <c r="AL14" s="685"/>
      <c r="AM14" s="685"/>
      <c r="AN14" s="685"/>
      <c r="AO14" s="685"/>
      <c r="AP14" s="685"/>
      <c r="AQ14" s="685"/>
      <c r="AR14" s="685"/>
      <c r="AS14" s="685"/>
      <c r="AT14" s="685"/>
      <c r="AU14" s="685"/>
      <c r="AV14" s="685"/>
      <c r="AW14" s="1337"/>
      <c r="AX14" s="685"/>
      <c r="AY14" s="685"/>
      <c r="AZ14" s="685"/>
      <c r="BA14" s="685"/>
      <c r="BB14" s="1337"/>
      <c r="BC14" s="685"/>
      <c r="BD14" s="685"/>
      <c r="BE14" s="685"/>
      <c r="BF14" s="685"/>
      <c r="BG14" s="1337"/>
      <c r="BH14" s="685"/>
      <c r="BI14" s="685"/>
      <c r="BJ14" s="685"/>
      <c r="BK14" s="685"/>
      <c r="BL14" s="1337"/>
    </row>
    <row r="15" spans="1:64" s="921" customFormat="1">
      <c r="A15" s="685"/>
      <c r="B15" s="378"/>
      <c r="C15" s="930" t="s">
        <v>29</v>
      </c>
      <c r="D15" s="5"/>
      <c r="E15" s="163"/>
      <c r="F15" s="163"/>
      <c r="G15" s="163"/>
      <c r="H15" s="163"/>
      <c r="I15" s="163"/>
      <c r="J15" s="163"/>
      <c r="K15" s="163"/>
      <c r="L15" s="163"/>
      <c r="M15" s="163"/>
      <c r="N15" s="163"/>
      <c r="O15" s="163"/>
      <c r="P15" s="163"/>
      <c r="Q15" s="163"/>
      <c r="R15" s="163"/>
      <c r="S15" s="163"/>
      <c r="T15" s="163"/>
      <c r="U15" s="163"/>
      <c r="V15" s="163"/>
      <c r="W15" s="163"/>
      <c r="X15" s="947"/>
      <c r="Y15" s="163"/>
      <c r="Z15" s="163"/>
      <c r="AA15" s="163"/>
      <c r="AB15" s="163"/>
      <c r="AC15" s="947"/>
      <c r="AD15" s="947"/>
      <c r="AE15" s="947"/>
      <c r="AF15" s="947"/>
      <c r="AG15" s="947"/>
      <c r="AH15" s="947"/>
      <c r="AI15" s="947"/>
      <c r="AJ15" s="947"/>
      <c r="AK15" s="947"/>
      <c r="AL15" s="947"/>
      <c r="AM15" s="163"/>
      <c r="AN15" s="947"/>
      <c r="AO15" s="947"/>
      <c r="AP15" s="947"/>
      <c r="AQ15" s="947"/>
      <c r="AR15" s="163"/>
      <c r="AS15" s="163"/>
      <c r="AT15" s="946"/>
      <c r="AU15" s="946"/>
      <c r="AV15" s="946"/>
      <c r="AW15" s="1335"/>
      <c r="AX15" s="946">
        <f>AX16+0.1%</f>
        <v>-4.0000000000000001E-3</v>
      </c>
      <c r="AY15" s="946">
        <f>AY16+0.1%</f>
        <v>-4.0000000000000001E-3</v>
      </c>
      <c r="AZ15" s="946">
        <f>AZ16+0.1%</f>
        <v>-4.0000000000000001E-3</v>
      </c>
      <c r="BA15" s="946">
        <f>BA16+0.1%</f>
        <v>-4.0000000000000001E-3</v>
      </c>
      <c r="BB15" s="1335"/>
      <c r="BC15" s="946">
        <f>BC16+0.1%</f>
        <v>-4.0000000000000001E-3</v>
      </c>
      <c r="BD15" s="946">
        <f>BD16+0.1%</f>
        <v>-4.0000000000000001E-3</v>
      </c>
      <c r="BE15" s="946">
        <f>BE16+0.1%</f>
        <v>-4.0000000000000001E-3</v>
      </c>
      <c r="BF15" s="946">
        <f>BF16+0.1%</f>
        <v>-4.0000000000000001E-3</v>
      </c>
      <c r="BG15" s="1336"/>
      <c r="BH15" s="946">
        <f>BH16+0.1%</f>
        <v>-2E-3</v>
      </c>
      <c r="BI15" s="946">
        <f>BI16+0.1%</f>
        <v>-2E-3</v>
      </c>
      <c r="BJ15" s="946">
        <f>BJ16+0.1%</f>
        <v>-2E-3</v>
      </c>
      <c r="BK15" s="946">
        <f>BK16+0.1%</f>
        <v>-2E-3</v>
      </c>
      <c r="BL15" s="1336"/>
    </row>
    <row r="16" spans="1:64" s="921" customFormat="1">
      <c r="A16" s="685"/>
      <c r="B16" s="378"/>
      <c r="C16" s="930" t="s">
        <v>30</v>
      </c>
      <c r="D16" s="5"/>
      <c r="E16" s="864">
        <f>'Revenue Model'!AU182</f>
        <v>-3.428720839022692E-2</v>
      </c>
      <c r="F16" s="864">
        <f>'Revenue Model'!AV182</f>
        <v>-7.9557902853677476E-4</v>
      </c>
      <c r="G16" s="864">
        <f>'Revenue Model'!AW182</f>
        <v>-3.2809922404839487E-3</v>
      </c>
      <c r="H16" s="864">
        <f>'Revenue Model'!AX182</f>
        <v>3.095936348051076E-2</v>
      </c>
      <c r="I16" s="864">
        <f>'Revenue Model'!AY182</f>
        <v>1.0755346577376645E-2</v>
      </c>
      <c r="J16" s="864">
        <f>'Revenue Model'!AZ182</f>
        <v>2.4229260426945176E-2</v>
      </c>
      <c r="K16" s="864">
        <f>'Revenue Model'!BA182</f>
        <v>3.650940449431328E-2</v>
      </c>
      <c r="L16" s="864">
        <f>'Revenue Model'!BB182</f>
        <v>3.4934685195515236E-2</v>
      </c>
      <c r="M16" s="864">
        <f>'Revenue Model'!BC182</f>
        <v>1.5946787191404077E-2</v>
      </c>
      <c r="N16" s="864">
        <f>'Revenue Model'!BD182</f>
        <v>2.5631442613735622E-2</v>
      </c>
      <c r="O16" s="864">
        <f>'Revenue Model'!BE182</f>
        <v>1.9032961094043177E-3</v>
      </c>
      <c r="P16" s="864">
        <f>'Revenue Model'!BF182</f>
        <v>-6.606237517283764E-2</v>
      </c>
      <c r="Q16" s="864">
        <f>'Revenue Model'!BG182</f>
        <v>-8.5280041698256204E-2</v>
      </c>
      <c r="R16" s="864">
        <f>'Revenue Model'!BH182</f>
        <v>-4.065615837974923E-2</v>
      </c>
      <c r="S16" s="864">
        <f>'Revenue Model'!BI182</f>
        <v>-5.1525287148600274E-2</v>
      </c>
      <c r="T16" s="864">
        <f>'Revenue Model'!BJ182</f>
        <v>9.8267421066517979E-3</v>
      </c>
      <c r="U16" s="864">
        <f>'Revenue Model'!BK182</f>
        <v>4.3915370696091305E-2</v>
      </c>
      <c r="V16" s="864">
        <f>'Revenue Model'!BL182</f>
        <v>6.4118005102503428E-2</v>
      </c>
      <c r="W16" s="864">
        <f>'Revenue Model'!BM182</f>
        <v>4.4429028548572669E-2</v>
      </c>
      <c r="X16" s="864">
        <f>'Revenue Model'!BN182</f>
        <v>4.4318149873028734E-2</v>
      </c>
      <c r="Y16" s="864">
        <f>'Revenue Model'!BO182</f>
        <v>-6.3461281650806223E-3</v>
      </c>
      <c r="Z16" s="864">
        <f>'Revenue Model'!BP182</f>
        <v>-9.0305766841419777E-3</v>
      </c>
      <c r="AA16" s="864">
        <f>'Revenue Model'!BQ182</f>
        <v>-1.8742089377860038E-2</v>
      </c>
      <c r="AB16" s="864">
        <f>'Revenue Model'!BR182</f>
        <v>-7.1638432954157838E-2</v>
      </c>
      <c r="AC16" s="864">
        <f>'Revenue Model'!BS182</f>
        <v>-2.6372893421208077E-2</v>
      </c>
      <c r="AD16" s="864">
        <f>'Revenue Model'!BT182</f>
        <v>0.20503920812443766</v>
      </c>
      <c r="AE16" s="864">
        <f>'Revenue Model'!BU182</f>
        <v>0.41236047827283562</v>
      </c>
      <c r="AF16" s="864">
        <f>'Revenue Model'!BV182</f>
        <v>0.41635660068462577</v>
      </c>
      <c r="AG16" s="864">
        <f>'Revenue Model'!BW182</f>
        <v>0.48027329272615948</v>
      </c>
      <c r="AH16" s="864" t="e">
        <f>'Revenue Model'!BX182</f>
        <v>#REF!</v>
      </c>
      <c r="AI16" s="864">
        <f>'Revenue Model'!BY183</f>
        <v>4.0733801849763829E-3</v>
      </c>
      <c r="AJ16" s="864">
        <f>'Revenue Model'!BZ183</f>
        <v>-2.2366070490321799E-2</v>
      </c>
      <c r="AK16" s="864">
        <f>'Revenue Model'!CA183</f>
        <v>-2.0875963440420198E-2</v>
      </c>
      <c r="AL16" s="864">
        <f>'Revenue Model'!CB183</f>
        <v>-3.3851542027816928E-2</v>
      </c>
      <c r="AM16" s="864">
        <f>'Revenue Model'!CC182</f>
        <v>3.798442598320606E-2</v>
      </c>
      <c r="AN16" s="864">
        <f>'Revenue Model'!CD183</f>
        <v>-2.0293220005250689E-2</v>
      </c>
      <c r="AO16" s="864">
        <f>'Revenue Model'!CE183</f>
        <v>-2.1193581565591924E-2</v>
      </c>
      <c r="AP16" s="864">
        <f>'Revenue Model'!CF183</f>
        <v>-2.0698924731182844E-2</v>
      </c>
      <c r="AQ16" s="864">
        <f>'Revenue Model'!CG183</f>
        <v>-1.4282434656884502E-2</v>
      </c>
      <c r="AR16" s="864">
        <f>'Revenue Model'!CH183</f>
        <v>-9.2028415444037059E-2</v>
      </c>
      <c r="AS16" s="864">
        <f>'Revenue Model'!CI183</f>
        <v>-1.492843776395425E-2</v>
      </c>
      <c r="AT16" s="864">
        <f>'Revenue Model'!CJ183</f>
        <v>-2.5136750245043804E-2</v>
      </c>
      <c r="AU16" s="864">
        <f>'Revenue Model'!CK183</f>
        <v>-2.3070998659326269E-2</v>
      </c>
      <c r="AV16" s="864">
        <f>'Revenue Model'!CL183</f>
        <v>-1.6971827606066414E-2</v>
      </c>
      <c r="AW16" s="1338"/>
      <c r="AX16" s="948">
        <v>-5.0000000000000001E-3</v>
      </c>
      <c r="AY16" s="948">
        <v>-5.0000000000000001E-3</v>
      </c>
      <c r="AZ16" s="948">
        <v>-5.0000000000000001E-3</v>
      </c>
      <c r="BA16" s="948">
        <v>-5.0000000000000001E-3</v>
      </c>
      <c r="BB16" s="1335">
        <f>'Revenue Model'!CR183</f>
        <v>0</v>
      </c>
      <c r="BC16" s="948">
        <v>-5.0000000000000001E-3</v>
      </c>
      <c r="BD16" s="948">
        <v>-5.0000000000000001E-3</v>
      </c>
      <c r="BE16" s="948">
        <v>-5.0000000000000001E-3</v>
      </c>
      <c r="BF16" s="948">
        <v>-5.0000000000000001E-3</v>
      </c>
      <c r="BG16" s="1335">
        <f>'Revenue Model'!CW183</f>
        <v>0</v>
      </c>
      <c r="BH16" s="948">
        <v>-3.0000000000000001E-3</v>
      </c>
      <c r="BI16" s="948">
        <v>-3.0000000000000001E-3</v>
      </c>
      <c r="BJ16" s="948">
        <v>-3.0000000000000001E-3</v>
      </c>
      <c r="BK16" s="948">
        <v>-3.0000000000000001E-3</v>
      </c>
      <c r="BL16" s="1335">
        <f>'Revenue Model'!DB183</f>
        <v>0</v>
      </c>
    </row>
    <row r="17" spans="1:64" s="921" customFormat="1">
      <c r="A17" s="685"/>
      <c r="B17" s="378"/>
      <c r="C17" s="930" t="s">
        <v>31</v>
      </c>
      <c r="D17" s="5"/>
      <c r="E17" s="163"/>
      <c r="F17" s="163"/>
      <c r="G17" s="163"/>
      <c r="H17" s="163"/>
      <c r="I17" s="163"/>
      <c r="J17" s="163"/>
      <c r="K17" s="946"/>
      <c r="L17" s="946"/>
      <c r="M17" s="946"/>
      <c r="N17" s="163"/>
      <c r="O17" s="163"/>
      <c r="P17" s="163"/>
      <c r="Q17" s="163"/>
      <c r="R17" s="163"/>
      <c r="S17" s="163"/>
      <c r="T17" s="163"/>
      <c r="U17" s="163"/>
      <c r="V17" s="163"/>
      <c r="W17" s="163"/>
      <c r="X17" s="163"/>
      <c r="Y17" s="163"/>
      <c r="Z17" s="163"/>
      <c r="AA17" s="163"/>
      <c r="AB17" s="163"/>
      <c r="AC17" s="947"/>
      <c r="AD17" s="947"/>
      <c r="AE17" s="947"/>
      <c r="AF17" s="947"/>
      <c r="AG17" s="947"/>
      <c r="AH17" s="947"/>
      <c r="AI17" s="947"/>
      <c r="AJ17" s="947"/>
      <c r="AK17" s="947"/>
      <c r="AL17" s="947"/>
      <c r="AM17" s="5"/>
      <c r="AN17" s="947"/>
      <c r="AO17" s="947"/>
      <c r="AP17" s="947"/>
      <c r="AQ17" s="947"/>
      <c r="AR17" s="5"/>
      <c r="AS17" s="5"/>
      <c r="AT17" s="946"/>
      <c r="AU17" s="946"/>
      <c r="AV17" s="946"/>
      <c r="AW17" s="1336"/>
      <c r="AX17" s="946">
        <f>AX16-0.1%</f>
        <v>-6.0000000000000001E-3</v>
      </c>
      <c r="AY17" s="946">
        <f t="shared" ref="AY17" si="7">AY16-0.1%</f>
        <v>-6.0000000000000001E-3</v>
      </c>
      <c r="AZ17" s="946">
        <f t="shared" ref="AZ17" si="8">AZ16-0.1%</f>
        <v>-6.0000000000000001E-3</v>
      </c>
      <c r="BA17" s="946">
        <f t="shared" ref="BA17" si="9">BA16-0.1%</f>
        <v>-6.0000000000000001E-3</v>
      </c>
      <c r="BB17" s="1336"/>
      <c r="BC17" s="946">
        <f>BC16-0.1%</f>
        <v>-6.0000000000000001E-3</v>
      </c>
      <c r="BD17" s="946">
        <f t="shared" ref="BD17" si="10">BD16-0.1%</f>
        <v>-6.0000000000000001E-3</v>
      </c>
      <c r="BE17" s="946">
        <f t="shared" ref="BE17" si="11">BE16-0.1%</f>
        <v>-6.0000000000000001E-3</v>
      </c>
      <c r="BF17" s="946">
        <f t="shared" ref="BF17" si="12">BF16-0.1%</f>
        <v>-6.0000000000000001E-3</v>
      </c>
      <c r="BG17" s="1336"/>
      <c r="BH17" s="946">
        <f>BH16-0.1%</f>
        <v>-4.0000000000000001E-3</v>
      </c>
      <c r="BI17" s="946">
        <f t="shared" ref="BI17" si="13">BI16-0.1%</f>
        <v>-4.0000000000000001E-3</v>
      </c>
      <c r="BJ17" s="946">
        <f t="shared" ref="BJ17" si="14">BJ16-0.1%</f>
        <v>-4.0000000000000001E-3</v>
      </c>
      <c r="BK17" s="946">
        <f t="shared" ref="BK17" si="15">BK16-0.1%</f>
        <v>-4.0000000000000001E-3</v>
      </c>
      <c r="BL17" s="1336"/>
    </row>
    <row r="18" spans="1:64" s="921" customFormat="1" ht="23.25" customHeight="1">
      <c r="A18" s="685"/>
      <c r="B18" s="1409" t="s">
        <v>32</v>
      </c>
      <c r="C18" s="1410"/>
      <c r="D18" s="1410"/>
      <c r="E18" s="938"/>
      <c r="F18" s="938"/>
      <c r="G18" s="938"/>
      <c r="H18" s="938"/>
      <c r="I18" s="938"/>
      <c r="J18" s="938"/>
      <c r="K18" s="938"/>
      <c r="L18" s="938"/>
      <c r="M18" s="938"/>
      <c r="N18" s="938"/>
      <c r="O18" s="938"/>
      <c r="P18" s="938"/>
      <c r="Q18" s="938"/>
      <c r="R18" s="938"/>
      <c r="S18" s="941"/>
      <c r="T18" s="938"/>
      <c r="U18" s="938"/>
      <c r="V18" s="938"/>
      <c r="W18" s="938"/>
      <c r="X18" s="936"/>
      <c r="Y18" s="938"/>
      <c r="Z18" s="938"/>
      <c r="AA18" s="938"/>
      <c r="AB18" s="938"/>
      <c r="AC18" s="936"/>
      <c r="AD18" s="936"/>
      <c r="AE18" s="936"/>
      <c r="AF18" s="936"/>
      <c r="AG18" s="936"/>
      <c r="AH18" s="936"/>
      <c r="AI18" s="936"/>
      <c r="AJ18" s="936"/>
      <c r="AK18" s="936"/>
      <c r="AL18" s="936"/>
      <c r="AM18" s="923"/>
      <c r="AN18" s="936"/>
      <c r="AO18" s="936"/>
      <c r="AP18" s="936"/>
      <c r="AQ18" s="936"/>
      <c r="AR18" s="923"/>
      <c r="AS18" s="923"/>
      <c r="AT18" s="931"/>
      <c r="AU18" s="931"/>
      <c r="AV18" s="931"/>
      <c r="AW18" s="1339"/>
      <c r="AX18" s="931"/>
      <c r="AY18" s="931"/>
      <c r="AZ18" s="931"/>
      <c r="BA18" s="931"/>
      <c r="BB18" s="1339"/>
      <c r="BC18" s="931"/>
      <c r="BD18" s="931"/>
      <c r="BE18" s="931"/>
      <c r="BF18" s="931"/>
      <c r="BG18" s="1339"/>
      <c r="BH18" s="931"/>
      <c r="BI18" s="931"/>
      <c r="BJ18" s="931"/>
      <c r="BK18" s="931"/>
      <c r="BL18" s="1339"/>
    </row>
    <row r="19" spans="1:64" s="921" customFormat="1">
      <c r="A19" s="685"/>
      <c r="B19" s="378"/>
      <c r="C19" s="930" t="s">
        <v>29</v>
      </c>
      <c r="D19" s="5"/>
      <c r="E19" s="163"/>
      <c r="F19" s="163"/>
      <c r="G19" s="163"/>
      <c r="H19" s="163"/>
      <c r="I19" s="163"/>
      <c r="J19" s="163"/>
      <c r="K19" s="163"/>
      <c r="L19" s="163"/>
      <c r="M19" s="163"/>
      <c r="N19" s="163"/>
      <c r="O19" s="163"/>
      <c r="P19" s="163"/>
      <c r="Q19" s="163"/>
      <c r="R19" s="163"/>
      <c r="S19" s="163"/>
      <c r="T19" s="163"/>
      <c r="U19" s="163"/>
      <c r="V19" s="163"/>
      <c r="W19" s="163"/>
      <c r="X19" s="947"/>
      <c r="Y19" s="163"/>
      <c r="Z19" s="163"/>
      <c r="AA19" s="163"/>
      <c r="AB19" s="163"/>
      <c r="AC19" s="947"/>
      <c r="AD19" s="947"/>
      <c r="AE19" s="947"/>
      <c r="AF19" s="947"/>
      <c r="AG19" s="947"/>
      <c r="AH19" s="947"/>
      <c r="AI19" s="947"/>
      <c r="AJ19" s="947"/>
      <c r="AK19" s="947"/>
      <c r="AL19" s="947"/>
      <c r="AM19" s="163"/>
      <c r="AN19" s="947"/>
      <c r="AO19" s="947"/>
      <c r="AP19" s="947"/>
      <c r="AQ19" s="947"/>
      <c r="AR19" s="163"/>
      <c r="AS19" s="163"/>
      <c r="AT19" s="946"/>
      <c r="AU19" s="946"/>
      <c r="AV19" s="946"/>
      <c r="AW19" s="1335"/>
      <c r="AX19" s="946">
        <f>AX20+0.1%</f>
        <v>2.1000000000000001E-2</v>
      </c>
      <c r="AY19" s="946">
        <f>AY20+0.1%</f>
        <v>1.0999999999999999E-2</v>
      </c>
      <c r="AZ19" s="946">
        <f>AZ20+0.1%</f>
        <v>1.0999999999999999E-2</v>
      </c>
      <c r="BA19" s="946">
        <f>BA20+0.1%</f>
        <v>1.0999999999999999E-2</v>
      </c>
      <c r="BB19" s="1335"/>
      <c r="BC19" s="946">
        <f>BC20+0.1%</f>
        <v>6.0000000000000001E-3</v>
      </c>
      <c r="BD19" s="946">
        <f>BD20+0.1%</f>
        <v>6.0000000000000001E-3</v>
      </c>
      <c r="BE19" s="946">
        <f>BE20+0.1%</f>
        <v>6.0000000000000001E-3</v>
      </c>
      <c r="BF19" s="946">
        <f>BF20+0.1%</f>
        <v>6.0000000000000001E-3</v>
      </c>
      <c r="BG19" s="1336"/>
      <c r="BH19" s="946">
        <f>BH20+0.1%</f>
        <v>6.0000000000000001E-3</v>
      </c>
      <c r="BI19" s="946">
        <f>BI20+0.1%</f>
        <v>6.0000000000000001E-3</v>
      </c>
      <c r="BJ19" s="946">
        <f>BJ20+0.1%</f>
        <v>6.0000000000000001E-3</v>
      </c>
      <c r="BK19" s="946">
        <f>BK20+0.1%</f>
        <v>6.0000000000000001E-3</v>
      </c>
      <c r="BL19" s="1336"/>
    </row>
    <row r="20" spans="1:64" s="921" customFormat="1">
      <c r="A20" s="685"/>
      <c r="B20" s="378"/>
      <c r="C20" s="930" t="s">
        <v>30</v>
      </c>
      <c r="D20" s="5"/>
      <c r="E20" s="163">
        <f>'Revenue Model'!AU203</f>
        <v>0.11206307527720027</v>
      </c>
      <c r="F20" s="163">
        <f>'Revenue Model'!AV203</f>
        <v>5.2387179462615618E-2</v>
      </c>
      <c r="G20" s="163">
        <f>'Revenue Model'!AW203</f>
        <v>5.0622766098358474E-2</v>
      </c>
      <c r="H20" s="163">
        <f>'Revenue Model'!AX203</f>
        <v>6.6612155703809295E-2</v>
      </c>
      <c r="I20" s="163">
        <f>'Revenue Model'!AY203</f>
        <v>6.3658983791559098E-2</v>
      </c>
      <c r="J20" s="163">
        <f>'Revenue Model'!AZ203</f>
        <v>2.4112688269624094E-2</v>
      </c>
      <c r="K20" s="163">
        <f>'Revenue Model'!BA203</f>
        <v>5.2038883172342842E-2</v>
      </c>
      <c r="L20" s="163">
        <f>'Revenue Model'!BB203</f>
        <v>4.4363546445902902E-2</v>
      </c>
      <c r="M20" s="163">
        <f>'Revenue Model'!BC203</f>
        <v>4.9399438341910962E-2</v>
      </c>
      <c r="N20" s="163">
        <f>'Revenue Model'!BD203</f>
        <v>4.3394129781332058E-2</v>
      </c>
      <c r="O20" s="163">
        <f>'Revenue Model'!BE203</f>
        <v>4.3039488476997123E-2</v>
      </c>
      <c r="P20" s="163">
        <f>'Revenue Model'!BF203</f>
        <v>5.0573805172573927E-2</v>
      </c>
      <c r="Q20" s="163">
        <f>'Revenue Model'!BG203</f>
        <v>3.761607906426212E-3</v>
      </c>
      <c r="R20" s="163">
        <f>'Revenue Model'!BH203</f>
        <v>-2.3737312489147677E-2</v>
      </c>
      <c r="S20" s="163">
        <f>'Revenue Model'!BI203</f>
        <v>0.16617192788032709</v>
      </c>
      <c r="T20" s="163">
        <f>'Revenue Model'!BJ203</f>
        <v>-1.7170108684085639E-2</v>
      </c>
      <c r="U20" s="163">
        <f>'Revenue Model'!BK203</f>
        <v>4.3365608597664806E-2</v>
      </c>
      <c r="V20" s="163">
        <f>'Revenue Model'!BL203</f>
        <v>1.538306854854965E-2</v>
      </c>
      <c r="W20" s="163">
        <f>'Revenue Model'!BM203</f>
        <v>2.9038323892614626E-2</v>
      </c>
      <c r="X20" s="163">
        <f>'Revenue Model'!BN203</f>
        <v>1.6677369463565128E-2</v>
      </c>
      <c r="Y20" s="163">
        <f>'Revenue Model'!BO203</f>
        <v>1.6878472187663807E-2</v>
      </c>
      <c r="Z20" s="163">
        <f>'Revenue Model'!BP203</f>
        <v>7.0791557353279133E-2</v>
      </c>
      <c r="AA20" s="163">
        <f>'Revenue Model'!BQ203</f>
        <v>8.1002362963378705E-2</v>
      </c>
      <c r="AB20" s="163">
        <f>'Revenue Model'!BR203</f>
        <v>5.5506114588018685E-2</v>
      </c>
      <c r="AC20" s="163">
        <f>'Revenue Model'!BS203</f>
        <v>5.5613524448163254E-2</v>
      </c>
      <c r="AD20" s="163">
        <f>'Revenue Model'!BT203</f>
        <v>5.7960266163349372E-2</v>
      </c>
      <c r="AE20" s="163">
        <f>'Revenue Model'!BU203</f>
        <v>-8.0089155234853715E-3</v>
      </c>
      <c r="AF20" s="163">
        <f>'Revenue Model'!BV203</f>
        <v>4.282207113101566E-2</v>
      </c>
      <c r="AG20" s="163">
        <f>'Revenue Model'!BW203</f>
        <v>4.5322673804070179E-2</v>
      </c>
      <c r="AH20" s="163" t="e">
        <f>'Revenue Model'!BX203</f>
        <v>#REF!</v>
      </c>
      <c r="AI20" s="163">
        <f>'Revenue Model'!BY203</f>
        <v>-5.2449900252385939E-3</v>
      </c>
      <c r="AJ20" s="163">
        <f>'Revenue Model'!BZ203</f>
        <v>2.8255829339009164E-2</v>
      </c>
      <c r="AK20" s="163">
        <f>'Revenue Model'!CA203</f>
        <v>-3.939658111987121E-2</v>
      </c>
      <c r="AL20" s="163">
        <f>'Revenue Model'!CB203</f>
        <v>5.7361834857898142E-2</v>
      </c>
      <c r="AM20" s="163">
        <f>'Revenue Model'!CC203</f>
        <v>9.9381581434807575E-3</v>
      </c>
      <c r="AN20" s="163">
        <f>'Revenue Model'!CD203</f>
        <v>3.077467458866967E-2</v>
      </c>
      <c r="AO20" s="163">
        <f>'Revenue Model'!CE203</f>
        <v>4.0586373117794228E-2</v>
      </c>
      <c r="AP20" s="163">
        <f>'Revenue Model'!CF203</f>
        <v>5.7378757868973285E-2</v>
      </c>
      <c r="AQ20" s="163">
        <f>'Revenue Model'!CG203</f>
        <v>-5.1483528661186995E-3</v>
      </c>
      <c r="AR20" s="163">
        <v>3.2315112952257419E-2</v>
      </c>
      <c r="AS20" s="163">
        <f>'Revenue Model'!CI203</f>
        <v>4.8866956908528714E-3</v>
      </c>
      <c r="AT20" s="163">
        <f>'Revenue Model'!CJ203</f>
        <v>3.8649461367545213E-2</v>
      </c>
      <c r="AU20" s="163">
        <f>'Revenue Model'!CK203</f>
        <v>1.6724209568542925E-2</v>
      </c>
      <c r="AV20" s="163">
        <f>'Revenue Model'!CL203</f>
        <v>0.16958171150643686</v>
      </c>
      <c r="AW20" s="1335"/>
      <c r="AX20" s="946">
        <v>0.02</v>
      </c>
      <c r="AY20" s="946">
        <v>0.01</v>
      </c>
      <c r="AZ20" s="946">
        <v>0.01</v>
      </c>
      <c r="BA20" s="946">
        <v>0.01</v>
      </c>
      <c r="BB20" s="1335">
        <v>5.0000000000000001E-3</v>
      </c>
      <c r="BC20" s="946">
        <v>5.0000000000000001E-3</v>
      </c>
      <c r="BD20" s="946">
        <v>5.0000000000000001E-3</v>
      </c>
      <c r="BE20" s="946">
        <v>5.0000000000000001E-3</v>
      </c>
      <c r="BF20" s="946">
        <v>5.0000000000000001E-3</v>
      </c>
      <c r="BG20" s="1335">
        <v>5.0000000000000001E-3</v>
      </c>
      <c r="BH20" s="946">
        <v>5.0000000000000001E-3</v>
      </c>
      <c r="BI20" s="946">
        <v>5.0000000000000001E-3</v>
      </c>
      <c r="BJ20" s="946">
        <v>5.0000000000000001E-3</v>
      </c>
      <c r="BK20" s="946">
        <v>5.0000000000000001E-3</v>
      </c>
      <c r="BL20" s="1335">
        <v>5.0000000000000001E-3</v>
      </c>
    </row>
    <row r="21" spans="1:64" s="921" customFormat="1">
      <c r="A21" s="685"/>
      <c r="B21" s="378"/>
      <c r="C21" s="930" t="s">
        <v>31</v>
      </c>
      <c r="D21" s="5"/>
      <c r="E21" s="163"/>
      <c r="F21" s="163"/>
      <c r="G21" s="163"/>
      <c r="H21" s="163"/>
      <c r="I21" s="163"/>
      <c r="J21" s="163"/>
      <c r="K21" s="946"/>
      <c r="L21" s="946"/>
      <c r="M21" s="946"/>
      <c r="N21" s="163"/>
      <c r="O21" s="163"/>
      <c r="P21" s="163"/>
      <c r="Q21" s="163"/>
      <c r="R21" s="163"/>
      <c r="S21" s="163"/>
      <c r="T21" s="163"/>
      <c r="U21" s="163"/>
      <c r="V21" s="163"/>
      <c r="W21" s="163"/>
      <c r="X21" s="163"/>
      <c r="Y21" s="163"/>
      <c r="Z21" s="163"/>
      <c r="AA21" s="163"/>
      <c r="AB21" s="163"/>
      <c r="AC21" s="947"/>
      <c r="AD21" s="947"/>
      <c r="AE21" s="947"/>
      <c r="AF21" s="947"/>
      <c r="AG21" s="947"/>
      <c r="AH21" s="947"/>
      <c r="AI21" s="947"/>
      <c r="AJ21" s="947"/>
      <c r="AK21" s="947"/>
      <c r="AL21" s="947"/>
      <c r="AM21" s="5"/>
      <c r="AN21" s="947"/>
      <c r="AO21" s="947"/>
      <c r="AP21" s="947"/>
      <c r="AQ21" s="947"/>
      <c r="AR21" s="5"/>
      <c r="AS21" s="5"/>
      <c r="AT21" s="946"/>
      <c r="AU21" s="946"/>
      <c r="AV21" s="946"/>
      <c r="AW21" s="1336"/>
      <c r="AX21" s="946">
        <f>AX20-0.1%</f>
        <v>1.9E-2</v>
      </c>
      <c r="AY21" s="946">
        <f t="shared" ref="AY21" si="16">AY20-0.1%</f>
        <v>9.0000000000000011E-3</v>
      </c>
      <c r="AZ21" s="946">
        <f t="shared" ref="AZ21" si="17">AZ20-0.1%</f>
        <v>9.0000000000000011E-3</v>
      </c>
      <c r="BA21" s="946">
        <f t="shared" ref="BA21" si="18">BA20-0.1%</f>
        <v>9.0000000000000011E-3</v>
      </c>
      <c r="BB21" s="1336"/>
      <c r="BC21" s="946">
        <f>BC20-0.1%</f>
        <v>4.0000000000000001E-3</v>
      </c>
      <c r="BD21" s="946">
        <f t="shared" ref="BD21" si="19">BD20-0.1%</f>
        <v>4.0000000000000001E-3</v>
      </c>
      <c r="BE21" s="946">
        <f t="shared" ref="BE21" si="20">BE20-0.1%</f>
        <v>4.0000000000000001E-3</v>
      </c>
      <c r="BF21" s="946">
        <f t="shared" ref="BF21" si="21">BF20-0.1%</f>
        <v>4.0000000000000001E-3</v>
      </c>
      <c r="BG21" s="1336"/>
      <c r="BH21" s="946">
        <f>BH20-0.1%</f>
        <v>4.0000000000000001E-3</v>
      </c>
      <c r="BI21" s="946">
        <f t="shared" ref="BI21" si="22">BI20-0.1%</f>
        <v>4.0000000000000001E-3</v>
      </c>
      <c r="BJ21" s="946">
        <f t="shared" ref="BJ21" si="23">BJ20-0.1%</f>
        <v>4.0000000000000001E-3</v>
      </c>
      <c r="BK21" s="946">
        <f t="shared" ref="BK21" si="24">BK20-0.1%</f>
        <v>4.0000000000000001E-3</v>
      </c>
      <c r="BL21" s="1336"/>
    </row>
    <row r="22" spans="1:64" s="921" customFormat="1" ht="13.5" thickBot="1">
      <c r="A22" s="685"/>
      <c r="B22" s="379"/>
      <c r="C22" s="949"/>
      <c r="D22" s="950"/>
      <c r="E22" s="950"/>
      <c r="F22" s="950"/>
      <c r="G22" s="950"/>
      <c r="H22" s="950"/>
      <c r="I22" s="950"/>
      <c r="J22" s="950"/>
      <c r="K22" s="950"/>
      <c r="L22" s="950"/>
      <c r="M22" s="950"/>
      <c r="N22" s="950"/>
      <c r="O22" s="950"/>
      <c r="P22" s="950"/>
      <c r="Q22" s="950"/>
      <c r="R22" s="950"/>
      <c r="S22" s="950"/>
      <c r="T22" s="950"/>
      <c r="U22" s="950"/>
      <c r="V22" s="950"/>
      <c r="W22" s="950"/>
      <c r="X22" s="951"/>
      <c r="Y22" s="950"/>
      <c r="Z22" s="950"/>
      <c r="AA22" s="950"/>
      <c r="AB22" s="950"/>
      <c r="AC22" s="950"/>
      <c r="AD22" s="950"/>
      <c r="AE22" s="950"/>
      <c r="AF22" s="950"/>
      <c r="AG22" s="950"/>
      <c r="AH22" s="950"/>
      <c r="AI22" s="950"/>
      <c r="AJ22" s="950"/>
      <c r="AK22" s="950"/>
      <c r="AL22" s="950"/>
      <c r="AM22" s="950"/>
      <c r="AN22" s="950"/>
      <c r="AO22" s="950"/>
      <c r="AP22" s="950"/>
      <c r="AQ22" s="950"/>
      <c r="AR22" s="950"/>
      <c r="AS22" s="950"/>
      <c r="AT22" s="950"/>
      <c r="AU22" s="950"/>
      <c r="AV22" s="950"/>
      <c r="AW22" s="1340"/>
      <c r="AX22" s="950"/>
      <c r="AY22" s="950"/>
      <c r="AZ22" s="950"/>
      <c r="BA22" s="950"/>
      <c r="BB22" s="1340"/>
      <c r="BC22" s="950"/>
      <c r="BD22" s="950"/>
      <c r="BE22" s="950"/>
      <c r="BF22" s="950"/>
      <c r="BG22" s="1340"/>
      <c r="BH22" s="950"/>
      <c r="BI22" s="950"/>
      <c r="BJ22" s="950"/>
      <c r="BK22" s="950"/>
      <c r="BL22" s="1340"/>
    </row>
    <row r="23" spans="1:64" s="921" customFormat="1" ht="13.5" thickBot="1">
      <c r="A23" s="685"/>
      <c r="B23" s="685"/>
      <c r="C23" s="685"/>
      <c r="D23" s="685"/>
      <c r="E23" s="740"/>
      <c r="F23" s="740"/>
      <c r="G23" s="740"/>
      <c r="H23" s="740"/>
      <c r="I23" s="740"/>
      <c r="J23" s="740"/>
      <c r="K23" s="740"/>
      <c r="L23" s="740"/>
      <c r="M23" s="740"/>
      <c r="N23" s="952"/>
      <c r="O23" s="685"/>
      <c r="P23" s="685"/>
      <c r="Q23" s="685"/>
      <c r="R23" s="685"/>
      <c r="S23" s="685"/>
      <c r="T23" s="685"/>
      <c r="U23" s="685"/>
      <c r="V23" s="685"/>
      <c r="W23" s="685"/>
      <c r="X23" s="685"/>
      <c r="Y23" s="685"/>
      <c r="Z23" s="685"/>
      <c r="AA23" s="685"/>
      <c r="AB23" s="685"/>
      <c r="AC23" s="685"/>
      <c r="AD23" s="171"/>
      <c r="AE23" s="685"/>
      <c r="AF23" s="685"/>
      <c r="AG23" s="685"/>
      <c r="AH23" s="685"/>
      <c r="AI23" s="171"/>
      <c r="AJ23" s="685"/>
      <c r="AK23" s="685"/>
      <c r="AL23" s="685"/>
      <c r="AM23" s="685"/>
      <c r="AN23" s="171"/>
      <c r="AO23" s="685"/>
      <c r="AP23" s="685"/>
      <c r="AQ23" s="685"/>
      <c r="AR23" s="685"/>
      <c r="AS23" s="171"/>
      <c r="AT23" s="685"/>
      <c r="AU23" s="685"/>
      <c r="AV23" s="685"/>
      <c r="AW23" s="1337"/>
      <c r="AX23" s="171"/>
      <c r="AY23" s="685"/>
      <c r="AZ23" s="685"/>
      <c r="BA23" s="685"/>
      <c r="BB23" s="1337"/>
      <c r="BC23" s="171"/>
      <c r="BD23" s="685"/>
      <c r="BE23" s="685"/>
      <c r="BF23" s="685"/>
      <c r="BG23" s="1337"/>
      <c r="BH23" s="171"/>
      <c r="BI23" s="685"/>
      <c r="BJ23" s="685"/>
      <c r="BK23" s="685"/>
      <c r="BL23" s="1337"/>
    </row>
    <row r="24" spans="1:64" s="921" customFormat="1">
      <c r="A24" s="685"/>
      <c r="B24" s="953"/>
      <c r="C24" s="954" t="s">
        <v>33</v>
      </c>
      <c r="D24" s="738"/>
      <c r="E24" s="955" t="str">
        <f>E6</f>
        <v>1Q09</v>
      </c>
      <c r="F24" s="955" t="str">
        <f t="shared" ref="F24:AR24" si="25">F6</f>
        <v>2Q09</v>
      </c>
      <c r="G24" s="955" t="str">
        <f t="shared" si="25"/>
        <v>3Q09</v>
      </c>
      <c r="H24" s="955" t="str">
        <f t="shared" si="25"/>
        <v>4Q09</v>
      </c>
      <c r="I24" s="955" t="str">
        <f t="shared" si="25"/>
        <v>2009A</v>
      </c>
      <c r="J24" s="955" t="str">
        <f t="shared" si="25"/>
        <v>1Q10A</v>
      </c>
      <c r="K24" s="955" t="str">
        <f t="shared" si="25"/>
        <v>2Q10A</v>
      </c>
      <c r="L24" s="955" t="str">
        <f t="shared" si="25"/>
        <v>3Q10A</v>
      </c>
      <c r="M24" s="955" t="str">
        <f t="shared" si="25"/>
        <v>4Q10A</v>
      </c>
      <c r="N24" s="955" t="str">
        <f t="shared" si="25"/>
        <v>2010A</v>
      </c>
      <c r="O24" s="955" t="str">
        <f t="shared" si="25"/>
        <v>1Q11A</v>
      </c>
      <c r="P24" s="955" t="str">
        <f t="shared" si="25"/>
        <v>2Q11A</v>
      </c>
      <c r="Q24" s="955" t="str">
        <f>Q6</f>
        <v>3Q11A</v>
      </c>
      <c r="R24" s="955" t="str">
        <f t="shared" si="25"/>
        <v>4Q11A</v>
      </c>
      <c r="S24" s="955" t="str">
        <f>S6</f>
        <v>2011A</v>
      </c>
      <c r="T24" s="955" t="str">
        <f>T6</f>
        <v>1Q12A</v>
      </c>
      <c r="U24" s="955" t="str">
        <f>U6</f>
        <v>2Q12A</v>
      </c>
      <c r="V24" s="955" t="str">
        <f t="shared" si="25"/>
        <v>3Q12A</v>
      </c>
      <c r="W24" s="955" t="str">
        <f t="shared" si="25"/>
        <v>4Q12A</v>
      </c>
      <c r="X24" s="955" t="str">
        <f t="shared" si="25"/>
        <v>2012A</v>
      </c>
      <c r="Y24" s="955" t="str">
        <f>Y6</f>
        <v>1Q13A</v>
      </c>
      <c r="Z24" s="955" t="str">
        <f t="shared" si="25"/>
        <v>2Q13A</v>
      </c>
      <c r="AA24" s="955" t="str">
        <f>AA6</f>
        <v>3Q13A</v>
      </c>
      <c r="AB24" s="955" t="str">
        <f t="shared" si="25"/>
        <v>4Q13A</v>
      </c>
      <c r="AC24" s="955" t="str">
        <f t="shared" si="25"/>
        <v>2013A</v>
      </c>
      <c r="AD24" s="955" t="str">
        <f t="shared" si="25"/>
        <v>1Q14A</v>
      </c>
      <c r="AE24" s="955" t="str">
        <f t="shared" si="25"/>
        <v>2Q14A</v>
      </c>
      <c r="AF24" s="955" t="str">
        <f>AF6</f>
        <v>3Q14A</v>
      </c>
      <c r="AG24" s="955" t="str">
        <f t="shared" si="25"/>
        <v>4Q14A</v>
      </c>
      <c r="AH24" s="955" t="str">
        <f t="shared" si="25"/>
        <v>2014A</v>
      </c>
      <c r="AI24" s="955" t="str">
        <f t="shared" si="25"/>
        <v>1Q15A</v>
      </c>
      <c r="AJ24" s="955" t="str">
        <f t="shared" si="25"/>
        <v>2Q15A</v>
      </c>
      <c r="AK24" s="955" t="str">
        <f t="shared" si="25"/>
        <v>3Q15A</v>
      </c>
      <c r="AL24" s="955" t="str">
        <f t="shared" si="25"/>
        <v>4Q15A</v>
      </c>
      <c r="AM24" s="955" t="str">
        <f t="shared" si="25"/>
        <v>2015A</v>
      </c>
      <c r="AN24" s="955" t="str">
        <f t="shared" si="25"/>
        <v>1Q16A</v>
      </c>
      <c r="AO24" s="955" t="str">
        <f t="shared" si="25"/>
        <v>2Q16A</v>
      </c>
      <c r="AP24" s="955" t="str">
        <f t="shared" ref="AP24" si="26">AP6</f>
        <v>3Q16A</v>
      </c>
      <c r="AQ24" s="955" t="str">
        <f t="shared" si="25"/>
        <v>4Q16A</v>
      </c>
      <c r="AR24" s="955" t="str">
        <f t="shared" si="25"/>
        <v>2016A</v>
      </c>
      <c r="AS24" s="955" t="str">
        <f t="shared" ref="AS24:BG24" si="27">AS6</f>
        <v>1Q17A</v>
      </c>
      <c r="AT24" s="955" t="str">
        <f t="shared" si="27"/>
        <v>2Q17A</v>
      </c>
      <c r="AU24" s="955" t="str">
        <f t="shared" si="27"/>
        <v>3Q17A</v>
      </c>
      <c r="AV24" s="955" t="str">
        <f t="shared" si="27"/>
        <v>4Q17A</v>
      </c>
      <c r="AW24" s="1341" t="str">
        <f t="shared" si="27"/>
        <v>2017A</v>
      </c>
      <c r="AX24" s="955" t="str">
        <f t="shared" si="27"/>
        <v>1Q18E</v>
      </c>
      <c r="AY24" s="955" t="str">
        <f t="shared" si="27"/>
        <v>2Q18E</v>
      </c>
      <c r="AZ24" s="955" t="str">
        <f t="shared" si="27"/>
        <v>3Q18E</v>
      </c>
      <c r="BA24" s="955" t="str">
        <f t="shared" si="27"/>
        <v>4Q18E</v>
      </c>
      <c r="BB24" s="1341" t="str">
        <f t="shared" si="27"/>
        <v>2018E</v>
      </c>
      <c r="BC24" s="955" t="str">
        <f t="shared" si="27"/>
        <v>1Q19E</v>
      </c>
      <c r="BD24" s="955" t="str">
        <f t="shared" si="27"/>
        <v>2Q19E</v>
      </c>
      <c r="BE24" s="955" t="str">
        <f t="shared" si="27"/>
        <v>3Q19E</v>
      </c>
      <c r="BF24" s="955" t="str">
        <f t="shared" si="27"/>
        <v>4Q19E</v>
      </c>
      <c r="BG24" s="1341" t="str">
        <f t="shared" si="27"/>
        <v>2019E</v>
      </c>
      <c r="BH24" s="955" t="str">
        <f t="shared" ref="BH24:BL24" si="28">BH6</f>
        <v>1Q20E</v>
      </c>
      <c r="BI24" s="955" t="str">
        <f t="shared" si="28"/>
        <v>2Q20E</v>
      </c>
      <c r="BJ24" s="955" t="str">
        <f t="shared" si="28"/>
        <v>3Q20E</v>
      </c>
      <c r="BK24" s="955" t="str">
        <f t="shared" si="28"/>
        <v>4Q20E</v>
      </c>
      <c r="BL24" s="1341" t="str">
        <f t="shared" si="28"/>
        <v>2020E</v>
      </c>
    </row>
    <row r="25" spans="1:64" s="921" customFormat="1" ht="13.5" thickBot="1">
      <c r="A25" s="685"/>
      <c r="B25" s="702"/>
      <c r="C25" s="956"/>
      <c r="D25" s="957"/>
      <c r="E25" s="923"/>
      <c r="F25" s="923"/>
      <c r="G25" s="923"/>
      <c r="H25" s="923"/>
      <c r="I25" s="923"/>
      <c r="J25" s="923"/>
      <c r="K25" s="923"/>
      <c r="L25" s="923"/>
      <c r="M25" s="923"/>
      <c r="N25" s="923"/>
      <c r="O25" s="923"/>
      <c r="P25" s="923"/>
      <c r="Q25" s="923"/>
      <c r="R25" s="923"/>
      <c r="S25" s="923"/>
      <c r="T25" s="923"/>
      <c r="U25" s="923"/>
      <c r="V25" s="923"/>
      <c r="W25" s="923"/>
      <c r="X25" s="958"/>
      <c r="Y25" s="923"/>
      <c r="Z25" s="923"/>
      <c r="AA25" s="923"/>
      <c r="AB25" s="923"/>
      <c r="AC25" s="958"/>
      <c r="AD25" s="923"/>
      <c r="AE25" s="923"/>
      <c r="AF25" s="923"/>
      <c r="AG25" s="923"/>
      <c r="AH25" s="958"/>
      <c r="AI25" s="923"/>
      <c r="AJ25" s="923"/>
      <c r="AK25" s="923"/>
      <c r="AL25" s="923"/>
      <c r="AM25" s="958"/>
      <c r="AN25" s="923"/>
      <c r="AO25" s="923"/>
      <c r="AP25" s="923"/>
      <c r="AQ25" s="923"/>
      <c r="AR25" s="958"/>
      <c r="AS25" s="923"/>
      <c r="AT25" s="923"/>
      <c r="AU25" s="923"/>
      <c r="AV25" s="923"/>
      <c r="AW25" s="1342"/>
      <c r="AX25" s="923"/>
      <c r="AY25" s="923"/>
      <c r="AZ25" s="923"/>
      <c r="BA25" s="923"/>
      <c r="BB25" s="1342"/>
      <c r="BC25" s="923"/>
      <c r="BD25" s="923"/>
      <c r="BE25" s="923"/>
      <c r="BF25" s="923"/>
      <c r="BG25" s="1342"/>
      <c r="BH25" s="923"/>
      <c r="BI25" s="923"/>
      <c r="BJ25" s="923"/>
      <c r="BK25" s="923"/>
      <c r="BL25" s="1342"/>
    </row>
    <row r="26" spans="1:64" s="921" customFormat="1" ht="13.5" thickBot="1">
      <c r="A26" s="685"/>
      <c r="B26" s="702"/>
      <c r="C26" s="922">
        <f>C8</f>
        <v>2</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337"/>
      <c r="AX26" s="171"/>
      <c r="AY26" s="171"/>
      <c r="AZ26" s="171"/>
      <c r="BA26" s="171"/>
      <c r="BB26" s="1337"/>
      <c r="BC26" s="171"/>
      <c r="BD26" s="171"/>
      <c r="BE26" s="171"/>
      <c r="BF26" s="171"/>
      <c r="BG26" s="1337"/>
      <c r="BH26" s="171"/>
      <c r="BI26" s="171"/>
      <c r="BJ26" s="171"/>
      <c r="BK26" s="171"/>
      <c r="BL26" s="1337"/>
    </row>
    <row r="27" spans="1:64" s="921" customFormat="1">
      <c r="A27" s="685"/>
      <c r="B27" s="702"/>
      <c r="C27" s="701"/>
      <c r="D27" s="171"/>
      <c r="E27" s="5"/>
      <c r="F27" s="5"/>
      <c r="G27" s="5"/>
      <c r="H27" s="231"/>
      <c r="I27" s="5"/>
      <c r="J27" s="231"/>
      <c r="K27" s="231"/>
      <c r="L27" s="231"/>
      <c r="M27" s="231"/>
      <c r="N27" s="5"/>
      <c r="O27" s="5"/>
      <c r="P27" s="5"/>
      <c r="Q27" s="5"/>
      <c r="R27" s="5"/>
      <c r="S27" s="5"/>
      <c r="T27" s="5"/>
      <c r="U27" s="5"/>
      <c r="V27" s="231"/>
      <c r="W27" s="231"/>
      <c r="X27" s="5"/>
      <c r="Y27" s="5"/>
      <c r="Z27" s="5"/>
      <c r="AA27" s="5"/>
      <c r="AB27" s="231"/>
      <c r="AC27" s="5"/>
      <c r="AD27" s="231"/>
      <c r="AE27" s="231"/>
      <c r="AF27" s="231"/>
      <c r="AG27" s="231"/>
      <c r="AH27" s="5"/>
      <c r="AI27" s="5"/>
      <c r="AJ27" s="231"/>
      <c r="AK27" s="231"/>
      <c r="AL27" s="231"/>
      <c r="AM27" s="5"/>
      <c r="AN27" s="231"/>
      <c r="AO27" s="231"/>
      <c r="AP27" s="231"/>
      <c r="AQ27" s="231"/>
      <c r="AR27" s="5"/>
      <c r="AS27" s="231"/>
      <c r="AT27" s="231"/>
      <c r="AU27" s="231"/>
      <c r="AV27" s="231"/>
      <c r="AW27" s="1336"/>
      <c r="AX27" s="231"/>
      <c r="AY27" s="231"/>
      <c r="AZ27" s="231"/>
      <c r="BA27" s="231"/>
      <c r="BB27" s="1336"/>
      <c r="BC27" s="231"/>
      <c r="BD27" s="231"/>
      <c r="BE27" s="231"/>
      <c r="BF27" s="231"/>
      <c r="BG27" s="1336"/>
      <c r="BH27" s="231"/>
      <c r="BI27" s="231"/>
      <c r="BJ27" s="231"/>
      <c r="BK27" s="231"/>
      <c r="BL27" s="1336"/>
    </row>
    <row r="28" spans="1:64" s="921" customFormat="1">
      <c r="A28" s="685"/>
      <c r="B28" s="702"/>
      <c r="C28" s="930" t="s">
        <v>34</v>
      </c>
      <c r="D28" s="171"/>
      <c r="E28" s="5"/>
      <c r="F28" s="5"/>
      <c r="G28" s="5"/>
      <c r="H28" s="5"/>
      <c r="I28" s="5"/>
      <c r="J28" s="5"/>
      <c r="K28" s="685"/>
      <c r="L28" s="685"/>
      <c r="M28" s="685"/>
      <c r="N28" s="5"/>
      <c r="O28" s="5"/>
      <c r="P28" s="5"/>
      <c r="Q28" s="5"/>
      <c r="R28" s="5"/>
      <c r="S28" s="5"/>
      <c r="T28" s="5"/>
      <c r="U28" s="5"/>
      <c r="V28" s="946"/>
      <c r="W28" s="946"/>
      <c r="X28" s="5"/>
      <c r="Y28" s="5"/>
      <c r="Z28" s="5"/>
      <c r="AA28" s="5"/>
      <c r="AB28" s="231"/>
      <c r="AC28" s="5"/>
      <c r="AD28" s="231"/>
      <c r="AE28" s="231"/>
      <c r="AF28" s="231"/>
      <c r="AG28" s="231"/>
      <c r="AH28" s="5"/>
      <c r="AI28" s="5"/>
      <c r="AJ28" s="5"/>
      <c r="AK28" s="5"/>
      <c r="AL28" s="5"/>
      <c r="AM28" s="5"/>
      <c r="AN28" s="5"/>
      <c r="AO28" s="231"/>
      <c r="AP28" s="231"/>
      <c r="AQ28" s="231"/>
      <c r="AR28" s="5"/>
      <c r="AS28" s="5"/>
      <c r="AT28" s="231"/>
      <c r="AU28" s="231"/>
      <c r="AV28" s="231"/>
      <c r="AW28" s="1336"/>
      <c r="AX28" s="231"/>
      <c r="AY28" s="231"/>
      <c r="AZ28" s="231"/>
      <c r="BA28" s="231"/>
      <c r="BB28" s="1336"/>
      <c r="BC28" s="231"/>
      <c r="BD28" s="231"/>
      <c r="BE28" s="231"/>
      <c r="BF28" s="231"/>
      <c r="BG28" s="1336"/>
      <c r="BH28" s="231"/>
      <c r="BI28" s="231"/>
      <c r="BJ28" s="231"/>
      <c r="BK28" s="231"/>
      <c r="BL28" s="1336"/>
    </row>
    <row r="29" spans="1:64" s="921" customFormat="1">
      <c r="A29" s="685"/>
      <c r="B29" s="702"/>
      <c r="C29" s="930" t="s">
        <v>29</v>
      </c>
      <c r="D29" s="171"/>
      <c r="E29" s="5"/>
      <c r="F29" s="163"/>
      <c r="G29" s="163"/>
      <c r="H29" s="163"/>
      <c r="I29" s="163"/>
      <c r="J29" s="5"/>
      <c r="K29" s="946"/>
      <c r="L29" s="946"/>
      <c r="M29" s="946"/>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946"/>
      <c r="AU29" s="946"/>
      <c r="AV29" s="946"/>
      <c r="AW29" s="1335"/>
      <c r="AX29" s="946">
        <f>AX30-0.1%</f>
        <v>0.14249999999999999</v>
      </c>
      <c r="AY29" s="946">
        <f>AY30-0.1%</f>
        <v>0.14299999999999999</v>
      </c>
      <c r="AZ29" s="946">
        <f>AZ30-0.1%</f>
        <v>0.14199999999999999</v>
      </c>
      <c r="BA29" s="946">
        <f>BA30-0.1%</f>
        <v>0.1434</v>
      </c>
      <c r="BB29" s="1335"/>
      <c r="BC29" s="946">
        <f>BC30-0.1%</f>
        <v>0.1454</v>
      </c>
      <c r="BD29" s="946">
        <f>BD30-0.1%</f>
        <v>0.1454</v>
      </c>
      <c r="BE29" s="946">
        <f>BE30-0.1%</f>
        <v>0.1454</v>
      </c>
      <c r="BF29" s="946">
        <f>BF30-0.1%</f>
        <v>0.1454</v>
      </c>
      <c r="BG29" s="1335"/>
      <c r="BH29" s="946">
        <f>BH30-0.1%</f>
        <v>0.1454</v>
      </c>
      <c r="BI29" s="946">
        <f>BI30-0.1%</f>
        <v>0.1454</v>
      </c>
      <c r="BJ29" s="946">
        <f>BJ30-0.1%</f>
        <v>0.1454</v>
      </c>
      <c r="BK29" s="946">
        <f>BK30-0.1%</f>
        <v>0.1454</v>
      </c>
      <c r="BL29" s="1335"/>
    </row>
    <row r="30" spans="1:64" s="921" customFormat="1">
      <c r="A30" s="685"/>
      <c r="B30" s="702"/>
      <c r="C30" s="930" t="s">
        <v>30</v>
      </c>
      <c r="D30" s="171"/>
      <c r="E30" s="163">
        <f>'Expense Assumptions'!AU69</f>
        <v>0.11597709852405798</v>
      </c>
      <c r="F30" s="163">
        <f>'Expense Assumptions'!AV69</f>
        <v>0.12014142708507004</v>
      </c>
      <c r="G30" s="163">
        <f>'Expense Assumptions'!AW69</f>
        <v>0.12257427455416803</v>
      </c>
      <c r="H30" s="163">
        <f>'Expense Assumptions'!AX69</f>
        <v>0.12348818205286971</v>
      </c>
      <c r="I30" s="163">
        <f>'Expense Assumptions'!AY69</f>
        <v>0.12062210325025022</v>
      </c>
      <c r="J30" s="163">
        <f>'Expense Assumptions'!AZ69</f>
        <v>0.11961634082339415</v>
      </c>
      <c r="K30" s="163">
        <f>'Expense Assumptions'!BA69</f>
        <v>0.12029237243237516</v>
      </c>
      <c r="L30" s="163">
        <f>'Expense Assumptions'!BB69</f>
        <v>0.12394532072797047</v>
      </c>
      <c r="M30" s="163">
        <f>'Expense Assumptions'!BC69</f>
        <v>0.1251697549504085</v>
      </c>
      <c r="N30" s="163">
        <f>'Expense Assumptions'!BD69</f>
        <v>0.12232056366226467</v>
      </c>
      <c r="O30" s="163">
        <f>'Expense Assumptions'!BE69</f>
        <v>0.1197738729325865</v>
      </c>
      <c r="P30" s="163">
        <f>'Expense Assumptions'!BF69</f>
        <v>0.12609888261762597</v>
      </c>
      <c r="Q30" s="163">
        <f>'Expense Assumptions'!BG69</f>
        <v>0.13105238649592549</v>
      </c>
      <c r="R30" s="163">
        <f>'Expense Assumptions'!BH69</f>
        <v>0.1268517716994034</v>
      </c>
      <c r="S30" s="163">
        <f>'Expense Assumptions'!BI69</f>
        <v>0.12595842520075362</v>
      </c>
      <c r="T30" s="163">
        <f>'Expense Assumptions'!BJ69</f>
        <v>0.12857332024841608</v>
      </c>
      <c r="U30" s="163">
        <f>'Expense Assumptions'!BK69</f>
        <v>0.13438240371895577</v>
      </c>
      <c r="V30" s="163">
        <f>'Expense Assumptions'!BL69</f>
        <v>0.13109965993635878</v>
      </c>
      <c r="W30" s="163">
        <f>'Expense Assumptions'!BM69</f>
        <v>0.12884228223157226</v>
      </c>
      <c r="X30" s="163">
        <f>'Expense Assumptions'!BN69</f>
        <v>0.13071594621334587</v>
      </c>
      <c r="Y30" s="163">
        <f>'Expense Assumptions'!BO69</f>
        <v>0.12845564999168391</v>
      </c>
      <c r="Z30" s="163">
        <f>'Expense Assumptions'!BP69</f>
        <v>0.14110479431732717</v>
      </c>
      <c r="AA30" s="163">
        <f>'Expense Assumptions'!BQ69</f>
        <v>0.14564011730809409</v>
      </c>
      <c r="AB30" s="163">
        <f>'Expense Assumptions'!BR69</f>
        <v>0.13677002402431443</v>
      </c>
      <c r="AC30" s="163">
        <f>'Expense Assumptions'!BS69</f>
        <v>0.13797392160298458</v>
      </c>
      <c r="AD30" s="163">
        <f>'Expense Assumptions'!BT69</f>
        <v>0.14387755102040817</v>
      </c>
      <c r="AE30" s="163">
        <f>'Expense Assumptions'!BU69</f>
        <v>0.13596094738745254</v>
      </c>
      <c r="AF30" s="163">
        <f>'Expense Assumptions'!BV69</f>
        <v>0.1380550062915693</v>
      </c>
      <c r="AG30" s="163">
        <f>'Expense Assumptions'!BW69</f>
        <v>0.12816876440347455</v>
      </c>
      <c r="AH30" s="163">
        <f>'Expense Assumptions'!BX69</f>
        <v>0.13626068869886757</v>
      </c>
      <c r="AI30" s="163">
        <f>'Expense Assumptions'!BY69</f>
        <v>0.1301806588735388</v>
      </c>
      <c r="AJ30" s="163">
        <f>'Expense Assumptions'!BZ69</f>
        <v>0.13038831492696829</v>
      </c>
      <c r="AK30" s="163">
        <f>'Expense Assumptions'!CA69</f>
        <v>0.13154121863799284</v>
      </c>
      <c r="AL30" s="163">
        <f>'Expense Assumptions'!CB69</f>
        <v>0.16177498252969952</v>
      </c>
      <c r="AM30" s="163">
        <f>'Expense Assumptions'!CC69</f>
        <v>0.13858358447083852</v>
      </c>
      <c r="AN30" s="163">
        <f>'Expense Assumptions'!CD69</f>
        <v>0.13121306916927356</v>
      </c>
      <c r="AO30" s="163">
        <f>'Expense Assumptions'!CE69</f>
        <v>0.1323251417769376</v>
      </c>
      <c r="AP30" s="163">
        <f>'Expense Assumptions'!CF69</f>
        <v>0.13847364280094415</v>
      </c>
      <c r="AQ30" s="163">
        <f>'Expense Assumptions'!CG69</f>
        <v>0.13172721973965418</v>
      </c>
      <c r="AR30" s="163">
        <v>0.13206830557853191</v>
      </c>
      <c r="AS30" s="163">
        <f>'Expense Assumptions'!CI69</f>
        <v>0.13196594427244582</v>
      </c>
      <c r="AT30" s="163">
        <f>'Expense Assumptions'!CJ69</f>
        <v>0.14078374455732948</v>
      </c>
      <c r="AU30" s="163">
        <f>'Expense Assumptions'!CK69</f>
        <v>0.15393491807062082</v>
      </c>
      <c r="AV30" s="163">
        <f>'Expense Assumptions'!CL69</f>
        <v>0.24950932286555447</v>
      </c>
      <c r="AW30" s="1335"/>
      <c r="AX30" s="946">
        <v>0.14349999999999999</v>
      </c>
      <c r="AY30" s="946">
        <v>0.14399999999999999</v>
      </c>
      <c r="AZ30" s="946">
        <v>0.14299999999999999</v>
      </c>
      <c r="BA30" s="946">
        <v>0.1444</v>
      </c>
      <c r="BB30" s="1335">
        <f ca="1">'Expense Assumptions'!CR69</f>
        <v>0.14374283927399564</v>
      </c>
      <c r="BC30" s="946">
        <v>0.1464</v>
      </c>
      <c r="BD30" s="946">
        <v>0.1464</v>
      </c>
      <c r="BE30" s="946">
        <v>0.1464</v>
      </c>
      <c r="BF30" s="946">
        <v>0.1464</v>
      </c>
      <c r="BG30" s="1335">
        <f ca="1">'Expense Assumptions'!CW69</f>
        <v>0.14639999999999997</v>
      </c>
      <c r="BH30" s="946">
        <v>0.1464</v>
      </c>
      <c r="BI30" s="946">
        <v>0.1464</v>
      </c>
      <c r="BJ30" s="946">
        <v>0.1464</v>
      </c>
      <c r="BK30" s="946">
        <v>0.1464</v>
      </c>
      <c r="BL30" s="1335">
        <f>'Expense Assumptions'!DG69</f>
        <v>0</v>
      </c>
    </row>
    <row r="31" spans="1:64" s="921" customFormat="1">
      <c r="A31" s="685"/>
      <c r="B31" s="702"/>
      <c r="C31" s="930" t="s">
        <v>31</v>
      </c>
      <c r="D31" s="171"/>
      <c r="E31" s="5"/>
      <c r="F31" s="163"/>
      <c r="G31" s="163"/>
      <c r="H31" s="163"/>
      <c r="I31" s="163"/>
      <c r="J31" s="5"/>
      <c r="K31" s="946"/>
      <c r="L31" s="946"/>
      <c r="M31" s="946"/>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946"/>
      <c r="AU31" s="946"/>
      <c r="AV31" s="946"/>
      <c r="AW31" s="1335"/>
      <c r="AX31" s="946">
        <f>AX30+0.1%</f>
        <v>0.14449999999999999</v>
      </c>
      <c r="AY31" s="946">
        <f t="shared" ref="AY31:BA31" si="29">AY30+0.1%</f>
        <v>0.14499999999999999</v>
      </c>
      <c r="AZ31" s="946">
        <f t="shared" si="29"/>
        <v>0.14399999999999999</v>
      </c>
      <c r="BA31" s="946">
        <f t="shared" si="29"/>
        <v>0.1454</v>
      </c>
      <c r="BB31" s="1335"/>
      <c r="BC31" s="946">
        <f>BC30+0.1%</f>
        <v>0.1474</v>
      </c>
      <c r="BD31" s="946">
        <f t="shared" ref="BD31" si="30">BD30+0.1%</f>
        <v>0.1474</v>
      </c>
      <c r="BE31" s="946">
        <f t="shared" ref="BE31" si="31">BE30+0.1%</f>
        <v>0.1474</v>
      </c>
      <c r="BF31" s="946">
        <f t="shared" ref="BF31" si="32">BF30+0.1%</f>
        <v>0.1474</v>
      </c>
      <c r="BG31" s="1335"/>
      <c r="BH31" s="946">
        <f>BH30+0.1%</f>
        <v>0.1474</v>
      </c>
      <c r="BI31" s="946">
        <f t="shared" ref="BI31" si="33">BI30+0.1%</f>
        <v>0.1474</v>
      </c>
      <c r="BJ31" s="946">
        <f t="shared" ref="BJ31" si="34">BJ30+0.1%</f>
        <v>0.1474</v>
      </c>
      <c r="BK31" s="946">
        <f t="shared" ref="BK31" si="35">BK30+0.1%</f>
        <v>0.1474</v>
      </c>
      <c r="BL31" s="1335"/>
    </row>
    <row r="32" spans="1:64" s="921" customFormat="1">
      <c r="A32" s="685"/>
      <c r="B32" s="702"/>
      <c r="C32" s="930"/>
      <c r="D32" s="171"/>
      <c r="E32" s="5"/>
      <c r="F32" s="163"/>
      <c r="G32" s="163"/>
      <c r="H32" s="163"/>
      <c r="I32" s="163"/>
      <c r="J32" s="5"/>
      <c r="K32" s="946"/>
      <c r="L32" s="946"/>
      <c r="M32" s="946"/>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946"/>
      <c r="AU32" s="946"/>
      <c r="AV32" s="946"/>
      <c r="AW32" s="1335"/>
      <c r="AX32" s="946"/>
      <c r="AY32" s="946"/>
      <c r="AZ32" s="946"/>
      <c r="BA32" s="946"/>
      <c r="BB32" s="1335"/>
      <c r="BC32" s="946"/>
      <c r="BD32" s="946"/>
      <c r="BE32" s="946"/>
      <c r="BF32" s="946"/>
      <c r="BG32" s="1335"/>
      <c r="BH32" s="946"/>
      <c r="BI32" s="946"/>
      <c r="BJ32" s="946"/>
      <c r="BK32" s="946"/>
      <c r="BL32" s="1335"/>
    </row>
    <row r="33" spans="1:64" s="921" customFormat="1">
      <c r="A33" s="685"/>
      <c r="B33" s="702"/>
      <c r="C33" s="930" t="s">
        <v>177</v>
      </c>
      <c r="D33" s="171"/>
      <c r="E33" s="5"/>
      <c r="F33" s="163"/>
      <c r="G33" s="163"/>
      <c r="H33" s="163"/>
      <c r="I33" s="163"/>
      <c r="J33" s="5"/>
      <c r="K33" s="946"/>
      <c r="L33" s="946"/>
      <c r="M33" s="946"/>
      <c r="N33" s="163"/>
      <c r="O33" s="959"/>
      <c r="P33" s="959"/>
      <c r="Q33" s="959"/>
      <c r="R33" s="959"/>
      <c r="S33" s="959"/>
      <c r="T33" s="959"/>
      <c r="U33" s="959"/>
      <c r="V33" s="959"/>
      <c r="W33" s="959"/>
      <c r="X33" s="960"/>
      <c r="Y33" s="959"/>
      <c r="Z33" s="959"/>
      <c r="AA33" s="959"/>
      <c r="AB33" s="959"/>
      <c r="AC33" s="960"/>
      <c r="AD33" s="959"/>
      <c r="AE33" s="959"/>
      <c r="AF33" s="959"/>
      <c r="AG33" s="959"/>
      <c r="AH33" s="163"/>
      <c r="AI33" s="163"/>
      <c r="AJ33" s="163"/>
      <c r="AK33" s="163"/>
      <c r="AL33" s="163"/>
      <c r="AM33" s="163"/>
      <c r="AN33" s="163"/>
      <c r="AO33" s="163"/>
      <c r="AP33" s="163"/>
      <c r="AQ33" s="163"/>
      <c r="AR33" s="163"/>
      <c r="AS33" s="163"/>
      <c r="AT33" s="946"/>
      <c r="AU33" s="946"/>
      <c r="AV33" s="946"/>
      <c r="AW33" s="1335"/>
      <c r="AX33" s="946"/>
      <c r="AY33" s="946"/>
      <c r="AZ33" s="946"/>
      <c r="BA33" s="946"/>
      <c r="BB33" s="1335"/>
      <c r="BC33" s="946"/>
      <c r="BD33" s="946"/>
      <c r="BE33" s="946"/>
      <c r="BF33" s="946"/>
      <c r="BG33" s="1335"/>
      <c r="BH33" s="946"/>
      <c r="BI33" s="946"/>
      <c r="BJ33" s="946"/>
      <c r="BK33" s="946"/>
      <c r="BL33" s="1335"/>
    </row>
    <row r="34" spans="1:64" s="921" customFormat="1">
      <c r="A34" s="685"/>
      <c r="B34" s="702"/>
      <c r="C34" s="930" t="s">
        <v>29</v>
      </c>
      <c r="D34" s="171"/>
      <c r="E34" s="5"/>
      <c r="F34" s="163"/>
      <c r="G34" s="163"/>
      <c r="H34" s="163"/>
      <c r="I34" s="163"/>
      <c r="J34" s="5"/>
      <c r="K34" s="946"/>
      <c r="L34" s="946"/>
      <c r="M34" s="946"/>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946"/>
      <c r="AU34" s="946"/>
      <c r="AV34" s="946"/>
      <c r="AW34" s="1335"/>
      <c r="AX34" s="946">
        <f>AX35-0.1%</f>
        <v>0.39450000000000002</v>
      </c>
      <c r="AY34" s="946">
        <f>AY35-0.1%</f>
        <v>0.39700000000000002</v>
      </c>
      <c r="AZ34" s="946">
        <f>AZ35-0.1%</f>
        <v>0.39600000000000002</v>
      </c>
      <c r="BA34" s="946">
        <f>BA35-0.1%</f>
        <v>0.39750000000000002</v>
      </c>
      <c r="BB34" s="1335"/>
      <c r="BC34" s="946">
        <f>BC35-0.1%</f>
        <v>0.39500000000000002</v>
      </c>
      <c r="BD34" s="946">
        <f>BD35-0.1%</f>
        <v>0.39400000000000002</v>
      </c>
      <c r="BE34" s="946">
        <f>BE35-0.1%</f>
        <v>0.39300000000000002</v>
      </c>
      <c r="BF34" s="946">
        <f>BF35-0.1%</f>
        <v>0.39639999999999997</v>
      </c>
      <c r="BG34" s="1335"/>
      <c r="BH34" s="946">
        <f>BH35-0.1%</f>
        <v>0.39800000000000002</v>
      </c>
      <c r="BI34" s="946">
        <f>BI35-0.1%</f>
        <v>0.39400000000000002</v>
      </c>
      <c r="BJ34" s="946">
        <f>BJ35-0.1%</f>
        <v>0.39400000000000002</v>
      </c>
      <c r="BK34" s="946">
        <f>BK35-0.1%</f>
        <v>0.39700000000000002</v>
      </c>
      <c r="BL34" s="1335"/>
    </row>
    <row r="35" spans="1:64" s="921" customFormat="1">
      <c r="A35" s="685"/>
      <c r="B35" s="702"/>
      <c r="C35" s="930" t="s">
        <v>30</v>
      </c>
      <c r="D35" s="171"/>
      <c r="E35" s="220">
        <f>'Expense Assumptions'!AU27</f>
        <v>9.705889590805894E-2</v>
      </c>
      <c r="F35" s="163">
        <f>'Expense Assumptions'!AV27</f>
        <v>3.5291058167575162E-2</v>
      </c>
      <c r="G35" s="163">
        <f>'Expense Assumptions'!AW27</f>
        <v>3.6951292377056966E-2</v>
      </c>
      <c r="H35" s="163">
        <f>'Expense Assumptions'!AX27</f>
        <v>3.1709957356447216E-2</v>
      </c>
      <c r="I35" s="163">
        <f>'Expense Assumptions'!AY27</f>
        <v>5.0635925163393658E-2</v>
      </c>
      <c r="J35" s="220">
        <f>'Expense Assumptions'!AZ27</f>
        <v>4.4997224913971845E-2</v>
      </c>
      <c r="K35" s="220">
        <f>'Expense Assumptions'!BA27</f>
        <v>4.77331351744259E-2</v>
      </c>
      <c r="L35" s="220">
        <f>'Expense Assumptions'!BB27</f>
        <v>4.5308156819116263E-2</v>
      </c>
      <c r="M35" s="220">
        <f>'Expense Assumptions'!BC27</f>
        <v>6.7574659497657397E-2</v>
      </c>
      <c r="N35" s="163">
        <f>'Expense Assumptions'!BD27</f>
        <v>5.1589497593977907E-2</v>
      </c>
      <c r="O35" s="163">
        <f>'Expense Assumptions'!BE27</f>
        <v>1.811573120770027E-2</v>
      </c>
      <c r="P35" s="163">
        <f>'Expense Assumptions'!BF27</f>
        <v>2.2475736195851859E-2</v>
      </c>
      <c r="Q35" s="163">
        <f>'Expense Assumptions'!BG27</f>
        <v>9.4861188334032231E-3</v>
      </c>
      <c r="R35" s="163">
        <f>'Expense Assumptions'!BH27</f>
        <v>1.2503481067449584E-3</v>
      </c>
      <c r="S35" s="163">
        <f>'Expense Assumptions'!BI27</f>
        <v>1.2381164766782415E-2</v>
      </c>
      <c r="T35" s="163">
        <f>'Expense Assumptions'!BJ27</f>
        <v>2.3085944920396395E-2</v>
      </c>
      <c r="U35" s="163">
        <f>'Expense Assumptions'!BK27</f>
        <v>3.6998564147228796E-2</v>
      </c>
      <c r="V35" s="163">
        <f>'Expense Assumptions'!BL27</f>
        <v>3.8728647300728891E-2</v>
      </c>
      <c r="W35" s="163">
        <f>'Expense Assumptions'!BM27</f>
        <v>4.4354779937360256E-2</v>
      </c>
      <c r="X35" s="163">
        <f>'Expense Assumptions'!BN27</f>
        <v>3.572396006546863E-2</v>
      </c>
      <c r="Y35" s="163">
        <f>'Expense Assumptions'!BO27</f>
        <v>4.3005781773676421E-2</v>
      </c>
      <c r="Z35" s="163">
        <f>'Expense Assumptions'!BP27</f>
        <v>4.1531722839958318E-2</v>
      </c>
      <c r="AA35" s="163">
        <f>'Expense Assumptions'!BQ27</f>
        <v>5.3239939514454271E-2</v>
      </c>
      <c r="AB35" s="163">
        <f>'Expense Assumptions'!BR27</f>
        <v>4.5574176038906566E-2</v>
      </c>
      <c r="AC35" s="163">
        <f>'Expense Assumptions'!BS27</f>
        <v>4.5464114353065632E-2</v>
      </c>
      <c r="AD35" s="163">
        <f>'Expense Assumptions'!BT27</f>
        <v>2.9239224923680585E-3</v>
      </c>
      <c r="AE35" s="163">
        <f>'Expense Assumptions'!BU27</f>
        <v>-4.3172843056938692E-2</v>
      </c>
      <c r="AF35" s="163">
        <f>'Expense Assumptions'!BV27</f>
        <v>-6.2320148250026741E-2</v>
      </c>
      <c r="AG35" s="163">
        <f>'Expense Assumptions'!BW27</f>
        <v>-6.3916265000379058E-2</v>
      </c>
      <c r="AH35" s="163">
        <f>'Expense Assumptions'!BX27</f>
        <v>-4.2024458044481183E-2</v>
      </c>
      <c r="AI35" s="163">
        <f>'Expense Assumptions'!BY27</f>
        <v>-3.8528556798412383E-2</v>
      </c>
      <c r="AJ35" s="163">
        <f>'Expense Assumptions'!BZ27</f>
        <v>-2.7886309550807509E-3</v>
      </c>
      <c r="AK35" s="163">
        <f>'Expense Assumptions'!CA27</f>
        <v>2.4447224206583629E-2</v>
      </c>
      <c r="AL35" s="163">
        <f>'Expense Assumptions'!CB27</f>
        <v>3.8770472679163115E-2</v>
      </c>
      <c r="AM35" s="163">
        <f>'Expense Assumptions'!CC27</f>
        <v>5.3008838848334072E-3</v>
      </c>
      <c r="AN35" s="163">
        <f>'Expense Assumptions'!CD27</f>
        <v>4.0403904576960636E-2</v>
      </c>
      <c r="AO35" s="163">
        <f>'Expense Assumptions'!CE27</f>
        <v>5.2292936746331398E-2</v>
      </c>
      <c r="AP35" s="163">
        <f>'Expense Assumptions'!CF27</f>
        <v>3.7812771547343083E-2</v>
      </c>
      <c r="AQ35" s="163">
        <f>'Expense Assumptions'!CG27</f>
        <v>3.0932418920712745E-2</v>
      </c>
      <c r="AR35" s="163">
        <v>3.3528794191834521E-2</v>
      </c>
      <c r="AS35" s="163">
        <f>'Expense Assumptions'!CI24</f>
        <v>0.39880030959752322</v>
      </c>
      <c r="AT35" s="163">
        <f>'Expense Assumptions'!CJ24</f>
        <v>0.39809247356417166</v>
      </c>
      <c r="AU35" s="163">
        <f>'Expense Assumptions'!CK24</f>
        <v>0.39787675975075004</v>
      </c>
      <c r="AV35" s="163">
        <f>'Expense Assumptions'!CL24</f>
        <v>0.40996074582924436</v>
      </c>
      <c r="AW35" s="1335"/>
      <c r="AX35" s="946">
        <v>0.39550000000000002</v>
      </c>
      <c r="AY35" s="946">
        <v>0.39800000000000002</v>
      </c>
      <c r="AZ35" s="946">
        <v>0.39700000000000002</v>
      </c>
      <c r="BA35" s="946">
        <v>0.39850000000000002</v>
      </c>
      <c r="BB35" s="1335">
        <f ca="1">'Expense Assumptions'!CR24</f>
        <v>0.39723659550393658</v>
      </c>
      <c r="BC35" s="946">
        <v>0.39600000000000002</v>
      </c>
      <c r="BD35" s="946">
        <v>0.39500000000000002</v>
      </c>
      <c r="BE35" s="946">
        <v>0.39400000000000002</v>
      </c>
      <c r="BF35" s="946">
        <v>0.39739999999999998</v>
      </c>
      <c r="BG35" s="1335">
        <f ca="1">'Expense Assumptions'!CW24</f>
        <v>0.39565627483380694</v>
      </c>
      <c r="BH35" s="946">
        <v>0.39900000000000002</v>
      </c>
      <c r="BI35" s="946">
        <v>0.39500000000000002</v>
      </c>
      <c r="BJ35" s="946">
        <v>0.39500000000000002</v>
      </c>
      <c r="BK35" s="946">
        <v>0.39800000000000002</v>
      </c>
      <c r="BL35" s="1335">
        <f>'Expense Assumptions'!DG24</f>
        <v>0</v>
      </c>
    </row>
    <row r="36" spans="1:64" s="921" customFormat="1">
      <c r="A36" s="685"/>
      <c r="B36" s="702"/>
      <c r="C36" s="930" t="s">
        <v>31</v>
      </c>
      <c r="D36" s="171"/>
      <c r="E36" s="5"/>
      <c r="F36" s="163"/>
      <c r="G36" s="163"/>
      <c r="H36" s="163"/>
      <c r="I36" s="163"/>
      <c r="J36" s="5"/>
      <c r="K36" s="946"/>
      <c r="L36" s="946"/>
      <c r="M36" s="946"/>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946"/>
      <c r="AU36" s="946"/>
      <c r="AV36" s="946"/>
      <c r="AW36" s="1335"/>
      <c r="AX36" s="946">
        <f>AX35+0.1%</f>
        <v>0.39650000000000002</v>
      </c>
      <c r="AY36" s="946">
        <f t="shared" ref="AY36" si="36">AY35+0.1%</f>
        <v>0.39900000000000002</v>
      </c>
      <c r="AZ36" s="946">
        <f t="shared" ref="AZ36" si="37">AZ35+0.1%</f>
        <v>0.39800000000000002</v>
      </c>
      <c r="BA36" s="946">
        <f t="shared" ref="BA36" si="38">BA35+0.1%</f>
        <v>0.39950000000000002</v>
      </c>
      <c r="BB36" s="1335"/>
      <c r="BC36" s="946">
        <f>BC35+0.1%</f>
        <v>0.39700000000000002</v>
      </c>
      <c r="BD36" s="946">
        <f t="shared" ref="BD36" si="39">BD35+0.1%</f>
        <v>0.39600000000000002</v>
      </c>
      <c r="BE36" s="946">
        <f t="shared" ref="BE36" si="40">BE35+0.1%</f>
        <v>0.39500000000000002</v>
      </c>
      <c r="BF36" s="946">
        <f t="shared" ref="BF36" si="41">BF35+0.1%</f>
        <v>0.39839999999999998</v>
      </c>
      <c r="BG36" s="1335"/>
      <c r="BH36" s="946">
        <f>BH35+0.1%</f>
        <v>0.4</v>
      </c>
      <c r="BI36" s="946">
        <f t="shared" ref="BI36" si="42">BI35+0.1%</f>
        <v>0.39600000000000002</v>
      </c>
      <c r="BJ36" s="946">
        <f t="shared" ref="BJ36" si="43">BJ35+0.1%</f>
        <v>0.39600000000000002</v>
      </c>
      <c r="BK36" s="946">
        <f t="shared" ref="BK36" si="44">BK35+0.1%</f>
        <v>0.39900000000000002</v>
      </c>
      <c r="BL36" s="1335"/>
    </row>
    <row r="37" spans="1:64" s="921" customFormat="1">
      <c r="A37" s="685"/>
      <c r="B37" s="702"/>
      <c r="C37" s="701"/>
      <c r="D37" s="171"/>
      <c r="E37" s="5"/>
      <c r="F37" s="5"/>
      <c r="G37" s="5"/>
      <c r="H37" s="231"/>
      <c r="I37" s="5"/>
      <c r="J37" s="231"/>
      <c r="K37" s="231"/>
      <c r="L37" s="231"/>
      <c r="M37" s="231"/>
      <c r="N37" s="5"/>
      <c r="O37" s="5"/>
      <c r="P37" s="5"/>
      <c r="Q37" s="5"/>
      <c r="R37" s="5"/>
      <c r="S37" s="5"/>
      <c r="T37" s="5"/>
      <c r="U37" s="5"/>
      <c r="V37" s="231"/>
      <c r="W37" s="231"/>
      <c r="X37" s="231"/>
      <c r="Y37" s="5"/>
      <c r="Z37" s="5"/>
      <c r="AA37" s="5"/>
      <c r="AB37" s="5"/>
      <c r="AC37" s="231"/>
      <c r="AD37" s="5"/>
      <c r="AE37" s="5"/>
      <c r="AF37" s="5"/>
      <c r="AG37" s="5"/>
      <c r="AH37" s="231"/>
      <c r="AI37" s="231"/>
      <c r="AJ37" s="231"/>
      <c r="AK37" s="231"/>
      <c r="AL37" s="231"/>
      <c r="AM37" s="231"/>
      <c r="AN37" s="231"/>
      <c r="AO37" s="231"/>
      <c r="AP37" s="231"/>
      <c r="AQ37" s="231"/>
      <c r="AR37" s="231"/>
      <c r="AS37" s="231"/>
      <c r="AT37" s="231"/>
      <c r="AU37" s="231"/>
      <c r="AV37" s="231"/>
      <c r="AW37" s="1343"/>
      <c r="AX37" s="231"/>
      <c r="AY37" s="231"/>
      <c r="AZ37" s="231"/>
      <c r="BA37" s="231"/>
      <c r="BB37" s="1343"/>
      <c r="BC37" s="231"/>
      <c r="BD37" s="231"/>
      <c r="BE37" s="231"/>
      <c r="BF37" s="231"/>
      <c r="BG37" s="1336"/>
      <c r="BH37" s="231"/>
      <c r="BI37" s="231"/>
      <c r="BJ37" s="231"/>
      <c r="BK37" s="231"/>
      <c r="BL37" s="1336"/>
    </row>
    <row r="38" spans="1:64" s="921" customFormat="1">
      <c r="A38" s="685"/>
      <c r="B38" s="702"/>
      <c r="C38" s="930" t="s">
        <v>35</v>
      </c>
      <c r="D38" s="171"/>
      <c r="E38" s="5"/>
      <c r="F38" s="5"/>
      <c r="G38" s="5"/>
      <c r="H38" s="5"/>
      <c r="I38" s="5"/>
      <c r="J38" s="5"/>
      <c r="K38" s="685"/>
      <c r="L38" s="685"/>
      <c r="M38" s="685"/>
      <c r="N38" s="5"/>
      <c r="O38" s="5"/>
      <c r="P38" s="5"/>
      <c r="Q38" s="5"/>
      <c r="R38" s="5"/>
      <c r="S38" s="5"/>
      <c r="T38" s="5"/>
      <c r="U38" s="5"/>
      <c r="V38" s="946"/>
      <c r="W38" s="946"/>
      <c r="X38" s="946"/>
      <c r="Y38" s="5"/>
      <c r="Z38" s="5"/>
      <c r="AA38" s="5"/>
      <c r="AB38" s="5"/>
      <c r="AC38" s="946"/>
      <c r="AD38" s="5"/>
      <c r="AE38" s="5"/>
      <c r="AF38" s="5"/>
      <c r="AG38" s="5"/>
      <c r="AH38" s="946"/>
      <c r="AI38" s="946"/>
      <c r="AJ38" s="946"/>
      <c r="AK38" s="946"/>
      <c r="AL38" s="946"/>
      <c r="AM38" s="946"/>
      <c r="AN38" s="946"/>
      <c r="AO38" s="946"/>
      <c r="AP38" s="946"/>
      <c r="AQ38" s="946"/>
      <c r="AR38" s="946"/>
      <c r="AS38" s="946"/>
      <c r="AT38" s="231"/>
      <c r="AU38" s="231"/>
      <c r="AV38" s="231"/>
      <c r="AW38" s="1344"/>
      <c r="AX38" s="231"/>
      <c r="AY38" s="231"/>
      <c r="AZ38" s="231"/>
      <c r="BA38" s="231"/>
      <c r="BB38" s="1344"/>
      <c r="BC38" s="231"/>
      <c r="BD38" s="231"/>
      <c r="BE38" s="231"/>
      <c r="BF38" s="231"/>
      <c r="BG38" s="1336"/>
      <c r="BH38" s="231"/>
      <c r="BI38" s="231"/>
      <c r="BJ38" s="231"/>
      <c r="BK38" s="231"/>
      <c r="BL38" s="1336"/>
    </row>
    <row r="39" spans="1:64" s="921" customFormat="1">
      <c r="A39" s="685"/>
      <c r="B39" s="702"/>
      <c r="C39" s="930" t="s">
        <v>29</v>
      </c>
      <c r="D39" s="171"/>
      <c r="E39" s="5"/>
      <c r="F39" s="163"/>
      <c r="G39" s="163"/>
      <c r="H39" s="163"/>
      <c r="I39" s="163"/>
      <c r="J39" s="5"/>
      <c r="K39" s="946"/>
      <c r="L39" s="946"/>
      <c r="M39" s="946"/>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946"/>
      <c r="AU39" s="946"/>
      <c r="AV39" s="946"/>
      <c r="AW39" s="1335"/>
      <c r="AX39" s="946">
        <f>AX40-0.1%</f>
        <v>0.13930000000000001</v>
      </c>
      <c r="AY39" s="946">
        <f>AY40-0.1%</f>
        <v>0.13999999999999999</v>
      </c>
      <c r="AZ39" s="946">
        <f>AZ40-0.1%</f>
        <v>0.13999999999999999</v>
      </c>
      <c r="BA39" s="946">
        <f>BA40-0.1%</f>
        <v>0.13999999999999999</v>
      </c>
      <c r="BB39" s="1335"/>
      <c r="BC39" s="946">
        <f>BC40-0.1%</f>
        <v>0.13999999999999999</v>
      </c>
      <c r="BD39" s="946">
        <f>BD40-0.1%</f>
        <v>0.13900000000000001</v>
      </c>
      <c r="BE39" s="946">
        <f>BE40-0.1%</f>
        <v>0.13900000000000001</v>
      </c>
      <c r="BF39" s="946">
        <f>BF40-0.1%</f>
        <v>0.1414</v>
      </c>
      <c r="BG39" s="1335"/>
      <c r="BH39" s="946">
        <f>BH40-0.1%</f>
        <v>0.13900000000000001</v>
      </c>
      <c r="BI39" s="946">
        <f>BI40-0.1%</f>
        <v>0.13900000000000001</v>
      </c>
      <c r="BJ39" s="946">
        <f>BJ40-0.1%</f>
        <v>0.13900000000000001</v>
      </c>
      <c r="BK39" s="946">
        <f>BK40-0.1%</f>
        <v>0.13900000000000001</v>
      </c>
      <c r="BL39" s="1335"/>
    </row>
    <row r="40" spans="1:64" s="921" customFormat="1">
      <c r="A40" s="685"/>
      <c r="B40" s="702"/>
      <c r="C40" s="930" t="s">
        <v>30</v>
      </c>
      <c r="D40" s="171"/>
      <c r="E40" s="163">
        <f>'Expense Assumptions'!AU36</f>
        <v>6.7651049700357069E-2</v>
      </c>
      <c r="F40" s="163">
        <f>'Expense Assumptions'!AV36</f>
        <v>3.4270873123306567E-2</v>
      </c>
      <c r="G40" s="163">
        <f>'Expense Assumptions'!AW36</f>
        <v>2.0833551871238143E-2</v>
      </c>
      <c r="H40" s="163">
        <f>'Expense Assumptions'!AX36</f>
        <v>2.9568984928014519E-2</v>
      </c>
      <c r="I40" s="163">
        <f>'Expense Assumptions'!AY36</f>
        <v>3.8700316124891554E-2</v>
      </c>
      <c r="J40" s="163">
        <f>'Expense Assumptions'!AZ36</f>
        <v>1.4287041157654556E-2</v>
      </c>
      <c r="K40" s="163">
        <f>'Expense Assumptions'!BA36</f>
        <v>3.7214547146866339E-2</v>
      </c>
      <c r="L40" s="163">
        <f>'Expense Assumptions'!BB36</f>
        <v>2.8589513648218601E-2</v>
      </c>
      <c r="M40" s="163">
        <f>'Expense Assumptions'!BC36</f>
        <v>6.9327642764249742E-3</v>
      </c>
      <c r="N40" s="163">
        <f>'Expense Assumptions'!BD36</f>
        <v>2.1520692794643415E-2</v>
      </c>
      <c r="O40" s="163">
        <f>'Expense Assumptions'!BE36</f>
        <v>4.4315343714071975E-3</v>
      </c>
      <c r="P40" s="163">
        <f>'Expense Assumptions'!BF36</f>
        <v>-4.0665552943332184E-2</v>
      </c>
      <c r="Q40" s="163">
        <f>'Expense Assumptions'!BG36</f>
        <v>-2.138351889975254E-2</v>
      </c>
      <c r="R40" s="163">
        <f>'Expense Assumptions'!BH36</f>
        <v>-6.1303998051082109E-3</v>
      </c>
      <c r="S40" s="163">
        <f>'Expense Assumptions'!BI36</f>
        <v>-1.6126663614767223E-2</v>
      </c>
      <c r="T40" s="163">
        <f>'Expense Assumptions'!BJ36</f>
        <v>1.0426904637521828E-2</v>
      </c>
      <c r="U40" s="163">
        <f>'Expense Assumptions'!BK36</f>
        <v>4.4799367951809943E-2</v>
      </c>
      <c r="V40" s="163">
        <f>'Expense Assumptions'!BL36</f>
        <v>6.5320291027126665E-4</v>
      </c>
      <c r="W40" s="163">
        <f>'Expense Assumptions'!BM36</f>
        <v>2.1195480777850273E-2</v>
      </c>
      <c r="X40" s="163">
        <f>'Expense Assumptions'!BN36</f>
        <v>1.9030818841076602E-2</v>
      </c>
      <c r="Y40" s="163">
        <f>'Expense Assumptions'!BO36</f>
        <v>7.0097338728543068E-3</v>
      </c>
      <c r="Z40" s="163">
        <f>'Expense Assumptions'!BP36</f>
        <v>1.9359649296166292E-2</v>
      </c>
      <c r="AA40" s="163">
        <f>'Expense Assumptions'!BQ36</f>
        <v>4.6564398056958334E-2</v>
      </c>
      <c r="AB40" s="163">
        <f>'Expense Assumptions'!BR36</f>
        <v>7.763127960362004E-2</v>
      </c>
      <c r="AC40" s="163">
        <f>'Expense Assumptions'!BS36</f>
        <v>3.7053035815742374E-2</v>
      </c>
      <c r="AD40" s="163">
        <f>'Expense Assumptions'!BT36</f>
        <v>6.7596193281558303E-3</v>
      </c>
      <c r="AE40" s="163">
        <f>'Expense Assumptions'!BU36</f>
        <v>-9.8178793076116877E-3</v>
      </c>
      <c r="AF40" s="163">
        <f>'Expense Assumptions'!BV36</f>
        <v>-5.6404496722878283E-3</v>
      </c>
      <c r="AG40" s="163">
        <f>'Expense Assumptions'!BW36</f>
        <v>-2.9372670279304569E-2</v>
      </c>
      <c r="AH40" s="163">
        <f>'Expense Assumptions'!BX36</f>
        <v>-8.2454804133973436E-3</v>
      </c>
      <c r="AI40" s="163">
        <f>'Expense Assumptions'!BY36</f>
        <v>2.4433551887983018E-2</v>
      </c>
      <c r="AJ40" s="163">
        <f>'Expense Assumptions'!BZ36</f>
        <v>1.8454464133433213E-2</v>
      </c>
      <c r="AK40" s="163">
        <f>'Expense Assumptions'!CA36</f>
        <v>4.1681487280932128E-2</v>
      </c>
      <c r="AL40" s="163">
        <f>'Expense Assumptions'!CB36</f>
        <v>2.4709046537323642E-2</v>
      </c>
      <c r="AM40" s="163">
        <f>'Expense Assumptions'!CC36</f>
        <v>2.5994616213080635E-2</v>
      </c>
      <c r="AN40" s="163">
        <f>'Expense Assumptions'!CD36</f>
        <v>6.2672168900826719E-2</v>
      </c>
      <c r="AO40" s="163">
        <f>'Expense Assumptions'!CE36</f>
        <v>9.6067150443740035E-2</v>
      </c>
      <c r="AP40" s="163">
        <f>'Expense Assumptions'!CF36</f>
        <v>6.7111692536480305E-2</v>
      </c>
      <c r="AQ40" s="163">
        <f>'Expense Assumptions'!CG36</f>
        <v>6.2685692877307853E-2</v>
      </c>
      <c r="AR40" s="163">
        <v>5.025183234182462E-2</v>
      </c>
      <c r="AS40" s="163">
        <f>'Expense Assumptions'!CI33</f>
        <v>0.14493034055727555</v>
      </c>
      <c r="AT40" s="163">
        <f>'Expense Assumptions'!CJ33</f>
        <v>0.14451586149699358</v>
      </c>
      <c r="AU40" s="163">
        <f>'Expense Assumptions'!CK33</f>
        <v>0.14078006000461574</v>
      </c>
      <c r="AV40" s="163">
        <f>'Expense Assumptions'!CL33</f>
        <v>0.15112855740922473</v>
      </c>
      <c r="AW40" s="1335"/>
      <c r="AX40" s="946">
        <v>0.14030000000000001</v>
      </c>
      <c r="AY40" s="946">
        <v>0.14099999999999999</v>
      </c>
      <c r="AZ40" s="946">
        <v>0.14099999999999999</v>
      </c>
      <c r="BA40" s="946">
        <v>0.14099999999999999</v>
      </c>
      <c r="BB40" s="1335">
        <f ca="1">'Expense Assumptions'!CR33</f>
        <v>0.14081378331930333</v>
      </c>
      <c r="BC40" s="946">
        <v>0.14099999999999999</v>
      </c>
      <c r="BD40" s="946">
        <v>0.14000000000000001</v>
      </c>
      <c r="BE40" s="946">
        <v>0.14000000000000001</v>
      </c>
      <c r="BF40" s="946">
        <v>0.1424</v>
      </c>
      <c r="BG40" s="1335">
        <f ca="1">'Expense Assumptions'!CW33</f>
        <v>0.14089067353289944</v>
      </c>
      <c r="BH40" s="946">
        <v>0.14000000000000001</v>
      </c>
      <c r="BI40" s="946">
        <v>0.14000000000000001</v>
      </c>
      <c r="BJ40" s="946">
        <v>0.14000000000000001</v>
      </c>
      <c r="BK40" s="946">
        <v>0.14000000000000001</v>
      </c>
      <c r="BL40" s="1335">
        <f>'Expense Assumptions'!DG33</f>
        <v>0</v>
      </c>
    </row>
    <row r="41" spans="1:64" s="921" customFormat="1">
      <c r="A41" s="685"/>
      <c r="B41" s="702"/>
      <c r="C41" s="930" t="s">
        <v>31</v>
      </c>
      <c r="D41" s="171"/>
      <c r="E41" s="5"/>
      <c r="F41" s="163"/>
      <c r="G41" s="163"/>
      <c r="H41" s="163"/>
      <c r="I41" s="163"/>
      <c r="J41" s="5"/>
      <c r="K41" s="946"/>
      <c r="L41" s="946"/>
      <c r="M41" s="946"/>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946"/>
      <c r="AU41" s="946"/>
      <c r="AV41" s="946"/>
      <c r="AW41" s="1335"/>
      <c r="AX41" s="946">
        <f>AX40+0.1%</f>
        <v>0.14130000000000001</v>
      </c>
      <c r="AY41" s="946">
        <f t="shared" ref="AY41" si="45">AY40+0.1%</f>
        <v>0.14199999999999999</v>
      </c>
      <c r="AZ41" s="946">
        <f t="shared" ref="AZ41" si="46">AZ40+0.1%</f>
        <v>0.14199999999999999</v>
      </c>
      <c r="BA41" s="946">
        <f t="shared" ref="BA41" si="47">BA40+0.1%</f>
        <v>0.14199999999999999</v>
      </c>
      <c r="BB41" s="1335"/>
      <c r="BC41" s="946">
        <f>BC40+0.1%</f>
        <v>0.14199999999999999</v>
      </c>
      <c r="BD41" s="946">
        <f t="shared" ref="BD41" si="48">BD40+0.1%</f>
        <v>0.14100000000000001</v>
      </c>
      <c r="BE41" s="946">
        <f t="shared" ref="BE41" si="49">BE40+0.1%</f>
        <v>0.14100000000000001</v>
      </c>
      <c r="BF41" s="946">
        <f t="shared" ref="BF41" si="50">BF40+0.1%</f>
        <v>0.1434</v>
      </c>
      <c r="BG41" s="1335"/>
      <c r="BH41" s="946">
        <f>BH40+0.1%</f>
        <v>0.14100000000000001</v>
      </c>
      <c r="BI41" s="946">
        <f t="shared" ref="BI41" si="51">BI40+0.1%</f>
        <v>0.14100000000000001</v>
      </c>
      <c r="BJ41" s="946">
        <f t="shared" ref="BJ41" si="52">BJ40+0.1%</f>
        <v>0.14100000000000001</v>
      </c>
      <c r="BK41" s="946">
        <f t="shared" ref="BK41" si="53">BK40+0.1%</f>
        <v>0.14100000000000001</v>
      </c>
      <c r="BL41" s="1335"/>
    </row>
    <row r="42" spans="1:64" s="921" customFormat="1">
      <c r="A42" s="685"/>
      <c r="B42" s="702"/>
      <c r="C42" s="930"/>
      <c r="D42" s="171"/>
      <c r="E42" s="5"/>
      <c r="F42" s="163"/>
      <c r="G42" s="163"/>
      <c r="H42" s="163"/>
      <c r="I42" s="163"/>
      <c r="J42" s="5"/>
      <c r="K42" s="946"/>
      <c r="L42" s="946"/>
      <c r="M42" s="946"/>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946"/>
      <c r="AU42" s="946"/>
      <c r="AV42" s="946"/>
      <c r="AW42" s="1335"/>
      <c r="AX42" s="946"/>
      <c r="AY42" s="946"/>
      <c r="AZ42" s="946"/>
      <c r="BA42" s="946"/>
      <c r="BB42" s="1335"/>
      <c r="BC42" s="946"/>
      <c r="BD42" s="946"/>
      <c r="BE42" s="946"/>
      <c r="BF42" s="946"/>
      <c r="BG42" s="1335"/>
      <c r="BH42" s="946"/>
      <c r="BI42" s="946"/>
      <c r="BJ42" s="946"/>
      <c r="BK42" s="946"/>
      <c r="BL42" s="1335"/>
    </row>
    <row r="43" spans="1:64" s="921" customFormat="1">
      <c r="A43" s="685"/>
      <c r="B43" s="702"/>
      <c r="C43" s="930" t="s">
        <v>189</v>
      </c>
      <c r="D43" s="171"/>
      <c r="E43" s="5"/>
      <c r="F43" s="163"/>
      <c r="G43" s="163"/>
      <c r="H43" s="163"/>
      <c r="I43" s="163"/>
      <c r="J43" s="5"/>
      <c r="K43" s="946"/>
      <c r="L43" s="946"/>
      <c r="M43" s="946"/>
      <c r="N43" s="163"/>
      <c r="O43" s="959"/>
      <c r="P43" s="959"/>
      <c r="Q43" s="959"/>
      <c r="R43" s="959"/>
      <c r="S43" s="959"/>
      <c r="T43" s="959"/>
      <c r="U43" s="959"/>
      <c r="V43" s="959"/>
      <c r="W43" s="959"/>
      <c r="X43" s="959"/>
      <c r="Y43" s="959"/>
      <c r="Z43" s="959"/>
      <c r="AA43" s="959"/>
      <c r="AB43" s="959"/>
      <c r="AC43" s="959"/>
      <c r="AD43" s="959"/>
      <c r="AE43" s="959"/>
      <c r="AF43" s="959"/>
      <c r="AG43" s="959"/>
      <c r="AH43" s="959"/>
      <c r="AI43" s="959"/>
      <c r="AJ43" s="959"/>
      <c r="AK43" s="959"/>
      <c r="AL43" s="959"/>
      <c r="AM43" s="959"/>
      <c r="AN43" s="959"/>
      <c r="AO43" s="959"/>
      <c r="AP43" s="959"/>
      <c r="AQ43" s="959"/>
      <c r="AR43" s="959"/>
      <c r="AS43" s="959"/>
      <c r="AT43" s="946"/>
      <c r="AU43" s="946"/>
      <c r="AV43" s="946"/>
      <c r="AW43" s="1345"/>
      <c r="AX43" s="946"/>
      <c r="AY43" s="946"/>
      <c r="AZ43" s="946"/>
      <c r="BA43" s="946"/>
      <c r="BB43" s="1345"/>
      <c r="BC43" s="946"/>
      <c r="BD43" s="946"/>
      <c r="BE43" s="946"/>
      <c r="BF43" s="946"/>
      <c r="BG43" s="1335"/>
      <c r="BH43" s="946"/>
      <c r="BI43" s="946"/>
      <c r="BJ43" s="946"/>
      <c r="BK43" s="946"/>
      <c r="BL43" s="1335"/>
    </row>
    <row r="44" spans="1:64" s="921" customFormat="1">
      <c r="A44" s="685"/>
      <c r="B44" s="702"/>
      <c r="C44" s="930" t="s">
        <v>29</v>
      </c>
      <c r="D44" s="171"/>
      <c r="E44" s="5"/>
      <c r="F44" s="163"/>
      <c r="G44" s="163"/>
      <c r="H44" s="163"/>
      <c r="I44" s="163"/>
      <c r="J44" s="5"/>
      <c r="K44" s="946"/>
      <c r="L44" s="946"/>
      <c r="M44" s="946"/>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946"/>
      <c r="AU44" s="946"/>
      <c r="AV44" s="946"/>
      <c r="AW44" s="1335"/>
      <c r="AX44" s="946">
        <f>AX45-0.1%</f>
        <v>0.19800000000000001</v>
      </c>
      <c r="AY44" s="946">
        <f>AY45-0.1%</f>
        <v>0.19839999999999999</v>
      </c>
      <c r="AZ44" s="946">
        <f>AZ45-0.1%</f>
        <v>0.19800000000000001</v>
      </c>
      <c r="BA44" s="946">
        <f>BA45-0.1%</f>
        <v>0.19839999999999999</v>
      </c>
      <c r="BB44" s="1335"/>
      <c r="BC44" s="946">
        <f>BC45-0.1%</f>
        <v>0.19600000000000001</v>
      </c>
      <c r="BD44" s="946">
        <f>BD45-0.1%</f>
        <v>0.19350000000000001</v>
      </c>
      <c r="BE44" s="946">
        <f>BE45-0.1%</f>
        <v>0.189</v>
      </c>
      <c r="BF44" s="946">
        <f>BF45-0.1%</f>
        <v>0.19439999999999999</v>
      </c>
      <c r="BG44" s="1335"/>
      <c r="BH44" s="946">
        <f>BH45-0.1%</f>
        <v>0.19400000000000001</v>
      </c>
      <c r="BI44" s="946">
        <f>BI45-0.1%</f>
        <v>0.192</v>
      </c>
      <c r="BJ44" s="946">
        <f>BJ45-0.1%</f>
        <v>0.192</v>
      </c>
      <c r="BK44" s="946">
        <f>BK45-0.1%</f>
        <v>0.19500000000000001</v>
      </c>
      <c r="BL44" s="1335"/>
    </row>
    <row r="45" spans="1:64" s="921" customFormat="1">
      <c r="A45" s="685"/>
      <c r="B45" s="702"/>
      <c r="C45" s="930" t="s">
        <v>30</v>
      </c>
      <c r="D45" s="171"/>
      <c r="E45" s="220">
        <f>'Expense Assumptions'!AU54</f>
        <v>5.1497973572796507E-2</v>
      </c>
      <c r="F45" s="163">
        <f>'Expense Assumptions'!AV54</f>
        <v>3.656421929312037E-3</v>
      </c>
      <c r="G45" s="163">
        <f>'Expense Assumptions'!AW54</f>
        <v>-2.0382921997000758E-2</v>
      </c>
      <c r="H45" s="163">
        <f>'Expense Assumptions'!AX54</f>
        <v>-1.3865500104798256E-3</v>
      </c>
      <c r="I45" s="163">
        <f>'Expense Assumptions'!AY54</f>
        <v>8.6132014447777294E-3</v>
      </c>
      <c r="J45" s="220">
        <f>'Expense Assumptions'!AZ54</f>
        <v>2.6553565528784739E-2</v>
      </c>
      <c r="K45" s="220">
        <f>'Expense Assumptions'!BA54</f>
        <v>2.8125144678504466E-2</v>
      </c>
      <c r="L45" s="220">
        <f>'Expense Assumptions'!BB54</f>
        <v>6.1102419724719637E-2</v>
      </c>
      <c r="M45" s="220">
        <f>'Expense Assumptions'!BC54</f>
        <v>6.868423734865714E-2</v>
      </c>
      <c r="N45" s="163">
        <f>'Expense Assumptions'!BD54</f>
        <v>4.608941411717038E-2</v>
      </c>
      <c r="O45" s="163">
        <f>'Expense Assumptions'!BE54</f>
        <v>-3.8661585395931564E-3</v>
      </c>
      <c r="P45" s="163">
        <f>'Expense Assumptions'!BF54</f>
        <v>4.3138275921544622E-2</v>
      </c>
      <c r="Q45" s="163">
        <f>'Expense Assumptions'!BG54</f>
        <v>-2.8231196727927954E-2</v>
      </c>
      <c r="R45" s="163">
        <f>'Expense Assumptions'!BH54</f>
        <v>-3.4259005465912096E-2</v>
      </c>
      <c r="S45" s="163">
        <f>'Expense Assumptions'!BI54</f>
        <v>-6.3464916910022096E-3</v>
      </c>
      <c r="T45" s="163">
        <f>'Expense Assumptions'!BJ54</f>
        <v>6.7354441439261725E-2</v>
      </c>
      <c r="U45" s="163">
        <f>'Expense Assumptions'!BK54</f>
        <v>7.7796763424997417E-2</v>
      </c>
      <c r="V45" s="163">
        <f>'Expense Assumptions'!BL54</f>
        <v>5.7261957970892396E-2</v>
      </c>
      <c r="W45" s="163">
        <f>'Expense Assumptions'!BM54</f>
        <v>0.11803789521735997</v>
      </c>
      <c r="X45" s="163">
        <f>'Expense Assumptions'!BN54</f>
        <v>7.9823825336795995E-2</v>
      </c>
      <c r="Y45" s="163">
        <f>'Expense Assumptions'!BO54</f>
        <v>7.1240810969697144E-3</v>
      </c>
      <c r="Z45" s="163">
        <f>'Expense Assumptions'!BP54</f>
        <v>-6.3824145116468944E-3</v>
      </c>
      <c r="AA45" s="163">
        <f>'Expense Assumptions'!BQ54</f>
        <v>7.6249973716419062E-2</v>
      </c>
      <c r="AB45" s="163">
        <f>'Expense Assumptions'!BR54</f>
        <v>2.8767597479701257E-2</v>
      </c>
      <c r="AC45" s="163">
        <f>'Expense Assumptions'!BS54</f>
        <v>2.5458182245740035E-2</v>
      </c>
      <c r="AD45" s="163">
        <f>'Expense Assumptions'!BT54</f>
        <v>7.8082231565628657E-2</v>
      </c>
      <c r="AE45" s="163">
        <f>'Expense Assumptions'!BU54</f>
        <v>5.343533909354159E-3</v>
      </c>
      <c r="AF45" s="163">
        <f>'Expense Assumptions'!BV54</f>
        <v>2.0116367049732409E-2</v>
      </c>
      <c r="AG45" s="163">
        <f>'Expense Assumptions'!BW54</f>
        <v>2.1913098131012276E-3</v>
      </c>
      <c r="AH45" s="163">
        <f>'Expense Assumptions'!BX54</f>
        <v>2.6584579454942192E-2</v>
      </c>
      <c r="AI45" s="163">
        <f>'Expense Assumptions'!BY54</f>
        <v>-2.9772084173652735E-2</v>
      </c>
      <c r="AJ45" s="163">
        <f>'Expense Assumptions'!BZ54</f>
        <v>2.6802451544362782E-2</v>
      </c>
      <c r="AK45" s="163">
        <f>'Expense Assumptions'!CA54</f>
        <v>3.2981745745867874E-2</v>
      </c>
      <c r="AL45" s="163">
        <f>'Expense Assumptions'!CB54</f>
        <v>6.2632589644398884E-2</v>
      </c>
      <c r="AM45" s="163">
        <f>'Expense Assumptions'!CC54</f>
        <v>2.2334627300304888E-2</v>
      </c>
      <c r="AN45" s="163">
        <f>'Expense Assumptions'!CD54</f>
        <v>9.7379309801368663E-2</v>
      </c>
      <c r="AO45" s="163">
        <f>'Expense Assumptions'!CE54</f>
        <v>1.6641994614483568E-2</v>
      </c>
      <c r="AP45" s="163">
        <f>'Expense Assumptions'!CF54</f>
        <v>8.6671775591826705E-3</v>
      </c>
      <c r="AQ45" s="163">
        <f>'Expense Assumptions'!CG54</f>
        <v>0.19371817902891864</v>
      </c>
      <c r="AR45" s="163">
        <v>3.1592186506782749E-2</v>
      </c>
      <c r="AS45" s="163">
        <f>'Expense Assumptions'!CI51</f>
        <v>0.24496904024767802</v>
      </c>
      <c r="AT45" s="163">
        <f>'Expense Assumptions'!CJ51</f>
        <v>0.21086460709102217</v>
      </c>
      <c r="AU45" s="163">
        <f>'Expense Assumptions'!CK51</f>
        <v>0.21024694207246711</v>
      </c>
      <c r="AV45" s="163">
        <f>'Expense Assumptions'!CL51</f>
        <v>0.21614327772325809</v>
      </c>
      <c r="AW45" s="1335"/>
      <c r="AX45" s="946">
        <v>0.19900000000000001</v>
      </c>
      <c r="AY45" s="946">
        <v>0.19939999999999999</v>
      </c>
      <c r="AZ45" s="946">
        <v>0.19900000000000001</v>
      </c>
      <c r="BA45" s="946">
        <v>0.19939999999999999</v>
      </c>
      <c r="BB45" s="1335">
        <f ca="1">'Expense Assumptions'!CR51</f>
        <v>0.19920264472116619</v>
      </c>
      <c r="BC45" s="946">
        <v>0.19700000000000001</v>
      </c>
      <c r="BD45" s="946">
        <v>0.19450000000000001</v>
      </c>
      <c r="BE45" s="946">
        <v>0.19</v>
      </c>
      <c r="BF45" s="946">
        <v>0.19539999999999999</v>
      </c>
      <c r="BG45" s="1335">
        <f ca="1">'Expense Assumptions'!CW51</f>
        <v>0.19432219942428719</v>
      </c>
      <c r="BH45" s="946">
        <v>0.19500000000000001</v>
      </c>
      <c r="BI45" s="946">
        <v>0.193</v>
      </c>
      <c r="BJ45" s="946">
        <v>0.193</v>
      </c>
      <c r="BK45" s="946">
        <v>0.19600000000000001</v>
      </c>
      <c r="BL45" s="1335">
        <f>'Expense Assumptions'!DG51</f>
        <v>0</v>
      </c>
    </row>
    <row r="46" spans="1:64" s="921" customFormat="1">
      <c r="A46" s="685"/>
      <c r="B46" s="702"/>
      <c r="C46" s="930" t="s">
        <v>31</v>
      </c>
      <c r="D46" s="171"/>
      <c r="E46" s="5"/>
      <c r="F46" s="163"/>
      <c r="G46" s="163"/>
      <c r="H46" s="163"/>
      <c r="I46" s="163"/>
      <c r="J46" s="5"/>
      <c r="K46" s="946"/>
      <c r="L46" s="946"/>
      <c r="M46" s="946"/>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946"/>
      <c r="AU46" s="946"/>
      <c r="AV46" s="946"/>
      <c r="AW46" s="1335"/>
      <c r="AX46" s="946">
        <f>AX45+0.1%</f>
        <v>0.2</v>
      </c>
      <c r="AY46" s="946">
        <f t="shared" ref="AY46" si="54">AY45+0.1%</f>
        <v>0.20039999999999999</v>
      </c>
      <c r="AZ46" s="946">
        <f t="shared" ref="AZ46" si="55">AZ45+0.1%</f>
        <v>0.2</v>
      </c>
      <c r="BA46" s="946">
        <f t="shared" ref="BA46" si="56">BA45+0.1%</f>
        <v>0.20039999999999999</v>
      </c>
      <c r="BB46" s="1335"/>
      <c r="BC46" s="946">
        <f>BC45+0.1%</f>
        <v>0.19800000000000001</v>
      </c>
      <c r="BD46" s="946">
        <f t="shared" ref="BD46" si="57">BD45+0.1%</f>
        <v>0.19550000000000001</v>
      </c>
      <c r="BE46" s="946">
        <f t="shared" ref="BE46" si="58">BE45+0.1%</f>
        <v>0.191</v>
      </c>
      <c r="BF46" s="946">
        <f t="shared" ref="BF46" si="59">BF45+0.1%</f>
        <v>0.19639999999999999</v>
      </c>
      <c r="BG46" s="1335"/>
      <c r="BH46" s="946">
        <f>BH45+0.1%</f>
        <v>0.19600000000000001</v>
      </c>
      <c r="BI46" s="946">
        <f t="shared" ref="BI46" si="60">BI45+0.1%</f>
        <v>0.19400000000000001</v>
      </c>
      <c r="BJ46" s="946">
        <f t="shared" ref="BJ46" si="61">BJ45+0.1%</f>
        <v>0.19400000000000001</v>
      </c>
      <c r="BK46" s="946">
        <f t="shared" ref="BK46" si="62">BK45+0.1%</f>
        <v>0.19700000000000001</v>
      </c>
      <c r="BL46" s="1335"/>
    </row>
    <row r="47" spans="1:64" s="921" customFormat="1" ht="13.5" thickBot="1">
      <c r="A47" s="685"/>
      <c r="B47" s="739"/>
      <c r="C47" s="737"/>
      <c r="D47" s="737"/>
      <c r="E47" s="737"/>
      <c r="F47" s="737"/>
      <c r="G47" s="737"/>
      <c r="H47" s="737"/>
      <c r="I47" s="737"/>
      <c r="J47" s="737"/>
      <c r="K47" s="737"/>
      <c r="L47" s="737"/>
      <c r="M47" s="737"/>
      <c r="N47" s="737"/>
      <c r="O47" s="737"/>
      <c r="P47" s="737"/>
      <c r="Q47" s="737"/>
      <c r="R47" s="737"/>
      <c r="S47" s="737"/>
      <c r="T47" s="737"/>
      <c r="U47" s="737"/>
      <c r="V47" s="737"/>
      <c r="W47" s="737"/>
      <c r="X47" s="737"/>
      <c r="Y47" s="737"/>
      <c r="Z47" s="737"/>
      <c r="AA47" s="737"/>
      <c r="AB47" s="737"/>
      <c r="AC47" s="737"/>
      <c r="AD47" s="737"/>
      <c r="AE47" s="737"/>
      <c r="AF47" s="737"/>
      <c r="AG47" s="737"/>
      <c r="AH47" s="737"/>
      <c r="AI47" s="737"/>
      <c r="AJ47" s="737"/>
      <c r="AK47" s="737"/>
      <c r="AL47" s="737"/>
      <c r="AM47" s="737"/>
      <c r="AN47" s="737"/>
      <c r="AO47" s="737"/>
      <c r="AP47" s="737"/>
      <c r="AQ47" s="737"/>
      <c r="AR47" s="737"/>
      <c r="AS47" s="737"/>
      <c r="AT47" s="737"/>
      <c r="AU47" s="737"/>
      <c r="AV47" s="737"/>
      <c r="AW47" s="1346"/>
      <c r="AX47" s="737"/>
      <c r="AY47" s="737"/>
      <c r="AZ47" s="737"/>
      <c r="BA47" s="737"/>
      <c r="BB47" s="1346"/>
      <c r="BC47" s="737"/>
      <c r="BD47" s="737"/>
      <c r="BE47" s="737"/>
      <c r="BF47" s="737"/>
      <c r="BG47" s="1346"/>
      <c r="BH47" s="737"/>
      <c r="BI47" s="737"/>
      <c r="BJ47" s="737"/>
      <c r="BK47" s="737"/>
      <c r="BL47" s="1346"/>
    </row>
    <row r="48" spans="1:64" s="921" customFormat="1">
      <c r="A48" s="685"/>
      <c r="B48" s="685"/>
      <c r="C48" s="685"/>
      <c r="D48" s="685"/>
      <c r="E48" s="685"/>
      <c r="F48" s="685"/>
      <c r="G48" s="685"/>
      <c r="H48" s="685"/>
      <c r="I48" s="685"/>
      <c r="J48" s="685"/>
      <c r="K48" s="685"/>
      <c r="L48" s="685"/>
      <c r="M48" s="685"/>
      <c r="N48" s="685"/>
      <c r="O48" s="740"/>
      <c r="P48" s="740"/>
      <c r="Q48" s="740"/>
      <c r="R48" s="740"/>
      <c r="S48" s="740"/>
      <c r="T48" s="740"/>
      <c r="U48" s="740"/>
      <c r="V48" s="946"/>
      <c r="W48" s="946"/>
      <c r="X48" s="163"/>
      <c r="Y48" s="946"/>
      <c r="Z48" s="740"/>
      <c r="AA48" s="740"/>
      <c r="AB48" s="740"/>
      <c r="AC48" s="740"/>
      <c r="AD48" s="961"/>
      <c r="AE48" s="740"/>
      <c r="AF48" s="740"/>
      <c r="AG48" s="740"/>
      <c r="AH48" s="740"/>
      <c r="AI48" s="961"/>
      <c r="AJ48" s="740"/>
      <c r="AK48" s="740"/>
      <c r="AL48" s="740"/>
      <c r="AM48" s="740"/>
      <c r="AN48" s="961"/>
      <c r="AO48" s="740"/>
      <c r="AP48" s="740"/>
      <c r="AQ48" s="740"/>
      <c r="AR48" s="740"/>
      <c r="AS48" s="961"/>
      <c r="AT48" s="740"/>
      <c r="AU48" s="740"/>
      <c r="AV48" s="740"/>
      <c r="AW48" s="740"/>
      <c r="AX48" s="961"/>
      <c r="AY48" s="740"/>
      <c r="AZ48" s="740"/>
      <c r="BA48" s="740"/>
      <c r="BB48" s="740"/>
      <c r="BC48" s="961"/>
      <c r="BD48" s="740"/>
      <c r="BE48" s="740"/>
      <c r="BF48" s="740"/>
      <c r="BG48" s="740"/>
      <c r="BH48" s="961"/>
      <c r="BI48" s="740"/>
      <c r="BJ48" s="740"/>
      <c r="BK48" s="740"/>
      <c r="BL48" s="740"/>
    </row>
    <row r="49" spans="1:64" s="921" customFormat="1">
      <c r="A49" s="685"/>
      <c r="B49" s="685"/>
      <c r="C49" s="685"/>
      <c r="D49" s="685"/>
      <c r="E49" s="685"/>
      <c r="F49" s="685"/>
      <c r="G49" s="685"/>
      <c r="H49" s="685"/>
      <c r="I49" s="685"/>
      <c r="J49" s="685"/>
      <c r="K49" s="685"/>
      <c r="L49" s="685"/>
      <c r="M49" s="685"/>
      <c r="N49" s="685"/>
      <c r="O49" s="741"/>
      <c r="P49" s="741"/>
      <c r="Q49" s="741"/>
      <c r="R49" s="741"/>
      <c r="S49" s="741"/>
      <c r="T49" s="741"/>
      <c r="U49" s="5"/>
      <c r="V49" s="5"/>
      <c r="W49" s="5"/>
      <c r="X49" s="159"/>
      <c r="Y49" s="962"/>
      <c r="Z49" s="741"/>
      <c r="AA49" s="741"/>
      <c r="AB49" s="741"/>
      <c r="AC49" s="741"/>
      <c r="AD49" s="171"/>
      <c r="AE49" s="685"/>
      <c r="AF49" s="685"/>
      <c r="AG49" s="685"/>
      <c r="AH49" s="685"/>
      <c r="AI49" s="171"/>
      <c r="AJ49" s="685"/>
      <c r="AK49" s="685"/>
      <c r="AL49" s="685"/>
      <c r="AM49" s="685"/>
      <c r="AN49" s="171"/>
      <c r="AO49" s="685"/>
      <c r="AP49" s="685"/>
      <c r="AQ49" s="685"/>
      <c r="AR49" s="685"/>
      <c r="AS49" s="171"/>
      <c r="AT49" s="685"/>
      <c r="AU49" s="685"/>
      <c r="AV49" s="685"/>
      <c r="AW49" s="685"/>
      <c r="AX49" s="171"/>
      <c r="AY49" s="685"/>
      <c r="AZ49" s="685"/>
      <c r="BA49" s="685"/>
      <c r="BB49" s="685"/>
      <c r="BC49" s="171"/>
      <c r="BD49" s="685"/>
      <c r="BE49" s="685"/>
      <c r="BF49" s="685"/>
      <c r="BG49" s="685"/>
      <c r="BH49" s="171"/>
      <c r="BI49" s="685"/>
      <c r="BJ49" s="685"/>
      <c r="BK49" s="685"/>
      <c r="BL49" s="685"/>
    </row>
    <row r="50" spans="1:64" s="921" customFormat="1">
      <c r="A50" s="685"/>
      <c r="B50" s="183" t="s">
        <v>10</v>
      </c>
      <c r="C50" s="685"/>
      <c r="D50" s="685"/>
      <c r="E50" s="933"/>
      <c r="F50" s="933"/>
      <c r="G50" s="933"/>
      <c r="H50" s="933"/>
      <c r="I50" s="933"/>
      <c r="J50" s="933"/>
      <c r="K50" s="933"/>
      <c r="L50" s="933"/>
      <c r="M50" s="933"/>
      <c r="N50" s="933"/>
      <c r="O50" s="933"/>
      <c r="P50" s="933"/>
      <c r="Q50" s="933"/>
      <c r="R50" s="933"/>
      <c r="S50" s="933"/>
      <c r="T50" s="933"/>
      <c r="U50" s="871"/>
      <c r="V50" s="871"/>
      <c r="W50" s="933"/>
      <c r="X50" s="933"/>
      <c r="Y50" s="933"/>
      <c r="Z50" s="933"/>
      <c r="AA50" s="933"/>
      <c r="AB50" s="933"/>
      <c r="AC50" s="933"/>
      <c r="AD50" s="933"/>
      <c r="AE50" s="933"/>
      <c r="AF50" s="933"/>
      <c r="AG50" s="933"/>
      <c r="AH50" s="933"/>
      <c r="AI50" s="933"/>
      <c r="AJ50" s="933"/>
      <c r="AK50" s="933"/>
      <c r="AL50" s="933"/>
      <c r="AM50" s="933"/>
      <c r="AN50" s="933"/>
      <c r="AO50" s="933"/>
      <c r="AP50" s="933"/>
      <c r="AQ50" s="933"/>
      <c r="AR50" s="933"/>
      <c r="AS50" s="959"/>
      <c r="AT50" s="933"/>
      <c r="AU50" s="933"/>
      <c r="AV50" s="933"/>
      <c r="AW50" s="933"/>
      <c r="AX50" s="959"/>
      <c r="AY50" s="933"/>
      <c r="AZ50" s="933"/>
      <c r="BA50" s="933"/>
      <c r="BB50" s="933"/>
      <c r="BC50" s="959"/>
      <c r="BD50" s="933"/>
      <c r="BE50" s="933"/>
      <c r="BF50" s="933"/>
      <c r="BG50" s="933"/>
      <c r="BH50" s="959"/>
      <c r="BI50" s="933"/>
      <c r="BJ50" s="933"/>
      <c r="BK50" s="933"/>
      <c r="BL50" s="933"/>
    </row>
    <row r="51" spans="1:64" s="921" customFormat="1">
      <c r="A51" s="685"/>
      <c r="B51" s="685" t="s">
        <v>36</v>
      </c>
      <c r="C51" s="685"/>
      <c r="D51" s="685"/>
      <c r="E51" s="685"/>
      <c r="F51" s="933"/>
      <c r="G51" s="933"/>
      <c r="H51" s="933"/>
      <c r="I51" s="933"/>
      <c r="J51" s="933"/>
      <c r="K51" s="66"/>
      <c r="L51" s="66"/>
      <c r="M51" s="66"/>
      <c r="N51" s="66"/>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163"/>
      <c r="AT51" s="66"/>
      <c r="AU51" s="66"/>
      <c r="AV51" s="66"/>
      <c r="AW51" s="66"/>
      <c r="AX51" s="163"/>
      <c r="AY51" s="66"/>
      <c r="AZ51" s="66"/>
      <c r="BA51" s="66"/>
      <c r="BB51" s="66"/>
      <c r="BC51" s="163"/>
      <c r="BD51" s="66"/>
      <c r="BE51" s="66"/>
      <c r="BF51" s="66"/>
      <c r="BG51" s="66"/>
      <c r="BH51" s="163"/>
      <c r="BI51" s="66"/>
      <c r="BJ51" s="66"/>
      <c r="BK51" s="66"/>
      <c r="BL51" s="66"/>
    </row>
    <row r="52" spans="1:64" s="921" customFormat="1">
      <c r="A52" s="685"/>
      <c r="B52" s="963" t="s">
        <v>37</v>
      </c>
      <c r="C52" s="685"/>
      <c r="D52" s="685"/>
      <c r="E52" s="685"/>
      <c r="F52" s="933"/>
      <c r="G52" s="933"/>
      <c r="H52" s="933"/>
      <c r="I52" s="933"/>
      <c r="J52" s="933"/>
      <c r="K52" s="933"/>
      <c r="L52" s="933"/>
      <c r="M52" s="933"/>
      <c r="N52" s="933"/>
      <c r="O52" s="933"/>
      <c r="P52" s="933"/>
      <c r="Q52" s="933"/>
      <c r="R52" s="933"/>
      <c r="S52" s="933"/>
      <c r="T52" s="685"/>
      <c r="U52" s="685"/>
      <c r="V52" s="685"/>
      <c r="W52" s="685"/>
      <c r="X52" s="685"/>
      <c r="Y52" s="685"/>
      <c r="Z52" s="685"/>
      <c r="AA52" s="685"/>
      <c r="AB52" s="685"/>
      <c r="AC52" s="685"/>
      <c r="AD52" s="171"/>
      <c r="AE52" s="685"/>
      <c r="AF52" s="685"/>
      <c r="AG52" s="685"/>
      <c r="AH52" s="685"/>
      <c r="AI52" s="171"/>
      <c r="AJ52" s="685"/>
      <c r="AK52" s="685"/>
      <c r="AL52" s="685"/>
      <c r="AM52" s="685"/>
      <c r="AN52" s="171"/>
      <c r="AO52" s="685"/>
      <c r="AP52" s="685"/>
      <c r="AQ52" s="685"/>
      <c r="AR52" s="685"/>
      <c r="AS52" s="171"/>
      <c r="AT52" s="685"/>
      <c r="AU52" s="685"/>
      <c r="AV52" s="685"/>
      <c r="AW52" s="685"/>
      <c r="AX52" s="171"/>
      <c r="AY52" s="685"/>
      <c r="AZ52" s="685"/>
      <c r="BA52" s="685"/>
      <c r="BB52" s="685"/>
      <c r="BC52" s="171"/>
      <c r="BD52" s="685"/>
      <c r="BE52" s="685"/>
      <c r="BF52" s="685"/>
      <c r="BG52" s="685"/>
      <c r="BH52" s="171"/>
      <c r="BI52" s="685"/>
      <c r="BJ52" s="685"/>
      <c r="BK52" s="685"/>
      <c r="BL52" s="685"/>
    </row>
    <row r="53" spans="1:64" s="921" customFormat="1">
      <c r="A53" s="685"/>
      <c r="B53" s="685" t="s">
        <v>38</v>
      </c>
      <c r="C53" s="685"/>
      <c r="D53" s="685"/>
      <c r="E53" s="933"/>
      <c r="F53" s="933"/>
      <c r="G53" s="933"/>
      <c r="H53" s="933"/>
      <c r="I53" s="933"/>
      <c r="J53" s="933"/>
      <c r="K53" s="933"/>
      <c r="L53" s="933"/>
      <c r="M53" s="933"/>
      <c r="N53" s="964"/>
      <c r="O53" s="933"/>
      <c r="P53" s="933"/>
      <c r="Q53" s="933"/>
      <c r="R53" s="933"/>
      <c r="S53" s="964"/>
      <c r="T53" s="685"/>
      <c r="U53" s="685"/>
      <c r="V53" s="685"/>
      <c r="W53" s="685"/>
      <c r="X53" s="183"/>
      <c r="Y53" s="685"/>
      <c r="Z53" s="685"/>
      <c r="AA53" s="685"/>
      <c r="AB53" s="685"/>
      <c r="AC53" s="183"/>
      <c r="AD53" s="171"/>
      <c r="AE53" s="685"/>
      <c r="AF53" s="685"/>
      <c r="AG53" s="685"/>
      <c r="AH53" s="183"/>
      <c r="AI53" s="171"/>
      <c r="AJ53" s="685"/>
      <c r="AK53" s="685"/>
      <c r="AL53" s="685"/>
      <c r="AM53" s="183"/>
      <c r="AN53" s="171"/>
      <c r="AO53" s="685"/>
      <c r="AP53" s="685"/>
      <c r="AQ53" s="685"/>
      <c r="AR53" s="183"/>
      <c r="AS53" s="171"/>
      <c r="AT53" s="685"/>
      <c r="AU53" s="685"/>
      <c r="AV53" s="685"/>
      <c r="AW53" s="183"/>
      <c r="AX53" s="171"/>
      <c r="AY53" s="685"/>
      <c r="AZ53" s="685"/>
      <c r="BA53" s="685"/>
      <c r="BB53" s="183"/>
      <c r="BC53" s="171"/>
      <c r="BD53" s="685"/>
      <c r="BE53" s="685"/>
      <c r="BF53" s="685"/>
      <c r="BG53" s="183"/>
      <c r="BH53" s="171"/>
      <c r="BI53" s="685"/>
      <c r="BJ53" s="685"/>
      <c r="BK53" s="685"/>
      <c r="BL53" s="183"/>
    </row>
    <row r="54" spans="1:64" s="921" customFormat="1">
      <c r="A54" s="685"/>
      <c r="B54" s="685" t="s">
        <v>39</v>
      </c>
      <c r="C54" s="685"/>
      <c r="D54" s="685"/>
      <c r="E54" s="933"/>
      <c r="F54" s="933"/>
      <c r="G54" s="933"/>
      <c r="H54" s="933"/>
      <c r="I54" s="933"/>
      <c r="J54" s="933"/>
      <c r="K54" s="933"/>
      <c r="L54" s="933"/>
      <c r="M54" s="933"/>
      <c r="N54" s="933"/>
      <c r="O54" s="933"/>
      <c r="P54" s="933"/>
      <c r="Q54" s="933"/>
      <c r="R54" s="933"/>
      <c r="S54" s="933"/>
      <c r="T54" s="933"/>
      <c r="U54" s="933"/>
      <c r="V54" s="933"/>
      <c r="W54" s="933"/>
      <c r="X54" s="933"/>
      <c r="Y54" s="933"/>
      <c r="Z54" s="933"/>
      <c r="AA54" s="933"/>
      <c r="AB54" s="933"/>
      <c r="AC54" s="933"/>
      <c r="AD54" s="933"/>
      <c r="AE54" s="933"/>
      <c r="AF54" s="933"/>
      <c r="AG54" s="933"/>
      <c r="AH54" s="933"/>
      <c r="AI54" s="933"/>
      <c r="AJ54" s="933"/>
      <c r="AK54" s="933"/>
      <c r="AL54" s="933"/>
      <c r="AM54" s="933"/>
      <c r="AN54" s="933"/>
      <c r="AO54" s="933"/>
      <c r="AP54" s="933"/>
      <c r="AQ54" s="933"/>
      <c r="AR54" s="933"/>
      <c r="AS54" s="959"/>
      <c r="AT54" s="933"/>
      <c r="AU54" s="933"/>
      <c r="AV54" s="933"/>
      <c r="AW54" s="933"/>
      <c r="AX54" s="959"/>
      <c r="AY54" s="933"/>
      <c r="AZ54" s="933"/>
      <c r="BA54" s="933"/>
      <c r="BB54" s="933"/>
      <c r="BC54" s="959"/>
      <c r="BD54" s="933"/>
      <c r="BE54" s="933"/>
      <c r="BF54" s="933"/>
      <c r="BG54" s="933"/>
      <c r="BH54" s="959"/>
      <c r="BI54" s="933"/>
      <c r="BJ54" s="933"/>
      <c r="BK54" s="933"/>
      <c r="BL54" s="933"/>
    </row>
    <row r="55" spans="1:64" s="921" customFormat="1">
      <c r="A55" s="685"/>
      <c r="B55" s="685"/>
      <c r="C55" s="685"/>
      <c r="D55" s="685"/>
      <c r="E55" s="933"/>
      <c r="F55" s="933"/>
      <c r="G55" s="933"/>
      <c r="H55" s="933"/>
      <c r="I55" s="933"/>
      <c r="J55" s="933"/>
      <c r="K55" s="933"/>
      <c r="L55" s="933"/>
      <c r="M55" s="933"/>
      <c r="N55" s="933"/>
      <c r="O55" s="933"/>
      <c r="P55" s="933"/>
      <c r="Q55" s="933"/>
      <c r="R55" s="933"/>
      <c r="S55" s="933"/>
      <c r="T55" s="933"/>
      <c r="U55" s="933"/>
      <c r="V55" s="933"/>
      <c r="W55" s="933"/>
      <c r="X55" s="933"/>
      <c r="Y55" s="933"/>
      <c r="Z55" s="933"/>
      <c r="AA55" s="933"/>
      <c r="AB55" s="933"/>
      <c r="AC55" s="933"/>
      <c r="AD55" s="933"/>
      <c r="AE55" s="933"/>
      <c r="AF55" s="933"/>
      <c r="AG55" s="933"/>
      <c r="AH55" s="933"/>
      <c r="AI55" s="933"/>
      <c r="AJ55" s="933"/>
      <c r="AK55" s="933"/>
      <c r="AL55" s="933"/>
      <c r="AM55" s="933"/>
      <c r="AN55" s="933"/>
      <c r="AO55" s="933"/>
      <c r="AP55" s="933"/>
      <c r="AQ55" s="933"/>
      <c r="AR55" s="933"/>
      <c r="AS55" s="959"/>
      <c r="AT55" s="933"/>
      <c r="AU55" s="933"/>
      <c r="AV55" s="933"/>
      <c r="AW55" s="933"/>
      <c r="AX55" s="959"/>
      <c r="AY55" s="933"/>
      <c r="AZ55" s="933"/>
      <c r="BA55" s="933"/>
      <c r="BB55" s="933"/>
      <c r="BC55" s="959"/>
      <c r="BD55" s="933"/>
      <c r="BE55" s="933"/>
      <c r="BF55" s="933"/>
      <c r="BG55" s="933"/>
      <c r="BH55" s="959"/>
      <c r="BI55" s="933"/>
      <c r="BJ55" s="933"/>
      <c r="BK55" s="933"/>
      <c r="BL55" s="933"/>
    </row>
    <row r="56" spans="1:64" s="921" customFormat="1">
      <c r="A56" s="685"/>
      <c r="B56" s="685"/>
      <c r="C56" s="685"/>
      <c r="D56" s="685"/>
      <c r="E56" s="933"/>
      <c r="F56" s="933"/>
      <c r="G56" s="933"/>
      <c r="H56" s="933"/>
      <c r="I56" s="933"/>
      <c r="J56" s="933"/>
      <c r="K56" s="933"/>
      <c r="L56" s="933"/>
      <c r="M56" s="933"/>
      <c r="N56" s="933"/>
      <c r="O56" s="933"/>
      <c r="P56" s="933"/>
      <c r="Q56" s="933"/>
      <c r="R56" s="933"/>
      <c r="S56" s="933"/>
      <c r="T56" s="933"/>
      <c r="U56" s="933"/>
      <c r="V56" s="933"/>
      <c r="W56" s="933"/>
      <c r="X56" s="933"/>
      <c r="Y56" s="933"/>
      <c r="Z56" s="933"/>
      <c r="AA56" s="933"/>
      <c r="AB56" s="933"/>
      <c r="AC56" s="933"/>
      <c r="AD56" s="933"/>
      <c r="AE56" s="933"/>
      <c r="AF56" s="933"/>
      <c r="AG56" s="933"/>
      <c r="AH56" s="933"/>
      <c r="AI56" s="933"/>
      <c r="AJ56" s="933"/>
      <c r="AK56" s="933"/>
      <c r="AL56" s="933"/>
      <c r="AM56" s="933"/>
      <c r="AN56" s="933"/>
      <c r="AO56" s="933"/>
      <c r="AP56" s="933"/>
      <c r="AQ56" s="933"/>
      <c r="AR56" s="933"/>
      <c r="AS56" s="959"/>
      <c r="AT56" s="933"/>
      <c r="AU56" s="933"/>
      <c r="AV56" s="933"/>
      <c r="AW56" s="933"/>
      <c r="AX56" s="959"/>
      <c r="AY56" s="933"/>
      <c r="AZ56" s="933"/>
      <c r="BA56" s="933"/>
      <c r="BB56" s="933"/>
      <c r="BC56" s="959"/>
      <c r="BD56" s="933"/>
      <c r="BE56" s="933"/>
      <c r="BF56" s="933"/>
      <c r="BG56" s="933"/>
      <c r="BH56" s="959"/>
      <c r="BI56" s="933"/>
      <c r="BJ56" s="933"/>
      <c r="BK56" s="933"/>
      <c r="BL56" s="933"/>
    </row>
    <row r="57" spans="1:64" s="921" customFormat="1">
      <c r="A57" s="685"/>
      <c r="B57" s="685"/>
      <c r="C57" s="685"/>
      <c r="D57" s="685"/>
      <c r="E57" s="685"/>
      <c r="F57" s="933"/>
      <c r="G57" s="933"/>
      <c r="H57" s="933"/>
      <c r="I57" s="964"/>
      <c r="J57" s="933"/>
      <c r="K57" s="933"/>
      <c r="L57" s="933"/>
      <c r="M57" s="933"/>
      <c r="N57" s="964"/>
      <c r="O57" s="933"/>
      <c r="P57" s="933"/>
      <c r="Q57" s="933"/>
      <c r="R57" s="933"/>
      <c r="S57" s="964"/>
      <c r="T57" s="66"/>
      <c r="U57" s="66"/>
      <c r="V57" s="66"/>
      <c r="W57" s="66"/>
      <c r="X57" s="965"/>
      <c r="Y57" s="66"/>
      <c r="Z57" s="66"/>
      <c r="AA57" s="66"/>
      <c r="AB57" s="66"/>
      <c r="AC57" s="965"/>
      <c r="AD57" s="66"/>
      <c r="AE57" s="66"/>
      <c r="AF57" s="66"/>
      <c r="AG57" s="66"/>
      <c r="AH57" s="965"/>
      <c r="AI57" s="163"/>
      <c r="AJ57" s="66"/>
      <c r="AK57" s="66"/>
      <c r="AL57" s="66"/>
      <c r="AM57" s="965"/>
      <c r="AN57" s="163"/>
      <c r="AO57" s="66"/>
      <c r="AP57" s="66"/>
      <c r="AQ57" s="66"/>
      <c r="AR57" s="965"/>
      <c r="AS57" s="163"/>
      <c r="AT57" s="66"/>
      <c r="AU57" s="66"/>
      <c r="AV57" s="66"/>
      <c r="AW57" s="965"/>
      <c r="AX57" s="163"/>
      <c r="AY57" s="66"/>
      <c r="AZ57" s="66"/>
      <c r="BA57" s="66"/>
      <c r="BB57" s="965"/>
      <c r="BC57" s="163"/>
      <c r="BD57" s="66"/>
      <c r="BE57" s="66"/>
      <c r="BF57" s="66"/>
      <c r="BG57" s="965"/>
      <c r="BH57" s="163"/>
      <c r="BI57" s="66"/>
      <c r="BJ57" s="66"/>
      <c r="BK57" s="66"/>
      <c r="BL57" s="965"/>
    </row>
    <row r="58" spans="1:64" s="921" customFormat="1">
      <c r="A58" s="685"/>
      <c r="B58" s="685"/>
      <c r="C58" s="685"/>
      <c r="D58" s="685"/>
      <c r="E58" s="933"/>
      <c r="F58" s="933"/>
      <c r="G58" s="933"/>
      <c r="H58" s="933"/>
      <c r="I58" s="933"/>
      <c r="J58" s="933"/>
      <c r="K58" s="933"/>
      <c r="L58" s="933"/>
      <c r="M58" s="933"/>
      <c r="N58" s="933"/>
      <c r="O58" s="933"/>
      <c r="P58" s="933"/>
      <c r="Q58" s="933"/>
      <c r="R58" s="933"/>
      <c r="S58" s="933"/>
      <c r="T58" s="933"/>
      <c r="U58" s="933"/>
      <c r="V58" s="933"/>
      <c r="W58" s="933"/>
      <c r="X58" s="933"/>
      <c r="Y58" s="933"/>
      <c r="Z58" s="933"/>
      <c r="AA58" s="933"/>
      <c r="AB58" s="933"/>
      <c r="AC58" s="933"/>
      <c r="AD58" s="933"/>
      <c r="AE58" s="933"/>
      <c r="AF58" s="933"/>
      <c r="AG58" s="933"/>
      <c r="AH58" s="933"/>
      <c r="AI58" s="933"/>
      <c r="AJ58" s="933"/>
      <c r="AK58" s="933"/>
      <c r="AL58" s="933"/>
      <c r="AM58" s="933"/>
      <c r="AN58" s="933"/>
      <c r="AO58" s="933"/>
      <c r="AP58" s="933"/>
      <c r="AQ58" s="933"/>
      <c r="AR58" s="933"/>
      <c r="AS58" s="959"/>
      <c r="AT58" s="933"/>
      <c r="AU58" s="933"/>
      <c r="AV58" s="933"/>
      <c r="AW58" s="933"/>
      <c r="AX58" s="959"/>
      <c r="AY58" s="933"/>
      <c r="AZ58" s="933"/>
      <c r="BA58" s="933"/>
      <c r="BB58" s="933"/>
      <c r="BC58" s="959"/>
      <c r="BD58" s="933"/>
      <c r="BE58" s="933"/>
      <c r="BF58" s="933"/>
      <c r="BG58" s="933"/>
      <c r="BH58" s="959"/>
      <c r="BI58" s="933"/>
      <c r="BJ58" s="933"/>
      <c r="BK58" s="933"/>
      <c r="BL58" s="933"/>
    </row>
    <row r="59" spans="1:64" s="921" customFormat="1" ht="13.5" hidden="1" outlineLevel="1" thickBot="1">
      <c r="A59" s="685"/>
      <c r="B59" s="381" t="s">
        <v>418</v>
      </c>
      <c r="C59" s="685"/>
      <c r="D59" s="933"/>
      <c r="E59" s="933"/>
      <c r="F59" s="933"/>
      <c r="G59" s="933"/>
      <c r="H59" s="933"/>
      <c r="I59" s="933"/>
      <c r="J59" s="933"/>
      <c r="K59" s="933"/>
      <c r="L59" s="933"/>
      <c r="M59" s="933"/>
      <c r="N59" s="933"/>
      <c r="O59" s="933"/>
      <c r="P59" s="933"/>
      <c r="Q59" s="933"/>
      <c r="R59" s="933"/>
      <c r="S59" s="933"/>
      <c r="T59" s="933"/>
      <c r="U59" s="933"/>
      <c r="V59" s="933"/>
      <c r="W59" s="933"/>
      <c r="X59" s="933"/>
      <c r="Y59" s="933"/>
      <c r="Z59" s="933"/>
      <c r="AA59" s="933"/>
      <c r="AB59" s="933"/>
      <c r="AC59" s="933"/>
      <c r="AD59" s="933"/>
      <c r="AE59" s="933"/>
      <c r="AF59" s="933"/>
      <c r="AG59" s="933"/>
      <c r="AH59" s="933"/>
      <c r="AI59" s="933"/>
      <c r="AJ59" s="933"/>
      <c r="AK59" s="933"/>
      <c r="AL59" s="933"/>
      <c r="AM59" s="933"/>
      <c r="AN59" s="933"/>
      <c r="AO59" s="933"/>
      <c r="AP59" s="933"/>
      <c r="AQ59" s="933"/>
      <c r="AR59" s="933"/>
      <c r="AS59" s="959"/>
      <c r="AT59" s="933"/>
      <c r="AU59" s="933"/>
      <c r="AV59" s="933"/>
      <c r="AW59" s="933"/>
      <c r="AX59" s="959"/>
      <c r="AY59" s="933"/>
      <c r="AZ59" s="933"/>
      <c r="BA59" s="933"/>
      <c r="BB59" s="933"/>
      <c r="BC59" s="959"/>
      <c r="BD59" s="933"/>
      <c r="BE59" s="933"/>
      <c r="BF59" s="933"/>
      <c r="BG59" s="933"/>
      <c r="BH59" s="959"/>
      <c r="BI59" s="933"/>
      <c r="BJ59" s="933"/>
      <c r="BK59" s="933"/>
      <c r="BL59" s="933"/>
    </row>
    <row r="60" spans="1:64" s="921" customFormat="1" ht="16.5" hidden="1" outlineLevel="1" thickBot="1">
      <c r="A60" s="742"/>
      <c r="B60" s="966" t="s">
        <v>561</v>
      </c>
      <c r="C60" s="742"/>
      <c r="D60" s="66"/>
      <c r="E60" s="66"/>
      <c r="F60" s="66"/>
      <c r="G60" s="66"/>
      <c r="H60" s="66"/>
      <c r="I60" s="965"/>
      <c r="J60" s="66"/>
      <c r="K60" s="742"/>
      <c r="L60" s="742"/>
      <c r="M60" s="742"/>
      <c r="N60" s="742"/>
      <c r="O60" s="742"/>
      <c r="P60" s="742"/>
      <c r="Q60" s="742"/>
      <c r="R60" s="742"/>
      <c r="S60" s="742"/>
      <c r="T60" s="742"/>
      <c r="U60" s="742"/>
      <c r="V60" s="742"/>
      <c r="W60" s="742"/>
      <c r="X60" s="742"/>
      <c r="Y60" s="742"/>
      <c r="Z60" s="742"/>
      <c r="AA60" s="742"/>
      <c r="AB60" s="742"/>
      <c r="AC60" s="742"/>
      <c r="AD60" s="742"/>
      <c r="AE60" s="742"/>
      <c r="AF60" s="742"/>
      <c r="AG60" s="742"/>
      <c r="AH60" s="742"/>
      <c r="AI60" s="742"/>
      <c r="AJ60" s="742"/>
      <c r="AK60" s="742"/>
      <c r="AL60" s="742"/>
      <c r="AM60" s="742"/>
      <c r="AN60" s="742"/>
      <c r="AO60" s="742"/>
      <c r="AP60" s="742"/>
      <c r="AQ60" s="742"/>
      <c r="AR60" s="742"/>
      <c r="AS60" s="967"/>
      <c r="AT60" s="742"/>
      <c r="AU60" s="742"/>
      <c r="AV60" s="742"/>
      <c r="AW60" s="742"/>
      <c r="AX60" s="967"/>
      <c r="AY60" s="742"/>
      <c r="AZ60" s="742"/>
      <c r="BA60" s="742"/>
      <c r="BB60" s="742"/>
      <c r="BC60" s="967"/>
      <c r="BD60" s="742"/>
      <c r="BE60" s="742"/>
      <c r="BF60" s="742"/>
      <c r="BG60" s="742"/>
      <c r="BH60" s="967"/>
      <c r="BI60" s="742"/>
      <c r="BJ60" s="742"/>
      <c r="BK60" s="742"/>
      <c r="BL60" s="742"/>
    </row>
    <row r="61" spans="1:64" s="921" customFormat="1" collapsed="1"/>
    <row r="62" spans="1:64" s="921" customFormat="1" ht="13.5" hidden="1" outlineLevel="1" thickBot="1">
      <c r="B62" s="968" t="s">
        <v>150</v>
      </c>
      <c r="C62" s="969"/>
    </row>
    <row r="63" spans="1:64" s="921" customFormat="1" hidden="1" outlineLevel="1">
      <c r="B63" s="380" t="s">
        <v>430</v>
      </c>
      <c r="C63" s="671">
        <v>0.65</v>
      </c>
    </row>
    <row r="64" spans="1:64" s="921" customFormat="1" hidden="1" outlineLevel="1">
      <c r="B64" s="378" t="s">
        <v>188</v>
      </c>
      <c r="C64" s="672">
        <v>0.1</v>
      </c>
    </row>
    <row r="65" spans="2:3" s="921" customFormat="1" ht="13.5" hidden="1" outlineLevel="1" thickBot="1">
      <c r="B65" s="379" t="s">
        <v>370</v>
      </c>
      <c r="C65" s="673">
        <v>0.75</v>
      </c>
    </row>
    <row r="66" spans="2:3" s="921" customFormat="1" collapsed="1"/>
    <row r="67" spans="2:3" s="921" customFormat="1"/>
    <row r="68" spans="2:3" s="921" customFormat="1"/>
    <row r="69" spans="2:3" s="921" customFormat="1"/>
    <row r="70" spans="2:3" s="921" customFormat="1"/>
    <row r="71" spans="2:3" s="921" customFormat="1"/>
    <row r="72" spans="2:3" s="921" customFormat="1"/>
    <row r="73" spans="2:3" s="921" customFormat="1"/>
    <row r="74" spans="2:3" s="921" customFormat="1"/>
    <row r="75" spans="2:3" s="921" customFormat="1"/>
    <row r="76" spans="2:3" s="921" customFormat="1"/>
    <row r="77" spans="2:3" s="921" customFormat="1"/>
  </sheetData>
  <mergeCells count="3">
    <mergeCell ref="B10:D10"/>
    <mergeCell ref="B14:D14"/>
    <mergeCell ref="B18:D18"/>
  </mergeCells>
  <phoneticPr fontId="18" type="noConversion"/>
  <dataValidations disablePrompts="1" count="1">
    <dataValidation type="list" allowBlank="1" showInputMessage="1" showErrorMessage="1" sqref="C26 C8">
      <formula1>"1, 2, 3"</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DJ127"/>
  <sheetViews>
    <sheetView showGridLines="0" zoomScaleNormal="100" zoomScaleSheetLayoutView="85" workbookViewId="0">
      <pane xSplit="2" ySplit="4" topLeftCell="CH5" activePane="bottomRight" state="frozen"/>
      <selection pane="topRight" activeCell="C1" sqref="C1"/>
      <selection pane="bottomLeft" activeCell="A7" sqref="A7"/>
      <selection pane="bottomRight" activeCell="CH5" sqref="CH5"/>
    </sheetView>
  </sheetViews>
  <sheetFormatPr defaultRowHeight="12.75" outlineLevelRow="1" outlineLevelCol="2"/>
  <cols>
    <col min="1" max="1" width="1.140625" customWidth="1"/>
    <col min="2" max="2" width="35.7109375" customWidth="1"/>
    <col min="3" max="3" width="1.140625" hidden="1" customWidth="1" outlineLevel="2"/>
    <col min="4" max="5" width="8.42578125" hidden="1" customWidth="1" outlineLevel="2"/>
    <col min="6" max="6" width="8.42578125" hidden="1" customWidth="1" outlineLevel="1"/>
    <col min="7" max="10" width="8.42578125" hidden="1" customWidth="1" outlineLevel="2"/>
    <col min="11" max="11" width="8.42578125" hidden="1" customWidth="1" outlineLevel="1"/>
    <col min="12" max="15" width="8.42578125" hidden="1" customWidth="1" outlineLevel="2"/>
    <col min="16" max="16" width="8.42578125" hidden="1" customWidth="1" outlineLevel="1"/>
    <col min="17" max="20" width="8.42578125" hidden="1" customWidth="1" outlineLevel="2"/>
    <col min="21" max="21" width="8.42578125" hidden="1" customWidth="1" outlineLevel="1"/>
    <col min="22" max="25" width="8.42578125" hidden="1" customWidth="1" outlineLevel="2"/>
    <col min="26" max="26" width="8.42578125" hidden="1" customWidth="1" outlineLevel="1"/>
    <col min="27" max="30" width="8.42578125" hidden="1" customWidth="1" outlineLevel="2"/>
    <col min="31" max="31" width="8.42578125" hidden="1" customWidth="1" outlineLevel="1"/>
    <col min="32" max="35" width="8.42578125" hidden="1" customWidth="1" outlineLevel="2"/>
    <col min="36" max="36" width="8.42578125" hidden="1" customWidth="1" outlineLevel="1"/>
    <col min="37" max="40" width="8.42578125" hidden="1" customWidth="1" outlineLevel="2"/>
    <col min="41" max="41" width="8.42578125" hidden="1" customWidth="1" outlineLevel="1"/>
    <col min="42" max="45" width="8.42578125" hidden="1" customWidth="1" outlineLevel="2"/>
    <col min="46" max="50" width="8.42578125" hidden="1" customWidth="1" outlineLevel="1"/>
    <col min="51" max="51" width="8.42578125" hidden="1" customWidth="1" collapsed="1"/>
    <col min="52" max="55" width="8.42578125" hidden="1" customWidth="1" outlineLevel="1"/>
    <col min="56" max="56" width="8.42578125" hidden="1" customWidth="1" collapsed="1"/>
    <col min="57" max="60" width="8.42578125" hidden="1" customWidth="1" outlineLevel="1"/>
    <col min="61" max="61" width="8.42578125" hidden="1" customWidth="1" collapsed="1"/>
    <col min="62" max="65" width="8.42578125" hidden="1" customWidth="1" outlineLevel="1"/>
    <col min="66" max="66" width="9.5703125" hidden="1" customWidth="1" collapsed="1"/>
    <col min="67" max="67" width="8.140625" hidden="1" customWidth="1" outlineLevel="1"/>
    <col min="68" max="70" width="8.42578125" hidden="1" customWidth="1" outlineLevel="1"/>
    <col min="71" max="71" width="9" hidden="1" customWidth="1" collapsed="1"/>
    <col min="72" max="72" width="9.7109375" hidden="1" customWidth="1" outlineLevel="1"/>
    <col min="73" max="75" width="8.42578125" hidden="1" customWidth="1" outlineLevel="1"/>
    <col min="76" max="76" width="9.5703125" hidden="1" customWidth="1" collapsed="1"/>
    <col min="77" max="77" width="9.7109375" hidden="1" customWidth="1" outlineLevel="1"/>
    <col min="78" max="80" width="8.42578125" hidden="1" customWidth="1" outlineLevel="1"/>
    <col min="81" max="81" width="9.42578125" hidden="1" customWidth="1" collapsed="1"/>
    <col min="82" max="85" width="8.42578125" hidden="1" customWidth="1" outlineLevel="1"/>
    <col min="86" max="86" width="9.28515625" customWidth="1" collapsed="1"/>
    <col min="87" max="90" width="8.42578125" hidden="1" customWidth="1" outlineLevel="1"/>
    <col min="91" max="91" width="8.5703125" customWidth="1" collapsed="1"/>
    <col min="92" max="95" width="8.42578125" customWidth="1" outlineLevel="1"/>
    <col min="96" max="96" width="8.85546875" customWidth="1"/>
    <col min="97" max="97" width="9.42578125" customWidth="1" outlineLevel="1"/>
    <col min="98" max="100" width="8.42578125" customWidth="1" outlineLevel="1"/>
    <col min="101" max="101" width="10" customWidth="1"/>
    <col min="102" max="102" width="9.42578125" hidden="1" customWidth="1" outlineLevel="1"/>
    <col min="103" max="105" width="8.42578125" hidden="1" customWidth="1" outlineLevel="1"/>
    <col min="106" max="106" width="10" customWidth="1" collapsed="1"/>
    <col min="107" max="107" width="25.7109375" hidden="1" customWidth="1" outlineLevel="1"/>
    <col min="108" max="111" width="9.140625" hidden="1" customWidth="1" outlineLevel="1"/>
    <col min="112" max="112" width="9.140625" hidden="1" customWidth="1" outlineLevel="1" collapsed="1"/>
    <col min="113" max="113" width="9.140625" hidden="1" customWidth="1" outlineLevel="1"/>
    <col min="114" max="114" width="9.140625" collapsed="1"/>
  </cols>
  <sheetData>
    <row r="1" spans="1:114" ht="15.75">
      <c r="A1" s="712" t="s">
        <v>97</v>
      </c>
      <c r="B1" s="713"/>
      <c r="C1" s="744"/>
      <c r="D1" s="745"/>
      <c r="E1" s="745"/>
      <c r="F1" s="745"/>
      <c r="G1" s="745"/>
      <c r="H1" s="745"/>
      <c r="I1" s="745"/>
      <c r="J1" s="745"/>
      <c r="K1" s="745"/>
      <c r="L1" s="745"/>
      <c r="M1" s="745"/>
      <c r="N1" s="745"/>
      <c r="O1" s="745"/>
      <c r="P1" s="745"/>
      <c r="Q1" s="745"/>
      <c r="R1" s="745"/>
      <c r="S1" s="745"/>
      <c r="T1" s="745"/>
      <c r="U1" s="745"/>
      <c r="V1" s="745"/>
      <c r="W1" s="745"/>
      <c r="X1" s="745"/>
      <c r="Y1" s="745"/>
      <c r="Z1" s="745"/>
      <c r="AA1" s="745"/>
      <c r="AB1" s="745"/>
      <c r="AC1" s="745"/>
      <c r="AD1" s="745"/>
      <c r="AE1" s="745"/>
      <c r="AF1" s="745"/>
      <c r="AG1" s="745"/>
      <c r="AH1" s="745"/>
      <c r="AI1" s="745"/>
      <c r="AJ1" s="745"/>
      <c r="AK1" s="745"/>
      <c r="AL1" s="745"/>
      <c r="AM1" s="745"/>
      <c r="AN1" s="745"/>
      <c r="AO1" s="745"/>
      <c r="AP1" s="745"/>
      <c r="AQ1" s="745"/>
      <c r="AR1" s="745"/>
      <c r="AS1" s="745"/>
      <c r="AT1" s="745"/>
      <c r="AU1" s="745"/>
      <c r="AV1" s="745"/>
      <c r="AW1" s="745"/>
      <c r="AX1" s="745"/>
      <c r="AY1" s="745"/>
      <c r="AZ1" s="745"/>
      <c r="BA1" s="745"/>
      <c r="BB1" s="745"/>
      <c r="BC1" s="745"/>
      <c r="BD1" s="745"/>
      <c r="BE1" s="745"/>
      <c r="BF1" s="745"/>
      <c r="BG1" s="745"/>
      <c r="BH1" s="745"/>
      <c r="BI1" s="745"/>
      <c r="BJ1" s="745"/>
      <c r="BK1" s="745"/>
      <c r="BL1" s="745"/>
      <c r="BM1" s="745"/>
      <c r="BN1" s="745"/>
      <c r="BO1" s="745"/>
      <c r="BP1" s="746"/>
      <c r="BQ1" s="745"/>
      <c r="BR1" s="745"/>
      <c r="BS1" s="714"/>
      <c r="BT1" s="745"/>
      <c r="BU1" s="745"/>
      <c r="BV1" s="745"/>
      <c r="BW1" s="745"/>
      <c r="BX1" s="747"/>
      <c r="BY1" s="745"/>
      <c r="BZ1" s="746"/>
      <c r="CA1" s="746"/>
      <c r="CB1" s="745"/>
      <c r="CC1" s="746"/>
      <c r="CD1" s="745"/>
      <c r="CE1" s="746"/>
      <c r="CF1" s="746"/>
      <c r="CG1" s="745"/>
      <c r="CH1" s="748"/>
      <c r="CI1" s="745"/>
      <c r="CJ1" s="749"/>
      <c r="CK1" s="745"/>
      <c r="CL1" s="745"/>
      <c r="CM1" s="745"/>
      <c r="CN1" s="745"/>
      <c r="CO1" s="745"/>
      <c r="CP1" s="745"/>
      <c r="CQ1" s="745"/>
      <c r="CR1" s="745"/>
      <c r="CS1" s="745"/>
      <c r="CT1" s="745"/>
      <c r="CU1" s="745"/>
      <c r="CV1" s="745"/>
      <c r="CW1" s="745"/>
      <c r="CX1" s="745"/>
      <c r="CY1" s="745"/>
      <c r="CZ1" s="745"/>
      <c r="DA1" s="745"/>
      <c r="DB1" s="750"/>
    </row>
    <row r="2" spans="1:114" ht="12.75" customHeight="1">
      <c r="A2" s="789" t="s">
        <v>644</v>
      </c>
      <c r="B2" s="751"/>
      <c r="C2" s="752"/>
      <c r="D2" s="753"/>
      <c r="E2" s="753"/>
      <c r="F2" s="753"/>
      <c r="G2" s="753"/>
      <c r="H2" s="753"/>
      <c r="I2" s="753"/>
      <c r="J2" s="753"/>
      <c r="K2" s="753"/>
      <c r="L2" s="753"/>
      <c r="M2" s="753"/>
      <c r="N2" s="753"/>
      <c r="O2" s="753"/>
      <c r="P2" s="753"/>
      <c r="Q2" s="753"/>
      <c r="R2" s="753"/>
      <c r="S2" s="753"/>
      <c r="T2" s="753"/>
      <c r="U2" s="753"/>
      <c r="V2" s="753"/>
      <c r="W2" s="753"/>
      <c r="X2" s="753"/>
      <c r="Y2" s="753"/>
      <c r="Z2" s="753"/>
      <c r="AA2" s="753"/>
      <c r="AB2" s="753"/>
      <c r="AC2" s="753"/>
      <c r="AD2" s="753"/>
      <c r="AE2" s="753"/>
      <c r="AF2" s="753"/>
      <c r="AG2" s="753"/>
      <c r="AH2" s="753"/>
      <c r="AI2" s="753"/>
      <c r="AJ2" s="753"/>
      <c r="AK2" s="753"/>
      <c r="AL2" s="753"/>
      <c r="AM2" s="753"/>
      <c r="AN2" s="753"/>
      <c r="AO2" s="753"/>
      <c r="AP2" s="753"/>
      <c r="AQ2" s="753"/>
      <c r="AR2" s="753"/>
      <c r="AS2" s="753"/>
      <c r="AT2" s="753"/>
      <c r="AU2" s="753"/>
      <c r="AV2" s="753"/>
      <c r="AW2" s="753"/>
      <c r="AX2" s="753"/>
      <c r="AY2" s="754"/>
      <c r="AZ2" s="753"/>
      <c r="BA2" s="753"/>
      <c r="BB2" s="753"/>
      <c r="BC2" s="754"/>
      <c r="BD2" s="755"/>
      <c r="BE2" s="754"/>
      <c r="BF2" s="753"/>
      <c r="BG2" s="756"/>
      <c r="BH2" s="756"/>
      <c r="BI2" s="754"/>
      <c r="BJ2" s="754"/>
      <c r="BK2" s="753"/>
      <c r="BL2" s="753"/>
      <c r="BM2" s="753"/>
      <c r="BN2" s="757"/>
      <c r="BO2" s="753"/>
      <c r="BP2" s="754"/>
      <c r="BQ2" s="753"/>
      <c r="BR2" s="753"/>
      <c r="BS2" s="758"/>
      <c r="BT2" s="753"/>
      <c r="BU2" s="753"/>
      <c r="BV2" s="753"/>
      <c r="BW2" s="753"/>
      <c r="BX2" s="759"/>
      <c r="BY2" s="753"/>
      <c r="BZ2" s="754"/>
      <c r="CA2" s="754"/>
      <c r="CB2" s="753"/>
      <c r="CC2" s="759"/>
      <c r="CD2" s="753"/>
      <c r="CE2" s="754"/>
      <c r="CF2" s="754"/>
      <c r="CG2" s="760"/>
      <c r="CH2" s="761"/>
      <c r="CI2" s="753"/>
      <c r="CJ2" s="753"/>
      <c r="CK2" s="753"/>
      <c r="CL2" s="753"/>
      <c r="CM2" s="761"/>
      <c r="CN2" s="753"/>
      <c r="CO2" s="753"/>
      <c r="CP2" s="753"/>
      <c r="CQ2" s="753"/>
      <c r="CR2" s="761"/>
      <c r="CS2" s="753"/>
      <c r="CT2" s="753"/>
      <c r="CU2" s="753"/>
      <c r="CV2" s="753"/>
      <c r="CW2" s="761"/>
      <c r="CX2" s="753"/>
      <c r="CY2" s="753"/>
      <c r="CZ2" s="753"/>
      <c r="DA2" s="753"/>
      <c r="DB2" s="761"/>
    </row>
    <row r="3" spans="1:114" s="725" customFormat="1">
      <c r="A3" s="970"/>
      <c r="B3" s="971" t="s">
        <v>98</v>
      </c>
      <c r="C3" s="972"/>
      <c r="D3" s="973"/>
      <c r="E3" s="973"/>
      <c r="F3" s="973"/>
      <c r="G3" s="974">
        <v>36981</v>
      </c>
      <c r="H3" s="974">
        <v>37072</v>
      </c>
      <c r="I3" s="974">
        <v>37164</v>
      </c>
      <c r="J3" s="974">
        <v>37256</v>
      </c>
      <c r="K3" s="973">
        <f>J3</f>
        <v>37256</v>
      </c>
      <c r="L3" s="974">
        <v>37346</v>
      </c>
      <c r="M3" s="974">
        <v>37437</v>
      </c>
      <c r="N3" s="974">
        <v>37529</v>
      </c>
      <c r="O3" s="974">
        <v>37621</v>
      </c>
      <c r="P3" s="973">
        <f>O3</f>
        <v>37621</v>
      </c>
      <c r="Q3" s="974">
        <v>37711</v>
      </c>
      <c r="R3" s="974">
        <v>37802</v>
      </c>
      <c r="S3" s="974">
        <v>37894</v>
      </c>
      <c r="T3" s="974">
        <v>37986</v>
      </c>
      <c r="U3" s="973">
        <f>T3</f>
        <v>37986</v>
      </c>
      <c r="V3" s="974">
        <v>38077</v>
      </c>
      <c r="W3" s="974">
        <v>38168</v>
      </c>
      <c r="X3" s="974">
        <v>38260</v>
      </c>
      <c r="Y3" s="974">
        <v>38352</v>
      </c>
      <c r="Z3" s="973">
        <f>Y3</f>
        <v>38352</v>
      </c>
      <c r="AA3" s="974">
        <v>38442</v>
      </c>
      <c r="AB3" s="974">
        <v>38533</v>
      </c>
      <c r="AC3" s="974">
        <v>38625</v>
      </c>
      <c r="AD3" s="974">
        <v>38717</v>
      </c>
      <c r="AE3" s="973">
        <f>AD3</f>
        <v>38717</v>
      </c>
      <c r="AF3" s="974">
        <v>38807</v>
      </c>
      <c r="AG3" s="974">
        <v>38898</v>
      </c>
      <c r="AH3" s="974">
        <v>38990</v>
      </c>
      <c r="AI3" s="974">
        <v>39082</v>
      </c>
      <c r="AJ3" s="973">
        <f>AI3</f>
        <v>39082</v>
      </c>
      <c r="AK3" s="974">
        <v>39172</v>
      </c>
      <c r="AL3" s="974">
        <v>39263</v>
      </c>
      <c r="AM3" s="974">
        <v>39355</v>
      </c>
      <c r="AN3" s="974">
        <v>39447</v>
      </c>
      <c r="AO3" s="973">
        <f>AN3</f>
        <v>39447</v>
      </c>
      <c r="AP3" s="974">
        <v>39538</v>
      </c>
      <c r="AQ3" s="974">
        <v>39629</v>
      </c>
      <c r="AR3" s="974">
        <v>39721</v>
      </c>
      <c r="AS3" s="974">
        <v>39813</v>
      </c>
      <c r="AT3" s="973">
        <f>AS3</f>
        <v>39813</v>
      </c>
      <c r="AU3" s="974">
        <v>39903</v>
      </c>
      <c r="AV3" s="974">
        <v>39994</v>
      </c>
      <c r="AW3" s="974">
        <v>40086</v>
      </c>
      <c r="AX3" s="974">
        <v>40178</v>
      </c>
      <c r="AY3" s="973">
        <f>AX3</f>
        <v>40178</v>
      </c>
      <c r="AZ3" s="974">
        <v>40268</v>
      </c>
      <c r="BA3" s="974">
        <v>40359</v>
      </c>
      <c r="BB3" s="974">
        <v>40451</v>
      </c>
      <c r="BC3" s="974">
        <v>40543</v>
      </c>
      <c r="BD3" s="973">
        <f>BC3</f>
        <v>40543</v>
      </c>
      <c r="BE3" s="974">
        <v>40633</v>
      </c>
      <c r="BF3" s="974">
        <v>40724</v>
      </c>
      <c r="BG3" s="974">
        <v>40816</v>
      </c>
      <c r="BH3" s="974">
        <v>40908</v>
      </c>
      <c r="BI3" s="973">
        <f>BH3</f>
        <v>40908</v>
      </c>
      <c r="BJ3" s="974">
        <v>40999</v>
      </c>
      <c r="BK3" s="974">
        <v>41090</v>
      </c>
      <c r="BL3" s="974">
        <v>41182</v>
      </c>
      <c r="BM3" s="974">
        <v>41274</v>
      </c>
      <c r="BN3" s="973">
        <f>BM3</f>
        <v>41274</v>
      </c>
      <c r="BO3" s="974">
        <v>41364</v>
      </c>
      <c r="BP3" s="974">
        <v>41455</v>
      </c>
      <c r="BQ3" s="974">
        <v>41547</v>
      </c>
      <c r="BR3" s="974">
        <v>41639</v>
      </c>
      <c r="BS3" s="973">
        <f>BR3</f>
        <v>41639</v>
      </c>
      <c r="BT3" s="974">
        <v>41729</v>
      </c>
      <c r="BU3" s="974">
        <v>41820</v>
      </c>
      <c r="BV3" s="974">
        <v>41912</v>
      </c>
      <c r="BW3" s="974">
        <v>42004</v>
      </c>
      <c r="BX3" s="973">
        <f>BW3</f>
        <v>42004</v>
      </c>
      <c r="BY3" s="974">
        <v>42094</v>
      </c>
      <c r="BZ3" s="974">
        <v>42185</v>
      </c>
      <c r="CA3" s="974">
        <v>42277</v>
      </c>
      <c r="CB3" s="974">
        <v>42369</v>
      </c>
      <c r="CC3" s="973">
        <f>CB3</f>
        <v>42369</v>
      </c>
      <c r="CD3" s="974">
        <v>42460</v>
      </c>
      <c r="CE3" s="974">
        <v>42551</v>
      </c>
      <c r="CF3" s="974">
        <v>42643</v>
      </c>
      <c r="CG3" s="974">
        <v>42735</v>
      </c>
      <c r="CH3" s="973">
        <f>CG3</f>
        <v>42735</v>
      </c>
      <c r="CI3" s="974">
        <v>42825</v>
      </c>
      <c r="CJ3" s="974">
        <v>42916</v>
      </c>
      <c r="CK3" s="974">
        <v>43008</v>
      </c>
      <c r="CL3" s="974">
        <v>43100</v>
      </c>
      <c r="CM3" s="973">
        <f>CL3</f>
        <v>43100</v>
      </c>
      <c r="CN3" s="974">
        <v>43190</v>
      </c>
      <c r="CO3" s="974">
        <v>43281</v>
      </c>
      <c r="CP3" s="974">
        <v>43373</v>
      </c>
      <c r="CQ3" s="974">
        <v>43465</v>
      </c>
      <c r="CR3" s="973">
        <f>CQ3</f>
        <v>43465</v>
      </c>
      <c r="CS3" s="974">
        <v>43555</v>
      </c>
      <c r="CT3" s="974">
        <v>43646</v>
      </c>
      <c r="CU3" s="974">
        <v>43738</v>
      </c>
      <c r="CV3" s="974">
        <v>43830</v>
      </c>
      <c r="CW3" s="973">
        <f>CV3</f>
        <v>43830</v>
      </c>
      <c r="CX3" s="974">
        <v>43921</v>
      </c>
      <c r="CY3" s="974">
        <v>44012</v>
      </c>
      <c r="CZ3" s="974">
        <v>44104</v>
      </c>
      <c r="DA3" s="974">
        <v>44196</v>
      </c>
      <c r="DB3" s="973">
        <f>DA3</f>
        <v>44196</v>
      </c>
      <c r="DC3"/>
      <c r="DD3"/>
      <c r="DE3"/>
      <c r="DF3"/>
      <c r="DG3"/>
      <c r="DJ3"/>
    </row>
    <row r="4" spans="1:114" s="725" customFormat="1">
      <c r="A4" s="49"/>
      <c r="B4" s="975" t="s">
        <v>100</v>
      </c>
      <c r="C4" s="976"/>
      <c r="D4" s="976" t="s">
        <v>101</v>
      </c>
      <c r="E4" s="976" t="s">
        <v>102</v>
      </c>
      <c r="F4" s="976" t="s">
        <v>103</v>
      </c>
      <c r="G4" s="977" t="s">
        <v>104</v>
      </c>
      <c r="H4" s="977" t="s">
        <v>105</v>
      </c>
      <c r="I4" s="977" t="s">
        <v>106</v>
      </c>
      <c r="J4" s="977" t="s">
        <v>107</v>
      </c>
      <c r="K4" s="976" t="s">
        <v>108</v>
      </c>
      <c r="L4" s="977" t="s">
        <v>109</v>
      </c>
      <c r="M4" s="977" t="s">
        <v>110</v>
      </c>
      <c r="N4" s="977" t="s">
        <v>111</v>
      </c>
      <c r="O4" s="977" t="s">
        <v>112</v>
      </c>
      <c r="P4" s="976" t="s">
        <v>113</v>
      </c>
      <c r="Q4" s="977" t="s">
        <v>114</v>
      </c>
      <c r="R4" s="977" t="s">
        <v>115</v>
      </c>
      <c r="S4" s="977" t="s">
        <v>116</v>
      </c>
      <c r="T4" s="977" t="s">
        <v>117</v>
      </c>
      <c r="U4" s="976" t="s">
        <v>118</v>
      </c>
      <c r="V4" s="977" t="s">
        <v>119</v>
      </c>
      <c r="W4" s="977" t="s">
        <v>120</v>
      </c>
      <c r="X4" s="977" t="s">
        <v>121</v>
      </c>
      <c r="Y4" s="977" t="s">
        <v>122</v>
      </c>
      <c r="Z4" s="976" t="s">
        <v>123</v>
      </c>
      <c r="AA4" s="977" t="s">
        <v>124</v>
      </c>
      <c r="AB4" s="977" t="s">
        <v>125</v>
      </c>
      <c r="AC4" s="977" t="s">
        <v>126</v>
      </c>
      <c r="AD4" s="977" t="s">
        <v>127</v>
      </c>
      <c r="AE4" s="976" t="s">
        <v>128</v>
      </c>
      <c r="AF4" s="977" t="s">
        <v>129</v>
      </c>
      <c r="AG4" s="977" t="s">
        <v>130</v>
      </c>
      <c r="AH4" s="977" t="s">
        <v>131</v>
      </c>
      <c r="AI4" s="977" t="s">
        <v>132</v>
      </c>
      <c r="AJ4" s="976" t="s">
        <v>133</v>
      </c>
      <c r="AK4" s="977" t="s">
        <v>134</v>
      </c>
      <c r="AL4" s="977" t="s">
        <v>135</v>
      </c>
      <c r="AM4" s="977" t="s">
        <v>136</v>
      </c>
      <c r="AN4" s="977" t="s">
        <v>137</v>
      </c>
      <c r="AO4" s="976" t="s">
        <v>138</v>
      </c>
      <c r="AP4" s="977" t="s">
        <v>139</v>
      </c>
      <c r="AQ4" s="977" t="s">
        <v>140</v>
      </c>
      <c r="AR4" s="977" t="s">
        <v>141</v>
      </c>
      <c r="AS4" s="977" t="s">
        <v>142</v>
      </c>
      <c r="AT4" s="976" t="s">
        <v>143</v>
      </c>
      <c r="AU4" s="977" t="s">
        <v>144</v>
      </c>
      <c r="AV4" s="977" t="s">
        <v>145</v>
      </c>
      <c r="AW4" s="977" t="s">
        <v>146</v>
      </c>
      <c r="AX4" s="977" t="s">
        <v>147</v>
      </c>
      <c r="AY4" s="976" t="s">
        <v>148</v>
      </c>
      <c r="AZ4" s="977" t="s">
        <v>54</v>
      </c>
      <c r="BA4" s="977" t="s">
        <v>53</v>
      </c>
      <c r="BB4" s="977" t="s">
        <v>515</v>
      </c>
      <c r="BC4" s="977" t="s">
        <v>70</v>
      </c>
      <c r="BD4" s="976" t="s">
        <v>52</v>
      </c>
      <c r="BE4" s="977" t="s">
        <v>55</v>
      </c>
      <c r="BF4" s="977" t="s">
        <v>68</v>
      </c>
      <c r="BG4" s="977" t="s">
        <v>342</v>
      </c>
      <c r="BH4" s="977" t="s">
        <v>368</v>
      </c>
      <c r="BI4" s="976" t="s">
        <v>64</v>
      </c>
      <c r="BJ4" s="977" t="s">
        <v>95</v>
      </c>
      <c r="BK4" s="977" t="s">
        <v>359</v>
      </c>
      <c r="BL4" s="977" t="s">
        <v>268</v>
      </c>
      <c r="BM4" s="977" t="s">
        <v>543</v>
      </c>
      <c r="BN4" s="976" t="s">
        <v>544</v>
      </c>
      <c r="BO4" s="977" t="s">
        <v>545</v>
      </c>
      <c r="BP4" s="977" t="s">
        <v>546</v>
      </c>
      <c r="BQ4" s="977" t="s">
        <v>549</v>
      </c>
      <c r="BR4" s="881" t="s">
        <v>550</v>
      </c>
      <c r="BS4" s="879" t="s">
        <v>556</v>
      </c>
      <c r="BT4" s="881" t="s">
        <v>560</v>
      </c>
      <c r="BU4" s="881" t="s">
        <v>562</v>
      </c>
      <c r="BV4" s="881" t="s">
        <v>564</v>
      </c>
      <c r="BW4" s="881" t="s">
        <v>565</v>
      </c>
      <c r="BX4" s="879" t="s">
        <v>566</v>
      </c>
      <c r="BY4" s="881" t="s">
        <v>567</v>
      </c>
      <c r="BZ4" s="881" t="s">
        <v>568</v>
      </c>
      <c r="CA4" s="881" t="s">
        <v>570</v>
      </c>
      <c r="CB4" s="881" t="s">
        <v>574</v>
      </c>
      <c r="CC4" s="879" t="s">
        <v>575</v>
      </c>
      <c r="CD4" s="881" t="s">
        <v>586</v>
      </c>
      <c r="CE4" s="881" t="s">
        <v>587</v>
      </c>
      <c r="CF4" s="881" t="s">
        <v>588</v>
      </c>
      <c r="CG4" s="881" t="s">
        <v>597</v>
      </c>
      <c r="CH4" s="879" t="s">
        <v>598</v>
      </c>
      <c r="CI4" s="881" t="s">
        <v>619</v>
      </c>
      <c r="CJ4" s="881" t="s">
        <v>662</v>
      </c>
      <c r="CK4" s="881" t="s">
        <v>683</v>
      </c>
      <c r="CL4" s="881" t="s">
        <v>698</v>
      </c>
      <c r="CM4" s="879" t="s">
        <v>706</v>
      </c>
      <c r="CN4" s="977" t="s">
        <v>576</v>
      </c>
      <c r="CO4" s="977" t="s">
        <v>577</v>
      </c>
      <c r="CP4" s="977" t="s">
        <v>578</v>
      </c>
      <c r="CQ4" s="977" t="s">
        <v>579</v>
      </c>
      <c r="CR4" s="976" t="s">
        <v>580</v>
      </c>
      <c r="CS4" s="977" t="s">
        <v>581</v>
      </c>
      <c r="CT4" s="977" t="s">
        <v>582</v>
      </c>
      <c r="CU4" s="977" t="s">
        <v>583</v>
      </c>
      <c r="CV4" s="977" t="s">
        <v>584</v>
      </c>
      <c r="CW4" s="976" t="s">
        <v>585</v>
      </c>
      <c r="CX4" s="881" t="s">
        <v>699</v>
      </c>
      <c r="CY4" s="881" t="s">
        <v>700</v>
      </c>
      <c r="CZ4" s="881" t="s">
        <v>701</v>
      </c>
      <c r="DA4" s="881" t="s">
        <v>702</v>
      </c>
      <c r="DB4" s="879" t="s">
        <v>703</v>
      </c>
      <c r="DC4"/>
      <c r="DD4"/>
      <c r="DE4"/>
      <c r="DF4"/>
      <c r="DG4"/>
      <c r="DJ4"/>
    </row>
    <row r="5" spans="1:114" s="725" customFormat="1" ht="3" customHeight="1">
      <c r="A5" s="49"/>
      <c r="B5" s="978"/>
      <c r="C5" s="979"/>
      <c r="D5" s="979"/>
      <c r="E5" s="979"/>
      <c r="F5" s="979"/>
      <c r="G5" s="980"/>
      <c r="H5" s="980"/>
      <c r="I5" s="980"/>
      <c r="J5" s="980"/>
      <c r="K5" s="979"/>
      <c r="L5" s="980"/>
      <c r="M5" s="980"/>
      <c r="N5" s="980"/>
      <c r="O5" s="980"/>
      <c r="P5" s="979"/>
      <c r="Q5" s="980"/>
      <c r="R5" s="980"/>
      <c r="S5" s="980"/>
      <c r="T5" s="980"/>
      <c r="U5" s="979"/>
      <c r="V5" s="980"/>
      <c r="W5" s="980"/>
      <c r="X5" s="980"/>
      <c r="Y5" s="980"/>
      <c r="Z5" s="979"/>
      <c r="AA5" s="980"/>
      <c r="AB5" s="980"/>
      <c r="AC5" s="980"/>
      <c r="AD5" s="980"/>
      <c r="AE5" s="979"/>
      <c r="AF5" s="980"/>
      <c r="AG5" s="980"/>
      <c r="AH5" s="980"/>
      <c r="AI5" s="980"/>
      <c r="AJ5" s="979"/>
      <c r="AK5" s="980"/>
      <c r="AL5" s="980"/>
      <c r="AM5" s="980"/>
      <c r="AN5" s="980"/>
      <c r="AO5" s="979"/>
      <c r="AP5" s="980"/>
      <c r="AQ5" s="980"/>
      <c r="AR5" s="980"/>
      <c r="AS5" s="980"/>
      <c r="AT5" s="979"/>
      <c r="AU5" s="980"/>
      <c r="AV5" s="980"/>
      <c r="AW5" s="980"/>
      <c r="AX5" s="980"/>
      <c r="AY5" s="979"/>
      <c r="AZ5" s="980"/>
      <c r="BA5" s="980"/>
      <c r="BB5" s="980"/>
      <c r="BC5" s="980"/>
      <c r="BD5" s="979"/>
      <c r="BE5" s="980"/>
      <c r="BF5" s="980"/>
      <c r="BG5" s="980"/>
      <c r="BH5" s="980"/>
      <c r="BI5" s="979"/>
      <c r="BJ5" s="980"/>
      <c r="BK5" s="980"/>
      <c r="BL5" s="980"/>
      <c r="BM5" s="980"/>
      <c r="BN5" s="979"/>
      <c r="BO5" s="980"/>
      <c r="BP5" s="980"/>
      <c r="BQ5" s="980"/>
      <c r="BR5" s="165"/>
      <c r="BS5" s="979"/>
      <c r="BT5" s="980"/>
      <c r="BU5" s="980"/>
      <c r="BV5" s="980"/>
      <c r="BW5" s="165"/>
      <c r="BX5" s="979"/>
      <c r="BY5" s="980"/>
      <c r="BZ5" s="980"/>
      <c r="CA5" s="980"/>
      <c r="CB5" s="165"/>
      <c r="CC5" s="979"/>
      <c r="CD5" s="980"/>
      <c r="CE5" s="980"/>
      <c r="CF5" s="980"/>
      <c r="CG5" s="980"/>
      <c r="CH5" s="979"/>
      <c r="CI5" s="980"/>
      <c r="CJ5" s="980"/>
      <c r="CK5" s="980"/>
      <c r="CL5" s="980"/>
      <c r="CM5" s="979"/>
      <c r="CN5" s="980"/>
      <c r="CO5" s="980"/>
      <c r="CP5" s="980"/>
      <c r="CQ5" s="980"/>
      <c r="CR5" s="979"/>
      <c r="CS5" s="980"/>
      <c r="CT5" s="980"/>
      <c r="CU5" s="980"/>
      <c r="CV5" s="980"/>
      <c r="CW5" s="979"/>
      <c r="CX5" s="980"/>
      <c r="CY5" s="980"/>
      <c r="CZ5" s="980"/>
      <c r="DA5" s="980"/>
      <c r="DB5" s="979"/>
      <c r="DC5"/>
      <c r="DD5"/>
      <c r="DE5"/>
      <c r="DF5"/>
      <c r="DG5"/>
      <c r="DJ5"/>
    </row>
    <row r="6" spans="1:114" s="725" customFormat="1" ht="10.5" hidden="1" customHeight="1" outlineLevel="1">
      <c r="A6" s="49"/>
      <c r="B6" s="51" t="s">
        <v>175</v>
      </c>
      <c r="C6" s="17"/>
      <c r="D6" s="17">
        <v>365</v>
      </c>
      <c r="E6" s="17">
        <v>365</v>
      </c>
      <c r="F6" s="17">
        <v>366</v>
      </c>
      <c r="G6" s="395">
        <v>90</v>
      </c>
      <c r="H6" s="395">
        <v>91</v>
      </c>
      <c r="I6" s="395">
        <v>92</v>
      </c>
      <c r="J6" s="395">
        <v>92</v>
      </c>
      <c r="K6" s="17">
        <f>SUM(G6:J6)</f>
        <v>365</v>
      </c>
      <c r="L6" s="395">
        <v>90</v>
      </c>
      <c r="M6" s="395">
        <v>91</v>
      </c>
      <c r="N6" s="395">
        <v>92</v>
      </c>
      <c r="O6" s="395">
        <v>92</v>
      </c>
      <c r="P6" s="17">
        <f>SUM(L6:O6)</f>
        <v>365</v>
      </c>
      <c r="Q6" s="395">
        <v>90</v>
      </c>
      <c r="R6" s="395">
        <v>91</v>
      </c>
      <c r="S6" s="395">
        <v>92</v>
      </c>
      <c r="T6" s="395">
        <v>92</v>
      </c>
      <c r="U6" s="17">
        <f>SUM(Q6:T6)</f>
        <v>365</v>
      </c>
      <c r="V6" s="395">
        <v>91</v>
      </c>
      <c r="W6" s="395">
        <v>91</v>
      </c>
      <c r="X6" s="395">
        <v>92</v>
      </c>
      <c r="Y6" s="395">
        <v>92</v>
      </c>
      <c r="Z6" s="17">
        <f>SUM(V6:Y6)</f>
        <v>366</v>
      </c>
      <c r="AA6" s="395">
        <v>90</v>
      </c>
      <c r="AB6" s="395">
        <v>91</v>
      </c>
      <c r="AC6" s="395">
        <v>92</v>
      </c>
      <c r="AD6" s="395">
        <v>92</v>
      </c>
      <c r="AE6" s="17">
        <f>SUM(AA6:AD6)</f>
        <v>365</v>
      </c>
      <c r="AF6" s="395">
        <v>90</v>
      </c>
      <c r="AG6" s="395">
        <v>91</v>
      </c>
      <c r="AH6" s="395">
        <v>92</v>
      </c>
      <c r="AI6" s="395">
        <v>92</v>
      </c>
      <c r="AJ6" s="17">
        <f>SUM(AF6:AI6)</f>
        <v>365</v>
      </c>
      <c r="AK6" s="395">
        <v>90</v>
      </c>
      <c r="AL6" s="395">
        <v>91</v>
      </c>
      <c r="AM6" s="395">
        <v>92</v>
      </c>
      <c r="AN6" s="395">
        <v>92</v>
      </c>
      <c r="AO6" s="17">
        <f>SUM(AK6:AN6)</f>
        <v>365</v>
      </c>
      <c r="AP6" s="395">
        <v>91</v>
      </c>
      <c r="AQ6" s="395">
        <v>91</v>
      </c>
      <c r="AR6" s="395">
        <v>92</v>
      </c>
      <c r="AS6" s="395">
        <v>92</v>
      </c>
      <c r="AT6" s="17">
        <f>SUM(AP6:AS6)</f>
        <v>366</v>
      </c>
      <c r="AU6" s="395">
        <f>+AU3-AS3</f>
        <v>90</v>
      </c>
      <c r="AV6" s="395">
        <f>+AV3-AU3</f>
        <v>91</v>
      </c>
      <c r="AW6" s="395">
        <f>+AW3-AV3</f>
        <v>92</v>
      </c>
      <c r="AX6" s="395">
        <f>+AX3-AW3</f>
        <v>92</v>
      </c>
      <c r="AY6" s="17">
        <f>SUM(AU6:AX6)</f>
        <v>365</v>
      </c>
      <c r="AZ6" s="395">
        <f>+AZ3-AX3</f>
        <v>90</v>
      </c>
      <c r="BA6" s="395">
        <f>+BA3-AZ3</f>
        <v>91</v>
      </c>
      <c r="BB6" s="395">
        <f>+BB3-BA3</f>
        <v>92</v>
      </c>
      <c r="BC6" s="395">
        <f>+BC3-BB3</f>
        <v>92</v>
      </c>
      <c r="BD6" s="17">
        <f>SUM(AZ6:BC6)</f>
        <v>365</v>
      </c>
      <c r="BE6" s="395">
        <f>+BE3-BC3</f>
        <v>90</v>
      </c>
      <c r="BF6" s="395">
        <f>+BF3-BE3</f>
        <v>91</v>
      </c>
      <c r="BG6" s="395">
        <f>+BG3-BF3</f>
        <v>92</v>
      </c>
      <c r="BH6" s="395">
        <f>+BH3-BG3</f>
        <v>92</v>
      </c>
      <c r="BI6" s="17">
        <f>SUM(BE6:BH6)</f>
        <v>365</v>
      </c>
      <c r="BJ6" s="395">
        <f>+BJ3-BH3</f>
        <v>91</v>
      </c>
      <c r="BK6" s="395">
        <f>+BK3-BJ3</f>
        <v>91</v>
      </c>
      <c r="BL6" s="395">
        <f>+BL3-BK3</f>
        <v>92</v>
      </c>
      <c r="BM6" s="395">
        <f>+BM3-BL3</f>
        <v>92</v>
      </c>
      <c r="BN6" s="17">
        <f>SUM(BJ6:BM6)</f>
        <v>366</v>
      </c>
      <c r="BO6" s="395">
        <f>+BO3-BM3</f>
        <v>90</v>
      </c>
      <c r="BP6" s="395">
        <f>+BP3-BO3</f>
        <v>91</v>
      </c>
      <c r="BQ6" s="395">
        <f>+BQ3-BP3</f>
        <v>92</v>
      </c>
      <c r="BR6" s="409">
        <f>+BR3-BQ3</f>
        <v>92</v>
      </c>
      <c r="BS6" s="17">
        <f>SUM(BO6:BR6)</f>
        <v>365</v>
      </c>
      <c r="BT6" s="395">
        <f>+BT3-BR3</f>
        <v>90</v>
      </c>
      <c r="BU6" s="395">
        <f>+BU3-BT3</f>
        <v>91</v>
      </c>
      <c r="BV6" s="395">
        <f>+BV3-BU3</f>
        <v>92</v>
      </c>
      <c r="BW6" s="409">
        <f>+BW3-BV3</f>
        <v>92</v>
      </c>
      <c r="BX6" s="17">
        <f>SUM(BT6:BW6)</f>
        <v>365</v>
      </c>
      <c r="BY6" s="395">
        <f>+BY3-BW3</f>
        <v>90</v>
      </c>
      <c r="BZ6" s="395">
        <f>+BZ3-BY3</f>
        <v>91</v>
      </c>
      <c r="CA6" s="395">
        <f>+CA3-BZ3</f>
        <v>92</v>
      </c>
      <c r="CB6" s="409">
        <f>+CB3-CA3</f>
        <v>92</v>
      </c>
      <c r="CC6" s="17">
        <f>SUM(BY6:CB6)</f>
        <v>365</v>
      </c>
      <c r="CD6" s="395">
        <f>+CD3-CB3</f>
        <v>91</v>
      </c>
      <c r="CE6" s="395">
        <f>+CE3-CD3</f>
        <v>91</v>
      </c>
      <c r="CF6" s="395">
        <f>+CF3-CE3</f>
        <v>92</v>
      </c>
      <c r="CG6" s="395">
        <f>+CG3-CF3</f>
        <v>92</v>
      </c>
      <c r="CH6" s="17">
        <f>SUM(CD6:CG6)</f>
        <v>366</v>
      </c>
      <c r="CI6" s="395">
        <f>+CI3-CG3</f>
        <v>90</v>
      </c>
      <c r="CJ6" s="395">
        <f>+CJ3-CI3</f>
        <v>91</v>
      </c>
      <c r="CK6" s="395">
        <f>+CK3-CJ3</f>
        <v>92</v>
      </c>
      <c r="CL6" s="395">
        <f>+CL3-CK3</f>
        <v>92</v>
      </c>
      <c r="CM6" s="17">
        <f>SUM(CI6:CL6)</f>
        <v>365</v>
      </c>
      <c r="CN6" s="395">
        <f>+CN3-CL3</f>
        <v>90</v>
      </c>
      <c r="CO6" s="395">
        <f>+CO3-CN3</f>
        <v>91</v>
      </c>
      <c r="CP6" s="395">
        <f>+CP3-CO3</f>
        <v>92</v>
      </c>
      <c r="CQ6" s="395">
        <f>+CQ3-CP3</f>
        <v>92</v>
      </c>
      <c r="CR6" s="17">
        <f>SUM(CN6:CQ6)</f>
        <v>365</v>
      </c>
      <c r="CS6" s="395">
        <f>+CS3-CQ3</f>
        <v>90</v>
      </c>
      <c r="CT6" s="395">
        <f>+CT3-CS3</f>
        <v>91</v>
      </c>
      <c r="CU6" s="395">
        <f>+CU3-CT3</f>
        <v>92</v>
      </c>
      <c r="CV6" s="395">
        <f>+CV3-CU3</f>
        <v>92</v>
      </c>
      <c r="CW6" s="17">
        <f>SUM(CS6:CV6)</f>
        <v>365</v>
      </c>
      <c r="CX6" s="395">
        <f>+CX3-CV3</f>
        <v>91</v>
      </c>
      <c r="CY6" s="395">
        <f>+CY3-CX3</f>
        <v>91</v>
      </c>
      <c r="CZ6" s="395">
        <f>+CZ3-CY3</f>
        <v>92</v>
      </c>
      <c r="DA6" s="395">
        <f>+DA3-CZ3</f>
        <v>92</v>
      </c>
      <c r="DB6" s="17">
        <f>SUM(CX6:DA6)</f>
        <v>366</v>
      </c>
      <c r="DC6"/>
      <c r="DD6"/>
      <c r="DE6"/>
      <c r="DF6"/>
      <c r="DG6"/>
      <c r="DJ6"/>
    </row>
    <row r="7" spans="1:114" s="725" customFormat="1" ht="6" hidden="1" customHeight="1" outlineLevel="1">
      <c r="A7" s="49"/>
      <c r="B7" s="37"/>
      <c r="C7" s="18"/>
      <c r="D7" s="18"/>
      <c r="E7" s="18"/>
      <c r="F7" s="18"/>
      <c r="G7" s="37"/>
      <c r="H7" s="37"/>
      <c r="I7" s="37"/>
      <c r="J7" s="37"/>
      <c r="K7" s="18"/>
      <c r="L7" s="37"/>
      <c r="M7" s="37"/>
      <c r="N7" s="37"/>
      <c r="O7" s="37"/>
      <c r="P7" s="18"/>
      <c r="Q7" s="37"/>
      <c r="R7" s="37"/>
      <c r="S7" s="37"/>
      <c r="T7" s="37"/>
      <c r="U7" s="18"/>
      <c r="V7" s="37"/>
      <c r="W7" s="37"/>
      <c r="X7" s="37"/>
      <c r="Y7" s="37"/>
      <c r="Z7" s="18"/>
      <c r="AA7" s="37"/>
      <c r="AB7" s="37"/>
      <c r="AC7" s="37"/>
      <c r="AD7" s="37"/>
      <c r="AE7" s="18"/>
      <c r="AF7" s="37"/>
      <c r="AG7" s="37"/>
      <c r="AH7" s="37"/>
      <c r="AI7" s="37"/>
      <c r="AJ7" s="18"/>
      <c r="AK7" s="37"/>
      <c r="AL7" s="37"/>
      <c r="AM7" s="37"/>
      <c r="AN7" s="37"/>
      <c r="AO7" s="18"/>
      <c r="AP7" s="37"/>
      <c r="AQ7" s="37"/>
      <c r="AR7" s="37"/>
      <c r="AS7" s="37"/>
      <c r="AT7" s="18"/>
      <c r="AU7" s="37"/>
      <c r="AV7" s="37"/>
      <c r="AW7" s="37"/>
      <c r="AX7" s="37"/>
      <c r="AY7" s="18"/>
      <c r="AZ7" s="37"/>
      <c r="BA7" s="37"/>
      <c r="BB7" s="37"/>
      <c r="BC7" s="37"/>
      <c r="BD7" s="18"/>
      <c r="BE7" s="37"/>
      <c r="BF7" s="37"/>
      <c r="BG7" s="37"/>
      <c r="BH7" s="37"/>
      <c r="BI7" s="18"/>
      <c r="BJ7" s="37"/>
      <c r="BK7" s="37"/>
      <c r="BL7" s="37"/>
      <c r="BM7" s="37"/>
      <c r="BN7" s="18"/>
      <c r="BO7" s="37"/>
      <c r="BP7" s="37"/>
      <c r="BQ7" s="37"/>
      <c r="BR7" s="5"/>
      <c r="BS7" s="18"/>
      <c r="BT7" s="37"/>
      <c r="BU7" s="37"/>
      <c r="BV7" s="37"/>
      <c r="BW7" s="5"/>
      <c r="BX7" s="18"/>
      <c r="BY7" s="37"/>
      <c r="BZ7" s="37"/>
      <c r="CA7" s="37"/>
      <c r="CB7" s="5"/>
      <c r="CC7" s="18"/>
      <c r="CD7" s="37"/>
      <c r="CE7" s="37"/>
      <c r="CF7" s="37"/>
      <c r="CG7" s="37"/>
      <c r="CH7" s="18"/>
      <c r="CI7" s="37"/>
      <c r="CJ7" s="37"/>
      <c r="CK7" s="50"/>
      <c r="CL7" s="37"/>
      <c r="CM7" s="18"/>
      <c r="CN7" s="37"/>
      <c r="CO7" s="37"/>
      <c r="CP7" s="37"/>
      <c r="CQ7" s="37"/>
      <c r="CR7" s="18"/>
      <c r="CS7" s="37"/>
      <c r="CT7" s="37"/>
      <c r="CU7" s="37"/>
      <c r="CV7" s="37"/>
      <c r="CW7" s="18"/>
      <c r="CX7" s="37"/>
      <c r="CY7" s="37"/>
      <c r="CZ7" s="37"/>
      <c r="DA7" s="37"/>
      <c r="DB7" s="18"/>
      <c r="DC7"/>
      <c r="DD7"/>
      <c r="DE7"/>
      <c r="DF7"/>
      <c r="DG7"/>
      <c r="DJ7"/>
    </row>
    <row r="8" spans="1:114" s="725" customFormat="1" collapsed="1">
      <c r="A8" s="49"/>
      <c r="B8" s="37" t="s">
        <v>65</v>
      </c>
      <c r="C8" s="303"/>
      <c r="D8" s="303">
        <v>854.85</v>
      </c>
      <c r="E8" s="303">
        <v>1079.953</v>
      </c>
      <c r="F8" s="303">
        <v>1337.501</v>
      </c>
      <c r="G8" s="39">
        <v>398.64499999999998</v>
      </c>
      <c r="H8" s="39">
        <v>400.90899999999999</v>
      </c>
      <c r="I8" s="39">
        <v>416.56900000000002</v>
      </c>
      <c r="J8" s="39">
        <v>477.50200000000001</v>
      </c>
      <c r="K8" s="20">
        <f>SUM(G8:J8)</f>
        <v>1693.625</v>
      </c>
      <c r="L8" s="39">
        <v>533.51900000000001</v>
      </c>
      <c r="M8" s="39">
        <v>530.58199999999999</v>
      </c>
      <c r="N8" s="39">
        <v>552.84100000000001</v>
      </c>
      <c r="O8" s="39">
        <v>583.47500000000002</v>
      </c>
      <c r="P8" s="20">
        <f>SUM(L8:O8)</f>
        <v>2200.4169999999999</v>
      </c>
      <c r="Q8" s="39">
        <v>659.27700000000004</v>
      </c>
      <c r="R8" s="39">
        <v>657.29300000000001</v>
      </c>
      <c r="S8" s="39">
        <v>723.02200000000005</v>
      </c>
      <c r="T8" s="39">
        <v>795.03200000000004</v>
      </c>
      <c r="U8" s="20">
        <f>SUM(Q8:T8)</f>
        <v>2834.6240000000003</v>
      </c>
      <c r="V8" s="39">
        <v>822.37599999999998</v>
      </c>
      <c r="W8" s="39">
        <v>813.66899999999998</v>
      </c>
      <c r="X8" s="39">
        <v>844.03399999999999</v>
      </c>
      <c r="Y8" s="39">
        <v>871.673</v>
      </c>
      <c r="Z8" s="20">
        <f>SUM(V8:Y8)</f>
        <v>3351.7520000000004</v>
      </c>
      <c r="AA8" s="39">
        <v>914.10799999999995</v>
      </c>
      <c r="AB8" s="39">
        <v>918.71799999999996</v>
      </c>
      <c r="AC8" s="39">
        <v>929.26900000000001</v>
      </c>
      <c r="AD8" s="39">
        <v>982.07</v>
      </c>
      <c r="AE8" s="20">
        <f>SUM(AA8:AD8)</f>
        <v>3744.1650000000004</v>
      </c>
      <c r="AF8" s="39">
        <v>1026.5619999999999</v>
      </c>
      <c r="AG8" s="39">
        <v>1061.0540000000001</v>
      </c>
      <c r="AH8" s="39">
        <v>1123.4829999999999</v>
      </c>
      <c r="AI8" s="39">
        <v>1154.4770000000001</v>
      </c>
      <c r="AJ8" s="20">
        <f>SUM(AF8:AI8)</f>
        <v>4365.576</v>
      </c>
      <c r="AK8" s="39">
        <v>1203.9970000000001</v>
      </c>
      <c r="AL8" s="39">
        <v>1249.1279999999999</v>
      </c>
      <c r="AM8" s="39">
        <v>2352.087</v>
      </c>
      <c r="AN8" s="39">
        <v>2528.3420000000001</v>
      </c>
      <c r="AO8" s="20">
        <f>SUM(AK8:AN8)</f>
        <v>7333.5540000000001</v>
      </c>
      <c r="AP8" s="39">
        <v>2727.5540000000001</v>
      </c>
      <c r="AQ8" s="39">
        <v>2690.6</v>
      </c>
      <c r="AR8" s="39">
        <v>2772.86</v>
      </c>
      <c r="AS8" s="39">
        <v>2761.538</v>
      </c>
      <c r="AT8" s="20">
        <f>SUM(AP8:AS8)</f>
        <v>10952.552000000001</v>
      </c>
      <c r="AU8" s="39">
        <v>2892.39</v>
      </c>
      <c r="AV8" s="39">
        <v>3016.9609999999998</v>
      </c>
      <c r="AW8" s="39">
        <v>3086.7570000000001</v>
      </c>
      <c r="AX8" s="39">
        <v>3091.1460000000002</v>
      </c>
      <c r="AY8" s="20">
        <f>SUM(AU8:AX8)</f>
        <v>12087.254000000001</v>
      </c>
      <c r="AZ8" s="39">
        <v>3160.7220000000002</v>
      </c>
      <c r="BA8" s="39">
        <v>3171.0239999999999</v>
      </c>
      <c r="BB8" s="39">
        <v>3252.0549999999998</v>
      </c>
      <c r="BC8" s="39">
        <v>3402.6990000000001</v>
      </c>
      <c r="BD8" s="20">
        <f>SUM(AZ8:BC8)</f>
        <v>12986.5</v>
      </c>
      <c r="BE8" s="39">
        <v>3405.3420000000001</v>
      </c>
      <c r="BF8" s="39">
        <v>3433.8290000000002</v>
      </c>
      <c r="BG8" s="39">
        <v>3436</v>
      </c>
      <c r="BH8" s="39">
        <v>3442.5140000000001</v>
      </c>
      <c r="BI8" s="20">
        <f>SUM(BE8:BH8)</f>
        <v>13717.685000000001</v>
      </c>
      <c r="BJ8" s="39">
        <v>3783.491</v>
      </c>
      <c r="BK8" s="39">
        <v>3746.4279999999999</v>
      </c>
      <c r="BL8" s="39">
        <v>3696.6610000000001</v>
      </c>
      <c r="BM8" s="39">
        <v>3761.5990000000002</v>
      </c>
      <c r="BN8" s="20">
        <f>SUM(BJ8:BM8)</f>
        <v>14988.179</v>
      </c>
      <c r="BO8" s="39">
        <v>3799.864</v>
      </c>
      <c r="BP8" s="39">
        <v>3768.0859999999998</v>
      </c>
      <c r="BQ8" s="39">
        <v>3766.8330000000001</v>
      </c>
      <c r="BR8" s="202">
        <v>3743.2910000000002</v>
      </c>
      <c r="BS8" s="20">
        <f>SUM(BO8:BR8)</f>
        <v>15078.074000000001</v>
      </c>
      <c r="BT8" s="39">
        <v>4900</v>
      </c>
      <c r="BU8" s="39">
        <v>5531</v>
      </c>
      <c r="BV8" s="39">
        <v>5563</v>
      </c>
      <c r="BW8" s="202">
        <v>5641</v>
      </c>
      <c r="BX8" s="20">
        <f>SUM(BT8:BW8)</f>
        <v>21635</v>
      </c>
      <c r="BY8" s="39">
        <v>5646</v>
      </c>
      <c r="BZ8" s="39">
        <v>5614</v>
      </c>
      <c r="CA8" s="39">
        <v>5580</v>
      </c>
      <c r="CB8" s="202">
        <v>5724</v>
      </c>
      <c r="CC8" s="20">
        <f>SUM(BY8:CB8)</f>
        <v>22564</v>
      </c>
      <c r="CD8" s="894">
        <v>5754</v>
      </c>
      <c r="CE8" s="39">
        <v>5290</v>
      </c>
      <c r="CF8" s="39">
        <v>5084</v>
      </c>
      <c r="CG8" s="202">
        <v>5147</v>
      </c>
      <c r="CH8" s="20">
        <f>SUM(CD8:CG8)</f>
        <v>21275</v>
      </c>
      <c r="CI8" s="894">
        <v>5168</v>
      </c>
      <c r="CJ8" s="894">
        <v>4823</v>
      </c>
      <c r="CK8" s="39">
        <v>4333</v>
      </c>
      <c r="CL8" s="202">
        <v>4076</v>
      </c>
      <c r="CM8" s="20">
        <f>SUM(CI8:CL8)</f>
        <v>18400</v>
      </c>
      <c r="CN8" s="24">
        <f ca="1">'Revenue Model'!CN8</f>
        <v>4271.1672374030713</v>
      </c>
      <c r="CO8" s="24">
        <f ca="1">'Revenue Model'!CO8</f>
        <v>3990.9826135142248</v>
      </c>
      <c r="CP8" s="24">
        <f ca="1">'Revenue Model'!CP8</f>
        <v>3650.4670994206772</v>
      </c>
      <c r="CQ8" s="24">
        <f ca="1">'Revenue Model'!CQ8</f>
        <v>4142.9644025066837</v>
      </c>
      <c r="CR8" s="20">
        <f ca="1">SUM(CN8:CQ8)</f>
        <v>16055.581352844656</v>
      </c>
      <c r="CS8" s="24">
        <f ca="1">'Revenue Model'!CS8</f>
        <v>4006.7951151067136</v>
      </c>
      <c r="CT8" s="24">
        <f ca="1">'Revenue Model'!CT8</f>
        <v>3848.5117689885728</v>
      </c>
      <c r="CU8" s="24">
        <f ca="1">'Revenue Model'!CU8</f>
        <v>3675.5187238237022</v>
      </c>
      <c r="CV8" s="24">
        <f ca="1">'Revenue Model'!CV8</f>
        <v>4149.8020493725444</v>
      </c>
      <c r="CW8" s="20">
        <f ca="1">SUM(CS8:CV8)</f>
        <v>15680.627657291534</v>
      </c>
      <c r="CX8" s="24">
        <f ca="1">'Revenue Model'!CX8</f>
        <v>4029.630506447148</v>
      </c>
      <c r="CY8" s="24">
        <f ca="1">'Revenue Model'!CY8</f>
        <v>3872.661507397439</v>
      </c>
      <c r="CZ8" s="24">
        <f ca="1">'Revenue Model'!CZ8</f>
        <v>3668.0927346937315</v>
      </c>
      <c r="DA8" s="24">
        <f ca="1">'Revenue Model'!DA8</f>
        <v>4171.7439089006011</v>
      </c>
      <c r="DB8" s="20">
        <f ca="1">SUM(CX8:DA8)</f>
        <v>15742.12865743892</v>
      </c>
      <c r="DC8"/>
      <c r="DD8"/>
      <c r="DE8"/>
      <c r="DF8"/>
      <c r="DG8"/>
      <c r="DJ8"/>
    </row>
    <row r="9" spans="1:114" s="725" customFormat="1">
      <c r="A9" s="534"/>
      <c r="B9" s="32" t="s">
        <v>178</v>
      </c>
      <c r="C9" s="304"/>
      <c r="D9" s="304">
        <v>122.303</v>
      </c>
      <c r="E9" s="304">
        <v>95.149000000000001</v>
      </c>
      <c r="F9" s="304">
        <v>122.303</v>
      </c>
      <c r="G9" s="36">
        <v>36.972999999999999</v>
      </c>
      <c r="H9" s="36">
        <v>36.985999999999997</v>
      </c>
      <c r="I9" s="36">
        <v>38.384</v>
      </c>
      <c r="J9" s="36">
        <v>43.883000000000003</v>
      </c>
      <c r="K9" s="35">
        <f>SUM(G9:J9)</f>
        <v>156.226</v>
      </c>
      <c r="L9" s="36">
        <v>49.896999999999998</v>
      </c>
      <c r="M9" s="36">
        <v>47.722000000000001</v>
      </c>
      <c r="N9" s="36">
        <v>52.350999999999999</v>
      </c>
      <c r="O9" s="36">
        <v>51.363999999999997</v>
      </c>
      <c r="P9" s="35">
        <f>SUM(L9:O9)</f>
        <v>201.334</v>
      </c>
      <c r="Q9" s="36">
        <v>62.341000000000001</v>
      </c>
      <c r="R9" s="36">
        <v>62.078000000000003</v>
      </c>
      <c r="S9" s="36">
        <v>70.69</v>
      </c>
      <c r="T9" s="36">
        <v>81.409000000000006</v>
      </c>
      <c r="U9" s="35">
        <f>SUM(Q9:T9)</f>
        <v>276.51800000000003</v>
      </c>
      <c r="V9" s="36">
        <v>86.111000000000004</v>
      </c>
      <c r="W9" s="36">
        <v>81.721000000000004</v>
      </c>
      <c r="X9" s="36">
        <v>88.400999999999996</v>
      </c>
      <c r="Y9" s="36">
        <v>89.975999999999999</v>
      </c>
      <c r="Z9" s="35">
        <f>SUM(V9:Y9)</f>
        <v>346.209</v>
      </c>
      <c r="AA9" s="36">
        <v>93.994</v>
      </c>
      <c r="AB9" s="36">
        <v>91.581999999999994</v>
      </c>
      <c r="AC9" s="36">
        <v>92.98</v>
      </c>
      <c r="AD9" s="36">
        <v>99.983000000000004</v>
      </c>
      <c r="AE9" s="35">
        <f>SUM(AA9:AD9)</f>
        <v>378.53899999999999</v>
      </c>
      <c r="AF9" s="36">
        <v>107.59099999999999</v>
      </c>
      <c r="AG9" s="36">
        <v>115.70399999999999</v>
      </c>
      <c r="AH9" s="36">
        <v>192.43899999999999</v>
      </c>
      <c r="AI9" s="36">
        <v>132.047</v>
      </c>
      <c r="AJ9" s="35">
        <f>SUM(AF9:AI9)</f>
        <v>547.78099999999995</v>
      </c>
      <c r="AK9" s="36">
        <v>135.69900000000001</v>
      </c>
      <c r="AL9" s="36">
        <v>148.661</v>
      </c>
      <c r="AM9" s="36">
        <v>279.60399999999998</v>
      </c>
      <c r="AN9" s="36">
        <v>361.13</v>
      </c>
      <c r="AO9" s="35">
        <f>SUM(AK9:AN9)</f>
        <v>925.09399999999994</v>
      </c>
      <c r="AP9" s="36">
        <v>297.08</v>
      </c>
      <c r="AQ9" s="36">
        <v>291.04500000000002</v>
      </c>
      <c r="AR9" s="36">
        <v>326.21300000000002</v>
      </c>
      <c r="AS9" s="36">
        <v>316.35399999999998</v>
      </c>
      <c r="AT9" s="35">
        <f>SUM(AP9:AS9)</f>
        <v>1230.692</v>
      </c>
      <c r="AU9" s="36">
        <v>335.45100000000002</v>
      </c>
      <c r="AV9" s="36">
        <v>362.46199999999999</v>
      </c>
      <c r="AW9" s="36">
        <v>378.35700000000003</v>
      </c>
      <c r="AX9" s="36">
        <v>381.72</v>
      </c>
      <c r="AY9" s="35">
        <f>SUM(AU9:AX9)</f>
        <v>1457.99</v>
      </c>
      <c r="AZ9" s="36">
        <v>378.07400000000001</v>
      </c>
      <c r="BA9" s="36">
        <v>381.45</v>
      </c>
      <c r="BB9" s="36">
        <v>403.077</v>
      </c>
      <c r="BC9" s="36">
        <v>425.91500000000002</v>
      </c>
      <c r="BD9" s="35">
        <f>SUM(AZ9:BC9)</f>
        <v>1588.5160000000001</v>
      </c>
      <c r="BE9" s="36">
        <v>407.87099999999998</v>
      </c>
      <c r="BF9" s="36">
        <v>433.00200000000001</v>
      </c>
      <c r="BG9" s="36">
        <v>450.29599999999999</v>
      </c>
      <c r="BH9" s="36">
        <v>436.68900000000002</v>
      </c>
      <c r="BI9" s="35">
        <f>SUM(BE9:BH9)</f>
        <v>1727.8580000000002</v>
      </c>
      <c r="BJ9" s="36">
        <v>486.45600000000002</v>
      </c>
      <c r="BK9" s="36">
        <v>503.45400000000001</v>
      </c>
      <c r="BL9" s="36">
        <v>484.63099999999997</v>
      </c>
      <c r="BM9" s="36">
        <v>484.65300000000002</v>
      </c>
      <c r="BN9" s="35">
        <f>SUM(BJ9:BM9)</f>
        <v>1959.1940000000002</v>
      </c>
      <c r="BO9" s="36">
        <v>488.11399999999998</v>
      </c>
      <c r="BP9" s="36">
        <v>531.69500000000005</v>
      </c>
      <c r="BQ9" s="36">
        <v>548.60199999999998</v>
      </c>
      <c r="BR9" s="207">
        <v>511.97</v>
      </c>
      <c r="BS9" s="35">
        <f>SUM(BO9:BR9)</f>
        <v>2080.3810000000003</v>
      </c>
      <c r="BT9" s="36">
        <v>705</v>
      </c>
      <c r="BU9" s="36">
        <v>752</v>
      </c>
      <c r="BV9" s="36">
        <v>768</v>
      </c>
      <c r="BW9" s="207">
        <v>723</v>
      </c>
      <c r="BX9" s="35">
        <f>SUM(BT9:BW9)</f>
        <v>2948</v>
      </c>
      <c r="BY9" s="36">
        <v>735</v>
      </c>
      <c r="BZ9" s="36">
        <v>732</v>
      </c>
      <c r="CA9" s="36">
        <v>734</v>
      </c>
      <c r="CB9" s="207">
        <v>926</v>
      </c>
      <c r="CC9" s="35">
        <f>SUM(BY9:CB9)</f>
        <v>3127</v>
      </c>
      <c r="CD9" s="895">
        <v>755</v>
      </c>
      <c r="CE9" s="36">
        <v>700</v>
      </c>
      <c r="CF9" s="36">
        <v>704</v>
      </c>
      <c r="CG9" s="207">
        <v>678</v>
      </c>
      <c r="CH9" s="35">
        <f>SUM(CD9:CG9)</f>
        <v>2837</v>
      </c>
      <c r="CI9" s="895">
        <v>682</v>
      </c>
      <c r="CJ9" s="895">
        <v>679</v>
      </c>
      <c r="CK9" s="36">
        <v>667</v>
      </c>
      <c r="CL9" s="207">
        <v>1017</v>
      </c>
      <c r="CM9" s="35">
        <f>SUM(CI9:CL9)</f>
        <v>3045</v>
      </c>
      <c r="CN9" s="34">
        <f ca="1">'Expense Assumptions'!CN67</f>
        <v>612.91249856734066</v>
      </c>
      <c r="CO9" s="34">
        <f ca="1">'Expense Assumptions'!CO67</f>
        <v>574.70149634604832</v>
      </c>
      <c r="CP9" s="34">
        <f ca="1">'Expense Assumptions'!CP67</f>
        <v>522.01679521715675</v>
      </c>
      <c r="CQ9" s="34">
        <f ca="1">'Expense Assumptions'!CQ67</f>
        <v>598.24405972196507</v>
      </c>
      <c r="CR9" s="35">
        <f ca="1">SUM(CN9:CQ9)</f>
        <v>2307.874849852511</v>
      </c>
      <c r="CS9" s="34">
        <f ca="1">'Expense Assumptions'!CS67</f>
        <v>586.59480485162294</v>
      </c>
      <c r="CT9" s="34">
        <f ca="1">'Expense Assumptions'!CT67</f>
        <v>563.42212297992705</v>
      </c>
      <c r="CU9" s="34">
        <f ca="1">'Expense Assumptions'!CU67</f>
        <v>538.09594116778999</v>
      </c>
      <c r="CV9" s="34">
        <f ca="1">'Expense Assumptions'!CV67</f>
        <v>607.53102002814046</v>
      </c>
      <c r="CW9" s="35">
        <f ca="1">SUM(CS9:CV9)</f>
        <v>2295.6438890274803</v>
      </c>
      <c r="CX9" s="34">
        <f ca="1">'Expense Assumptions'!CX67</f>
        <v>589.93790614386251</v>
      </c>
      <c r="CY9" s="34">
        <f ca="1">'Expense Assumptions'!CY67</f>
        <v>566.95764468298512</v>
      </c>
      <c r="CZ9" s="34">
        <f ca="1">'Expense Assumptions'!CZ67</f>
        <v>537.00877635916231</v>
      </c>
      <c r="DA9" s="34">
        <f ca="1">'Expense Assumptions'!DA67</f>
        <v>610.74330826304799</v>
      </c>
      <c r="DB9" s="35">
        <f ca="1">SUM(CX9:DA9)</f>
        <v>2304.6476354490578</v>
      </c>
      <c r="DC9"/>
      <c r="DD9"/>
      <c r="DE9"/>
      <c r="DF9"/>
      <c r="DG9"/>
      <c r="DJ9"/>
    </row>
    <row r="10" spans="1:114" s="725" customFormat="1">
      <c r="A10" s="535"/>
      <c r="B10" s="403" t="s">
        <v>176</v>
      </c>
      <c r="C10" s="404"/>
      <c r="D10" s="404">
        <f t="shared" ref="D10:Z10" si="0">D8-D9</f>
        <v>732.54700000000003</v>
      </c>
      <c r="E10" s="404">
        <f t="shared" si="0"/>
        <v>984.80399999999997</v>
      </c>
      <c r="F10" s="404">
        <f t="shared" si="0"/>
        <v>1215.1979999999999</v>
      </c>
      <c r="G10" s="405">
        <f t="shared" si="0"/>
        <v>361.67199999999997</v>
      </c>
      <c r="H10" s="405">
        <f t="shared" si="0"/>
        <v>363.923</v>
      </c>
      <c r="I10" s="405">
        <f t="shared" si="0"/>
        <v>378.185</v>
      </c>
      <c r="J10" s="405">
        <f t="shared" si="0"/>
        <v>433.61900000000003</v>
      </c>
      <c r="K10" s="404">
        <f t="shared" si="0"/>
        <v>1537.3989999999999</v>
      </c>
      <c r="L10" s="405">
        <f t="shared" si="0"/>
        <v>483.62200000000001</v>
      </c>
      <c r="M10" s="405">
        <f t="shared" si="0"/>
        <v>482.86</v>
      </c>
      <c r="N10" s="405">
        <f t="shared" si="0"/>
        <v>500.49</v>
      </c>
      <c r="O10" s="405">
        <f t="shared" si="0"/>
        <v>532.11099999999999</v>
      </c>
      <c r="P10" s="404">
        <f t="shared" si="0"/>
        <v>1999.0829999999999</v>
      </c>
      <c r="Q10" s="405">
        <f t="shared" si="0"/>
        <v>596.93600000000004</v>
      </c>
      <c r="R10" s="405">
        <f t="shared" si="0"/>
        <v>595.21500000000003</v>
      </c>
      <c r="S10" s="405">
        <f t="shared" si="0"/>
        <v>652.33200000000011</v>
      </c>
      <c r="T10" s="405">
        <f t="shared" si="0"/>
        <v>713.62300000000005</v>
      </c>
      <c r="U10" s="404">
        <f t="shared" si="0"/>
        <v>2558.1060000000002</v>
      </c>
      <c r="V10" s="405">
        <f t="shared" si="0"/>
        <v>736.26499999999999</v>
      </c>
      <c r="W10" s="405">
        <f t="shared" si="0"/>
        <v>731.94799999999998</v>
      </c>
      <c r="X10" s="405">
        <f t="shared" si="0"/>
        <v>755.63300000000004</v>
      </c>
      <c r="Y10" s="405">
        <f t="shared" si="0"/>
        <v>781.697</v>
      </c>
      <c r="Z10" s="404">
        <f t="shared" si="0"/>
        <v>3005.5430000000006</v>
      </c>
      <c r="AA10" s="405">
        <f t="shared" ref="AA10:AI10" si="1">AA8-AA9</f>
        <v>820.11399999999992</v>
      </c>
      <c r="AB10" s="405">
        <f t="shared" si="1"/>
        <v>827.13599999999997</v>
      </c>
      <c r="AC10" s="405">
        <f t="shared" si="1"/>
        <v>836.28899999999999</v>
      </c>
      <c r="AD10" s="405">
        <f t="shared" si="1"/>
        <v>882.08699999999999</v>
      </c>
      <c r="AE10" s="404">
        <f t="shared" si="1"/>
        <v>3365.6260000000002</v>
      </c>
      <c r="AF10" s="405">
        <f t="shared" si="1"/>
        <v>918.97099999999989</v>
      </c>
      <c r="AG10" s="405">
        <f t="shared" si="1"/>
        <v>945.35000000000014</v>
      </c>
      <c r="AH10" s="405">
        <f t="shared" si="1"/>
        <v>931.04399999999998</v>
      </c>
      <c r="AI10" s="405">
        <f t="shared" si="1"/>
        <v>1022.4300000000001</v>
      </c>
      <c r="AJ10" s="404">
        <f t="shared" ref="AJ10:BN10" si="2">AJ8-AJ9</f>
        <v>3817.7950000000001</v>
      </c>
      <c r="AK10" s="405">
        <f t="shared" si="2"/>
        <v>1068.298</v>
      </c>
      <c r="AL10" s="405">
        <f t="shared" si="2"/>
        <v>1100.4669999999999</v>
      </c>
      <c r="AM10" s="405">
        <f t="shared" si="2"/>
        <v>2072.4830000000002</v>
      </c>
      <c r="AN10" s="405">
        <f t="shared" si="2"/>
        <v>2167.212</v>
      </c>
      <c r="AO10" s="404">
        <f t="shared" si="2"/>
        <v>6408.46</v>
      </c>
      <c r="AP10" s="405">
        <f t="shared" si="2"/>
        <v>2430.4740000000002</v>
      </c>
      <c r="AQ10" s="405">
        <f t="shared" si="2"/>
        <v>2399.5549999999998</v>
      </c>
      <c r="AR10" s="405">
        <f t="shared" si="2"/>
        <v>2446.6469999999999</v>
      </c>
      <c r="AS10" s="405">
        <f t="shared" si="2"/>
        <v>2445.1840000000002</v>
      </c>
      <c r="AT10" s="404">
        <f t="shared" si="2"/>
        <v>9721.86</v>
      </c>
      <c r="AU10" s="405">
        <f t="shared" si="2"/>
        <v>2556.9389999999999</v>
      </c>
      <c r="AV10" s="405">
        <f t="shared" si="2"/>
        <v>2654.4989999999998</v>
      </c>
      <c r="AW10" s="405">
        <f t="shared" si="2"/>
        <v>2708.4</v>
      </c>
      <c r="AX10" s="405">
        <f t="shared" si="2"/>
        <v>2709.4260000000004</v>
      </c>
      <c r="AY10" s="404">
        <f t="shared" si="2"/>
        <v>10629.264000000001</v>
      </c>
      <c r="AZ10" s="405">
        <f t="shared" si="2"/>
        <v>2782.6480000000001</v>
      </c>
      <c r="BA10" s="405">
        <f t="shared" si="2"/>
        <v>2789.5740000000001</v>
      </c>
      <c r="BB10" s="405">
        <f t="shared" si="2"/>
        <v>2848.9780000000001</v>
      </c>
      <c r="BC10" s="405">
        <f t="shared" si="2"/>
        <v>2976.7840000000001</v>
      </c>
      <c r="BD10" s="404">
        <f t="shared" si="2"/>
        <v>11397.984</v>
      </c>
      <c r="BE10" s="405">
        <f t="shared" si="2"/>
        <v>2997.471</v>
      </c>
      <c r="BF10" s="405">
        <f t="shared" si="2"/>
        <v>3000.8270000000002</v>
      </c>
      <c r="BG10" s="405">
        <f t="shared" si="2"/>
        <v>2985.7040000000002</v>
      </c>
      <c r="BH10" s="405">
        <f t="shared" si="2"/>
        <v>3005.8250000000003</v>
      </c>
      <c r="BI10" s="404">
        <f t="shared" si="2"/>
        <v>11989.827000000001</v>
      </c>
      <c r="BJ10" s="405">
        <f t="shared" si="2"/>
        <v>3297.0349999999999</v>
      </c>
      <c r="BK10" s="405">
        <f t="shared" si="2"/>
        <v>3242.9739999999997</v>
      </c>
      <c r="BL10" s="405">
        <f t="shared" si="2"/>
        <v>3212.03</v>
      </c>
      <c r="BM10" s="405">
        <f t="shared" si="2"/>
        <v>3276.9459999999999</v>
      </c>
      <c r="BN10" s="404">
        <f t="shared" si="2"/>
        <v>13028.985000000001</v>
      </c>
      <c r="BO10" s="405">
        <f>BO8-BO9</f>
        <v>3311.75</v>
      </c>
      <c r="BP10" s="405">
        <f>BP8-BP9</f>
        <v>3236.3909999999996</v>
      </c>
      <c r="BQ10" s="405">
        <f t="shared" ref="BQ10:BX10" si="3">BQ8-BQ9</f>
        <v>3218.2310000000002</v>
      </c>
      <c r="BR10" s="405">
        <f t="shared" si="3"/>
        <v>3231.3209999999999</v>
      </c>
      <c r="BS10" s="404">
        <f>BS8-BS9</f>
        <v>12997.692999999999</v>
      </c>
      <c r="BT10" s="405">
        <f t="shared" si="3"/>
        <v>4195</v>
      </c>
      <c r="BU10" s="405">
        <f t="shared" si="3"/>
        <v>4779</v>
      </c>
      <c r="BV10" s="405">
        <f t="shared" si="3"/>
        <v>4795</v>
      </c>
      <c r="BW10" s="405">
        <f t="shared" si="3"/>
        <v>4918</v>
      </c>
      <c r="BX10" s="404">
        <f t="shared" si="3"/>
        <v>18687</v>
      </c>
      <c r="BY10" s="405">
        <f t="shared" ref="BY10:CH10" si="4">BY8-BY9</f>
        <v>4911</v>
      </c>
      <c r="BZ10" s="405">
        <f t="shared" si="4"/>
        <v>4882</v>
      </c>
      <c r="CA10" s="405">
        <f>CA8-CA9</f>
        <v>4846</v>
      </c>
      <c r="CB10" s="405">
        <f t="shared" si="4"/>
        <v>4798</v>
      </c>
      <c r="CC10" s="404">
        <f t="shared" si="4"/>
        <v>19437</v>
      </c>
      <c r="CD10" s="591">
        <f t="shared" si="4"/>
        <v>4999</v>
      </c>
      <c r="CE10" s="405">
        <f t="shared" si="4"/>
        <v>4590</v>
      </c>
      <c r="CF10" s="405">
        <f t="shared" si="4"/>
        <v>4380</v>
      </c>
      <c r="CG10" s="405">
        <f t="shared" si="4"/>
        <v>4469</v>
      </c>
      <c r="CH10" s="404">
        <f t="shared" si="4"/>
        <v>18438</v>
      </c>
      <c r="CI10" s="591">
        <f t="shared" ref="CI10:CR10" si="5">CI8-CI9</f>
        <v>4486</v>
      </c>
      <c r="CJ10" s="591">
        <f t="shared" ref="CJ10:CL10" si="6">CJ8-CJ9</f>
        <v>4144</v>
      </c>
      <c r="CK10" s="405">
        <f t="shared" si="6"/>
        <v>3666</v>
      </c>
      <c r="CL10" s="405">
        <f t="shared" si="6"/>
        <v>3059</v>
      </c>
      <c r="CM10" s="404">
        <f t="shared" si="5"/>
        <v>15355</v>
      </c>
      <c r="CN10" s="405">
        <f t="shared" ca="1" si="5"/>
        <v>3658.2547388357307</v>
      </c>
      <c r="CO10" s="405">
        <f t="shared" ca="1" si="5"/>
        <v>3416.2811171681765</v>
      </c>
      <c r="CP10" s="405">
        <f t="shared" ca="1" si="5"/>
        <v>3128.4503042035203</v>
      </c>
      <c r="CQ10" s="405">
        <f t="shared" ca="1" si="5"/>
        <v>3544.7203427847185</v>
      </c>
      <c r="CR10" s="404">
        <f t="shared" ca="1" si="5"/>
        <v>13747.706502992145</v>
      </c>
      <c r="CS10" s="405">
        <f t="shared" ref="CS10:CW10" ca="1" si="7">CS8-CS9</f>
        <v>3420.2003102550907</v>
      </c>
      <c r="CT10" s="405">
        <f t="shared" ca="1" si="7"/>
        <v>3285.089646008646</v>
      </c>
      <c r="CU10" s="405">
        <f t="shared" ca="1" si="7"/>
        <v>3137.4227826559122</v>
      </c>
      <c r="CV10" s="405">
        <f t="shared" ca="1" si="7"/>
        <v>3542.2710293444038</v>
      </c>
      <c r="CW10" s="404">
        <f t="shared" ca="1" si="7"/>
        <v>13384.983768264054</v>
      </c>
      <c r="CX10" s="405">
        <f t="shared" ref="CX10:DA10" ca="1" si="8">CX8-CX9</f>
        <v>3439.6926003032854</v>
      </c>
      <c r="CY10" s="405">
        <f t="shared" ca="1" si="8"/>
        <v>3305.7038627144539</v>
      </c>
      <c r="CZ10" s="405">
        <f t="shared" ca="1" si="8"/>
        <v>3131.0839583345692</v>
      </c>
      <c r="DA10" s="405">
        <f t="shared" ca="1" si="8"/>
        <v>3561.0006006375534</v>
      </c>
      <c r="DB10" s="404">
        <f t="shared" ref="DB10" ca="1" si="9">DB8-DB9</f>
        <v>13437.481021989861</v>
      </c>
      <c r="DC10"/>
      <c r="DD10"/>
      <c r="DE10"/>
      <c r="DF10"/>
      <c r="DG10"/>
      <c r="DJ10"/>
    </row>
    <row r="11" spans="1:114" s="725" customFormat="1">
      <c r="A11" s="49"/>
      <c r="B11" s="37" t="s">
        <v>177</v>
      </c>
      <c r="C11" s="303"/>
      <c r="D11" s="303">
        <v>517.39200000000005</v>
      </c>
      <c r="E11" s="303">
        <v>419.32</v>
      </c>
      <c r="F11" s="303">
        <v>517.39200000000005</v>
      </c>
      <c r="G11" s="39">
        <v>153.73400000000001</v>
      </c>
      <c r="H11" s="39">
        <v>156.047</v>
      </c>
      <c r="I11" s="39">
        <v>163.32</v>
      </c>
      <c r="J11" s="39">
        <v>192.947</v>
      </c>
      <c r="K11" s="20">
        <f>SUM(G11:J11)</f>
        <v>666.048</v>
      </c>
      <c r="L11" s="39">
        <v>217.16399999999999</v>
      </c>
      <c r="M11" s="39">
        <v>214.215</v>
      </c>
      <c r="N11" s="39">
        <v>221.459</v>
      </c>
      <c r="O11" s="39">
        <v>233.89599999999999</v>
      </c>
      <c r="P11" s="20">
        <f>SUM(L11:O11)</f>
        <v>886.73399999999992</v>
      </c>
      <c r="Q11" s="39">
        <v>268.77199999999999</v>
      </c>
      <c r="R11" s="39">
        <v>263.30700000000002</v>
      </c>
      <c r="S11" s="39">
        <v>288.32799999999997</v>
      </c>
      <c r="T11" s="39">
        <v>318.23500000000001</v>
      </c>
      <c r="U11" s="20">
        <f>SUM(Q11:T11)</f>
        <v>1138.6419999999998</v>
      </c>
      <c r="V11" s="39">
        <v>330.428</v>
      </c>
      <c r="W11" s="39">
        <v>327.40300000000002</v>
      </c>
      <c r="X11" s="39">
        <v>338.44200000000001</v>
      </c>
      <c r="Y11" s="39">
        <v>347.90499999999997</v>
      </c>
      <c r="Z11" s="20">
        <f>SUM(V11:Y11)</f>
        <v>1344.1779999999999</v>
      </c>
      <c r="AA11" s="39">
        <v>362.78800000000001</v>
      </c>
      <c r="AB11" s="39">
        <v>365.09699999999998</v>
      </c>
      <c r="AC11" s="39">
        <v>371.88099999999997</v>
      </c>
      <c r="AD11" s="39">
        <v>389.19600000000003</v>
      </c>
      <c r="AE11" s="20">
        <f>SUM(AA11:AD11)</f>
        <v>1488.962</v>
      </c>
      <c r="AF11" s="39">
        <v>407.66800000000001</v>
      </c>
      <c r="AG11" s="39">
        <v>420.14699999999999</v>
      </c>
      <c r="AH11" s="39">
        <v>450.137</v>
      </c>
      <c r="AI11" s="39">
        <v>463.27100000000002</v>
      </c>
      <c r="AJ11" s="20">
        <f>SUM(AF11:AI11)</f>
        <v>1741.223</v>
      </c>
      <c r="AK11" s="39">
        <v>486.33600000000001</v>
      </c>
      <c r="AL11" s="39">
        <v>495.08499999999998</v>
      </c>
      <c r="AM11" s="39">
        <v>951.5</v>
      </c>
      <c r="AN11" s="39">
        <v>1055.942</v>
      </c>
      <c r="AO11" s="20">
        <f>SUM(AK11:AN11)</f>
        <v>2988.8630000000003</v>
      </c>
      <c r="AP11" s="39">
        <v>1087.77</v>
      </c>
      <c r="AQ11" s="39">
        <v>1079.376</v>
      </c>
      <c r="AR11" s="39">
        <v>1091.7260000000001</v>
      </c>
      <c r="AS11" s="39">
        <v>1102.807</v>
      </c>
      <c r="AT11" s="20">
        <f>SUM(AP11:AS11)</f>
        <v>4361.6790000000001</v>
      </c>
      <c r="AU11" s="39">
        <v>1164.144</v>
      </c>
      <c r="AV11" s="39">
        <v>1201.68</v>
      </c>
      <c r="AW11" s="39">
        <v>1239.1469999999999</v>
      </c>
      <c r="AX11" s="39">
        <v>1228.0630000000001</v>
      </c>
      <c r="AY11" s="20">
        <f>SUM(AU11:AX11)</f>
        <v>4833.0339999999997</v>
      </c>
      <c r="AZ11" s="39">
        <v>1282.8309999999999</v>
      </c>
      <c r="BA11" s="39">
        <v>1267.7619999999999</v>
      </c>
      <c r="BB11" s="39">
        <v>1303.3889999999999</v>
      </c>
      <c r="BC11" s="39">
        <v>1383.989</v>
      </c>
      <c r="BD11" s="20">
        <f>SUM(AZ11:BC11)</f>
        <v>5237.9709999999995</v>
      </c>
      <c r="BE11" s="39">
        <v>1402.1210000000001</v>
      </c>
      <c r="BF11" s="39">
        <v>1384.096</v>
      </c>
      <c r="BG11" s="39">
        <v>1393.1510000000001</v>
      </c>
      <c r="BH11" s="39">
        <v>1421.31</v>
      </c>
      <c r="BI11" s="20">
        <f t="shared" ref="BI11:BI18" si="10">SUM(BE11:BH11)</f>
        <v>5600.6779999999999</v>
      </c>
      <c r="BJ11" s="39">
        <v>1524.9749999999999</v>
      </c>
      <c r="BK11" s="39">
        <v>1497.4459999999999</v>
      </c>
      <c r="BL11" s="39">
        <v>1525.1110000000001</v>
      </c>
      <c r="BM11" s="39">
        <v>1556.3989999999999</v>
      </c>
      <c r="BN11" s="20">
        <f t="shared" ref="BN11:BN18" si="11">SUM(BJ11:BM11)</f>
        <v>6103.9310000000005</v>
      </c>
      <c r="BO11" s="39">
        <v>1577.1479999999999</v>
      </c>
      <c r="BP11" s="39">
        <v>1555.951</v>
      </c>
      <c r="BQ11" s="39">
        <v>1541.692</v>
      </c>
      <c r="BR11" s="202">
        <v>1542.9559999999999</v>
      </c>
      <c r="BS11" s="20">
        <f>SUM(BO11:BR11)</f>
        <v>6217.7470000000003</v>
      </c>
      <c r="BT11" s="39">
        <v>2004</v>
      </c>
      <c r="BU11" s="39">
        <v>2228</v>
      </c>
      <c r="BV11" s="39">
        <v>2191</v>
      </c>
      <c r="BW11" s="202">
        <v>2221</v>
      </c>
      <c r="BX11" s="20">
        <f t="shared" ref="BX11:BX16" si="12">SUM(BT11:BW11)</f>
        <v>8644</v>
      </c>
      <c r="BY11" s="39">
        <v>2257</v>
      </c>
      <c r="BZ11" s="39">
        <v>2217</v>
      </c>
      <c r="CA11" s="39">
        <v>2240</v>
      </c>
      <c r="CB11" s="202">
        <v>2278</v>
      </c>
      <c r="CC11" s="20">
        <f t="shared" ref="CC11:CC16" si="13">SUM(BY11:CB11)</f>
        <v>8992</v>
      </c>
      <c r="CD11" s="894">
        <v>2317</v>
      </c>
      <c r="CE11" s="39">
        <v>2154</v>
      </c>
      <c r="CF11" s="39">
        <v>2067</v>
      </c>
      <c r="CG11" s="202">
        <v>2087</v>
      </c>
      <c r="CH11" s="20">
        <f t="shared" ref="CH11:CH16" si="14">SUM(CD11:CG11)</f>
        <v>8625</v>
      </c>
      <c r="CI11" s="894">
        <v>2061</v>
      </c>
      <c r="CJ11" s="894">
        <v>1920</v>
      </c>
      <c r="CK11" s="39">
        <v>1724</v>
      </c>
      <c r="CL11" s="202">
        <v>1671</v>
      </c>
      <c r="CM11" s="20">
        <f t="shared" ref="CM11:CM16" si="15">SUM(CI11:CL11)</f>
        <v>7376</v>
      </c>
      <c r="CN11" s="24">
        <f ca="1">'Expense Assumptions'!CN22</f>
        <v>1689.2466423929147</v>
      </c>
      <c r="CO11" s="24">
        <f ca="1">'Expense Assumptions'!CO22</f>
        <v>1588.4110801786615</v>
      </c>
      <c r="CP11" s="24">
        <f ca="1">'Expense Assumptions'!CP22</f>
        <v>1449.2354384700088</v>
      </c>
      <c r="CQ11" s="24">
        <f ca="1">'Expense Assumptions'!CQ22</f>
        <v>1650.9713143989136</v>
      </c>
      <c r="CR11" s="20">
        <f t="shared" ref="CR11:CR16" ca="1" si="16">SUM(CN11:CQ11)</f>
        <v>6377.8644754404995</v>
      </c>
      <c r="CS11" s="24">
        <f ca="1">'Expense Assumptions'!CS22</f>
        <v>1586.6908655822588</v>
      </c>
      <c r="CT11" s="24">
        <f ca="1">'Expense Assumptions'!CT22</f>
        <v>1520.1621487504863</v>
      </c>
      <c r="CU11" s="24">
        <f ca="1">'Expense Assumptions'!CU22</f>
        <v>1448.1543771865388</v>
      </c>
      <c r="CV11" s="24">
        <f ca="1">'Expense Assumptions'!CV22</f>
        <v>1649.131334420649</v>
      </c>
      <c r="CW11" s="20">
        <f t="shared" ref="CW11:CW16" ca="1" si="17">SUM(CS11:CV11)</f>
        <v>6204.1387259399335</v>
      </c>
      <c r="CX11" s="24">
        <f ca="1">'Expense Assumptions'!CX22</f>
        <v>1607.8225720724122</v>
      </c>
      <c r="CY11" s="24">
        <f ca="1">'Expense Assumptions'!CY22</f>
        <v>1529.7012954219886</v>
      </c>
      <c r="CZ11" s="24">
        <f ca="1">'Expense Assumptions'!CZ22</f>
        <v>1448.8966302040239</v>
      </c>
      <c r="DA11" s="24">
        <f ca="1">'Expense Assumptions'!DA22</f>
        <v>1660.3540757424394</v>
      </c>
      <c r="DB11" s="20">
        <f t="shared" ref="DB11:DB16" ca="1" si="18">SUM(CX11:DA11)</f>
        <v>6246.7745734408636</v>
      </c>
      <c r="DC11"/>
      <c r="DD11"/>
      <c r="DE11"/>
      <c r="DF11"/>
      <c r="DG11"/>
      <c r="DJ11"/>
    </row>
    <row r="12" spans="1:114" s="725" customFormat="1">
      <c r="A12" s="49"/>
      <c r="B12" s="37" t="s">
        <v>188</v>
      </c>
      <c r="C12" s="303"/>
      <c r="D12" s="303">
        <v>154.21100000000001</v>
      </c>
      <c r="E12" s="303">
        <v>126.693</v>
      </c>
      <c r="F12" s="303">
        <v>154.21100000000001</v>
      </c>
      <c r="G12" s="39">
        <v>46.759</v>
      </c>
      <c r="H12" s="39">
        <v>46.128999999999998</v>
      </c>
      <c r="I12" s="39">
        <v>48.142000000000003</v>
      </c>
      <c r="J12" s="39">
        <v>54.978000000000002</v>
      </c>
      <c r="K12" s="20">
        <f>SUM(G12:J12)</f>
        <v>196.00800000000001</v>
      </c>
      <c r="L12" s="39">
        <v>64</v>
      </c>
      <c r="M12" s="39">
        <v>61.905000000000001</v>
      </c>
      <c r="N12" s="39">
        <v>62.96</v>
      </c>
      <c r="O12" s="39">
        <v>65.822000000000003</v>
      </c>
      <c r="P12" s="20">
        <f>SUM(L12:O12)</f>
        <v>254.68700000000001</v>
      </c>
      <c r="Q12" s="39">
        <v>76.819999999999993</v>
      </c>
      <c r="R12" s="39">
        <v>76.152000000000001</v>
      </c>
      <c r="S12" s="39">
        <v>84.228999999999999</v>
      </c>
      <c r="T12" s="39">
        <v>95.177000000000007</v>
      </c>
      <c r="U12" s="20">
        <f>SUM(Q12:T12)</f>
        <v>332.37799999999999</v>
      </c>
      <c r="V12" s="39">
        <v>99.391999999999996</v>
      </c>
      <c r="W12" s="39">
        <v>96.644999999999996</v>
      </c>
      <c r="X12" s="39">
        <v>103.839</v>
      </c>
      <c r="Y12" s="39">
        <v>106.292</v>
      </c>
      <c r="Z12" s="20">
        <f>SUM(V12:Y12)</f>
        <v>406.16800000000001</v>
      </c>
      <c r="AA12" s="39">
        <v>113.569</v>
      </c>
      <c r="AB12" s="39">
        <v>110.429</v>
      </c>
      <c r="AC12" s="39">
        <v>110.48099999999999</v>
      </c>
      <c r="AD12" s="39">
        <v>114.64400000000001</v>
      </c>
      <c r="AE12" s="20">
        <f>SUM(AA12:AD12)</f>
        <v>449.12299999999999</v>
      </c>
      <c r="AF12" s="39">
        <v>122.82</v>
      </c>
      <c r="AG12" s="39">
        <v>125.7</v>
      </c>
      <c r="AH12" s="39">
        <v>130.036</v>
      </c>
      <c r="AI12" s="39">
        <v>131.79499999999999</v>
      </c>
      <c r="AJ12" s="20">
        <f>SUM(AF12:AI12)</f>
        <v>510.351</v>
      </c>
      <c r="AK12" s="39">
        <v>140.50800000000001</v>
      </c>
      <c r="AL12" s="39">
        <v>146.03299999999999</v>
      </c>
      <c r="AM12" s="39">
        <v>318.50599999999997</v>
      </c>
      <c r="AN12" s="39">
        <v>365.19799999999998</v>
      </c>
      <c r="AO12" s="20">
        <f>SUM(AK12:AN12)</f>
        <v>970.245</v>
      </c>
      <c r="AP12" s="39">
        <v>386.40899999999999</v>
      </c>
      <c r="AQ12" s="39">
        <v>377.58600000000001</v>
      </c>
      <c r="AR12" s="39">
        <v>383.142</v>
      </c>
      <c r="AS12" s="39">
        <v>388.54700000000003</v>
      </c>
      <c r="AT12" s="20">
        <f>SUM(AP12:AS12)</f>
        <v>1535.684</v>
      </c>
      <c r="AU12" s="39">
        <v>402.45400000000001</v>
      </c>
      <c r="AV12" s="39">
        <v>419.95600000000002</v>
      </c>
      <c r="AW12" s="39">
        <v>428.12</v>
      </c>
      <c r="AX12" s="39">
        <v>431.78</v>
      </c>
      <c r="AY12" s="20">
        <f>SUM(AU12:AX12)</f>
        <v>1682.3100000000002</v>
      </c>
      <c r="AZ12" s="39">
        <v>430.452</v>
      </c>
      <c r="BA12" s="39">
        <v>438.60199999999998</v>
      </c>
      <c r="BB12" s="39">
        <v>443.113</v>
      </c>
      <c r="BC12" s="39">
        <v>458.96199999999999</v>
      </c>
      <c r="BD12" s="20">
        <f>SUM(AZ12:BC12)</f>
        <v>1771.1289999999999</v>
      </c>
      <c r="BE12" s="39">
        <v>464.15600000000001</v>
      </c>
      <c r="BF12" s="39">
        <v>449.279</v>
      </c>
      <c r="BG12" s="39">
        <v>459.14600000000002</v>
      </c>
      <c r="BH12" s="39">
        <v>467.86399999999998</v>
      </c>
      <c r="BI12" s="20">
        <f t="shared" si="10"/>
        <v>1840.4449999999999</v>
      </c>
      <c r="BJ12" s="39">
        <v>498.57900000000001</v>
      </c>
      <c r="BK12" s="39">
        <v>489.72899999999998</v>
      </c>
      <c r="BL12" s="39">
        <v>484.21199999999999</v>
      </c>
      <c r="BM12" s="39">
        <v>500.971</v>
      </c>
      <c r="BN12" s="20">
        <f t="shared" si="11"/>
        <v>1973.491</v>
      </c>
      <c r="BO12" s="39">
        <v>497.84100000000001</v>
      </c>
      <c r="BP12" s="39">
        <v>498.03</v>
      </c>
      <c r="BQ12" s="39">
        <v>486.37400000000002</v>
      </c>
      <c r="BR12" s="202">
        <v>511.87099999999998</v>
      </c>
      <c r="BS12" s="20">
        <f>SUM(BO12:BR12)</f>
        <v>1994.116</v>
      </c>
      <c r="BT12" s="39">
        <v>635</v>
      </c>
      <c r="BU12" s="39">
        <v>738</v>
      </c>
      <c r="BV12" s="39">
        <v>733</v>
      </c>
      <c r="BW12" s="202">
        <v>764</v>
      </c>
      <c r="BX12" s="20">
        <f t="shared" si="12"/>
        <v>2870</v>
      </c>
      <c r="BY12" s="39">
        <v>762</v>
      </c>
      <c r="BZ12" s="39">
        <v>750</v>
      </c>
      <c r="CA12" s="39">
        <v>762</v>
      </c>
      <c r="CB12" s="202">
        <v>773</v>
      </c>
      <c r="CC12" s="20">
        <f t="shared" si="13"/>
        <v>3047</v>
      </c>
      <c r="CD12" s="894">
        <v>799</v>
      </c>
      <c r="CE12" s="39">
        <v>759</v>
      </c>
      <c r="CF12" s="39">
        <v>723</v>
      </c>
      <c r="CG12" s="202">
        <v>730</v>
      </c>
      <c r="CH12" s="20">
        <f t="shared" si="14"/>
        <v>3011</v>
      </c>
      <c r="CI12" s="894">
        <v>749</v>
      </c>
      <c r="CJ12" s="894">
        <v>697</v>
      </c>
      <c r="CK12" s="39">
        <v>610</v>
      </c>
      <c r="CL12" s="202">
        <v>616</v>
      </c>
      <c r="CM12" s="20">
        <f t="shared" si="15"/>
        <v>2672</v>
      </c>
      <c r="CN12" s="24">
        <f ca="1">'Expense Assumptions'!CN31</f>
        <v>599.24476340765091</v>
      </c>
      <c r="CO12" s="24">
        <f ca="1">'Expense Assumptions'!CO31</f>
        <v>562.72854850550561</v>
      </c>
      <c r="CP12" s="24">
        <f ca="1">'Expense Assumptions'!CP31</f>
        <v>514.71586101831542</v>
      </c>
      <c r="CQ12" s="24">
        <f ca="1">'Expense Assumptions'!CQ31</f>
        <v>584.1579807534423</v>
      </c>
      <c r="CR12" s="20">
        <f t="shared" ca="1" si="16"/>
        <v>2260.8471536849142</v>
      </c>
      <c r="CS12" s="24">
        <f ca="1">'Expense Assumptions'!CS31</f>
        <v>564.9581112300466</v>
      </c>
      <c r="CT12" s="24">
        <f ca="1">'Expense Assumptions'!CT31</f>
        <v>538.79164765840028</v>
      </c>
      <c r="CU12" s="24">
        <f ca="1">'Expense Assumptions'!CU31</f>
        <v>514.57262133531833</v>
      </c>
      <c r="CV12" s="24">
        <f ca="1">'Expense Assumptions'!CV31</f>
        <v>590.9318118306503</v>
      </c>
      <c r="CW12" s="20">
        <f t="shared" ca="1" si="17"/>
        <v>2209.2541920544154</v>
      </c>
      <c r="CX12" s="24">
        <f ca="1">'Expense Assumptions'!CX31</f>
        <v>564.14827090260076</v>
      </c>
      <c r="CY12" s="24">
        <f ca="1">'Expense Assumptions'!CY31</f>
        <v>542.17261103564147</v>
      </c>
      <c r="CZ12" s="24">
        <f ca="1">'Expense Assumptions'!CZ31</f>
        <v>513.53298285712242</v>
      </c>
      <c r="DA12" s="24">
        <f ca="1">'Expense Assumptions'!DA31</f>
        <v>584.04414724608421</v>
      </c>
      <c r="DB12" s="20">
        <f t="shared" ca="1" si="18"/>
        <v>2203.898012041449</v>
      </c>
      <c r="DC12"/>
      <c r="DD12"/>
      <c r="DE12"/>
      <c r="DF12"/>
      <c r="DG12"/>
      <c r="DJ12"/>
    </row>
    <row r="13" spans="1:114" s="725" customFormat="1">
      <c r="A13" s="49"/>
      <c r="B13" s="37" t="s">
        <v>189</v>
      </c>
      <c r="C13" s="303"/>
      <c r="D13" s="303">
        <v>259.47399999999999</v>
      </c>
      <c r="E13" s="303">
        <f>209.084+17.279</f>
        <v>226.363</v>
      </c>
      <c r="F13" s="303">
        <v>259.47399999999999</v>
      </c>
      <c r="G13" s="39">
        <v>74.09</v>
      </c>
      <c r="H13" s="39">
        <v>78.070999999999998</v>
      </c>
      <c r="I13" s="39">
        <v>81.741</v>
      </c>
      <c r="J13" s="39">
        <f>102.087-J14</f>
        <v>89.909000000000006</v>
      </c>
      <c r="K13" s="20">
        <f>SUM(G13:J13)</f>
        <v>323.81099999999998</v>
      </c>
      <c r="L13" s="39">
        <v>97.909000000000006</v>
      </c>
      <c r="M13" s="39">
        <v>105.745</v>
      </c>
      <c r="N13" s="39">
        <v>114.76</v>
      </c>
      <c r="O13" s="39">
        <f>137.663-O14</f>
        <v>122.89400000000001</v>
      </c>
      <c r="P13" s="20">
        <f>SUM(L13:O13)</f>
        <v>441.30799999999999</v>
      </c>
      <c r="Q13" s="39">
        <v>128.631</v>
      </c>
      <c r="R13" s="39">
        <v>136.10599999999999</v>
      </c>
      <c r="S13" s="39">
        <v>153.47800000000001</v>
      </c>
      <c r="T13" s="39">
        <f>181.288-T14</f>
        <v>162.20500000000001</v>
      </c>
      <c r="U13" s="20">
        <f>SUM(Q13:T13)</f>
        <v>580.41999999999996</v>
      </c>
      <c r="V13" s="39">
        <v>161.72399999999999</v>
      </c>
      <c r="W13" s="39">
        <v>166.32</v>
      </c>
      <c r="X13" s="39">
        <v>171.38399999999999</v>
      </c>
      <c r="Y13" s="39">
        <f>197.519-Y14</f>
        <v>176.89</v>
      </c>
      <c r="Z13" s="20">
        <f>SUM(V13:Y13)</f>
        <v>676.31799999999998</v>
      </c>
      <c r="AA13" s="39">
        <v>180.83199999999999</v>
      </c>
      <c r="AB13" s="39">
        <v>189.446</v>
      </c>
      <c r="AC13" s="39">
        <v>194.102</v>
      </c>
      <c r="AD13" s="39">
        <f>226.478-AD14</f>
        <v>204.43600000000001</v>
      </c>
      <c r="AE13" s="20">
        <f>SUM(AA13:AD13)</f>
        <v>768.81600000000003</v>
      </c>
      <c r="AF13" s="39">
        <v>207.04300000000001</v>
      </c>
      <c r="AG13" s="39">
        <v>219.113</v>
      </c>
      <c r="AH13" s="39">
        <v>235.02099999999999</v>
      </c>
      <c r="AI13" s="39">
        <f>235.914</f>
        <v>235.91399999999999</v>
      </c>
      <c r="AJ13" s="20">
        <f>SUM(AF13:AI13)</f>
        <v>897.09100000000001</v>
      </c>
      <c r="AK13" s="39">
        <v>245.25899999999999</v>
      </c>
      <c r="AL13" s="39">
        <v>258.55599999999998</v>
      </c>
      <c r="AM13" s="39">
        <v>464.12700000000001</v>
      </c>
      <c r="AN13" s="39">
        <v>512.26099999999997</v>
      </c>
      <c r="AO13" s="20">
        <f>SUM(AK13:AN13)</f>
        <v>1480.203</v>
      </c>
      <c r="AP13" s="39">
        <v>526.16700000000003</v>
      </c>
      <c r="AQ13" s="39">
        <v>526.09799999999996</v>
      </c>
      <c r="AR13" s="39">
        <v>529.36300000000006</v>
      </c>
      <c r="AS13" s="39">
        <v>516.82299999999998</v>
      </c>
      <c r="AT13" s="20">
        <f>SUM(AP13:AS13)</f>
        <v>2098.451</v>
      </c>
      <c r="AU13" s="39">
        <v>539.72400000000005</v>
      </c>
      <c r="AV13" s="39">
        <v>567.81299999999999</v>
      </c>
      <c r="AW13" s="39">
        <v>567.62400000000002</v>
      </c>
      <c r="AX13" s="39">
        <v>557.06100000000004</v>
      </c>
      <c r="AY13" s="20">
        <f>SUM(AU13:AX13)</f>
        <v>2232.2220000000002</v>
      </c>
      <c r="AZ13" s="39">
        <v>584.25300000000004</v>
      </c>
      <c r="BA13" s="39">
        <v>587.827</v>
      </c>
      <c r="BB13" s="39">
        <v>606.07299999999998</v>
      </c>
      <c r="BC13" s="39">
        <v>628.44299999999998</v>
      </c>
      <c r="BD13" s="20">
        <f>SUM(AZ13:BC13)</f>
        <v>2406.5959999999995</v>
      </c>
      <c r="BE13" s="39">
        <v>624.79499999999996</v>
      </c>
      <c r="BF13" s="39">
        <v>654.73699999999997</v>
      </c>
      <c r="BG13" s="39">
        <v>623.60799999999995</v>
      </c>
      <c r="BH13" s="39">
        <f>622.501</f>
        <v>622.50099999999998</v>
      </c>
      <c r="BI13" s="20">
        <f t="shared" si="10"/>
        <v>2525.6409999999996</v>
      </c>
      <c r="BJ13" s="39">
        <v>708.94299999999998</v>
      </c>
      <c r="BK13" s="39">
        <v>736.22500000000002</v>
      </c>
      <c r="BL13" s="39">
        <v>694.85699999999997</v>
      </c>
      <c r="BM13" s="39">
        <v>729.76099999999997</v>
      </c>
      <c r="BN13" s="20">
        <f t="shared" si="11"/>
        <v>2869.7860000000001</v>
      </c>
      <c r="BO13" s="39">
        <v>707.97400000000005</v>
      </c>
      <c r="BP13" s="39">
        <v>729.79700000000003</v>
      </c>
      <c r="BQ13" s="39">
        <f>721.957-4.2</f>
        <v>717.75699999999995</v>
      </c>
      <c r="BR13" s="202">
        <f>720.629-8.8</f>
        <v>711.82900000000006</v>
      </c>
      <c r="BS13" s="20">
        <f>SUM(BO13:BR13)</f>
        <v>2867.3570000000004</v>
      </c>
      <c r="BT13" s="39">
        <f>1023-56</f>
        <v>967</v>
      </c>
      <c r="BU13" s="39">
        <f>1120-22</f>
        <v>1098</v>
      </c>
      <c r="BV13" s="39">
        <f>1121-11.27</f>
        <v>1109.73</v>
      </c>
      <c r="BW13" s="202">
        <f>1073+24</f>
        <v>1097</v>
      </c>
      <c r="BX13" s="20">
        <f t="shared" si="12"/>
        <v>4271.7299999999996</v>
      </c>
      <c r="BY13" s="39">
        <f>1099</f>
        <v>1099</v>
      </c>
      <c r="BZ13" s="39">
        <f>1125</f>
        <v>1125</v>
      </c>
      <c r="CA13" s="39">
        <f>1144</f>
        <v>1144</v>
      </c>
      <c r="CB13" s="202">
        <f>1151</f>
        <v>1151</v>
      </c>
      <c r="CC13" s="20">
        <f t="shared" si="13"/>
        <v>4519</v>
      </c>
      <c r="CD13" s="894">
        <f>1173+17</f>
        <v>1190</v>
      </c>
      <c r="CE13" s="39">
        <f>1056</f>
        <v>1056</v>
      </c>
      <c r="CF13" s="39">
        <f>1026</f>
        <v>1026</v>
      </c>
      <c r="CG13" s="202">
        <f>992+224+5</f>
        <v>1221</v>
      </c>
      <c r="CH13" s="20">
        <f t="shared" si="14"/>
        <v>4493</v>
      </c>
      <c r="CI13" s="654">
        <f>1057-41+250</f>
        <v>1266</v>
      </c>
      <c r="CJ13" s="654">
        <v>1017</v>
      </c>
      <c r="CK13" s="39">
        <v>911</v>
      </c>
      <c r="CL13" s="202">
        <v>881</v>
      </c>
      <c r="CM13" s="20">
        <f t="shared" si="15"/>
        <v>4075</v>
      </c>
      <c r="CN13" s="24">
        <f ca="1">'Expense Assumptions'!CN49</f>
        <v>849.96228024321124</v>
      </c>
      <c r="CO13" s="24">
        <f ca="1">'Expense Assumptions'!CO49</f>
        <v>795.80193313473637</v>
      </c>
      <c r="CP13" s="24">
        <f ca="1">'Expense Assumptions'!CP49</f>
        <v>726.44295278471475</v>
      </c>
      <c r="CQ13" s="24">
        <f ca="1">'Expense Assumptions'!CQ49</f>
        <v>826.10710185983271</v>
      </c>
      <c r="CR13" s="20">
        <f t="shared" ca="1" si="16"/>
        <v>3198.3142680224951</v>
      </c>
      <c r="CS13" s="24">
        <f ca="1">'Expense Assumptions'!CS49</f>
        <v>789.33863767602259</v>
      </c>
      <c r="CT13" s="24">
        <f ca="1">'Expense Assumptions'!CT49</f>
        <v>748.53553906827744</v>
      </c>
      <c r="CU13" s="24">
        <f ca="1">'Expense Assumptions'!CU49</f>
        <v>698.34855752650344</v>
      </c>
      <c r="CV13" s="24">
        <f ca="1">'Expense Assumptions'!CV49</f>
        <v>810.87132044739508</v>
      </c>
      <c r="CW13" s="20">
        <f t="shared" ca="1" si="17"/>
        <v>3047.0940547181985</v>
      </c>
      <c r="CX13" s="24">
        <f ca="1">'Expense Assumptions'!CX49</f>
        <v>785.77794875719394</v>
      </c>
      <c r="CY13" s="24">
        <f ca="1">'Expense Assumptions'!CY49</f>
        <v>747.42367092770576</v>
      </c>
      <c r="CZ13" s="24">
        <f ca="1">'Expense Assumptions'!CZ49</f>
        <v>707.94189779589021</v>
      </c>
      <c r="DA13" s="24">
        <f ca="1">'Expense Assumptions'!DA49</f>
        <v>817.66180614451787</v>
      </c>
      <c r="DB13" s="20">
        <f t="shared" ca="1" si="18"/>
        <v>3058.8053236253077</v>
      </c>
      <c r="DC13"/>
      <c r="DD13"/>
      <c r="DE13"/>
      <c r="DF13"/>
      <c r="DG13"/>
      <c r="DJ13"/>
    </row>
    <row r="14" spans="1:114" s="725" customFormat="1">
      <c r="A14" s="49"/>
      <c r="B14" s="37" t="s">
        <v>190</v>
      </c>
      <c r="C14" s="303"/>
      <c r="D14" s="303">
        <v>31.385000000000002</v>
      </c>
      <c r="E14" s="303">
        <v>25.521999999999998</v>
      </c>
      <c r="F14" s="303">
        <v>31.385000000000002</v>
      </c>
      <c r="G14" s="39">
        <v>9.8409999999999993</v>
      </c>
      <c r="H14" s="39">
        <v>9.8460000000000001</v>
      </c>
      <c r="I14" s="39">
        <v>10.956</v>
      </c>
      <c r="J14" s="39">
        <f>42.821-I14-H14-G14</f>
        <v>12.177999999999999</v>
      </c>
      <c r="K14" s="20">
        <f>SUM(G14:J14)</f>
        <v>42.820999999999998</v>
      </c>
      <c r="L14" s="39">
        <v>12.148999999999999</v>
      </c>
      <c r="M14" s="39">
        <v>13.475</v>
      </c>
      <c r="N14" s="39">
        <v>13.997</v>
      </c>
      <c r="O14" s="39">
        <f>54.39-N14-M14-L14</f>
        <v>14.769</v>
      </c>
      <c r="P14" s="20">
        <f>SUM(L14:O14)</f>
        <v>54.389999999999993</v>
      </c>
      <c r="Q14" s="39">
        <v>16.138999999999999</v>
      </c>
      <c r="R14" s="39">
        <v>16.917000000000002</v>
      </c>
      <c r="S14" s="39">
        <v>18.004000000000001</v>
      </c>
      <c r="T14" s="39">
        <f>70.143-S14-R14-Q14</f>
        <v>19.082999999999995</v>
      </c>
      <c r="U14" s="20">
        <f>SUM(Q14:T14)</f>
        <v>70.143000000000001</v>
      </c>
      <c r="V14" s="39">
        <v>19.698</v>
      </c>
      <c r="W14" s="39">
        <v>20.11</v>
      </c>
      <c r="X14" s="39">
        <v>20.951000000000001</v>
      </c>
      <c r="Y14" s="39">
        <f>81.388-X14-W14-V14</f>
        <v>20.629000000000005</v>
      </c>
      <c r="Z14" s="20">
        <f>SUM(V14:Y14)</f>
        <v>81.388000000000005</v>
      </c>
      <c r="AA14" s="39">
        <v>20.827999999999999</v>
      </c>
      <c r="AB14" s="39">
        <v>22.012</v>
      </c>
      <c r="AC14" s="39">
        <v>22.327999999999999</v>
      </c>
      <c r="AD14" s="39">
        <f>87.21-AC14-AB14-AA14</f>
        <v>22.041999999999991</v>
      </c>
      <c r="AE14" s="20">
        <f>SUM(AA14:AD14)</f>
        <v>87.21</v>
      </c>
      <c r="AF14" s="39">
        <v>22.981999999999999</v>
      </c>
      <c r="AG14" s="39">
        <v>23.646000000000001</v>
      </c>
      <c r="AH14" s="39">
        <v>24.49</v>
      </c>
      <c r="AI14" s="39">
        <v>25.986000000000001</v>
      </c>
      <c r="AJ14" s="20">
        <f>SUM(AF14:AI14)</f>
        <v>97.103999999999999</v>
      </c>
      <c r="AK14" s="39">
        <v>25.995999999999999</v>
      </c>
      <c r="AL14" s="39">
        <v>28.244</v>
      </c>
      <c r="AM14" s="39">
        <v>49.06</v>
      </c>
      <c r="AN14" s="39">
        <v>56.600999999999999</v>
      </c>
      <c r="AO14" s="20">
        <f>SUM(AK14:AN14)</f>
        <v>159.90100000000001</v>
      </c>
      <c r="AP14" s="39">
        <v>59.856999999999999</v>
      </c>
      <c r="AQ14" s="39">
        <v>58.478999999999999</v>
      </c>
      <c r="AR14" s="39">
        <v>58.841999999999999</v>
      </c>
      <c r="AS14" s="39">
        <v>55.279000000000003</v>
      </c>
      <c r="AT14" s="20">
        <f>SUM(AP14:AS14)</f>
        <v>232.45699999999999</v>
      </c>
      <c r="AU14" s="39">
        <v>59.942999999999998</v>
      </c>
      <c r="AV14" s="39">
        <v>61.2</v>
      </c>
      <c r="AW14" s="39">
        <v>62.683</v>
      </c>
      <c r="AX14" s="39">
        <v>62.920999999999999</v>
      </c>
      <c r="AY14" s="20">
        <f>SUM(AU14:AX14)</f>
        <v>246.74699999999999</v>
      </c>
      <c r="AZ14" s="39">
        <v>64.421000000000006</v>
      </c>
      <c r="BA14" s="39">
        <v>63.23</v>
      </c>
      <c r="BB14" s="39">
        <v>64.465000000000003</v>
      </c>
      <c r="BC14" s="39">
        <v>65.405000000000001</v>
      </c>
      <c r="BD14" s="20">
        <f>SUM(AZ14:BC14)</f>
        <v>257.52100000000002</v>
      </c>
      <c r="BE14" s="39">
        <v>64.757000000000005</v>
      </c>
      <c r="BF14" s="39">
        <v>62.430999999999997</v>
      </c>
      <c r="BG14" s="39">
        <v>64.480999999999995</v>
      </c>
      <c r="BH14" s="39">
        <v>64.698999999999998</v>
      </c>
      <c r="BI14" s="20">
        <f>SUM(BE14:BH14)</f>
        <v>256.36799999999999</v>
      </c>
      <c r="BJ14" s="39">
        <v>67.224000000000004</v>
      </c>
      <c r="BK14" s="39">
        <v>66.462999999999994</v>
      </c>
      <c r="BL14" s="39">
        <v>68.637</v>
      </c>
      <c r="BM14" s="39">
        <v>70.504999999999995</v>
      </c>
      <c r="BN14" s="20">
        <f>SUM(BJ14:BM14)</f>
        <v>272.82900000000001</v>
      </c>
      <c r="BO14" s="39">
        <v>71.554000000000002</v>
      </c>
      <c r="BP14" s="39">
        <v>71.819999999999993</v>
      </c>
      <c r="BQ14" s="39">
        <v>71.646000000000001</v>
      </c>
      <c r="BR14" s="202">
        <v>72.391999999999996</v>
      </c>
      <c r="BS14" s="20">
        <f>SUM(BO14:BR14)</f>
        <v>287.41199999999998</v>
      </c>
      <c r="BT14" s="39">
        <v>99</v>
      </c>
      <c r="BU14" s="39">
        <v>111</v>
      </c>
      <c r="BV14" s="39">
        <v>110</v>
      </c>
      <c r="BW14" s="202">
        <v>115</v>
      </c>
      <c r="BX14" s="20">
        <f t="shared" si="12"/>
        <v>435</v>
      </c>
      <c r="BY14" s="39">
        <v>116</v>
      </c>
      <c r="BZ14" s="39">
        <v>113</v>
      </c>
      <c r="CA14" s="39">
        <v>115</v>
      </c>
      <c r="CB14" s="202">
        <v>113</v>
      </c>
      <c r="CC14" s="20">
        <f t="shared" si="13"/>
        <v>457</v>
      </c>
      <c r="CD14" s="894">
        <v>119</v>
      </c>
      <c r="CE14" s="39">
        <v>112</v>
      </c>
      <c r="CF14" s="39">
        <v>109</v>
      </c>
      <c r="CG14" s="202">
        <v>110</v>
      </c>
      <c r="CH14" s="20">
        <f t="shared" si="14"/>
        <v>450</v>
      </c>
      <c r="CI14" s="894">
        <v>109</v>
      </c>
      <c r="CJ14" s="894">
        <v>104</v>
      </c>
      <c r="CK14" s="39">
        <v>93</v>
      </c>
      <c r="CL14" s="202">
        <v>88</v>
      </c>
      <c r="CM14" s="20">
        <f t="shared" si="15"/>
        <v>394</v>
      </c>
      <c r="CN14" s="24">
        <f>'Expense Assumptions'!CN40</f>
        <v>103.55</v>
      </c>
      <c r="CO14" s="24">
        <f>'Expense Assumptions'!CO40</f>
        <v>101.92</v>
      </c>
      <c r="CP14" s="24">
        <f>'Expense Assumptions'!CP40</f>
        <v>93.93</v>
      </c>
      <c r="CQ14" s="24">
        <f>'Expense Assumptions'!CQ40</f>
        <v>86.24</v>
      </c>
      <c r="CR14" s="20">
        <f t="shared" si="16"/>
        <v>385.64</v>
      </c>
      <c r="CS14" s="24">
        <f>'Expense Assumptions'!CS40</f>
        <v>106.13874999999999</v>
      </c>
      <c r="CT14" s="24">
        <f>'Expense Assumptions'!CT40</f>
        <v>104.46799999999999</v>
      </c>
      <c r="CU14" s="24">
        <f>'Expense Assumptions'!CU40</f>
        <v>96.27825</v>
      </c>
      <c r="CV14" s="24">
        <f>'Expense Assumptions'!CV40</f>
        <v>88.395999999999987</v>
      </c>
      <c r="CW14" s="20">
        <f t="shared" si="17"/>
        <v>395.28099999999995</v>
      </c>
      <c r="CX14" s="24">
        <f>'Expense Assumptions'!CX40</f>
        <v>108.79221874999998</v>
      </c>
      <c r="CY14" s="24">
        <f>'Expense Assumptions'!CY40</f>
        <v>107.07969999999997</v>
      </c>
      <c r="CZ14" s="24">
        <f>'Expense Assumptions'!CZ40</f>
        <v>98.685206249999993</v>
      </c>
      <c r="DA14" s="24">
        <f>'Expense Assumptions'!DA40</f>
        <v>90.605899999999977</v>
      </c>
      <c r="DB14" s="20">
        <f t="shared" si="18"/>
        <v>405.16302499999989</v>
      </c>
      <c r="DC14"/>
      <c r="DD14"/>
      <c r="DE14"/>
      <c r="DF14"/>
      <c r="DG14"/>
      <c r="DJ14"/>
    </row>
    <row r="15" spans="1:114" s="725" customFormat="1">
      <c r="A15" s="49"/>
      <c r="B15" s="5" t="s">
        <v>663</v>
      </c>
      <c r="C15" s="303"/>
      <c r="D15" s="303"/>
      <c r="E15" s="303"/>
      <c r="F15" s="303"/>
      <c r="G15" s="39"/>
      <c r="H15" s="39"/>
      <c r="I15" s="39"/>
      <c r="J15" s="39"/>
      <c r="K15" s="20"/>
      <c r="L15" s="39"/>
      <c r="M15" s="39"/>
      <c r="N15" s="39"/>
      <c r="O15" s="39"/>
      <c r="P15" s="20"/>
      <c r="Q15" s="39"/>
      <c r="R15" s="39"/>
      <c r="S15" s="39"/>
      <c r="T15" s="39"/>
      <c r="U15" s="20"/>
      <c r="V15" s="39"/>
      <c r="W15" s="39"/>
      <c r="X15" s="39"/>
      <c r="Y15" s="39"/>
      <c r="Z15" s="20"/>
      <c r="AA15" s="39"/>
      <c r="AB15" s="39"/>
      <c r="AC15" s="39"/>
      <c r="AD15" s="39"/>
      <c r="AE15" s="20"/>
      <c r="AF15" s="39"/>
      <c r="AG15" s="39"/>
      <c r="AH15" s="39"/>
      <c r="AI15" s="39"/>
      <c r="AJ15" s="20"/>
      <c r="AK15" s="39"/>
      <c r="AL15" s="39"/>
      <c r="AM15" s="39"/>
      <c r="AN15" s="39"/>
      <c r="AO15" s="20"/>
      <c r="AP15" s="39"/>
      <c r="AQ15" s="39"/>
      <c r="AR15" s="39"/>
      <c r="AS15" s="39"/>
      <c r="AT15" s="20"/>
      <c r="AU15" s="39"/>
      <c r="AV15" s="39"/>
      <c r="AW15" s="39"/>
      <c r="AX15" s="39"/>
      <c r="AY15" s="20"/>
      <c r="AZ15" s="39"/>
      <c r="BA15" s="39"/>
      <c r="BB15" s="39"/>
      <c r="BC15" s="39"/>
      <c r="BD15" s="20"/>
      <c r="BE15" s="39"/>
      <c r="BF15" s="39"/>
      <c r="BG15" s="39"/>
      <c r="BH15" s="39"/>
      <c r="BI15" s="20"/>
      <c r="BJ15" s="39"/>
      <c r="BK15" s="39"/>
      <c r="BL15" s="39"/>
      <c r="BM15" s="39"/>
      <c r="BN15" s="20"/>
      <c r="BO15" s="39"/>
      <c r="BP15" s="39"/>
      <c r="BQ15" s="39"/>
      <c r="BR15" s="24"/>
      <c r="BS15" s="20"/>
      <c r="BT15" s="39">
        <v>0</v>
      </c>
      <c r="BU15" s="39">
        <v>0</v>
      </c>
      <c r="BV15" s="39">
        <v>0</v>
      </c>
      <c r="BW15" s="24">
        <v>0</v>
      </c>
      <c r="BX15" s="566">
        <f t="shared" si="12"/>
        <v>0</v>
      </c>
      <c r="BY15" s="39">
        <v>0</v>
      </c>
      <c r="BZ15" s="39">
        <v>0</v>
      </c>
      <c r="CA15" s="39"/>
      <c r="CB15" s="24"/>
      <c r="CC15" s="580">
        <f t="shared" si="13"/>
        <v>0</v>
      </c>
      <c r="CD15" s="894"/>
      <c r="CE15" s="39"/>
      <c r="CF15" s="39"/>
      <c r="CG15" s="24"/>
      <c r="CH15" s="1296">
        <f t="shared" si="14"/>
        <v>0</v>
      </c>
      <c r="CI15" s="894">
        <f>CD15</f>
        <v>0</v>
      </c>
      <c r="CJ15" s="894">
        <v>7</v>
      </c>
      <c r="CK15" s="39">
        <v>1</v>
      </c>
      <c r="CL15" s="39">
        <v>1</v>
      </c>
      <c r="CM15" s="1296">
        <f t="shared" si="15"/>
        <v>9</v>
      </c>
      <c r="CN15" s="893">
        <f>CI15</f>
        <v>0</v>
      </c>
      <c r="CO15" s="893">
        <v>0</v>
      </c>
      <c r="CP15" s="893">
        <f>CK15</f>
        <v>1</v>
      </c>
      <c r="CQ15" s="893">
        <f>CL15</f>
        <v>1</v>
      </c>
      <c r="CR15" s="1296">
        <f t="shared" si="16"/>
        <v>2</v>
      </c>
      <c r="CS15" s="893">
        <f>CN15</f>
        <v>0</v>
      </c>
      <c r="CT15" s="893">
        <f>CO15</f>
        <v>0</v>
      </c>
      <c r="CU15" s="893">
        <f>CP15</f>
        <v>1</v>
      </c>
      <c r="CV15" s="893">
        <f>CQ15</f>
        <v>1</v>
      </c>
      <c r="CW15" s="1296">
        <f t="shared" si="17"/>
        <v>2</v>
      </c>
      <c r="CX15" s="893">
        <f>CS15</f>
        <v>0</v>
      </c>
      <c r="CY15" s="893">
        <f>CT15</f>
        <v>0</v>
      </c>
      <c r="CZ15" s="893">
        <f>CU15</f>
        <v>1</v>
      </c>
      <c r="DA15" s="893">
        <f>CV15</f>
        <v>1</v>
      </c>
      <c r="DB15" s="1296">
        <f t="shared" si="18"/>
        <v>2</v>
      </c>
      <c r="DC15"/>
      <c r="DD15"/>
      <c r="DE15"/>
      <c r="DF15"/>
      <c r="DG15"/>
      <c r="DJ15"/>
    </row>
    <row r="16" spans="1:114" s="725" customFormat="1">
      <c r="A16" s="49"/>
      <c r="B16" s="37" t="s">
        <v>66</v>
      </c>
      <c r="C16" s="303"/>
      <c r="D16" s="303">
        <v>0</v>
      </c>
      <c r="E16" s="303">
        <v>0</v>
      </c>
      <c r="F16" s="303">
        <v>0</v>
      </c>
      <c r="G16" s="39">
        <v>0</v>
      </c>
      <c r="H16" s="39">
        <v>0</v>
      </c>
      <c r="I16" s="39">
        <v>0</v>
      </c>
      <c r="J16" s="39">
        <v>0</v>
      </c>
      <c r="K16" s="20">
        <f>SUM(G16:J16)</f>
        <v>0</v>
      </c>
      <c r="L16" s="39">
        <v>0</v>
      </c>
      <c r="M16" s="39">
        <v>0</v>
      </c>
      <c r="N16" s="39">
        <v>0</v>
      </c>
      <c r="O16" s="39">
        <v>0</v>
      </c>
      <c r="P16" s="20">
        <f>SUM(L16:O16)</f>
        <v>0</v>
      </c>
      <c r="Q16" s="39">
        <v>0</v>
      </c>
      <c r="R16" s="39">
        <v>0</v>
      </c>
      <c r="S16" s="39">
        <v>0</v>
      </c>
      <c r="T16" s="39">
        <v>0</v>
      </c>
      <c r="U16" s="20">
        <f>SUM(Q16:T16)</f>
        <v>0</v>
      </c>
      <c r="V16" s="39">
        <v>0</v>
      </c>
      <c r="W16" s="39">
        <v>0</v>
      </c>
      <c r="X16" s="39">
        <v>0</v>
      </c>
      <c r="Y16" s="39">
        <v>0</v>
      </c>
      <c r="Z16" s="20">
        <f>SUM(V16:Y16)</f>
        <v>0</v>
      </c>
      <c r="AA16" s="39">
        <v>0</v>
      </c>
      <c r="AB16" s="39">
        <v>0</v>
      </c>
      <c r="AC16" s="39">
        <v>0</v>
      </c>
      <c r="AD16" s="39">
        <v>0</v>
      </c>
      <c r="AE16" s="20">
        <f>SUM(AA16:AD16)</f>
        <v>0</v>
      </c>
      <c r="AF16" s="39">
        <v>0</v>
      </c>
      <c r="AG16" s="39">
        <v>0</v>
      </c>
      <c r="AH16" s="39">
        <v>0</v>
      </c>
      <c r="AI16" s="39"/>
      <c r="AJ16" s="20"/>
      <c r="AK16" s="39">
        <v>0</v>
      </c>
      <c r="AL16" s="39">
        <v>0</v>
      </c>
      <c r="AM16" s="39">
        <v>0</v>
      </c>
      <c r="AN16" s="39">
        <v>0</v>
      </c>
      <c r="AO16" s="20">
        <f>SUM(AK16:AN16)</f>
        <v>0</v>
      </c>
      <c r="AP16" s="39">
        <v>0</v>
      </c>
      <c r="AQ16" s="39">
        <v>0</v>
      </c>
      <c r="AR16" s="39">
        <v>0</v>
      </c>
      <c r="AS16" s="39">
        <v>0</v>
      </c>
      <c r="AT16" s="20">
        <f>SUM(AP16:AS16)</f>
        <v>0</v>
      </c>
      <c r="AU16" s="39">
        <v>0</v>
      </c>
      <c r="AV16" s="39">
        <v>0</v>
      </c>
      <c r="AW16" s="39">
        <v>0</v>
      </c>
      <c r="AX16" s="39">
        <v>0</v>
      </c>
      <c r="AY16" s="20">
        <f>SUM(AU16:AX16)</f>
        <v>0</v>
      </c>
      <c r="AZ16" s="39">
        <v>0</v>
      </c>
      <c r="BA16" s="39">
        <v>0</v>
      </c>
      <c r="BB16" s="39">
        <v>0</v>
      </c>
      <c r="BC16" s="39">
        <v>0</v>
      </c>
      <c r="BD16" s="20">
        <f>SUM(AZ16:BC16)</f>
        <v>0</v>
      </c>
      <c r="BE16" s="39">
        <v>0</v>
      </c>
      <c r="BF16" s="39">
        <v>0</v>
      </c>
      <c r="BG16" s="39"/>
      <c r="BH16" s="39">
        <v>-23.17</v>
      </c>
      <c r="BI16" s="20">
        <f t="shared" si="10"/>
        <v>-23.17</v>
      </c>
      <c r="BJ16" s="39">
        <v>-26.167999999999999</v>
      </c>
      <c r="BK16" s="39">
        <v>-16.802</v>
      </c>
      <c r="BL16" s="39">
        <v>-30.622</v>
      </c>
      <c r="BM16" s="39">
        <v>-53.142000000000003</v>
      </c>
      <c r="BN16" s="20">
        <f t="shared" si="11"/>
        <v>-126.73400000000001</v>
      </c>
      <c r="BO16" s="39">
        <v>-20.916</v>
      </c>
      <c r="BP16" s="39">
        <v>-24.384</v>
      </c>
      <c r="BQ16" s="39">
        <v>-65.007000000000005</v>
      </c>
      <c r="BR16" s="202">
        <v>-55.57</v>
      </c>
      <c r="BS16" s="20">
        <f>SUM(BO16:BR16)</f>
        <v>-165.87700000000001</v>
      </c>
      <c r="BT16" s="39">
        <v>-40</v>
      </c>
      <c r="BU16" s="39">
        <v>-84</v>
      </c>
      <c r="BV16" s="39">
        <v>-88</v>
      </c>
      <c r="BW16" s="202">
        <v>-47</v>
      </c>
      <c r="BX16" s="20">
        <f t="shared" si="12"/>
        <v>-259</v>
      </c>
      <c r="BY16" s="39">
        <v>-26</v>
      </c>
      <c r="BZ16" s="39">
        <v>-55</v>
      </c>
      <c r="CA16" s="39">
        <v>-54</v>
      </c>
      <c r="CB16" s="202">
        <v>-25</v>
      </c>
      <c r="CC16" s="20">
        <f t="shared" si="13"/>
        <v>-160</v>
      </c>
      <c r="CD16" s="894">
        <v>-18</v>
      </c>
      <c r="CE16" s="39">
        <v>-31</v>
      </c>
      <c r="CF16" s="39">
        <v>-5</v>
      </c>
      <c r="CG16" s="202">
        <v>-15</v>
      </c>
      <c r="CH16" s="20">
        <f t="shared" si="14"/>
        <v>-69</v>
      </c>
      <c r="CI16" s="894">
        <v>-6</v>
      </c>
      <c r="CJ16" s="894">
        <v>-17</v>
      </c>
      <c r="CK16" s="39">
        <v>-2</v>
      </c>
      <c r="CL16" s="202">
        <v>-3</v>
      </c>
      <c r="CM16" s="20">
        <f t="shared" si="15"/>
        <v>-28</v>
      </c>
      <c r="CN16" s="894">
        <v>-6</v>
      </c>
      <c r="CO16" s="894">
        <v>-17</v>
      </c>
      <c r="CP16" s="39">
        <v>-2</v>
      </c>
      <c r="CQ16" s="202">
        <v>-3</v>
      </c>
      <c r="CR16" s="20">
        <f t="shared" si="16"/>
        <v>-28</v>
      </c>
      <c r="CS16" s="655">
        <f>CQ16+1</f>
        <v>-2</v>
      </c>
      <c r="CT16" s="655">
        <f>CS16</f>
        <v>-2</v>
      </c>
      <c r="CU16" s="655">
        <f>CT16</f>
        <v>-2</v>
      </c>
      <c r="CV16" s="655">
        <f t="shared" ref="CV16" si="19">CU16</f>
        <v>-2</v>
      </c>
      <c r="CW16" s="20">
        <f t="shared" si="17"/>
        <v>-8</v>
      </c>
      <c r="CX16" s="655">
        <f>CV16+1</f>
        <v>-1</v>
      </c>
      <c r="CY16" s="655">
        <f>CX16</f>
        <v>-1</v>
      </c>
      <c r="CZ16" s="655">
        <f>CY16</f>
        <v>-1</v>
      </c>
      <c r="DA16" s="655">
        <f t="shared" ref="DA16" si="20">CZ16</f>
        <v>-1</v>
      </c>
      <c r="DB16" s="20">
        <f t="shared" si="18"/>
        <v>-4</v>
      </c>
      <c r="DC16"/>
      <c r="DD16"/>
      <c r="DE16"/>
      <c r="DF16"/>
      <c r="DG16"/>
      <c r="DJ16"/>
    </row>
    <row r="17" spans="1:114" s="725" customFormat="1">
      <c r="A17" s="1309"/>
      <c r="B17" s="1310" t="s">
        <v>191</v>
      </c>
      <c r="C17" s="1328"/>
      <c r="D17" s="1328">
        <f t="shared" ref="D17:AI17" si="21">D10-SUM(D11:D16)</f>
        <v>-229.91499999999996</v>
      </c>
      <c r="E17" s="1328">
        <f t="shared" si="21"/>
        <v>186.90599999999995</v>
      </c>
      <c r="F17" s="1328">
        <f t="shared" si="21"/>
        <v>252.73599999999988</v>
      </c>
      <c r="G17" s="1329">
        <f t="shared" si="21"/>
        <v>77.24799999999999</v>
      </c>
      <c r="H17" s="1329">
        <f t="shared" si="21"/>
        <v>73.830000000000041</v>
      </c>
      <c r="I17" s="1329">
        <f t="shared" si="21"/>
        <v>74.02600000000001</v>
      </c>
      <c r="J17" s="1329">
        <f t="shared" si="21"/>
        <v>83.607000000000028</v>
      </c>
      <c r="K17" s="1328">
        <f t="shared" si="21"/>
        <v>308.71100000000001</v>
      </c>
      <c r="L17" s="1329">
        <f t="shared" si="21"/>
        <v>92.400000000000034</v>
      </c>
      <c r="M17" s="1329">
        <f t="shared" si="21"/>
        <v>87.519999999999982</v>
      </c>
      <c r="N17" s="1329">
        <f t="shared" si="21"/>
        <v>87.314000000000021</v>
      </c>
      <c r="O17" s="1329">
        <f t="shared" si="21"/>
        <v>94.730000000000018</v>
      </c>
      <c r="P17" s="1328">
        <f t="shared" si="21"/>
        <v>361.96399999999994</v>
      </c>
      <c r="Q17" s="1329">
        <f t="shared" si="21"/>
        <v>106.57400000000007</v>
      </c>
      <c r="R17" s="1329">
        <f t="shared" si="21"/>
        <v>102.73300000000006</v>
      </c>
      <c r="S17" s="1329">
        <f t="shared" si="21"/>
        <v>108.29300000000012</v>
      </c>
      <c r="T17" s="1329">
        <f t="shared" si="21"/>
        <v>118.923</v>
      </c>
      <c r="U17" s="1328">
        <f t="shared" si="21"/>
        <v>436.52300000000059</v>
      </c>
      <c r="V17" s="1329">
        <f t="shared" si="21"/>
        <v>125.02300000000002</v>
      </c>
      <c r="W17" s="1329">
        <f t="shared" si="21"/>
        <v>121.47000000000003</v>
      </c>
      <c r="X17" s="1329">
        <f t="shared" si="21"/>
        <v>121.01700000000005</v>
      </c>
      <c r="Y17" s="1329">
        <f t="shared" si="21"/>
        <v>129.98099999999999</v>
      </c>
      <c r="Z17" s="1328">
        <f t="shared" si="21"/>
        <v>497.49100000000089</v>
      </c>
      <c r="AA17" s="1329">
        <f t="shared" si="21"/>
        <v>142.09699999999987</v>
      </c>
      <c r="AB17" s="1329">
        <f t="shared" si="21"/>
        <v>140.15200000000004</v>
      </c>
      <c r="AC17" s="1329">
        <f t="shared" si="21"/>
        <v>137.49700000000007</v>
      </c>
      <c r="AD17" s="1329">
        <f t="shared" si="21"/>
        <v>151.76899999999989</v>
      </c>
      <c r="AE17" s="1328">
        <f t="shared" si="21"/>
        <v>571.51500000000033</v>
      </c>
      <c r="AF17" s="1329">
        <f t="shared" si="21"/>
        <v>158.45799999999986</v>
      </c>
      <c r="AG17" s="1329">
        <f t="shared" si="21"/>
        <v>156.74400000000014</v>
      </c>
      <c r="AH17" s="1329">
        <f t="shared" si="21"/>
        <v>91.360000000000014</v>
      </c>
      <c r="AI17" s="1329">
        <f t="shared" si="21"/>
        <v>165.46400000000006</v>
      </c>
      <c r="AJ17" s="1328">
        <f t="shared" ref="AJ17:BP17" si="22">AJ10-SUM(AJ11:AJ16)</f>
        <v>572.02600000000029</v>
      </c>
      <c r="AK17" s="1329">
        <f t="shared" si="22"/>
        <v>170.19899999999996</v>
      </c>
      <c r="AL17" s="1329">
        <f t="shared" si="22"/>
        <v>172.54899999999986</v>
      </c>
      <c r="AM17" s="1329">
        <f t="shared" si="22"/>
        <v>289.29000000000042</v>
      </c>
      <c r="AN17" s="1329">
        <f t="shared" si="22"/>
        <v>177.21000000000004</v>
      </c>
      <c r="AO17" s="1328">
        <f t="shared" si="22"/>
        <v>809.2480000000005</v>
      </c>
      <c r="AP17" s="1329">
        <f t="shared" si="22"/>
        <v>370.27100000000019</v>
      </c>
      <c r="AQ17" s="1329">
        <f t="shared" si="22"/>
        <v>358.01599999999985</v>
      </c>
      <c r="AR17" s="1329">
        <f t="shared" si="22"/>
        <v>383.57399999999961</v>
      </c>
      <c r="AS17" s="1329">
        <f t="shared" si="22"/>
        <v>381.72800000000007</v>
      </c>
      <c r="AT17" s="1328">
        <f t="shared" si="22"/>
        <v>1493.5889999999999</v>
      </c>
      <c r="AU17" s="1329">
        <f t="shared" si="22"/>
        <v>390.67399999999952</v>
      </c>
      <c r="AV17" s="1329">
        <f t="shared" si="22"/>
        <v>403.84999999999991</v>
      </c>
      <c r="AW17" s="1329">
        <f t="shared" si="22"/>
        <v>410.82600000000048</v>
      </c>
      <c r="AX17" s="1329">
        <f t="shared" si="22"/>
        <v>429.60100000000057</v>
      </c>
      <c r="AY17" s="1328">
        <f t="shared" si="22"/>
        <v>1634.9510000000009</v>
      </c>
      <c r="AZ17" s="1329">
        <f t="shared" si="22"/>
        <v>420.69100000000026</v>
      </c>
      <c r="BA17" s="1329">
        <f t="shared" si="22"/>
        <v>432.15300000000025</v>
      </c>
      <c r="BB17" s="1329">
        <f t="shared" si="22"/>
        <v>431.9380000000001</v>
      </c>
      <c r="BC17" s="1329">
        <f t="shared" si="22"/>
        <v>439.98499999999967</v>
      </c>
      <c r="BD17" s="1328">
        <f t="shared" si="22"/>
        <v>1724.7669999999998</v>
      </c>
      <c r="BE17" s="1329">
        <f t="shared" si="22"/>
        <v>441.64199999999983</v>
      </c>
      <c r="BF17" s="1329">
        <f t="shared" si="22"/>
        <v>450.28400000000011</v>
      </c>
      <c r="BG17" s="1329">
        <f t="shared" si="22"/>
        <v>445.31800000000067</v>
      </c>
      <c r="BH17" s="1329">
        <f t="shared" si="22"/>
        <v>452.62100000000009</v>
      </c>
      <c r="BI17" s="1328">
        <f t="shared" si="22"/>
        <v>1789.8650000000016</v>
      </c>
      <c r="BJ17" s="1329">
        <f t="shared" si="22"/>
        <v>523.48199999999997</v>
      </c>
      <c r="BK17" s="1329">
        <f t="shared" si="22"/>
        <v>469.91299999999956</v>
      </c>
      <c r="BL17" s="1329">
        <f t="shared" si="22"/>
        <v>469.83499999999958</v>
      </c>
      <c r="BM17" s="1329">
        <f t="shared" si="22"/>
        <v>472.45199999999977</v>
      </c>
      <c r="BN17" s="1328">
        <f t="shared" si="22"/>
        <v>1935.6820000000007</v>
      </c>
      <c r="BO17" s="1329">
        <f t="shared" si="22"/>
        <v>478.14899999999989</v>
      </c>
      <c r="BP17" s="1329">
        <f t="shared" si="22"/>
        <v>405.17699999999968</v>
      </c>
      <c r="BQ17" s="1329">
        <f t="shared" ref="BQ17:CH17" si="23">BQ10-SUM(BQ11:BQ16)</f>
        <v>465.76900000000023</v>
      </c>
      <c r="BR17" s="1329">
        <f t="shared" si="23"/>
        <v>447.8430000000003</v>
      </c>
      <c r="BS17" s="1328">
        <f>BS10-SUM(BS11:BS16)</f>
        <v>1796.9379999999983</v>
      </c>
      <c r="BT17" s="1329">
        <f>BT10-SUM(BT11:BT14)-BT15-BT16</f>
        <v>530</v>
      </c>
      <c r="BU17" s="1329">
        <f>BU10-SUM(BU11:BU14)-BU15-BU16</f>
        <v>688</v>
      </c>
      <c r="BV17" s="1329">
        <f>BV10-SUM(BV11:BV14)-BV15-BV16</f>
        <v>739.27000000000044</v>
      </c>
      <c r="BW17" s="1329">
        <f>BW10-SUM(BW11:BW14)-BW15-BW16</f>
        <v>768</v>
      </c>
      <c r="BX17" s="1328">
        <f>BX10-SUM(BX11:BX14)-BX15-BX16</f>
        <v>2725.2700000000004</v>
      </c>
      <c r="BY17" s="1329">
        <f t="shared" si="23"/>
        <v>703</v>
      </c>
      <c r="BZ17" s="1329">
        <f t="shared" si="23"/>
        <v>732</v>
      </c>
      <c r="CA17" s="1329">
        <f t="shared" si="23"/>
        <v>639</v>
      </c>
      <c r="CB17" s="1329">
        <f t="shared" si="23"/>
        <v>508</v>
      </c>
      <c r="CC17" s="1328">
        <f t="shared" si="23"/>
        <v>2582</v>
      </c>
      <c r="CD17" s="1330">
        <f t="shared" si="23"/>
        <v>592</v>
      </c>
      <c r="CE17" s="1329">
        <f t="shared" si="23"/>
        <v>540</v>
      </c>
      <c r="CF17" s="1329">
        <f t="shared" si="23"/>
        <v>460</v>
      </c>
      <c r="CG17" s="1329">
        <f t="shared" si="23"/>
        <v>336</v>
      </c>
      <c r="CH17" s="1328">
        <f t="shared" si="23"/>
        <v>1928</v>
      </c>
      <c r="CI17" s="1330">
        <f t="shared" ref="CI17:CR17" si="24">CI10-SUM(CI11:CI16)</f>
        <v>307</v>
      </c>
      <c r="CJ17" s="1329">
        <f t="shared" si="24"/>
        <v>416</v>
      </c>
      <c r="CK17" s="1329">
        <f t="shared" si="24"/>
        <v>329</v>
      </c>
      <c r="CL17" s="1329">
        <f t="shared" si="24"/>
        <v>-195</v>
      </c>
      <c r="CM17" s="1328">
        <f t="shared" si="24"/>
        <v>857</v>
      </c>
      <c r="CN17" s="1329">
        <f t="shared" ca="1" si="24"/>
        <v>422.2510527919535</v>
      </c>
      <c r="CO17" s="1329">
        <f t="shared" ca="1" si="24"/>
        <v>384.41955534927274</v>
      </c>
      <c r="CP17" s="1329">
        <f t="shared" ca="1" si="24"/>
        <v>345.12605193048148</v>
      </c>
      <c r="CQ17" s="1329">
        <f t="shared" ca="1" si="24"/>
        <v>399.24394577252997</v>
      </c>
      <c r="CR17" s="1328">
        <f t="shared" ca="1" si="24"/>
        <v>1551.0406058442368</v>
      </c>
      <c r="CS17" s="1329">
        <f t="shared" ref="CS17:CW17" ca="1" si="25">CS10-SUM(CS11:CS16)</f>
        <v>375.07394576676234</v>
      </c>
      <c r="CT17" s="1329">
        <f t="shared" ca="1" si="25"/>
        <v>375.13231053148183</v>
      </c>
      <c r="CU17" s="1329">
        <f t="shared" ca="1" si="25"/>
        <v>381.06897660755158</v>
      </c>
      <c r="CV17" s="1329">
        <f t="shared" ca="1" si="25"/>
        <v>403.94056264570918</v>
      </c>
      <c r="CW17" s="1328">
        <f t="shared" ca="1" si="25"/>
        <v>1535.2157955515067</v>
      </c>
      <c r="CX17" s="1329">
        <f t="shared" ref="CX17:DB17" ca="1" si="26">CX10-SUM(CX11:CX16)</f>
        <v>374.15158982107869</v>
      </c>
      <c r="CY17" s="1329">
        <f t="shared" ca="1" si="26"/>
        <v>380.32658532911819</v>
      </c>
      <c r="CZ17" s="1329">
        <f t="shared" ca="1" si="26"/>
        <v>362.02724122753216</v>
      </c>
      <c r="DA17" s="1329">
        <f t="shared" ca="1" si="26"/>
        <v>408.33467150451179</v>
      </c>
      <c r="DB17" s="1328">
        <f t="shared" ca="1" si="26"/>
        <v>1524.8400878822413</v>
      </c>
      <c r="DC17"/>
      <c r="DD17"/>
      <c r="DE17"/>
      <c r="DF17"/>
      <c r="DG17"/>
      <c r="DI17" s="1292"/>
      <c r="DJ17"/>
    </row>
    <row r="18" spans="1:114" s="725" customFormat="1">
      <c r="A18" s="49"/>
      <c r="B18" s="37" t="s">
        <v>192</v>
      </c>
      <c r="C18" s="303"/>
      <c r="D18" s="303">
        <f>71.931+25.693</f>
        <v>97.623999999999995</v>
      </c>
      <c r="E18" s="303">
        <f>56.943+24.708</f>
        <v>81.650999999999996</v>
      </c>
      <c r="F18" s="303">
        <f>71.931+25.693</f>
        <v>97.623999999999995</v>
      </c>
      <c r="G18" s="39">
        <f>21.461+7.046</f>
        <v>28.506999999999998</v>
      </c>
      <c r="H18" s="39">
        <f>21.633+7.028</f>
        <v>28.660999999999998</v>
      </c>
      <c r="I18" s="39">
        <f>23.318+7.313</f>
        <v>30.631</v>
      </c>
      <c r="J18" s="39">
        <f>24.501+7.368</f>
        <v>31.869</v>
      </c>
      <c r="K18" s="20">
        <f>SUM(G18:J18)</f>
        <v>119.66799999999999</v>
      </c>
      <c r="L18" s="39">
        <f>28.484</f>
        <v>28.484000000000002</v>
      </c>
      <c r="M18" s="39">
        <f>28.951</f>
        <v>28.951000000000001</v>
      </c>
      <c r="N18" s="39">
        <f>28.982</f>
        <v>28.981999999999999</v>
      </c>
      <c r="O18" s="39">
        <f>31.801</f>
        <v>31.800999999999998</v>
      </c>
      <c r="P18" s="20">
        <f>SUM(L18:O18)</f>
        <v>118.218</v>
      </c>
      <c r="Q18" s="39">
        <f>33.242</f>
        <v>33.241999999999997</v>
      </c>
      <c r="R18" s="39">
        <f>34.358</f>
        <v>34.357999999999997</v>
      </c>
      <c r="S18" s="39">
        <f>36.374</f>
        <v>36.374000000000002</v>
      </c>
      <c r="T18" s="39">
        <f>39.792</f>
        <v>39.792000000000002</v>
      </c>
      <c r="U18" s="20">
        <f>SUM(Q18:T18)</f>
        <v>143.76599999999999</v>
      </c>
      <c r="V18" s="39">
        <f>38.451</f>
        <v>38.451000000000001</v>
      </c>
      <c r="W18" s="39">
        <f>38.706</f>
        <v>38.706000000000003</v>
      </c>
      <c r="X18" s="39">
        <f>39.312</f>
        <v>39.311999999999998</v>
      </c>
      <c r="Y18" s="39">
        <f>41.604</f>
        <v>41.603999999999999</v>
      </c>
      <c r="Z18" s="20">
        <f>SUM(V18:Y18)</f>
        <v>158.07300000000001</v>
      </c>
      <c r="AA18" s="39">
        <f>40.246</f>
        <v>40.246000000000002</v>
      </c>
      <c r="AB18" s="39">
        <f>40.483</f>
        <v>40.482999999999997</v>
      </c>
      <c r="AC18" s="39">
        <f>40.49</f>
        <v>40.49</v>
      </c>
      <c r="AD18" s="39">
        <f>43.793</f>
        <v>43.792999999999999</v>
      </c>
      <c r="AE18" s="20">
        <f>SUM(AA18:AD18)</f>
        <v>165.012</v>
      </c>
      <c r="AF18" s="39">
        <f>42.506</f>
        <v>42.506</v>
      </c>
      <c r="AG18" s="39">
        <f>47.183</f>
        <v>47.183</v>
      </c>
      <c r="AH18" s="39">
        <f>49.951</f>
        <v>49.951000000000001</v>
      </c>
      <c r="AI18" s="39">
        <f>49.131</f>
        <v>49.131</v>
      </c>
      <c r="AJ18" s="20">
        <f>SUM(AF18:AI18)</f>
        <v>188.77099999999999</v>
      </c>
      <c r="AK18" s="39">
        <f>51.27</f>
        <v>51.27</v>
      </c>
      <c r="AL18" s="39">
        <f>53.349</f>
        <v>53.348999999999997</v>
      </c>
      <c r="AM18" s="39">
        <f>106.435</f>
        <v>106.435</v>
      </c>
      <c r="AN18" s="39">
        <f>115.104</f>
        <v>115.104</v>
      </c>
      <c r="AO18" s="20">
        <f>SUM(AK18:AN18)</f>
        <v>326.15800000000002</v>
      </c>
      <c r="AP18" s="39">
        <f>122.715</f>
        <v>122.715</v>
      </c>
      <c r="AQ18" s="39">
        <f>124.942</f>
        <v>124.94199999999999</v>
      </c>
      <c r="AR18" s="39">
        <f>130.507</f>
        <v>130.50700000000001</v>
      </c>
      <c r="AS18" s="39">
        <f>125.787</f>
        <v>125.78700000000001</v>
      </c>
      <c r="AT18" s="20">
        <f>SUM(AP18:AS18)</f>
        <v>503.95100000000002</v>
      </c>
      <c r="AU18" s="39">
        <f>135.532</f>
        <v>135.53200000000001</v>
      </c>
      <c r="AV18" s="39">
        <v>142.447</v>
      </c>
      <c r="AW18" s="39">
        <v>143.55799999999999</v>
      </c>
      <c r="AX18" s="39">
        <v>144.64500000000001</v>
      </c>
      <c r="AY18" s="20">
        <f>SUM(AU18:AX18)</f>
        <v>566.18200000000002</v>
      </c>
      <c r="AZ18" s="39">
        <v>147.679</v>
      </c>
      <c r="BA18" s="39">
        <v>153.381</v>
      </c>
      <c r="BB18" s="39">
        <v>151.119</v>
      </c>
      <c r="BC18" s="39">
        <v>157.66</v>
      </c>
      <c r="BD18" s="20">
        <f>SUM(AZ18:BC18)</f>
        <v>609.83899999999994</v>
      </c>
      <c r="BE18" s="39">
        <v>160.67699999999999</v>
      </c>
      <c r="BF18" s="39">
        <v>161.376</v>
      </c>
      <c r="BG18" s="39">
        <v>161.51499999999999</v>
      </c>
      <c r="BH18" s="39">
        <v>171.62799999999999</v>
      </c>
      <c r="BI18" s="20">
        <f t="shared" si="10"/>
        <v>655.19599999999991</v>
      </c>
      <c r="BJ18" s="39">
        <v>174.35400000000001</v>
      </c>
      <c r="BK18" s="39">
        <v>179.80099999999999</v>
      </c>
      <c r="BL18" s="39">
        <v>182.20699999999999</v>
      </c>
      <c r="BM18" s="39">
        <v>189.196</v>
      </c>
      <c r="BN18" s="20">
        <f t="shared" si="11"/>
        <v>725.55799999999999</v>
      </c>
      <c r="BO18" s="39">
        <v>192.15799999999999</v>
      </c>
      <c r="BP18" s="39">
        <v>194.60499999999999</v>
      </c>
      <c r="BQ18" s="24">
        <v>195.84100000000001</v>
      </c>
      <c r="BR18" s="166">
        <v>200.071</v>
      </c>
      <c r="BS18" s="20">
        <f>SUM(BO18:BR18)</f>
        <v>782.67500000000007</v>
      </c>
      <c r="BT18" s="39">
        <v>257</v>
      </c>
      <c r="BU18" s="39">
        <f>282</f>
        <v>282</v>
      </c>
      <c r="BV18" s="39">
        <v>280</v>
      </c>
      <c r="BW18" s="166">
        <v>291</v>
      </c>
      <c r="BX18" s="20">
        <f>SUM(BT18:BW18)</f>
        <v>1110</v>
      </c>
      <c r="BY18" s="39">
        <v>296</v>
      </c>
      <c r="BZ18" s="39">
        <v>291</v>
      </c>
      <c r="CA18" s="39">
        <v>288</v>
      </c>
      <c r="CB18" s="581">
        <v>297</v>
      </c>
      <c r="CC18" s="20">
        <f>SUM(BY18:CB18)</f>
        <v>1172</v>
      </c>
      <c r="CD18" s="894">
        <v>298</v>
      </c>
      <c r="CE18" s="39">
        <v>276</v>
      </c>
      <c r="CF18" s="39">
        <v>265</v>
      </c>
      <c r="CG18" s="581">
        <v>261</v>
      </c>
      <c r="CH18" s="20">
        <f>SUM(CD18:CG18)</f>
        <v>1100</v>
      </c>
      <c r="CI18" s="894">
        <v>235</v>
      </c>
      <c r="CJ18" s="894">
        <v>223</v>
      </c>
      <c r="CK18" s="39">
        <v>206</v>
      </c>
      <c r="CL18" s="581">
        <v>196</v>
      </c>
      <c r="CM18" s="20">
        <f>SUM(CI18:CL18)</f>
        <v>860</v>
      </c>
      <c r="CN18" s="893">
        <f ca="1">CN10*CN82</f>
        <v>190.22924641945798</v>
      </c>
      <c r="CO18" s="893">
        <f t="shared" ref="CO18:CQ18" ca="1" si="27">CO10*CO82</f>
        <v>177.64661809274517</v>
      </c>
      <c r="CP18" s="893">
        <f t="shared" ca="1" si="27"/>
        <v>162.67941581858304</v>
      </c>
      <c r="CQ18" s="893">
        <f t="shared" ca="1" si="27"/>
        <v>184.32545782480534</v>
      </c>
      <c r="CR18" s="20">
        <f ca="1">SUM(CN18:CQ18)</f>
        <v>714.88073815559153</v>
      </c>
      <c r="CS18" s="893">
        <f ca="1">CS10*CS82</f>
        <v>176.14031597813715</v>
      </c>
      <c r="CT18" s="893">
        <f t="shared" ref="CT18:CV18" ca="1" si="28">CT10*CT82</f>
        <v>169.18211676944526</v>
      </c>
      <c r="CU18" s="893">
        <f t="shared" ca="1" si="28"/>
        <v>161.57727330677946</v>
      </c>
      <c r="CV18" s="893">
        <f t="shared" ca="1" si="28"/>
        <v>182.42695801123679</v>
      </c>
      <c r="CW18" s="20">
        <f ca="1">SUM(CS18:CV18)</f>
        <v>689.32666406559872</v>
      </c>
      <c r="CX18" s="893">
        <f ca="1">CX10*CX82</f>
        <v>173.70447631531593</v>
      </c>
      <c r="CY18" s="893">
        <f t="shared" ref="CY18:DA18" ca="1" si="29">CY10*CY82</f>
        <v>166.93804506707994</v>
      </c>
      <c r="CZ18" s="893">
        <f t="shared" ca="1" si="29"/>
        <v>158.11973989589575</v>
      </c>
      <c r="DA18" s="893">
        <f t="shared" ca="1" si="29"/>
        <v>179.83053033219645</v>
      </c>
      <c r="DB18" s="20">
        <f ca="1">SUM(CX18:DA18)</f>
        <v>678.59279161048812</v>
      </c>
      <c r="DC18"/>
      <c r="DD18"/>
      <c r="DE18"/>
      <c r="DF18"/>
      <c r="DG18"/>
      <c r="DJ18"/>
    </row>
    <row r="19" spans="1:114" s="725" customFormat="1">
      <c r="A19" s="1309"/>
      <c r="B19" s="1316" t="s">
        <v>193</v>
      </c>
      <c r="C19" s="1317"/>
      <c r="D19" s="1317">
        <f t="shared" ref="D19:Z19" si="30">D17-D18</f>
        <v>-327.53899999999999</v>
      </c>
      <c r="E19" s="1317">
        <f t="shared" si="30"/>
        <v>105.25499999999995</v>
      </c>
      <c r="F19" s="1317">
        <f t="shared" si="30"/>
        <v>155.11199999999988</v>
      </c>
      <c r="G19" s="1318">
        <f t="shared" si="30"/>
        <v>48.740999999999993</v>
      </c>
      <c r="H19" s="1318">
        <f t="shared" si="30"/>
        <v>45.16900000000004</v>
      </c>
      <c r="I19" s="1318">
        <f t="shared" si="30"/>
        <v>43.39500000000001</v>
      </c>
      <c r="J19" s="1318">
        <f t="shared" si="30"/>
        <v>51.738000000000028</v>
      </c>
      <c r="K19" s="1317">
        <f t="shared" si="30"/>
        <v>189.04300000000001</v>
      </c>
      <c r="L19" s="1318">
        <f t="shared" si="30"/>
        <v>63.916000000000032</v>
      </c>
      <c r="M19" s="1318">
        <f t="shared" si="30"/>
        <v>58.568999999999981</v>
      </c>
      <c r="N19" s="1318">
        <f t="shared" si="30"/>
        <v>58.332000000000022</v>
      </c>
      <c r="O19" s="1318">
        <f t="shared" si="30"/>
        <v>62.929000000000016</v>
      </c>
      <c r="P19" s="1317">
        <f t="shared" si="30"/>
        <v>243.74599999999992</v>
      </c>
      <c r="Q19" s="1318">
        <f t="shared" si="30"/>
        <v>73.332000000000079</v>
      </c>
      <c r="R19" s="1318">
        <f t="shared" si="30"/>
        <v>68.375000000000057</v>
      </c>
      <c r="S19" s="1318">
        <f t="shared" si="30"/>
        <v>71.919000000000125</v>
      </c>
      <c r="T19" s="1318">
        <f t="shared" si="30"/>
        <v>79.131</v>
      </c>
      <c r="U19" s="1317">
        <f t="shared" si="30"/>
        <v>292.75700000000063</v>
      </c>
      <c r="V19" s="1318">
        <f t="shared" si="30"/>
        <v>86.572000000000031</v>
      </c>
      <c r="W19" s="1318">
        <f t="shared" si="30"/>
        <v>82.764000000000024</v>
      </c>
      <c r="X19" s="1318">
        <f t="shared" si="30"/>
        <v>81.705000000000055</v>
      </c>
      <c r="Y19" s="1318">
        <f t="shared" si="30"/>
        <v>88.376999999999995</v>
      </c>
      <c r="Z19" s="1317">
        <f t="shared" si="30"/>
        <v>339.41800000000092</v>
      </c>
      <c r="AA19" s="1318">
        <f t="shared" ref="AA19:BO19" si="31">AA17-AA18</f>
        <v>101.85099999999986</v>
      </c>
      <c r="AB19" s="1318">
        <f t="shared" si="31"/>
        <v>99.66900000000004</v>
      </c>
      <c r="AC19" s="1318">
        <f t="shared" si="31"/>
        <v>97.007000000000062</v>
      </c>
      <c r="AD19" s="1318">
        <f t="shared" si="31"/>
        <v>107.97599999999989</v>
      </c>
      <c r="AE19" s="1317">
        <f t="shared" si="31"/>
        <v>406.50300000000033</v>
      </c>
      <c r="AF19" s="1318">
        <f t="shared" si="31"/>
        <v>115.95199999999986</v>
      </c>
      <c r="AG19" s="1318">
        <f t="shared" si="31"/>
        <v>109.56100000000015</v>
      </c>
      <c r="AH19" s="1318">
        <f t="shared" si="31"/>
        <v>41.409000000000013</v>
      </c>
      <c r="AI19" s="1318">
        <f t="shared" si="31"/>
        <v>116.33300000000006</v>
      </c>
      <c r="AJ19" s="1317">
        <f t="shared" si="31"/>
        <v>383.25500000000034</v>
      </c>
      <c r="AK19" s="1318">
        <f t="shared" si="31"/>
        <v>118.92899999999995</v>
      </c>
      <c r="AL19" s="1318">
        <f t="shared" si="31"/>
        <v>119.19999999999987</v>
      </c>
      <c r="AM19" s="1318">
        <f t="shared" si="31"/>
        <v>182.85500000000042</v>
      </c>
      <c r="AN19" s="1318">
        <f t="shared" si="31"/>
        <v>62.106000000000037</v>
      </c>
      <c r="AO19" s="1317">
        <f t="shared" si="31"/>
        <v>483.09000000000049</v>
      </c>
      <c r="AP19" s="1318">
        <f t="shared" si="31"/>
        <v>247.55600000000018</v>
      </c>
      <c r="AQ19" s="1318">
        <f t="shared" si="31"/>
        <v>233.07399999999984</v>
      </c>
      <c r="AR19" s="1318">
        <f t="shared" si="31"/>
        <v>253.06699999999961</v>
      </c>
      <c r="AS19" s="1318">
        <f t="shared" si="31"/>
        <v>255.94100000000006</v>
      </c>
      <c r="AT19" s="1317">
        <f t="shared" si="31"/>
        <v>989.63799999999992</v>
      </c>
      <c r="AU19" s="1318">
        <f t="shared" si="31"/>
        <v>255.14199999999951</v>
      </c>
      <c r="AV19" s="1318">
        <f t="shared" si="31"/>
        <v>261.40299999999991</v>
      </c>
      <c r="AW19" s="1318">
        <f t="shared" si="31"/>
        <v>267.26800000000048</v>
      </c>
      <c r="AX19" s="1318">
        <f t="shared" si="31"/>
        <v>284.95600000000059</v>
      </c>
      <c r="AY19" s="1317">
        <f t="shared" si="31"/>
        <v>1068.7690000000009</v>
      </c>
      <c r="AZ19" s="1318">
        <f t="shared" si="31"/>
        <v>273.01200000000028</v>
      </c>
      <c r="BA19" s="1318">
        <f t="shared" si="31"/>
        <v>278.77200000000028</v>
      </c>
      <c r="BB19" s="1318">
        <f t="shared" si="31"/>
        <v>280.81900000000007</v>
      </c>
      <c r="BC19" s="1318">
        <f t="shared" si="31"/>
        <v>282.3249999999997</v>
      </c>
      <c r="BD19" s="1317">
        <f t="shared" si="31"/>
        <v>1114.9279999999999</v>
      </c>
      <c r="BE19" s="1318">
        <f t="shared" si="31"/>
        <v>280.9649999999998</v>
      </c>
      <c r="BF19" s="1318">
        <f t="shared" si="31"/>
        <v>288.90800000000013</v>
      </c>
      <c r="BG19" s="1318">
        <f t="shared" si="31"/>
        <v>283.80300000000068</v>
      </c>
      <c r="BH19" s="1318">
        <f t="shared" si="31"/>
        <v>280.99300000000011</v>
      </c>
      <c r="BI19" s="1317">
        <f t="shared" si="31"/>
        <v>1134.6690000000017</v>
      </c>
      <c r="BJ19" s="1318">
        <f t="shared" si="31"/>
        <v>349.12799999999993</v>
      </c>
      <c r="BK19" s="1318">
        <f t="shared" si="31"/>
        <v>290.11199999999957</v>
      </c>
      <c r="BL19" s="1318">
        <f t="shared" si="31"/>
        <v>287.62799999999959</v>
      </c>
      <c r="BM19" s="1318">
        <f t="shared" si="31"/>
        <v>283.25599999999974</v>
      </c>
      <c r="BN19" s="1317">
        <f t="shared" si="31"/>
        <v>1210.1240000000007</v>
      </c>
      <c r="BO19" s="1318">
        <f t="shared" si="31"/>
        <v>285.99099999999987</v>
      </c>
      <c r="BP19" s="1318">
        <f t="shared" ref="BP19:BW19" si="32">BP17-BP18</f>
        <v>210.57199999999969</v>
      </c>
      <c r="BQ19" s="1318">
        <f t="shared" si="32"/>
        <v>269.92800000000022</v>
      </c>
      <c r="BR19" s="1318">
        <f t="shared" si="32"/>
        <v>247.7720000000003</v>
      </c>
      <c r="BS19" s="1317">
        <f>BS17-BS18</f>
        <v>1014.2629999999982</v>
      </c>
      <c r="BT19" s="1318">
        <f t="shared" si="32"/>
        <v>273</v>
      </c>
      <c r="BU19" s="1318">
        <f t="shared" si="32"/>
        <v>406</v>
      </c>
      <c r="BV19" s="1318">
        <f t="shared" si="32"/>
        <v>459.27000000000044</v>
      </c>
      <c r="BW19" s="1318">
        <f t="shared" si="32"/>
        <v>477</v>
      </c>
      <c r="BX19" s="1317">
        <f t="shared" ref="BX19:CD19" si="33">BX17-BX18</f>
        <v>1615.2700000000004</v>
      </c>
      <c r="BY19" s="1318">
        <f t="shared" si="33"/>
        <v>407</v>
      </c>
      <c r="BZ19" s="1318">
        <f t="shared" si="33"/>
        <v>441</v>
      </c>
      <c r="CA19" s="1318">
        <f t="shared" si="33"/>
        <v>351</v>
      </c>
      <c r="CB19" s="1318">
        <f t="shared" si="33"/>
        <v>211</v>
      </c>
      <c r="CC19" s="1317">
        <f t="shared" si="33"/>
        <v>1410</v>
      </c>
      <c r="CD19" s="1315">
        <f t="shared" si="33"/>
        <v>294</v>
      </c>
      <c r="CE19" s="1318">
        <f t="shared" ref="CE19:CM19" si="34">CE17-CE18</f>
        <v>264</v>
      </c>
      <c r="CF19" s="1318">
        <f t="shared" si="34"/>
        <v>195</v>
      </c>
      <c r="CG19" s="1318">
        <f t="shared" si="34"/>
        <v>75</v>
      </c>
      <c r="CH19" s="1317">
        <f t="shared" si="34"/>
        <v>828</v>
      </c>
      <c r="CI19" s="1315">
        <f t="shared" si="34"/>
        <v>72</v>
      </c>
      <c r="CJ19" s="1318">
        <f t="shared" si="34"/>
        <v>193</v>
      </c>
      <c r="CK19" s="1318">
        <f t="shared" ref="CK19:CL19" si="35">CK17-CK18</f>
        <v>123</v>
      </c>
      <c r="CL19" s="1318">
        <f t="shared" si="35"/>
        <v>-391</v>
      </c>
      <c r="CM19" s="1317">
        <f t="shared" si="34"/>
        <v>-3</v>
      </c>
      <c r="CN19" s="1318">
        <f t="shared" ref="CN19:CR19" ca="1" si="36">CN17-CN18</f>
        <v>232.02180637249552</v>
      </c>
      <c r="CO19" s="1318">
        <f t="shared" ca="1" si="36"/>
        <v>206.77293725652757</v>
      </c>
      <c r="CP19" s="1318">
        <f t="shared" ca="1" si="36"/>
        <v>182.44663611189844</v>
      </c>
      <c r="CQ19" s="1318">
        <f t="shared" ca="1" si="36"/>
        <v>214.91848794772463</v>
      </c>
      <c r="CR19" s="1317">
        <f t="shared" ca="1" si="36"/>
        <v>836.15986768864525</v>
      </c>
      <c r="CS19" s="1318">
        <f t="shared" ref="CS19:CW19" ca="1" si="37">CS17-CS18</f>
        <v>198.93362978862518</v>
      </c>
      <c r="CT19" s="1318">
        <f t="shared" ca="1" si="37"/>
        <v>205.95019376203658</v>
      </c>
      <c r="CU19" s="1318">
        <f t="shared" ca="1" si="37"/>
        <v>219.49170330077212</v>
      </c>
      <c r="CV19" s="1318">
        <f t="shared" ca="1" si="37"/>
        <v>221.51360463447239</v>
      </c>
      <c r="CW19" s="1317">
        <f t="shared" ca="1" si="37"/>
        <v>845.88913148590802</v>
      </c>
      <c r="CX19" s="1318">
        <f t="shared" ref="CX19:DB19" ca="1" si="38">CX17-CX18</f>
        <v>200.44711350576276</v>
      </c>
      <c r="CY19" s="1318">
        <f t="shared" ca="1" si="38"/>
        <v>213.38854026203825</v>
      </c>
      <c r="CZ19" s="1318">
        <f t="shared" ca="1" si="38"/>
        <v>203.90750133163641</v>
      </c>
      <c r="DA19" s="1318">
        <f t="shared" ca="1" si="38"/>
        <v>228.50414117231534</v>
      </c>
      <c r="DB19" s="1317">
        <f t="shared" ca="1" si="38"/>
        <v>846.24729627175316</v>
      </c>
      <c r="DC19"/>
      <c r="DD19"/>
      <c r="DE19"/>
      <c r="DF19"/>
      <c r="DG19"/>
      <c r="DJ19"/>
    </row>
    <row r="20" spans="1:114" s="725" customFormat="1">
      <c r="A20" s="49"/>
      <c r="B20" s="37" t="s">
        <v>194</v>
      </c>
      <c r="C20" s="303"/>
      <c r="D20" s="303">
        <v>127.37</v>
      </c>
      <c r="E20" s="303">
        <v>116.491</v>
      </c>
      <c r="F20" s="303">
        <v>127.37</v>
      </c>
      <c r="G20" s="39">
        <v>27.553000000000001</v>
      </c>
      <c r="H20" s="39">
        <v>25.620999999999999</v>
      </c>
      <c r="I20" s="39">
        <v>23.541</v>
      </c>
      <c r="J20" s="39">
        <v>17.832999999999998</v>
      </c>
      <c r="K20" s="20">
        <f>SUM(G20:J20)</f>
        <v>94.548000000000002</v>
      </c>
      <c r="L20" s="39">
        <v>16.728999999999999</v>
      </c>
      <c r="M20" s="39">
        <v>16.521999999999998</v>
      </c>
      <c r="N20" s="39">
        <v>14.788</v>
      </c>
      <c r="O20" s="39">
        <v>14.821</v>
      </c>
      <c r="P20" s="20">
        <f>SUM(L20:O20)</f>
        <v>62.86</v>
      </c>
      <c r="Q20" s="39">
        <v>17.015999999999998</v>
      </c>
      <c r="R20" s="39">
        <v>16.667000000000002</v>
      </c>
      <c r="S20" s="39">
        <v>18.468</v>
      </c>
      <c r="T20" s="39">
        <v>18.940999999999999</v>
      </c>
      <c r="U20" s="20">
        <f>SUM(Q20:T20)</f>
        <v>71.091999999999999</v>
      </c>
      <c r="V20" s="39">
        <v>18.771999999999998</v>
      </c>
      <c r="W20" s="39">
        <v>18.488</v>
      </c>
      <c r="X20" s="39">
        <v>19.158999999999999</v>
      </c>
      <c r="Y20" s="39">
        <v>21.587</v>
      </c>
      <c r="Z20" s="20">
        <f>SUM(V20:Y20)</f>
        <v>78.006</v>
      </c>
      <c r="AA20" s="39">
        <v>22.780999999999999</v>
      </c>
      <c r="AB20" s="39">
        <v>23.012</v>
      </c>
      <c r="AC20" s="39">
        <v>24.17</v>
      </c>
      <c r="AD20" s="39">
        <v>24.65</v>
      </c>
      <c r="AE20" s="20">
        <v>94.613</v>
      </c>
      <c r="AF20" s="39">
        <v>21.786999999999999</v>
      </c>
      <c r="AG20" s="39">
        <v>23.87</v>
      </c>
      <c r="AH20" s="39">
        <v>27.494</v>
      </c>
      <c r="AI20" s="39">
        <v>29.148</v>
      </c>
      <c r="AJ20" s="20">
        <v>102.29900000000001</v>
      </c>
      <c r="AK20" s="39">
        <v>30.404</v>
      </c>
      <c r="AL20" s="39">
        <v>31.155000000000001</v>
      </c>
      <c r="AM20" s="39">
        <v>139.50700000000001</v>
      </c>
      <c r="AN20" s="39">
        <v>171.756</v>
      </c>
      <c r="AO20" s="20">
        <v>372.822</v>
      </c>
      <c r="AP20" s="39">
        <v>165.702</v>
      </c>
      <c r="AQ20" s="39">
        <v>154.36099999999999</v>
      </c>
      <c r="AR20" s="39">
        <v>167.785</v>
      </c>
      <c r="AS20" s="39">
        <v>167.614</v>
      </c>
      <c r="AT20" s="20">
        <v>655.46199999999999</v>
      </c>
      <c r="AU20" s="39">
        <v>163.81</v>
      </c>
      <c r="AV20" s="39">
        <v>161.47300000000001</v>
      </c>
      <c r="AW20" s="39">
        <v>161.82300000000001</v>
      </c>
      <c r="AX20" s="39">
        <v>161.755</v>
      </c>
      <c r="AY20" s="20">
        <f>SUM(AU20:AX20)</f>
        <v>648.86099999999999</v>
      </c>
      <c r="AZ20" s="39">
        <v>160.45599999999999</v>
      </c>
      <c r="BA20" s="39">
        <v>161.84100000000001</v>
      </c>
      <c r="BB20" s="39">
        <v>164.011</v>
      </c>
      <c r="BC20" s="39">
        <v>165.61799999999999</v>
      </c>
      <c r="BD20" s="20">
        <f>SUM(AZ20:BC20)</f>
        <v>651.92599999999993</v>
      </c>
      <c r="BE20" s="39">
        <v>164.172</v>
      </c>
      <c r="BF20" s="39">
        <v>163.22999999999999</v>
      </c>
      <c r="BG20" s="39">
        <v>159.47999999999999</v>
      </c>
      <c r="BH20" s="39">
        <v>158.482</v>
      </c>
      <c r="BI20" s="20">
        <f>SUM(BE20:BH20)</f>
        <v>645.36399999999992</v>
      </c>
      <c r="BJ20" s="39">
        <v>152.17500000000001</v>
      </c>
      <c r="BK20" s="39">
        <v>151.607</v>
      </c>
      <c r="BL20" s="39">
        <v>158.565</v>
      </c>
      <c r="BM20" s="39">
        <v>160.58600000000001</v>
      </c>
      <c r="BN20" s="20">
        <f>SUM(BJ20:BM20)</f>
        <v>622.93299999999999</v>
      </c>
      <c r="BO20" s="39">
        <v>156.35</v>
      </c>
      <c r="BP20" s="39">
        <v>155.05600000000001</v>
      </c>
      <c r="BQ20" s="547">
        <v>154.32900000000001</v>
      </c>
      <c r="BR20" s="547">
        <v>149.41200000000001</v>
      </c>
      <c r="BS20" s="20">
        <f>SUM(BO20:BR20)</f>
        <v>615.14700000000005</v>
      </c>
      <c r="BT20" s="39">
        <v>224</v>
      </c>
      <c r="BU20" s="39">
        <v>255</v>
      </c>
      <c r="BV20" s="39">
        <v>250</v>
      </c>
      <c r="BW20" s="547">
        <v>244</v>
      </c>
      <c r="BX20" s="20">
        <f>SUM(BT20:BW20)</f>
        <v>973</v>
      </c>
      <c r="BY20" s="39">
        <v>241</v>
      </c>
      <c r="BZ20" s="39">
        <v>239</v>
      </c>
      <c r="CA20" s="39">
        <v>242</v>
      </c>
      <c r="CB20" s="547">
        <v>249</v>
      </c>
      <c r="CC20" s="20">
        <f>SUM(BY20:CB20)</f>
        <v>971</v>
      </c>
      <c r="CD20" s="894">
        <v>251</v>
      </c>
      <c r="CE20" s="39">
        <v>246</v>
      </c>
      <c r="CF20" s="39">
        <v>233</v>
      </c>
      <c r="CG20" s="547">
        <v>232</v>
      </c>
      <c r="CH20" s="20">
        <f>SUM(CD20:CG20)</f>
        <v>962</v>
      </c>
      <c r="CI20" s="894">
        <v>229</v>
      </c>
      <c r="CJ20" s="894">
        <v>239</v>
      </c>
      <c r="CK20" s="39">
        <v>238</v>
      </c>
      <c r="CL20" s="547">
        <v>225</v>
      </c>
      <c r="CM20" s="20">
        <f>SUM(CI20:CL20)</f>
        <v>931</v>
      </c>
      <c r="CN20" s="24">
        <f ca="1">Debt!CN14</f>
        <v>232.32296874999437</v>
      </c>
      <c r="CO20" s="24">
        <f ca="1">Debt!CO14</f>
        <v>228.47281249999438</v>
      </c>
      <c r="CP20" s="24">
        <f ca="1">Debt!CP14</f>
        <v>224.32072968749438</v>
      </c>
      <c r="CQ20" s="24">
        <f ca="1">Debt!CQ14</f>
        <v>219.09276093749438</v>
      </c>
      <c r="CR20" s="20">
        <f ca="1">SUM(CN20:CQ20)</f>
        <v>904.2092718749775</v>
      </c>
      <c r="CS20" s="24">
        <f ca="1">Debt!CS14</f>
        <v>214.632468749993</v>
      </c>
      <c r="CT20" s="24">
        <f ca="1">Debt!CT14</f>
        <v>212.3026687499908</v>
      </c>
      <c r="CU20" s="24">
        <f ca="1">Debt!CU14</f>
        <v>210.90478874998948</v>
      </c>
      <c r="CV20" s="24">
        <f ca="1">Debt!CV14</f>
        <v>210.06606074998868</v>
      </c>
      <c r="CW20" s="20">
        <f ca="1">SUM(CS20:CV20)</f>
        <v>847.9059869999619</v>
      </c>
      <c r="CX20" s="24">
        <f ca="1">Debt!CX14</f>
        <v>209.5628239499882</v>
      </c>
      <c r="CY20" s="24">
        <f ca="1">Debt!CY14</f>
        <v>209.26088186998791</v>
      </c>
      <c r="CZ20" s="24">
        <f ca="1">Debt!CZ14</f>
        <v>209.07971662198776</v>
      </c>
      <c r="DA20" s="24">
        <f ca="1">Debt!DA14</f>
        <v>209.0117796539877</v>
      </c>
      <c r="DB20" s="20">
        <f ca="1">SUM(CX20:DA20)</f>
        <v>836.91520209595149</v>
      </c>
      <c r="DC20"/>
      <c r="DD20"/>
      <c r="DE20"/>
      <c r="DF20"/>
      <c r="DG20"/>
      <c r="DJ20"/>
    </row>
    <row r="21" spans="1:114" s="725" customFormat="1">
      <c r="A21" s="49"/>
      <c r="B21" s="445" t="s">
        <v>195</v>
      </c>
      <c r="C21" s="303"/>
      <c r="D21" s="303">
        <v>0</v>
      </c>
      <c r="E21" s="303">
        <v>0</v>
      </c>
      <c r="F21" s="303">
        <v>0</v>
      </c>
      <c r="G21" s="39">
        <v>0</v>
      </c>
      <c r="H21" s="39">
        <v>0</v>
      </c>
      <c r="I21" s="39">
        <v>0</v>
      </c>
      <c r="J21" s="39">
        <v>0</v>
      </c>
      <c r="K21" s="20">
        <f>SUM(G21:J21)</f>
        <v>0</v>
      </c>
      <c r="L21" s="39">
        <v>0</v>
      </c>
      <c r="M21" s="39">
        <v>0</v>
      </c>
      <c r="N21" s="39">
        <v>0</v>
      </c>
      <c r="O21" s="39">
        <v>0</v>
      </c>
      <c r="P21" s="20">
        <f>SUM(L21:O21)</f>
        <v>0</v>
      </c>
      <c r="Q21" s="39">
        <v>0</v>
      </c>
      <c r="R21" s="39">
        <v>0</v>
      </c>
      <c r="S21" s="39">
        <v>0</v>
      </c>
      <c r="T21" s="39">
        <v>0</v>
      </c>
      <c r="U21" s="20">
        <f>SUM(Q21:T21)</f>
        <v>0</v>
      </c>
      <c r="V21" s="39">
        <v>0</v>
      </c>
      <c r="W21" s="39">
        <v>0</v>
      </c>
      <c r="X21" s="39">
        <v>0</v>
      </c>
      <c r="Y21" s="39">
        <v>0</v>
      </c>
      <c r="Z21" s="20">
        <f>SUM(V21:Y21)</f>
        <v>0</v>
      </c>
      <c r="AA21" s="39">
        <v>0</v>
      </c>
      <c r="AB21" s="39">
        <v>0</v>
      </c>
      <c r="AC21" s="39">
        <v>0</v>
      </c>
      <c r="AD21" s="39">
        <v>0</v>
      </c>
      <c r="AE21" s="20">
        <f>SUM(AA21:AD21)</f>
        <v>0</v>
      </c>
      <c r="AF21" s="39">
        <v>0</v>
      </c>
      <c r="AG21" s="39">
        <v>0</v>
      </c>
      <c r="AH21" s="39">
        <v>0</v>
      </c>
      <c r="AI21" s="39">
        <v>0</v>
      </c>
      <c r="AJ21" s="20">
        <f>SUM(AF21:AI21)</f>
        <v>0</v>
      </c>
      <c r="AK21" s="39">
        <v>0</v>
      </c>
      <c r="AL21" s="39">
        <v>0</v>
      </c>
      <c r="AM21" s="39">
        <v>14.304</v>
      </c>
      <c r="AN21" s="39">
        <v>10.848000000000001</v>
      </c>
      <c r="AO21" s="20">
        <f>SUM(AK21:AN21)</f>
        <v>25.152000000000001</v>
      </c>
      <c r="AP21" s="39">
        <v>12.884</v>
      </c>
      <c r="AQ21" s="39">
        <v>10.507999999999999</v>
      </c>
      <c r="AR21" s="39">
        <v>8.6910000000000007</v>
      </c>
      <c r="AS21" s="39">
        <v>9.9809999999999999</v>
      </c>
      <c r="AT21" s="20">
        <f>SUM(AP21:AS21)</f>
        <v>42.064</v>
      </c>
      <c r="AU21" s="39">
        <v>12.919</v>
      </c>
      <c r="AV21" s="39">
        <v>11.782999999999999</v>
      </c>
      <c r="AW21" s="39">
        <v>7.0010000000000003</v>
      </c>
      <c r="AX21" s="39">
        <v>4.82</v>
      </c>
      <c r="AY21" s="20">
        <f>SUM(AU21:AX21)</f>
        <v>36.522999999999996</v>
      </c>
      <c r="AZ21" s="39">
        <v>12.587999999999999</v>
      </c>
      <c r="BA21" s="39">
        <v>10.977</v>
      </c>
      <c r="BB21" s="39">
        <v>9.5350000000000001</v>
      </c>
      <c r="BC21" s="39">
        <v>12.332000000000001</v>
      </c>
      <c r="BD21" s="20">
        <f>SUM(AZ21:BC21)</f>
        <v>45.431999999999995</v>
      </c>
      <c r="BE21" s="39">
        <v>18.13</v>
      </c>
      <c r="BF21" s="39">
        <v>12.016999999999999</v>
      </c>
      <c r="BG21" s="39">
        <v>8.1940000000000008</v>
      </c>
      <c r="BH21" s="39">
        <v>11.146000000000001</v>
      </c>
      <c r="BI21" s="20">
        <f>SUM(BE21:BH21)</f>
        <v>49.487000000000002</v>
      </c>
      <c r="BJ21" s="39">
        <v>12.013</v>
      </c>
      <c r="BK21" s="39">
        <v>13.180999999999999</v>
      </c>
      <c r="BL21" s="39">
        <v>7.4189999999999996</v>
      </c>
      <c r="BM21" s="39">
        <v>9.42</v>
      </c>
      <c r="BN21" s="20">
        <f>SUM(BJ21:BM21)</f>
        <v>42.033000000000001</v>
      </c>
      <c r="BO21" s="39">
        <v>15.68</v>
      </c>
      <c r="BP21" s="39">
        <v>9.0540000000000003</v>
      </c>
      <c r="BQ21" s="547">
        <v>11.641</v>
      </c>
      <c r="BR21" s="547">
        <v>6.266</v>
      </c>
      <c r="BS21" s="20">
        <f>SUM(BO21:BR21)</f>
        <v>42.640999999999998</v>
      </c>
      <c r="BT21" s="39">
        <v>11</v>
      </c>
      <c r="BU21" s="39">
        <v>11</v>
      </c>
      <c r="BV21" s="39">
        <v>12</v>
      </c>
      <c r="BW21" s="547">
        <v>14</v>
      </c>
      <c r="BX21" s="20">
        <f>SUM(BT21:BW21)</f>
        <v>48</v>
      </c>
      <c r="BY21" s="39">
        <v>18</v>
      </c>
      <c r="BZ21" s="39">
        <v>21</v>
      </c>
      <c r="CA21" s="39">
        <v>12</v>
      </c>
      <c r="CB21" s="547">
        <v>12</v>
      </c>
      <c r="CC21" s="20">
        <f>SUM(BY21:CB21)</f>
        <v>63</v>
      </c>
      <c r="CD21" s="894">
        <v>20</v>
      </c>
      <c r="CE21" s="39">
        <v>14</v>
      </c>
      <c r="CF21" s="39">
        <v>4</v>
      </c>
      <c r="CG21" s="547">
        <v>5</v>
      </c>
      <c r="CH21" s="20">
        <f>SUM(CD21:CG21)</f>
        <v>43</v>
      </c>
      <c r="CI21" s="894">
        <v>3</v>
      </c>
      <c r="CJ21" s="894">
        <v>5</v>
      </c>
      <c r="CK21" s="39">
        <v>5</v>
      </c>
      <c r="CL21" s="547">
        <v>2</v>
      </c>
      <c r="CM21" s="20">
        <f>SUM(CI21:CL21)</f>
        <v>15</v>
      </c>
      <c r="CN21" s="24">
        <v>0</v>
      </c>
      <c r="CO21" s="24">
        <f>CN21</f>
        <v>0</v>
      </c>
      <c r="CP21" s="24">
        <v>0</v>
      </c>
      <c r="CQ21" s="24">
        <v>0</v>
      </c>
      <c r="CR21" s="20">
        <f>SUM(CN21:CQ21)</f>
        <v>0</v>
      </c>
      <c r="CS21" s="24">
        <v>8</v>
      </c>
      <c r="CT21" s="24">
        <v>7</v>
      </c>
      <c r="CU21" s="24">
        <v>13</v>
      </c>
      <c r="CV21" s="24">
        <v>14</v>
      </c>
      <c r="CW21" s="20">
        <f>SUM(CS21:CV21)</f>
        <v>42</v>
      </c>
      <c r="CX21" s="24">
        <v>8</v>
      </c>
      <c r="CY21" s="24">
        <v>7</v>
      </c>
      <c r="CZ21" s="24">
        <v>13</v>
      </c>
      <c r="DA21" s="24">
        <v>14</v>
      </c>
      <c r="DB21" s="20">
        <f>SUM(CX21:DA21)</f>
        <v>42</v>
      </c>
      <c r="DC21"/>
      <c r="DD21"/>
      <c r="DE21"/>
      <c r="DF21"/>
      <c r="DG21"/>
      <c r="DJ21"/>
    </row>
    <row r="22" spans="1:114" s="725" customFormat="1" hidden="1" outlineLevel="1">
      <c r="A22" s="49"/>
      <c r="B22" s="37" t="s">
        <v>542</v>
      </c>
      <c r="C22" s="303"/>
      <c r="D22" s="303">
        <v>0</v>
      </c>
      <c r="E22" s="303">
        <v>0</v>
      </c>
      <c r="F22" s="303">
        <v>0</v>
      </c>
      <c r="G22" s="39">
        <v>0</v>
      </c>
      <c r="H22" s="39">
        <v>0</v>
      </c>
      <c r="I22" s="39">
        <v>0</v>
      </c>
      <c r="J22" s="330">
        <f>-3.808-2.435</f>
        <v>-6.2430000000000003</v>
      </c>
      <c r="K22" s="20">
        <f>SUM(G22:J22)</f>
        <v>-6.2430000000000003</v>
      </c>
      <c r="L22" s="39">
        <v>0</v>
      </c>
      <c r="M22" s="39">
        <v>0</v>
      </c>
      <c r="N22" s="39">
        <f>-5.274-3.372</f>
        <v>-8.6460000000000008</v>
      </c>
      <c r="O22" s="39">
        <v>0</v>
      </c>
      <c r="P22" s="20">
        <f>SUM(L22:O22)</f>
        <v>-8.6460000000000008</v>
      </c>
      <c r="Q22" s="39">
        <v>0</v>
      </c>
      <c r="R22" s="39">
        <v>0</v>
      </c>
      <c r="S22" s="39">
        <v>0</v>
      </c>
      <c r="T22" s="39">
        <v>0</v>
      </c>
      <c r="U22" s="20">
        <f>SUM(Q22:T22)</f>
        <v>0</v>
      </c>
      <c r="V22" s="39">
        <v>0</v>
      </c>
      <c r="W22" s="39">
        <v>0</v>
      </c>
      <c r="X22" s="39">
        <v>-0.78800000000000003</v>
      </c>
      <c r="Y22" s="39">
        <v>0</v>
      </c>
      <c r="Z22" s="20">
        <f>SUM(V22:Y22)</f>
        <v>-0.78800000000000003</v>
      </c>
      <c r="AA22" s="39">
        <v>0</v>
      </c>
      <c r="AB22" s="39">
        <v>0</v>
      </c>
      <c r="AC22" s="39">
        <v>0</v>
      </c>
      <c r="AD22" s="39">
        <v>0</v>
      </c>
      <c r="AE22" s="20">
        <f>SUM(AA22:AD22)</f>
        <v>0</v>
      </c>
      <c r="AF22" s="39">
        <v>0</v>
      </c>
      <c r="AG22" s="39">
        <v>0</v>
      </c>
      <c r="AH22" s="39">
        <v>0</v>
      </c>
      <c r="AI22" s="39">
        <v>0</v>
      </c>
      <c r="AJ22" s="20">
        <f>SUM(AF22:AI22)</f>
        <v>0</v>
      </c>
      <c r="AK22" s="39">
        <v>0</v>
      </c>
      <c r="AL22" s="39">
        <v>0</v>
      </c>
      <c r="AM22" s="39">
        <v>-27.291</v>
      </c>
      <c r="AN22" s="39">
        <v>-9.7000000000000003E-2</v>
      </c>
      <c r="AO22" s="20">
        <f>SUM(AK22:AN22)</f>
        <v>-27.388000000000002</v>
      </c>
      <c r="AP22" s="39">
        <v>-1.3280000000000001</v>
      </c>
      <c r="AQ22" s="39">
        <v>0</v>
      </c>
      <c r="AR22" s="39">
        <v>0</v>
      </c>
      <c r="AS22" s="39">
        <v>3.8530000000000002</v>
      </c>
      <c r="AT22" s="20">
        <f>SUM(AP22:AS22)</f>
        <v>2.5250000000000004</v>
      </c>
      <c r="AU22" s="39">
        <v>2.4119999999999999</v>
      </c>
      <c r="AV22" s="39">
        <v>-6.0000000000000001E-3</v>
      </c>
      <c r="AW22" s="39">
        <v>-2.1000000000000001E-2</v>
      </c>
      <c r="AX22" s="39">
        <v>0</v>
      </c>
      <c r="AY22" s="20">
        <f>SUM(AU22:AX22)</f>
        <v>2.3850000000000002</v>
      </c>
      <c r="AZ22" s="39">
        <v>0</v>
      </c>
      <c r="BA22" s="39">
        <v>0</v>
      </c>
      <c r="BB22" s="39">
        <v>0</v>
      </c>
      <c r="BC22" s="39">
        <v>0</v>
      </c>
      <c r="BD22" s="20">
        <f>SUM(AZ22:BC22)</f>
        <v>0</v>
      </c>
      <c r="BE22" s="39">
        <v>0</v>
      </c>
      <c r="BF22" s="39">
        <v>0</v>
      </c>
      <c r="BG22" s="39">
        <v>0</v>
      </c>
      <c r="BH22" s="39">
        <v>-66.019000000000005</v>
      </c>
      <c r="BI22" s="20">
        <f>SUM(BE22:BH22)</f>
        <v>-66.019000000000005</v>
      </c>
      <c r="BJ22" s="39">
        <v>-63.429000000000002</v>
      </c>
      <c r="BK22" s="39">
        <v>0</v>
      </c>
      <c r="BL22" s="39">
        <v>-52.024000000000001</v>
      </c>
      <c r="BM22" s="39">
        <v>-10</v>
      </c>
      <c r="BN22" s="20">
        <f>SUM(BJ22:BM22)</f>
        <v>-125.453</v>
      </c>
      <c r="BO22" s="39">
        <v>-1.2949999999999999</v>
      </c>
      <c r="BP22" s="24">
        <v>0</v>
      </c>
      <c r="BQ22" s="547">
        <v>0</v>
      </c>
      <c r="BR22" s="547">
        <v>0</v>
      </c>
      <c r="BS22" s="20">
        <f>SUM(BO22:BR22)</f>
        <v>-1.2949999999999999</v>
      </c>
      <c r="BT22" s="39">
        <v>-73</v>
      </c>
      <c r="BU22" s="39">
        <v>0</v>
      </c>
      <c r="BV22" s="39">
        <v>0</v>
      </c>
      <c r="BW22" s="547">
        <v>-17</v>
      </c>
      <c r="BX22" s="20">
        <f>SUM(BT22:BW22)</f>
        <v>-90</v>
      </c>
      <c r="BY22" s="39">
        <v>-8</v>
      </c>
      <c r="BZ22" s="39">
        <v>-9</v>
      </c>
      <c r="CA22" s="39">
        <v>0</v>
      </c>
      <c r="CB22" s="547">
        <v>0</v>
      </c>
      <c r="CC22" s="20">
        <f>SUM(BY22:CB22)</f>
        <v>-17</v>
      </c>
      <c r="CD22" s="894">
        <v>0</v>
      </c>
      <c r="CE22" s="39">
        <v>-30</v>
      </c>
      <c r="CF22" s="39">
        <v>0</v>
      </c>
      <c r="CG22" s="547">
        <v>0</v>
      </c>
      <c r="CH22" s="20">
        <f>SUM(CD22:CG22)</f>
        <v>-30</v>
      </c>
      <c r="CI22" s="894">
        <v>-21</v>
      </c>
      <c r="CJ22" s="894">
        <v>-10</v>
      </c>
      <c r="CK22" s="39">
        <v>-4</v>
      </c>
      <c r="CL22" s="547">
        <v>-5</v>
      </c>
      <c r="CM22" s="20">
        <f>SUM(CI22:CL22)</f>
        <v>-40</v>
      </c>
      <c r="CN22" s="24">
        <v>0</v>
      </c>
      <c r="CO22" s="24">
        <v>0</v>
      </c>
      <c r="CP22" s="24">
        <v>0</v>
      </c>
      <c r="CQ22" s="24">
        <v>0</v>
      </c>
      <c r="CR22" s="20">
        <f>SUM(CN22:CQ22)</f>
        <v>0</v>
      </c>
      <c r="CS22" s="24">
        <v>0</v>
      </c>
      <c r="CT22" s="24">
        <v>0</v>
      </c>
      <c r="CU22" s="24">
        <v>0</v>
      </c>
      <c r="CV22" s="24">
        <v>0</v>
      </c>
      <c r="CW22" s="20">
        <f>SUM(CS22:CV22)</f>
        <v>0</v>
      </c>
      <c r="CX22" s="24">
        <v>0</v>
      </c>
      <c r="CY22" s="24">
        <v>0</v>
      </c>
      <c r="CZ22" s="24">
        <v>0</v>
      </c>
      <c r="DA22" s="24">
        <v>0</v>
      </c>
      <c r="DB22" s="20">
        <f>SUM(CX22:DA22)</f>
        <v>0</v>
      </c>
      <c r="DC22"/>
      <c r="DD22"/>
      <c r="DE22"/>
      <c r="DF22"/>
      <c r="DG22"/>
      <c r="DJ22"/>
    </row>
    <row r="23" spans="1:114" s="725" customFormat="1" hidden="1" outlineLevel="1">
      <c r="A23" s="49"/>
      <c r="B23" s="37" t="s">
        <v>548</v>
      </c>
      <c r="C23" s="303"/>
      <c r="D23" s="303">
        <v>0</v>
      </c>
      <c r="E23" s="303">
        <v>0</v>
      </c>
      <c r="F23" s="303">
        <v>0</v>
      </c>
      <c r="G23" s="39">
        <v>0</v>
      </c>
      <c r="H23" s="39">
        <v>0</v>
      </c>
      <c r="I23" s="39">
        <v>0</v>
      </c>
      <c r="J23" s="39">
        <v>0</v>
      </c>
      <c r="K23" s="20">
        <f>SUM(G23:J23)</f>
        <v>0</v>
      </c>
      <c r="L23" s="39">
        <v>0</v>
      </c>
      <c r="M23" s="39">
        <v>0</v>
      </c>
      <c r="N23" s="39">
        <v>0</v>
      </c>
      <c r="O23" s="39">
        <v>0</v>
      </c>
      <c r="P23" s="20">
        <f>SUM(L23:O23)</f>
        <v>0</v>
      </c>
      <c r="Q23" s="39">
        <v>0</v>
      </c>
      <c r="R23" s="39">
        <v>0</v>
      </c>
      <c r="S23" s="39">
        <v>0</v>
      </c>
      <c r="T23" s="39">
        <v>0</v>
      </c>
      <c r="U23" s="20">
        <f>SUM(Q23:T23)</f>
        <v>0</v>
      </c>
      <c r="V23" s="39">
        <v>0</v>
      </c>
      <c r="W23" s="39">
        <v>0</v>
      </c>
      <c r="X23" s="39">
        <v>0</v>
      </c>
      <c r="Y23" s="39">
        <v>0</v>
      </c>
      <c r="Z23" s="20">
        <f>SUM(V23:Y23)</f>
        <v>0</v>
      </c>
      <c r="AA23" s="39">
        <v>0</v>
      </c>
      <c r="AB23" s="39">
        <v>0</v>
      </c>
      <c r="AC23" s="39">
        <v>0</v>
      </c>
      <c r="AD23" s="39">
        <v>0</v>
      </c>
      <c r="AE23" s="20">
        <f>SUM(AA23:AD23)</f>
        <v>0</v>
      </c>
      <c r="AF23" s="39">
        <v>0</v>
      </c>
      <c r="AG23" s="39">
        <v>0</v>
      </c>
      <c r="AH23" s="39">
        <v>0</v>
      </c>
      <c r="AI23" s="39">
        <v>0</v>
      </c>
      <c r="AJ23" s="20">
        <f>SUM(AF23:AI23)</f>
        <v>0</v>
      </c>
      <c r="AK23" s="39">
        <v>0</v>
      </c>
      <c r="AL23" s="39">
        <v>0</v>
      </c>
      <c r="AM23" s="39">
        <v>0</v>
      </c>
      <c r="AN23" s="39">
        <v>0</v>
      </c>
      <c r="AO23" s="20">
        <f>SUM(AK23:AN23)</f>
        <v>0</v>
      </c>
      <c r="AP23" s="39">
        <v>0</v>
      </c>
      <c r="AQ23" s="39">
        <v>0</v>
      </c>
      <c r="AR23" s="39">
        <v>0</v>
      </c>
      <c r="AS23" s="39">
        <v>0</v>
      </c>
      <c r="AT23" s="20">
        <f>SUM(AP23:AS23)</f>
        <v>0</v>
      </c>
      <c r="AU23" s="39">
        <v>0</v>
      </c>
      <c r="AV23" s="39">
        <v>0</v>
      </c>
      <c r="AW23" s="39">
        <v>0</v>
      </c>
      <c r="AX23" s="39">
        <v>-12.477</v>
      </c>
      <c r="AY23" s="20">
        <f>SUM(AU23:AX23)</f>
        <v>-12.477</v>
      </c>
      <c r="AZ23" s="39">
        <v>0</v>
      </c>
      <c r="BA23" s="39">
        <v>0</v>
      </c>
      <c r="BB23" s="39">
        <v>0</v>
      </c>
      <c r="BC23" s="39">
        <v>0</v>
      </c>
      <c r="BD23" s="20">
        <f>SUM(AZ23:BC23)</f>
        <v>0</v>
      </c>
      <c r="BE23" s="39">
        <v>0</v>
      </c>
      <c r="BF23" s="39">
        <v>0</v>
      </c>
      <c r="BG23" s="39">
        <v>0</v>
      </c>
      <c r="BH23" s="39">
        <v>0</v>
      </c>
      <c r="BI23" s="20">
        <f>SUM(BE23:BH23)</f>
        <v>0</v>
      </c>
      <c r="BJ23" s="39">
        <v>0</v>
      </c>
      <c r="BK23" s="39">
        <v>0</v>
      </c>
      <c r="BL23" s="39">
        <v>0</v>
      </c>
      <c r="BM23" s="39">
        <v>0</v>
      </c>
      <c r="BN23" s="20">
        <f>SUM(BJ23:BM23)</f>
        <v>0</v>
      </c>
      <c r="BO23" s="39">
        <v>0</v>
      </c>
      <c r="BP23" s="24">
        <v>0</v>
      </c>
      <c r="BQ23" s="547">
        <f>-98-4.2</f>
        <v>-102.2</v>
      </c>
      <c r="BR23" s="547">
        <v>-20.100000000000001</v>
      </c>
      <c r="BS23" s="20">
        <f>SUM(BO23:BR23)</f>
        <v>-122.30000000000001</v>
      </c>
      <c r="BT23" s="39">
        <f>-24-42-56</f>
        <v>-122</v>
      </c>
      <c r="BU23" s="39">
        <f>-22-33</f>
        <v>-55</v>
      </c>
      <c r="BV23" s="39">
        <f>-77-11.27</f>
        <v>-88.27</v>
      </c>
      <c r="BW23" s="547">
        <v>0</v>
      </c>
      <c r="BX23" s="20">
        <f>SUM(BT23:BW23)</f>
        <v>-265.27</v>
      </c>
      <c r="BY23" s="39">
        <f>-8</f>
        <v>-8</v>
      </c>
      <c r="BZ23" s="39"/>
      <c r="CA23" s="39">
        <v>0</v>
      </c>
      <c r="CB23" s="547">
        <f>-3-62</f>
        <v>-65</v>
      </c>
      <c r="CC23" s="20">
        <f>SUM(BY23:CB23)</f>
        <v>-73</v>
      </c>
      <c r="CD23" s="894">
        <v>0</v>
      </c>
      <c r="CE23" s="39">
        <f>94-1639</f>
        <v>-1545</v>
      </c>
      <c r="CF23" s="39">
        <v>-49</v>
      </c>
      <c r="CG23" s="547">
        <v>0</v>
      </c>
      <c r="CH23" s="20">
        <f>SUM(CD23:CG23)</f>
        <v>-1594</v>
      </c>
      <c r="CI23" s="894">
        <v>0</v>
      </c>
      <c r="CJ23" s="655">
        <v>-80</v>
      </c>
      <c r="CK23" s="39">
        <v>-33</v>
      </c>
      <c r="CL23" s="547">
        <v>-1760</v>
      </c>
      <c r="CM23" s="20">
        <f>SUM(CI23:CL23)</f>
        <v>-1873</v>
      </c>
      <c r="CN23" s="894">
        <v>-5</v>
      </c>
      <c r="CO23" s="655">
        <v>-5</v>
      </c>
      <c r="CP23" s="39">
        <v>-5</v>
      </c>
      <c r="CQ23" s="547">
        <v>-5</v>
      </c>
      <c r="CR23" s="20">
        <f>SUM(CN23:CQ23)</f>
        <v>-20</v>
      </c>
      <c r="CS23" s="24">
        <v>0</v>
      </c>
      <c r="CT23" s="24">
        <v>0</v>
      </c>
      <c r="CU23" s="24">
        <v>0</v>
      </c>
      <c r="CV23" s="24">
        <v>0</v>
      </c>
      <c r="CW23" s="20">
        <f>SUM(CS23:CV23)</f>
        <v>0</v>
      </c>
      <c r="CX23" s="24">
        <v>0</v>
      </c>
      <c r="CY23" s="24">
        <v>0</v>
      </c>
      <c r="CZ23" s="24">
        <v>0</v>
      </c>
      <c r="DA23" s="24">
        <v>0</v>
      </c>
      <c r="DB23" s="20">
        <f>SUM(CX23:DA23)</f>
        <v>0</v>
      </c>
      <c r="DC23"/>
      <c r="DD23"/>
      <c r="DE23"/>
      <c r="DF23"/>
      <c r="DG23"/>
      <c r="DJ23"/>
    </row>
    <row r="24" spans="1:114" s="725" customFormat="1" collapsed="1">
      <c r="A24" s="1309"/>
      <c r="B24" s="1316" t="s">
        <v>196</v>
      </c>
      <c r="C24" s="1317"/>
      <c r="D24" s="1317">
        <f t="shared" ref="D24:Z24" si="39">D19-D20+SUM(D21:D23)</f>
        <v>-454.90899999999999</v>
      </c>
      <c r="E24" s="1317">
        <f t="shared" si="39"/>
        <v>-11.236000000000047</v>
      </c>
      <c r="F24" s="1317">
        <f t="shared" si="39"/>
        <v>27.741999999999877</v>
      </c>
      <c r="G24" s="1318">
        <f t="shared" si="39"/>
        <v>21.187999999999992</v>
      </c>
      <c r="H24" s="1318">
        <f t="shared" si="39"/>
        <v>19.548000000000041</v>
      </c>
      <c r="I24" s="1318">
        <f t="shared" si="39"/>
        <v>19.85400000000001</v>
      </c>
      <c r="J24" s="1318">
        <f t="shared" si="39"/>
        <v>27.662000000000027</v>
      </c>
      <c r="K24" s="1317">
        <f t="shared" si="39"/>
        <v>88.25200000000001</v>
      </c>
      <c r="L24" s="1318">
        <f t="shared" si="39"/>
        <v>47.187000000000033</v>
      </c>
      <c r="M24" s="1318">
        <f t="shared" si="39"/>
        <v>42.046999999999983</v>
      </c>
      <c r="N24" s="1318">
        <f t="shared" si="39"/>
        <v>34.898000000000025</v>
      </c>
      <c r="O24" s="1318">
        <f t="shared" si="39"/>
        <v>48.108000000000018</v>
      </c>
      <c r="P24" s="1317">
        <f t="shared" si="39"/>
        <v>172.2399999999999</v>
      </c>
      <c r="Q24" s="1318">
        <f t="shared" si="39"/>
        <v>56.316000000000081</v>
      </c>
      <c r="R24" s="1318">
        <f t="shared" si="39"/>
        <v>51.708000000000055</v>
      </c>
      <c r="S24" s="1318">
        <f t="shared" si="39"/>
        <v>53.451000000000121</v>
      </c>
      <c r="T24" s="1318">
        <f t="shared" si="39"/>
        <v>60.19</v>
      </c>
      <c r="U24" s="1317">
        <f t="shared" si="39"/>
        <v>221.66500000000065</v>
      </c>
      <c r="V24" s="1318">
        <f t="shared" si="39"/>
        <v>67.80000000000004</v>
      </c>
      <c r="W24" s="1318">
        <f t="shared" si="39"/>
        <v>64.276000000000025</v>
      </c>
      <c r="X24" s="1318">
        <f t="shared" si="39"/>
        <v>61.75800000000006</v>
      </c>
      <c r="Y24" s="1318">
        <f t="shared" si="39"/>
        <v>66.789999999999992</v>
      </c>
      <c r="Z24" s="1317">
        <f t="shared" si="39"/>
        <v>260.62400000000093</v>
      </c>
      <c r="AA24" s="1318">
        <f t="shared" ref="AA24:AI24" si="40">AA19-AA20+SUM(AA21:AA23)</f>
        <v>79.069999999999851</v>
      </c>
      <c r="AB24" s="1318">
        <f t="shared" si="40"/>
        <v>76.657000000000039</v>
      </c>
      <c r="AC24" s="1318">
        <f t="shared" si="40"/>
        <v>72.83700000000006</v>
      </c>
      <c r="AD24" s="1318">
        <f t="shared" si="40"/>
        <v>83.32599999999988</v>
      </c>
      <c r="AE24" s="1317">
        <f t="shared" si="40"/>
        <v>311.89000000000033</v>
      </c>
      <c r="AF24" s="1318">
        <f t="shared" si="40"/>
        <v>94.16499999999985</v>
      </c>
      <c r="AG24" s="1318">
        <f t="shared" si="40"/>
        <v>85.691000000000145</v>
      </c>
      <c r="AH24" s="1318">
        <f t="shared" si="40"/>
        <v>13.915000000000013</v>
      </c>
      <c r="AI24" s="1318">
        <f t="shared" si="40"/>
        <v>87.185000000000059</v>
      </c>
      <c r="AJ24" s="1317">
        <f t="shared" ref="AJ24:BP24" si="41">AJ19-AJ20+SUM(AJ21:AJ23)</f>
        <v>280.95600000000036</v>
      </c>
      <c r="AK24" s="1318">
        <f t="shared" si="41"/>
        <v>88.524999999999949</v>
      </c>
      <c r="AL24" s="1318">
        <f t="shared" si="41"/>
        <v>88.044999999999874</v>
      </c>
      <c r="AM24" s="1318">
        <f t="shared" si="41"/>
        <v>30.361000000000409</v>
      </c>
      <c r="AN24" s="1318">
        <f t="shared" si="41"/>
        <v>-98.898999999999958</v>
      </c>
      <c r="AO24" s="1317">
        <f t="shared" si="41"/>
        <v>108.03200000000048</v>
      </c>
      <c r="AP24" s="1318">
        <f t="shared" si="41"/>
        <v>93.410000000000181</v>
      </c>
      <c r="AQ24" s="1318">
        <f t="shared" si="41"/>
        <v>89.220999999999847</v>
      </c>
      <c r="AR24" s="1318">
        <f t="shared" si="41"/>
        <v>93.972999999999615</v>
      </c>
      <c r="AS24" s="1318">
        <f t="shared" si="41"/>
        <v>102.16100000000006</v>
      </c>
      <c r="AT24" s="1317">
        <f t="shared" si="41"/>
        <v>378.76499999999993</v>
      </c>
      <c r="AU24" s="1318">
        <f t="shared" si="41"/>
        <v>106.66299999999951</v>
      </c>
      <c r="AV24" s="1318">
        <f t="shared" si="41"/>
        <v>111.70699999999989</v>
      </c>
      <c r="AW24" s="1318">
        <f t="shared" si="41"/>
        <v>112.42500000000048</v>
      </c>
      <c r="AX24" s="1318">
        <f t="shared" si="41"/>
        <v>115.54400000000059</v>
      </c>
      <c r="AY24" s="1317">
        <f t="shared" si="41"/>
        <v>446.33900000000091</v>
      </c>
      <c r="AZ24" s="1318">
        <f t="shared" si="41"/>
        <v>125.14400000000029</v>
      </c>
      <c r="BA24" s="1318">
        <f t="shared" si="41"/>
        <v>127.90800000000027</v>
      </c>
      <c r="BB24" s="1318">
        <f t="shared" si="41"/>
        <v>126.34300000000007</v>
      </c>
      <c r="BC24" s="1318">
        <f t="shared" si="41"/>
        <v>129.0389999999997</v>
      </c>
      <c r="BD24" s="1317">
        <f t="shared" si="41"/>
        <v>508.43399999999997</v>
      </c>
      <c r="BE24" s="1318">
        <f t="shared" si="41"/>
        <v>134.9229999999998</v>
      </c>
      <c r="BF24" s="1318">
        <f t="shared" si="41"/>
        <v>137.69500000000014</v>
      </c>
      <c r="BG24" s="1318">
        <f t="shared" si="41"/>
        <v>132.51700000000068</v>
      </c>
      <c r="BH24" s="1318">
        <f t="shared" si="41"/>
        <v>67.638000000000105</v>
      </c>
      <c r="BI24" s="1317">
        <f t="shared" si="41"/>
        <v>472.77300000000179</v>
      </c>
      <c r="BJ24" s="1318">
        <f t="shared" si="41"/>
        <v>145.53699999999992</v>
      </c>
      <c r="BK24" s="1318">
        <f t="shared" si="41"/>
        <v>151.68599999999958</v>
      </c>
      <c r="BL24" s="1318">
        <f t="shared" si="41"/>
        <v>84.457999999999586</v>
      </c>
      <c r="BM24" s="1318">
        <f t="shared" si="41"/>
        <v>122.08999999999973</v>
      </c>
      <c r="BN24" s="1317">
        <f t="shared" si="41"/>
        <v>503.7710000000007</v>
      </c>
      <c r="BO24" s="1318">
        <f t="shared" si="41"/>
        <v>144.02599999999987</v>
      </c>
      <c r="BP24" s="1318">
        <f t="shared" si="41"/>
        <v>64.569999999999681</v>
      </c>
      <c r="BQ24" s="1318">
        <f t="shared" ref="BQ24:BZ24" si="42">BQ19-BQ20+SUM(BQ21:BQ23)</f>
        <v>25.040000000000219</v>
      </c>
      <c r="BR24" s="1318">
        <f t="shared" si="42"/>
        <v>84.526000000000295</v>
      </c>
      <c r="BS24" s="1317">
        <f>BS19-BS20+SUM(BS21:BS23)</f>
        <v>318.16199999999816</v>
      </c>
      <c r="BT24" s="1318">
        <f t="shared" si="42"/>
        <v>-135</v>
      </c>
      <c r="BU24" s="1318">
        <f t="shared" si="42"/>
        <v>107</v>
      </c>
      <c r="BV24" s="1318">
        <f t="shared" si="42"/>
        <v>133.00000000000045</v>
      </c>
      <c r="BW24" s="1318">
        <f t="shared" si="42"/>
        <v>230</v>
      </c>
      <c r="BX24" s="1317">
        <f t="shared" si="42"/>
        <v>335.00000000000045</v>
      </c>
      <c r="BY24" s="1318">
        <f t="shared" ref="BY24:CH24" si="43">BY19-BY20+SUM(BY21:BY23)</f>
        <v>168</v>
      </c>
      <c r="BZ24" s="1318">
        <f t="shared" si="42"/>
        <v>214</v>
      </c>
      <c r="CA24" s="1318">
        <f t="shared" si="43"/>
        <v>121</v>
      </c>
      <c r="CB24" s="1318">
        <f t="shared" si="43"/>
        <v>-91</v>
      </c>
      <c r="CC24" s="1317">
        <f t="shared" si="43"/>
        <v>412</v>
      </c>
      <c r="CD24" s="1315">
        <f t="shared" si="43"/>
        <v>63</v>
      </c>
      <c r="CE24" s="1318">
        <f t="shared" si="43"/>
        <v>-1543</v>
      </c>
      <c r="CF24" s="1318">
        <f t="shared" si="43"/>
        <v>-83</v>
      </c>
      <c r="CG24" s="1318">
        <f t="shared" si="43"/>
        <v>-152</v>
      </c>
      <c r="CH24" s="1317">
        <f t="shared" si="43"/>
        <v>-1715</v>
      </c>
      <c r="CI24" s="1315">
        <f t="shared" ref="CI24:CV24" si="44">CI19-CI20+SUM(CI21:CI23)</f>
        <v>-175</v>
      </c>
      <c r="CJ24" s="1315">
        <f t="shared" si="44"/>
        <v>-131</v>
      </c>
      <c r="CK24" s="1318">
        <f t="shared" si="44"/>
        <v>-147</v>
      </c>
      <c r="CL24" s="1318">
        <f t="shared" si="44"/>
        <v>-2379</v>
      </c>
      <c r="CM24" s="1317">
        <f t="shared" si="44"/>
        <v>-2832</v>
      </c>
      <c r="CN24" s="1315">
        <f t="shared" ca="1" si="44"/>
        <v>-5.301162377498855</v>
      </c>
      <c r="CO24" s="1315">
        <f t="shared" ca="1" si="44"/>
        <v>-26.699875243466806</v>
      </c>
      <c r="CP24" s="1315">
        <f t="shared" ca="1" si="44"/>
        <v>-46.874093575595936</v>
      </c>
      <c r="CQ24" s="1315">
        <f t="shared" ca="1" si="44"/>
        <v>-9.1742729897697473</v>
      </c>
      <c r="CR24" s="1317">
        <f t="shared" ca="1" si="44"/>
        <v>-88.049404186332254</v>
      </c>
      <c r="CS24" s="1315">
        <f t="shared" ca="1" si="44"/>
        <v>-7.6988389613678123</v>
      </c>
      <c r="CT24" s="1315">
        <f t="shared" ca="1" si="44"/>
        <v>0.64752501204577584</v>
      </c>
      <c r="CU24" s="1315">
        <f t="shared" ca="1" si="44"/>
        <v>21.586914550782637</v>
      </c>
      <c r="CV24" s="1315">
        <f t="shared" ca="1" si="44"/>
        <v>25.447543884483707</v>
      </c>
      <c r="CW24" s="1317">
        <f t="shared" ref="CW24:DA24" ca="1" si="45">CW19-CW20+SUM(CW21:CW23)</f>
        <v>39.983144485946127</v>
      </c>
      <c r="CX24" s="1315">
        <f t="shared" ca="1" si="45"/>
        <v>-1.1157104442254422</v>
      </c>
      <c r="CY24" s="1315">
        <f t="shared" ca="1" si="45"/>
        <v>11.127658392050336</v>
      </c>
      <c r="CZ24" s="1315">
        <f t="shared" ca="1" si="45"/>
        <v>7.8277847096486539</v>
      </c>
      <c r="DA24" s="1315">
        <f t="shared" ca="1" si="45"/>
        <v>33.492361518327641</v>
      </c>
      <c r="DB24" s="1317">
        <f t="shared" ref="DB24" ca="1" si="46">DB19-DB20+SUM(DB21:DB23)</f>
        <v>51.332094175801672</v>
      </c>
      <c r="DC24"/>
      <c r="DD24"/>
      <c r="DE24"/>
      <c r="DF24"/>
      <c r="DG24"/>
      <c r="DJ24"/>
    </row>
    <row r="25" spans="1:114" s="725" customFormat="1">
      <c r="A25" s="49"/>
      <c r="B25" s="37" t="s">
        <v>197</v>
      </c>
      <c r="C25" s="303"/>
      <c r="D25" s="303">
        <v>18.172999999999998</v>
      </c>
      <c r="E25" s="303">
        <v>5.5529999999999999</v>
      </c>
      <c r="F25" s="303">
        <v>18.172999999999998</v>
      </c>
      <c r="G25" s="39">
        <v>10.34</v>
      </c>
      <c r="H25" s="39">
        <v>9.8970000000000002</v>
      </c>
      <c r="I25" s="39">
        <v>9.8130000000000006</v>
      </c>
      <c r="J25" s="39">
        <f>15.894-2.435</f>
        <v>13.459</v>
      </c>
      <c r="K25" s="20">
        <f>SUM(G25:J25)</f>
        <v>43.509</v>
      </c>
      <c r="L25" s="39">
        <v>19.25</v>
      </c>
      <c r="M25" s="39">
        <v>17.050999999999998</v>
      </c>
      <c r="N25" s="39">
        <f>17.769-3.372</f>
        <v>14.396999999999998</v>
      </c>
      <c r="O25" s="39">
        <v>19.321999999999999</v>
      </c>
      <c r="P25" s="20">
        <f>SUM(L25:O25)</f>
        <v>70.02</v>
      </c>
      <c r="Q25" s="39">
        <v>22.405000000000001</v>
      </c>
      <c r="R25" s="39">
        <v>20.411999999999999</v>
      </c>
      <c r="S25" s="39">
        <v>21.117000000000001</v>
      </c>
      <c r="T25" s="39">
        <v>24.271999999999998</v>
      </c>
      <c r="U25" s="20">
        <f>SUM(Q25:T25)</f>
        <v>88.205999999999989</v>
      </c>
      <c r="V25" s="39">
        <v>26.701000000000001</v>
      </c>
      <c r="W25" s="39">
        <v>25.202000000000002</v>
      </c>
      <c r="X25" s="39">
        <v>24.029</v>
      </c>
      <c r="Y25" s="39">
        <v>25.658000000000001</v>
      </c>
      <c r="Z25" s="20">
        <f>SUM(V25:Y25)</f>
        <v>101.59</v>
      </c>
      <c r="AA25" s="39">
        <v>30.491</v>
      </c>
      <c r="AB25" s="39">
        <v>29.39</v>
      </c>
      <c r="AC25" s="39">
        <v>28.056000000000001</v>
      </c>
      <c r="AD25" s="39">
        <v>32.097999999999999</v>
      </c>
      <c r="AE25" s="20">
        <f>SUM(AA25:AD25)</f>
        <v>120.035</v>
      </c>
      <c r="AF25" s="39">
        <v>36.298000000000002</v>
      </c>
      <c r="AG25" s="39">
        <v>32.866999999999997</v>
      </c>
      <c r="AH25" s="39">
        <v>5.0730000000000004</v>
      </c>
      <c r="AI25" s="39">
        <v>32.444000000000003</v>
      </c>
      <c r="AJ25" s="20">
        <f>SUM(AF25:AI25)</f>
        <v>106.682</v>
      </c>
      <c r="AK25" s="39">
        <v>34.008000000000003</v>
      </c>
      <c r="AL25" s="39">
        <v>33.656999999999996</v>
      </c>
      <c r="AM25" s="39">
        <v>9.58</v>
      </c>
      <c r="AN25" s="39">
        <v>-38.057000000000002</v>
      </c>
      <c r="AO25" s="20">
        <f>SUM(AK25:AN25)</f>
        <v>39.187999999999988</v>
      </c>
      <c r="AP25" s="39">
        <v>32.234999999999999</v>
      </c>
      <c r="AQ25" s="39">
        <v>31.148</v>
      </c>
      <c r="AR25" s="39">
        <v>32.191000000000003</v>
      </c>
      <c r="AS25" s="39">
        <v>35.253</v>
      </c>
      <c r="AT25" s="20">
        <f>SUM(AP25:AS25)</f>
        <v>130.827</v>
      </c>
      <c r="AU25" s="39">
        <v>35.531999999999996</v>
      </c>
      <c r="AV25" s="39">
        <v>37.209000000000003</v>
      </c>
      <c r="AW25" s="39">
        <v>37.064</v>
      </c>
      <c r="AX25" s="39">
        <v>31.417999999999999</v>
      </c>
      <c r="AY25" s="20">
        <f>SUM(AU25:AX25)</f>
        <v>141.22300000000001</v>
      </c>
      <c r="AZ25" s="39">
        <v>40.148000000000003</v>
      </c>
      <c r="BA25" s="39">
        <v>41.566000000000003</v>
      </c>
      <c r="BB25" s="39">
        <v>41.488999999999997</v>
      </c>
      <c r="BC25" s="39">
        <v>36.79</v>
      </c>
      <c r="BD25" s="20">
        <f>SUM(AZ25:BC25)</f>
        <v>159.99299999999999</v>
      </c>
      <c r="BE25" s="39">
        <v>43.781999999999996</v>
      </c>
      <c r="BF25" s="39">
        <v>44.820999999999998</v>
      </c>
      <c r="BG25" s="39">
        <v>36.716999999999999</v>
      </c>
      <c r="BH25" s="39">
        <v>12.023</v>
      </c>
      <c r="BI25" s="20">
        <f>SUM(BE25:BH25)</f>
        <v>137.34299999999999</v>
      </c>
      <c r="BJ25" s="39">
        <v>45.819000000000003</v>
      </c>
      <c r="BK25" s="39">
        <v>49.518999999999998</v>
      </c>
      <c r="BL25" s="39">
        <v>25.7</v>
      </c>
      <c r="BM25" s="39">
        <v>36.463999999999999</v>
      </c>
      <c r="BN25" s="20">
        <f>SUM(BJ25:BM25)</f>
        <v>157.50200000000001</v>
      </c>
      <c r="BO25" s="39">
        <v>47.703000000000003</v>
      </c>
      <c r="BP25" s="39">
        <v>17.484999999999999</v>
      </c>
      <c r="BQ25" s="547">
        <v>3.4420000000000002</v>
      </c>
      <c r="BR25" s="547">
        <v>19.963999999999999</v>
      </c>
      <c r="BS25" s="20">
        <f>SUM(BO25:BR25)</f>
        <v>88.593999999999994</v>
      </c>
      <c r="BT25" s="39">
        <v>-57</v>
      </c>
      <c r="BU25" s="39">
        <v>32</v>
      </c>
      <c r="BV25" s="39">
        <f>40</f>
        <v>40</v>
      </c>
      <c r="BW25" s="547">
        <v>65</v>
      </c>
      <c r="BX25" s="20">
        <f>SUM(BT25:BW25)</f>
        <v>80</v>
      </c>
      <c r="BY25" s="39">
        <v>56</v>
      </c>
      <c r="BZ25" s="39">
        <v>74</v>
      </c>
      <c r="CA25" s="39">
        <v>38</v>
      </c>
      <c r="CB25" s="547">
        <v>-51</v>
      </c>
      <c r="CC25" s="20">
        <f>SUM(BY25:CB25)</f>
        <v>117</v>
      </c>
      <c r="CD25" s="894">
        <v>26</v>
      </c>
      <c r="CE25" s="39">
        <v>-138</v>
      </c>
      <c r="CF25" s="39">
        <v>-29</v>
      </c>
      <c r="CG25" s="547">
        <v>37</v>
      </c>
      <c r="CH25" s="20">
        <f>SUM(CD25:CG25)</f>
        <v>-104</v>
      </c>
      <c r="CI25" s="894">
        <v>0</v>
      </c>
      <c r="CJ25" s="894">
        <v>-15</v>
      </c>
      <c r="CK25" s="39">
        <v>-59</v>
      </c>
      <c r="CL25" s="547">
        <v>-375</v>
      </c>
      <c r="CM25" s="20">
        <f>SUM(CI25:CL25)</f>
        <v>-449</v>
      </c>
      <c r="CN25" s="24">
        <f ca="1">CN73*CN24</f>
        <v>-1.3783022181497024</v>
      </c>
      <c r="CO25" s="24">
        <f ca="1">CO73*CO24</f>
        <v>-6.94196756330137</v>
      </c>
      <c r="CP25" s="24">
        <f ca="1">CP73*CP24</f>
        <v>-12.187264329654944</v>
      </c>
      <c r="CQ25" s="24">
        <f ca="1">CQ73*CQ24</f>
        <v>-2.3853109773401342</v>
      </c>
      <c r="CR25" s="20">
        <f ca="1">SUM(CN25:CQ25)</f>
        <v>-22.892845088446151</v>
      </c>
      <c r="CS25" s="24">
        <f ca="1">CS73*CS24</f>
        <v>-2.0016981299556313</v>
      </c>
      <c r="CT25" s="24">
        <f ca="1">CT73*CT24</f>
        <v>0.16835650313190173</v>
      </c>
      <c r="CU25" s="24">
        <f ca="1">CU73*CU24</f>
        <v>5.6125977832034861</v>
      </c>
      <c r="CV25" s="24">
        <f ca="1">CV73*CV24</f>
        <v>6.6163614099657639</v>
      </c>
      <c r="CW25" s="20">
        <f ca="1">SUM(CS25:CV25)</f>
        <v>10.395617566345521</v>
      </c>
      <c r="CX25" s="24">
        <f ca="1">CX73*CX24</f>
        <v>-0.29008471549861498</v>
      </c>
      <c r="CY25" s="24">
        <f ca="1">CY73*CY24</f>
        <v>2.8931911819330876</v>
      </c>
      <c r="CZ25" s="24">
        <f ca="1">CZ73*CZ24</f>
        <v>2.0352240245086501</v>
      </c>
      <c r="DA25" s="24">
        <f ca="1">DA73*DA24</f>
        <v>8.7080139947651869</v>
      </c>
      <c r="DB25" s="20">
        <f ca="1">SUM(CX25:DA25)</f>
        <v>13.346344485708309</v>
      </c>
      <c r="DC25"/>
      <c r="DD25"/>
      <c r="DE25"/>
      <c r="DF25"/>
      <c r="DG25"/>
      <c r="DJ25"/>
    </row>
    <row r="26" spans="1:114" s="725" customFormat="1">
      <c r="A26" s="1309"/>
      <c r="B26" s="1310" t="s">
        <v>199</v>
      </c>
      <c r="C26" s="1319"/>
      <c r="D26" s="1319">
        <f t="shared" ref="D26:K26" si="47">D24-D25</f>
        <v>-473.08199999999999</v>
      </c>
      <c r="E26" s="1319">
        <f t="shared" si="47"/>
        <v>-16.789000000000048</v>
      </c>
      <c r="F26" s="1319">
        <f t="shared" si="47"/>
        <v>9.5689999999998783</v>
      </c>
      <c r="G26" s="1320">
        <f t="shared" si="47"/>
        <v>10.847999999999992</v>
      </c>
      <c r="H26" s="1320">
        <f t="shared" si="47"/>
        <v>9.6510000000000407</v>
      </c>
      <c r="I26" s="1320">
        <f t="shared" si="47"/>
        <v>10.041000000000009</v>
      </c>
      <c r="J26" s="1320">
        <f t="shared" si="47"/>
        <v>14.203000000000028</v>
      </c>
      <c r="K26" s="1319">
        <f t="shared" si="47"/>
        <v>44.743000000000009</v>
      </c>
      <c r="L26" s="1320">
        <f t="shared" ref="L26:BW26" si="48">L24-L25</f>
        <v>27.937000000000033</v>
      </c>
      <c r="M26" s="1320">
        <f t="shared" si="48"/>
        <v>24.995999999999984</v>
      </c>
      <c r="N26" s="1320">
        <f t="shared" si="48"/>
        <v>20.501000000000026</v>
      </c>
      <c r="O26" s="1320">
        <f t="shared" si="48"/>
        <v>28.786000000000019</v>
      </c>
      <c r="P26" s="1319">
        <f t="shared" si="48"/>
        <v>102.2199999999999</v>
      </c>
      <c r="Q26" s="1320">
        <f t="shared" si="48"/>
        <v>33.91100000000008</v>
      </c>
      <c r="R26" s="1320">
        <f t="shared" si="48"/>
        <v>31.296000000000056</v>
      </c>
      <c r="S26" s="1320">
        <f t="shared" si="48"/>
        <v>32.334000000000117</v>
      </c>
      <c r="T26" s="1320">
        <f t="shared" si="48"/>
        <v>35.917999999999999</v>
      </c>
      <c r="U26" s="1319">
        <f t="shared" si="48"/>
        <v>133.45900000000066</v>
      </c>
      <c r="V26" s="1320">
        <f t="shared" si="48"/>
        <v>41.099000000000039</v>
      </c>
      <c r="W26" s="1320">
        <f t="shared" si="48"/>
        <v>39.074000000000026</v>
      </c>
      <c r="X26" s="1320">
        <f t="shared" si="48"/>
        <v>37.729000000000056</v>
      </c>
      <c r="Y26" s="1320">
        <f t="shared" si="48"/>
        <v>41.131999999999991</v>
      </c>
      <c r="Z26" s="1319">
        <f t="shared" si="48"/>
        <v>159.03400000000093</v>
      </c>
      <c r="AA26" s="1320">
        <f t="shared" si="48"/>
        <v>48.578999999999851</v>
      </c>
      <c r="AB26" s="1320">
        <f t="shared" si="48"/>
        <v>47.267000000000039</v>
      </c>
      <c r="AC26" s="1320">
        <f t="shared" si="48"/>
        <v>44.781000000000063</v>
      </c>
      <c r="AD26" s="1320">
        <f t="shared" si="48"/>
        <v>51.227999999999881</v>
      </c>
      <c r="AE26" s="1319">
        <f t="shared" si="48"/>
        <v>191.85500000000033</v>
      </c>
      <c r="AF26" s="1320">
        <f t="shared" si="48"/>
        <v>57.866999999999848</v>
      </c>
      <c r="AG26" s="1320">
        <f t="shared" si="48"/>
        <v>52.824000000000147</v>
      </c>
      <c r="AH26" s="1320">
        <f t="shared" si="48"/>
        <v>8.842000000000013</v>
      </c>
      <c r="AI26" s="1320">
        <f t="shared" si="48"/>
        <v>54.741000000000057</v>
      </c>
      <c r="AJ26" s="1319">
        <f t="shared" si="48"/>
        <v>174.27400000000034</v>
      </c>
      <c r="AK26" s="1320">
        <f t="shared" si="48"/>
        <v>54.516999999999946</v>
      </c>
      <c r="AL26" s="1320">
        <f t="shared" si="48"/>
        <v>54.387999999999877</v>
      </c>
      <c r="AM26" s="1320">
        <f t="shared" si="48"/>
        <v>20.781000000000411</v>
      </c>
      <c r="AN26" s="1320">
        <f t="shared" si="48"/>
        <v>-60.841999999999956</v>
      </c>
      <c r="AO26" s="1319">
        <f t="shared" si="48"/>
        <v>68.844000000000491</v>
      </c>
      <c r="AP26" s="1320">
        <f t="shared" si="48"/>
        <v>61.175000000000182</v>
      </c>
      <c r="AQ26" s="1320">
        <f t="shared" si="48"/>
        <v>58.072999999999851</v>
      </c>
      <c r="AR26" s="1320">
        <f t="shared" si="48"/>
        <v>61.781999999999613</v>
      </c>
      <c r="AS26" s="1320">
        <f t="shared" si="48"/>
        <v>66.908000000000058</v>
      </c>
      <c r="AT26" s="1319">
        <f t="shared" si="48"/>
        <v>247.93799999999993</v>
      </c>
      <c r="AU26" s="1320">
        <f t="shared" si="48"/>
        <v>71.130999999999517</v>
      </c>
      <c r="AV26" s="1320">
        <f t="shared" si="48"/>
        <v>74.497999999999891</v>
      </c>
      <c r="AW26" s="1320">
        <f t="shared" si="48"/>
        <v>75.361000000000473</v>
      </c>
      <c r="AX26" s="1320">
        <f t="shared" si="48"/>
        <v>84.126000000000602</v>
      </c>
      <c r="AY26" s="1319">
        <f t="shared" si="48"/>
        <v>305.11600000000089</v>
      </c>
      <c r="AZ26" s="1320">
        <f t="shared" si="48"/>
        <v>84.996000000000294</v>
      </c>
      <c r="BA26" s="1320">
        <f t="shared" si="48"/>
        <v>86.342000000000269</v>
      </c>
      <c r="BB26" s="1320">
        <f t="shared" si="48"/>
        <v>84.85400000000007</v>
      </c>
      <c r="BC26" s="1320">
        <f t="shared" si="48"/>
        <v>92.248999999999711</v>
      </c>
      <c r="BD26" s="1319">
        <f t="shared" si="48"/>
        <v>348.44099999999997</v>
      </c>
      <c r="BE26" s="1320">
        <f t="shared" si="48"/>
        <v>91.140999999999806</v>
      </c>
      <c r="BF26" s="1320">
        <f t="shared" si="48"/>
        <v>92.874000000000137</v>
      </c>
      <c r="BG26" s="1320">
        <f t="shared" si="48"/>
        <v>95.800000000000679</v>
      </c>
      <c r="BH26" s="1320">
        <f t="shared" si="48"/>
        <v>55.615000000000109</v>
      </c>
      <c r="BI26" s="1319">
        <f t="shared" si="48"/>
        <v>335.43000000000177</v>
      </c>
      <c r="BJ26" s="1320">
        <f t="shared" si="48"/>
        <v>99.717999999999918</v>
      </c>
      <c r="BK26" s="1320">
        <f t="shared" si="48"/>
        <v>102.16699999999958</v>
      </c>
      <c r="BL26" s="1320">
        <f t="shared" si="48"/>
        <v>58.757999999999583</v>
      </c>
      <c r="BM26" s="1320">
        <f t="shared" si="48"/>
        <v>85.625999999999735</v>
      </c>
      <c r="BN26" s="1319">
        <f t="shared" si="48"/>
        <v>346.26900000000069</v>
      </c>
      <c r="BO26" s="1320">
        <f t="shared" si="48"/>
        <v>96.322999999999865</v>
      </c>
      <c r="BP26" s="1320">
        <f t="shared" si="48"/>
        <v>47.084999999999681</v>
      </c>
      <c r="BQ26" s="1320">
        <f t="shared" si="48"/>
        <v>21.598000000000219</v>
      </c>
      <c r="BR26" s="1320">
        <f t="shared" si="48"/>
        <v>64.562000000000296</v>
      </c>
      <c r="BS26" s="1319">
        <f>BS24-BS25</f>
        <v>229.56799999999816</v>
      </c>
      <c r="BT26" s="1320">
        <f t="shared" si="48"/>
        <v>-78</v>
      </c>
      <c r="BU26" s="1320">
        <f t="shared" si="48"/>
        <v>75</v>
      </c>
      <c r="BV26" s="1320">
        <f t="shared" si="48"/>
        <v>93.000000000000455</v>
      </c>
      <c r="BW26" s="1320">
        <f t="shared" si="48"/>
        <v>165</v>
      </c>
      <c r="BX26" s="1319">
        <f t="shared" ref="BX26:CD26" si="49">BX24-BX25</f>
        <v>255.00000000000045</v>
      </c>
      <c r="BY26" s="1320">
        <f t="shared" si="49"/>
        <v>112</v>
      </c>
      <c r="BZ26" s="1320">
        <f t="shared" si="49"/>
        <v>140</v>
      </c>
      <c r="CA26" s="1320">
        <f t="shared" si="49"/>
        <v>83</v>
      </c>
      <c r="CB26" s="1320">
        <f t="shared" si="49"/>
        <v>-40</v>
      </c>
      <c r="CC26" s="1319">
        <f t="shared" si="49"/>
        <v>295</v>
      </c>
      <c r="CD26" s="1321">
        <f t="shared" si="49"/>
        <v>37</v>
      </c>
      <c r="CE26" s="1320">
        <f t="shared" ref="CE26:CM26" si="50">CE24-CE25</f>
        <v>-1405</v>
      </c>
      <c r="CF26" s="1320">
        <f t="shared" si="50"/>
        <v>-54</v>
      </c>
      <c r="CG26" s="1320">
        <f t="shared" si="50"/>
        <v>-189</v>
      </c>
      <c r="CH26" s="1319">
        <f t="shared" si="50"/>
        <v>-1611</v>
      </c>
      <c r="CI26" s="1321">
        <f t="shared" si="50"/>
        <v>-175</v>
      </c>
      <c r="CJ26" s="1320">
        <f t="shared" si="50"/>
        <v>-116</v>
      </c>
      <c r="CK26" s="1320">
        <f t="shared" ref="CK26:CL26" si="51">CK24-CK25</f>
        <v>-88</v>
      </c>
      <c r="CL26" s="1320">
        <f t="shared" si="51"/>
        <v>-2004</v>
      </c>
      <c r="CM26" s="1319">
        <f t="shared" si="50"/>
        <v>-2383</v>
      </c>
      <c r="CN26" s="1320">
        <f t="shared" ref="CN26:CR26" ca="1" si="52">CN24-CN25</f>
        <v>-3.9228601593491526</v>
      </c>
      <c r="CO26" s="1320">
        <f t="shared" ca="1" si="52"/>
        <v>-19.757907680165438</v>
      </c>
      <c r="CP26" s="1320">
        <f t="shared" ca="1" si="52"/>
        <v>-34.686829245940991</v>
      </c>
      <c r="CQ26" s="1320">
        <f t="shared" ca="1" si="52"/>
        <v>-6.7889620124296126</v>
      </c>
      <c r="CR26" s="1319">
        <f t="shared" ca="1" si="52"/>
        <v>-65.156559097886102</v>
      </c>
      <c r="CS26" s="1320">
        <f t="shared" ref="CS26:CW26" ca="1" si="53">CS24-CS25</f>
        <v>-5.697140831412181</v>
      </c>
      <c r="CT26" s="1320">
        <f t="shared" ca="1" si="53"/>
        <v>0.47916850891387408</v>
      </c>
      <c r="CU26" s="1320">
        <f t="shared" ca="1" si="53"/>
        <v>15.97431676757915</v>
      </c>
      <c r="CV26" s="1320">
        <f t="shared" ca="1" si="53"/>
        <v>18.831182474517945</v>
      </c>
      <c r="CW26" s="1319">
        <f t="shared" ca="1" si="53"/>
        <v>29.587526919600606</v>
      </c>
      <c r="CX26" s="1320">
        <f t="shared" ref="CX26:DB26" ca="1" si="54">CX24-CX25</f>
        <v>-0.82562572872682716</v>
      </c>
      <c r="CY26" s="1320">
        <f t="shared" ca="1" si="54"/>
        <v>8.2344672101172485</v>
      </c>
      <c r="CZ26" s="1320">
        <f t="shared" ca="1" si="54"/>
        <v>5.7925606851400033</v>
      </c>
      <c r="DA26" s="1320">
        <f t="shared" ca="1" si="54"/>
        <v>24.784347523562452</v>
      </c>
      <c r="DB26" s="1319">
        <f t="shared" ca="1" si="54"/>
        <v>37.985749690093364</v>
      </c>
      <c r="DC26"/>
      <c r="DD26"/>
      <c r="DE26"/>
      <c r="DF26"/>
      <c r="DG26"/>
      <c r="DJ26"/>
    </row>
    <row r="27" spans="1:114" s="725" customFormat="1" hidden="1" outlineLevel="1">
      <c r="A27" s="49"/>
      <c r="B27" s="536" t="s">
        <v>200</v>
      </c>
      <c r="C27" s="20"/>
      <c r="D27" s="20"/>
      <c r="E27" s="20"/>
      <c r="F27" s="20"/>
      <c r="G27" s="24"/>
      <c r="H27" s="24"/>
      <c r="I27" s="24"/>
      <c r="J27" s="24"/>
      <c r="K27" s="20"/>
      <c r="L27" s="24"/>
      <c r="M27" s="24"/>
      <c r="N27" s="24"/>
      <c r="O27" s="24"/>
      <c r="P27" s="20"/>
      <c r="Q27" s="24"/>
      <c r="R27" s="24"/>
      <c r="S27" s="24"/>
      <c r="T27" s="24"/>
      <c r="U27" s="20"/>
      <c r="V27" s="24"/>
      <c r="W27" s="24"/>
      <c r="X27" s="24"/>
      <c r="Y27" s="24"/>
      <c r="Z27" s="20"/>
      <c r="AA27" s="24"/>
      <c r="AB27" s="24"/>
      <c r="AC27" s="24"/>
      <c r="AD27" s="24"/>
      <c r="AE27" s="20"/>
      <c r="AF27" s="24"/>
      <c r="AG27" s="24"/>
      <c r="AH27" s="24"/>
      <c r="AI27" s="24"/>
      <c r="AJ27" s="20"/>
      <c r="AK27" s="24"/>
      <c r="AL27" s="24"/>
      <c r="AM27" s="24"/>
      <c r="AN27" s="24"/>
      <c r="AO27" s="20"/>
      <c r="AP27" s="24"/>
      <c r="AQ27" s="24"/>
      <c r="AR27" s="24"/>
      <c r="AS27" s="24"/>
      <c r="AT27" s="20"/>
      <c r="AU27" s="24"/>
      <c r="AV27" s="24"/>
      <c r="AW27" s="24"/>
      <c r="AX27" s="24"/>
      <c r="AY27" s="20"/>
      <c r="AZ27" s="24"/>
      <c r="BA27" s="24"/>
      <c r="BB27" s="24"/>
      <c r="BC27" s="24"/>
      <c r="BD27" s="20"/>
      <c r="BE27" s="24"/>
      <c r="BF27" s="24"/>
      <c r="BG27" s="24"/>
      <c r="BH27" s="24"/>
      <c r="BI27" s="20"/>
      <c r="BJ27" s="24"/>
      <c r="BK27" s="24"/>
      <c r="BL27" s="24"/>
      <c r="BM27" s="24"/>
      <c r="BN27" s="394"/>
      <c r="BO27" s="24"/>
      <c r="BP27" s="24"/>
      <c r="BQ27" s="24"/>
      <c r="BR27" s="24"/>
      <c r="BS27" s="20"/>
      <c r="BT27" s="24"/>
      <c r="BU27" s="24"/>
      <c r="BV27" s="24"/>
      <c r="BW27" s="24"/>
      <c r="BX27" s="20"/>
      <c r="BY27" s="24"/>
      <c r="BZ27" s="24"/>
      <c r="CA27" s="24"/>
      <c r="CB27" s="24"/>
      <c r="CC27" s="20"/>
      <c r="CD27" s="893"/>
      <c r="CE27" s="24"/>
      <c r="CF27" s="24"/>
      <c r="CG27" s="24"/>
      <c r="CH27" s="20"/>
      <c r="CI27" s="893"/>
      <c r="CJ27" s="24"/>
      <c r="CK27" s="24"/>
      <c r="CL27" s="24"/>
      <c r="CM27" s="20"/>
      <c r="CN27" s="24"/>
      <c r="CO27" s="24"/>
      <c r="CP27" s="24"/>
      <c r="CQ27" s="24"/>
      <c r="CR27" s="20"/>
      <c r="CS27" s="24"/>
      <c r="CT27" s="24"/>
      <c r="CU27" s="24"/>
      <c r="CV27" s="24"/>
      <c r="CW27" s="20"/>
      <c r="CX27" s="24"/>
      <c r="CY27" s="24"/>
      <c r="CZ27" s="24"/>
      <c r="DA27" s="24"/>
      <c r="DB27" s="20"/>
      <c r="DC27"/>
      <c r="DD27"/>
      <c r="DE27"/>
      <c r="DF27"/>
      <c r="DG27"/>
      <c r="DJ27"/>
    </row>
    <row r="28" spans="1:114" s="725" customFormat="1" hidden="1" outlineLevel="1">
      <c r="A28" s="49"/>
      <c r="B28" s="51" t="s">
        <v>201</v>
      </c>
      <c r="C28" s="303"/>
      <c r="D28" s="303">
        <v>0</v>
      </c>
      <c r="E28" s="303">
        <v>0</v>
      </c>
      <c r="F28" s="303">
        <v>0</v>
      </c>
      <c r="G28" s="39">
        <v>0</v>
      </c>
      <c r="H28" s="39">
        <v>0</v>
      </c>
      <c r="I28" s="39">
        <v>0</v>
      </c>
      <c r="J28" s="39">
        <v>0</v>
      </c>
      <c r="K28" s="20">
        <f>SUM(G28:J28)</f>
        <v>0</v>
      </c>
      <c r="L28" s="39">
        <v>0</v>
      </c>
      <c r="M28" s="39">
        <v>0</v>
      </c>
      <c r="N28" s="39">
        <v>0</v>
      </c>
      <c r="O28" s="39">
        <v>0</v>
      </c>
      <c r="P28" s="20">
        <f>SUM(L28:O28)</f>
        <v>0</v>
      </c>
      <c r="Q28" s="39">
        <v>0</v>
      </c>
      <c r="R28" s="39">
        <v>0</v>
      </c>
      <c r="S28" s="39">
        <v>0</v>
      </c>
      <c r="T28" s="39">
        <v>0</v>
      </c>
      <c r="U28" s="20">
        <f>SUM(Q28:T28)</f>
        <v>0</v>
      </c>
      <c r="V28" s="39">
        <v>0</v>
      </c>
      <c r="W28" s="39">
        <v>0</v>
      </c>
      <c r="X28" s="39">
        <v>-1.9650000000000001</v>
      </c>
      <c r="Y28" s="39">
        <v>-0.41299999999999998</v>
      </c>
      <c r="Z28" s="20">
        <f>SUM(V28:Y28)</f>
        <v>-2.3780000000000001</v>
      </c>
      <c r="AA28" s="39">
        <v>-4.0860000000000003</v>
      </c>
      <c r="AB28" s="39">
        <v>-1.151</v>
      </c>
      <c r="AC28" s="39">
        <v>-1.18</v>
      </c>
      <c r="AD28" s="39">
        <v>-2.7010000000000001</v>
      </c>
      <c r="AE28" s="20">
        <f>SUM(AA28:AD28)</f>
        <v>-9.1180000000000003</v>
      </c>
      <c r="AF28" s="39">
        <v>-0.65700000000000003</v>
      </c>
      <c r="AG28" s="39">
        <v>0</v>
      </c>
      <c r="AH28" s="39">
        <v>0</v>
      </c>
      <c r="AI28" s="39">
        <v>0</v>
      </c>
      <c r="AJ28" s="20">
        <f>SUM(AF28:AI28)</f>
        <v>-0.65700000000000003</v>
      </c>
      <c r="AK28" s="39">
        <v>0</v>
      </c>
      <c r="AL28" s="39">
        <v>0</v>
      </c>
      <c r="AM28" s="39">
        <v>-3.3820000000000001</v>
      </c>
      <c r="AN28" s="39">
        <v>-1.496</v>
      </c>
      <c r="AO28" s="20">
        <f>SUM(AK28:AN28)</f>
        <v>-4.8780000000000001</v>
      </c>
      <c r="AP28" s="39">
        <v>-0.98299999999999998</v>
      </c>
      <c r="AQ28" s="39">
        <v>-1.8540000000000001</v>
      </c>
      <c r="AR28" s="39">
        <v>-1.038</v>
      </c>
      <c r="AS28" s="39">
        <v>6.867</v>
      </c>
      <c r="AT28" s="20">
        <f>SUM(AP28:AS28)</f>
        <v>2.992</v>
      </c>
      <c r="AU28" s="39">
        <v>2.1749999999999998</v>
      </c>
      <c r="AV28" s="39">
        <v>-0.50800000000000001</v>
      </c>
      <c r="AW28" s="39">
        <v>0</v>
      </c>
      <c r="AX28" s="39">
        <v>0</v>
      </c>
      <c r="AY28" s="20">
        <f>SUM(AU28:AX28)</f>
        <v>1.6669999999999998</v>
      </c>
      <c r="AZ28" s="39">
        <v>0</v>
      </c>
      <c r="BA28" s="39">
        <v>0</v>
      </c>
      <c r="BB28" s="39">
        <v>0</v>
      </c>
      <c r="BC28" s="39">
        <v>0</v>
      </c>
      <c r="BD28" s="20">
        <f>SUM(AZ28:BC28)</f>
        <v>0</v>
      </c>
      <c r="BE28" s="39">
        <v>-1.214</v>
      </c>
      <c r="BF28" s="39">
        <v>0.23499999999999999</v>
      </c>
      <c r="BG28" s="39">
        <v>-3.1030000000000002</v>
      </c>
      <c r="BH28" s="39">
        <v>-3.2229999999999999</v>
      </c>
      <c r="BI28" s="20">
        <f>SUM(BE28:BH28)</f>
        <v>-7.3049999999999997</v>
      </c>
      <c r="BJ28" s="39">
        <v>-0.46600000000000003</v>
      </c>
      <c r="BK28" s="39">
        <v>0</v>
      </c>
      <c r="BL28" s="39">
        <v>0</v>
      </c>
      <c r="BM28" s="39">
        <v>0</v>
      </c>
      <c r="BN28" s="20">
        <f>SUM(BJ28:BM28)</f>
        <v>-0.46600000000000003</v>
      </c>
      <c r="BO28" s="39">
        <v>0</v>
      </c>
      <c r="BP28" s="24">
        <v>0</v>
      </c>
      <c r="BQ28" s="24">
        <v>0</v>
      </c>
      <c r="BR28" s="24">
        <v>0</v>
      </c>
      <c r="BS28" s="20">
        <f>SUM(BO28:BR28)</f>
        <v>0</v>
      </c>
      <c r="BT28" s="39">
        <v>-2</v>
      </c>
      <c r="BU28" s="39">
        <v>0</v>
      </c>
      <c r="BV28" s="39">
        <v>1</v>
      </c>
      <c r="BW28" s="581">
        <v>-2</v>
      </c>
      <c r="BX28" s="20">
        <f>SUM(BT28:BW28)</f>
        <v>-3</v>
      </c>
      <c r="BY28" s="39">
        <v>-11</v>
      </c>
      <c r="BZ28" s="39">
        <v>-6</v>
      </c>
      <c r="CA28" s="39">
        <v>-5</v>
      </c>
      <c r="CB28" s="581">
        <v>-5</v>
      </c>
      <c r="CC28" s="20">
        <f>SUM(BY28:CB28)</f>
        <v>-27</v>
      </c>
      <c r="CD28" s="894">
        <v>0</v>
      </c>
      <c r="CE28" s="39">
        <v>0</v>
      </c>
      <c r="CF28" s="39">
        <v>0</v>
      </c>
      <c r="CG28" s="581">
        <v>-3</v>
      </c>
      <c r="CH28" s="20">
        <f>SUM(CD28:CG28)</f>
        <v>-3</v>
      </c>
      <c r="CI28" s="894">
        <v>0</v>
      </c>
      <c r="CJ28" s="894">
        <v>0</v>
      </c>
      <c r="CK28" s="39">
        <v>0</v>
      </c>
      <c r="CL28" s="581">
        <v>-3</v>
      </c>
      <c r="CM28" s="20">
        <f>SUM(CI28:CL28)</f>
        <v>-3</v>
      </c>
      <c r="CN28" s="24">
        <v>0</v>
      </c>
      <c r="CO28" s="24">
        <v>0</v>
      </c>
      <c r="CP28" s="24">
        <v>0</v>
      </c>
      <c r="CQ28" s="24">
        <v>0</v>
      </c>
      <c r="CR28" s="20">
        <f>SUM(CN28:CQ28)</f>
        <v>0</v>
      </c>
      <c r="CS28" s="24">
        <v>0</v>
      </c>
      <c r="CT28" s="24">
        <v>0</v>
      </c>
      <c r="CU28" s="24">
        <v>0</v>
      </c>
      <c r="CV28" s="24">
        <v>0</v>
      </c>
      <c r="CW28" s="20">
        <f>SUM(CS28:CV28)</f>
        <v>0</v>
      </c>
      <c r="CX28" s="24">
        <v>0</v>
      </c>
      <c r="CY28" s="24">
        <v>0</v>
      </c>
      <c r="CZ28" s="24">
        <v>0</v>
      </c>
      <c r="DA28" s="24">
        <v>0</v>
      </c>
      <c r="DB28" s="20">
        <f>SUM(CX28:DA28)</f>
        <v>0</v>
      </c>
      <c r="DC28"/>
      <c r="DD28"/>
      <c r="DE28"/>
      <c r="DF28"/>
      <c r="DG28"/>
      <c r="DJ28"/>
    </row>
    <row r="29" spans="1:114" s="725" customFormat="1" hidden="1" outlineLevel="1">
      <c r="A29" s="49"/>
      <c r="B29" s="51" t="s">
        <v>202</v>
      </c>
      <c r="C29" s="303"/>
      <c r="D29" s="303">
        <v>0</v>
      </c>
      <c r="E29" s="303">
        <v>0</v>
      </c>
      <c r="F29" s="303">
        <v>0</v>
      </c>
      <c r="G29" s="39">
        <v>0</v>
      </c>
      <c r="H29" s="39">
        <v>0</v>
      </c>
      <c r="I29" s="39">
        <v>0</v>
      </c>
      <c r="J29" s="39">
        <v>0</v>
      </c>
      <c r="K29" s="20">
        <f>SUM(G29:J29)</f>
        <v>0</v>
      </c>
      <c r="L29" s="39">
        <v>0</v>
      </c>
      <c r="M29" s="39">
        <v>0</v>
      </c>
      <c r="N29" s="39">
        <v>0</v>
      </c>
      <c r="O29" s="39">
        <v>0</v>
      </c>
      <c r="P29" s="20">
        <f>SUM(L29:O29)</f>
        <v>0</v>
      </c>
      <c r="Q29" s="39">
        <v>0</v>
      </c>
      <c r="R29" s="39">
        <v>0</v>
      </c>
      <c r="S29" s="39">
        <v>0</v>
      </c>
      <c r="T29" s="39">
        <v>0</v>
      </c>
      <c r="U29" s="20">
        <f>SUM(Q29:T29)</f>
        <v>0</v>
      </c>
      <c r="V29" s="39">
        <v>0</v>
      </c>
      <c r="W29" s="39">
        <v>0</v>
      </c>
      <c r="X29" s="39">
        <v>-1.625</v>
      </c>
      <c r="Y29" s="39">
        <v>0</v>
      </c>
      <c r="Z29" s="20">
        <f>SUM(V29:Y29)</f>
        <v>-1.625</v>
      </c>
      <c r="AA29" s="39">
        <v>0</v>
      </c>
      <c r="AB29" s="39">
        <v>-4.4710000000000001</v>
      </c>
      <c r="AC29" s="39">
        <v>0</v>
      </c>
      <c r="AD29" s="39">
        <v>0</v>
      </c>
      <c r="AE29" s="20">
        <f>SUM(AA29:AD29)</f>
        <v>-4.4710000000000001</v>
      </c>
      <c r="AF29" s="39">
        <v>0</v>
      </c>
      <c r="AG29" s="39">
        <v>0</v>
      </c>
      <c r="AH29" s="39">
        <v>0</v>
      </c>
      <c r="AI29" s="39">
        <v>0</v>
      </c>
      <c r="AJ29" s="20">
        <f>SUM(AF29:AI29)</f>
        <v>0</v>
      </c>
      <c r="AK29" s="39">
        <v>0</v>
      </c>
      <c r="AL29" s="39">
        <v>0</v>
      </c>
      <c r="AM29" s="39">
        <v>0</v>
      </c>
      <c r="AN29" s="39">
        <v>0</v>
      </c>
      <c r="AO29" s="20">
        <f>SUM(AK29:AN29)</f>
        <v>0</v>
      </c>
      <c r="AP29" s="39">
        <v>0</v>
      </c>
      <c r="AQ29" s="39">
        <v>0</v>
      </c>
      <c r="AR29" s="39">
        <v>0</v>
      </c>
      <c r="AS29" s="39">
        <v>-3.25</v>
      </c>
      <c r="AT29" s="20">
        <f>SUM(AP29:AS29)</f>
        <v>-3.25</v>
      </c>
      <c r="AU29" s="39">
        <v>0</v>
      </c>
      <c r="AV29" s="39">
        <v>0</v>
      </c>
      <c r="AW29" s="39">
        <v>0</v>
      </c>
      <c r="AX29" s="39">
        <v>0</v>
      </c>
      <c r="AY29" s="20">
        <f>SUM(AU29:AX29)</f>
        <v>0</v>
      </c>
      <c r="AZ29" s="39">
        <v>0</v>
      </c>
      <c r="BA29" s="39">
        <v>0</v>
      </c>
      <c r="BB29" s="39">
        <v>0</v>
      </c>
      <c r="BC29" s="39">
        <v>0</v>
      </c>
      <c r="BD29" s="20">
        <f>SUM(AZ29:BC29)</f>
        <v>0</v>
      </c>
      <c r="BE29" s="39">
        <v>-8.3680000000000003</v>
      </c>
      <c r="BF29" s="39">
        <v>-39.561999999999998</v>
      </c>
      <c r="BG29" s="39">
        <v>0</v>
      </c>
      <c r="BH29" s="39">
        <v>0</v>
      </c>
      <c r="BI29" s="20">
        <f>SUM(BE29:BH29)</f>
        <v>-47.93</v>
      </c>
      <c r="BJ29" s="39">
        <v>0</v>
      </c>
      <c r="BK29" s="39">
        <v>0</v>
      </c>
      <c r="BL29" s="39">
        <v>0</v>
      </c>
      <c r="BM29" s="39">
        <v>0</v>
      </c>
      <c r="BN29" s="20">
        <f>SUM(BJ29:BM29)</f>
        <v>0</v>
      </c>
      <c r="BO29" s="39">
        <v>0</v>
      </c>
      <c r="BP29" s="24">
        <v>0</v>
      </c>
      <c r="BQ29" s="24">
        <v>0</v>
      </c>
      <c r="BR29" s="24">
        <v>0</v>
      </c>
      <c r="BS29" s="20">
        <f>SUM(BO29:BR29)</f>
        <v>0</v>
      </c>
      <c r="BT29" s="39">
        <v>-18</v>
      </c>
      <c r="BU29" s="39">
        <v>-5</v>
      </c>
      <c r="BV29" s="39">
        <v>0</v>
      </c>
      <c r="BW29" s="581">
        <v>-27</v>
      </c>
      <c r="BX29" s="20">
        <f>SUM(BT29:BW29)</f>
        <v>-50</v>
      </c>
      <c r="BY29" s="39">
        <v>-1</v>
      </c>
      <c r="BZ29" s="39">
        <v>0</v>
      </c>
      <c r="CA29" s="39">
        <v>-3</v>
      </c>
      <c r="CB29" s="581">
        <v>-4</v>
      </c>
      <c r="CC29" s="20">
        <f>SUM(BY29:CB29)</f>
        <v>-8</v>
      </c>
      <c r="CD29" s="894">
        <v>-1</v>
      </c>
      <c r="CE29" s="39">
        <v>-1</v>
      </c>
      <c r="CF29" s="39">
        <v>0</v>
      </c>
      <c r="CG29" s="581">
        <v>-6</v>
      </c>
      <c r="CH29" s="20">
        <f>SUM(CD29:CG29)</f>
        <v>-8</v>
      </c>
      <c r="CI29" s="894">
        <v>0</v>
      </c>
      <c r="CJ29" s="894">
        <v>-5</v>
      </c>
      <c r="CK29" s="39">
        <v>-1</v>
      </c>
      <c r="CL29" s="581">
        <v>0</v>
      </c>
      <c r="CM29" s="20">
        <f>SUM(CI29:CL29)</f>
        <v>-6</v>
      </c>
      <c r="CN29" s="24">
        <v>0</v>
      </c>
      <c r="CO29" s="24">
        <v>0</v>
      </c>
      <c r="CP29" s="24">
        <v>0</v>
      </c>
      <c r="CQ29" s="24">
        <v>0</v>
      </c>
      <c r="CR29" s="20">
        <f>SUM(CN29:CQ29)</f>
        <v>0</v>
      </c>
      <c r="CS29" s="24">
        <v>0</v>
      </c>
      <c r="CT29" s="24">
        <v>0</v>
      </c>
      <c r="CU29" s="24">
        <v>0</v>
      </c>
      <c r="CV29" s="24">
        <v>0</v>
      </c>
      <c r="CW29" s="20">
        <f>SUM(CS29:CV29)</f>
        <v>0</v>
      </c>
      <c r="CX29" s="24">
        <v>0</v>
      </c>
      <c r="CY29" s="24">
        <v>0</v>
      </c>
      <c r="CZ29" s="24">
        <v>0</v>
      </c>
      <c r="DA29" s="24">
        <v>0</v>
      </c>
      <c r="DB29" s="20">
        <f>SUM(CX29:DA29)</f>
        <v>0</v>
      </c>
      <c r="DC29"/>
      <c r="DD29"/>
      <c r="DE29"/>
      <c r="DF29"/>
      <c r="DG29"/>
      <c r="DJ29"/>
    </row>
    <row r="30" spans="1:114" s="725" customFormat="1" hidden="1" outlineLevel="1">
      <c r="A30" s="537"/>
      <c r="B30" s="241" t="s">
        <v>203</v>
      </c>
      <c r="C30" s="305"/>
      <c r="D30" s="305">
        <v>0</v>
      </c>
      <c r="E30" s="305">
        <v>0</v>
      </c>
      <c r="F30" s="305">
        <v>0</v>
      </c>
      <c r="G30" s="240">
        <v>0</v>
      </c>
      <c r="H30" s="240">
        <v>0</v>
      </c>
      <c r="I30" s="240">
        <v>0</v>
      </c>
      <c r="J30" s="240">
        <v>0</v>
      </c>
      <c r="K30" s="28">
        <f>SUM(G30:J30)</f>
        <v>0</v>
      </c>
      <c r="L30" s="240">
        <v>0</v>
      </c>
      <c r="M30" s="240">
        <v>0</v>
      </c>
      <c r="N30" s="240">
        <v>0</v>
      </c>
      <c r="O30" s="240">
        <v>0</v>
      </c>
      <c r="P30" s="28">
        <f>SUM(L30:O30)</f>
        <v>0</v>
      </c>
      <c r="Q30" s="240">
        <v>0</v>
      </c>
      <c r="R30" s="240">
        <v>0</v>
      </c>
      <c r="S30" s="240">
        <v>0</v>
      </c>
      <c r="T30" s="240">
        <v>0</v>
      </c>
      <c r="U30" s="28">
        <f>SUM(Q30:T30)</f>
        <v>0</v>
      </c>
      <c r="V30" s="240">
        <v>0</v>
      </c>
      <c r="W30" s="240">
        <v>0</v>
      </c>
      <c r="X30" s="240">
        <v>-2.02</v>
      </c>
      <c r="Y30" s="240">
        <v>0</v>
      </c>
      <c r="Z30" s="28">
        <f>SUM(V30:Y30)</f>
        <v>-2.02</v>
      </c>
      <c r="AA30" s="240">
        <v>-7.6180000000000003</v>
      </c>
      <c r="AB30" s="240">
        <v>0</v>
      </c>
      <c r="AC30" s="240">
        <v>0</v>
      </c>
      <c r="AD30" s="240">
        <v>0</v>
      </c>
      <c r="AE30" s="28">
        <f>SUM(AA30:AD30)</f>
        <v>-7.6180000000000003</v>
      </c>
      <c r="AF30" s="240">
        <v>-2.5590000000000002</v>
      </c>
      <c r="AG30" s="240">
        <v>0</v>
      </c>
      <c r="AH30" s="240">
        <v>0</v>
      </c>
      <c r="AI30" s="240">
        <v>0</v>
      </c>
      <c r="AJ30" s="28">
        <f>SUM(AF30:AI30)</f>
        <v>-2.5590000000000002</v>
      </c>
      <c r="AK30" s="240">
        <v>0</v>
      </c>
      <c r="AL30" s="240">
        <v>0</v>
      </c>
      <c r="AM30" s="240">
        <v>-2.4279999999999999</v>
      </c>
      <c r="AN30" s="240">
        <v>-16.113</v>
      </c>
      <c r="AO30" s="28">
        <f>SUM(AK30:AN30)</f>
        <v>-18.541</v>
      </c>
      <c r="AP30" s="240">
        <v>9.6170000000000009</v>
      </c>
      <c r="AQ30" s="240">
        <v>-8.9999999999999993E-3</v>
      </c>
      <c r="AR30" s="240">
        <v>0</v>
      </c>
      <c r="AS30" s="240">
        <v>0</v>
      </c>
      <c r="AT30" s="28">
        <f>SUM(AP30:AS30)</f>
        <v>9.6080000000000005</v>
      </c>
      <c r="AU30" s="240">
        <v>-0.40500000000000003</v>
      </c>
      <c r="AV30" s="240">
        <v>0</v>
      </c>
      <c r="AW30" s="240">
        <v>0</v>
      </c>
      <c r="AX30" s="240">
        <v>0</v>
      </c>
      <c r="AY30" s="28">
        <f>SUM(AU30:AX30)</f>
        <v>-0.40500000000000003</v>
      </c>
      <c r="AZ30" s="240">
        <v>0</v>
      </c>
      <c r="BA30" s="240">
        <v>0</v>
      </c>
      <c r="BB30" s="240">
        <v>0</v>
      </c>
      <c r="BC30" s="240">
        <v>0</v>
      </c>
      <c r="BD30" s="28">
        <f>SUM(AZ30:BC30)</f>
        <v>0</v>
      </c>
      <c r="BE30" s="240">
        <v>-3.234</v>
      </c>
      <c r="BF30" s="240">
        <v>0</v>
      </c>
      <c r="BG30" s="240">
        <v>-6.6000000000000003E-2</v>
      </c>
      <c r="BH30" s="240">
        <v>0.72799999999999998</v>
      </c>
      <c r="BI30" s="28">
        <f>SUM(BE30:BH30)</f>
        <v>-2.5720000000000001</v>
      </c>
      <c r="BJ30" s="240">
        <v>0</v>
      </c>
      <c r="BK30" s="240">
        <v>0</v>
      </c>
      <c r="BL30" s="240">
        <v>0</v>
      </c>
      <c r="BM30" s="240">
        <v>0</v>
      </c>
      <c r="BN30" s="28">
        <f>SUM(BJ30:BM30)</f>
        <v>0</v>
      </c>
      <c r="BO30" s="240">
        <v>0</v>
      </c>
      <c r="BP30" s="27">
        <v>0</v>
      </c>
      <c r="BQ30" s="27">
        <v>0</v>
      </c>
      <c r="BR30" s="27">
        <v>0</v>
      </c>
      <c r="BS30" s="28">
        <f>SUM(BO30:BR30)</f>
        <v>0</v>
      </c>
      <c r="BT30" s="240">
        <v>0</v>
      </c>
      <c r="BU30" s="240">
        <v>0</v>
      </c>
      <c r="BV30" s="240">
        <v>0</v>
      </c>
      <c r="BW30" s="27">
        <v>0</v>
      </c>
      <c r="BX30" s="28">
        <f>SUM(BT30:BW30)</f>
        <v>0</v>
      </c>
      <c r="BY30" s="240">
        <v>-1</v>
      </c>
      <c r="BZ30" s="240">
        <v>0</v>
      </c>
      <c r="CA30" s="240">
        <v>0</v>
      </c>
      <c r="CB30" s="27">
        <v>0</v>
      </c>
      <c r="CC30" s="28">
        <f>SUM(BY30:CB30)</f>
        <v>-1</v>
      </c>
      <c r="CD30" s="592">
        <v>0</v>
      </c>
      <c r="CE30" s="240">
        <v>0</v>
      </c>
      <c r="CF30" s="240">
        <v>-2</v>
      </c>
      <c r="CG30" s="27">
        <v>0</v>
      </c>
      <c r="CH30" s="28">
        <f>SUM(CD30:CG30)</f>
        <v>-2</v>
      </c>
      <c r="CI30" s="592">
        <v>-1</v>
      </c>
      <c r="CJ30" s="592">
        <v>-1</v>
      </c>
      <c r="CK30" s="240">
        <v>-1</v>
      </c>
      <c r="CL30" s="27">
        <v>0</v>
      </c>
      <c r="CM30" s="28">
        <f>SUM(CI30:CL30)</f>
        <v>-3</v>
      </c>
      <c r="CN30" s="27">
        <v>0</v>
      </c>
      <c r="CO30" s="27">
        <v>0</v>
      </c>
      <c r="CP30" s="27">
        <v>0</v>
      </c>
      <c r="CQ30" s="27">
        <v>0</v>
      </c>
      <c r="CR30" s="28">
        <f>SUM(CN30:CQ30)</f>
        <v>0</v>
      </c>
      <c r="CS30" s="27">
        <v>0</v>
      </c>
      <c r="CT30" s="27">
        <v>0</v>
      </c>
      <c r="CU30" s="27">
        <v>0</v>
      </c>
      <c r="CV30" s="27">
        <v>0</v>
      </c>
      <c r="CW30" s="28">
        <f>SUM(CS30:CV30)</f>
        <v>0</v>
      </c>
      <c r="CX30" s="27">
        <v>0</v>
      </c>
      <c r="CY30" s="27">
        <v>0</v>
      </c>
      <c r="CZ30" s="27">
        <v>0</v>
      </c>
      <c r="DA30" s="27">
        <v>0</v>
      </c>
      <c r="DB30" s="28">
        <f>SUM(CX30:DA30)</f>
        <v>0</v>
      </c>
      <c r="DC30"/>
      <c r="DD30"/>
      <c r="DE30"/>
      <c r="DF30"/>
      <c r="DG30"/>
      <c r="DJ30"/>
    </row>
    <row r="31" spans="1:114" s="725" customFormat="1" hidden="1" outlineLevel="1">
      <c r="A31" s="1309"/>
      <c r="B31" s="1327" t="s">
        <v>204</v>
      </c>
      <c r="C31" s="1328"/>
      <c r="D31" s="1328">
        <f t="shared" ref="D31:J31" si="55">D30+D29+D28</f>
        <v>0</v>
      </c>
      <c r="E31" s="1328">
        <f t="shared" si="55"/>
        <v>0</v>
      </c>
      <c r="F31" s="1328">
        <f t="shared" si="55"/>
        <v>0</v>
      </c>
      <c r="G31" s="1329">
        <f t="shared" si="55"/>
        <v>0</v>
      </c>
      <c r="H31" s="1329">
        <f t="shared" si="55"/>
        <v>0</v>
      </c>
      <c r="I31" s="1329">
        <f t="shared" si="55"/>
        <v>0</v>
      </c>
      <c r="J31" s="1329">
        <f t="shared" si="55"/>
        <v>0</v>
      </c>
      <c r="K31" s="1328">
        <f>SUM(G31:J31)</f>
        <v>0</v>
      </c>
      <c r="L31" s="1329">
        <f>L30+L29+L28</f>
        <v>0</v>
      </c>
      <c r="M31" s="1329">
        <f>M30+M29+M28</f>
        <v>0</v>
      </c>
      <c r="N31" s="1329">
        <f>N30+N29+N28</f>
        <v>0</v>
      </c>
      <c r="O31" s="1329">
        <f>O30+O29+O28</f>
        <v>0</v>
      </c>
      <c r="P31" s="1328">
        <f>SUM(L31:O31)</f>
        <v>0</v>
      </c>
      <c r="Q31" s="1329">
        <f>Q30+Q29+Q28</f>
        <v>0</v>
      </c>
      <c r="R31" s="1329">
        <f>R30+R29+R28</f>
        <v>0</v>
      </c>
      <c r="S31" s="1329">
        <f>S30+S29+S28</f>
        <v>0</v>
      </c>
      <c r="T31" s="1329">
        <f>T30+T29+T28</f>
        <v>0</v>
      </c>
      <c r="U31" s="1328">
        <f>SUM(Q31:T31)</f>
        <v>0</v>
      </c>
      <c r="V31" s="1329">
        <f>V30+V29+V28</f>
        <v>0</v>
      </c>
      <c r="W31" s="1329">
        <f>W30+W29+W28</f>
        <v>0</v>
      </c>
      <c r="X31" s="1329">
        <f>X30+X29+X28</f>
        <v>-5.61</v>
      </c>
      <c r="Y31" s="1329">
        <f>Y30+Y29+Y28</f>
        <v>-0.41299999999999998</v>
      </c>
      <c r="Z31" s="1328">
        <f>SUM(V31:Y31)</f>
        <v>-6.0230000000000006</v>
      </c>
      <c r="AA31" s="1329">
        <f>AA30+AA29+AA28</f>
        <v>-11.704000000000001</v>
      </c>
      <c r="AB31" s="1329">
        <f>AB30+AB29+AB28</f>
        <v>-5.6219999999999999</v>
      </c>
      <c r="AC31" s="1329">
        <f>AC30+AC29+AC28</f>
        <v>-1.18</v>
      </c>
      <c r="AD31" s="1329">
        <f>AD30+AD29+AD28</f>
        <v>-2.7010000000000001</v>
      </c>
      <c r="AE31" s="1328">
        <f>SUM(AA31:AD31)</f>
        <v>-21.207000000000001</v>
      </c>
      <c r="AF31" s="1329">
        <f>AF30+AF29+AF28</f>
        <v>-3.2160000000000002</v>
      </c>
      <c r="AG31" s="1329">
        <f>AG30+AG29+AG28</f>
        <v>0</v>
      </c>
      <c r="AH31" s="1329">
        <f>AH30+AH29+AH28</f>
        <v>0</v>
      </c>
      <c r="AI31" s="1329">
        <f>AI30+AI29+AI28</f>
        <v>0</v>
      </c>
      <c r="AJ31" s="1328">
        <f>SUM(AF31:AI31)</f>
        <v>-3.2160000000000002</v>
      </c>
      <c r="AK31" s="1329">
        <f>AK30+AK29+AK28</f>
        <v>0</v>
      </c>
      <c r="AL31" s="1329">
        <f>AL30+AL29+AL28</f>
        <v>0</v>
      </c>
      <c r="AM31" s="1329">
        <f>AM30+AM29+AM28</f>
        <v>-5.8100000000000005</v>
      </c>
      <c r="AN31" s="1329">
        <f>AN30+AN29+AN28</f>
        <v>-17.608999999999998</v>
      </c>
      <c r="AO31" s="1328">
        <f>SUM(AK31:AN31)</f>
        <v>-23.418999999999997</v>
      </c>
      <c r="AP31" s="1329">
        <f>AP30+AP29+AP28</f>
        <v>8.6340000000000003</v>
      </c>
      <c r="AQ31" s="1329">
        <f>AQ30+AQ29+AQ28</f>
        <v>-1.863</v>
      </c>
      <c r="AR31" s="1329">
        <f>AR30+AR29+AR28</f>
        <v>-1.038</v>
      </c>
      <c r="AS31" s="1329">
        <f>AS30+AS29+AS28</f>
        <v>3.617</v>
      </c>
      <c r="AT31" s="1328">
        <f>SUM(AP31:AS31)</f>
        <v>9.3500000000000014</v>
      </c>
      <c r="AU31" s="1329">
        <f>AU30+AU29+AU28</f>
        <v>1.7699999999999998</v>
      </c>
      <c r="AV31" s="1329">
        <f>AV30+AV29+AV28</f>
        <v>-0.50800000000000001</v>
      </c>
      <c r="AW31" s="1329">
        <f>AW30+AW29+AW28</f>
        <v>0</v>
      </c>
      <c r="AX31" s="1329">
        <f>AX30+AX29+AX28</f>
        <v>0</v>
      </c>
      <c r="AY31" s="1328">
        <f>SUM(AU31:AX31)</f>
        <v>1.2619999999999998</v>
      </c>
      <c r="AZ31" s="1329">
        <f>AZ28+AZ29+AZ30</f>
        <v>0</v>
      </c>
      <c r="BA31" s="1329">
        <f>BA28+BA29+BA30</f>
        <v>0</v>
      </c>
      <c r="BB31" s="1329">
        <f>BB28+BB29+BB30</f>
        <v>0</v>
      </c>
      <c r="BC31" s="1329">
        <f>BC28+BC29+BC30</f>
        <v>0</v>
      </c>
      <c r="BD31" s="1328">
        <f>SUM(AZ31:BC31)</f>
        <v>0</v>
      </c>
      <c r="BE31" s="1329">
        <f>BE28+BE29+BE30</f>
        <v>-12.816000000000001</v>
      </c>
      <c r="BF31" s="1329">
        <f>SUM(BF28:BF30)</f>
        <v>-39.326999999999998</v>
      </c>
      <c r="BG31" s="1329">
        <f>SUM(BG28:BG30)</f>
        <v>-3.169</v>
      </c>
      <c r="BH31" s="1329">
        <f>SUM(BH28:BH30)</f>
        <v>-2.4950000000000001</v>
      </c>
      <c r="BI31" s="1328">
        <f>+SUM(BE31:BH31)</f>
        <v>-57.806999999999995</v>
      </c>
      <c r="BJ31" s="1329">
        <f t="shared" ref="BJ31:CD31" si="56">BJ28+BJ29+BJ30</f>
        <v>-0.46600000000000003</v>
      </c>
      <c r="BK31" s="1329">
        <f t="shared" si="56"/>
        <v>0</v>
      </c>
      <c r="BL31" s="1329">
        <f t="shared" si="56"/>
        <v>0</v>
      </c>
      <c r="BM31" s="1329">
        <f t="shared" si="56"/>
        <v>0</v>
      </c>
      <c r="BN31" s="1328">
        <f t="shared" si="56"/>
        <v>-0.46600000000000003</v>
      </c>
      <c r="BO31" s="1329">
        <f t="shared" si="56"/>
        <v>0</v>
      </c>
      <c r="BP31" s="1329">
        <f t="shared" si="56"/>
        <v>0</v>
      </c>
      <c r="BQ31" s="1329">
        <f t="shared" si="56"/>
        <v>0</v>
      </c>
      <c r="BR31" s="1329">
        <f t="shared" si="56"/>
        <v>0</v>
      </c>
      <c r="BS31" s="1328">
        <f t="shared" si="56"/>
        <v>0</v>
      </c>
      <c r="BT31" s="1329">
        <f t="shared" si="56"/>
        <v>-20</v>
      </c>
      <c r="BU31" s="1329">
        <f t="shared" si="56"/>
        <v>-5</v>
      </c>
      <c r="BV31" s="1329">
        <f t="shared" si="56"/>
        <v>1</v>
      </c>
      <c r="BW31" s="1329">
        <f t="shared" si="56"/>
        <v>-29</v>
      </c>
      <c r="BX31" s="1328">
        <f t="shared" si="56"/>
        <v>-53</v>
      </c>
      <c r="BY31" s="1329">
        <f t="shared" si="56"/>
        <v>-13</v>
      </c>
      <c r="BZ31" s="1329">
        <f t="shared" si="56"/>
        <v>-6</v>
      </c>
      <c r="CA31" s="1329">
        <f t="shared" si="56"/>
        <v>-8</v>
      </c>
      <c r="CB31" s="1329">
        <f t="shared" si="56"/>
        <v>-9</v>
      </c>
      <c r="CC31" s="1328">
        <f t="shared" si="56"/>
        <v>-36</v>
      </c>
      <c r="CD31" s="1330">
        <f t="shared" si="56"/>
        <v>-1</v>
      </c>
      <c r="CE31" s="1329">
        <f t="shared" ref="CE31:CM31" si="57">CE28+CE29+CE30</f>
        <v>-1</v>
      </c>
      <c r="CF31" s="1329">
        <f t="shared" si="57"/>
        <v>-2</v>
      </c>
      <c r="CG31" s="1329">
        <f t="shared" si="57"/>
        <v>-9</v>
      </c>
      <c r="CH31" s="1328">
        <f t="shared" si="57"/>
        <v>-13</v>
      </c>
      <c r="CI31" s="1330">
        <f t="shared" si="57"/>
        <v>-1</v>
      </c>
      <c r="CJ31" s="1330">
        <f t="shared" ref="CJ31:CL31" si="58">CJ28+CJ29+CJ30</f>
        <v>-6</v>
      </c>
      <c r="CK31" s="1329">
        <f t="shared" si="58"/>
        <v>-2</v>
      </c>
      <c r="CL31" s="1329">
        <f t="shared" si="58"/>
        <v>-3</v>
      </c>
      <c r="CM31" s="1328">
        <f t="shared" si="57"/>
        <v>-12</v>
      </c>
      <c r="CN31" s="1329">
        <f t="shared" ref="CN31:CR31" si="59">CN28+CN29+CN30</f>
        <v>0</v>
      </c>
      <c r="CO31" s="1329">
        <f t="shared" si="59"/>
        <v>0</v>
      </c>
      <c r="CP31" s="1329">
        <f t="shared" si="59"/>
        <v>0</v>
      </c>
      <c r="CQ31" s="1329">
        <f t="shared" si="59"/>
        <v>0</v>
      </c>
      <c r="CR31" s="1328">
        <f t="shared" si="59"/>
        <v>0</v>
      </c>
      <c r="CS31" s="1329">
        <f t="shared" ref="CS31:CW31" si="60">CS28+CS29+CS30</f>
        <v>0</v>
      </c>
      <c r="CT31" s="1329">
        <f t="shared" si="60"/>
        <v>0</v>
      </c>
      <c r="CU31" s="1329">
        <f t="shared" si="60"/>
        <v>0</v>
      </c>
      <c r="CV31" s="1329">
        <f t="shared" si="60"/>
        <v>0</v>
      </c>
      <c r="CW31" s="1328">
        <f t="shared" si="60"/>
        <v>0</v>
      </c>
      <c r="CX31" s="1329">
        <f t="shared" ref="CX31:DB31" si="61">CX28+CX29+CX30</f>
        <v>0</v>
      </c>
      <c r="CY31" s="1329">
        <f t="shared" si="61"/>
        <v>0</v>
      </c>
      <c r="CZ31" s="1329">
        <f t="shared" si="61"/>
        <v>0</v>
      </c>
      <c r="DA31" s="1329">
        <f t="shared" si="61"/>
        <v>0</v>
      </c>
      <c r="DB31" s="1328">
        <f t="shared" si="61"/>
        <v>0</v>
      </c>
      <c r="DC31"/>
      <c r="DD31"/>
      <c r="DE31"/>
      <c r="DF31"/>
      <c r="DG31"/>
      <c r="DJ31"/>
    </row>
    <row r="32" spans="1:114" s="725" customFormat="1" collapsed="1">
      <c r="A32" s="49"/>
      <c r="B32" s="446" t="s">
        <v>9</v>
      </c>
      <c r="C32" s="22"/>
      <c r="D32" s="22">
        <f t="shared" ref="D32:Z32" si="62">D26+D31</f>
        <v>-473.08199999999999</v>
      </c>
      <c r="E32" s="22">
        <f t="shared" si="62"/>
        <v>-16.789000000000048</v>
      </c>
      <c r="F32" s="22">
        <f t="shared" si="62"/>
        <v>9.5689999999998783</v>
      </c>
      <c r="G32" s="154">
        <f t="shared" si="62"/>
        <v>10.847999999999992</v>
      </c>
      <c r="H32" s="154">
        <f t="shared" si="62"/>
        <v>9.6510000000000407</v>
      </c>
      <c r="I32" s="154">
        <f t="shared" si="62"/>
        <v>10.041000000000009</v>
      </c>
      <c r="J32" s="154">
        <f t="shared" si="62"/>
        <v>14.203000000000028</v>
      </c>
      <c r="K32" s="22">
        <f t="shared" si="62"/>
        <v>44.743000000000009</v>
      </c>
      <c r="L32" s="154">
        <f t="shared" si="62"/>
        <v>27.937000000000033</v>
      </c>
      <c r="M32" s="154">
        <f t="shared" si="62"/>
        <v>24.995999999999984</v>
      </c>
      <c r="N32" s="154">
        <f t="shared" si="62"/>
        <v>20.501000000000026</v>
      </c>
      <c r="O32" s="154">
        <f t="shared" si="62"/>
        <v>28.786000000000019</v>
      </c>
      <c r="P32" s="22">
        <f t="shared" si="62"/>
        <v>102.2199999999999</v>
      </c>
      <c r="Q32" s="154">
        <f t="shared" si="62"/>
        <v>33.91100000000008</v>
      </c>
      <c r="R32" s="154">
        <f t="shared" si="62"/>
        <v>31.296000000000056</v>
      </c>
      <c r="S32" s="154">
        <f t="shared" si="62"/>
        <v>32.334000000000117</v>
      </c>
      <c r="T32" s="154">
        <f t="shared" si="62"/>
        <v>35.917999999999999</v>
      </c>
      <c r="U32" s="22">
        <f t="shared" si="62"/>
        <v>133.45900000000066</v>
      </c>
      <c r="V32" s="154">
        <f t="shared" si="62"/>
        <v>41.099000000000039</v>
      </c>
      <c r="W32" s="154">
        <f t="shared" si="62"/>
        <v>39.074000000000026</v>
      </c>
      <c r="X32" s="154">
        <f t="shared" si="62"/>
        <v>32.119000000000057</v>
      </c>
      <c r="Y32" s="154">
        <f t="shared" si="62"/>
        <v>40.718999999999994</v>
      </c>
      <c r="Z32" s="22">
        <f t="shared" si="62"/>
        <v>153.01100000000093</v>
      </c>
      <c r="AA32" s="154">
        <f t="shared" ref="AA32:BX32" si="63">AA26+AA31</f>
        <v>36.874999999999851</v>
      </c>
      <c r="AB32" s="154">
        <f t="shared" si="63"/>
        <v>41.645000000000039</v>
      </c>
      <c r="AC32" s="154">
        <f t="shared" si="63"/>
        <v>43.601000000000063</v>
      </c>
      <c r="AD32" s="154">
        <f t="shared" si="63"/>
        <v>48.52699999999988</v>
      </c>
      <c r="AE32" s="22">
        <f t="shared" si="63"/>
        <v>170.64800000000034</v>
      </c>
      <c r="AF32" s="154">
        <f t="shared" si="63"/>
        <v>54.650999999999847</v>
      </c>
      <c r="AG32" s="154">
        <f t="shared" si="63"/>
        <v>52.824000000000147</v>
      </c>
      <c r="AH32" s="154">
        <f t="shared" si="63"/>
        <v>8.842000000000013</v>
      </c>
      <c r="AI32" s="154">
        <f t="shared" si="63"/>
        <v>54.741000000000057</v>
      </c>
      <c r="AJ32" s="22">
        <f t="shared" si="63"/>
        <v>171.05800000000033</v>
      </c>
      <c r="AK32" s="154">
        <f t="shared" si="63"/>
        <v>54.516999999999946</v>
      </c>
      <c r="AL32" s="154">
        <f t="shared" si="63"/>
        <v>54.387999999999877</v>
      </c>
      <c r="AM32" s="154">
        <f t="shared" si="63"/>
        <v>14.97100000000041</v>
      </c>
      <c r="AN32" s="154">
        <f t="shared" si="63"/>
        <v>-78.450999999999951</v>
      </c>
      <c r="AO32" s="22">
        <f t="shared" si="63"/>
        <v>45.425000000000495</v>
      </c>
      <c r="AP32" s="154">
        <f t="shared" si="63"/>
        <v>69.809000000000182</v>
      </c>
      <c r="AQ32" s="154">
        <f t="shared" si="63"/>
        <v>56.209999999999852</v>
      </c>
      <c r="AR32" s="154">
        <f t="shared" si="63"/>
        <v>60.743999999999616</v>
      </c>
      <c r="AS32" s="154">
        <f t="shared" si="63"/>
        <v>70.525000000000063</v>
      </c>
      <c r="AT32" s="22">
        <f t="shared" si="63"/>
        <v>257.28799999999995</v>
      </c>
      <c r="AU32" s="154">
        <f t="shared" si="63"/>
        <v>72.900999999999513</v>
      </c>
      <c r="AV32" s="154">
        <f t="shared" si="63"/>
        <v>73.989999999999895</v>
      </c>
      <c r="AW32" s="154">
        <f t="shared" si="63"/>
        <v>75.361000000000473</v>
      </c>
      <c r="AX32" s="154">
        <f t="shared" si="63"/>
        <v>84.126000000000602</v>
      </c>
      <c r="AY32" s="22">
        <f t="shared" si="63"/>
        <v>306.3780000000009</v>
      </c>
      <c r="AZ32" s="154">
        <f t="shared" si="63"/>
        <v>84.996000000000294</v>
      </c>
      <c r="BA32" s="154">
        <f t="shared" si="63"/>
        <v>86.342000000000269</v>
      </c>
      <c r="BB32" s="154">
        <f t="shared" si="63"/>
        <v>84.85400000000007</v>
      </c>
      <c r="BC32" s="154">
        <f t="shared" si="63"/>
        <v>92.248999999999711</v>
      </c>
      <c r="BD32" s="22">
        <f t="shared" si="63"/>
        <v>348.44099999999997</v>
      </c>
      <c r="BE32" s="154">
        <f t="shared" si="63"/>
        <v>78.324999999999804</v>
      </c>
      <c r="BF32" s="154">
        <f t="shared" si="63"/>
        <v>53.547000000000139</v>
      </c>
      <c r="BG32" s="154">
        <f t="shared" si="63"/>
        <v>92.631000000000682</v>
      </c>
      <c r="BH32" s="154">
        <f t="shared" si="63"/>
        <v>53.120000000000111</v>
      </c>
      <c r="BI32" s="22">
        <f t="shared" si="63"/>
        <v>277.62300000000175</v>
      </c>
      <c r="BJ32" s="154">
        <f t="shared" si="63"/>
        <v>99.251999999999924</v>
      </c>
      <c r="BK32" s="154">
        <f t="shared" si="63"/>
        <v>102.16699999999958</v>
      </c>
      <c r="BL32" s="154">
        <f t="shared" si="63"/>
        <v>58.757999999999583</v>
      </c>
      <c r="BM32" s="154">
        <f t="shared" si="63"/>
        <v>85.625999999999735</v>
      </c>
      <c r="BN32" s="22">
        <f t="shared" si="63"/>
        <v>345.80300000000068</v>
      </c>
      <c r="BO32" s="1322">
        <f t="shared" si="63"/>
        <v>96.322999999999865</v>
      </c>
      <c r="BP32" s="154">
        <f t="shared" si="63"/>
        <v>47.084999999999681</v>
      </c>
      <c r="BQ32" s="1323">
        <f t="shared" si="63"/>
        <v>21.598000000000219</v>
      </c>
      <c r="BR32" s="154">
        <f t="shared" si="63"/>
        <v>64.562000000000296</v>
      </c>
      <c r="BS32" s="22">
        <f>BS26+BS31</f>
        <v>229.56799999999816</v>
      </c>
      <c r="BT32" s="1322">
        <f>BT26+BT31</f>
        <v>-98</v>
      </c>
      <c r="BU32" s="1322">
        <f>BU26+BU31</f>
        <v>70</v>
      </c>
      <c r="BV32" s="1322">
        <f>BV26+BV31</f>
        <v>94.000000000000455</v>
      </c>
      <c r="BW32" s="154">
        <f>BW26+BW31</f>
        <v>136</v>
      </c>
      <c r="BX32" s="22">
        <f t="shared" si="63"/>
        <v>202.00000000000045</v>
      </c>
      <c r="BY32" s="1322">
        <f t="shared" ref="BY32:CH32" si="64">BY26+BY31</f>
        <v>99</v>
      </c>
      <c r="BZ32" s="154">
        <f t="shared" si="64"/>
        <v>134</v>
      </c>
      <c r="CA32" s="154">
        <f t="shared" si="64"/>
        <v>75</v>
      </c>
      <c r="CB32" s="154">
        <f t="shared" si="64"/>
        <v>-49</v>
      </c>
      <c r="CC32" s="1324">
        <f t="shared" si="64"/>
        <v>259</v>
      </c>
      <c r="CD32" s="1325">
        <f t="shared" si="64"/>
        <v>36</v>
      </c>
      <c r="CE32" s="154">
        <f t="shared" si="64"/>
        <v>-1406</v>
      </c>
      <c r="CF32" s="154">
        <f t="shared" si="64"/>
        <v>-56</v>
      </c>
      <c r="CG32" s="154">
        <f t="shared" si="64"/>
        <v>-198</v>
      </c>
      <c r="CH32" s="22">
        <f t="shared" si="64"/>
        <v>-1624</v>
      </c>
      <c r="CI32" s="1326">
        <f t="shared" ref="CI32:CR32" si="65">CI26+CI31</f>
        <v>-176</v>
      </c>
      <c r="CJ32" s="1326">
        <f t="shared" ref="CJ32:CL32" si="66">CJ26+CJ31</f>
        <v>-122</v>
      </c>
      <c r="CK32" s="154">
        <f t="shared" si="66"/>
        <v>-90</v>
      </c>
      <c r="CL32" s="154">
        <f t="shared" si="66"/>
        <v>-2007</v>
      </c>
      <c r="CM32" s="22">
        <f t="shared" si="65"/>
        <v>-2395</v>
      </c>
      <c r="CN32" s="154">
        <f t="shared" ca="1" si="65"/>
        <v>-3.9228601593491526</v>
      </c>
      <c r="CO32" s="154">
        <f t="shared" ca="1" si="65"/>
        <v>-19.757907680165438</v>
      </c>
      <c r="CP32" s="154">
        <f t="shared" ca="1" si="65"/>
        <v>-34.686829245940991</v>
      </c>
      <c r="CQ32" s="154">
        <f t="shared" ca="1" si="65"/>
        <v>-6.7889620124296126</v>
      </c>
      <c r="CR32" s="22">
        <f t="shared" ca="1" si="65"/>
        <v>-65.156559097886102</v>
      </c>
      <c r="CS32" s="154">
        <f t="shared" ref="CS32:CW32" ca="1" si="67">CS26+CS31</f>
        <v>-5.697140831412181</v>
      </c>
      <c r="CT32" s="154">
        <f t="shared" ca="1" si="67"/>
        <v>0.47916850891387408</v>
      </c>
      <c r="CU32" s="154">
        <f t="shared" ca="1" si="67"/>
        <v>15.97431676757915</v>
      </c>
      <c r="CV32" s="154">
        <f t="shared" ca="1" si="67"/>
        <v>18.831182474517945</v>
      </c>
      <c r="CW32" s="22">
        <f t="shared" ca="1" si="67"/>
        <v>29.587526919600606</v>
      </c>
      <c r="CX32" s="154">
        <f t="shared" ref="CX32:DB32" ca="1" si="68">CX26+CX31</f>
        <v>-0.82562572872682716</v>
      </c>
      <c r="CY32" s="154">
        <f t="shared" ca="1" si="68"/>
        <v>8.2344672101172485</v>
      </c>
      <c r="CZ32" s="154">
        <f t="shared" ca="1" si="68"/>
        <v>5.7925606851400033</v>
      </c>
      <c r="DA32" s="154">
        <f t="shared" ca="1" si="68"/>
        <v>24.784347523562452</v>
      </c>
      <c r="DB32" s="22">
        <f t="shared" ca="1" si="68"/>
        <v>37.985749690093364</v>
      </c>
      <c r="DC32"/>
      <c r="DD32"/>
      <c r="DE32"/>
      <c r="DF32"/>
      <c r="DG32"/>
      <c r="DJ32"/>
    </row>
    <row r="33" spans="1:114" s="725" customFormat="1">
      <c r="A33" s="49"/>
      <c r="B33" s="37" t="s">
        <v>8</v>
      </c>
      <c r="C33" s="303"/>
      <c r="D33" s="303">
        <v>0</v>
      </c>
      <c r="E33" s="303">
        <v>0</v>
      </c>
      <c r="F33" s="303">
        <v>0</v>
      </c>
      <c r="G33" s="39">
        <v>0</v>
      </c>
      <c r="H33" s="39">
        <v>0</v>
      </c>
      <c r="I33" s="39">
        <v>0</v>
      </c>
      <c r="J33" s="39">
        <v>0</v>
      </c>
      <c r="K33" s="20">
        <f>SUM(G33:J33)</f>
        <v>0</v>
      </c>
      <c r="L33" s="39">
        <v>0.76100000000000001</v>
      </c>
      <c r="M33" s="39">
        <v>0.755</v>
      </c>
      <c r="N33" s="39">
        <v>0.34499999999999997</v>
      </c>
      <c r="O33" s="39">
        <v>0.375</v>
      </c>
      <c r="P33" s="20">
        <f>SUM(L33:O33)</f>
        <v>2.2359999999999998</v>
      </c>
      <c r="Q33" s="39">
        <v>0.372</v>
      </c>
      <c r="R33" s="39">
        <v>0.68</v>
      </c>
      <c r="S33" s="39">
        <v>0.65100000000000002</v>
      </c>
      <c r="T33" s="39">
        <v>0.28399999999999997</v>
      </c>
      <c r="U33" s="20">
        <f>SUM(Q33:T33)</f>
        <v>1.9870000000000001</v>
      </c>
      <c r="V33" s="39">
        <v>0.373</v>
      </c>
      <c r="W33" s="39">
        <v>0.63500000000000001</v>
      </c>
      <c r="X33" s="39">
        <v>0.08</v>
      </c>
      <c r="Y33" s="39">
        <v>0.49</v>
      </c>
      <c r="Z33" s="20">
        <f>SUM(V33:Y33)</f>
        <v>1.5780000000000001</v>
      </c>
      <c r="AA33" s="39">
        <v>0.88700000000000001</v>
      </c>
      <c r="AB33" s="39">
        <v>1.117</v>
      </c>
      <c r="AC33" s="39">
        <v>0.71499999999999997</v>
      </c>
      <c r="AD33" s="39">
        <v>0.38500000000000001</v>
      </c>
      <c r="AE33" s="20">
        <f>SUM(AA33:AD33)</f>
        <v>3.1040000000000001</v>
      </c>
      <c r="AF33" s="39">
        <v>0.61299999999999999</v>
      </c>
      <c r="AG33" s="39">
        <v>0.45500000000000002</v>
      </c>
      <c r="AH33" s="39">
        <v>0.60099999999999998</v>
      </c>
      <c r="AI33" s="39">
        <v>1.1259999999999999</v>
      </c>
      <c r="AJ33" s="20">
        <f>SUM(AF33:AI33)</f>
        <v>2.7949999999999999</v>
      </c>
      <c r="AK33" s="39">
        <v>0.193</v>
      </c>
      <c r="AL33" s="39">
        <v>0.625</v>
      </c>
      <c r="AM33" s="39">
        <v>4.5110000000000001</v>
      </c>
      <c r="AN33" s="39">
        <v>9.8070000000000004</v>
      </c>
      <c r="AO33" s="20">
        <f>SUM(AK33:AN33)</f>
        <v>15.136000000000001</v>
      </c>
      <c r="AP33" s="39">
        <v>9.6820000000000004</v>
      </c>
      <c r="AQ33" s="39">
        <v>8.3170000000000002</v>
      </c>
      <c r="AR33" s="39">
        <v>10.36</v>
      </c>
      <c r="AS33" s="39">
        <v>10.625</v>
      </c>
      <c r="AT33" s="20">
        <f>SUM(AP33:AS33)</f>
        <v>38.984000000000002</v>
      </c>
      <c r="AU33" s="39">
        <v>13.986000000000001</v>
      </c>
      <c r="AV33" s="39">
        <v>14.555</v>
      </c>
      <c r="AW33" s="39">
        <v>15.648999999999999</v>
      </c>
      <c r="AX33" s="39">
        <v>19.038</v>
      </c>
      <c r="AY33" s="20">
        <f>SUM(AU33:AX33)</f>
        <v>63.227999999999994</v>
      </c>
      <c r="AZ33" s="39">
        <v>14.989000000000001</v>
      </c>
      <c r="BA33" s="39">
        <v>16.277000000000001</v>
      </c>
      <c r="BB33" s="39">
        <v>14.452999999999999</v>
      </c>
      <c r="BC33" s="39">
        <v>22.739000000000001</v>
      </c>
      <c r="BD33" s="20">
        <f>SUM(AZ33:BC33)</f>
        <v>68.457999999999998</v>
      </c>
      <c r="BE33" s="39">
        <v>17.001000000000001</v>
      </c>
      <c r="BF33" s="39">
        <v>18.158000000000001</v>
      </c>
      <c r="BG33" s="39">
        <v>18.327000000000002</v>
      </c>
      <c r="BH33" s="39">
        <v>22.189</v>
      </c>
      <c r="BI33" s="20">
        <f>SUM(BE33:BH33)</f>
        <v>75.675000000000011</v>
      </c>
      <c r="BJ33" s="39">
        <v>23.777999999999999</v>
      </c>
      <c r="BK33" s="39">
        <v>18.808</v>
      </c>
      <c r="BL33" s="39">
        <v>14.525</v>
      </c>
      <c r="BM33" s="39">
        <v>23.052</v>
      </c>
      <c r="BN33" s="20">
        <f>SUM(BJ33:BM33)</f>
        <v>80.162999999999997</v>
      </c>
      <c r="BO33" s="39">
        <v>17.149000000000001</v>
      </c>
      <c r="BP33" s="39">
        <v>17.332000000000001</v>
      </c>
      <c r="BQ33" s="39">
        <v>17.503</v>
      </c>
      <c r="BR33" s="202">
        <v>24.081</v>
      </c>
      <c r="BS33" s="20">
        <f>SUM(BO33:BR33)</f>
        <v>76.064999999999998</v>
      </c>
      <c r="BT33" s="39">
        <v>14</v>
      </c>
      <c r="BU33" s="39">
        <v>28</v>
      </c>
      <c r="BV33" s="39">
        <v>32</v>
      </c>
      <c r="BW33" s="202">
        <v>36</v>
      </c>
      <c r="BX33" s="20">
        <f>SUM(BT33:BW33)</f>
        <v>110</v>
      </c>
      <c r="BY33" s="39">
        <v>20</v>
      </c>
      <c r="BZ33" s="39">
        <v>23</v>
      </c>
      <c r="CA33" s="39">
        <v>23</v>
      </c>
      <c r="CB33" s="202">
        <v>34</v>
      </c>
      <c r="CC33" s="20">
        <f>SUM(BY33:CB33)</f>
        <v>100</v>
      </c>
      <c r="CD33" s="894">
        <v>25</v>
      </c>
      <c r="CE33" s="39">
        <v>26</v>
      </c>
      <c r="CF33" s="39">
        <v>23</v>
      </c>
      <c r="CG33" s="202">
        <v>22</v>
      </c>
      <c r="CH33" s="20">
        <f>SUM(CD33:CG33)</f>
        <v>96</v>
      </c>
      <c r="CI33" s="894">
        <v>22</v>
      </c>
      <c r="CJ33" s="894">
        <v>15</v>
      </c>
      <c r="CK33" s="39">
        <v>20</v>
      </c>
      <c r="CL33" s="202">
        <v>6</v>
      </c>
      <c r="CM33" s="20">
        <f>SUM(CI33:CL33)</f>
        <v>63</v>
      </c>
      <c r="CN33" s="894">
        <v>25</v>
      </c>
      <c r="CO33" s="894">
        <v>15</v>
      </c>
      <c r="CP33" s="39">
        <v>10</v>
      </c>
      <c r="CQ33" s="202">
        <v>30</v>
      </c>
      <c r="CR33" s="20">
        <f>SUM(CN33:CQ33)</f>
        <v>80</v>
      </c>
      <c r="CS33" s="581">
        <v>15</v>
      </c>
      <c r="CT33" s="581">
        <v>20</v>
      </c>
      <c r="CU33" s="581">
        <v>25</v>
      </c>
      <c r="CV33" s="581">
        <v>35</v>
      </c>
      <c r="CW33" s="20">
        <f>SUM(CS33:CV33)</f>
        <v>95</v>
      </c>
      <c r="CX33" s="581">
        <v>20</v>
      </c>
      <c r="CY33" s="581">
        <v>20</v>
      </c>
      <c r="CZ33" s="581">
        <v>15</v>
      </c>
      <c r="DA33" s="581">
        <v>35</v>
      </c>
      <c r="DB33" s="20">
        <f>SUM(CX33:DA33)</f>
        <v>90</v>
      </c>
      <c r="DC33"/>
      <c r="DD33"/>
      <c r="DE33"/>
      <c r="DF33"/>
      <c r="DG33"/>
      <c r="DJ33"/>
    </row>
    <row r="34" spans="1:114" s="725" customFormat="1">
      <c r="A34" s="47"/>
      <c r="B34" s="1316" t="s">
        <v>206</v>
      </c>
      <c r="C34" s="1317"/>
      <c r="D34" s="1317">
        <f t="shared" ref="D34:Z34" si="69">D32-D33</f>
        <v>-473.08199999999999</v>
      </c>
      <c r="E34" s="1317">
        <f t="shared" si="69"/>
        <v>-16.789000000000048</v>
      </c>
      <c r="F34" s="1317">
        <f t="shared" si="69"/>
        <v>9.5689999999998783</v>
      </c>
      <c r="G34" s="1318">
        <f t="shared" si="69"/>
        <v>10.847999999999992</v>
      </c>
      <c r="H34" s="1318">
        <f t="shared" si="69"/>
        <v>9.6510000000000407</v>
      </c>
      <c r="I34" s="1318">
        <f t="shared" si="69"/>
        <v>10.041000000000009</v>
      </c>
      <c r="J34" s="1318">
        <f t="shared" si="69"/>
        <v>14.203000000000028</v>
      </c>
      <c r="K34" s="1317">
        <f t="shared" si="69"/>
        <v>44.743000000000009</v>
      </c>
      <c r="L34" s="1318">
        <f t="shared" si="69"/>
        <v>27.176000000000034</v>
      </c>
      <c r="M34" s="1318">
        <f t="shared" si="69"/>
        <v>24.240999999999985</v>
      </c>
      <c r="N34" s="1318">
        <f t="shared" si="69"/>
        <v>20.156000000000027</v>
      </c>
      <c r="O34" s="1318">
        <f t="shared" si="69"/>
        <v>28.411000000000019</v>
      </c>
      <c r="P34" s="1317">
        <f t="shared" si="69"/>
        <v>99.983999999999895</v>
      </c>
      <c r="Q34" s="1318">
        <f t="shared" si="69"/>
        <v>33.53900000000008</v>
      </c>
      <c r="R34" s="1318">
        <f t="shared" si="69"/>
        <v>30.616000000000057</v>
      </c>
      <c r="S34" s="1318">
        <f t="shared" si="69"/>
        <v>31.683000000000117</v>
      </c>
      <c r="T34" s="1318">
        <f t="shared" si="69"/>
        <v>35.634</v>
      </c>
      <c r="U34" s="1317">
        <f t="shared" si="69"/>
        <v>131.47200000000066</v>
      </c>
      <c r="V34" s="1318">
        <f t="shared" si="69"/>
        <v>40.726000000000042</v>
      </c>
      <c r="W34" s="1318">
        <f t="shared" si="69"/>
        <v>38.439000000000028</v>
      </c>
      <c r="X34" s="1318">
        <f t="shared" si="69"/>
        <v>32.039000000000058</v>
      </c>
      <c r="Y34" s="1318">
        <f t="shared" si="69"/>
        <v>40.228999999999992</v>
      </c>
      <c r="Z34" s="1317">
        <f t="shared" si="69"/>
        <v>151.43300000000093</v>
      </c>
      <c r="AA34" s="1318">
        <f>AA32-AA33</f>
        <v>35.98799999999985</v>
      </c>
      <c r="AB34" s="1318">
        <f t="shared" ref="AB34:CD34" si="70">AB32-AB33</f>
        <v>40.528000000000041</v>
      </c>
      <c r="AC34" s="1318">
        <f t="shared" si="70"/>
        <v>42.88600000000006</v>
      </c>
      <c r="AD34" s="1318">
        <f t="shared" si="70"/>
        <v>48.141999999999882</v>
      </c>
      <c r="AE34" s="1317">
        <f t="shared" si="70"/>
        <v>167.54400000000032</v>
      </c>
      <c r="AF34" s="1318">
        <f t="shared" si="70"/>
        <v>54.037999999999847</v>
      </c>
      <c r="AG34" s="1318">
        <f t="shared" si="70"/>
        <v>52.369000000000149</v>
      </c>
      <c r="AH34" s="1318">
        <f t="shared" si="70"/>
        <v>8.2410000000000139</v>
      </c>
      <c r="AI34" s="1318">
        <f t="shared" si="70"/>
        <v>53.615000000000059</v>
      </c>
      <c r="AJ34" s="1317">
        <f t="shared" si="70"/>
        <v>168.26300000000035</v>
      </c>
      <c r="AK34" s="1318">
        <f t="shared" si="70"/>
        <v>54.323999999999948</v>
      </c>
      <c r="AL34" s="1318">
        <f t="shared" si="70"/>
        <v>53.762999999999877</v>
      </c>
      <c r="AM34" s="1318">
        <f t="shared" si="70"/>
        <v>10.460000000000409</v>
      </c>
      <c r="AN34" s="1318">
        <f t="shared" si="70"/>
        <v>-88.257999999999953</v>
      </c>
      <c r="AO34" s="1317">
        <f t="shared" si="70"/>
        <v>30.289000000000492</v>
      </c>
      <c r="AP34" s="1318">
        <f t="shared" si="70"/>
        <v>60.12700000000018</v>
      </c>
      <c r="AQ34" s="1318">
        <f t="shared" si="70"/>
        <v>47.892999999999851</v>
      </c>
      <c r="AR34" s="1318">
        <f t="shared" si="70"/>
        <v>50.383999999999617</v>
      </c>
      <c r="AS34" s="1318">
        <f t="shared" si="70"/>
        <v>59.900000000000063</v>
      </c>
      <c r="AT34" s="1317">
        <f t="shared" si="70"/>
        <v>218.30399999999995</v>
      </c>
      <c r="AU34" s="1318">
        <f t="shared" si="70"/>
        <v>58.914999999999509</v>
      </c>
      <c r="AV34" s="1318">
        <f t="shared" si="70"/>
        <v>59.434999999999896</v>
      </c>
      <c r="AW34" s="1318">
        <f t="shared" si="70"/>
        <v>59.712000000000472</v>
      </c>
      <c r="AX34" s="1318">
        <f t="shared" si="70"/>
        <v>65.088000000000605</v>
      </c>
      <c r="AY34" s="1317">
        <f t="shared" si="70"/>
        <v>243.15000000000089</v>
      </c>
      <c r="AZ34" s="1318">
        <f t="shared" si="70"/>
        <v>70.007000000000289</v>
      </c>
      <c r="BA34" s="1318">
        <f t="shared" si="70"/>
        <v>70.065000000000268</v>
      </c>
      <c r="BB34" s="1318">
        <f t="shared" si="70"/>
        <v>70.401000000000067</v>
      </c>
      <c r="BC34" s="1318">
        <f t="shared" si="70"/>
        <v>69.509999999999707</v>
      </c>
      <c r="BD34" s="1317">
        <f t="shared" si="70"/>
        <v>279.98299999999995</v>
      </c>
      <c r="BE34" s="1318">
        <f t="shared" si="70"/>
        <v>61.323999999999799</v>
      </c>
      <c r="BF34" s="1318">
        <f t="shared" si="70"/>
        <v>35.389000000000138</v>
      </c>
      <c r="BG34" s="1318">
        <f t="shared" si="70"/>
        <v>74.304000000000684</v>
      </c>
      <c r="BH34" s="1318">
        <f t="shared" si="70"/>
        <v>30.931000000000111</v>
      </c>
      <c r="BI34" s="1317">
        <f t="shared" si="70"/>
        <v>201.94800000000174</v>
      </c>
      <c r="BJ34" s="1318">
        <f t="shared" si="70"/>
        <v>75.473999999999933</v>
      </c>
      <c r="BK34" s="1318">
        <f t="shared" si="70"/>
        <v>83.358999999999583</v>
      </c>
      <c r="BL34" s="1318">
        <f t="shared" si="70"/>
        <v>44.232999999999585</v>
      </c>
      <c r="BM34" s="1318">
        <f t="shared" si="70"/>
        <v>62.573999999999735</v>
      </c>
      <c r="BN34" s="1317">
        <f t="shared" si="70"/>
        <v>265.64000000000067</v>
      </c>
      <c r="BO34" s="1318">
        <f t="shared" si="70"/>
        <v>79.173999999999864</v>
      </c>
      <c r="BP34" s="1318">
        <f t="shared" si="70"/>
        <v>29.75299999999968</v>
      </c>
      <c r="BQ34" s="1318">
        <f t="shared" si="70"/>
        <v>4.0950000000002191</v>
      </c>
      <c r="BR34" s="1318">
        <f t="shared" si="70"/>
        <v>40.481000000000293</v>
      </c>
      <c r="BS34" s="1317">
        <f>BS32-BS33</f>
        <v>153.50299999999817</v>
      </c>
      <c r="BT34" s="1318">
        <f t="shared" si="70"/>
        <v>-112</v>
      </c>
      <c r="BU34" s="1318">
        <f t="shared" si="70"/>
        <v>42</v>
      </c>
      <c r="BV34" s="1318">
        <f t="shared" si="70"/>
        <v>62.000000000000455</v>
      </c>
      <c r="BW34" s="1318">
        <f t="shared" si="70"/>
        <v>100</v>
      </c>
      <c r="BX34" s="1317">
        <f t="shared" si="70"/>
        <v>92.000000000000455</v>
      </c>
      <c r="BY34" s="1318">
        <f t="shared" si="70"/>
        <v>79</v>
      </c>
      <c r="BZ34" s="1318">
        <f t="shared" si="70"/>
        <v>111</v>
      </c>
      <c r="CA34" s="1318">
        <f t="shared" si="70"/>
        <v>52</v>
      </c>
      <c r="CB34" s="1318">
        <f t="shared" si="70"/>
        <v>-83</v>
      </c>
      <c r="CC34" s="1317">
        <f t="shared" si="70"/>
        <v>159</v>
      </c>
      <c r="CD34" s="1315">
        <f t="shared" si="70"/>
        <v>11</v>
      </c>
      <c r="CE34" s="1318">
        <f t="shared" ref="CE34:CM34" si="71">CE32-CE33</f>
        <v>-1432</v>
      </c>
      <c r="CF34" s="1318">
        <f t="shared" si="71"/>
        <v>-79</v>
      </c>
      <c r="CG34" s="1318">
        <f t="shared" si="71"/>
        <v>-220</v>
      </c>
      <c r="CH34" s="1317">
        <f t="shared" si="71"/>
        <v>-1720</v>
      </c>
      <c r="CI34" s="1315">
        <f t="shared" si="71"/>
        <v>-198</v>
      </c>
      <c r="CJ34" s="1318">
        <f t="shared" si="71"/>
        <v>-137</v>
      </c>
      <c r="CK34" s="1318">
        <f t="shared" ref="CK34:CL34" si="72">CK32-CK33</f>
        <v>-110</v>
      </c>
      <c r="CL34" s="1318">
        <f t="shared" si="72"/>
        <v>-2013</v>
      </c>
      <c r="CM34" s="1317">
        <f t="shared" si="71"/>
        <v>-2458</v>
      </c>
      <c r="CN34" s="1318">
        <f ca="1">CN32-CN33</f>
        <v>-28.922860159349153</v>
      </c>
      <c r="CO34" s="1318">
        <f t="shared" ref="CO34:CR34" ca="1" si="73">CO32-CO33</f>
        <v>-34.757907680165438</v>
      </c>
      <c r="CP34" s="1318">
        <f t="shared" ca="1" si="73"/>
        <v>-44.686829245940991</v>
      </c>
      <c r="CQ34" s="1318">
        <f t="shared" ca="1" si="73"/>
        <v>-36.788962012429614</v>
      </c>
      <c r="CR34" s="1317">
        <f t="shared" ca="1" si="73"/>
        <v>-145.15655909788609</v>
      </c>
      <c r="CS34" s="1318">
        <f t="shared" ref="CS34:CW34" ca="1" si="74">CS32-CS33</f>
        <v>-20.697140831412181</v>
      </c>
      <c r="CT34" s="1318">
        <f t="shared" ca="1" si="74"/>
        <v>-19.520831491086128</v>
      </c>
      <c r="CU34" s="1318">
        <f t="shared" ca="1" si="74"/>
        <v>-9.0256832324208496</v>
      </c>
      <c r="CV34" s="1318">
        <f t="shared" ca="1" si="74"/>
        <v>-16.168817525482055</v>
      </c>
      <c r="CW34" s="1317">
        <f t="shared" ca="1" si="74"/>
        <v>-65.412473080399394</v>
      </c>
      <c r="CX34" s="1318">
        <f t="shared" ref="CX34:DB34" ca="1" si="75">CX32-CX33</f>
        <v>-20.825625728726827</v>
      </c>
      <c r="CY34" s="1318">
        <f t="shared" ca="1" si="75"/>
        <v>-11.765532789882752</v>
      </c>
      <c r="CZ34" s="1318">
        <f t="shared" ca="1" si="75"/>
        <v>-9.2074393148599967</v>
      </c>
      <c r="DA34" s="1318">
        <f t="shared" ca="1" si="75"/>
        <v>-10.215652476437548</v>
      </c>
      <c r="DB34" s="1317">
        <f t="shared" ca="1" si="75"/>
        <v>-52.014250309906636</v>
      </c>
      <c r="DC34"/>
      <c r="DD34"/>
      <c r="DE34"/>
      <c r="DF34"/>
      <c r="DG34"/>
      <c r="DJ34"/>
    </row>
    <row r="35" spans="1:114" s="725" customFormat="1" ht="13.5" hidden="1" outlineLevel="1" thickBot="1">
      <c r="A35" s="49"/>
      <c r="B35" s="51" t="s">
        <v>205</v>
      </c>
      <c r="C35" s="20"/>
      <c r="D35" s="20">
        <v>0</v>
      </c>
      <c r="E35" s="303">
        <v>0</v>
      </c>
      <c r="F35" s="303">
        <v>0</v>
      </c>
      <c r="G35" s="39">
        <v>0</v>
      </c>
      <c r="H35" s="39">
        <v>0</v>
      </c>
      <c r="I35" s="39">
        <v>0</v>
      </c>
      <c r="J35" s="39">
        <v>0</v>
      </c>
      <c r="K35" s="20">
        <f>SUM(G35:J35)</f>
        <v>0</v>
      </c>
      <c r="L35" s="39">
        <v>2.1890000000000001</v>
      </c>
      <c r="M35" s="39">
        <v>0</v>
      </c>
      <c r="N35" s="39">
        <v>2.1890000000000001</v>
      </c>
      <c r="O35" s="39">
        <v>2.1890000000000001</v>
      </c>
      <c r="P35" s="303">
        <v>8.7569999999999997</v>
      </c>
      <c r="Q35" s="39">
        <v>2.1890000000000001</v>
      </c>
      <c r="R35" s="39">
        <v>2.1890000000000001</v>
      </c>
      <c r="S35" s="39">
        <v>2.1890000000000001</v>
      </c>
      <c r="T35" s="39">
        <v>2.19</v>
      </c>
      <c r="U35" s="20">
        <f>SUM(Q35:T35)</f>
        <v>8.7569999999999997</v>
      </c>
      <c r="V35" s="39">
        <v>2.1890000000000001</v>
      </c>
      <c r="W35" s="39">
        <v>2.1890000000000001</v>
      </c>
      <c r="X35" s="39">
        <v>2.1890000000000001</v>
      </c>
      <c r="Y35" s="39">
        <v>2.19</v>
      </c>
      <c r="Z35" s="20">
        <f>SUM(V35:Y35)</f>
        <v>8.7569999999999997</v>
      </c>
      <c r="AA35" s="39">
        <v>2.1890000000000001</v>
      </c>
      <c r="AB35" s="39">
        <v>2.1890000000000001</v>
      </c>
      <c r="AC35" s="39">
        <v>2.1890000000000001</v>
      </c>
      <c r="AD35" s="39">
        <v>1.998</v>
      </c>
      <c r="AE35" s="20">
        <f>SUM(AA35:AD35)</f>
        <v>8.5649999999999995</v>
      </c>
      <c r="AF35" s="39">
        <v>0.13500000000000001</v>
      </c>
      <c r="AG35" s="39">
        <v>0</v>
      </c>
      <c r="AH35" s="39">
        <v>0</v>
      </c>
      <c r="AI35" s="39">
        <v>0</v>
      </c>
      <c r="AJ35" s="20">
        <f>SUM(AF35:AI35)</f>
        <v>0.13500000000000001</v>
      </c>
      <c r="AK35" s="39">
        <v>0</v>
      </c>
      <c r="AL35" s="39">
        <v>0</v>
      </c>
      <c r="AM35" s="39">
        <v>0</v>
      </c>
      <c r="AN35" s="39">
        <v>0</v>
      </c>
      <c r="AO35" s="20">
        <f>SUM(AK35:AN35)</f>
        <v>0</v>
      </c>
      <c r="AP35" s="39">
        <v>0</v>
      </c>
      <c r="AQ35" s="39">
        <v>0</v>
      </c>
      <c r="AR35" s="39">
        <v>0</v>
      </c>
      <c r="AS35" s="39">
        <v>0</v>
      </c>
      <c r="AT35" s="20">
        <f>SUM(AP35:AS35)</f>
        <v>0</v>
      </c>
      <c r="AU35" s="39">
        <v>0</v>
      </c>
      <c r="AV35" s="39">
        <v>0</v>
      </c>
      <c r="AW35" s="39">
        <v>0</v>
      </c>
      <c r="AX35" s="39">
        <v>0</v>
      </c>
      <c r="AY35" s="20">
        <f>SUM(AU35:AX35)</f>
        <v>0</v>
      </c>
      <c r="AZ35" s="39">
        <v>0</v>
      </c>
      <c r="BA35" s="39">
        <v>0</v>
      </c>
      <c r="BB35" s="39">
        <v>0</v>
      </c>
      <c r="BC35" s="39">
        <v>0</v>
      </c>
      <c r="BD35" s="20">
        <f>SUM(AZ35:BC35)</f>
        <v>0</v>
      </c>
      <c r="BE35" s="39">
        <v>0</v>
      </c>
      <c r="BF35" s="39">
        <v>0</v>
      </c>
      <c r="BG35" s="39">
        <v>0</v>
      </c>
      <c r="BH35" s="39">
        <v>0</v>
      </c>
      <c r="BI35" s="20">
        <f>SUM(BE35:BH35)</f>
        <v>0</v>
      </c>
      <c r="BJ35" s="39">
        <v>0</v>
      </c>
      <c r="BK35" s="39">
        <v>0</v>
      </c>
      <c r="BL35" s="39">
        <v>0</v>
      </c>
      <c r="BM35" s="24">
        <v>0</v>
      </c>
      <c r="BN35" s="20">
        <f>SUM(BJ35:BM35)</f>
        <v>0</v>
      </c>
      <c r="BO35" s="24">
        <v>0</v>
      </c>
      <c r="BP35" s="24">
        <v>0</v>
      </c>
      <c r="BQ35" s="24">
        <v>0</v>
      </c>
      <c r="BR35" s="24">
        <v>0</v>
      </c>
      <c r="BS35" s="20">
        <f>SUM(BO35:BR35)</f>
        <v>0</v>
      </c>
      <c r="BT35" s="24">
        <v>0</v>
      </c>
      <c r="BU35" s="24">
        <v>0</v>
      </c>
      <c r="BV35" s="24">
        <v>0</v>
      </c>
      <c r="BW35" s="24">
        <v>0</v>
      </c>
      <c r="BX35" s="20">
        <f>SUM(BT35:BW35)</f>
        <v>0</v>
      </c>
      <c r="BY35" s="24">
        <v>0</v>
      </c>
      <c r="BZ35" s="24">
        <v>0</v>
      </c>
      <c r="CA35" s="24">
        <v>0</v>
      </c>
      <c r="CB35" s="24">
        <v>0</v>
      </c>
      <c r="CC35" s="20">
        <f>SUM(BY35:CB35)</f>
        <v>0</v>
      </c>
      <c r="CD35" s="893">
        <v>0</v>
      </c>
      <c r="CE35" s="24">
        <v>0</v>
      </c>
      <c r="CF35" s="24">
        <v>0</v>
      </c>
      <c r="CG35" s="24">
        <v>0</v>
      </c>
      <c r="CH35" s="20">
        <f>SUM(CD35:CG35)</f>
        <v>0</v>
      </c>
      <c r="CI35" s="893">
        <v>0</v>
      </c>
      <c r="CJ35" s="24">
        <v>0</v>
      </c>
      <c r="CK35" s="24">
        <v>0</v>
      </c>
      <c r="CL35" s="24">
        <v>0</v>
      </c>
      <c r="CM35" s="20">
        <f>SUM(CI35:CL35)</f>
        <v>0</v>
      </c>
      <c r="CN35" s="24">
        <v>0</v>
      </c>
      <c r="CO35" s="24">
        <v>0</v>
      </c>
      <c r="CP35" s="24">
        <v>0</v>
      </c>
      <c r="CQ35" s="24">
        <v>0</v>
      </c>
      <c r="CR35" s="20">
        <f>SUM(CN35:CQ35)</f>
        <v>0</v>
      </c>
      <c r="CS35" s="24">
        <v>0</v>
      </c>
      <c r="CT35" s="24">
        <v>0</v>
      </c>
      <c r="CU35" s="24">
        <v>0</v>
      </c>
      <c r="CV35" s="24">
        <v>0</v>
      </c>
      <c r="CW35" s="20">
        <f>SUM(CS35:CV35)</f>
        <v>0</v>
      </c>
      <c r="CX35" s="24">
        <v>0</v>
      </c>
      <c r="CY35" s="24">
        <v>0</v>
      </c>
      <c r="CZ35" s="24">
        <v>0</v>
      </c>
      <c r="DA35" s="24">
        <v>0</v>
      </c>
      <c r="DB35" s="20">
        <f>SUM(CX35:DA35)</f>
        <v>0</v>
      </c>
      <c r="DC35"/>
      <c r="DD35"/>
      <c r="DE35"/>
      <c r="DF35"/>
      <c r="DG35"/>
      <c r="DJ35"/>
    </row>
    <row r="36" spans="1:114" s="725" customFormat="1" ht="13.5" hidden="1" outlineLevel="1" thickBot="1">
      <c r="A36" s="539"/>
      <c r="B36" s="42" t="s">
        <v>43</v>
      </c>
      <c r="C36" s="43"/>
      <c r="D36" s="43">
        <f t="shared" ref="D36:Z36" si="76">D34+D35</f>
        <v>-473.08199999999999</v>
      </c>
      <c r="E36" s="43">
        <f t="shared" si="76"/>
        <v>-16.789000000000048</v>
      </c>
      <c r="F36" s="43">
        <f t="shared" si="76"/>
        <v>9.5689999999998783</v>
      </c>
      <c r="G36" s="44">
        <f t="shared" si="76"/>
        <v>10.847999999999992</v>
      </c>
      <c r="H36" s="44">
        <f t="shared" si="76"/>
        <v>9.6510000000000407</v>
      </c>
      <c r="I36" s="44">
        <f t="shared" si="76"/>
        <v>10.041000000000009</v>
      </c>
      <c r="J36" s="44">
        <f t="shared" si="76"/>
        <v>14.203000000000028</v>
      </c>
      <c r="K36" s="43">
        <f t="shared" si="76"/>
        <v>44.743000000000009</v>
      </c>
      <c r="L36" s="44">
        <f t="shared" si="76"/>
        <v>29.365000000000034</v>
      </c>
      <c r="M36" s="44">
        <f t="shared" si="76"/>
        <v>24.240999999999985</v>
      </c>
      <c r="N36" s="44">
        <f t="shared" si="76"/>
        <v>22.345000000000027</v>
      </c>
      <c r="O36" s="44">
        <f t="shared" si="76"/>
        <v>30.600000000000019</v>
      </c>
      <c r="P36" s="43">
        <f t="shared" si="76"/>
        <v>108.7409999999999</v>
      </c>
      <c r="Q36" s="44">
        <f t="shared" si="76"/>
        <v>35.72800000000008</v>
      </c>
      <c r="R36" s="44">
        <f t="shared" si="76"/>
        <v>32.805000000000057</v>
      </c>
      <c r="S36" s="44">
        <f t="shared" si="76"/>
        <v>33.872000000000114</v>
      </c>
      <c r="T36" s="44">
        <f t="shared" si="76"/>
        <v>37.823999999999998</v>
      </c>
      <c r="U36" s="43">
        <f t="shared" si="76"/>
        <v>140.22900000000067</v>
      </c>
      <c r="V36" s="44">
        <f t="shared" si="76"/>
        <v>42.915000000000042</v>
      </c>
      <c r="W36" s="44">
        <f t="shared" si="76"/>
        <v>40.628000000000029</v>
      </c>
      <c r="X36" s="44">
        <f t="shared" si="76"/>
        <v>34.228000000000058</v>
      </c>
      <c r="Y36" s="44">
        <f t="shared" si="76"/>
        <v>42.41899999999999</v>
      </c>
      <c r="Z36" s="43">
        <f t="shared" si="76"/>
        <v>160.19000000000094</v>
      </c>
      <c r="AA36" s="44">
        <f>AA34+AA35</f>
        <v>38.17699999999985</v>
      </c>
      <c r="AB36" s="44">
        <f t="shared" ref="AB36:CD36" si="77">AB34+AB35</f>
        <v>42.717000000000041</v>
      </c>
      <c r="AC36" s="44">
        <f t="shared" si="77"/>
        <v>45.07500000000006</v>
      </c>
      <c r="AD36" s="44">
        <f t="shared" si="77"/>
        <v>50.13999999999988</v>
      </c>
      <c r="AE36" s="43">
        <f t="shared" si="77"/>
        <v>176.10900000000032</v>
      </c>
      <c r="AF36" s="44">
        <f t="shared" si="77"/>
        <v>54.172999999999845</v>
      </c>
      <c r="AG36" s="44">
        <f t="shared" si="77"/>
        <v>52.369000000000149</v>
      </c>
      <c r="AH36" s="44">
        <f t="shared" si="77"/>
        <v>8.2410000000000139</v>
      </c>
      <c r="AI36" s="44">
        <f t="shared" si="77"/>
        <v>53.615000000000059</v>
      </c>
      <c r="AJ36" s="43">
        <f t="shared" si="77"/>
        <v>168.39800000000034</v>
      </c>
      <c r="AK36" s="44">
        <f t="shared" si="77"/>
        <v>54.323999999999948</v>
      </c>
      <c r="AL36" s="44">
        <f t="shared" si="77"/>
        <v>53.762999999999877</v>
      </c>
      <c r="AM36" s="44">
        <f t="shared" si="77"/>
        <v>10.460000000000409</v>
      </c>
      <c r="AN36" s="44">
        <f t="shared" si="77"/>
        <v>-88.257999999999953</v>
      </c>
      <c r="AO36" s="43">
        <f t="shared" si="77"/>
        <v>30.289000000000492</v>
      </c>
      <c r="AP36" s="44">
        <f t="shared" si="77"/>
        <v>60.12700000000018</v>
      </c>
      <c r="AQ36" s="44">
        <f t="shared" si="77"/>
        <v>47.892999999999851</v>
      </c>
      <c r="AR36" s="44">
        <f t="shared" si="77"/>
        <v>50.383999999999617</v>
      </c>
      <c r="AS36" s="44">
        <f t="shared" si="77"/>
        <v>59.900000000000063</v>
      </c>
      <c r="AT36" s="43">
        <f t="shared" si="77"/>
        <v>218.30399999999995</v>
      </c>
      <c r="AU36" s="44">
        <f t="shared" si="77"/>
        <v>58.914999999999509</v>
      </c>
      <c r="AV36" s="44">
        <f t="shared" si="77"/>
        <v>59.434999999999896</v>
      </c>
      <c r="AW36" s="44">
        <f t="shared" si="77"/>
        <v>59.712000000000472</v>
      </c>
      <c r="AX36" s="44">
        <f t="shared" si="77"/>
        <v>65.088000000000605</v>
      </c>
      <c r="AY36" s="43">
        <f t="shared" si="77"/>
        <v>243.15000000000089</v>
      </c>
      <c r="AZ36" s="44">
        <f t="shared" si="77"/>
        <v>70.007000000000289</v>
      </c>
      <c r="BA36" s="44">
        <f t="shared" si="77"/>
        <v>70.065000000000268</v>
      </c>
      <c r="BB36" s="44">
        <f t="shared" si="77"/>
        <v>70.401000000000067</v>
      </c>
      <c r="BC36" s="44">
        <f t="shared" si="77"/>
        <v>69.509999999999707</v>
      </c>
      <c r="BD36" s="43">
        <f t="shared" si="77"/>
        <v>279.98299999999995</v>
      </c>
      <c r="BE36" s="44">
        <f t="shared" si="77"/>
        <v>61.323999999999799</v>
      </c>
      <c r="BF36" s="44">
        <f t="shared" si="77"/>
        <v>35.389000000000138</v>
      </c>
      <c r="BG36" s="44">
        <f t="shared" si="77"/>
        <v>74.304000000000684</v>
      </c>
      <c r="BH36" s="44">
        <f t="shared" si="77"/>
        <v>30.931000000000111</v>
      </c>
      <c r="BI36" s="43">
        <f t="shared" si="77"/>
        <v>201.94800000000174</v>
      </c>
      <c r="BJ36" s="44">
        <f t="shared" si="77"/>
        <v>75.473999999999933</v>
      </c>
      <c r="BK36" s="44">
        <f t="shared" si="77"/>
        <v>83.358999999999583</v>
      </c>
      <c r="BL36" s="44">
        <f t="shared" si="77"/>
        <v>44.232999999999585</v>
      </c>
      <c r="BM36" s="44">
        <f t="shared" si="77"/>
        <v>62.573999999999735</v>
      </c>
      <c r="BN36" s="43">
        <f t="shared" si="77"/>
        <v>265.64000000000067</v>
      </c>
      <c r="BO36" s="543">
        <f t="shared" si="77"/>
        <v>79.173999999999864</v>
      </c>
      <c r="BP36" s="44">
        <f t="shared" si="77"/>
        <v>29.75299999999968</v>
      </c>
      <c r="BQ36" s="44">
        <f t="shared" si="77"/>
        <v>4.0950000000002191</v>
      </c>
      <c r="BR36" s="44">
        <f t="shared" si="77"/>
        <v>40.481000000000293</v>
      </c>
      <c r="BS36" s="43">
        <f t="shared" si="77"/>
        <v>153.50299999999817</v>
      </c>
      <c r="BT36" s="544">
        <f t="shared" si="77"/>
        <v>-112</v>
      </c>
      <c r="BU36" s="544">
        <f t="shared" si="77"/>
        <v>42</v>
      </c>
      <c r="BV36" s="544">
        <f t="shared" si="77"/>
        <v>62.000000000000455</v>
      </c>
      <c r="BW36" s="44">
        <f t="shared" si="77"/>
        <v>100</v>
      </c>
      <c r="BX36" s="45">
        <f t="shared" si="77"/>
        <v>92.000000000000455</v>
      </c>
      <c r="BY36" s="544">
        <f t="shared" si="77"/>
        <v>79</v>
      </c>
      <c r="BZ36" s="44">
        <f t="shared" si="77"/>
        <v>111</v>
      </c>
      <c r="CA36" s="44">
        <f t="shared" si="77"/>
        <v>52</v>
      </c>
      <c r="CB36" s="44">
        <f t="shared" si="77"/>
        <v>-83</v>
      </c>
      <c r="CC36" s="45">
        <f t="shared" si="77"/>
        <v>159</v>
      </c>
      <c r="CD36" s="593">
        <f t="shared" si="77"/>
        <v>11</v>
      </c>
      <c r="CE36" s="44">
        <f t="shared" ref="CE36:CM36" si="78">CE34+CE35</f>
        <v>-1432</v>
      </c>
      <c r="CF36" s="44">
        <f t="shared" si="78"/>
        <v>-79</v>
      </c>
      <c r="CG36" s="44">
        <f t="shared" si="78"/>
        <v>-220</v>
      </c>
      <c r="CH36" s="43">
        <f t="shared" si="78"/>
        <v>-1720</v>
      </c>
      <c r="CI36" s="44">
        <f t="shared" si="78"/>
        <v>-198</v>
      </c>
      <c r="CJ36" s="44">
        <f t="shared" si="78"/>
        <v>-137</v>
      </c>
      <c r="CK36" s="44">
        <f t="shared" ref="CK36:CL36" si="79">CK34+CK35</f>
        <v>-110</v>
      </c>
      <c r="CL36" s="44">
        <f t="shared" si="79"/>
        <v>-2013</v>
      </c>
      <c r="CM36" s="43">
        <f t="shared" si="78"/>
        <v>-2458</v>
      </c>
      <c r="CN36" s="44">
        <f t="shared" ref="CN36:CR36" ca="1" si="80">CN34+CN35</f>
        <v>-28.922860159349153</v>
      </c>
      <c r="CO36" s="44">
        <f t="shared" ca="1" si="80"/>
        <v>-34.757907680165438</v>
      </c>
      <c r="CP36" s="44">
        <f t="shared" ca="1" si="80"/>
        <v>-44.686829245940991</v>
      </c>
      <c r="CQ36" s="44">
        <f t="shared" ca="1" si="80"/>
        <v>-36.788962012429614</v>
      </c>
      <c r="CR36" s="43">
        <f t="shared" ca="1" si="80"/>
        <v>-145.15655909788609</v>
      </c>
      <c r="CS36" s="44">
        <f t="shared" ref="CS36:CW36" ca="1" si="81">CS34+CS35</f>
        <v>-20.697140831412181</v>
      </c>
      <c r="CT36" s="44">
        <f t="shared" ca="1" si="81"/>
        <v>-19.520831491086128</v>
      </c>
      <c r="CU36" s="44">
        <f t="shared" ca="1" si="81"/>
        <v>-9.0256832324208496</v>
      </c>
      <c r="CV36" s="44">
        <f t="shared" ca="1" si="81"/>
        <v>-16.168817525482055</v>
      </c>
      <c r="CW36" s="43">
        <f t="shared" ca="1" si="81"/>
        <v>-65.412473080399394</v>
      </c>
      <c r="CX36" s="44">
        <f t="shared" ref="CX36:DB36" ca="1" si="82">CX34+CX35</f>
        <v>-20.825625728726827</v>
      </c>
      <c r="CY36" s="44">
        <f t="shared" ca="1" si="82"/>
        <v>-11.765532789882752</v>
      </c>
      <c r="CZ36" s="44">
        <f t="shared" ca="1" si="82"/>
        <v>-9.2074393148599967</v>
      </c>
      <c r="DA36" s="44">
        <f t="shared" ca="1" si="82"/>
        <v>-10.215652476437548</v>
      </c>
      <c r="DB36" s="43">
        <f t="shared" ca="1" si="82"/>
        <v>-52.014250309906636</v>
      </c>
      <c r="DC36"/>
      <c r="DD36"/>
      <c r="DE36"/>
      <c r="DF36"/>
      <c r="DG36"/>
      <c r="DJ36"/>
    </row>
    <row r="37" spans="1:114" s="725" customFormat="1" hidden="1" outlineLevel="1">
      <c r="A37" s="49"/>
      <c r="B37" s="536" t="s">
        <v>207</v>
      </c>
      <c r="C37" s="30"/>
      <c r="D37" s="30"/>
      <c r="E37" s="30"/>
      <c r="F37" s="30"/>
      <c r="G37" s="29"/>
      <c r="H37" s="29"/>
      <c r="I37" s="29"/>
      <c r="J37" s="29"/>
      <c r="K37" s="30"/>
      <c r="L37" s="29"/>
      <c r="M37" s="29"/>
      <c r="N37" s="29"/>
      <c r="O37" s="29"/>
      <c r="P37" s="30"/>
      <c r="Q37" s="29"/>
      <c r="R37" s="29"/>
      <c r="S37" s="29"/>
      <c r="T37" s="29"/>
      <c r="U37" s="30"/>
      <c r="V37" s="29"/>
      <c r="W37" s="29"/>
      <c r="X37" s="29"/>
      <c r="Y37" s="29"/>
      <c r="Z37" s="30"/>
      <c r="AA37" s="29"/>
      <c r="AB37" s="29"/>
      <c r="AC37" s="29"/>
      <c r="AD37" s="29"/>
      <c r="AE37" s="30"/>
      <c r="AF37" s="29"/>
      <c r="AG37" s="29"/>
      <c r="AH37" s="29"/>
      <c r="AI37" s="29"/>
      <c r="AJ37" s="30"/>
      <c r="AK37" s="29"/>
      <c r="AL37" s="29"/>
      <c r="AM37" s="29"/>
      <c r="AN37" s="29"/>
      <c r="AO37" s="30"/>
      <c r="AP37" s="29"/>
      <c r="AQ37" s="29"/>
      <c r="AR37" s="29"/>
      <c r="AS37" s="29"/>
      <c r="AT37" s="30"/>
      <c r="AU37" s="29"/>
      <c r="AV37" s="29"/>
      <c r="AW37" s="29"/>
      <c r="AX37" s="29"/>
      <c r="AY37" s="30"/>
      <c r="AZ37" s="29"/>
      <c r="BA37" s="29"/>
      <c r="BB37" s="29"/>
      <c r="BC37" s="29"/>
      <c r="BD37" s="30"/>
      <c r="BE37" s="29"/>
      <c r="BF37" s="29"/>
      <c r="BG37" s="29"/>
      <c r="BH37" s="29"/>
      <c r="BI37" s="30"/>
      <c r="BJ37" s="29"/>
      <c r="BK37" s="29"/>
      <c r="BL37" s="29"/>
      <c r="BM37" s="29"/>
      <c r="BN37" s="30"/>
      <c r="BO37" s="29"/>
      <c r="BP37" s="29"/>
      <c r="BQ37" s="29"/>
      <c r="BR37" s="29"/>
      <c r="BS37" s="30"/>
      <c r="BT37" s="29"/>
      <c r="BU37" s="29"/>
      <c r="BV37" s="29"/>
      <c r="BW37" s="29"/>
      <c r="BX37" s="30"/>
      <c r="BY37" s="29"/>
      <c r="BZ37" s="29"/>
      <c r="CA37" s="29"/>
      <c r="CB37" s="29"/>
      <c r="CC37" s="30"/>
      <c r="CD37" s="594"/>
      <c r="CE37" s="29"/>
      <c r="CF37" s="29"/>
      <c r="CG37" s="29"/>
      <c r="CH37" s="30"/>
      <c r="CI37" s="594"/>
      <c r="CJ37" s="29"/>
      <c r="CK37" s="29"/>
      <c r="CL37" s="29"/>
      <c r="CM37" s="30"/>
      <c r="CN37" s="29"/>
      <c r="CO37" s="29"/>
      <c r="CP37" s="29"/>
      <c r="CQ37" s="29"/>
      <c r="CR37" s="30"/>
      <c r="CS37" s="29"/>
      <c r="CT37" s="29"/>
      <c r="CU37" s="29"/>
      <c r="CV37" s="29"/>
      <c r="CW37" s="30"/>
      <c r="CX37" s="29"/>
      <c r="CY37" s="29"/>
      <c r="CZ37" s="29"/>
      <c r="DA37" s="29"/>
      <c r="DB37" s="30"/>
      <c r="DC37"/>
      <c r="DD37"/>
      <c r="DE37"/>
      <c r="DF37"/>
      <c r="DG37"/>
      <c r="DJ37"/>
    </row>
    <row r="38" spans="1:114" s="725" customFormat="1" hidden="1" outlineLevel="1">
      <c r="A38" s="49"/>
      <c r="B38" s="538" t="s">
        <v>204</v>
      </c>
      <c r="C38" s="20"/>
      <c r="D38" s="20">
        <f t="shared" ref="D38:J38" si="83">-D31</f>
        <v>0</v>
      </c>
      <c r="E38" s="20">
        <f t="shared" si="83"/>
        <v>0</v>
      </c>
      <c r="F38" s="20">
        <f t="shared" si="83"/>
        <v>0</v>
      </c>
      <c r="G38" s="24">
        <f t="shared" si="83"/>
        <v>0</v>
      </c>
      <c r="H38" s="24">
        <f t="shared" si="83"/>
        <v>0</v>
      </c>
      <c r="I38" s="24">
        <f t="shared" si="83"/>
        <v>0</v>
      </c>
      <c r="J38" s="24">
        <f t="shared" si="83"/>
        <v>0</v>
      </c>
      <c r="K38" s="20">
        <f>SUM(G38:J38)</f>
        <v>0</v>
      </c>
      <c r="L38" s="24">
        <f>-L31</f>
        <v>0</v>
      </c>
      <c r="M38" s="24">
        <f>-M31</f>
        <v>0</v>
      </c>
      <c r="N38" s="24">
        <f>-N31</f>
        <v>0</v>
      </c>
      <c r="O38" s="24">
        <f>-O31</f>
        <v>0</v>
      </c>
      <c r="P38" s="20">
        <f>SUM(L38:O38)</f>
        <v>0</v>
      </c>
      <c r="Q38" s="24">
        <f>-Q31</f>
        <v>0</v>
      </c>
      <c r="R38" s="24">
        <f>-R31</f>
        <v>0</v>
      </c>
      <c r="S38" s="24">
        <f>-S31</f>
        <v>0</v>
      </c>
      <c r="T38" s="24">
        <f>-T31</f>
        <v>0</v>
      </c>
      <c r="U38" s="20">
        <f>SUM(Q38:T38)</f>
        <v>0</v>
      </c>
      <c r="V38" s="24">
        <f>-V31</f>
        <v>0</v>
      </c>
      <c r="W38" s="24">
        <f>-W31</f>
        <v>0</v>
      </c>
      <c r="X38" s="24">
        <f>-X31</f>
        <v>5.61</v>
      </c>
      <c r="Y38" s="24">
        <f>-Y31</f>
        <v>0.41299999999999998</v>
      </c>
      <c r="Z38" s="20">
        <f>SUM(V38:Y38)</f>
        <v>6.0230000000000006</v>
      </c>
      <c r="AA38" s="24">
        <f>-AA31</f>
        <v>11.704000000000001</v>
      </c>
      <c r="AB38" s="24">
        <f>-AB31</f>
        <v>5.6219999999999999</v>
      </c>
      <c r="AC38" s="24">
        <f>-AC31</f>
        <v>1.18</v>
      </c>
      <c r="AD38" s="24">
        <f>-AD31</f>
        <v>2.7010000000000001</v>
      </c>
      <c r="AE38" s="20">
        <f>SUM(AA38:AD38)</f>
        <v>21.207000000000001</v>
      </c>
      <c r="AF38" s="24">
        <f>-AF31</f>
        <v>3.2160000000000002</v>
      </c>
      <c r="AG38" s="24">
        <f>-AG31</f>
        <v>0</v>
      </c>
      <c r="AH38" s="24">
        <f>-AH31</f>
        <v>0</v>
      </c>
      <c r="AI38" s="24">
        <f>-AI31</f>
        <v>0</v>
      </c>
      <c r="AJ38" s="20">
        <f>SUM(AF38:AI38)</f>
        <v>3.2160000000000002</v>
      </c>
      <c r="AK38" s="24">
        <f>-AK31</f>
        <v>0</v>
      </c>
      <c r="AL38" s="24">
        <f>-AL31</f>
        <v>0</v>
      </c>
      <c r="AM38" s="24">
        <f>-AM31</f>
        <v>5.8100000000000005</v>
      </c>
      <c r="AN38" s="24">
        <f>-AN31</f>
        <v>17.608999999999998</v>
      </c>
      <c r="AO38" s="20">
        <f>SUM(AK38:AN38)</f>
        <v>23.418999999999997</v>
      </c>
      <c r="AP38" s="24">
        <f>-AP31</f>
        <v>-8.6340000000000003</v>
      </c>
      <c r="AQ38" s="24">
        <f>-AQ31</f>
        <v>1.863</v>
      </c>
      <c r="AR38" s="24">
        <f>-AR31</f>
        <v>1.038</v>
      </c>
      <c r="AS38" s="24">
        <f>-AS31</f>
        <v>-3.617</v>
      </c>
      <c r="AT38" s="20">
        <f>SUM(AP38:AS38)</f>
        <v>-9.3500000000000014</v>
      </c>
      <c r="AU38" s="24">
        <f>-AU31</f>
        <v>-1.7699999999999998</v>
      </c>
      <c r="AV38" s="24">
        <f>-AV31</f>
        <v>0.50800000000000001</v>
      </c>
      <c r="AW38" s="24">
        <f>-AW31</f>
        <v>0</v>
      </c>
      <c r="AX38" s="24">
        <f>-AX31</f>
        <v>0</v>
      </c>
      <c r="AY38" s="20">
        <f>SUM(AU38:AX38)</f>
        <v>-1.2619999999999998</v>
      </c>
      <c r="AZ38" s="24">
        <f t="shared" ref="AZ38:BJ38" si="84">-AZ31</f>
        <v>0</v>
      </c>
      <c r="BA38" s="24">
        <f t="shared" si="84"/>
        <v>0</v>
      </c>
      <c r="BB38" s="24">
        <f t="shared" si="84"/>
        <v>0</v>
      </c>
      <c r="BC38" s="24">
        <f t="shared" si="84"/>
        <v>0</v>
      </c>
      <c r="BD38" s="20">
        <f>SUM(AZ38:BC38)</f>
        <v>0</v>
      </c>
      <c r="BE38" s="24">
        <f t="shared" si="84"/>
        <v>12.816000000000001</v>
      </c>
      <c r="BF38" s="24">
        <f t="shared" si="84"/>
        <v>39.326999999999998</v>
      </c>
      <c r="BG38" s="24">
        <f t="shared" si="84"/>
        <v>3.169</v>
      </c>
      <c r="BH38" s="24">
        <f t="shared" si="84"/>
        <v>2.4950000000000001</v>
      </c>
      <c r="BI38" s="20">
        <f>SUM(BE38:BH38)</f>
        <v>57.806999999999995</v>
      </c>
      <c r="BJ38" s="24">
        <f t="shared" si="84"/>
        <v>0.46600000000000003</v>
      </c>
      <c r="BK38" s="24">
        <f>-BK31</f>
        <v>0</v>
      </c>
      <c r="BL38" s="24">
        <f>-BL31</f>
        <v>0</v>
      </c>
      <c r="BM38" s="39">
        <f>-BM31</f>
        <v>0</v>
      </c>
      <c r="BN38" s="20">
        <f>SUM(BJ38:BM38)</f>
        <v>0.46600000000000003</v>
      </c>
      <c r="BO38" s="24">
        <f>-BO31</f>
        <v>0</v>
      </c>
      <c r="BP38" s="24">
        <f>-BP31</f>
        <v>0</v>
      </c>
      <c r="BQ38" s="547">
        <f>-BQ31</f>
        <v>0</v>
      </c>
      <c r="BR38" s="24">
        <f>-BR31</f>
        <v>0</v>
      </c>
      <c r="BS38" s="20">
        <f>SUM(BO38:BR38)</f>
        <v>0</v>
      </c>
      <c r="BT38" s="577">
        <f>0.19*BT57</f>
        <v>20.364310960000001</v>
      </c>
      <c r="BU38" s="577">
        <f>(0.04+0.19)*BU57</f>
        <v>26.09905887</v>
      </c>
      <c r="BV38" s="577">
        <f>-0.01*BV57</f>
        <v>-1.1400000000000001</v>
      </c>
      <c r="BW38" s="24">
        <f>(0.25+0.09)*BW57</f>
        <v>39.099999999999994</v>
      </c>
      <c r="BX38" s="20">
        <f>SUM(BT38:BW38)</f>
        <v>84.423369829999999</v>
      </c>
      <c r="BY38" s="577">
        <f>0.11*BY57</f>
        <v>12.65634348</v>
      </c>
      <c r="BZ38" s="24"/>
      <c r="CA38" s="24">
        <f>0.07*CA57</f>
        <v>8.1457709900000008</v>
      </c>
      <c r="CB38" s="24"/>
      <c r="CC38" s="20"/>
      <c r="CD38" s="24">
        <f>-CD31</f>
        <v>1</v>
      </c>
      <c r="CE38" s="24">
        <f>(-0.54+0.18+0.07)*CE57</f>
        <v>-32.154992650000004</v>
      </c>
      <c r="CF38" s="24">
        <f>-CF31</f>
        <v>2</v>
      </c>
      <c r="CG38" s="24">
        <f>-CG31</f>
        <v>9</v>
      </c>
      <c r="CH38" s="20">
        <f>SUM(CD38:CG38)</f>
        <v>-20.154992650000004</v>
      </c>
      <c r="CI38" s="24">
        <f>-CI31</f>
        <v>1</v>
      </c>
      <c r="CJ38" s="24">
        <f>-CJ31</f>
        <v>6</v>
      </c>
      <c r="CK38" s="24">
        <f>-CK31</f>
        <v>2</v>
      </c>
      <c r="CL38" s="24">
        <f>-CL31</f>
        <v>3</v>
      </c>
      <c r="CM38" s="20">
        <f>SUM(CI38:CL38)</f>
        <v>12</v>
      </c>
      <c r="CN38" s="24">
        <f>-CN31</f>
        <v>0</v>
      </c>
      <c r="CO38" s="24">
        <f>-CO31</f>
        <v>0</v>
      </c>
      <c r="CP38" s="24">
        <f>-CP31</f>
        <v>0</v>
      </c>
      <c r="CQ38" s="24">
        <f>-CQ31</f>
        <v>0</v>
      </c>
      <c r="CR38" s="20">
        <f>SUM(CN38:CQ38)</f>
        <v>0</v>
      </c>
      <c r="CS38" s="24">
        <f>-CS31</f>
        <v>0</v>
      </c>
      <c r="CT38" s="24">
        <f>-CT31</f>
        <v>0</v>
      </c>
      <c r="CU38" s="24">
        <f>-CU31</f>
        <v>0</v>
      </c>
      <c r="CV38" s="24">
        <f>-CV31</f>
        <v>0</v>
      </c>
      <c r="CW38" s="20">
        <f>SUM(CS38:CV38)</f>
        <v>0</v>
      </c>
      <c r="CX38" s="24">
        <f>-CX31</f>
        <v>0</v>
      </c>
      <c r="CY38" s="24">
        <f>-CY31</f>
        <v>0</v>
      </c>
      <c r="CZ38" s="24">
        <f>-CZ31</f>
        <v>0</v>
      </c>
      <c r="DA38" s="24">
        <f>-DA31</f>
        <v>0</v>
      </c>
      <c r="DB38" s="20">
        <f>SUM(CX38:DA38)</f>
        <v>0</v>
      </c>
      <c r="DC38"/>
      <c r="DD38"/>
      <c r="DE38"/>
      <c r="DF38"/>
      <c r="DG38"/>
      <c r="DJ38"/>
    </row>
    <row r="39" spans="1:114" s="725" customFormat="1" hidden="1" outlineLevel="1">
      <c r="A39" s="49"/>
      <c r="B39" s="538" t="s">
        <v>208</v>
      </c>
      <c r="C39" s="303"/>
      <c r="D39" s="303">
        <v>0</v>
      </c>
      <c r="E39" s="303">
        <v>0</v>
      </c>
      <c r="F39" s="303">
        <v>0</v>
      </c>
      <c r="G39" s="39">
        <v>0</v>
      </c>
      <c r="H39" s="263">
        <v>0</v>
      </c>
      <c r="I39" s="39">
        <v>0</v>
      </c>
      <c r="J39" s="39">
        <v>0</v>
      </c>
      <c r="K39" s="20">
        <f>SUM(G39:J39)</f>
        <v>0</v>
      </c>
      <c r="L39" s="39">
        <v>0</v>
      </c>
      <c r="M39" s="263">
        <v>0</v>
      </c>
      <c r="N39" s="39">
        <v>0</v>
      </c>
      <c r="O39" s="39">
        <v>0</v>
      </c>
      <c r="P39" s="20">
        <f>SUM(L39:O39)</f>
        <v>0</v>
      </c>
      <c r="Q39" s="39">
        <v>0</v>
      </c>
      <c r="R39" s="263">
        <v>0</v>
      </c>
      <c r="S39" s="39">
        <v>0</v>
      </c>
      <c r="T39" s="39">
        <v>0</v>
      </c>
      <c r="U39" s="20">
        <f>SUM(Q39:T39)</f>
        <v>0</v>
      </c>
      <c r="V39" s="39">
        <v>0</v>
      </c>
      <c r="W39" s="39">
        <v>0.6</v>
      </c>
      <c r="X39" s="39">
        <f>0.8+1.5+0.788</f>
        <v>3.0880000000000001</v>
      </c>
      <c r="Y39" s="39">
        <f>1.4+0.788+2.1-V39-W39-X39</f>
        <v>0.60000000000000009</v>
      </c>
      <c r="Z39" s="20">
        <f>SUM(V39:Y39)</f>
        <v>4.2880000000000003</v>
      </c>
      <c r="AA39" s="39">
        <v>0</v>
      </c>
      <c r="AB39" s="263">
        <v>0</v>
      </c>
      <c r="AC39" s="39">
        <v>0</v>
      </c>
      <c r="AD39" s="39">
        <v>0</v>
      </c>
      <c r="AE39" s="20">
        <f>SUM(AA39:AD39)</f>
        <v>0</v>
      </c>
      <c r="AF39" s="39">
        <v>0</v>
      </c>
      <c r="AG39" s="263">
        <v>0</v>
      </c>
      <c r="AH39" s="39">
        <v>40</v>
      </c>
      <c r="AI39" s="39">
        <v>0</v>
      </c>
      <c r="AJ39" s="20">
        <f>SUM(AF39:AI39)</f>
        <v>40</v>
      </c>
      <c r="AK39" s="39">
        <v>0</v>
      </c>
      <c r="AL39" s="263">
        <v>0</v>
      </c>
      <c r="AM39" s="39">
        <v>0</v>
      </c>
      <c r="AN39" s="39">
        <v>105.4</v>
      </c>
      <c r="AO39" s="20">
        <f>SUM(AK39:AN39)</f>
        <v>105.4</v>
      </c>
      <c r="AP39" s="39">
        <v>0</v>
      </c>
      <c r="AQ39" s="39">
        <f>9*(1-AQ96)</f>
        <v>5.625</v>
      </c>
      <c r="AR39" s="39">
        <v>2.4</v>
      </c>
      <c r="AS39" s="39">
        <f>4.5-2.4</f>
        <v>2.1</v>
      </c>
      <c r="AT39" s="20">
        <f>SUM(AP39:AS39)</f>
        <v>10.125</v>
      </c>
      <c r="AU39" s="39">
        <v>0</v>
      </c>
      <c r="AV39" s="263">
        <v>0</v>
      </c>
      <c r="AW39" s="39">
        <v>0</v>
      </c>
      <c r="AX39" s="39">
        <f>7.757-2.996</f>
        <v>4.7609999999999992</v>
      </c>
      <c r="AY39" s="20">
        <f>SUM(AU39:AX39)</f>
        <v>4.7609999999999992</v>
      </c>
      <c r="AZ39" s="39">
        <v>0</v>
      </c>
      <c r="BA39" s="263">
        <v>0</v>
      </c>
      <c r="BB39" s="39">
        <v>0</v>
      </c>
      <c r="BC39" s="39">
        <v>0</v>
      </c>
      <c r="BD39" s="20">
        <f>SUM(AZ39:BC39)</f>
        <v>0</v>
      </c>
      <c r="BE39" s="39">
        <v>0</v>
      </c>
      <c r="BF39" s="39">
        <v>0</v>
      </c>
      <c r="BG39" s="39">
        <v>0</v>
      </c>
      <c r="BH39" s="39">
        <v>0</v>
      </c>
      <c r="BI39" s="20">
        <f>SUM(BE39:BH39)</f>
        <v>0</v>
      </c>
      <c r="BJ39" s="39">
        <f>-0.48*BJ57+0.1*BJ57</f>
        <v>-33.764027519999999</v>
      </c>
      <c r="BK39" s="39">
        <v>0</v>
      </c>
      <c r="BL39" s="39">
        <v>0</v>
      </c>
      <c r="BM39" s="39">
        <f>0.16*BM57</f>
        <v>14.532480000000001</v>
      </c>
      <c r="BN39" s="20">
        <f>SUM(BJ39:BM39)</f>
        <v>-19.231547519999999</v>
      </c>
      <c r="BO39" s="24">
        <v>0</v>
      </c>
      <c r="BP39" s="24">
        <v>0</v>
      </c>
      <c r="BQ39" s="547">
        <f>0.68*BQ57</f>
        <v>64.248845280000012</v>
      </c>
      <c r="BR39" s="24">
        <v>0</v>
      </c>
      <c r="BS39" s="20">
        <f>SUM(BO39:BR39)</f>
        <v>64.248845280000012</v>
      </c>
      <c r="BT39" s="577">
        <f>(0.3+0.02+0.14+0.24)*BT57</f>
        <v>75.026408799999999</v>
      </c>
      <c r="BU39" s="577">
        <f>(0.07+0.06)*BU57</f>
        <v>14.751641970000001</v>
      </c>
      <c r="BV39" s="577">
        <f>(0.02+0.41+0.04)*BV57</f>
        <v>53.58</v>
      </c>
      <c r="BW39" s="24">
        <f>(0.01+0.15-0.14)*BW57</f>
        <v>2.2999999999999989</v>
      </c>
      <c r="BX39" s="20">
        <f>SUM(BT39:BW39)</f>
        <v>145.65805076999999</v>
      </c>
      <c r="BY39" s="577">
        <f>(0.04-0.03)*BY57</f>
        <v>1.1505766800000004</v>
      </c>
      <c r="BZ39" s="24">
        <f>(0.05+0.04-0.03+0.08+0.04)*BZ57</f>
        <v>20.89807506</v>
      </c>
      <c r="CA39" s="24">
        <f>0.04*CA57</f>
        <v>4.6547262800000002</v>
      </c>
      <c r="CB39" s="24">
        <f>(0.4+0.03+0.02)*CB57</f>
        <v>50.850000000000009</v>
      </c>
      <c r="CC39" s="20">
        <f>(0.13+0.4+0.14+0.15+0.09)*CC57</f>
        <v>104.89788763999999</v>
      </c>
      <c r="CD39" s="981">
        <f>0.15*CD57</f>
        <v>16.546405799999999</v>
      </c>
      <c r="CE39" s="24">
        <f>(13.29)*CE57</f>
        <v>1473.5856976499999</v>
      </c>
      <c r="CF39" s="24">
        <f>(0.28+0.06)*CF57</f>
        <v>37.701933600000004</v>
      </c>
      <c r="CG39" s="24">
        <f>+(2.35+0.03+0.02-0.04)*CG57</f>
        <v>261.95999999999998</v>
      </c>
      <c r="CH39" s="20">
        <f>SUM(CD39:CG39)+0.8</f>
        <v>1790.59403705</v>
      </c>
      <c r="CI39" s="981">
        <f>(0.12+0.04+1.92-0.23)*CI57</f>
        <v>205.81681234999999</v>
      </c>
      <c r="CJ39" s="981">
        <f>(0.06+0.77+0.04+0.04+0.01)*CJ57</f>
        <v>102.95706936000002</v>
      </c>
      <c r="CK39" s="981">
        <f>(0.02+0.19+0.01-0.04+0.01)*CK57</f>
        <v>21.267790220000002</v>
      </c>
      <c r="CL39" s="981">
        <f>+(0.03+13.94+0.06+3.38+0.29)*CL57</f>
        <v>1979.0977817999999</v>
      </c>
      <c r="CM39" s="20">
        <f>SUM(CI39:CL39)</f>
        <v>2309.1394537299998</v>
      </c>
      <c r="CN39" s="655"/>
      <c r="CO39" s="655"/>
      <c r="CP39" s="655"/>
      <c r="CQ39" s="655"/>
      <c r="CR39" s="20">
        <f>SUM(CN39:CQ39)</f>
        <v>0</v>
      </c>
      <c r="CS39" s="655">
        <v>0</v>
      </c>
      <c r="CT39" s="655">
        <v>0</v>
      </c>
      <c r="CU39" s="655">
        <v>0</v>
      </c>
      <c r="CV39" s="655">
        <v>0</v>
      </c>
      <c r="CW39" s="20">
        <f>SUM(CS39:CV39)</f>
        <v>0</v>
      </c>
      <c r="CX39" s="655"/>
      <c r="CY39" s="655"/>
      <c r="CZ39" s="655"/>
      <c r="DA39" s="655"/>
      <c r="DB39" s="20">
        <f>SUM(CX39:DA39)</f>
        <v>0</v>
      </c>
      <c r="DC39"/>
      <c r="DD39"/>
      <c r="DE39"/>
      <c r="DF39"/>
      <c r="DG39"/>
      <c r="DJ39"/>
    </row>
    <row r="40" spans="1:114" s="725" customFormat="1" hidden="1" outlineLevel="1">
      <c r="A40" s="537"/>
      <c r="B40" s="982" t="s">
        <v>198</v>
      </c>
      <c r="C40" s="305"/>
      <c r="D40" s="305">
        <v>0</v>
      </c>
      <c r="E40" s="305">
        <v>0</v>
      </c>
      <c r="F40" s="305">
        <v>0</v>
      </c>
      <c r="G40" s="240">
        <v>0</v>
      </c>
      <c r="H40" s="240">
        <v>0</v>
      </c>
      <c r="I40" s="240">
        <v>0</v>
      </c>
      <c r="J40" s="240">
        <v>3.8079999999999998</v>
      </c>
      <c r="K40" s="28">
        <f>SUM(G40:J40)</f>
        <v>3.8079999999999998</v>
      </c>
      <c r="L40" s="240">
        <v>0</v>
      </c>
      <c r="M40" s="240">
        <v>0</v>
      </c>
      <c r="N40" s="240">
        <v>5.274</v>
      </c>
      <c r="O40" s="240">
        <v>0</v>
      </c>
      <c r="P40" s="28">
        <f>SUM(L40:O40)</f>
        <v>5.274</v>
      </c>
      <c r="Q40" s="240">
        <v>0</v>
      </c>
      <c r="R40" s="240">
        <v>0</v>
      </c>
      <c r="S40" s="240">
        <v>0</v>
      </c>
      <c r="T40" s="240">
        <v>0</v>
      </c>
      <c r="U40" s="28">
        <f>SUM(Q40:T40)</f>
        <v>0</v>
      </c>
      <c r="V40" s="240">
        <v>0</v>
      </c>
      <c r="W40" s="240">
        <v>0</v>
      </c>
      <c r="X40" s="240">
        <v>0</v>
      </c>
      <c r="Y40" s="240">
        <v>0</v>
      </c>
      <c r="Z40" s="28">
        <f>SUM(V40:Y40)</f>
        <v>0</v>
      </c>
      <c r="AA40" s="240">
        <v>0</v>
      </c>
      <c r="AB40" s="240">
        <v>0</v>
      </c>
      <c r="AC40" s="240">
        <v>0</v>
      </c>
      <c r="AD40" s="240">
        <v>0</v>
      </c>
      <c r="AE40" s="28">
        <f>SUM(AA40:AD40)</f>
        <v>0</v>
      </c>
      <c r="AF40" s="240">
        <v>0</v>
      </c>
      <c r="AG40" s="240">
        <v>0</v>
      </c>
      <c r="AH40" s="240">
        <v>0</v>
      </c>
      <c r="AI40" s="240">
        <v>0</v>
      </c>
      <c r="AJ40" s="28">
        <f>SUM(AF40:AI40)</f>
        <v>0</v>
      </c>
      <c r="AK40" s="240">
        <v>0</v>
      </c>
      <c r="AL40" s="240">
        <v>0</v>
      </c>
      <c r="AM40" s="240">
        <v>17.5</v>
      </c>
      <c r="AN40" s="240">
        <f>-AN22*(1-AN96)</f>
        <v>6.0236999999999999E-2</v>
      </c>
      <c r="AO40" s="28">
        <f>SUM(AK40:AN40)</f>
        <v>17.560237000000001</v>
      </c>
      <c r="AP40" s="240">
        <v>0.9</v>
      </c>
      <c r="AQ40" s="240">
        <v>0</v>
      </c>
      <c r="AR40" s="240">
        <v>0</v>
      </c>
      <c r="AS40" s="240">
        <f>-1.6-AP40-AQ40-AR40</f>
        <v>-2.5</v>
      </c>
      <c r="AT40" s="28">
        <f>SUM(AP40:AS40)</f>
        <v>-1.6</v>
      </c>
      <c r="AU40" s="240">
        <v>-1.5</v>
      </c>
      <c r="AV40" s="240">
        <f>-AV22*(1-AV96)</f>
        <v>3.8400000000000001E-3</v>
      </c>
      <c r="AW40" s="240">
        <f>-AW22*(1-AW96)</f>
        <v>1.3440000000000001E-2</v>
      </c>
      <c r="AX40" s="240">
        <v>0</v>
      </c>
      <c r="AY40" s="28">
        <f>SUM(AU40:AX40)</f>
        <v>-1.48272</v>
      </c>
      <c r="AZ40" s="240">
        <v>0</v>
      </c>
      <c r="BA40" s="240">
        <v>0</v>
      </c>
      <c r="BB40" s="240">
        <v>0</v>
      </c>
      <c r="BC40" s="240">
        <v>0</v>
      </c>
      <c r="BD40" s="28">
        <f>SUM(AZ40:BC40)</f>
        <v>0</v>
      </c>
      <c r="BE40" s="240">
        <v>0</v>
      </c>
      <c r="BF40" s="240">
        <v>0</v>
      </c>
      <c r="BG40" s="240">
        <v>0</v>
      </c>
      <c r="BH40" s="240">
        <v>42</v>
      </c>
      <c r="BI40" s="28">
        <f>SUM(BE40:BH40)</f>
        <v>42</v>
      </c>
      <c r="BJ40" s="240">
        <f>0.44*BJ57</f>
        <v>39.095189760000004</v>
      </c>
      <c r="BK40" s="240">
        <v>0</v>
      </c>
      <c r="BL40" s="240">
        <f>0.37*BL57</f>
        <v>33.303330000000003</v>
      </c>
      <c r="BM40" s="240">
        <v>0</v>
      </c>
      <c r="BN40" s="28">
        <f>SUM(BJ40:BM40)</f>
        <v>72.398519759999999</v>
      </c>
      <c r="BO40" s="240">
        <f>0.01*BO57</f>
        <v>0.91998999999999997</v>
      </c>
      <c r="BP40" s="27">
        <v>0</v>
      </c>
      <c r="BQ40" s="983">
        <v>0</v>
      </c>
      <c r="BR40" s="27">
        <v>0</v>
      </c>
      <c r="BS40" s="28">
        <f>SUM(BO40:BR40)</f>
        <v>0.91998999999999997</v>
      </c>
      <c r="BT40" s="984">
        <f>0.42*BT57</f>
        <v>45.015845279999994</v>
      </c>
      <c r="BU40" s="984">
        <v>0</v>
      </c>
      <c r="BV40" s="984">
        <v>0</v>
      </c>
      <c r="BW40" s="27">
        <v>0</v>
      </c>
      <c r="BX40" s="28">
        <f>SUM(BT40:BW40)</f>
        <v>45.015845279999994</v>
      </c>
      <c r="BY40" s="984">
        <f>0.04*BY57</f>
        <v>4.6023067200000005</v>
      </c>
      <c r="BZ40" s="27"/>
      <c r="CA40" s="27">
        <v>0</v>
      </c>
      <c r="CB40" s="27">
        <v>0</v>
      </c>
      <c r="CC40" s="28"/>
      <c r="CD40" s="985">
        <v>0</v>
      </c>
      <c r="CE40" s="27">
        <v>0</v>
      </c>
      <c r="CF40" s="27">
        <v>0</v>
      </c>
      <c r="CG40" s="27">
        <v>0</v>
      </c>
      <c r="CH40" s="28">
        <f>SUM(CD40:CG40)</f>
        <v>0</v>
      </c>
      <c r="CI40" s="985">
        <v>0</v>
      </c>
      <c r="CJ40" s="27">
        <v>0</v>
      </c>
      <c r="CK40" s="27">
        <v>0</v>
      </c>
      <c r="CL40" s="27">
        <v>0</v>
      </c>
      <c r="CM40" s="28">
        <f>SUM(CI40:CL40)</f>
        <v>0</v>
      </c>
      <c r="CN40" s="27">
        <v>0</v>
      </c>
      <c r="CO40" s="27">
        <v>0</v>
      </c>
      <c r="CP40" s="27">
        <v>0</v>
      </c>
      <c r="CQ40" s="27">
        <v>0</v>
      </c>
      <c r="CR40" s="28">
        <f>SUM(CN40:CQ40)</f>
        <v>0</v>
      </c>
      <c r="CS40" s="27">
        <v>0</v>
      </c>
      <c r="CT40" s="27">
        <v>0</v>
      </c>
      <c r="CU40" s="27">
        <v>0</v>
      </c>
      <c r="CV40" s="27">
        <v>0</v>
      </c>
      <c r="CW40" s="28">
        <f>SUM(CS40:CV40)</f>
        <v>0</v>
      </c>
      <c r="CX40" s="27">
        <v>0</v>
      </c>
      <c r="CY40" s="27">
        <v>0</v>
      </c>
      <c r="CZ40" s="27">
        <v>0</v>
      </c>
      <c r="DA40" s="27">
        <v>0</v>
      </c>
      <c r="DB40" s="28">
        <f>SUM(CX40:DA40)</f>
        <v>0</v>
      </c>
      <c r="DC40"/>
      <c r="DD40"/>
      <c r="DE40"/>
      <c r="DF40"/>
      <c r="DG40"/>
      <c r="DJ40"/>
    </row>
    <row r="41" spans="1:114" s="725" customFormat="1" collapsed="1">
      <c r="A41" s="49"/>
      <c r="B41" s="986" t="s">
        <v>209</v>
      </c>
      <c r="C41" s="20"/>
      <c r="D41" s="20">
        <f t="shared" ref="D41:Z41" si="85">SUM(D38:D40)</f>
        <v>0</v>
      </c>
      <c r="E41" s="20">
        <f t="shared" si="85"/>
        <v>0</v>
      </c>
      <c r="F41" s="20">
        <f t="shared" si="85"/>
        <v>0</v>
      </c>
      <c r="G41" s="24">
        <f t="shared" si="85"/>
        <v>0</v>
      </c>
      <c r="H41" s="24">
        <f t="shared" si="85"/>
        <v>0</v>
      </c>
      <c r="I41" s="24">
        <f t="shared" si="85"/>
        <v>0</v>
      </c>
      <c r="J41" s="24">
        <f t="shared" si="85"/>
        <v>3.8079999999999998</v>
      </c>
      <c r="K41" s="20">
        <f t="shared" si="85"/>
        <v>3.8079999999999998</v>
      </c>
      <c r="L41" s="24">
        <f t="shared" si="85"/>
        <v>0</v>
      </c>
      <c r="M41" s="24">
        <f t="shared" si="85"/>
        <v>0</v>
      </c>
      <c r="N41" s="24">
        <f t="shared" si="85"/>
        <v>5.274</v>
      </c>
      <c r="O41" s="24">
        <f t="shared" si="85"/>
        <v>0</v>
      </c>
      <c r="P41" s="20">
        <f t="shared" si="85"/>
        <v>5.274</v>
      </c>
      <c r="Q41" s="24">
        <f t="shared" si="85"/>
        <v>0</v>
      </c>
      <c r="R41" s="24">
        <f t="shared" si="85"/>
        <v>0</v>
      </c>
      <c r="S41" s="24">
        <f t="shared" si="85"/>
        <v>0</v>
      </c>
      <c r="T41" s="24">
        <f t="shared" si="85"/>
        <v>0</v>
      </c>
      <c r="U41" s="20">
        <f t="shared" si="85"/>
        <v>0</v>
      </c>
      <c r="V41" s="24">
        <f t="shared" si="85"/>
        <v>0</v>
      </c>
      <c r="W41" s="24">
        <f t="shared" si="85"/>
        <v>0.6</v>
      </c>
      <c r="X41" s="24">
        <f t="shared" si="85"/>
        <v>8.6980000000000004</v>
      </c>
      <c r="Y41" s="24">
        <f t="shared" si="85"/>
        <v>1.0130000000000001</v>
      </c>
      <c r="Z41" s="20">
        <f t="shared" si="85"/>
        <v>10.311</v>
      </c>
      <c r="AA41" s="24">
        <f t="shared" ref="AA41:AI41" si="86">SUM(AA38:AA40)</f>
        <v>11.704000000000001</v>
      </c>
      <c r="AB41" s="24">
        <f t="shared" si="86"/>
        <v>5.6219999999999999</v>
      </c>
      <c r="AC41" s="24">
        <f t="shared" si="86"/>
        <v>1.18</v>
      </c>
      <c r="AD41" s="24">
        <f t="shared" si="86"/>
        <v>2.7010000000000001</v>
      </c>
      <c r="AE41" s="20">
        <f t="shared" si="86"/>
        <v>21.207000000000001</v>
      </c>
      <c r="AF41" s="24">
        <f t="shared" si="86"/>
        <v>3.2160000000000002</v>
      </c>
      <c r="AG41" s="24">
        <f t="shared" si="86"/>
        <v>0</v>
      </c>
      <c r="AH41" s="24">
        <f t="shared" si="86"/>
        <v>40</v>
      </c>
      <c r="AI41" s="24">
        <f t="shared" si="86"/>
        <v>0</v>
      </c>
      <c r="AJ41" s="20">
        <f t="shared" ref="AJ41:BO41" si="87">SUM(AJ38:AJ40)</f>
        <v>43.216000000000001</v>
      </c>
      <c r="AK41" s="24">
        <f t="shared" si="87"/>
        <v>0</v>
      </c>
      <c r="AL41" s="24">
        <f t="shared" si="87"/>
        <v>0</v>
      </c>
      <c r="AM41" s="24">
        <f t="shared" si="87"/>
        <v>23.310000000000002</v>
      </c>
      <c r="AN41" s="24">
        <f t="shared" si="87"/>
        <v>123.069237</v>
      </c>
      <c r="AO41" s="20">
        <f t="shared" si="87"/>
        <v>146.37923700000002</v>
      </c>
      <c r="AP41" s="24">
        <f t="shared" si="87"/>
        <v>-7.734</v>
      </c>
      <c r="AQ41" s="24">
        <f t="shared" si="87"/>
        <v>7.4879999999999995</v>
      </c>
      <c r="AR41" s="24">
        <f t="shared" si="87"/>
        <v>3.4379999999999997</v>
      </c>
      <c r="AS41" s="24">
        <f t="shared" si="87"/>
        <v>-4.0169999999999995</v>
      </c>
      <c r="AT41" s="20">
        <f t="shared" si="87"/>
        <v>-0.82500000000000151</v>
      </c>
      <c r="AU41" s="24">
        <f t="shared" si="87"/>
        <v>-3.2699999999999996</v>
      </c>
      <c r="AV41" s="24">
        <f t="shared" si="87"/>
        <v>0.51183999999999996</v>
      </c>
      <c r="AW41" s="24">
        <f t="shared" si="87"/>
        <v>1.3440000000000001E-2</v>
      </c>
      <c r="AX41" s="24">
        <f t="shared" si="87"/>
        <v>4.7609999999999992</v>
      </c>
      <c r="AY41" s="20">
        <f t="shared" si="87"/>
        <v>2.0162799999999996</v>
      </c>
      <c r="AZ41" s="24">
        <f t="shared" si="87"/>
        <v>0</v>
      </c>
      <c r="BA41" s="24">
        <f t="shared" si="87"/>
        <v>0</v>
      </c>
      <c r="BB41" s="24">
        <f t="shared" si="87"/>
        <v>0</v>
      </c>
      <c r="BC41" s="24">
        <f t="shared" si="87"/>
        <v>0</v>
      </c>
      <c r="BD41" s="20">
        <f t="shared" si="87"/>
        <v>0</v>
      </c>
      <c r="BE41" s="24">
        <f t="shared" si="87"/>
        <v>12.816000000000001</v>
      </c>
      <c r="BF41" s="24">
        <f t="shared" si="87"/>
        <v>39.326999999999998</v>
      </c>
      <c r="BG41" s="24">
        <f t="shared" si="87"/>
        <v>3.169</v>
      </c>
      <c r="BH41" s="24">
        <f t="shared" si="87"/>
        <v>44.494999999999997</v>
      </c>
      <c r="BI41" s="20">
        <f t="shared" si="87"/>
        <v>99.806999999999988</v>
      </c>
      <c r="BJ41" s="24">
        <f t="shared" si="87"/>
        <v>5.7971622400000058</v>
      </c>
      <c r="BK41" s="24">
        <f t="shared" si="87"/>
        <v>0</v>
      </c>
      <c r="BL41" s="24">
        <f t="shared" si="87"/>
        <v>33.303330000000003</v>
      </c>
      <c r="BM41" s="24">
        <f t="shared" si="87"/>
        <v>14.532480000000001</v>
      </c>
      <c r="BN41" s="20">
        <f t="shared" si="87"/>
        <v>53.632972240000001</v>
      </c>
      <c r="BO41" s="24">
        <f t="shared" si="87"/>
        <v>0.91998999999999997</v>
      </c>
      <c r="BP41" s="24">
        <f t="shared" ref="BP41:CD41" si="88">SUM(BP38:BP40)</f>
        <v>0</v>
      </c>
      <c r="BQ41" s="24">
        <f>SUM(BQ38:BQ39)</f>
        <v>64.248845280000012</v>
      </c>
      <c r="BR41" s="24">
        <f t="shared" si="88"/>
        <v>0</v>
      </c>
      <c r="BS41" s="20">
        <f>SUM(BS38:BS40)</f>
        <v>65.16883528000001</v>
      </c>
      <c r="BT41" s="24">
        <f t="shared" si="88"/>
        <v>140.40656503999998</v>
      </c>
      <c r="BU41" s="24">
        <f t="shared" si="88"/>
        <v>40.850700840000002</v>
      </c>
      <c r="BV41" s="24">
        <f t="shared" si="88"/>
        <v>52.44</v>
      </c>
      <c r="BW41" s="24">
        <f t="shared" si="88"/>
        <v>41.399999999999991</v>
      </c>
      <c r="BX41" s="20">
        <f t="shared" si="88"/>
        <v>275.09726588000001</v>
      </c>
      <c r="BY41" s="24">
        <f t="shared" si="88"/>
        <v>18.409226880000002</v>
      </c>
      <c r="BZ41" s="24">
        <f t="shared" si="88"/>
        <v>20.89807506</v>
      </c>
      <c r="CA41" s="24">
        <f t="shared" si="88"/>
        <v>12.800497270000001</v>
      </c>
      <c r="CB41" s="24">
        <f t="shared" si="88"/>
        <v>50.850000000000009</v>
      </c>
      <c r="CC41" s="20">
        <f t="shared" si="88"/>
        <v>104.89788763999999</v>
      </c>
      <c r="CD41" s="893">
        <f t="shared" si="88"/>
        <v>17.546405799999999</v>
      </c>
      <c r="CE41" s="24">
        <f t="shared" ref="CE41:CM41" si="89">SUM(CE38:CE40)</f>
        <v>1441.430705</v>
      </c>
      <c r="CF41" s="24">
        <f t="shared" si="89"/>
        <v>39.701933600000004</v>
      </c>
      <c r="CG41" s="24">
        <f t="shared" si="89"/>
        <v>270.95999999999998</v>
      </c>
      <c r="CH41" s="20">
        <f t="shared" si="89"/>
        <v>1770.4390444000001</v>
      </c>
      <c r="CI41" s="893">
        <f t="shared" si="89"/>
        <v>206.81681234999999</v>
      </c>
      <c r="CJ41" s="24">
        <f t="shared" si="89"/>
        <v>108.95706936000002</v>
      </c>
      <c r="CK41" s="24">
        <f t="shared" ref="CK41" si="90">SUM(CK38:CK40)</f>
        <v>23.267790220000002</v>
      </c>
      <c r="CL41" s="24">
        <f t="shared" ref="CL41" si="91">SUM(CL38:CL40)</f>
        <v>1982.0977817999999</v>
      </c>
      <c r="CM41" s="20">
        <f t="shared" si="89"/>
        <v>2321.1394537299998</v>
      </c>
      <c r="CN41" s="24">
        <f t="shared" ref="CN41:CR41" si="92">SUM(CN38:CN40)</f>
        <v>0</v>
      </c>
      <c r="CO41" s="24">
        <f t="shared" si="92"/>
        <v>0</v>
      </c>
      <c r="CP41" s="24">
        <f t="shared" si="92"/>
        <v>0</v>
      </c>
      <c r="CQ41" s="24">
        <f t="shared" si="92"/>
        <v>0</v>
      </c>
      <c r="CR41" s="20">
        <f t="shared" si="92"/>
        <v>0</v>
      </c>
      <c r="CS41" s="24">
        <f t="shared" ref="CS41:CW41" si="93">SUM(CS38:CS40)</f>
        <v>0</v>
      </c>
      <c r="CT41" s="24">
        <f t="shared" si="93"/>
        <v>0</v>
      </c>
      <c r="CU41" s="24">
        <f t="shared" si="93"/>
        <v>0</v>
      </c>
      <c r="CV41" s="24">
        <f t="shared" si="93"/>
        <v>0</v>
      </c>
      <c r="CW41" s="20">
        <f t="shared" si="93"/>
        <v>0</v>
      </c>
      <c r="CX41" s="24">
        <f t="shared" ref="CX41:DB41" si="94">SUM(CX38:CX40)</f>
        <v>0</v>
      </c>
      <c r="CY41" s="24">
        <f t="shared" si="94"/>
        <v>0</v>
      </c>
      <c r="CZ41" s="24">
        <f t="shared" si="94"/>
        <v>0</v>
      </c>
      <c r="DA41" s="24">
        <f t="shared" si="94"/>
        <v>0</v>
      </c>
      <c r="DB41" s="20">
        <f t="shared" si="94"/>
        <v>0</v>
      </c>
      <c r="DC41"/>
      <c r="DD41"/>
      <c r="DE41"/>
      <c r="DF41"/>
      <c r="DG41"/>
      <c r="DJ41"/>
    </row>
    <row r="42" spans="1:114" s="725" customFormat="1">
      <c r="A42" s="1309"/>
      <c r="B42" s="1310" t="s">
        <v>215</v>
      </c>
      <c r="C42" s="1311"/>
      <c r="D42" s="1311">
        <f t="shared" ref="D42:Z42" si="95">D34+D41</f>
        <v>-473.08199999999999</v>
      </c>
      <c r="E42" s="1311">
        <f t="shared" si="95"/>
        <v>-16.789000000000048</v>
      </c>
      <c r="F42" s="1311">
        <f t="shared" si="95"/>
        <v>9.5689999999998783</v>
      </c>
      <c r="G42" s="1312">
        <f t="shared" si="95"/>
        <v>10.847999999999992</v>
      </c>
      <c r="H42" s="1312">
        <f t="shared" si="95"/>
        <v>9.6510000000000407</v>
      </c>
      <c r="I42" s="1312">
        <f t="shared" si="95"/>
        <v>10.041000000000009</v>
      </c>
      <c r="J42" s="1312">
        <f t="shared" si="95"/>
        <v>18.011000000000028</v>
      </c>
      <c r="K42" s="1311">
        <f t="shared" si="95"/>
        <v>48.551000000000009</v>
      </c>
      <c r="L42" s="1312">
        <f t="shared" si="95"/>
        <v>27.176000000000034</v>
      </c>
      <c r="M42" s="1312">
        <f t="shared" si="95"/>
        <v>24.240999999999985</v>
      </c>
      <c r="N42" s="1312">
        <f t="shared" si="95"/>
        <v>25.430000000000028</v>
      </c>
      <c r="O42" s="1312">
        <f t="shared" si="95"/>
        <v>28.411000000000019</v>
      </c>
      <c r="P42" s="1311">
        <f t="shared" si="95"/>
        <v>105.2579999999999</v>
      </c>
      <c r="Q42" s="1312">
        <f t="shared" si="95"/>
        <v>33.53900000000008</v>
      </c>
      <c r="R42" s="1312">
        <f t="shared" si="95"/>
        <v>30.616000000000057</v>
      </c>
      <c r="S42" s="1312">
        <f t="shared" si="95"/>
        <v>31.683000000000117</v>
      </c>
      <c r="T42" s="1312">
        <f t="shared" si="95"/>
        <v>35.634</v>
      </c>
      <c r="U42" s="1311">
        <f t="shared" si="95"/>
        <v>131.47200000000066</v>
      </c>
      <c r="V42" s="1312">
        <f t="shared" si="95"/>
        <v>40.726000000000042</v>
      </c>
      <c r="W42" s="1312">
        <f t="shared" si="95"/>
        <v>39.03900000000003</v>
      </c>
      <c r="X42" s="1312">
        <f t="shared" si="95"/>
        <v>40.737000000000059</v>
      </c>
      <c r="Y42" s="1312">
        <f t="shared" si="95"/>
        <v>41.24199999999999</v>
      </c>
      <c r="Z42" s="1311">
        <f t="shared" si="95"/>
        <v>161.74400000000094</v>
      </c>
      <c r="AA42" s="1312">
        <f>AA34+AA41</f>
        <v>47.691999999999851</v>
      </c>
      <c r="AB42" s="1312">
        <f t="shared" ref="AB42:CD42" si="96">AB34+AB41</f>
        <v>46.150000000000041</v>
      </c>
      <c r="AC42" s="1312">
        <f t="shared" si="96"/>
        <v>44.066000000000059</v>
      </c>
      <c r="AD42" s="1312">
        <f t="shared" si="96"/>
        <v>50.842999999999883</v>
      </c>
      <c r="AE42" s="1311">
        <f t="shared" si="96"/>
        <v>188.75100000000032</v>
      </c>
      <c r="AF42" s="1312">
        <f t="shared" si="96"/>
        <v>57.253999999999849</v>
      </c>
      <c r="AG42" s="1312">
        <f t="shared" si="96"/>
        <v>52.369000000000149</v>
      </c>
      <c r="AH42" s="1312">
        <f t="shared" si="96"/>
        <v>48.241000000000014</v>
      </c>
      <c r="AI42" s="1312">
        <f t="shared" si="96"/>
        <v>53.615000000000059</v>
      </c>
      <c r="AJ42" s="1311">
        <f t="shared" si="96"/>
        <v>211.47900000000035</v>
      </c>
      <c r="AK42" s="1312">
        <f t="shared" si="96"/>
        <v>54.323999999999948</v>
      </c>
      <c r="AL42" s="1312">
        <f t="shared" si="96"/>
        <v>53.762999999999877</v>
      </c>
      <c r="AM42" s="1312">
        <f t="shared" si="96"/>
        <v>33.770000000000408</v>
      </c>
      <c r="AN42" s="1312">
        <f t="shared" si="96"/>
        <v>34.811237000000048</v>
      </c>
      <c r="AO42" s="1311">
        <f t="shared" si="96"/>
        <v>176.66823700000052</v>
      </c>
      <c r="AP42" s="1312">
        <f t="shared" si="96"/>
        <v>52.393000000000178</v>
      </c>
      <c r="AQ42" s="1312">
        <f t="shared" si="96"/>
        <v>55.380999999999851</v>
      </c>
      <c r="AR42" s="1312">
        <f t="shared" si="96"/>
        <v>53.821999999999619</v>
      </c>
      <c r="AS42" s="1312">
        <f t="shared" si="96"/>
        <v>55.883000000000067</v>
      </c>
      <c r="AT42" s="1311">
        <f t="shared" si="96"/>
        <v>217.47899999999996</v>
      </c>
      <c r="AU42" s="1312">
        <f t="shared" si="96"/>
        <v>55.644999999999513</v>
      </c>
      <c r="AV42" s="1312">
        <f t="shared" si="96"/>
        <v>59.946839999999895</v>
      </c>
      <c r="AW42" s="1312">
        <f t="shared" si="96"/>
        <v>59.725440000000475</v>
      </c>
      <c r="AX42" s="1312">
        <f t="shared" si="96"/>
        <v>69.849000000000601</v>
      </c>
      <c r="AY42" s="1311">
        <f t="shared" si="96"/>
        <v>245.16628000000088</v>
      </c>
      <c r="AZ42" s="1312">
        <f t="shared" si="96"/>
        <v>70.007000000000289</v>
      </c>
      <c r="BA42" s="1312">
        <f t="shared" si="96"/>
        <v>70.065000000000268</v>
      </c>
      <c r="BB42" s="1312">
        <f t="shared" si="96"/>
        <v>70.401000000000067</v>
      </c>
      <c r="BC42" s="1312">
        <f t="shared" si="96"/>
        <v>69.509999999999707</v>
      </c>
      <c r="BD42" s="1311">
        <f t="shared" si="96"/>
        <v>279.98299999999995</v>
      </c>
      <c r="BE42" s="1312">
        <f t="shared" si="96"/>
        <v>74.139999999999802</v>
      </c>
      <c r="BF42" s="1312">
        <f t="shared" si="96"/>
        <v>74.716000000000136</v>
      </c>
      <c r="BG42" s="1312">
        <f t="shared" si="96"/>
        <v>77.473000000000681</v>
      </c>
      <c r="BH42" s="1312">
        <f t="shared" si="96"/>
        <v>75.426000000000101</v>
      </c>
      <c r="BI42" s="1311">
        <f t="shared" si="96"/>
        <v>301.7550000000017</v>
      </c>
      <c r="BJ42" s="1312">
        <f t="shared" si="96"/>
        <v>81.271162239999938</v>
      </c>
      <c r="BK42" s="1312">
        <f t="shared" si="96"/>
        <v>83.358999999999583</v>
      </c>
      <c r="BL42" s="1312">
        <f t="shared" si="96"/>
        <v>77.536329999999595</v>
      </c>
      <c r="BM42" s="1312">
        <f>BM34+BM41</f>
        <v>77.106479999999735</v>
      </c>
      <c r="BN42" s="1311">
        <f t="shared" si="96"/>
        <v>319.27297224000068</v>
      </c>
      <c r="BO42" s="1313">
        <f t="shared" si="96"/>
        <v>80.093989999999863</v>
      </c>
      <c r="BP42" s="1312">
        <f t="shared" si="96"/>
        <v>29.75299999999968</v>
      </c>
      <c r="BQ42" s="1312">
        <f t="shared" si="96"/>
        <v>68.343845280000238</v>
      </c>
      <c r="BR42" s="1312">
        <f t="shared" si="96"/>
        <v>40.481000000000293</v>
      </c>
      <c r="BS42" s="1311">
        <f>BS34+BS41</f>
        <v>218.67183527999816</v>
      </c>
      <c r="BT42" s="1313">
        <f t="shared" si="96"/>
        <v>28.406565039999975</v>
      </c>
      <c r="BU42" s="1313">
        <f t="shared" si="96"/>
        <v>82.850700840000002</v>
      </c>
      <c r="BV42" s="1313">
        <f t="shared" si="96"/>
        <v>114.44000000000045</v>
      </c>
      <c r="BW42" s="1312">
        <f t="shared" si="96"/>
        <v>141.39999999999998</v>
      </c>
      <c r="BX42" s="1314">
        <f t="shared" si="96"/>
        <v>367.09726588000046</v>
      </c>
      <c r="BY42" s="1313">
        <f t="shared" si="96"/>
        <v>97.409226880000006</v>
      </c>
      <c r="BZ42" s="1312">
        <f>BZ34+BZ41</f>
        <v>131.89807506</v>
      </c>
      <c r="CA42" s="1312">
        <f t="shared" si="96"/>
        <v>64.800497269999994</v>
      </c>
      <c r="CB42" s="1312">
        <f t="shared" si="96"/>
        <v>-32.149999999999991</v>
      </c>
      <c r="CC42" s="1314">
        <f t="shared" si="96"/>
        <v>263.89788764000002</v>
      </c>
      <c r="CD42" s="1315">
        <f t="shared" si="96"/>
        <v>28.546405799999999</v>
      </c>
      <c r="CE42" s="1312">
        <f t="shared" ref="CE42:CJ42" si="97">CE34+CE41</f>
        <v>9.430704999999989</v>
      </c>
      <c r="CF42" s="1312">
        <f t="shared" si="97"/>
        <v>-39.298066399999996</v>
      </c>
      <c r="CG42" s="1312">
        <f t="shared" si="97"/>
        <v>50.95999999999998</v>
      </c>
      <c r="CH42" s="1311">
        <f t="shared" si="97"/>
        <v>50.439044400000057</v>
      </c>
      <c r="CI42" s="1315">
        <f t="shared" si="97"/>
        <v>8.8168123499999922</v>
      </c>
      <c r="CJ42" s="1312">
        <f t="shared" si="97"/>
        <v>-28.04293063999998</v>
      </c>
      <c r="CK42" s="1312">
        <f t="shared" ref="CK42" si="98">CK34+CK41</f>
        <v>-86.732209780000005</v>
      </c>
      <c r="CL42" s="1312">
        <f t="shared" ref="CL42" si="99">CL34+CL41</f>
        <v>-30.902218200000107</v>
      </c>
      <c r="CM42" s="1311">
        <f>CM34+CM41</f>
        <v>-136.86054627000021</v>
      </c>
      <c r="CN42" s="1312">
        <f t="shared" ref="CN42:CR42" ca="1" si="100">CN34+CN41</f>
        <v>-28.922860159349153</v>
      </c>
      <c r="CO42" s="1312">
        <f t="shared" ca="1" si="100"/>
        <v>-34.757907680165438</v>
      </c>
      <c r="CP42" s="1312">
        <f t="shared" ca="1" si="100"/>
        <v>-44.686829245940991</v>
      </c>
      <c r="CQ42" s="1312">
        <f t="shared" ca="1" si="100"/>
        <v>-36.788962012429614</v>
      </c>
      <c r="CR42" s="1311">
        <f t="shared" ca="1" si="100"/>
        <v>-145.15655909788609</v>
      </c>
      <c r="CS42" s="1312">
        <f t="shared" ref="CS42:CW42" ca="1" si="101">CS34+CS41</f>
        <v>-20.697140831412181</v>
      </c>
      <c r="CT42" s="1312">
        <f t="shared" ca="1" si="101"/>
        <v>-19.520831491086128</v>
      </c>
      <c r="CU42" s="1312">
        <f t="shared" ca="1" si="101"/>
        <v>-9.0256832324208496</v>
      </c>
      <c r="CV42" s="1312">
        <f t="shared" ca="1" si="101"/>
        <v>-16.168817525482055</v>
      </c>
      <c r="CW42" s="1311">
        <f t="shared" ca="1" si="101"/>
        <v>-65.412473080399394</v>
      </c>
      <c r="CX42" s="1312">
        <f t="shared" ref="CX42:DB42" ca="1" si="102">CX34+CX41</f>
        <v>-20.825625728726827</v>
      </c>
      <c r="CY42" s="1312">
        <f t="shared" ca="1" si="102"/>
        <v>-11.765532789882752</v>
      </c>
      <c r="CZ42" s="1312">
        <f t="shared" ca="1" si="102"/>
        <v>-9.2074393148599967</v>
      </c>
      <c r="DA42" s="1312">
        <f t="shared" ca="1" si="102"/>
        <v>-10.215652476437548</v>
      </c>
      <c r="DB42" s="1311">
        <f t="shared" ca="1" si="102"/>
        <v>-52.014250309906636</v>
      </c>
      <c r="DC42"/>
      <c r="DD42"/>
      <c r="DE42"/>
      <c r="DF42"/>
      <c r="DG42"/>
      <c r="DJ42"/>
    </row>
    <row r="43" spans="1:114" s="725" customFormat="1" ht="2.1" customHeight="1" thickBot="1">
      <c r="A43" s="49"/>
      <c r="B43" s="37"/>
      <c r="C43" s="18"/>
      <c r="D43" s="18"/>
      <c r="E43" s="18"/>
      <c r="F43" s="18"/>
      <c r="G43" s="37"/>
      <c r="H43" s="37"/>
      <c r="I43" s="37"/>
      <c r="J43" s="37"/>
      <c r="K43" s="18"/>
      <c r="L43" s="37"/>
      <c r="M43" s="37"/>
      <c r="N43" s="37"/>
      <c r="O43" s="37"/>
      <c r="P43" s="18"/>
      <c r="Q43" s="37"/>
      <c r="R43" s="37"/>
      <c r="S43" s="37"/>
      <c r="T43" s="37"/>
      <c r="U43" s="18"/>
      <c r="V43" s="37"/>
      <c r="W43" s="37"/>
      <c r="X43" s="37"/>
      <c r="Y43" s="37"/>
      <c r="Z43" s="18"/>
      <c r="AA43" s="37"/>
      <c r="AB43" s="37"/>
      <c r="AC43" s="37"/>
      <c r="AD43" s="37"/>
      <c r="AE43" s="18"/>
      <c r="AF43" s="37"/>
      <c r="AG43" s="37"/>
      <c r="AH43" s="37"/>
      <c r="AI43" s="37"/>
      <c r="AJ43" s="18"/>
      <c r="AK43" s="37"/>
      <c r="AL43" s="37"/>
      <c r="AM43" s="37"/>
      <c r="AN43" s="37"/>
      <c r="AO43" s="18"/>
      <c r="AP43" s="37"/>
      <c r="AQ43" s="37"/>
      <c r="AR43" s="37"/>
      <c r="AS43" s="37"/>
      <c r="AT43" s="18"/>
      <c r="AU43" s="37"/>
      <c r="AV43" s="40"/>
      <c r="AW43" s="37"/>
      <c r="AX43" s="37"/>
      <c r="AY43" s="18"/>
      <c r="AZ43" s="37"/>
      <c r="BA43" s="40"/>
      <c r="BB43" s="37"/>
      <c r="BC43" s="37"/>
      <c r="BD43" s="18"/>
      <c r="BE43" s="37"/>
      <c r="BF43" s="40"/>
      <c r="BG43" s="37"/>
      <c r="BH43" s="37"/>
      <c r="BI43" s="18"/>
      <c r="BJ43" s="37"/>
      <c r="BK43" s="37"/>
      <c r="BL43" s="37"/>
      <c r="BM43" s="37"/>
      <c r="BN43" s="18"/>
      <c r="BO43" s="987"/>
      <c r="BP43" s="987"/>
      <c r="BQ43" s="987"/>
      <c r="BR43" s="987"/>
      <c r="BS43" s="988"/>
      <c r="BT43" s="987"/>
      <c r="BU43" s="37"/>
      <c r="BV43" s="37"/>
      <c r="BW43" s="987"/>
      <c r="BX43" s="18"/>
      <c r="BY43" s="987"/>
      <c r="BZ43" s="37"/>
      <c r="CA43" s="37"/>
      <c r="CB43" s="987"/>
      <c r="CC43" s="18"/>
      <c r="CD43" s="898"/>
      <c r="CE43" s="37"/>
      <c r="CF43" s="37"/>
      <c r="CG43" s="37"/>
      <c r="CH43" s="1000"/>
      <c r="CI43" s="37"/>
      <c r="CJ43" s="37"/>
      <c r="CK43" s="37"/>
      <c r="CL43" s="37"/>
      <c r="CM43" s="18"/>
      <c r="CN43" s="37"/>
      <c r="CO43" s="37"/>
      <c r="CP43" s="37"/>
      <c r="CQ43" s="37"/>
      <c r="CR43" s="18"/>
      <c r="CS43" s="37"/>
      <c r="CT43" s="37"/>
      <c r="CU43" s="37"/>
      <c r="CV43" s="37"/>
      <c r="CW43" s="18"/>
      <c r="CX43" s="37"/>
      <c r="CY43" s="37"/>
      <c r="CZ43" s="37"/>
      <c r="DA43" s="37"/>
      <c r="DB43" s="18"/>
      <c r="DC43"/>
      <c r="DD43"/>
      <c r="DE43"/>
      <c r="DF43"/>
      <c r="DG43"/>
      <c r="DJ43"/>
    </row>
    <row r="44" spans="1:114" s="725" customFormat="1" ht="13.5" thickBot="1">
      <c r="A44" s="1298"/>
      <c r="B44" s="1299" t="s">
        <v>216</v>
      </c>
      <c r="C44" s="1305"/>
      <c r="D44" s="1305">
        <f t="shared" ref="D44:AI44" si="103">(D42+D35)/D57</f>
        <v>-6.8377107548707965</v>
      </c>
      <c r="E44" s="1305">
        <f t="shared" si="103"/>
        <v>-0.30780072904900868</v>
      </c>
      <c r="F44" s="1305">
        <f t="shared" si="103"/>
        <v>0.13830594741156463</v>
      </c>
      <c r="G44" s="1306">
        <f t="shared" si="103"/>
        <v>0.12386895924724933</v>
      </c>
      <c r="H44" s="1306">
        <f t="shared" si="103"/>
        <v>0.11027471361053616</v>
      </c>
      <c r="I44" s="1306">
        <f t="shared" si="103"/>
        <v>0.11431865976314495</v>
      </c>
      <c r="J44" s="1306">
        <f t="shared" si="103"/>
        <v>0.18400727406469042</v>
      </c>
      <c r="K44" s="1305">
        <f t="shared" si="103"/>
        <v>0.53795270696437081</v>
      </c>
      <c r="L44" s="1306">
        <f t="shared" si="103"/>
        <v>0.27146649631038561</v>
      </c>
      <c r="M44" s="1306">
        <f t="shared" si="103"/>
        <v>0.24278964531258224</v>
      </c>
      <c r="N44" s="1306">
        <f t="shared" si="103"/>
        <v>0.25452316105472567</v>
      </c>
      <c r="O44" s="1306">
        <f t="shared" si="103"/>
        <v>0.28229563548806719</v>
      </c>
      <c r="P44" s="1305">
        <f t="shared" si="103"/>
        <v>1.0520111294408638</v>
      </c>
      <c r="Q44" s="1306">
        <f t="shared" si="103"/>
        <v>0.3313663249714231</v>
      </c>
      <c r="R44" s="1306">
        <f t="shared" si="103"/>
        <v>0.30441221777482153</v>
      </c>
      <c r="S44" s="1306">
        <f t="shared" si="103"/>
        <v>0.31327236280454229</v>
      </c>
      <c r="T44" s="1306">
        <f t="shared" si="103"/>
        <v>0.34805333431487118</v>
      </c>
      <c r="U44" s="1305">
        <f t="shared" si="103"/>
        <v>1.2972760727151846</v>
      </c>
      <c r="V44" s="1306">
        <f t="shared" si="103"/>
        <v>0.3932220737673619</v>
      </c>
      <c r="W44" s="1306">
        <f t="shared" si="103"/>
        <v>0.37824074256287193</v>
      </c>
      <c r="X44" s="1306">
        <f t="shared" si="103"/>
        <v>0.39794329894809471</v>
      </c>
      <c r="Y44" s="1306">
        <f t="shared" si="103"/>
        <v>0.44538332171130879</v>
      </c>
      <c r="Z44" s="1305">
        <f t="shared" si="103"/>
        <v>1.6105695819127668</v>
      </c>
      <c r="AA44" s="1306">
        <f t="shared" si="103"/>
        <v>0.50853789254173432</v>
      </c>
      <c r="AB44" s="1306">
        <f t="shared" si="103"/>
        <v>0.48665580598377378</v>
      </c>
      <c r="AC44" s="1306">
        <f t="shared" si="103"/>
        <v>0.46945584571635884</v>
      </c>
      <c r="AD44" s="1306">
        <f t="shared" si="103"/>
        <v>0.53706206994684247</v>
      </c>
      <c r="AE44" s="1305">
        <f t="shared" si="103"/>
        <v>2.0015829380848844</v>
      </c>
      <c r="AF44" s="1306">
        <f t="shared" si="103"/>
        <v>0.58435420012434314</v>
      </c>
      <c r="AG44" s="1306">
        <f t="shared" si="103"/>
        <v>0.54060937037316481</v>
      </c>
      <c r="AH44" s="1306">
        <f t="shared" si="103"/>
        <v>0.50642055837566935</v>
      </c>
      <c r="AI44" s="1306">
        <f t="shared" si="103"/>
        <v>0.56648528712557511</v>
      </c>
      <c r="AJ44" s="1305">
        <f t="shared" ref="AJ44:BO44" si="104">(AJ42+AJ35)/AJ57</f>
        <v>2.198977459997836</v>
      </c>
      <c r="AK44" s="1306">
        <f t="shared" si="104"/>
        <v>0.57567776084452693</v>
      </c>
      <c r="AL44" s="1306">
        <f t="shared" si="104"/>
        <v>0.56803180039867651</v>
      </c>
      <c r="AM44" s="1306">
        <f t="shared" si="104"/>
        <v>0.3560668203198194</v>
      </c>
      <c r="AN44" s="1306">
        <f t="shared" si="104"/>
        <v>0.37166079817219044</v>
      </c>
      <c r="AO44" s="1305">
        <f t="shared" si="104"/>
        <v>1.8666943660516144</v>
      </c>
      <c r="AP44" s="1306">
        <f t="shared" si="104"/>
        <v>0.55146624837205127</v>
      </c>
      <c r="AQ44" s="1306">
        <f t="shared" si="104"/>
        <v>0.57982605888298322</v>
      </c>
      <c r="AR44" s="1306">
        <f t="shared" si="104"/>
        <v>0.5655947877259313</v>
      </c>
      <c r="AS44" s="1306">
        <f t="shared" si="104"/>
        <v>0.60852852460444573</v>
      </c>
      <c r="AT44" s="1305">
        <f t="shared" si="104"/>
        <v>2.3065192590312042</v>
      </c>
      <c r="AU44" s="1306">
        <f t="shared" si="104"/>
        <v>0.61225630504612205</v>
      </c>
      <c r="AV44" s="1306">
        <f t="shared" si="104"/>
        <v>0.65824184689361487</v>
      </c>
      <c r="AW44" s="1306">
        <f t="shared" si="104"/>
        <v>0.64911377412868254</v>
      </c>
      <c r="AX44" s="1306">
        <f t="shared" si="104"/>
        <v>0.75350327403748263</v>
      </c>
      <c r="AY44" s="1305">
        <f t="shared" si="104"/>
        <v>2.6789071536374749</v>
      </c>
      <c r="AZ44" s="1306">
        <f t="shared" si="104"/>
        <v>0.75408957630231133</v>
      </c>
      <c r="BA44" s="1306">
        <f t="shared" si="104"/>
        <v>0.73976961653580553</v>
      </c>
      <c r="BB44" s="1306">
        <f t="shared" si="104"/>
        <v>0.76139890439282287</v>
      </c>
      <c r="BC44" s="1306">
        <f t="shared" si="104"/>
        <v>0.75736279541071172</v>
      </c>
      <c r="BD44" s="1305">
        <f t="shared" si="104"/>
        <v>3.0123174252658913</v>
      </c>
      <c r="BE44" s="1306">
        <f t="shared" si="104"/>
        <v>0.80467288544007365</v>
      </c>
      <c r="BF44" s="1306">
        <f t="shared" si="104"/>
        <v>0.81404410204532596</v>
      </c>
      <c r="BG44" s="1306">
        <f t="shared" si="104"/>
        <v>0.8621754270866675</v>
      </c>
      <c r="BH44" s="1306">
        <f t="shared" si="104"/>
        <v>0.84830285444362086</v>
      </c>
      <c r="BI44" s="1305">
        <f t="shared" si="104"/>
        <v>3.3281918446742962</v>
      </c>
      <c r="BJ44" s="1306">
        <f t="shared" si="104"/>
        <v>0.91467292025237557</v>
      </c>
      <c r="BK44" s="1306">
        <f t="shared" si="104"/>
        <v>0.93106673794654349</v>
      </c>
      <c r="BL44" s="1306">
        <f t="shared" si="104"/>
        <v>0.86142863491428179</v>
      </c>
      <c r="BM44" s="1306">
        <f t="shared" si="104"/>
        <v>0.84892852424362242</v>
      </c>
      <c r="BN44" s="1305">
        <f t="shared" si="104"/>
        <v>3.5551769654649066</v>
      </c>
      <c r="BO44" s="1306">
        <f t="shared" si="104"/>
        <v>0.87059631082946409</v>
      </c>
      <c r="BP44" s="1306">
        <f>(BP42+BP35)/BP57</f>
        <v>0.31615467171046002</v>
      </c>
      <c r="BQ44" s="1306">
        <f>(BQ42+BQ35)/BQ57</f>
        <v>0.72334085675570847</v>
      </c>
      <c r="BR44" s="1306">
        <f>(BR42+BR35)/BR57</f>
        <v>0.42745213984773756</v>
      </c>
      <c r="BS44" s="1305">
        <f>(BS42+BS35)/BS57</f>
        <v>2.3306686279063626</v>
      </c>
      <c r="BT44" s="1306">
        <f>(BT42+BT35)/BT57</f>
        <v>0.26503461709072212</v>
      </c>
      <c r="BU44" s="1306">
        <f>IF(BU42+BU35&lt;0,(BU42+BU35)/BU56,(BU42+BU35)/BU57)</f>
        <v>0.73012828884430958</v>
      </c>
      <c r="BV44" s="1306">
        <f>IF(BV42+BV35&lt;0,(BV42+BV35)/BV56,(BV42+BV35)/BV57)</f>
        <v>1.0038596491228109</v>
      </c>
      <c r="BW44" s="1306">
        <f>IF(BW42+BW35&lt;0,(BW42+BW35)/BW56,(BW42+BW35)/BW57)</f>
        <v>1.2295652173913041</v>
      </c>
      <c r="BX44" s="1305">
        <f t="shared" ref="BX44:CC44" si="105">(BX42+BX35)/BX57</f>
        <v>3.2616568974383897</v>
      </c>
      <c r="BY44" s="1307">
        <f t="shared" si="105"/>
        <v>0.84661221258195496</v>
      </c>
      <c r="BZ44" s="1306">
        <f t="shared" si="105"/>
        <v>1.1360689174785652</v>
      </c>
      <c r="CA44" s="1306">
        <f t="shared" si="105"/>
        <v>0.5568576399297962</v>
      </c>
      <c r="CB44" s="1308">
        <f t="shared" si="105"/>
        <v>-0.2845132743362831</v>
      </c>
      <c r="CC44" s="1305">
        <f t="shared" si="105"/>
        <v>2.2893414076798471</v>
      </c>
      <c r="CD44" s="1306">
        <f>(CD$26-CD$33+CD41)/CD$57</f>
        <v>0.26785036723806205</v>
      </c>
      <c r="CE44" s="1306">
        <f>IF(CE42+CE35&lt;0,(CE42+CE35)/CE56,(CE42+CE35)/CE57)</f>
        <v>8.5053804234036953E-2</v>
      </c>
      <c r="CF44" s="1306">
        <f>IF(CF42+CF35&lt;0,(CF42+CF35)/CF56,(CF42+CF35)/CF57)</f>
        <v>-0.35439409335758837</v>
      </c>
      <c r="CG44" s="1306">
        <f t="shared" ref="CG44" si="106">IF(CG42+CG35&lt;0,(CG42+CG35)/CG56,(CG42+CG35)/CG57)</f>
        <v>0.45909909909909891</v>
      </c>
      <c r="CH44" s="1305">
        <f>(CH42+CH35)/CH57</f>
        <v>0.45550981757398351</v>
      </c>
      <c r="CI44" s="1306">
        <f>IF(CI42+CI35&lt;0,(CI42+CI35)/CI56,(CI42+CI35)/CI57)</f>
        <v>7.9250585320320102E-2</v>
      </c>
      <c r="CJ44" s="1306">
        <f>IF(CJ42+CJ35&lt;0,(CJ42+CJ35)/CJ56,(CJ42+CJ35)/CJ57)</f>
        <v>-0.2505849899300201</v>
      </c>
      <c r="CK44" s="1306">
        <f>IF(CK42+CK35&lt;0,(CK42+CK35)/CK56,(CK42+CK35)/CK57)</f>
        <v>-0.77483930806799173</v>
      </c>
      <c r="CL44" s="1306">
        <f>IF(CL42+CL35&lt;0,(CL42+CL35)/CL56,(CL42+CL35)/CL57)</f>
        <v>-0.27637303581965034</v>
      </c>
      <c r="CM44" s="1305">
        <f>(CM42+CM35)/CM57</f>
        <v>-1.2249457786328255</v>
      </c>
      <c r="CN44" s="1306">
        <f ca="1">IF(CN42+CN35&lt;0,(CN42+CN35)/CN56,(CN42+CN35)/CN57)</f>
        <v>-0.25272391358620599</v>
      </c>
      <c r="CO44" s="1306">
        <f ca="1">IF(CO42+CO35&lt;0,(CO42+CO35)/CO56,(CO42+CO35)/CO57)</f>
        <v>-0.30325317571180638</v>
      </c>
      <c r="CP44" s="1306">
        <f ca="1">IF(CP42+CP35&lt;0,(CP42+CP35)/CP56,(CP42+CP35)/CP57)</f>
        <v>-0.38929505376944279</v>
      </c>
      <c r="CQ44" s="1306">
        <f ca="1">IF(CQ42+CQ35&lt;0,(CQ42+CQ35)/CQ56,(CQ42+CQ35)/CQ57)</f>
        <v>-0.32001141611334361</v>
      </c>
      <c r="CR44" s="1305">
        <f ca="1">(CR42+CR35)/CR57</f>
        <v>-1.2654998006885254</v>
      </c>
      <c r="CS44" s="1306">
        <f ca="1">IF(CS42+CS35&lt;0,(CS42+CS35)/CS56,(CS42+CS35)/CS57)</f>
        <v>-0.17976612593460517</v>
      </c>
      <c r="CT44" s="1306">
        <f ca="1">IF(CT42+CT35&lt;0,(CT42+CT35)/CT56,(CT42+CT35)/CT57)</f>
        <v>-0.16929586743308983</v>
      </c>
      <c r="CU44" s="1306">
        <f ca="1">IF(CU42+CU35&lt;0,(CU42+CU35)/CU56,(CU42+CU35)/CU57)</f>
        <v>-7.815911650687507E-2</v>
      </c>
      <c r="CV44" s="1306">
        <f ca="1">IF(CV42+CV35&lt;0,(CV42+CV35)/CV56,(CV42+CV35)/CV57)</f>
        <v>-0.1398074423265056</v>
      </c>
      <c r="CW44" s="1305">
        <f ca="1">(CW42+CW35)/CW57</f>
        <v>-0.56687100965996617</v>
      </c>
      <c r="CX44" s="1306">
        <f ca="1">IF(CX42+CX35&lt;0,(CX42+CX35)/CX56,(CX42+CX35)/CX57)</f>
        <v>-0.17980573128097768</v>
      </c>
      <c r="CY44" s="1306">
        <f ca="1">IF(CY42+CY35&lt;0,(CY42+CY35)/CY56,(CY42+CY35)/CY57)</f>
        <v>-0.10143117860375753</v>
      </c>
      <c r="CZ44" s="1306">
        <f ca="1">IF(CZ42+CZ35&lt;0,(CZ42+CZ35)/CZ56,(CZ42+CZ35)/CZ57)</f>
        <v>-7.9260005589169222E-2</v>
      </c>
      <c r="DA44" s="1306">
        <f ca="1">IF(DA42+DA35&lt;0,(DA42+DA35)/DA56,(DA42+DA35)/DA57)</f>
        <v>-8.7808722616979001E-2</v>
      </c>
      <c r="DB44" s="1305">
        <f ca="1">(DB42+DB35)/DB57</f>
        <v>-0.44808435135611158</v>
      </c>
      <c r="DC44"/>
      <c r="DD44"/>
      <c r="DE44"/>
      <c r="DF44"/>
      <c r="DG44"/>
      <c r="DJ44"/>
    </row>
    <row r="45" spans="1:114" s="725" customFormat="1">
      <c r="A45" s="49"/>
      <c r="B45" s="989" t="s">
        <v>217</v>
      </c>
      <c r="C45" s="990"/>
      <c r="D45" s="990"/>
      <c r="E45" s="78" t="str">
        <f>IF(OR(D44&lt;=0,E44&lt;=0),"nm",E44/D44-1)</f>
        <v>nm</v>
      </c>
      <c r="F45" s="78" t="str">
        <f>IF(OR(E44&lt;=0,F44&lt;=0),"nm",F44/E44-1)</f>
        <v>nm</v>
      </c>
      <c r="G45" s="52"/>
      <c r="H45" s="52"/>
      <c r="I45" s="52"/>
      <c r="J45" s="52"/>
      <c r="K45" s="78">
        <f t="shared" ref="K45:Z45" si="107">IF(OR(F44&lt;=0,K44&lt;=0),"nm",K44/F44-1)</f>
        <v>2.8895847722553483</v>
      </c>
      <c r="L45" s="52">
        <f t="shared" si="107"/>
        <v>1.1915619373900075</v>
      </c>
      <c r="M45" s="52">
        <f t="shared" si="107"/>
        <v>1.2016801256002987</v>
      </c>
      <c r="N45" s="52">
        <f t="shared" si="107"/>
        <v>1.2264358380518825</v>
      </c>
      <c r="O45" s="52">
        <f t="shared" si="107"/>
        <v>0.53415476058203049</v>
      </c>
      <c r="P45" s="78">
        <f t="shared" si="107"/>
        <v>0.9555829273121208</v>
      </c>
      <c r="Q45" s="52">
        <f t="shared" si="107"/>
        <v>0.2206527489585679</v>
      </c>
      <c r="R45" s="52">
        <f t="shared" si="107"/>
        <v>0.25381054609187559</v>
      </c>
      <c r="S45" s="52">
        <f t="shared" si="107"/>
        <v>0.23082065108088456</v>
      </c>
      <c r="T45" s="52">
        <f t="shared" si="107"/>
        <v>0.23293912678853168</v>
      </c>
      <c r="U45" s="78">
        <f t="shared" si="107"/>
        <v>0.23313911460677916</v>
      </c>
      <c r="V45" s="52">
        <f t="shared" si="107"/>
        <v>0.18666878356234062</v>
      </c>
      <c r="W45" s="52">
        <f t="shared" si="107"/>
        <v>0.24252812626155018</v>
      </c>
      <c r="X45" s="52">
        <f t="shared" si="107"/>
        <v>0.27027898466862377</v>
      </c>
      <c r="Y45" s="52">
        <f t="shared" si="107"/>
        <v>0.27964101417970255</v>
      </c>
      <c r="Z45" s="78">
        <f t="shared" si="107"/>
        <v>0.2415010311119532</v>
      </c>
      <c r="AA45" s="52">
        <f t="shared" ref="AA45:AP45" si="108">IF(OR(V44&lt;=0,AA44&lt;=0),"nm",AA44/V44-1)</f>
        <v>0.29325876258563133</v>
      </c>
      <c r="AB45" s="52">
        <f t="shared" si="108"/>
        <v>0.28662978685560536</v>
      </c>
      <c r="AC45" s="52">
        <f t="shared" si="108"/>
        <v>0.1797053674664133</v>
      </c>
      <c r="AD45" s="52">
        <f t="shared" si="108"/>
        <v>0.20584234695469483</v>
      </c>
      <c r="AE45" s="78">
        <f t="shared" si="108"/>
        <v>0.2427795486536739</v>
      </c>
      <c r="AF45" s="52">
        <f t="shared" si="108"/>
        <v>0.14908684032112074</v>
      </c>
      <c r="AG45" s="52">
        <f t="shared" si="108"/>
        <v>0.11086596260846826</v>
      </c>
      <c r="AH45" s="52">
        <f t="shared" si="108"/>
        <v>7.8739487422730514E-2</v>
      </c>
      <c r="AI45" s="52">
        <f t="shared" si="108"/>
        <v>5.4785505857162686E-2</v>
      </c>
      <c r="AJ45" s="78">
        <f t="shared" si="108"/>
        <v>9.8619206907218482E-2</v>
      </c>
      <c r="AK45" s="52">
        <f t="shared" si="108"/>
        <v>-1.4847911212018228E-2</v>
      </c>
      <c r="AL45" s="52">
        <f t="shared" si="108"/>
        <v>5.0725036465022688E-2</v>
      </c>
      <c r="AM45" s="52">
        <f t="shared" si="108"/>
        <v>-0.29689501259211437</v>
      </c>
      <c r="AN45" s="52">
        <f t="shared" si="108"/>
        <v>-0.34391800348770074</v>
      </c>
      <c r="AO45" s="78">
        <f t="shared" si="108"/>
        <v>-0.151108003602069</v>
      </c>
      <c r="AP45" s="52">
        <f t="shared" si="108"/>
        <v>-4.2057404539923571E-2</v>
      </c>
      <c r="AQ45" s="52">
        <f t="shared" ref="AQ45:BS45" si="109">IF(OR(AL44&lt;=0,AQ44&lt;=0),"nm",AQ44/AL44-1)</f>
        <v>2.0763377113796944E-2</v>
      </c>
      <c r="AR45" s="52">
        <f t="shared" si="109"/>
        <v>0.58845125535121134</v>
      </c>
      <c r="AS45" s="52">
        <f t="shared" si="109"/>
        <v>0.63732233153767925</v>
      </c>
      <c r="AT45" s="78">
        <f t="shared" si="109"/>
        <v>0.23561698207184101</v>
      </c>
      <c r="AU45" s="52">
        <f t="shared" si="109"/>
        <v>0.11023350359795403</v>
      </c>
      <c r="AV45" s="52">
        <f t="shared" si="109"/>
        <v>0.13524019282903077</v>
      </c>
      <c r="AW45" s="52">
        <f t="shared" si="109"/>
        <v>0.14766576392712771</v>
      </c>
      <c r="AX45" s="52">
        <f t="shared" si="109"/>
        <v>0.23823821492554198</v>
      </c>
      <c r="AY45" s="78">
        <f t="shared" si="109"/>
        <v>0.16145015618151959</v>
      </c>
      <c r="AZ45" s="52">
        <f t="shared" si="109"/>
        <v>0.23165669358930452</v>
      </c>
      <c r="BA45" s="52">
        <f t="shared" si="109"/>
        <v>0.12385686207423263</v>
      </c>
      <c r="BB45" s="52">
        <f t="shared" si="109"/>
        <v>0.17298220241106854</v>
      </c>
      <c r="BC45" s="52">
        <f t="shared" si="109"/>
        <v>5.1221029904073845E-3</v>
      </c>
      <c r="BD45" s="78">
        <f t="shared" si="109"/>
        <v>0.12445756889174198</v>
      </c>
      <c r="BE45" s="52">
        <f t="shared" si="109"/>
        <v>6.707864785215345E-2</v>
      </c>
      <c r="BF45" s="52">
        <f t="shared" si="109"/>
        <v>0.10040218447647686</v>
      </c>
      <c r="BG45" s="52">
        <f t="shared" si="109"/>
        <v>0.13235706291724814</v>
      </c>
      <c r="BH45" s="52">
        <f t="shared" si="109"/>
        <v>0.12007463211022018</v>
      </c>
      <c r="BI45" s="78">
        <f t="shared" si="109"/>
        <v>0.10486093422924148</v>
      </c>
      <c r="BJ45" s="52">
        <f t="shared" si="109"/>
        <v>0.13670155513211202</v>
      </c>
      <c r="BK45" s="52">
        <f t="shared" si="109"/>
        <v>0.14375466342326226</v>
      </c>
      <c r="BL45" s="52">
        <f t="shared" si="109"/>
        <v>-8.6617195169802486E-4</v>
      </c>
      <c r="BM45" s="52">
        <f t="shared" si="109"/>
        <v>7.3755475031611617E-4</v>
      </c>
      <c r="BN45" s="78">
        <f t="shared" si="109"/>
        <v>6.8200732224564353E-2</v>
      </c>
      <c r="BO45" s="52">
        <f t="shared" si="109"/>
        <v>-4.8188383461434392E-2</v>
      </c>
      <c r="BP45" s="52">
        <f t="shared" si="109"/>
        <v>-0.66043822765300875</v>
      </c>
      <c r="BQ45" s="52">
        <f t="shared" si="109"/>
        <v>-0.16030089152111138</v>
      </c>
      <c r="BR45" s="52">
        <f t="shared" si="109"/>
        <v>-0.49648041308473112</v>
      </c>
      <c r="BS45" s="78">
        <f t="shared" si="109"/>
        <v>-0.34442964427747302</v>
      </c>
      <c r="BT45" s="52">
        <f t="shared" ref="BT45:CD45" si="110">IF(OR(BO44&lt;=0,BT44&lt;=0),"nm",BT44/BO44-1)</f>
        <v>-0.69557116910108507</v>
      </c>
      <c r="BU45" s="52">
        <f t="shared" si="110"/>
        <v>1.3094021824639488</v>
      </c>
      <c r="BV45" s="52">
        <f t="shared" si="110"/>
        <v>0.38780996503539278</v>
      </c>
      <c r="BW45" s="52">
        <f t="shared" si="110"/>
        <v>1.8764979813395875</v>
      </c>
      <c r="BX45" s="78">
        <f t="shared" si="110"/>
        <v>0.3994511525082538</v>
      </c>
      <c r="BY45" s="52">
        <f t="shared" si="110"/>
        <v>2.1943457872605263</v>
      </c>
      <c r="BZ45" s="52">
        <f t="shared" si="110"/>
        <v>0.55598534509161746</v>
      </c>
      <c r="CA45" s="52">
        <f t="shared" si="110"/>
        <v>-0.44528337161834564</v>
      </c>
      <c r="CB45" s="52" t="str">
        <f t="shared" si="110"/>
        <v>nm</v>
      </c>
      <c r="CC45" s="78">
        <f t="shared" si="110"/>
        <v>-0.29810477322803963</v>
      </c>
      <c r="CD45" s="897">
        <f t="shared" si="110"/>
        <v>-0.68362095035082759</v>
      </c>
      <c r="CE45" s="52">
        <f t="shared" ref="CE45:CM45" si="111">IF(OR(BZ44&lt;=0,CE44&lt;=0),"nm",CE44/BZ44-1)</f>
        <v>-0.92513323538257819</v>
      </c>
      <c r="CF45" s="52" t="str">
        <f t="shared" si="111"/>
        <v>nm</v>
      </c>
      <c r="CG45" s="52" t="str">
        <f t="shared" si="111"/>
        <v>nm</v>
      </c>
      <c r="CH45" s="78">
        <f t="shared" si="111"/>
        <v>-0.80103019320494284</v>
      </c>
      <c r="CI45" s="52">
        <f t="shared" si="111"/>
        <v>-0.70412366375483382</v>
      </c>
      <c r="CJ45" s="52" t="str">
        <f t="shared" si="111"/>
        <v>nm</v>
      </c>
      <c r="CK45" s="52" t="str">
        <f t="shared" si="111"/>
        <v>nm</v>
      </c>
      <c r="CL45" s="52" t="str">
        <f t="shared" si="111"/>
        <v>nm</v>
      </c>
      <c r="CM45" s="78" t="str">
        <f t="shared" si="111"/>
        <v>nm</v>
      </c>
      <c r="CN45" s="52" t="str">
        <f t="shared" ref="CN45:CR45" ca="1" si="112">IF(OR(CI44&lt;=0,CN44&lt;=0),"nm",CN44/CI44-1)</f>
        <v>nm</v>
      </c>
      <c r="CO45" s="52" t="str">
        <f t="shared" ca="1" si="112"/>
        <v>nm</v>
      </c>
      <c r="CP45" s="52" t="str">
        <f t="shared" ca="1" si="112"/>
        <v>nm</v>
      </c>
      <c r="CQ45" s="52" t="str">
        <f t="shared" ca="1" si="112"/>
        <v>nm</v>
      </c>
      <c r="CR45" s="78" t="str">
        <f t="shared" ca="1" si="112"/>
        <v>nm</v>
      </c>
      <c r="CS45" s="52" t="str">
        <f t="shared" ref="CS45" ca="1" si="113">IF(OR(CN44&lt;=0,CS44&lt;=0),"nm",CS44/CN44-1)</f>
        <v>nm</v>
      </c>
      <c r="CT45" s="52" t="str">
        <f t="shared" ref="CT45" ca="1" si="114">IF(OR(CO44&lt;=0,CT44&lt;=0),"nm",CT44/CO44-1)</f>
        <v>nm</v>
      </c>
      <c r="CU45" s="52" t="str">
        <f t="shared" ref="CU45" ca="1" si="115">IF(OR(CP44&lt;=0,CU44&lt;=0),"nm",CU44/CP44-1)</f>
        <v>nm</v>
      </c>
      <c r="CV45" s="52" t="str">
        <f t="shared" ref="CV45" ca="1" si="116">IF(OR(CQ44&lt;=0,CV44&lt;=0),"nm",CV44/CQ44-1)</f>
        <v>nm</v>
      </c>
      <c r="CW45" s="78" t="str">
        <f t="shared" ref="CW45" ca="1" si="117">IF(OR(CR44&lt;=0,CW44&lt;=0),"nm",CW44/CR44-1)</f>
        <v>nm</v>
      </c>
      <c r="CX45" s="52" t="str">
        <f t="shared" ref="CX45" ca="1" si="118">IF(OR(CS44&lt;=0,CX44&lt;=0),"nm",CX44/CS44-1)</f>
        <v>nm</v>
      </c>
      <c r="CY45" s="52" t="str">
        <f t="shared" ref="CY45" ca="1" si="119">IF(OR(CT44&lt;=0,CY44&lt;=0),"nm",CY44/CT44-1)</f>
        <v>nm</v>
      </c>
      <c r="CZ45" s="52" t="str">
        <f t="shared" ref="CZ45" ca="1" si="120">IF(OR(CU44&lt;=0,CZ44&lt;=0),"nm",CZ44/CU44-1)</f>
        <v>nm</v>
      </c>
      <c r="DA45" s="52" t="str">
        <f t="shared" ref="DA45" ca="1" si="121">IF(OR(CV44&lt;=0,DA44&lt;=0),"nm",DA44/CV44-1)</f>
        <v>nm</v>
      </c>
      <c r="DB45" s="78" t="str">
        <f t="shared" ref="DB45" ca="1" si="122">IF(OR(CW44&lt;=0,DB44&lt;=0),"nm",DB44/CW44-1)</f>
        <v>nm</v>
      </c>
      <c r="DC45"/>
      <c r="DD45"/>
      <c r="DE45"/>
      <c r="DF45"/>
      <c r="DG45"/>
      <c r="DJ45"/>
    </row>
    <row r="46" spans="1:114" s="725" customFormat="1" hidden="1" outlineLevel="1">
      <c r="A46" s="49"/>
      <c r="B46" s="5" t="s">
        <v>218</v>
      </c>
      <c r="C46" s="991"/>
      <c r="D46" s="991">
        <f t="shared" ref="D46:Z46" si="123">(D26-D33+D35)/D57</f>
        <v>-6.8377107548707965</v>
      </c>
      <c r="E46" s="991">
        <f t="shared" si="123"/>
        <v>-0.30780072904900868</v>
      </c>
      <c r="F46" s="991">
        <f t="shared" si="123"/>
        <v>0.13830594741156463</v>
      </c>
      <c r="G46" s="160">
        <f t="shared" si="123"/>
        <v>0.12386895924724933</v>
      </c>
      <c r="H46" s="160">
        <f t="shared" si="123"/>
        <v>0.11027471361053616</v>
      </c>
      <c r="I46" s="160">
        <f t="shared" si="123"/>
        <v>0.11431865976314495</v>
      </c>
      <c r="J46" s="160">
        <f t="shared" si="123"/>
        <v>0.14510328763204702</v>
      </c>
      <c r="K46" s="991">
        <f t="shared" si="123"/>
        <v>0.49575946875876586</v>
      </c>
      <c r="L46" s="160">
        <f t="shared" si="123"/>
        <v>0.27146649631038561</v>
      </c>
      <c r="M46" s="160">
        <f t="shared" si="123"/>
        <v>0.24278964531258224</v>
      </c>
      <c r="N46" s="160">
        <f t="shared" si="123"/>
        <v>0.20592056315463433</v>
      </c>
      <c r="O46" s="160">
        <f t="shared" si="123"/>
        <v>0.28229563548806719</v>
      </c>
      <c r="P46" s="991">
        <f t="shared" si="123"/>
        <v>1.0033481754727798</v>
      </c>
      <c r="Q46" s="160">
        <f t="shared" si="123"/>
        <v>0.3313663249714231</v>
      </c>
      <c r="R46" s="160">
        <f t="shared" si="123"/>
        <v>0.30441221777482153</v>
      </c>
      <c r="S46" s="160">
        <f t="shared" si="123"/>
        <v>0.31327236280454229</v>
      </c>
      <c r="T46" s="160">
        <f t="shared" si="123"/>
        <v>0.34805333431487118</v>
      </c>
      <c r="U46" s="991">
        <f t="shared" si="123"/>
        <v>1.2972760727151846</v>
      </c>
      <c r="V46" s="160">
        <f t="shared" si="123"/>
        <v>0.3932220737673619</v>
      </c>
      <c r="W46" s="160">
        <f t="shared" si="123"/>
        <v>0.37273612323771127</v>
      </c>
      <c r="X46" s="160">
        <f t="shared" si="123"/>
        <v>0.36931615206388202</v>
      </c>
      <c r="Y46" s="160">
        <f t="shared" si="123"/>
        <v>0.43923048525370179</v>
      </c>
      <c r="Z46" s="991">
        <f t="shared" si="123"/>
        <v>1.5700647029546264</v>
      </c>
      <c r="AA46" s="160">
        <f t="shared" ref="AA46:BF46" si="124">(AA26-AA33)/AA57</f>
        <v>0.48622098937672437</v>
      </c>
      <c r="AB46" s="160">
        <f t="shared" si="124"/>
        <v>0.46461791609572312</v>
      </c>
      <c r="AC46" s="160">
        <f t="shared" si="124"/>
        <v>0.44723902923655973</v>
      </c>
      <c r="AD46" s="160">
        <f t="shared" si="124"/>
        <v>0.51675492179003635</v>
      </c>
      <c r="AE46" s="991">
        <f t="shared" si="124"/>
        <v>1.9146991685745709</v>
      </c>
      <c r="AF46" s="160">
        <f t="shared" si="124"/>
        <v>0.58297958448342257</v>
      </c>
      <c r="AG46" s="160">
        <f t="shared" si="124"/>
        <v>0.54060937037316481</v>
      </c>
      <c r="AH46" s="160">
        <f t="shared" si="124"/>
        <v>8.6511718695174156E-2</v>
      </c>
      <c r="AI46" s="160">
        <f t="shared" si="124"/>
        <v>0.56648528712557511</v>
      </c>
      <c r="AJ46" s="991">
        <f t="shared" si="124"/>
        <v>1.7819163942979626</v>
      </c>
      <c r="AK46" s="160">
        <f t="shared" si="124"/>
        <v>0.57567776084452693</v>
      </c>
      <c r="AL46" s="160">
        <f t="shared" si="124"/>
        <v>0.56803180039867651</v>
      </c>
      <c r="AM46" s="160">
        <f t="shared" si="124"/>
        <v>0.17154892409249448</v>
      </c>
      <c r="AN46" s="160">
        <f t="shared" si="124"/>
        <v>-0.75428126067646006</v>
      </c>
      <c r="AO46" s="991">
        <f t="shared" si="124"/>
        <v>0.56748413135464026</v>
      </c>
      <c r="AP46" s="160">
        <f t="shared" si="124"/>
        <v>0.54199323435233793</v>
      </c>
      <c r="AQ46" s="160">
        <f t="shared" si="124"/>
        <v>0.52093363041082141</v>
      </c>
      <c r="AR46" s="160">
        <f t="shared" si="124"/>
        <v>0.54037410676754538</v>
      </c>
      <c r="AS46" s="160">
        <f t="shared" si="124"/>
        <v>0.61288425729313056</v>
      </c>
      <c r="AT46" s="991">
        <f t="shared" si="124"/>
        <v>2.2161055791667525</v>
      </c>
      <c r="AU46" s="160">
        <f t="shared" si="124"/>
        <v>0.62876065328170816</v>
      </c>
      <c r="AV46" s="160">
        <f t="shared" si="124"/>
        <v>0.65819968205736878</v>
      </c>
      <c r="AW46" s="160">
        <f t="shared" si="124"/>
        <v>0.64896770422740946</v>
      </c>
      <c r="AX46" s="160">
        <f t="shared" si="124"/>
        <v>0.70214349669360621</v>
      </c>
      <c r="AY46" s="991">
        <f t="shared" si="124"/>
        <v>2.6430857195331332</v>
      </c>
      <c r="AZ46" s="160">
        <f t="shared" si="124"/>
        <v>0.75408957630231133</v>
      </c>
      <c r="BA46" s="160">
        <f t="shared" si="124"/>
        <v>0.73976961653580553</v>
      </c>
      <c r="BB46" s="160">
        <f t="shared" si="124"/>
        <v>0.76139890439282287</v>
      </c>
      <c r="BC46" s="160">
        <f t="shared" si="124"/>
        <v>0.75736279541071172</v>
      </c>
      <c r="BD46" s="991">
        <f t="shared" si="124"/>
        <v>3.0123174252658913</v>
      </c>
      <c r="BE46" s="160">
        <f t="shared" si="124"/>
        <v>0.80467288544007365</v>
      </c>
      <c r="BF46" s="160">
        <f t="shared" si="124"/>
        <v>0.81404410204532596</v>
      </c>
      <c r="BG46" s="160">
        <f t="shared" ref="BG46:CH46" si="125">(BG26-BG33)/BG57</f>
        <v>0.8621754270866675</v>
      </c>
      <c r="BH46" s="160">
        <f t="shared" si="125"/>
        <v>0.3759362979958174</v>
      </c>
      <c r="BI46" s="991">
        <f t="shared" si="125"/>
        <v>2.8649549224151145</v>
      </c>
      <c r="BJ46" s="160">
        <f t="shared" si="125"/>
        <v>0.85467292025237529</v>
      </c>
      <c r="BK46" s="160">
        <f t="shared" si="125"/>
        <v>0.93106673794654349</v>
      </c>
      <c r="BL46" s="160">
        <f t="shared" si="125"/>
        <v>0.49142863491428174</v>
      </c>
      <c r="BM46" s="160">
        <f t="shared" si="125"/>
        <v>0.68892852424362239</v>
      </c>
      <c r="BN46" s="991">
        <f t="shared" si="125"/>
        <v>2.9631506698940009</v>
      </c>
      <c r="BO46" s="160">
        <f t="shared" si="125"/>
        <v>0.86059631082946408</v>
      </c>
      <c r="BP46" s="160">
        <f t="shared" si="125"/>
        <v>0.31615467171046002</v>
      </c>
      <c r="BQ46" s="160">
        <f t="shared" si="125"/>
        <v>4.3340856755708354E-2</v>
      </c>
      <c r="BR46" s="160">
        <f t="shared" si="125"/>
        <v>0.42745213984773756</v>
      </c>
      <c r="BS46" s="991">
        <f t="shared" si="125"/>
        <v>1.6360800463004608</v>
      </c>
      <c r="BT46" s="160">
        <f t="shared" si="125"/>
        <v>-0.85836442167547811</v>
      </c>
      <c r="BU46" s="160">
        <f t="shared" si="125"/>
        <v>0.41419118037339403</v>
      </c>
      <c r="BV46" s="160">
        <f t="shared" si="125"/>
        <v>0.53508771929824961</v>
      </c>
      <c r="BW46" s="160">
        <f t="shared" si="125"/>
        <v>1.1217391304347826</v>
      </c>
      <c r="BX46" s="991">
        <f t="shared" si="125"/>
        <v>1.2883240876088853</v>
      </c>
      <c r="BY46" s="160">
        <f>(BY26-BY33)/BY57</f>
        <v>0.79959903237392227</v>
      </c>
      <c r="BZ46" s="160">
        <f>(BZ26-BZ33)/BZ57</f>
        <v>1.0077483184233524</v>
      </c>
      <c r="CA46" s="160">
        <f t="shared" si="125"/>
        <v>0.51560496914976495</v>
      </c>
      <c r="CB46" s="160">
        <f t="shared" si="125"/>
        <v>-0.65486725663716816</v>
      </c>
      <c r="CC46" s="991">
        <f t="shared" si="125"/>
        <v>1.6916451226262272</v>
      </c>
      <c r="CD46" s="992">
        <f t="shared" si="125"/>
        <v>0.10878495437359575</v>
      </c>
      <c r="CE46" s="160">
        <f t="shared" si="125"/>
        <v>-12.90592737859015</v>
      </c>
      <c r="CF46" s="160">
        <f t="shared" si="125"/>
        <v>-0.69439409335758839</v>
      </c>
      <c r="CG46" s="160">
        <f t="shared" si="125"/>
        <v>-1.9009009009009008</v>
      </c>
      <c r="CH46" s="991">
        <f t="shared" si="125"/>
        <v>-15.415741274408223</v>
      </c>
      <c r="CI46" s="160">
        <f>(CI26-CI33)/CI57</f>
        <v>-1.7707494146796798</v>
      </c>
      <c r="CJ46" s="160">
        <f t="shared" ref="CJ46:CR46" si="126">(CJ26-CJ33)/CJ57</f>
        <v>-1.1705849899300202</v>
      </c>
      <c r="CK46" s="160">
        <f t="shared" si="126"/>
        <v>-0.96483930806799167</v>
      </c>
      <c r="CL46" s="160">
        <f t="shared" ref="CL46" si="127">(CL26-CL33)/CL57</f>
        <v>-17.976373035819648</v>
      </c>
      <c r="CM46" s="991">
        <f t="shared" si="126"/>
        <v>-21.892484402516676</v>
      </c>
      <c r="CN46" s="160">
        <f t="shared" ca="1" si="126"/>
        <v>-0.25272391358620599</v>
      </c>
      <c r="CO46" s="160">
        <f t="shared" ca="1" si="126"/>
        <v>-0.30325317571180638</v>
      </c>
      <c r="CP46" s="160">
        <f t="shared" ca="1" si="126"/>
        <v>-0.38929505376944279</v>
      </c>
      <c r="CQ46" s="160">
        <f t="shared" ca="1" si="126"/>
        <v>-0.32001141611334361</v>
      </c>
      <c r="CR46" s="991">
        <f t="shared" ca="1" si="126"/>
        <v>-1.2654998006885254</v>
      </c>
      <c r="CS46" s="160">
        <f t="shared" ref="CS46:CW46" ca="1" si="128">(CS26-CS33)/CS57</f>
        <v>-0.17976612593460517</v>
      </c>
      <c r="CT46" s="160">
        <f t="shared" ca="1" si="128"/>
        <v>-0.16929586743308983</v>
      </c>
      <c r="CU46" s="160">
        <f t="shared" ca="1" si="128"/>
        <v>-7.815911650687507E-2</v>
      </c>
      <c r="CV46" s="160">
        <f t="shared" ca="1" si="128"/>
        <v>-0.1398074423265056</v>
      </c>
      <c r="CW46" s="991">
        <f t="shared" ca="1" si="128"/>
        <v>-0.56687100965996617</v>
      </c>
      <c r="CX46" s="160">
        <f t="shared" ref="CX46:DB46" ca="1" si="129">(CX26-CX33)/CX57</f>
        <v>-0.17980573128097768</v>
      </c>
      <c r="CY46" s="160">
        <f t="shared" ca="1" si="129"/>
        <v>-0.10143117860375753</v>
      </c>
      <c r="CZ46" s="160">
        <f t="shared" ca="1" si="129"/>
        <v>-7.9260005589169222E-2</v>
      </c>
      <c r="DA46" s="160">
        <f t="shared" ca="1" si="129"/>
        <v>-8.7808722616979001E-2</v>
      </c>
      <c r="DB46" s="991">
        <f t="shared" ca="1" si="129"/>
        <v>-0.44808435135611158</v>
      </c>
      <c r="DC46"/>
      <c r="DD46"/>
      <c r="DE46"/>
      <c r="DF46"/>
      <c r="DG46"/>
      <c r="DJ46"/>
    </row>
    <row r="47" spans="1:114" s="725" customFormat="1" hidden="1" outlineLevel="1">
      <c r="A47" s="49"/>
      <c r="B47" s="5" t="s">
        <v>219</v>
      </c>
      <c r="C47" s="991"/>
      <c r="D47" s="991">
        <f t="shared" ref="D47:AI47" si="130">(D36)/D57</f>
        <v>-6.8377107548707965</v>
      </c>
      <c r="E47" s="991">
        <f t="shared" si="130"/>
        <v>-0.30780072904900868</v>
      </c>
      <c r="F47" s="991">
        <f t="shared" si="130"/>
        <v>0.13830594741156463</v>
      </c>
      <c r="G47" s="160">
        <f t="shared" si="130"/>
        <v>0.12386895924724933</v>
      </c>
      <c r="H47" s="160">
        <f t="shared" si="130"/>
        <v>0.11027471361053616</v>
      </c>
      <c r="I47" s="160">
        <f t="shared" si="130"/>
        <v>0.11431865976314495</v>
      </c>
      <c r="J47" s="160">
        <f t="shared" si="130"/>
        <v>0.14510328763204702</v>
      </c>
      <c r="K47" s="991">
        <f t="shared" si="130"/>
        <v>0.49575946875876586</v>
      </c>
      <c r="L47" s="160">
        <f t="shared" si="130"/>
        <v>0.27146649631038561</v>
      </c>
      <c r="M47" s="160">
        <f t="shared" si="130"/>
        <v>0.24278964531258224</v>
      </c>
      <c r="N47" s="160">
        <f t="shared" si="130"/>
        <v>0.20592056315463433</v>
      </c>
      <c r="O47" s="160">
        <f t="shared" si="130"/>
        <v>0.28229563548806719</v>
      </c>
      <c r="P47" s="991">
        <f t="shared" si="130"/>
        <v>1.0033481754727798</v>
      </c>
      <c r="Q47" s="160">
        <f t="shared" si="130"/>
        <v>0.3313663249714231</v>
      </c>
      <c r="R47" s="160">
        <f t="shared" si="130"/>
        <v>0.30441221777482153</v>
      </c>
      <c r="S47" s="160">
        <f t="shared" si="130"/>
        <v>0.31327236280454229</v>
      </c>
      <c r="T47" s="160">
        <f t="shared" si="130"/>
        <v>0.34805333431487118</v>
      </c>
      <c r="U47" s="991">
        <f t="shared" si="130"/>
        <v>1.2972760727151846</v>
      </c>
      <c r="V47" s="160">
        <f t="shared" si="130"/>
        <v>0.3932220737673619</v>
      </c>
      <c r="W47" s="160">
        <f t="shared" si="130"/>
        <v>0.37273612323771127</v>
      </c>
      <c r="X47" s="160">
        <f t="shared" si="130"/>
        <v>0.3173089324976795</v>
      </c>
      <c r="Y47" s="160">
        <f t="shared" si="130"/>
        <v>0.43499528282538236</v>
      </c>
      <c r="Z47" s="991">
        <f t="shared" si="130"/>
        <v>1.5131708396232644</v>
      </c>
      <c r="AA47" s="160">
        <f t="shared" si="130"/>
        <v>0.38921535501625415</v>
      </c>
      <c r="AB47" s="160">
        <f t="shared" si="130"/>
        <v>0.43005598097206948</v>
      </c>
      <c r="AC47" s="160">
        <f t="shared" si="130"/>
        <v>0.45747967237411902</v>
      </c>
      <c r="AD47" s="160">
        <f t="shared" si="130"/>
        <v>0.50960981410523409</v>
      </c>
      <c r="AE47" s="991">
        <f t="shared" si="130"/>
        <v>1.7864581161344795</v>
      </c>
      <c r="AF47" s="160">
        <f t="shared" si="130"/>
        <v>0.55160780085619254</v>
      </c>
      <c r="AG47" s="160">
        <f t="shared" si="130"/>
        <v>0.54060937037316481</v>
      </c>
      <c r="AH47" s="160">
        <f t="shared" si="130"/>
        <v>8.6511718695174156E-2</v>
      </c>
      <c r="AI47" s="160">
        <f t="shared" si="130"/>
        <v>0.56648528712557511</v>
      </c>
      <c r="AJ47" s="991">
        <f t="shared" ref="AJ47:BO47" si="131">(AJ36)/AJ57</f>
        <v>1.7499003199633092</v>
      </c>
      <c r="AK47" s="160">
        <f t="shared" si="131"/>
        <v>0.57567776084452693</v>
      </c>
      <c r="AL47" s="160">
        <f t="shared" si="131"/>
        <v>0.56803180039867651</v>
      </c>
      <c r="AM47" s="160">
        <f t="shared" si="131"/>
        <v>0.11028898254502255</v>
      </c>
      <c r="AN47" s="160">
        <f t="shared" si="131"/>
        <v>-0.94228305432183068</v>
      </c>
      <c r="AO47" s="991">
        <f t="shared" si="131"/>
        <v>0.32003662125941801</v>
      </c>
      <c r="AP47" s="160">
        <f t="shared" si="131"/>
        <v>0.63287101551478853</v>
      </c>
      <c r="AQ47" s="160">
        <f t="shared" si="131"/>
        <v>0.50142845810084147</v>
      </c>
      <c r="AR47" s="160">
        <f t="shared" si="131"/>
        <v>0.52946616225304344</v>
      </c>
      <c r="AS47" s="160">
        <f t="shared" si="131"/>
        <v>0.65227097013056379</v>
      </c>
      <c r="AT47" s="991">
        <f t="shared" si="131"/>
        <v>2.3152689699858287</v>
      </c>
      <c r="AU47" s="160">
        <f t="shared" si="131"/>
        <v>0.64823578419969985</v>
      </c>
      <c r="AV47" s="160">
        <f t="shared" si="131"/>
        <v>0.65262162559564441</v>
      </c>
      <c r="AW47" s="160">
        <f t="shared" si="131"/>
        <v>0.64896770422740946</v>
      </c>
      <c r="AX47" s="160">
        <f t="shared" si="131"/>
        <v>0.70214349669360621</v>
      </c>
      <c r="AY47" s="991">
        <f t="shared" si="131"/>
        <v>2.6568754659366371</v>
      </c>
      <c r="AZ47" s="160">
        <f t="shared" si="131"/>
        <v>0.75408957630231133</v>
      </c>
      <c r="BA47" s="160">
        <f t="shared" si="131"/>
        <v>0.73976961653580553</v>
      </c>
      <c r="BB47" s="160">
        <f t="shared" si="131"/>
        <v>0.76139890439282287</v>
      </c>
      <c r="BC47" s="160">
        <f t="shared" si="131"/>
        <v>0.75736279541071172</v>
      </c>
      <c r="BD47" s="991">
        <f t="shared" si="131"/>
        <v>3.0123174252658913</v>
      </c>
      <c r="BE47" s="160">
        <f t="shared" si="131"/>
        <v>0.66557539825636691</v>
      </c>
      <c r="BF47" s="160">
        <f t="shared" si="131"/>
        <v>0.38556944599927861</v>
      </c>
      <c r="BG47" s="160">
        <f t="shared" si="131"/>
        <v>0.8269085092128583</v>
      </c>
      <c r="BH47" s="160">
        <f t="shared" si="131"/>
        <v>0.34787547517826339</v>
      </c>
      <c r="BI47" s="991">
        <f t="shared" si="131"/>
        <v>2.2273754756285293</v>
      </c>
      <c r="BJ47" s="160">
        <f t="shared" si="131"/>
        <v>0.84942828526636549</v>
      </c>
      <c r="BK47" s="160">
        <f t="shared" si="131"/>
        <v>0.93106673794654349</v>
      </c>
      <c r="BL47" s="160">
        <f t="shared" si="131"/>
        <v>0.49142863491428174</v>
      </c>
      <c r="BM47" s="160">
        <f t="shared" si="131"/>
        <v>0.68892852424362239</v>
      </c>
      <c r="BN47" s="991">
        <f t="shared" si="131"/>
        <v>2.9579616541928497</v>
      </c>
      <c r="BO47" s="160">
        <f t="shared" si="131"/>
        <v>0.86059631082946408</v>
      </c>
      <c r="BP47" s="160">
        <f t="shared" ref="BP47:CH47" si="132">(BP36)/BP57</f>
        <v>0.31615467171046002</v>
      </c>
      <c r="BQ47" s="160">
        <f t="shared" si="132"/>
        <v>4.3340856755708354E-2</v>
      </c>
      <c r="BR47" s="160">
        <f t="shared" si="132"/>
        <v>0.42745213984773756</v>
      </c>
      <c r="BS47" s="991">
        <f t="shared" si="132"/>
        <v>1.6360800463004608</v>
      </c>
      <c r="BT47" s="160">
        <f t="shared" si="132"/>
        <v>-1.0449653829092778</v>
      </c>
      <c r="BU47" s="160">
        <f t="shared" si="132"/>
        <v>0.37012828884430959</v>
      </c>
      <c r="BV47" s="160">
        <f t="shared" si="132"/>
        <v>0.54385964912281104</v>
      </c>
      <c r="BW47" s="160">
        <f t="shared" si="132"/>
        <v>0.86956521739130432</v>
      </c>
      <c r="BX47" s="991">
        <f t="shared" si="132"/>
        <v>0.81741942110357002</v>
      </c>
      <c r="BY47" s="160">
        <f t="shared" si="132"/>
        <v>0.68661221258195493</v>
      </c>
      <c r="BZ47" s="160">
        <f>(BZ36)/BZ57</f>
        <v>0.95606891747856515</v>
      </c>
      <c r="CA47" s="160">
        <f t="shared" si="132"/>
        <v>0.44685763992979627</v>
      </c>
      <c r="CB47" s="160">
        <f t="shared" si="132"/>
        <v>-0.73451327433628322</v>
      </c>
      <c r="CC47" s="991">
        <f t="shared" si="132"/>
        <v>1.3793414076798469</v>
      </c>
      <c r="CD47" s="992">
        <f t="shared" si="132"/>
        <v>9.9719541509129442E-2</v>
      </c>
      <c r="CE47" s="160">
        <f t="shared" si="132"/>
        <v>-12.914946195765964</v>
      </c>
      <c r="CF47" s="160">
        <f t="shared" si="132"/>
        <v>-0.71243030357466863</v>
      </c>
      <c r="CG47" s="160">
        <f t="shared" si="132"/>
        <v>-1.9819819819819819</v>
      </c>
      <c r="CH47" s="991">
        <f t="shared" si="132"/>
        <v>-15.533142936134825</v>
      </c>
      <c r="CI47" s="160">
        <f>(CI36)/CI57</f>
        <v>-1.7797379903887138</v>
      </c>
      <c r="CJ47" s="160">
        <f t="shared" ref="CJ47:CR47" si="133">(CJ36)/CJ57</f>
        <v>-1.2241995696214716</v>
      </c>
      <c r="CK47" s="160">
        <f t="shared" si="133"/>
        <v>-0.98270670266184335</v>
      </c>
      <c r="CL47" s="160">
        <f t="shared" ref="CL47" si="134">(CL36)/CL57</f>
        <v>-18.003203443335799</v>
      </c>
      <c r="CM47" s="991">
        <f t="shared" si="133"/>
        <v>-21.99988825077105</v>
      </c>
      <c r="CN47" s="160">
        <f t="shared" ca="1" si="133"/>
        <v>-0.25272391358620599</v>
      </c>
      <c r="CO47" s="160">
        <f t="shared" ca="1" si="133"/>
        <v>-0.30325317571180638</v>
      </c>
      <c r="CP47" s="160">
        <f t="shared" ca="1" si="133"/>
        <v>-0.38929505376944279</v>
      </c>
      <c r="CQ47" s="160">
        <f t="shared" ca="1" si="133"/>
        <v>-0.32001141611334361</v>
      </c>
      <c r="CR47" s="991">
        <f t="shared" ca="1" si="133"/>
        <v>-1.2654998006885254</v>
      </c>
      <c r="CS47" s="160">
        <f t="shared" ref="CS47:CW47" ca="1" si="135">(CS36)/CS57</f>
        <v>-0.17976612593460517</v>
      </c>
      <c r="CT47" s="160">
        <f t="shared" ca="1" si="135"/>
        <v>-0.16929586743308983</v>
      </c>
      <c r="CU47" s="160">
        <f t="shared" ca="1" si="135"/>
        <v>-7.815911650687507E-2</v>
      </c>
      <c r="CV47" s="160">
        <f t="shared" ca="1" si="135"/>
        <v>-0.1398074423265056</v>
      </c>
      <c r="CW47" s="991">
        <f t="shared" ca="1" si="135"/>
        <v>-0.56687100965996617</v>
      </c>
      <c r="CX47" s="160">
        <f t="shared" ref="CX47:DB47" ca="1" si="136">(CX36)/CX57</f>
        <v>-0.17980573128097768</v>
      </c>
      <c r="CY47" s="160">
        <f t="shared" ca="1" si="136"/>
        <v>-0.10143117860375753</v>
      </c>
      <c r="CZ47" s="160">
        <f t="shared" ca="1" si="136"/>
        <v>-7.9260005589169222E-2</v>
      </c>
      <c r="DA47" s="160">
        <f t="shared" ca="1" si="136"/>
        <v>-8.7808722616979001E-2</v>
      </c>
      <c r="DB47" s="991">
        <f t="shared" ca="1" si="136"/>
        <v>-0.44808435135611158</v>
      </c>
      <c r="DC47"/>
      <c r="DD47"/>
      <c r="DE47"/>
      <c r="DF47"/>
      <c r="DG47"/>
      <c r="DJ47"/>
    </row>
    <row r="48" spans="1:114" s="725" customFormat="1" ht="2.1" customHeight="1" collapsed="1" thickBot="1">
      <c r="A48" s="49"/>
      <c r="B48" s="37"/>
      <c r="C48" s="18"/>
      <c r="D48" s="18"/>
      <c r="E48" s="18"/>
      <c r="F48" s="18"/>
      <c r="G48" s="37"/>
      <c r="H48" s="37"/>
      <c r="I48" s="37"/>
      <c r="J48" s="37"/>
      <c r="K48" s="18"/>
      <c r="L48" s="37"/>
      <c r="M48" s="37"/>
      <c r="N48" s="37"/>
      <c r="O48" s="37"/>
      <c r="P48" s="18"/>
      <c r="Q48" s="37"/>
      <c r="R48" s="37"/>
      <c r="S48" s="37"/>
      <c r="T48" s="37"/>
      <c r="U48" s="18"/>
      <c r="V48" s="37"/>
      <c r="W48" s="37"/>
      <c r="X48" s="37"/>
      <c r="Y48" s="37"/>
      <c r="Z48" s="18"/>
      <c r="AA48" s="37"/>
      <c r="AB48" s="37"/>
      <c r="AC48" s="37"/>
      <c r="AD48" s="37"/>
      <c r="AE48" s="18"/>
      <c r="AF48" s="37"/>
      <c r="AG48" s="37"/>
      <c r="AH48" s="37"/>
      <c r="AI48" s="37"/>
      <c r="AJ48" s="18"/>
      <c r="AK48" s="37"/>
      <c r="AL48" s="37"/>
      <c r="AM48" s="37"/>
      <c r="AN48" s="37"/>
      <c r="AO48" s="18"/>
      <c r="AP48" s="37"/>
      <c r="AQ48" s="37"/>
      <c r="AR48" s="37"/>
      <c r="AS48" s="37"/>
      <c r="AT48" s="18"/>
      <c r="AU48" s="37"/>
      <c r="AV48" s="37"/>
      <c r="AW48" s="37"/>
      <c r="AX48" s="37"/>
      <c r="AY48" s="18"/>
      <c r="AZ48" s="37"/>
      <c r="BA48" s="37"/>
      <c r="BB48" s="37"/>
      <c r="BC48" s="37"/>
      <c r="BD48" s="18"/>
      <c r="BE48" s="37"/>
      <c r="BF48" s="37"/>
      <c r="BG48" s="37"/>
      <c r="BH48" s="37"/>
      <c r="BI48" s="18"/>
      <c r="BJ48" s="37"/>
      <c r="BK48" s="37"/>
      <c r="BL48" s="37"/>
      <c r="BM48" s="37"/>
      <c r="BN48" s="18"/>
      <c r="BO48" s="37"/>
      <c r="BP48" s="37"/>
      <c r="BQ48" s="37"/>
      <c r="BR48" s="37"/>
      <c r="BS48" s="18"/>
      <c r="BT48" s="37"/>
      <c r="BU48" s="37"/>
      <c r="BV48" s="37"/>
      <c r="BW48" s="37"/>
      <c r="BX48" s="18"/>
      <c r="BY48" s="37"/>
      <c r="BZ48" s="37"/>
      <c r="CA48" s="37"/>
      <c r="CB48" s="37"/>
      <c r="CC48" s="18"/>
      <c r="CD48" s="898"/>
      <c r="CE48" s="37"/>
      <c r="CF48" s="37"/>
      <c r="CG48" s="37"/>
      <c r="CH48" s="18"/>
      <c r="CI48" s="37"/>
      <c r="CJ48" s="37"/>
      <c r="CK48" s="37"/>
      <c r="CL48" s="37"/>
      <c r="CM48" s="18"/>
      <c r="CN48" s="37"/>
      <c r="CO48" s="37"/>
      <c r="CP48" s="37"/>
      <c r="CQ48" s="37"/>
      <c r="CR48" s="18"/>
      <c r="CS48" s="37"/>
      <c r="CT48" s="37"/>
      <c r="CU48" s="37"/>
      <c r="CV48" s="37"/>
      <c r="CW48" s="18"/>
      <c r="CX48" s="37"/>
      <c r="CY48" s="37"/>
      <c r="CZ48" s="37"/>
      <c r="DA48" s="37"/>
      <c r="DB48" s="18"/>
      <c r="DC48"/>
      <c r="DD48"/>
      <c r="DE48"/>
      <c r="DF48"/>
      <c r="DG48"/>
      <c r="DJ48"/>
    </row>
    <row r="49" spans="1:114" s="725" customFormat="1" ht="13.5" hidden="1" outlineLevel="1" thickBot="1">
      <c r="A49" s="1304"/>
      <c r="B49" s="994" t="s">
        <v>69</v>
      </c>
      <c r="C49" s="995"/>
      <c r="D49" s="995">
        <f t="shared" ref="D49:AI49" si="137">D17+D16</f>
        <v>-229.91499999999996</v>
      </c>
      <c r="E49" s="995">
        <f t="shared" si="137"/>
        <v>186.90599999999995</v>
      </c>
      <c r="F49" s="995">
        <f t="shared" si="137"/>
        <v>252.73599999999988</v>
      </c>
      <c r="G49" s="996">
        <f t="shared" si="137"/>
        <v>77.24799999999999</v>
      </c>
      <c r="H49" s="996">
        <f t="shared" si="137"/>
        <v>73.830000000000041</v>
      </c>
      <c r="I49" s="996">
        <f t="shared" si="137"/>
        <v>74.02600000000001</v>
      </c>
      <c r="J49" s="996">
        <f t="shared" si="137"/>
        <v>83.607000000000028</v>
      </c>
      <c r="K49" s="997">
        <f t="shared" si="137"/>
        <v>308.71100000000001</v>
      </c>
      <c r="L49" s="996">
        <f t="shared" si="137"/>
        <v>92.400000000000034</v>
      </c>
      <c r="M49" s="996">
        <f t="shared" si="137"/>
        <v>87.519999999999982</v>
      </c>
      <c r="N49" s="996">
        <f t="shared" si="137"/>
        <v>87.314000000000021</v>
      </c>
      <c r="O49" s="996">
        <f t="shared" si="137"/>
        <v>94.730000000000018</v>
      </c>
      <c r="P49" s="997">
        <f t="shared" si="137"/>
        <v>361.96399999999994</v>
      </c>
      <c r="Q49" s="996">
        <f t="shared" si="137"/>
        <v>106.57400000000007</v>
      </c>
      <c r="R49" s="996">
        <f t="shared" si="137"/>
        <v>102.73300000000006</v>
      </c>
      <c r="S49" s="996">
        <f t="shared" si="137"/>
        <v>108.29300000000012</v>
      </c>
      <c r="T49" s="996">
        <f t="shared" si="137"/>
        <v>118.923</v>
      </c>
      <c r="U49" s="997">
        <f t="shared" si="137"/>
        <v>436.52300000000059</v>
      </c>
      <c r="V49" s="996">
        <f t="shared" si="137"/>
        <v>125.02300000000002</v>
      </c>
      <c r="W49" s="996">
        <f t="shared" si="137"/>
        <v>121.47000000000003</v>
      </c>
      <c r="X49" s="996">
        <f t="shared" si="137"/>
        <v>121.01700000000005</v>
      </c>
      <c r="Y49" s="996">
        <f t="shared" si="137"/>
        <v>129.98099999999999</v>
      </c>
      <c r="Z49" s="997">
        <f t="shared" si="137"/>
        <v>497.49100000000089</v>
      </c>
      <c r="AA49" s="996">
        <f t="shared" si="137"/>
        <v>142.09699999999987</v>
      </c>
      <c r="AB49" s="996">
        <f t="shared" si="137"/>
        <v>140.15200000000004</v>
      </c>
      <c r="AC49" s="996">
        <f t="shared" si="137"/>
        <v>137.49700000000007</v>
      </c>
      <c r="AD49" s="996">
        <f t="shared" si="137"/>
        <v>151.76899999999989</v>
      </c>
      <c r="AE49" s="997">
        <f t="shared" si="137"/>
        <v>571.51500000000033</v>
      </c>
      <c r="AF49" s="996">
        <f t="shared" si="137"/>
        <v>158.45799999999986</v>
      </c>
      <c r="AG49" s="996">
        <f t="shared" si="137"/>
        <v>156.74400000000014</v>
      </c>
      <c r="AH49" s="996">
        <f t="shared" si="137"/>
        <v>91.360000000000014</v>
      </c>
      <c r="AI49" s="996">
        <f t="shared" si="137"/>
        <v>165.46400000000006</v>
      </c>
      <c r="AJ49" s="997">
        <f t="shared" ref="AJ49:BO49" si="138">AJ17+AJ16</f>
        <v>572.02600000000029</v>
      </c>
      <c r="AK49" s="996">
        <f t="shared" si="138"/>
        <v>170.19899999999996</v>
      </c>
      <c r="AL49" s="996">
        <f t="shared" si="138"/>
        <v>172.54899999999986</v>
      </c>
      <c r="AM49" s="996">
        <f t="shared" si="138"/>
        <v>289.29000000000042</v>
      </c>
      <c r="AN49" s="996">
        <f t="shared" si="138"/>
        <v>177.21000000000004</v>
      </c>
      <c r="AO49" s="997">
        <f t="shared" si="138"/>
        <v>809.2480000000005</v>
      </c>
      <c r="AP49" s="996">
        <f t="shared" si="138"/>
        <v>370.27100000000019</v>
      </c>
      <c r="AQ49" s="996">
        <f t="shared" si="138"/>
        <v>358.01599999999985</v>
      </c>
      <c r="AR49" s="996">
        <f t="shared" si="138"/>
        <v>383.57399999999961</v>
      </c>
      <c r="AS49" s="996">
        <f t="shared" si="138"/>
        <v>381.72800000000007</v>
      </c>
      <c r="AT49" s="997">
        <f t="shared" si="138"/>
        <v>1493.5889999999999</v>
      </c>
      <c r="AU49" s="996">
        <f t="shared" si="138"/>
        <v>390.67399999999952</v>
      </c>
      <c r="AV49" s="996">
        <f t="shared" si="138"/>
        <v>403.84999999999991</v>
      </c>
      <c r="AW49" s="996">
        <f t="shared" si="138"/>
        <v>410.82600000000048</v>
      </c>
      <c r="AX49" s="996">
        <f t="shared" si="138"/>
        <v>429.60100000000057</v>
      </c>
      <c r="AY49" s="997">
        <f t="shared" si="138"/>
        <v>1634.9510000000009</v>
      </c>
      <c r="AZ49" s="996">
        <f t="shared" si="138"/>
        <v>420.69100000000026</v>
      </c>
      <c r="BA49" s="996">
        <f t="shared" si="138"/>
        <v>432.15300000000025</v>
      </c>
      <c r="BB49" s="996">
        <f t="shared" si="138"/>
        <v>431.9380000000001</v>
      </c>
      <c r="BC49" s="996">
        <f t="shared" si="138"/>
        <v>439.98499999999967</v>
      </c>
      <c r="BD49" s="997">
        <f t="shared" si="138"/>
        <v>1724.7669999999998</v>
      </c>
      <c r="BE49" s="996">
        <f t="shared" si="138"/>
        <v>441.64199999999983</v>
      </c>
      <c r="BF49" s="996">
        <f t="shared" si="138"/>
        <v>450.28400000000011</v>
      </c>
      <c r="BG49" s="996">
        <f t="shared" si="138"/>
        <v>445.31800000000067</v>
      </c>
      <c r="BH49" s="996">
        <f t="shared" si="138"/>
        <v>429.45100000000008</v>
      </c>
      <c r="BI49" s="997">
        <f t="shared" si="138"/>
        <v>1766.6950000000015</v>
      </c>
      <c r="BJ49" s="996">
        <f t="shared" si="138"/>
        <v>497.31399999999996</v>
      </c>
      <c r="BK49" s="996">
        <f t="shared" si="138"/>
        <v>453.11099999999954</v>
      </c>
      <c r="BL49" s="996">
        <f t="shared" si="138"/>
        <v>439.21299999999957</v>
      </c>
      <c r="BM49" s="996">
        <f t="shared" si="138"/>
        <v>419.30999999999977</v>
      </c>
      <c r="BN49" s="997">
        <f t="shared" si="138"/>
        <v>1808.9480000000008</v>
      </c>
      <c r="BO49" s="996">
        <f t="shared" si="138"/>
        <v>457.23299999999989</v>
      </c>
      <c r="BP49" s="996">
        <f t="shared" ref="BP49:CH49" si="139">BP17+BP16</f>
        <v>380.79299999999967</v>
      </c>
      <c r="BQ49" s="996">
        <f t="shared" si="139"/>
        <v>400.76200000000023</v>
      </c>
      <c r="BR49" s="996">
        <f t="shared" si="139"/>
        <v>392.27300000000031</v>
      </c>
      <c r="BS49" s="997">
        <f t="shared" si="139"/>
        <v>1631.0609999999983</v>
      </c>
      <c r="BT49" s="996">
        <f t="shared" si="139"/>
        <v>490</v>
      </c>
      <c r="BU49" s="996">
        <f t="shared" si="139"/>
        <v>604</v>
      </c>
      <c r="BV49" s="996">
        <f t="shared" si="139"/>
        <v>651.27000000000044</v>
      </c>
      <c r="BW49" s="996">
        <f t="shared" si="139"/>
        <v>721</v>
      </c>
      <c r="BX49" s="997">
        <f t="shared" si="139"/>
        <v>2466.2700000000004</v>
      </c>
      <c r="BY49" s="996">
        <f t="shared" si="139"/>
        <v>677</v>
      </c>
      <c r="BZ49" s="996">
        <f t="shared" si="139"/>
        <v>677</v>
      </c>
      <c r="CA49" s="996">
        <f t="shared" si="139"/>
        <v>585</v>
      </c>
      <c r="CB49" s="996">
        <f t="shared" si="139"/>
        <v>483</v>
      </c>
      <c r="CC49" s="997">
        <f t="shared" si="139"/>
        <v>2422</v>
      </c>
      <c r="CD49" s="998">
        <f t="shared" si="139"/>
        <v>574</v>
      </c>
      <c r="CE49" s="996">
        <f t="shared" si="139"/>
        <v>509</v>
      </c>
      <c r="CF49" s="996">
        <f t="shared" si="139"/>
        <v>455</v>
      </c>
      <c r="CG49" s="996">
        <f t="shared" si="139"/>
        <v>321</v>
      </c>
      <c r="CH49" s="997">
        <f t="shared" si="139"/>
        <v>1859</v>
      </c>
      <c r="CI49" s="996">
        <f t="shared" ref="CI49:CR49" si="140">CI17+CI16</f>
        <v>301</v>
      </c>
      <c r="CJ49" s="996">
        <f t="shared" si="140"/>
        <v>399</v>
      </c>
      <c r="CK49" s="996">
        <f t="shared" si="140"/>
        <v>327</v>
      </c>
      <c r="CL49" s="996">
        <f t="shared" ref="CL49" si="141">CL17+CL16</f>
        <v>-198</v>
      </c>
      <c r="CM49" s="997">
        <f t="shared" si="140"/>
        <v>829</v>
      </c>
      <c r="CN49" s="996">
        <f t="shared" ca="1" si="140"/>
        <v>416.2510527919535</v>
      </c>
      <c r="CO49" s="996">
        <f t="shared" ca="1" si="140"/>
        <v>367.41955534927274</v>
      </c>
      <c r="CP49" s="996">
        <f t="shared" ca="1" si="140"/>
        <v>343.12605193048148</v>
      </c>
      <c r="CQ49" s="996">
        <f t="shared" ca="1" si="140"/>
        <v>396.24394577252997</v>
      </c>
      <c r="CR49" s="997">
        <f t="shared" ca="1" si="140"/>
        <v>1523.0406058442368</v>
      </c>
      <c r="CS49" s="996">
        <f t="shared" ref="CS49:CW49" ca="1" si="142">CS17+CS16</f>
        <v>373.07394576676234</v>
      </c>
      <c r="CT49" s="996">
        <f t="shared" ca="1" si="142"/>
        <v>373.13231053148183</v>
      </c>
      <c r="CU49" s="996">
        <f t="shared" ca="1" si="142"/>
        <v>379.06897660755158</v>
      </c>
      <c r="CV49" s="996">
        <f t="shared" ca="1" si="142"/>
        <v>401.94056264570918</v>
      </c>
      <c r="CW49" s="997">
        <f t="shared" ca="1" si="142"/>
        <v>1527.2157955515067</v>
      </c>
      <c r="CX49" s="996">
        <f t="shared" ref="CX49:DB49" ca="1" si="143">CX17+CX16</f>
        <v>373.15158982107869</v>
      </c>
      <c r="CY49" s="996">
        <f t="shared" ca="1" si="143"/>
        <v>379.32658532911819</v>
      </c>
      <c r="CZ49" s="996">
        <f t="shared" ca="1" si="143"/>
        <v>361.02724122753216</v>
      </c>
      <c r="DA49" s="996">
        <f t="shared" ca="1" si="143"/>
        <v>407.33467150451179</v>
      </c>
      <c r="DB49" s="997">
        <f t="shared" ca="1" si="143"/>
        <v>1520.8400878822413</v>
      </c>
      <c r="DC49"/>
      <c r="DD49"/>
      <c r="DE49"/>
      <c r="DF49"/>
      <c r="DG49"/>
      <c r="DJ49"/>
    </row>
    <row r="50" spans="1:114" s="725" customFormat="1" hidden="1" outlineLevel="1">
      <c r="A50" s="540"/>
      <c r="B50" s="954" t="s">
        <v>220</v>
      </c>
      <c r="C50" s="993"/>
      <c r="D50" s="993"/>
      <c r="E50" s="993"/>
      <c r="F50" s="993"/>
      <c r="G50" s="918"/>
      <c r="H50" s="918"/>
      <c r="I50" s="918"/>
      <c r="J50" s="918"/>
      <c r="K50" s="993"/>
      <c r="L50" s="918"/>
      <c r="M50" s="918"/>
      <c r="N50" s="918"/>
      <c r="O50" s="918"/>
      <c r="P50" s="993"/>
      <c r="Q50" s="918"/>
      <c r="R50" s="918"/>
      <c r="S50" s="918"/>
      <c r="T50" s="918"/>
      <c r="U50" s="993"/>
      <c r="V50" s="918"/>
      <c r="W50" s="918"/>
      <c r="X50" s="918"/>
      <c r="Y50" s="918"/>
      <c r="Z50" s="993"/>
      <c r="AA50" s="918"/>
      <c r="AB50" s="918"/>
      <c r="AC50" s="918"/>
      <c r="AD50" s="918"/>
      <c r="AE50" s="993"/>
      <c r="AF50" s="918"/>
      <c r="AG50" s="918"/>
      <c r="AH50" s="918"/>
      <c r="AI50" s="918"/>
      <c r="AJ50" s="993"/>
      <c r="AK50" s="918"/>
      <c r="AL50" s="918"/>
      <c r="AM50" s="918"/>
      <c r="AN50" s="918"/>
      <c r="AO50" s="993"/>
      <c r="AP50" s="918"/>
      <c r="AQ50" s="918"/>
      <c r="AR50" s="918"/>
      <c r="AS50" s="918"/>
      <c r="AT50" s="993"/>
      <c r="AU50" s="918"/>
      <c r="AV50" s="918"/>
      <c r="AW50" s="918"/>
      <c r="AX50" s="918"/>
      <c r="AY50" s="993"/>
      <c r="AZ50" s="918"/>
      <c r="BA50" s="918"/>
      <c r="BB50" s="918"/>
      <c r="BC50" s="918"/>
      <c r="BD50" s="993"/>
      <c r="BE50" s="918"/>
      <c r="BF50" s="918"/>
      <c r="BG50" s="918"/>
      <c r="BH50" s="918"/>
      <c r="BI50" s="993"/>
      <c r="BJ50" s="918"/>
      <c r="BK50" s="918"/>
      <c r="BL50" s="918"/>
      <c r="BM50" s="918"/>
      <c r="BN50" s="993"/>
      <c r="BO50" s="918"/>
      <c r="BP50" s="918"/>
      <c r="BQ50" s="918"/>
      <c r="BR50" s="918"/>
      <c r="BS50" s="993"/>
      <c r="BT50" s="918"/>
      <c r="BU50" s="918"/>
      <c r="BV50" s="918"/>
      <c r="BW50" s="918"/>
      <c r="BX50" s="993"/>
      <c r="BY50" s="918"/>
      <c r="BZ50" s="918"/>
      <c r="CA50" s="918"/>
      <c r="CB50" s="918"/>
      <c r="CC50" s="993"/>
      <c r="CD50" s="595"/>
      <c r="CE50" s="918"/>
      <c r="CF50" s="918"/>
      <c r="CG50" s="918"/>
      <c r="CH50" s="993"/>
      <c r="CI50" s="918"/>
      <c r="CJ50" s="918"/>
      <c r="CK50" s="918"/>
      <c r="CL50" s="918"/>
      <c r="CM50" s="993"/>
      <c r="CN50" s="918"/>
      <c r="CO50" s="918"/>
      <c r="CP50" s="918"/>
      <c r="CQ50" s="918"/>
      <c r="CR50" s="993"/>
      <c r="CS50" s="918"/>
      <c r="CT50" s="918"/>
      <c r="CU50" s="918"/>
      <c r="CV50" s="918"/>
      <c r="CW50" s="993"/>
      <c r="CX50" s="918"/>
      <c r="CY50" s="918"/>
      <c r="CZ50" s="918"/>
      <c r="DA50" s="918"/>
      <c r="DB50" s="993"/>
      <c r="DC50"/>
      <c r="DD50"/>
      <c r="DE50"/>
      <c r="DF50"/>
      <c r="DG50"/>
      <c r="DJ50"/>
    </row>
    <row r="51" spans="1:114" s="725" customFormat="1" hidden="1" outlineLevel="1">
      <c r="A51" s="49"/>
      <c r="B51" s="37" t="s">
        <v>193</v>
      </c>
      <c r="C51" s="20"/>
      <c r="D51" s="20">
        <f t="shared" ref="D51:J51" si="144">D19</f>
        <v>-327.53899999999999</v>
      </c>
      <c r="E51" s="20">
        <f t="shared" si="144"/>
        <v>105.25499999999995</v>
      </c>
      <c r="F51" s="20">
        <f t="shared" si="144"/>
        <v>155.11199999999988</v>
      </c>
      <c r="G51" s="24">
        <f t="shared" si="144"/>
        <v>48.740999999999993</v>
      </c>
      <c r="H51" s="24">
        <f t="shared" si="144"/>
        <v>45.16900000000004</v>
      </c>
      <c r="I51" s="24">
        <f t="shared" si="144"/>
        <v>43.39500000000001</v>
      </c>
      <c r="J51" s="24">
        <f t="shared" si="144"/>
        <v>51.738000000000028</v>
      </c>
      <c r="K51" s="20">
        <f>SUM(G51:J51)</f>
        <v>189.04300000000006</v>
      </c>
      <c r="L51" s="24">
        <f>L19</f>
        <v>63.916000000000032</v>
      </c>
      <c r="M51" s="24">
        <f>M19</f>
        <v>58.568999999999981</v>
      </c>
      <c r="N51" s="24">
        <f>N19</f>
        <v>58.332000000000022</v>
      </c>
      <c r="O51" s="24">
        <f>O19</f>
        <v>62.929000000000016</v>
      </c>
      <c r="P51" s="20">
        <f>SUM(L51:O51)</f>
        <v>243.74600000000004</v>
      </c>
      <c r="Q51" s="24">
        <f>Q19</f>
        <v>73.332000000000079</v>
      </c>
      <c r="R51" s="24">
        <f>R19</f>
        <v>68.375000000000057</v>
      </c>
      <c r="S51" s="24">
        <f>S19</f>
        <v>71.919000000000125</v>
      </c>
      <c r="T51" s="24">
        <f>T19</f>
        <v>79.131</v>
      </c>
      <c r="U51" s="20">
        <f>SUM(Q51:T51)</f>
        <v>292.75700000000029</v>
      </c>
      <c r="V51" s="24">
        <f>V19</f>
        <v>86.572000000000031</v>
      </c>
      <c r="W51" s="24">
        <f>W19</f>
        <v>82.764000000000024</v>
      </c>
      <c r="X51" s="24">
        <f>X19</f>
        <v>81.705000000000055</v>
      </c>
      <c r="Y51" s="24">
        <f>Y19</f>
        <v>88.376999999999995</v>
      </c>
      <c r="Z51" s="20">
        <f>SUM(V51:Y51)</f>
        <v>339.41800000000012</v>
      </c>
      <c r="AA51" s="24">
        <f>AA19</f>
        <v>101.85099999999986</v>
      </c>
      <c r="AB51" s="24">
        <f>AB19</f>
        <v>99.66900000000004</v>
      </c>
      <c r="AC51" s="24">
        <f>AC19</f>
        <v>97.007000000000062</v>
      </c>
      <c r="AD51" s="24">
        <f>AD19</f>
        <v>107.97599999999989</v>
      </c>
      <c r="AE51" s="20">
        <f>SUM(AA51:AD51)</f>
        <v>406.50299999999982</v>
      </c>
      <c r="AF51" s="24">
        <f>AF19</f>
        <v>115.95199999999986</v>
      </c>
      <c r="AG51" s="24">
        <f>AG19</f>
        <v>109.56100000000015</v>
      </c>
      <c r="AH51" s="24">
        <f>AH19</f>
        <v>41.409000000000013</v>
      </c>
      <c r="AI51" s="24">
        <f>AI19</f>
        <v>116.33300000000006</v>
      </c>
      <c r="AJ51" s="20">
        <f>SUM(AF51:AI51)</f>
        <v>383.25500000000011</v>
      </c>
      <c r="AK51" s="24">
        <f>AK19</f>
        <v>118.92899999999995</v>
      </c>
      <c r="AL51" s="24">
        <f>AL19</f>
        <v>119.19999999999987</v>
      </c>
      <c r="AM51" s="24">
        <f>AM19</f>
        <v>182.85500000000042</v>
      </c>
      <c r="AN51" s="24">
        <f>AN19</f>
        <v>62.106000000000037</v>
      </c>
      <c r="AO51" s="20">
        <f>SUM(AK51:AN51)</f>
        <v>483.09000000000032</v>
      </c>
      <c r="AP51" s="24">
        <f>AP19</f>
        <v>247.55600000000018</v>
      </c>
      <c r="AQ51" s="24">
        <f>AQ19</f>
        <v>233.07399999999984</v>
      </c>
      <c r="AR51" s="24">
        <f>AR19</f>
        <v>253.06699999999961</v>
      </c>
      <c r="AS51" s="24">
        <f>AS19</f>
        <v>255.94100000000006</v>
      </c>
      <c r="AT51" s="20">
        <f>SUM(AP51:AS51)</f>
        <v>989.63799999999969</v>
      </c>
      <c r="AU51" s="24">
        <f>AU19</f>
        <v>255.14199999999951</v>
      </c>
      <c r="AV51" s="24">
        <f>AV19</f>
        <v>261.40299999999991</v>
      </c>
      <c r="AW51" s="24">
        <f>AW19</f>
        <v>267.26800000000048</v>
      </c>
      <c r="AX51" s="24">
        <f>AX19</f>
        <v>284.95600000000059</v>
      </c>
      <c r="AY51" s="20">
        <f>SUM(AU51:AX51)</f>
        <v>1068.7690000000005</v>
      </c>
      <c r="AZ51" s="24">
        <f>AZ19</f>
        <v>273.01200000000028</v>
      </c>
      <c r="BA51" s="24">
        <f>BA19</f>
        <v>278.77200000000028</v>
      </c>
      <c r="BB51" s="24">
        <f>BB19</f>
        <v>280.81900000000007</v>
      </c>
      <c r="BC51" s="24">
        <f>BC19</f>
        <v>282.3249999999997</v>
      </c>
      <c r="BD51" s="20">
        <f>SUM(AZ51:BC51)</f>
        <v>1114.9280000000003</v>
      </c>
      <c r="BE51" s="24">
        <f>BE19</f>
        <v>280.9649999999998</v>
      </c>
      <c r="BF51" s="24">
        <f>BF19</f>
        <v>288.90800000000013</v>
      </c>
      <c r="BG51" s="24">
        <f>BG19</f>
        <v>283.80300000000068</v>
      </c>
      <c r="BH51" s="24">
        <f>BH19</f>
        <v>280.99300000000011</v>
      </c>
      <c r="BI51" s="20">
        <f>SUM(BE51:BH51)</f>
        <v>1134.6690000000008</v>
      </c>
      <c r="BJ51" s="24">
        <f>BJ19</f>
        <v>349.12799999999993</v>
      </c>
      <c r="BK51" s="24">
        <f>BK19</f>
        <v>290.11199999999957</v>
      </c>
      <c r="BL51" s="24">
        <f>BL19</f>
        <v>287.62799999999959</v>
      </c>
      <c r="BM51" s="24">
        <f>BM19</f>
        <v>283.25599999999974</v>
      </c>
      <c r="BN51" s="20">
        <f>SUM(BJ51:BM51)</f>
        <v>1210.1239999999989</v>
      </c>
      <c r="BO51" s="24">
        <f>BO19</f>
        <v>285.99099999999987</v>
      </c>
      <c r="BP51" s="24">
        <f>BP19</f>
        <v>210.57199999999969</v>
      </c>
      <c r="BQ51" s="24">
        <f>BQ19</f>
        <v>269.92800000000022</v>
      </c>
      <c r="BR51" s="24">
        <f>BR19</f>
        <v>247.7720000000003</v>
      </c>
      <c r="BS51" s="20">
        <f>SUM(BO51:BR51)</f>
        <v>1014.263</v>
      </c>
      <c r="BT51" s="24">
        <f>BT19</f>
        <v>273</v>
      </c>
      <c r="BU51" s="24">
        <f>BU19</f>
        <v>406</v>
      </c>
      <c r="BV51" s="24">
        <f>BV19</f>
        <v>459.27000000000044</v>
      </c>
      <c r="BW51" s="24">
        <f>BW19</f>
        <v>477</v>
      </c>
      <c r="BX51" s="20">
        <f>SUM(BT51:BW51)</f>
        <v>1615.2700000000004</v>
      </c>
      <c r="BY51" s="24">
        <f>BY19</f>
        <v>407</v>
      </c>
      <c r="BZ51" s="24">
        <f>BZ19</f>
        <v>441</v>
      </c>
      <c r="CA51" s="24">
        <f>CA19</f>
        <v>351</v>
      </c>
      <c r="CB51" s="24">
        <f>CB19</f>
        <v>211</v>
      </c>
      <c r="CC51" s="20">
        <f>SUM(BY51:CB51)</f>
        <v>1410</v>
      </c>
      <c r="CD51" s="893">
        <f>CD19</f>
        <v>294</v>
      </c>
      <c r="CE51" s="24">
        <f>CE19</f>
        <v>264</v>
      </c>
      <c r="CF51" s="24">
        <f>CF19</f>
        <v>195</v>
      </c>
      <c r="CG51" s="24">
        <f>CG19</f>
        <v>75</v>
      </c>
      <c r="CH51" s="20">
        <f>SUM(CD51:CG51)</f>
        <v>828</v>
      </c>
      <c r="CI51" s="24">
        <f>CI19</f>
        <v>72</v>
      </c>
      <c r="CJ51" s="24">
        <f>CJ19</f>
        <v>193</v>
      </c>
      <c r="CK51" s="24">
        <f>CK19</f>
        <v>123</v>
      </c>
      <c r="CL51" s="24">
        <f>CL19</f>
        <v>-391</v>
      </c>
      <c r="CM51" s="20">
        <f>SUM(CI51:CL51)</f>
        <v>-3</v>
      </c>
      <c r="CN51" s="24">
        <f ca="1">CN19</f>
        <v>232.02180637249552</v>
      </c>
      <c r="CO51" s="24">
        <f ca="1">CO19</f>
        <v>206.77293725652757</v>
      </c>
      <c r="CP51" s="24">
        <f ca="1">CP19</f>
        <v>182.44663611189844</v>
      </c>
      <c r="CQ51" s="24">
        <f ca="1">CQ19</f>
        <v>214.91848794772463</v>
      </c>
      <c r="CR51" s="20">
        <f ca="1">SUM(CN51:CQ51)</f>
        <v>836.15986768864616</v>
      </c>
      <c r="CS51" s="24">
        <f ca="1">CS19</f>
        <v>198.93362978862518</v>
      </c>
      <c r="CT51" s="24">
        <f ca="1">CT19</f>
        <v>205.95019376203658</v>
      </c>
      <c r="CU51" s="24">
        <f ca="1">CU19</f>
        <v>219.49170330077212</v>
      </c>
      <c r="CV51" s="24">
        <f ca="1">CV19</f>
        <v>221.51360463447239</v>
      </c>
      <c r="CW51" s="20">
        <f ca="1">SUM(CS51:CV51)</f>
        <v>845.8891314859062</v>
      </c>
      <c r="CX51" s="24">
        <f ca="1">CX19</f>
        <v>200.44711350576276</v>
      </c>
      <c r="CY51" s="24">
        <f ca="1">CY19</f>
        <v>213.38854026203825</v>
      </c>
      <c r="CZ51" s="24">
        <f ca="1">CZ19</f>
        <v>203.90750133163641</v>
      </c>
      <c r="DA51" s="24">
        <f ca="1">DA19</f>
        <v>228.50414117231534</v>
      </c>
      <c r="DB51" s="20">
        <f ca="1">SUM(CX51:DA51)</f>
        <v>846.24729627175282</v>
      </c>
      <c r="DC51"/>
      <c r="DD51"/>
      <c r="DE51"/>
      <c r="DF51"/>
      <c r="DG51"/>
      <c r="DJ51"/>
    </row>
    <row r="52" spans="1:114" s="725" customFormat="1" hidden="1" outlineLevel="1">
      <c r="A52" s="49"/>
      <c r="B52" s="687" t="s">
        <v>380</v>
      </c>
      <c r="C52" s="20"/>
      <c r="D52" s="20">
        <f t="shared" ref="D52:J52" si="145">D18</f>
        <v>97.623999999999995</v>
      </c>
      <c r="E52" s="20">
        <f t="shared" si="145"/>
        <v>81.650999999999996</v>
      </c>
      <c r="F52" s="20">
        <f t="shared" si="145"/>
        <v>97.623999999999995</v>
      </c>
      <c r="G52" s="24">
        <f t="shared" si="145"/>
        <v>28.506999999999998</v>
      </c>
      <c r="H52" s="24">
        <f t="shared" si="145"/>
        <v>28.660999999999998</v>
      </c>
      <c r="I52" s="24">
        <f t="shared" si="145"/>
        <v>30.631</v>
      </c>
      <c r="J52" s="24">
        <f t="shared" si="145"/>
        <v>31.869</v>
      </c>
      <c r="K52" s="20">
        <f>SUM(G52:J52)</f>
        <v>119.66799999999999</v>
      </c>
      <c r="L52" s="24">
        <f>L18</f>
        <v>28.484000000000002</v>
      </c>
      <c r="M52" s="24">
        <f>M18</f>
        <v>28.951000000000001</v>
      </c>
      <c r="N52" s="24">
        <f>N18</f>
        <v>28.981999999999999</v>
      </c>
      <c r="O52" s="24">
        <f>O18</f>
        <v>31.800999999999998</v>
      </c>
      <c r="P52" s="20">
        <f>SUM(L52:O52)</f>
        <v>118.218</v>
      </c>
      <c r="Q52" s="24">
        <f>Q18</f>
        <v>33.241999999999997</v>
      </c>
      <c r="R52" s="24">
        <f>R18</f>
        <v>34.357999999999997</v>
      </c>
      <c r="S52" s="24">
        <f>S18</f>
        <v>36.374000000000002</v>
      </c>
      <c r="T52" s="24">
        <f>T18</f>
        <v>39.792000000000002</v>
      </c>
      <c r="U52" s="20">
        <f>SUM(Q52:T52)</f>
        <v>143.76599999999999</v>
      </c>
      <c r="V52" s="24">
        <f>V18</f>
        <v>38.451000000000001</v>
      </c>
      <c r="W52" s="24">
        <f>W18</f>
        <v>38.706000000000003</v>
      </c>
      <c r="X52" s="24">
        <f>X18</f>
        <v>39.311999999999998</v>
      </c>
      <c r="Y52" s="24">
        <f>Y18</f>
        <v>41.603999999999999</v>
      </c>
      <c r="Z52" s="20">
        <f>SUM(V52:Y52)</f>
        <v>158.07300000000001</v>
      </c>
      <c r="AA52" s="24">
        <f>AA18</f>
        <v>40.246000000000002</v>
      </c>
      <c r="AB52" s="24">
        <f>AB18</f>
        <v>40.482999999999997</v>
      </c>
      <c r="AC52" s="24">
        <f>AC18</f>
        <v>40.49</v>
      </c>
      <c r="AD52" s="24">
        <f>AD18</f>
        <v>43.792999999999999</v>
      </c>
      <c r="AE52" s="20">
        <f>SUM(AA52:AD52)</f>
        <v>165.012</v>
      </c>
      <c r="AF52" s="24">
        <f>AF18</f>
        <v>42.506</v>
      </c>
      <c r="AG52" s="24">
        <f>AG18</f>
        <v>47.183</v>
      </c>
      <c r="AH52" s="24">
        <f>AH18</f>
        <v>49.951000000000001</v>
      </c>
      <c r="AI52" s="24">
        <f>AI18</f>
        <v>49.131</v>
      </c>
      <c r="AJ52" s="20">
        <f>SUM(AF52:AI52)</f>
        <v>188.77099999999999</v>
      </c>
      <c r="AK52" s="24">
        <f>AK18</f>
        <v>51.27</v>
      </c>
      <c r="AL52" s="24">
        <f>AL18</f>
        <v>53.348999999999997</v>
      </c>
      <c r="AM52" s="24">
        <f>AM18</f>
        <v>106.435</v>
      </c>
      <c r="AN52" s="24">
        <f>AN18</f>
        <v>115.104</v>
      </c>
      <c r="AO52" s="20">
        <f>SUM(AK52:AN52)</f>
        <v>326.15800000000002</v>
      </c>
      <c r="AP52" s="24">
        <f>AP18</f>
        <v>122.715</v>
      </c>
      <c r="AQ52" s="24">
        <f>AQ18</f>
        <v>124.94199999999999</v>
      </c>
      <c r="AR52" s="24">
        <f>AR18</f>
        <v>130.50700000000001</v>
      </c>
      <c r="AS52" s="24">
        <f>AS18</f>
        <v>125.78700000000001</v>
      </c>
      <c r="AT52" s="20">
        <f>SUM(AP52:AS52)</f>
        <v>503.95100000000002</v>
      </c>
      <c r="AU52" s="24">
        <f>AU18</f>
        <v>135.53200000000001</v>
      </c>
      <c r="AV52" s="24">
        <f>AV18</f>
        <v>142.447</v>
      </c>
      <c r="AW52" s="24">
        <f>AW18</f>
        <v>143.55799999999999</v>
      </c>
      <c r="AX52" s="24">
        <f>AX18</f>
        <v>144.64500000000001</v>
      </c>
      <c r="AY52" s="20">
        <f>SUM(AU52:AX52)</f>
        <v>566.18200000000002</v>
      </c>
      <c r="AZ52" s="24">
        <f>AZ18</f>
        <v>147.679</v>
      </c>
      <c r="BA52" s="24">
        <f>BA18</f>
        <v>153.381</v>
      </c>
      <c r="BB52" s="24">
        <f>BB18</f>
        <v>151.119</v>
      </c>
      <c r="BC52" s="24">
        <f>BC18</f>
        <v>157.66</v>
      </c>
      <c r="BD52" s="20">
        <f>SUM(AZ52:BC52)</f>
        <v>609.83899999999994</v>
      </c>
      <c r="BE52" s="24">
        <f>BE18</f>
        <v>160.67699999999999</v>
      </c>
      <c r="BF52" s="24">
        <f>BF18</f>
        <v>161.376</v>
      </c>
      <c r="BG52" s="24">
        <f>BG18</f>
        <v>161.51499999999999</v>
      </c>
      <c r="BH52" s="24">
        <f>BH18</f>
        <v>171.62799999999999</v>
      </c>
      <c r="BI52" s="20">
        <f>SUM(BE52:BH52)</f>
        <v>655.19599999999991</v>
      </c>
      <c r="BJ52" s="24">
        <f>BJ18</f>
        <v>174.35400000000001</v>
      </c>
      <c r="BK52" s="24">
        <f>BK18</f>
        <v>179.80099999999999</v>
      </c>
      <c r="BL52" s="24">
        <f>BL18</f>
        <v>182.20699999999999</v>
      </c>
      <c r="BM52" s="24">
        <f>BM18</f>
        <v>189.196</v>
      </c>
      <c r="BN52" s="20">
        <f>SUM(BJ52:BM52)</f>
        <v>725.55799999999999</v>
      </c>
      <c r="BO52" s="24">
        <f>BO18</f>
        <v>192.15799999999999</v>
      </c>
      <c r="BP52" s="24">
        <f>BP18</f>
        <v>194.60499999999999</v>
      </c>
      <c r="BQ52" s="24">
        <f>BQ18</f>
        <v>195.84100000000001</v>
      </c>
      <c r="BR52" s="24">
        <f>BR18</f>
        <v>200.071</v>
      </c>
      <c r="BS52" s="20">
        <f>SUM(BO52:BR52)</f>
        <v>782.67500000000007</v>
      </c>
      <c r="BT52" s="24">
        <f>BT18</f>
        <v>257</v>
      </c>
      <c r="BU52" s="24">
        <f>BU18</f>
        <v>282</v>
      </c>
      <c r="BV52" s="24">
        <f>BV18</f>
        <v>280</v>
      </c>
      <c r="BW52" s="24">
        <f>BW18</f>
        <v>291</v>
      </c>
      <c r="BX52" s="20">
        <f>SUM(BT52:BW52)</f>
        <v>1110</v>
      </c>
      <c r="BY52" s="24">
        <f>BY18</f>
        <v>296</v>
      </c>
      <c r="BZ52" s="24">
        <f>BZ18</f>
        <v>291</v>
      </c>
      <c r="CA52" s="24">
        <f>CA18</f>
        <v>288</v>
      </c>
      <c r="CB52" s="24">
        <f>CB18</f>
        <v>297</v>
      </c>
      <c r="CC52" s="20">
        <f>SUM(BY52:CB52)</f>
        <v>1172</v>
      </c>
      <c r="CD52" s="893">
        <f>CD18</f>
        <v>298</v>
      </c>
      <c r="CE52" s="24">
        <f>CE18</f>
        <v>276</v>
      </c>
      <c r="CF52" s="24">
        <f>CF18</f>
        <v>265</v>
      </c>
      <c r="CG52" s="24">
        <f>CG18</f>
        <v>261</v>
      </c>
      <c r="CH52" s="20">
        <f>SUM(CD52:CG52)</f>
        <v>1100</v>
      </c>
      <c r="CI52" s="24">
        <f>CI18</f>
        <v>235</v>
      </c>
      <c r="CJ52" s="24">
        <f>CJ18</f>
        <v>223</v>
      </c>
      <c r="CK52" s="24">
        <f>CK18</f>
        <v>206</v>
      </c>
      <c r="CL52" s="24">
        <f>CL18</f>
        <v>196</v>
      </c>
      <c r="CM52" s="20">
        <f>SUM(CI52:CL52)</f>
        <v>860</v>
      </c>
      <c r="CN52" s="24">
        <f ca="1">CN18</f>
        <v>190.22924641945798</v>
      </c>
      <c r="CO52" s="24">
        <f ca="1">CO18</f>
        <v>177.64661809274517</v>
      </c>
      <c r="CP52" s="24">
        <f ca="1">CP18</f>
        <v>162.67941581858304</v>
      </c>
      <c r="CQ52" s="24">
        <f ca="1">CQ18</f>
        <v>184.32545782480534</v>
      </c>
      <c r="CR52" s="20">
        <f ca="1">SUM(CN52:CQ52)</f>
        <v>714.88073815559153</v>
      </c>
      <c r="CS52" s="24">
        <f ca="1">CS18</f>
        <v>176.14031597813715</v>
      </c>
      <c r="CT52" s="24">
        <f ca="1">CT18</f>
        <v>169.18211676944526</v>
      </c>
      <c r="CU52" s="24">
        <f ca="1">CU18</f>
        <v>161.57727330677946</v>
      </c>
      <c r="CV52" s="24">
        <f ca="1">CV18</f>
        <v>182.42695801123679</v>
      </c>
      <c r="CW52" s="20">
        <f ca="1">SUM(CS52:CV52)</f>
        <v>689.32666406559872</v>
      </c>
      <c r="CX52" s="24">
        <f ca="1">CX18</f>
        <v>173.70447631531593</v>
      </c>
      <c r="CY52" s="24">
        <f ca="1">CY18</f>
        <v>166.93804506707994</v>
      </c>
      <c r="CZ52" s="24">
        <f ca="1">CZ18</f>
        <v>158.11973989589575</v>
      </c>
      <c r="DA52" s="24">
        <f ca="1">DA18</f>
        <v>179.83053033219645</v>
      </c>
      <c r="DB52" s="20">
        <f ca="1">SUM(CX52:DA52)</f>
        <v>678.59279161048812</v>
      </c>
      <c r="DC52"/>
      <c r="DD52"/>
      <c r="DE52"/>
      <c r="DF52"/>
      <c r="DG52"/>
      <c r="DJ52"/>
    </row>
    <row r="53" spans="1:114" s="725" customFormat="1" ht="13.5" hidden="1" outlineLevel="1" thickBot="1">
      <c r="A53" s="49"/>
      <c r="B53" s="687" t="s">
        <v>370</v>
      </c>
      <c r="C53" s="20"/>
      <c r="D53" s="20">
        <f t="shared" ref="D53:J53" si="146">D21</f>
        <v>0</v>
      </c>
      <c r="E53" s="20">
        <f t="shared" si="146"/>
        <v>0</v>
      </c>
      <c r="F53" s="20">
        <f t="shared" si="146"/>
        <v>0</v>
      </c>
      <c r="G53" s="24">
        <f t="shared" si="146"/>
        <v>0</v>
      </c>
      <c r="H53" s="24">
        <f t="shared" si="146"/>
        <v>0</v>
      </c>
      <c r="I53" s="24">
        <f t="shared" si="146"/>
        <v>0</v>
      </c>
      <c r="J53" s="24">
        <f t="shared" si="146"/>
        <v>0</v>
      </c>
      <c r="K53" s="20">
        <f>SUM(G53:J53)</f>
        <v>0</v>
      </c>
      <c r="L53" s="24">
        <f>L21</f>
        <v>0</v>
      </c>
      <c r="M53" s="24">
        <f>M21</f>
        <v>0</v>
      </c>
      <c r="N53" s="24">
        <f>N21</f>
        <v>0</v>
      </c>
      <c r="O53" s="24">
        <f>O21</f>
        <v>0</v>
      </c>
      <c r="P53" s="20">
        <f>SUM(L53:O53)</f>
        <v>0</v>
      </c>
      <c r="Q53" s="24">
        <f>Q21</f>
        <v>0</v>
      </c>
      <c r="R53" s="24">
        <f>R21</f>
        <v>0</v>
      </c>
      <c r="S53" s="24">
        <f>S21</f>
        <v>0</v>
      </c>
      <c r="T53" s="24">
        <f>T21</f>
        <v>0</v>
      </c>
      <c r="U53" s="20">
        <f>SUM(Q53:T53)</f>
        <v>0</v>
      </c>
      <c r="V53" s="24">
        <f>V21</f>
        <v>0</v>
      </c>
      <c r="W53" s="24">
        <f>W21</f>
        <v>0</v>
      </c>
      <c r="X53" s="24">
        <f>X21</f>
        <v>0</v>
      </c>
      <c r="Y53" s="24">
        <f>Y21</f>
        <v>0</v>
      </c>
      <c r="Z53" s="20">
        <f>SUM(V53:Y53)</f>
        <v>0</v>
      </c>
      <c r="AA53" s="24">
        <f>AA21</f>
        <v>0</v>
      </c>
      <c r="AB53" s="24">
        <f>AB21</f>
        <v>0</v>
      </c>
      <c r="AC53" s="24">
        <f>AC21</f>
        <v>0</v>
      </c>
      <c r="AD53" s="24">
        <f>AD21</f>
        <v>0</v>
      </c>
      <c r="AE53" s="20">
        <f>SUM(AA53:AD53)</f>
        <v>0</v>
      </c>
      <c r="AF53" s="24">
        <f>AF21</f>
        <v>0</v>
      </c>
      <c r="AG53" s="24">
        <f>AG21</f>
        <v>0</v>
      </c>
      <c r="AH53" s="24">
        <f>AH21</f>
        <v>0</v>
      </c>
      <c r="AI53" s="24">
        <f>AI21</f>
        <v>0</v>
      </c>
      <c r="AJ53" s="20">
        <f>SUM(AF53:AI53)</f>
        <v>0</v>
      </c>
      <c r="AK53" s="24">
        <f>AK21</f>
        <v>0</v>
      </c>
      <c r="AL53" s="24">
        <f>AL21</f>
        <v>0</v>
      </c>
      <c r="AM53" s="24">
        <f>AM21</f>
        <v>14.304</v>
      </c>
      <c r="AN53" s="24">
        <f>AN21</f>
        <v>10.848000000000001</v>
      </c>
      <c r="AO53" s="20">
        <f>SUM(AK53:AN53)</f>
        <v>25.152000000000001</v>
      </c>
      <c r="AP53" s="24">
        <f>AP21</f>
        <v>12.884</v>
      </c>
      <c r="AQ53" s="24">
        <f>AQ21</f>
        <v>10.507999999999999</v>
      </c>
      <c r="AR53" s="24">
        <f>AR21</f>
        <v>8.6910000000000007</v>
      </c>
      <c r="AS53" s="24">
        <f>AS21</f>
        <v>9.9809999999999999</v>
      </c>
      <c r="AT53" s="20">
        <f>SUM(AP53:AS53)</f>
        <v>42.064</v>
      </c>
      <c r="AU53" s="24">
        <f>AU21</f>
        <v>12.919</v>
      </c>
      <c r="AV53" s="24">
        <f>AV21</f>
        <v>11.782999999999999</v>
      </c>
      <c r="AW53" s="24">
        <f>AW21</f>
        <v>7.0010000000000003</v>
      </c>
      <c r="AX53" s="24">
        <f>AX21</f>
        <v>4.82</v>
      </c>
      <c r="AY53" s="20">
        <f>SUM(AU53:AX53)</f>
        <v>36.522999999999996</v>
      </c>
      <c r="AZ53" s="24">
        <f>AZ21</f>
        <v>12.587999999999999</v>
      </c>
      <c r="BA53" s="24">
        <f>BA21</f>
        <v>10.977</v>
      </c>
      <c r="BB53" s="24">
        <f>BB21</f>
        <v>9.5350000000000001</v>
      </c>
      <c r="BC53" s="24">
        <f>BC21</f>
        <v>12.332000000000001</v>
      </c>
      <c r="BD53" s="20">
        <f>SUM(AZ53:BC53)</f>
        <v>45.431999999999995</v>
      </c>
      <c r="BE53" s="24">
        <f>BE21</f>
        <v>18.13</v>
      </c>
      <c r="BF53" s="24">
        <f>BF21</f>
        <v>12.016999999999999</v>
      </c>
      <c r="BG53" s="24">
        <f>BG21</f>
        <v>8.1940000000000008</v>
      </c>
      <c r="BH53" s="24">
        <f>BH21</f>
        <v>11.146000000000001</v>
      </c>
      <c r="BI53" s="20">
        <f>SUM(BE53:BH53)</f>
        <v>49.487000000000002</v>
      </c>
      <c r="BJ53" s="24">
        <f>BJ21</f>
        <v>12.013</v>
      </c>
      <c r="BK53" s="24">
        <f>BK21</f>
        <v>13.180999999999999</v>
      </c>
      <c r="BL53" s="24">
        <f>BL21</f>
        <v>7.4189999999999996</v>
      </c>
      <c r="BM53" s="24">
        <f>BM21</f>
        <v>9.42</v>
      </c>
      <c r="BN53" s="20">
        <f>SUM(BJ53:BM53)</f>
        <v>42.033000000000001</v>
      </c>
      <c r="BO53" s="24">
        <f>BO21</f>
        <v>15.68</v>
      </c>
      <c r="BP53" s="24">
        <f>BP21</f>
        <v>9.0540000000000003</v>
      </c>
      <c r="BQ53" s="24">
        <f>BQ21</f>
        <v>11.641</v>
      </c>
      <c r="BR53" s="24">
        <f>BR21</f>
        <v>6.266</v>
      </c>
      <c r="BS53" s="20">
        <f>SUM(BO53:BR53)</f>
        <v>42.640999999999998</v>
      </c>
      <c r="BT53" s="24">
        <f>BT21</f>
        <v>11</v>
      </c>
      <c r="BU53" s="24">
        <f>BU21</f>
        <v>11</v>
      </c>
      <c r="BV53" s="24">
        <f>BV21</f>
        <v>12</v>
      </c>
      <c r="BW53" s="24">
        <f>BW21</f>
        <v>14</v>
      </c>
      <c r="BX53" s="20">
        <f>SUM(BT53:BW53)</f>
        <v>48</v>
      </c>
      <c r="BY53" s="24">
        <f>BY21-6</f>
        <v>12</v>
      </c>
      <c r="BZ53" s="24">
        <f>BZ21+16</f>
        <v>37</v>
      </c>
      <c r="CA53" s="24">
        <f>CA21+10</f>
        <v>22</v>
      </c>
      <c r="CB53" s="24">
        <f>CB21+7</f>
        <v>19</v>
      </c>
      <c r="CC53" s="20">
        <f>SUM(BY53:CB53)</f>
        <v>90</v>
      </c>
      <c r="CD53" s="654">
        <f>CD21+4+17</f>
        <v>41</v>
      </c>
      <c r="CE53" s="655">
        <f>CE21+9</f>
        <v>23</v>
      </c>
      <c r="CF53" s="655">
        <f>CF21+1</f>
        <v>5</v>
      </c>
      <c r="CG53" s="655">
        <f>CG21+224-1</f>
        <v>228</v>
      </c>
      <c r="CH53" s="20">
        <f>SUM(CD53:CG53)</f>
        <v>297</v>
      </c>
      <c r="CI53" s="655">
        <f>CI21+250-41+7+1</f>
        <v>220</v>
      </c>
      <c r="CJ53" s="655">
        <f>CJ21+7+5+2</f>
        <v>19</v>
      </c>
      <c r="CK53" s="655">
        <f>CK21+1-6+2</f>
        <v>2</v>
      </c>
      <c r="CL53" s="655">
        <f>CL21+591+1+10</f>
        <v>604</v>
      </c>
      <c r="CM53" s="20">
        <f>SUM(CI53:CL53)</f>
        <v>845</v>
      </c>
      <c r="CN53" s="24">
        <f>CN21</f>
        <v>0</v>
      </c>
      <c r="CO53" s="24">
        <f>CO21</f>
        <v>0</v>
      </c>
      <c r="CP53" s="24">
        <v>3</v>
      </c>
      <c r="CQ53" s="24">
        <v>3</v>
      </c>
      <c r="CR53" s="20">
        <f>SUM(CN53:CQ53)</f>
        <v>6</v>
      </c>
      <c r="CS53" s="24">
        <f>CS21</f>
        <v>8</v>
      </c>
      <c r="CT53" s="24">
        <v>0</v>
      </c>
      <c r="CU53" s="24">
        <v>0</v>
      </c>
      <c r="CV53" s="24">
        <v>0</v>
      </c>
      <c r="CW53" s="20">
        <f>SUM(CS53:CV53)</f>
        <v>8</v>
      </c>
      <c r="CX53" s="24">
        <f>CX21</f>
        <v>8</v>
      </c>
      <c r="CY53" s="24">
        <v>0</v>
      </c>
      <c r="CZ53" s="24">
        <v>0</v>
      </c>
      <c r="DA53" s="24">
        <v>0</v>
      </c>
      <c r="DB53" s="20">
        <f>SUM(CX53:DA53)</f>
        <v>8</v>
      </c>
      <c r="DC53"/>
      <c r="DD53"/>
      <c r="DE53"/>
      <c r="DF53"/>
      <c r="DG53"/>
      <c r="DH53" s="586"/>
      <c r="DI53" s="586"/>
      <c r="DJ53"/>
    </row>
    <row r="54" spans="1:114" s="725" customFormat="1" ht="13.5" collapsed="1" thickBot="1">
      <c r="A54" s="1298"/>
      <c r="B54" s="1299" t="s">
        <v>221</v>
      </c>
      <c r="C54" s="1300"/>
      <c r="D54" s="1300">
        <f t="shared" ref="D54:Z54" si="147">SUM(D51:D53)</f>
        <v>-229.91499999999999</v>
      </c>
      <c r="E54" s="1300">
        <f t="shared" si="147"/>
        <v>186.90599999999995</v>
      </c>
      <c r="F54" s="1300">
        <f t="shared" si="147"/>
        <v>252.73599999999988</v>
      </c>
      <c r="G54" s="1301">
        <f t="shared" si="147"/>
        <v>77.24799999999999</v>
      </c>
      <c r="H54" s="1301">
        <f t="shared" si="147"/>
        <v>73.830000000000041</v>
      </c>
      <c r="I54" s="1301">
        <f t="shared" si="147"/>
        <v>74.02600000000001</v>
      </c>
      <c r="J54" s="1301">
        <f t="shared" si="147"/>
        <v>83.607000000000028</v>
      </c>
      <c r="K54" s="1302">
        <f t="shared" si="147"/>
        <v>308.71100000000007</v>
      </c>
      <c r="L54" s="1301">
        <f t="shared" si="147"/>
        <v>92.400000000000034</v>
      </c>
      <c r="M54" s="1301">
        <f t="shared" si="147"/>
        <v>87.519999999999982</v>
      </c>
      <c r="N54" s="1301">
        <f t="shared" si="147"/>
        <v>87.314000000000021</v>
      </c>
      <c r="O54" s="1301">
        <f t="shared" si="147"/>
        <v>94.730000000000018</v>
      </c>
      <c r="P54" s="1302">
        <f t="shared" si="147"/>
        <v>361.96400000000006</v>
      </c>
      <c r="Q54" s="1301">
        <f t="shared" si="147"/>
        <v>106.57400000000007</v>
      </c>
      <c r="R54" s="1301">
        <f t="shared" si="147"/>
        <v>102.73300000000006</v>
      </c>
      <c r="S54" s="1301">
        <f t="shared" si="147"/>
        <v>108.29300000000012</v>
      </c>
      <c r="T54" s="1301">
        <f t="shared" si="147"/>
        <v>118.923</v>
      </c>
      <c r="U54" s="1302">
        <f t="shared" si="147"/>
        <v>436.52300000000025</v>
      </c>
      <c r="V54" s="1301">
        <f t="shared" si="147"/>
        <v>125.02300000000002</v>
      </c>
      <c r="W54" s="1301">
        <f t="shared" si="147"/>
        <v>121.47000000000003</v>
      </c>
      <c r="X54" s="1301">
        <f t="shared" si="147"/>
        <v>121.01700000000005</v>
      </c>
      <c r="Y54" s="1301">
        <f t="shared" si="147"/>
        <v>129.98099999999999</v>
      </c>
      <c r="Z54" s="1302">
        <f t="shared" si="147"/>
        <v>497.4910000000001</v>
      </c>
      <c r="AA54" s="1301">
        <f t="shared" ref="AA54:AL54" si="148">SUM(AA51:AA53)</f>
        <v>142.09699999999987</v>
      </c>
      <c r="AB54" s="1301">
        <f t="shared" si="148"/>
        <v>140.15200000000004</v>
      </c>
      <c r="AC54" s="1301">
        <f t="shared" si="148"/>
        <v>137.49700000000007</v>
      </c>
      <c r="AD54" s="1301">
        <f t="shared" si="148"/>
        <v>151.76899999999989</v>
      </c>
      <c r="AE54" s="1302">
        <f t="shared" si="148"/>
        <v>571.51499999999987</v>
      </c>
      <c r="AF54" s="1301">
        <f t="shared" si="148"/>
        <v>158.45799999999986</v>
      </c>
      <c r="AG54" s="1301">
        <f t="shared" si="148"/>
        <v>156.74400000000014</v>
      </c>
      <c r="AH54" s="1301">
        <f t="shared" si="148"/>
        <v>91.360000000000014</v>
      </c>
      <c r="AI54" s="1301">
        <f t="shared" si="148"/>
        <v>165.46400000000006</v>
      </c>
      <c r="AJ54" s="1302">
        <f t="shared" si="148"/>
        <v>572.02600000000007</v>
      </c>
      <c r="AK54" s="1301">
        <f t="shared" si="148"/>
        <v>170.19899999999996</v>
      </c>
      <c r="AL54" s="1301">
        <f t="shared" si="148"/>
        <v>172.54899999999986</v>
      </c>
      <c r="AM54" s="1301">
        <f t="shared" ref="AM54:BR54" si="149">SUM(AM51:AM53)</f>
        <v>303.59400000000039</v>
      </c>
      <c r="AN54" s="1301">
        <f t="shared" si="149"/>
        <v>188.05800000000005</v>
      </c>
      <c r="AO54" s="1302">
        <f t="shared" si="149"/>
        <v>834.40000000000032</v>
      </c>
      <c r="AP54" s="1301">
        <f t="shared" si="149"/>
        <v>383.1550000000002</v>
      </c>
      <c r="AQ54" s="1301">
        <f t="shared" si="149"/>
        <v>368.52399999999983</v>
      </c>
      <c r="AR54" s="1301">
        <f t="shared" si="149"/>
        <v>392.26499999999959</v>
      </c>
      <c r="AS54" s="1301">
        <f t="shared" si="149"/>
        <v>391.70900000000006</v>
      </c>
      <c r="AT54" s="1302">
        <f t="shared" si="149"/>
        <v>1535.6529999999998</v>
      </c>
      <c r="AU54" s="1301">
        <f t="shared" si="149"/>
        <v>403.59299999999951</v>
      </c>
      <c r="AV54" s="1301">
        <f t="shared" si="149"/>
        <v>415.63299999999992</v>
      </c>
      <c r="AW54" s="1301">
        <f t="shared" si="149"/>
        <v>417.82700000000045</v>
      </c>
      <c r="AX54" s="1301">
        <f t="shared" si="149"/>
        <v>434.42100000000056</v>
      </c>
      <c r="AY54" s="1302">
        <f t="shared" si="149"/>
        <v>1671.4740000000004</v>
      </c>
      <c r="AZ54" s="1301">
        <f t="shared" si="149"/>
        <v>433.27900000000028</v>
      </c>
      <c r="BA54" s="1301">
        <f t="shared" si="149"/>
        <v>443.13000000000022</v>
      </c>
      <c r="BB54" s="1301">
        <f t="shared" si="149"/>
        <v>441.47300000000013</v>
      </c>
      <c r="BC54" s="1301">
        <f t="shared" si="149"/>
        <v>452.31699999999967</v>
      </c>
      <c r="BD54" s="1302">
        <f t="shared" si="149"/>
        <v>1770.1990000000003</v>
      </c>
      <c r="BE54" s="1301">
        <f t="shared" si="149"/>
        <v>459.77199999999982</v>
      </c>
      <c r="BF54" s="1301">
        <f t="shared" si="149"/>
        <v>462.3010000000001</v>
      </c>
      <c r="BG54" s="1301">
        <f t="shared" si="149"/>
        <v>453.51200000000068</v>
      </c>
      <c r="BH54" s="1301">
        <f t="shared" si="149"/>
        <v>463.76700000000011</v>
      </c>
      <c r="BI54" s="1302">
        <f t="shared" si="149"/>
        <v>1839.3520000000008</v>
      </c>
      <c r="BJ54" s="1301">
        <f t="shared" si="149"/>
        <v>535.495</v>
      </c>
      <c r="BK54" s="1301">
        <f t="shared" si="149"/>
        <v>483.09399999999954</v>
      </c>
      <c r="BL54" s="1301">
        <f t="shared" si="149"/>
        <v>477.25399999999956</v>
      </c>
      <c r="BM54" s="1301">
        <f t="shared" si="149"/>
        <v>481.87199999999979</v>
      </c>
      <c r="BN54" s="1302">
        <f t="shared" si="149"/>
        <v>1977.7149999999988</v>
      </c>
      <c r="BO54" s="1301">
        <f t="shared" si="149"/>
        <v>493.82899999999989</v>
      </c>
      <c r="BP54" s="1301">
        <f t="shared" si="149"/>
        <v>414.23099999999965</v>
      </c>
      <c r="BQ54" s="1301">
        <f t="shared" si="149"/>
        <v>477.41000000000025</v>
      </c>
      <c r="BR54" s="1301">
        <f t="shared" si="149"/>
        <v>454.10900000000032</v>
      </c>
      <c r="BS54" s="1302">
        <f t="shared" ref="BS54:CD54" si="150">SUM(BS51:BS53)</f>
        <v>1839.5790000000002</v>
      </c>
      <c r="BT54" s="1301">
        <f t="shared" si="150"/>
        <v>541</v>
      </c>
      <c r="BU54" s="1301">
        <f t="shared" si="150"/>
        <v>699</v>
      </c>
      <c r="BV54" s="1301">
        <f t="shared" si="150"/>
        <v>751.27000000000044</v>
      </c>
      <c r="BW54" s="1301">
        <f t="shared" si="150"/>
        <v>782</v>
      </c>
      <c r="BX54" s="1302">
        <f t="shared" si="150"/>
        <v>2773.2700000000004</v>
      </c>
      <c r="BY54" s="1301">
        <f t="shared" si="150"/>
        <v>715</v>
      </c>
      <c r="BZ54" s="1301">
        <f t="shared" si="150"/>
        <v>769</v>
      </c>
      <c r="CA54" s="1301">
        <f t="shared" si="150"/>
        <v>661</v>
      </c>
      <c r="CB54" s="1301">
        <f t="shared" si="150"/>
        <v>527</v>
      </c>
      <c r="CC54" s="1302">
        <f t="shared" si="150"/>
        <v>2672</v>
      </c>
      <c r="CD54" s="1303">
        <f t="shared" si="150"/>
        <v>633</v>
      </c>
      <c r="CE54" s="1301">
        <f t="shared" ref="CE54:CM54" si="151">SUM(CE51:CE53)</f>
        <v>563</v>
      </c>
      <c r="CF54" s="1301">
        <f t="shared" si="151"/>
        <v>465</v>
      </c>
      <c r="CG54" s="1301">
        <f t="shared" si="151"/>
        <v>564</v>
      </c>
      <c r="CH54" s="1302">
        <f t="shared" si="151"/>
        <v>2225</v>
      </c>
      <c r="CI54" s="1301">
        <f t="shared" si="151"/>
        <v>527</v>
      </c>
      <c r="CJ54" s="1301">
        <f t="shared" si="151"/>
        <v>435</v>
      </c>
      <c r="CK54" s="1301">
        <f t="shared" ref="CK54:CL54" si="152">SUM(CK51:CK53)</f>
        <v>331</v>
      </c>
      <c r="CL54" s="1301">
        <f t="shared" si="152"/>
        <v>409</v>
      </c>
      <c r="CM54" s="1302">
        <f t="shared" si="151"/>
        <v>1702</v>
      </c>
      <c r="CN54" s="1301">
        <f t="shared" ref="CN54:CR54" ca="1" si="153">SUM(CN51:CN53)</f>
        <v>422.2510527919535</v>
      </c>
      <c r="CO54" s="1301">
        <f t="shared" ca="1" si="153"/>
        <v>384.41955534927274</v>
      </c>
      <c r="CP54" s="1301">
        <f t="shared" ca="1" si="153"/>
        <v>348.12605193048148</v>
      </c>
      <c r="CQ54" s="1301">
        <f t="shared" ca="1" si="153"/>
        <v>402.24394577252997</v>
      </c>
      <c r="CR54" s="1302">
        <f t="shared" ca="1" si="153"/>
        <v>1557.0406058442377</v>
      </c>
      <c r="CS54" s="1301">
        <f t="shared" ref="CS54:CW54" ca="1" si="154">SUM(CS51:CS53)</f>
        <v>383.07394576676234</v>
      </c>
      <c r="CT54" s="1301">
        <f t="shared" ca="1" si="154"/>
        <v>375.13231053148183</v>
      </c>
      <c r="CU54" s="1301">
        <f t="shared" ca="1" si="154"/>
        <v>381.06897660755158</v>
      </c>
      <c r="CV54" s="1301">
        <f t="shared" ca="1" si="154"/>
        <v>403.94056264570918</v>
      </c>
      <c r="CW54" s="1302">
        <f t="shared" ca="1" si="154"/>
        <v>1543.2157955515049</v>
      </c>
      <c r="CX54" s="1301">
        <f t="shared" ref="CX54:DB54" ca="1" si="155">SUM(CX51:CX53)</f>
        <v>382.15158982107869</v>
      </c>
      <c r="CY54" s="1301">
        <f t="shared" ca="1" si="155"/>
        <v>380.32658532911819</v>
      </c>
      <c r="CZ54" s="1301">
        <f t="shared" ca="1" si="155"/>
        <v>362.02724122753216</v>
      </c>
      <c r="DA54" s="1301">
        <f t="shared" ca="1" si="155"/>
        <v>408.33467150451179</v>
      </c>
      <c r="DB54" s="1302">
        <f t="shared" ca="1" si="155"/>
        <v>1532.8400878822408</v>
      </c>
      <c r="DC54"/>
      <c r="DD54"/>
      <c r="DE54"/>
      <c r="DF54"/>
      <c r="DG54"/>
      <c r="DJ54"/>
    </row>
    <row r="55" spans="1:114" s="725" customFormat="1">
      <c r="A55" s="541"/>
      <c r="B55" s="332"/>
      <c r="C55" s="333"/>
      <c r="D55" s="333"/>
      <c r="E55" s="334"/>
      <c r="F55" s="334"/>
      <c r="G55" s="335"/>
      <c r="H55" s="335"/>
      <c r="I55" s="335"/>
      <c r="J55" s="335"/>
      <c r="K55" s="336"/>
      <c r="L55" s="335"/>
      <c r="M55" s="335"/>
      <c r="N55" s="335"/>
      <c r="O55" s="335"/>
      <c r="P55" s="336"/>
      <c r="Q55" s="335"/>
      <c r="R55" s="335"/>
      <c r="S55" s="335"/>
      <c r="T55" s="335"/>
      <c r="U55" s="336"/>
      <c r="V55" s="335"/>
      <c r="W55" s="335"/>
      <c r="X55" s="335"/>
      <c r="Y55" s="335"/>
      <c r="Z55" s="336"/>
      <c r="AA55" s="335"/>
      <c r="AB55" s="335"/>
      <c r="AC55" s="335"/>
      <c r="AD55" s="335"/>
      <c r="AE55" s="336"/>
      <c r="AF55" s="335"/>
      <c r="AG55" s="335"/>
      <c r="AH55" s="335"/>
      <c r="AI55" s="335"/>
      <c r="AJ55" s="336"/>
      <c r="AK55" s="335"/>
      <c r="AL55" s="335"/>
      <c r="AM55" s="335"/>
      <c r="AN55" s="335"/>
      <c r="AO55" s="336"/>
      <c r="AP55" s="335"/>
      <c r="AQ55" s="335"/>
      <c r="AR55" s="335"/>
      <c r="AS55" s="335"/>
      <c r="AT55" s="336"/>
      <c r="AU55" s="335"/>
      <c r="AV55" s="335"/>
      <c r="AW55" s="335"/>
      <c r="AX55" s="335"/>
      <c r="AY55" s="336"/>
      <c r="AZ55" s="335"/>
      <c r="BA55" s="335"/>
      <c r="BB55" s="335"/>
      <c r="BC55" s="335"/>
      <c r="BD55" s="336"/>
      <c r="BE55" s="335"/>
      <c r="BF55" s="335"/>
      <c r="BG55" s="335"/>
      <c r="BH55" s="335"/>
      <c r="BI55" s="336"/>
      <c r="BJ55" s="335"/>
      <c r="BK55" s="335"/>
      <c r="BL55" s="335"/>
      <c r="BM55" s="335"/>
      <c r="BN55" s="336"/>
      <c r="BO55" s="335"/>
      <c r="BP55" s="335"/>
      <c r="BQ55" s="335"/>
      <c r="BR55" s="335"/>
      <c r="BS55" s="336"/>
      <c r="BT55" s="335"/>
      <c r="BU55" s="335"/>
      <c r="BV55" s="335"/>
      <c r="BW55" s="335"/>
      <c r="BX55" s="337"/>
      <c r="BY55" s="335"/>
      <c r="BZ55" s="335"/>
      <c r="CA55" s="335"/>
      <c r="CB55" s="335"/>
      <c r="CC55" s="337"/>
      <c r="CD55" s="596"/>
      <c r="CE55" s="335"/>
      <c r="CF55" s="335"/>
      <c r="CG55" s="335"/>
      <c r="CH55" s="336"/>
      <c r="CI55" s="335"/>
      <c r="CJ55" s="335"/>
      <c r="CK55" s="335"/>
      <c r="CL55" s="335"/>
      <c r="CM55" s="336"/>
      <c r="CN55" s="335"/>
      <c r="CO55" s="335"/>
      <c r="CP55" s="335"/>
      <c r="CQ55" s="335"/>
      <c r="CR55" s="336"/>
      <c r="CS55" s="335"/>
      <c r="CT55" s="335"/>
      <c r="CU55" s="335"/>
      <c r="CV55" s="335"/>
      <c r="CW55" s="336"/>
      <c r="CX55" s="335"/>
      <c r="CY55" s="335"/>
      <c r="CZ55" s="335"/>
      <c r="DA55" s="335"/>
      <c r="DB55" s="336"/>
      <c r="DC55"/>
      <c r="DD55"/>
      <c r="DE55"/>
      <c r="DF55"/>
      <c r="DG55"/>
      <c r="DJ55"/>
    </row>
    <row r="56" spans="1:114" s="725" customFormat="1" hidden="1" outlineLevel="1">
      <c r="A56" s="338"/>
      <c r="B56" s="398" t="s">
        <v>86</v>
      </c>
      <c r="C56" s="358"/>
      <c r="D56" s="358">
        <v>67.610399000000001</v>
      </c>
      <c r="E56" s="358">
        <v>54.545029999999997</v>
      </c>
      <c r="F56" s="358">
        <v>67.610399000000001</v>
      </c>
      <c r="G56" s="359">
        <v>85.528371000000007</v>
      </c>
      <c r="H56" s="359">
        <v>85.713342999999995</v>
      </c>
      <c r="I56" s="359">
        <v>85.944772999999998</v>
      </c>
      <c r="J56" s="359">
        <v>96.147000000000006</v>
      </c>
      <c r="K56" s="358">
        <v>88.382442999999995</v>
      </c>
      <c r="L56" s="359">
        <v>98.111557000000005</v>
      </c>
      <c r="M56" s="359">
        <v>98.267874000000006</v>
      </c>
      <c r="N56" s="359">
        <v>98.533822000000001</v>
      </c>
      <c r="O56" s="359">
        <v>98.572000000000003</v>
      </c>
      <c r="P56" s="358">
        <v>98.421052000000003</v>
      </c>
      <c r="Q56" s="359">
        <v>98.354944000000003</v>
      </c>
      <c r="R56" s="359">
        <v>98.256321999999997</v>
      </c>
      <c r="S56" s="359">
        <v>98.409887999999995</v>
      </c>
      <c r="T56" s="359">
        <v>98.468999999999994</v>
      </c>
      <c r="U56" s="358">
        <v>98.391848999999993</v>
      </c>
      <c r="V56" s="359">
        <v>98.698285999999996</v>
      </c>
      <c r="W56" s="359">
        <v>98.779917999999995</v>
      </c>
      <c r="X56" s="359">
        <v>97.794824000000006</v>
      </c>
      <c r="Y56" s="359">
        <v>87.369</v>
      </c>
      <c r="Z56" s="358">
        <v>95.643732999999997</v>
      </c>
      <c r="AA56" s="359">
        <v>87.926338000000001</v>
      </c>
      <c r="AB56" s="359">
        <v>89.149815000000004</v>
      </c>
      <c r="AC56" s="359">
        <v>88.325411000000003</v>
      </c>
      <c r="AD56" s="359">
        <v>89.010999999999996</v>
      </c>
      <c r="AE56" s="358">
        <v>88.601168000000001</v>
      </c>
      <c r="AF56" s="359">
        <v>96.552447999999998</v>
      </c>
      <c r="AG56" s="359">
        <v>95.769030000000001</v>
      </c>
      <c r="AH56" s="359">
        <v>94.119020000000006</v>
      </c>
      <c r="AI56" s="359">
        <v>93.539000000000001</v>
      </c>
      <c r="AJ56" s="358">
        <v>94.983645999999993</v>
      </c>
      <c r="AK56" s="359">
        <v>93.402545000000003</v>
      </c>
      <c r="AL56" s="359">
        <v>93.518991</v>
      </c>
      <c r="AM56" s="359">
        <v>93.651645000000002</v>
      </c>
      <c r="AN56" s="359">
        <v>93.664000000000001</v>
      </c>
      <c r="AO56" s="358">
        <v>93.517336999999998</v>
      </c>
      <c r="AP56" s="359">
        <v>94.107532000000006</v>
      </c>
      <c r="AQ56" s="359">
        <v>94.192295000000001</v>
      </c>
      <c r="AR56" s="359">
        <v>94.045000000000002</v>
      </c>
      <c r="AS56" s="359">
        <v>91.515000000000001</v>
      </c>
      <c r="AT56" s="358">
        <v>93.371781999999996</v>
      </c>
      <c r="AU56" s="359">
        <v>90.604766999999995</v>
      </c>
      <c r="AV56" s="359">
        <v>90.358582999999996</v>
      </c>
      <c r="AW56" s="359">
        <v>90.923051999999998</v>
      </c>
      <c r="AX56" s="359">
        <v>91.177999999999997</v>
      </c>
      <c r="AY56" s="358">
        <v>90.614885999999998</v>
      </c>
      <c r="AZ56" s="359">
        <v>91.615274999999997</v>
      </c>
      <c r="BA56" s="359">
        <v>93.358771000000004</v>
      </c>
      <c r="BB56" s="359">
        <v>91.484465999999998</v>
      </c>
      <c r="BC56" s="359">
        <v>90.421999999999997</v>
      </c>
      <c r="BD56" s="358">
        <v>91.718790999999996</v>
      </c>
      <c r="BE56" s="359">
        <v>91.008404999999996</v>
      </c>
      <c r="BF56" s="359">
        <v>91.130672000000004</v>
      </c>
      <c r="BG56" s="359">
        <v>89.412310000000005</v>
      </c>
      <c r="BH56" s="359">
        <v>88.344999999999999</v>
      </c>
      <c r="BI56" s="358">
        <v>89.966932999999997</v>
      </c>
      <c r="BJ56" s="359">
        <v>88.674779000000001</v>
      </c>
      <c r="BK56" s="359">
        <v>89.147471999999993</v>
      </c>
      <c r="BL56" s="359">
        <v>89.26</v>
      </c>
      <c r="BM56" s="359">
        <v>89.882000000000005</v>
      </c>
      <c r="BN56" s="999">
        <f>AVERAGE(BJ56:BM56)</f>
        <v>89.241062749999998</v>
      </c>
      <c r="BO56" s="359">
        <v>91.003</v>
      </c>
      <c r="BP56" s="359">
        <v>92.866</v>
      </c>
      <c r="BQ56" s="548">
        <v>93.259</v>
      </c>
      <c r="BR56" s="548">
        <v>93.372</v>
      </c>
      <c r="BS56" s="999">
        <f>AVERAGE(BO56:BR56)</f>
        <v>92.625</v>
      </c>
      <c r="BT56" s="359">
        <v>106.601997</v>
      </c>
      <c r="BU56" s="359">
        <v>112.598899</v>
      </c>
      <c r="BV56" s="359">
        <v>113</v>
      </c>
      <c r="BW56" s="548">
        <v>114</v>
      </c>
      <c r="BX56" s="999">
        <v>111.579088</v>
      </c>
      <c r="BY56" s="359">
        <v>114.41959</v>
      </c>
      <c r="BZ56" s="359">
        <v>115.19489900000001</v>
      </c>
      <c r="CA56" s="359">
        <v>115.319986</v>
      </c>
      <c r="CB56" s="548">
        <v>113</v>
      </c>
      <c r="CC56" s="999">
        <v>114.454674</v>
      </c>
      <c r="CD56" s="899">
        <v>110.247867</v>
      </c>
      <c r="CE56" s="359">
        <v>110.879285</v>
      </c>
      <c r="CF56" s="359">
        <v>110.88804</v>
      </c>
      <c r="CG56" s="548">
        <v>111</v>
      </c>
      <c r="CH56" s="999">
        <v>110.730971</v>
      </c>
      <c r="CI56" s="900">
        <v>111.252331</v>
      </c>
      <c r="CJ56" s="900">
        <v>111.909858</v>
      </c>
      <c r="CK56" s="359">
        <v>111.935738</v>
      </c>
      <c r="CL56" s="39">
        <v>111.813434</v>
      </c>
      <c r="CM56" s="204">
        <f>AVERAGE(CI56:CL56)</f>
        <v>111.72784025000001</v>
      </c>
      <c r="CN56" s="407">
        <f>AVERAGE(CL58,CN58)</f>
        <v>114.44449299999999</v>
      </c>
      <c r="CO56" s="407">
        <f>AVERAGE(CN58:CO58)</f>
        <v>114.61679699999999</v>
      </c>
      <c r="CP56" s="407">
        <f t="shared" ref="CP56:CQ56" si="156">AVERAGE(CO58:CP58)</f>
        <v>114.78910099999999</v>
      </c>
      <c r="CQ56" s="407">
        <f t="shared" si="156"/>
        <v>114.96140499999998</v>
      </c>
      <c r="CR56" s="204">
        <f>AVERAGE(CN56:CQ56)</f>
        <v>114.70294899999999</v>
      </c>
      <c r="CS56" s="407">
        <f>AVERAGE(CQ58,CS58)</f>
        <v>115.13370899999998</v>
      </c>
      <c r="CT56" s="407">
        <f>AVERAGE(CS58:CT58)</f>
        <v>115.30601299999998</v>
      </c>
      <c r="CU56" s="407">
        <f t="shared" ref="CU56:CV56" si="157">AVERAGE(CT58:CU58)</f>
        <v>115.47831699999998</v>
      </c>
      <c r="CV56" s="407">
        <f t="shared" si="157"/>
        <v>115.65062099999997</v>
      </c>
      <c r="CW56" s="204">
        <f>AVERAGE(CS56:CV56)</f>
        <v>115.39216499999998</v>
      </c>
      <c r="CX56" s="407">
        <f>AVERAGE(CV58,CX58)</f>
        <v>115.82292499999997</v>
      </c>
      <c r="CY56" s="407">
        <f>AVERAGE(CX58:CY58)</f>
        <v>115.99522899999997</v>
      </c>
      <c r="CZ56" s="407">
        <f t="shared" ref="CZ56" si="158">AVERAGE(CY58:CZ58)</f>
        <v>116.16753299999996</v>
      </c>
      <c r="DA56" s="407">
        <f t="shared" ref="DA56" si="159">AVERAGE(CZ58:DA58)</f>
        <v>116.33983699999996</v>
      </c>
      <c r="DB56" s="204">
        <f>AVERAGE(CX56:DA56)</f>
        <v>116.08138099999996</v>
      </c>
      <c r="DC56"/>
      <c r="DD56"/>
      <c r="DE56"/>
      <c r="DF56"/>
      <c r="DG56"/>
      <c r="DJ56"/>
    </row>
    <row r="57" spans="1:114" s="725" customFormat="1" hidden="1" outlineLevel="1">
      <c r="A57" s="339"/>
      <c r="B57" s="5" t="s">
        <v>87</v>
      </c>
      <c r="C57" s="303"/>
      <c r="D57" s="303">
        <v>69.187190999999999</v>
      </c>
      <c r="E57" s="303">
        <v>54.545029999999997</v>
      </c>
      <c r="F57" s="303">
        <v>69.187190999999999</v>
      </c>
      <c r="G57" s="39">
        <v>87.576419999999999</v>
      </c>
      <c r="H57" s="39">
        <v>87.517797000000002</v>
      </c>
      <c r="I57" s="39">
        <v>87.833430000000007</v>
      </c>
      <c r="J57" s="39">
        <v>97.882000000000005</v>
      </c>
      <c r="K57" s="303">
        <v>90.251428000000004</v>
      </c>
      <c r="L57" s="39">
        <v>108.171728</v>
      </c>
      <c r="M57" s="39">
        <v>99.843631999999999</v>
      </c>
      <c r="N57" s="39">
        <v>108.51271800000001</v>
      </c>
      <c r="O57" s="39">
        <v>108.39700000000001</v>
      </c>
      <c r="P57" s="303">
        <v>108.378131</v>
      </c>
      <c r="Q57" s="39">
        <v>107.82025</v>
      </c>
      <c r="R57" s="39">
        <v>107.765057</v>
      </c>
      <c r="S57" s="39">
        <v>108.123167</v>
      </c>
      <c r="T57" s="39">
        <v>108.673</v>
      </c>
      <c r="U57" s="303">
        <v>108.094956</v>
      </c>
      <c r="V57" s="39">
        <v>109.136803</v>
      </c>
      <c r="W57" s="39">
        <v>108.999363</v>
      </c>
      <c r="X57" s="39">
        <v>107.86963900000001</v>
      </c>
      <c r="Y57" s="39">
        <v>97.516000000000005</v>
      </c>
      <c r="Z57" s="303">
        <v>105.86378999999999</v>
      </c>
      <c r="AA57" s="39">
        <v>98.087085999999999</v>
      </c>
      <c r="AB57" s="39">
        <v>99.328929000000002</v>
      </c>
      <c r="AC57" s="39">
        <v>98.528968000000006</v>
      </c>
      <c r="AD57" s="39">
        <v>98.388999999999996</v>
      </c>
      <c r="AE57" s="303">
        <v>98.579977</v>
      </c>
      <c r="AF57" s="39">
        <v>98.209271000000001</v>
      </c>
      <c r="AG57" s="39">
        <v>96.870315000000005</v>
      </c>
      <c r="AH57" s="39">
        <v>95.258770999999996</v>
      </c>
      <c r="AI57" s="39">
        <v>94.644999999999996</v>
      </c>
      <c r="AJ57" s="303">
        <v>96.232910000000004</v>
      </c>
      <c r="AK57" s="39">
        <v>94.365291999999997</v>
      </c>
      <c r="AL57" s="39">
        <v>94.647869999999998</v>
      </c>
      <c r="AM57" s="39">
        <v>94.841748999999993</v>
      </c>
      <c r="AN57" s="39">
        <v>93.664000000000001</v>
      </c>
      <c r="AO57" s="303">
        <v>94.642294000000007</v>
      </c>
      <c r="AP57" s="39">
        <v>95.006720999999999</v>
      </c>
      <c r="AQ57" s="39">
        <v>95.513126999999997</v>
      </c>
      <c r="AR57" s="39">
        <v>95.16</v>
      </c>
      <c r="AS57" s="39">
        <v>91.832999999999998</v>
      </c>
      <c r="AT57" s="303">
        <v>94.288829000000007</v>
      </c>
      <c r="AU57" s="39">
        <v>90.885140000000007</v>
      </c>
      <c r="AV57" s="39">
        <v>91.071146999999996</v>
      </c>
      <c r="AW57" s="39">
        <v>92.010741999999993</v>
      </c>
      <c r="AX57" s="39">
        <v>92.698999999999998</v>
      </c>
      <c r="AY57" s="303">
        <v>91.517274</v>
      </c>
      <c r="AZ57" s="39">
        <v>92.836450999999997</v>
      </c>
      <c r="BA57" s="39">
        <v>94.711918999999995</v>
      </c>
      <c r="BB57" s="39">
        <v>92.462701999999993</v>
      </c>
      <c r="BC57" s="39">
        <v>91.778999999999996</v>
      </c>
      <c r="BD57" s="303">
        <v>92.946048000000005</v>
      </c>
      <c r="BE57" s="360">
        <v>92.136819000000003</v>
      </c>
      <c r="BF57" s="360">
        <v>91.783725000000004</v>
      </c>
      <c r="BG57" s="360">
        <v>89.857583000000005</v>
      </c>
      <c r="BH57" s="360">
        <v>88.914000000000001</v>
      </c>
      <c r="BI57" s="303">
        <v>90.666347999999999</v>
      </c>
      <c r="BJ57" s="360">
        <v>88.852704000000003</v>
      </c>
      <c r="BK57" s="360">
        <v>89.530638999999994</v>
      </c>
      <c r="BL57" s="360">
        <v>90.009</v>
      </c>
      <c r="BM57" s="39">
        <v>90.828000000000003</v>
      </c>
      <c r="BN57" s="1000">
        <f>AVERAGE(BJ57:BM57)</f>
        <v>89.805085749999989</v>
      </c>
      <c r="BO57" s="39">
        <v>91.998999999999995</v>
      </c>
      <c r="BP57" s="39">
        <v>94.108999999999995</v>
      </c>
      <c r="BQ57" s="547">
        <v>94.483596000000006</v>
      </c>
      <c r="BR57" s="547">
        <v>94.703000000000003</v>
      </c>
      <c r="BS57" s="1000">
        <f>AVERAGE(BO57:BR57)</f>
        <v>93.823648999999989</v>
      </c>
      <c r="BT57" s="39">
        <v>107.180584</v>
      </c>
      <c r="BU57" s="39">
        <v>113.474169</v>
      </c>
      <c r="BV57" s="39">
        <v>114</v>
      </c>
      <c r="BW57" s="547">
        <v>115</v>
      </c>
      <c r="BX57" s="20">
        <v>112.54931999999999</v>
      </c>
      <c r="BY57" s="39">
        <v>115.05766800000001</v>
      </c>
      <c r="BZ57" s="39">
        <v>116.10041699999999</v>
      </c>
      <c r="CA57" s="39">
        <v>116.368157</v>
      </c>
      <c r="CB57" s="547">
        <v>113</v>
      </c>
      <c r="CC57" s="1000">
        <v>115.27240399999999</v>
      </c>
      <c r="CD57" s="900">
        <v>110.309372</v>
      </c>
      <c r="CE57" s="39">
        <v>110.879285</v>
      </c>
      <c r="CF57" s="39">
        <v>110.88804</v>
      </c>
      <c r="CG57" s="547">
        <v>111</v>
      </c>
      <c r="CH57" s="1000">
        <v>110.730971</v>
      </c>
      <c r="CI57" s="900">
        <v>111.252331</v>
      </c>
      <c r="CJ57" s="900">
        <v>111.909858</v>
      </c>
      <c r="CK57" s="39">
        <v>111.935738</v>
      </c>
      <c r="CL57" s="39">
        <v>111.813434</v>
      </c>
      <c r="CM57" s="866">
        <f>AVERAGE(CI57:CL57)</f>
        <v>111.72784025000001</v>
      </c>
      <c r="CN57" s="166">
        <f>CN56*(CL57/CL56)</f>
        <v>114.44449299999999</v>
      </c>
      <c r="CO57" s="166">
        <f>CO56*(CN57/CN56)</f>
        <v>114.61679699999999</v>
      </c>
      <c r="CP57" s="166">
        <f>CP56*(CO57/CO56)</f>
        <v>114.78910099999999</v>
      </c>
      <c r="CQ57" s="166">
        <f>CQ56*(CP57/CP56)</f>
        <v>114.96140499999998</v>
      </c>
      <c r="CR57" s="866">
        <f>AVERAGE(CN57:CQ57)</f>
        <v>114.70294899999999</v>
      </c>
      <c r="CS57" s="166">
        <f>CS56*(CQ57/CQ56)</f>
        <v>115.13370899999998</v>
      </c>
      <c r="CT57" s="166">
        <f>CT56*(CS57/CS56)</f>
        <v>115.30601299999998</v>
      </c>
      <c r="CU57" s="166">
        <f>CU56*(CT57/CT56)</f>
        <v>115.47831699999998</v>
      </c>
      <c r="CV57" s="166">
        <f>CV56*(CU57/CU56)</f>
        <v>115.65062099999997</v>
      </c>
      <c r="CW57" s="866">
        <f>AVERAGE(CS57:CV57)</f>
        <v>115.39216499999998</v>
      </c>
      <c r="CX57" s="166">
        <f>CX56*(CV57/CV56)</f>
        <v>115.82292499999997</v>
      </c>
      <c r="CY57" s="166">
        <f>CY56*(CX57/CX56)</f>
        <v>115.99522899999997</v>
      </c>
      <c r="CZ57" s="166">
        <f>CZ56*(CY57/CY56)</f>
        <v>116.16753299999996</v>
      </c>
      <c r="DA57" s="166">
        <f>DA56*(CZ57/CZ56)</f>
        <v>116.33983699999996</v>
      </c>
      <c r="DB57" s="866">
        <f>AVERAGE(CX57:DA57)</f>
        <v>116.08138099999996</v>
      </c>
      <c r="DC57"/>
      <c r="DD57"/>
      <c r="DE57"/>
      <c r="DF57"/>
      <c r="DG57"/>
      <c r="DJ57"/>
    </row>
    <row r="58" spans="1:114" s="725" customFormat="1" collapsed="1">
      <c r="A58" s="340"/>
      <c r="B58" s="399" t="s">
        <v>88</v>
      </c>
      <c r="C58" s="361"/>
      <c r="D58" s="361">
        <f>55.632717</f>
        <v>55.632717</v>
      </c>
      <c r="E58" s="361">
        <f>55.620807</f>
        <v>55.620806999999999</v>
      </c>
      <c r="F58" s="361">
        <f>86.137582</f>
        <v>86.137581999999995</v>
      </c>
      <c r="G58" s="184">
        <f>86.134372</f>
        <v>86.134371999999999</v>
      </c>
      <c r="H58" s="184">
        <f>86.320636</f>
        <v>86.320635999999993</v>
      </c>
      <c r="I58" s="184">
        <f>86.462548</f>
        <v>86.462547999999998</v>
      </c>
      <c r="J58" s="184">
        <f>98.469449</f>
        <v>98.469448999999997</v>
      </c>
      <c r="K58" s="185">
        <f>J58</f>
        <v>98.469448999999997</v>
      </c>
      <c r="L58" s="184">
        <f>98.47974</f>
        <v>98.479740000000007</v>
      </c>
      <c r="M58" s="184">
        <f>98.784952</f>
        <v>98.784952000000004</v>
      </c>
      <c r="N58" s="184">
        <f>98.802956</f>
        <v>98.802955999999995</v>
      </c>
      <c r="O58" s="184">
        <f>98.811485</f>
        <v>98.811485000000005</v>
      </c>
      <c r="P58" s="185">
        <f>O58</f>
        <v>98.811485000000005</v>
      </c>
      <c r="Q58" s="184">
        <f>98.25201</f>
        <v>98.252009999999999</v>
      </c>
      <c r="R58" s="184">
        <f>98.478506</f>
        <v>98.478505999999996</v>
      </c>
      <c r="S58" s="184">
        <f>98.486646</f>
        <v>98.486645999999993</v>
      </c>
      <c r="T58" s="184">
        <f>98.681983</f>
        <v>98.681983000000002</v>
      </c>
      <c r="U58" s="185">
        <f>T58</f>
        <v>98.681983000000002</v>
      </c>
      <c r="V58" s="184">
        <f>98.761772</f>
        <v>98.761771999999993</v>
      </c>
      <c r="W58" s="184">
        <f>99.050212</f>
        <v>99.050212000000002</v>
      </c>
      <c r="X58" s="184">
        <f>87.182617</f>
        <v>87.182616999999993</v>
      </c>
      <c r="Y58" s="184">
        <f>87.616184</f>
        <v>87.616184000000004</v>
      </c>
      <c r="Z58" s="185">
        <f>Y58</f>
        <v>87.616184000000004</v>
      </c>
      <c r="AA58" s="184">
        <f>89.138369</f>
        <v>89.138368999999997</v>
      </c>
      <c r="AB58" s="184">
        <f>90.219088</f>
        <v>90.219087999999999</v>
      </c>
      <c r="AC58" s="184">
        <f>88.513946</f>
        <v>88.513946000000004</v>
      </c>
      <c r="AD58" s="184">
        <f>93.564288</f>
        <v>93.564288000000005</v>
      </c>
      <c r="AE58" s="185">
        <f>AD58</f>
        <v>93.564288000000005</v>
      </c>
      <c r="AF58" s="184">
        <f>98.468051</f>
        <v>98.468051000000003</v>
      </c>
      <c r="AG58" s="184">
        <f>94.85726</f>
        <v>94.857259999999997</v>
      </c>
      <c r="AH58" s="184">
        <f>95.129313</f>
        <v>95.129312999999996</v>
      </c>
      <c r="AI58" s="184">
        <f>94.050945</f>
        <v>94.050944999999999</v>
      </c>
      <c r="AJ58" s="185">
        <f>AI58</f>
        <v>94.050944999999999</v>
      </c>
      <c r="AK58" s="184">
        <f>94.747969</f>
        <v>94.747968999999998</v>
      </c>
      <c r="AL58" s="184">
        <f>94.905471</f>
        <v>94.905471000000006</v>
      </c>
      <c r="AM58" s="184">
        <f>95.604375</f>
        <v>95.604375000000005</v>
      </c>
      <c r="AN58" s="184">
        <f>95.635536</f>
        <v>95.635536000000002</v>
      </c>
      <c r="AO58" s="185">
        <f>AN58</f>
        <v>95.635536000000002</v>
      </c>
      <c r="AP58" s="184">
        <f>96.219791</f>
        <v>96.219791000000001</v>
      </c>
      <c r="AQ58" s="184">
        <f>95.969221</f>
        <v>95.969221000000005</v>
      </c>
      <c r="AR58" s="184">
        <f>95.767194</f>
        <v>95.767194000000003</v>
      </c>
      <c r="AS58" s="184">
        <f>91.507617</f>
        <v>91.507616999999996</v>
      </c>
      <c r="AT58" s="185">
        <f>AS58</f>
        <v>91.507616999999996</v>
      </c>
      <c r="AU58" s="184">
        <f>92.47926</f>
        <v>92.479259999999996</v>
      </c>
      <c r="AV58" s="184">
        <f>92.726676</f>
        <v>92.726675999999998</v>
      </c>
      <c r="AW58" s="184">
        <f>92.935042</f>
        <v>92.935041999999996</v>
      </c>
      <c r="AX58" s="184">
        <f>93.037988</f>
        <v>93.037987999999999</v>
      </c>
      <c r="AY58" s="185">
        <f>AX58</f>
        <v>93.037987999999999</v>
      </c>
      <c r="AZ58" s="184">
        <f>94.692446</f>
        <v>94.692446000000004</v>
      </c>
      <c r="BA58" s="184">
        <f>95.565207</f>
        <v>95.565207000000001</v>
      </c>
      <c r="BB58" s="184">
        <f>92.740092</f>
        <v>92.740092000000004</v>
      </c>
      <c r="BC58" s="184">
        <f>92.669313</f>
        <v>92.669313000000002</v>
      </c>
      <c r="BD58" s="185">
        <f>BC58</f>
        <v>92.669313000000002</v>
      </c>
      <c r="BE58" s="184">
        <f>93.951711</f>
        <v>93.951711000000003</v>
      </c>
      <c r="BF58" s="184">
        <f>92.234875</f>
        <v>92.234875000000002</v>
      </c>
      <c r="BG58" s="184">
        <f>90.778443</f>
        <v>90.778442999999996</v>
      </c>
      <c r="BH58" s="184">
        <f>90.57153</f>
        <v>90.571529999999996</v>
      </c>
      <c r="BI58" s="185">
        <f>BH58</f>
        <v>90.571529999999996</v>
      </c>
      <c r="BJ58" s="184">
        <f>90.883229</f>
        <v>90.883229</v>
      </c>
      <c r="BK58" s="184">
        <f>90.941883</f>
        <v>90.941883000000004</v>
      </c>
      <c r="BL58" s="184">
        <v>91.186302999999995</v>
      </c>
      <c r="BM58" s="184">
        <f>91.950166-0.975549</f>
        <v>90.974616999999995</v>
      </c>
      <c r="BN58" s="387">
        <f>BM58</f>
        <v>90.974616999999995</v>
      </c>
      <c r="BO58" s="184">
        <v>94.066507000000001</v>
      </c>
      <c r="BP58" s="184">
        <f>94.79954</f>
        <v>94.799539999999993</v>
      </c>
      <c r="BQ58" s="549">
        <v>94.972160000000002</v>
      </c>
      <c r="BR58" s="549">
        <v>95.011482999999998</v>
      </c>
      <c r="BS58" s="387">
        <f>BR58</f>
        <v>95.011482999999998</v>
      </c>
      <c r="BT58" s="184">
        <v>113.436402</v>
      </c>
      <c r="BU58" s="184">
        <v>115.51618000000001</v>
      </c>
      <c r="BV58" s="184">
        <f>116.281977-0.975549</f>
        <v>115.306428</v>
      </c>
      <c r="BW58" s="549">
        <f>117.701087-0.975549</f>
        <v>116.725538</v>
      </c>
      <c r="BX58" s="387">
        <f>BW58</f>
        <v>116.725538</v>
      </c>
      <c r="BY58" s="184">
        <f>118.024777-0.975549</f>
        <v>117.049228</v>
      </c>
      <c r="BZ58" s="587">
        <f>118.119876</f>
        <v>118.119876</v>
      </c>
      <c r="CA58" s="587">
        <v>118.188045</v>
      </c>
      <c r="CB58" s="549">
        <v>112.757384</v>
      </c>
      <c r="CC58" s="387">
        <v>112.757384</v>
      </c>
      <c r="CD58" s="597">
        <v>113.756187</v>
      </c>
      <c r="CE58" s="587">
        <v>113.643956</v>
      </c>
      <c r="CF58" s="587">
        <v>113.63314800000001</v>
      </c>
      <c r="CG58" s="549">
        <v>113.87658</v>
      </c>
      <c r="CH58" s="387">
        <f>CG58</f>
        <v>113.87658</v>
      </c>
      <c r="CI58" s="1001">
        <v>114.69020500000001</v>
      </c>
      <c r="CJ58" s="1279">
        <v>114.75867700000001</v>
      </c>
      <c r="CK58" s="587">
        <v>114.65834099999999</v>
      </c>
      <c r="CL58" s="587">
        <v>114.358341</v>
      </c>
      <c r="CM58" s="185">
        <f>CL58</f>
        <v>114.358341</v>
      </c>
      <c r="CN58" s="675">
        <f>CL58-CN61+0.05</f>
        <v>114.53064499999999</v>
      </c>
      <c r="CO58" s="675">
        <f>CN58-CO61+0.05</f>
        <v>114.70294899999999</v>
      </c>
      <c r="CP58" s="675">
        <f>CO58-CP61+0.05</f>
        <v>114.87525299999999</v>
      </c>
      <c r="CQ58" s="675">
        <f>CP58-CQ61+0.05</f>
        <v>115.04755699999998</v>
      </c>
      <c r="CR58" s="185">
        <f>CQ58</f>
        <v>115.04755699999998</v>
      </c>
      <c r="CS58" s="675">
        <f>CQ58-CS61+0.05</f>
        <v>115.21986099999998</v>
      </c>
      <c r="CT58" s="675">
        <f>CS58-CT61+0.05</f>
        <v>115.39216499999998</v>
      </c>
      <c r="CU58" s="675">
        <f>CT58-CU61+0.05</f>
        <v>115.56446899999997</v>
      </c>
      <c r="CV58" s="675">
        <f>CU58-CV61+0.05</f>
        <v>115.73677299999997</v>
      </c>
      <c r="CW58" s="185">
        <f>CV58</f>
        <v>115.73677299999997</v>
      </c>
      <c r="CX58" s="675">
        <f>CV58-CX61+0.05</f>
        <v>115.90907699999997</v>
      </c>
      <c r="CY58" s="675">
        <f>CX58-CY61+0.05</f>
        <v>116.08138099999996</v>
      </c>
      <c r="CZ58" s="675">
        <f>CY58-CZ61+0.05</f>
        <v>116.25368499999996</v>
      </c>
      <c r="DA58" s="675">
        <f>CZ58-DA61+0.05</f>
        <v>116.42598899999996</v>
      </c>
      <c r="DB58" s="185">
        <f>DA58</f>
        <v>116.42598899999996</v>
      </c>
      <c r="DC58"/>
      <c r="DD58"/>
      <c r="DE58"/>
      <c r="DF58"/>
      <c r="DG58"/>
      <c r="DJ58"/>
    </row>
    <row r="59" spans="1:114" s="725" customFormat="1" hidden="1" outlineLevel="1">
      <c r="A59" s="542"/>
      <c r="B59" s="170"/>
      <c r="C59" s="180"/>
      <c r="D59" s="180"/>
      <c r="E59" s="168"/>
      <c r="F59" s="168"/>
      <c r="G59" s="181"/>
      <c r="H59" s="181"/>
      <c r="I59" s="181"/>
      <c r="J59" s="181"/>
      <c r="K59" s="182"/>
      <c r="L59" s="181"/>
      <c r="M59" s="181"/>
      <c r="N59" s="181"/>
      <c r="O59" s="181"/>
      <c r="P59" s="182"/>
      <c r="Q59" s="181"/>
      <c r="R59" s="181"/>
      <c r="S59" s="181"/>
      <c r="T59" s="181"/>
      <c r="U59" s="182"/>
      <c r="V59" s="181"/>
      <c r="W59" s="181"/>
      <c r="X59" s="181"/>
      <c r="Y59" s="181"/>
      <c r="Z59" s="238"/>
      <c r="AA59" s="181"/>
      <c r="AB59" s="181"/>
      <c r="AC59" s="181"/>
      <c r="AD59" s="181"/>
      <c r="AE59" s="182"/>
      <c r="AF59" s="181"/>
      <c r="AG59" s="181"/>
      <c r="AH59" s="181"/>
      <c r="AI59" s="181"/>
      <c r="AJ59" s="182"/>
      <c r="AK59" s="181"/>
      <c r="AL59" s="181"/>
      <c r="AM59" s="181"/>
      <c r="AN59" s="181"/>
      <c r="AO59" s="182"/>
      <c r="AP59" s="181"/>
      <c r="AQ59" s="181"/>
      <c r="AR59" s="181"/>
      <c r="AS59" s="181"/>
      <c r="AT59" s="182"/>
      <c r="AU59" s="181"/>
      <c r="AV59" s="181"/>
      <c r="AW59" s="181"/>
      <c r="AX59" s="181"/>
      <c r="AY59" s="182"/>
      <c r="AZ59" s="181"/>
      <c r="BA59" s="181"/>
      <c r="BB59" s="181"/>
      <c r="BC59" s="181"/>
      <c r="BD59" s="182"/>
      <c r="BE59" s="181"/>
      <c r="BF59" s="181"/>
      <c r="BG59" s="181"/>
      <c r="BH59" s="181"/>
      <c r="BI59" s="182"/>
      <c r="BJ59" s="181"/>
      <c r="BK59" s="181"/>
      <c r="BL59" s="181"/>
      <c r="BM59" s="181"/>
      <c r="BN59" s="182"/>
      <c r="BO59" s="181"/>
      <c r="BP59" s="181"/>
      <c r="BQ59" s="181"/>
      <c r="BR59" s="181"/>
      <c r="BS59" s="182"/>
      <c r="BT59" s="181"/>
      <c r="BU59" s="181"/>
      <c r="BV59" s="181"/>
      <c r="BW59" s="181"/>
      <c r="BX59" s="316"/>
      <c r="BY59" s="181"/>
      <c r="BZ59" s="181"/>
      <c r="CA59" s="181"/>
      <c r="CB59" s="181"/>
      <c r="CC59" s="316"/>
      <c r="CD59" s="181"/>
      <c r="CE59" s="181"/>
      <c r="CF59" s="181"/>
      <c r="CG59" s="181"/>
      <c r="CH59" s="316"/>
      <c r="CI59" s="181"/>
      <c r="CJ59" s="181"/>
      <c r="CK59" s="181"/>
      <c r="CL59" s="181" t="s">
        <v>283</v>
      </c>
      <c r="CM59" s="1002"/>
      <c r="CN59" s="181"/>
      <c r="CO59" s="181"/>
      <c r="CP59" s="181"/>
      <c r="CQ59" s="181"/>
      <c r="CR59" s="1002"/>
      <c r="CS59" s="181"/>
      <c r="CT59" s="181"/>
      <c r="CU59" s="181"/>
      <c r="CV59" s="181"/>
      <c r="CW59" s="1002"/>
      <c r="CX59" s="181"/>
      <c r="CY59" s="181"/>
      <c r="CZ59" s="181"/>
      <c r="DA59" s="181"/>
      <c r="DB59" s="1002"/>
      <c r="DC59"/>
      <c r="DD59"/>
      <c r="DE59"/>
      <c r="DF59"/>
      <c r="DG59"/>
      <c r="DJ59"/>
    </row>
    <row r="60" spans="1:114" s="725" customFormat="1" hidden="1" outlineLevel="1">
      <c r="A60" s="341"/>
      <c r="B60" s="400" t="s">
        <v>89</v>
      </c>
      <c r="C60" s="1003"/>
      <c r="D60" s="1003"/>
      <c r="E60" s="1003"/>
      <c r="F60" s="1003"/>
      <c r="G60" s="1004"/>
      <c r="H60" s="1004"/>
      <c r="I60" s="1004"/>
      <c r="J60" s="1004"/>
      <c r="K60" s="1003"/>
      <c r="L60" s="1004"/>
      <c r="M60" s="1004"/>
      <c r="N60" s="1004"/>
      <c r="O60" s="1004"/>
      <c r="P60" s="1003"/>
      <c r="Q60" s="1004"/>
      <c r="R60" s="1004"/>
      <c r="S60" s="1004"/>
      <c r="T60" s="1004"/>
      <c r="U60" s="1003"/>
      <c r="V60" s="1004"/>
      <c r="W60" s="1004"/>
      <c r="X60" s="1004"/>
      <c r="Y60" s="1004"/>
      <c r="Z60" s="1003"/>
      <c r="AA60" s="1004"/>
      <c r="AB60" s="1004"/>
      <c r="AC60" s="1004"/>
      <c r="AD60" s="1004"/>
      <c r="AE60" s="1003"/>
      <c r="AF60" s="1004"/>
      <c r="AG60" s="1004"/>
      <c r="AH60" s="1004"/>
      <c r="AI60" s="1004"/>
      <c r="AJ60" s="1003"/>
      <c r="AK60" s="1004"/>
      <c r="AL60" s="1004"/>
      <c r="AM60" s="1004"/>
      <c r="AN60" s="1004"/>
      <c r="AO60" s="1003"/>
      <c r="AP60" s="1004"/>
      <c r="AQ60" s="1004"/>
      <c r="AR60" s="1004"/>
      <c r="AS60" s="1004"/>
      <c r="AT60" s="1003"/>
      <c r="AU60" s="1004"/>
      <c r="AV60" s="1004"/>
      <c r="AW60" s="1004"/>
      <c r="AX60" s="1004"/>
      <c r="AY60" s="1003"/>
      <c r="AZ60" s="1004"/>
      <c r="BA60" s="1004"/>
      <c r="BB60" s="1004"/>
      <c r="BC60" s="1004"/>
      <c r="BD60" s="1003"/>
      <c r="BE60" s="1004"/>
      <c r="BF60" s="1004"/>
      <c r="BG60" s="1004"/>
      <c r="BH60" s="1005"/>
      <c r="BI60" s="1003"/>
      <c r="BJ60" s="1004"/>
      <c r="BK60" s="1004"/>
      <c r="BL60" s="1004"/>
      <c r="BM60" s="1004"/>
      <c r="BN60" s="1006"/>
      <c r="BO60" s="1004"/>
      <c r="BP60" s="1004"/>
      <c r="BQ60" s="1004"/>
      <c r="BR60" s="1004"/>
      <c r="BS60" s="1006"/>
      <c r="BT60" s="1004"/>
      <c r="BU60" s="1004"/>
      <c r="BV60" s="1004"/>
      <c r="BW60" s="1004"/>
      <c r="BX60" s="1006"/>
      <c r="BY60" s="1004"/>
      <c r="BZ60" s="1004"/>
      <c r="CA60" s="1004"/>
      <c r="CB60" s="1004"/>
      <c r="CC60" s="1006"/>
      <c r="CD60" s="1004"/>
      <c r="CE60" s="1004"/>
      <c r="CF60" s="1004"/>
      <c r="CG60" s="1004"/>
      <c r="CH60" s="1006"/>
      <c r="CI60" s="1004"/>
      <c r="CJ60" s="398"/>
      <c r="CK60" s="1004"/>
      <c r="CL60" s="398"/>
      <c r="CM60" s="1007"/>
      <c r="CN60" s="398"/>
      <c r="CO60" s="398"/>
      <c r="CP60" s="398"/>
      <c r="CQ60" s="398"/>
      <c r="CR60" s="1007"/>
      <c r="CS60" s="398"/>
      <c r="CT60" s="398"/>
      <c r="CU60" s="398"/>
      <c r="CV60" s="398"/>
      <c r="CW60" s="1007"/>
      <c r="CX60" s="398"/>
      <c r="CY60" s="398"/>
      <c r="CZ60" s="398"/>
      <c r="DA60" s="398"/>
      <c r="DB60" s="1007"/>
      <c r="DC60"/>
      <c r="DD60"/>
      <c r="DE60"/>
      <c r="DF60"/>
      <c r="DG60"/>
      <c r="DJ60"/>
    </row>
    <row r="61" spans="1:114" s="725" customFormat="1" ht="12.75" hidden="1" customHeight="1" outlineLevel="1">
      <c r="A61" s="342"/>
      <c r="B61" s="401" t="s">
        <v>90</v>
      </c>
      <c r="C61" s="272"/>
      <c r="D61" s="272">
        <v>0</v>
      </c>
      <c r="E61" s="272">
        <v>0</v>
      </c>
      <c r="F61" s="272">
        <v>0</v>
      </c>
      <c r="G61" s="198">
        <v>0</v>
      </c>
      <c r="H61" s="198">
        <v>0</v>
      </c>
      <c r="I61" s="198">
        <v>0</v>
      </c>
      <c r="J61" s="198">
        <v>0</v>
      </c>
      <c r="K61" s="272">
        <v>0</v>
      </c>
      <c r="L61" s="198">
        <v>0</v>
      </c>
      <c r="M61" s="198">
        <v>0</v>
      </c>
      <c r="N61" s="198">
        <v>0</v>
      </c>
      <c r="O61" s="198">
        <v>0</v>
      </c>
      <c r="P61" s="272">
        <v>0</v>
      </c>
      <c r="Q61" s="198">
        <v>0.56999999999999995</v>
      </c>
      <c r="R61" s="198">
        <v>0.69</v>
      </c>
      <c r="S61" s="198">
        <v>0.76</v>
      </c>
      <c r="T61" s="198">
        <v>0.79</v>
      </c>
      <c r="U61" s="272">
        <v>0</v>
      </c>
      <c r="V61" s="198">
        <v>0</v>
      </c>
      <c r="W61" s="198">
        <v>0</v>
      </c>
      <c r="X61" s="198">
        <v>0</v>
      </c>
      <c r="Y61" s="198">
        <v>0</v>
      </c>
      <c r="Z61" s="272">
        <v>0</v>
      </c>
      <c r="AA61" s="198">
        <v>0.92310000000000003</v>
      </c>
      <c r="AB61" s="198">
        <f>1.1125-AA61</f>
        <v>0.18940000000000001</v>
      </c>
      <c r="AC61" s="198">
        <f>3.0297-AA61-AB61</f>
        <v>1.9172000000000002</v>
      </c>
      <c r="AD61" s="198">
        <v>0</v>
      </c>
      <c r="AE61" s="272">
        <v>0</v>
      </c>
      <c r="AF61" s="198">
        <f>0.225</f>
        <v>0.22500000000000001</v>
      </c>
      <c r="AG61" s="198">
        <f>3.8248-AF61</f>
        <v>3.5998000000000001</v>
      </c>
      <c r="AH61" s="198">
        <f>5-AF61-AG61</f>
        <v>1.1752000000000002</v>
      </c>
      <c r="AI61" s="198">
        <v>0</v>
      </c>
      <c r="AJ61" s="272">
        <v>0</v>
      </c>
      <c r="AK61" s="198">
        <v>0</v>
      </c>
      <c r="AL61" s="198">
        <v>0</v>
      </c>
      <c r="AM61" s="198">
        <v>0</v>
      </c>
      <c r="AN61" s="198">
        <v>0</v>
      </c>
      <c r="AO61" s="272">
        <v>0</v>
      </c>
      <c r="AP61" s="198">
        <v>0</v>
      </c>
      <c r="AQ61" s="198">
        <v>0.3054</v>
      </c>
      <c r="AR61" s="198">
        <f>0.517-AP61-AQ61</f>
        <v>0.21160000000000001</v>
      </c>
      <c r="AS61" s="198">
        <v>4.269609</v>
      </c>
      <c r="AT61" s="272">
        <v>4.7866090000000003</v>
      </c>
      <c r="AU61" s="198">
        <v>0</v>
      </c>
      <c r="AV61" s="198">
        <v>0</v>
      </c>
      <c r="AW61" s="198">
        <v>0</v>
      </c>
      <c r="AX61" s="198">
        <v>0</v>
      </c>
      <c r="AY61" s="272">
        <v>0</v>
      </c>
      <c r="AZ61" s="198">
        <v>0</v>
      </c>
      <c r="BA61" s="198">
        <v>0.35599999999999998</v>
      </c>
      <c r="BB61" s="198">
        <f>0.256272+2.608528</f>
        <v>2.8648000000000002</v>
      </c>
      <c r="BC61" s="198">
        <v>0.19500000000000001</v>
      </c>
      <c r="BD61" s="272">
        <v>0.45127200000000001</v>
      </c>
      <c r="BE61" s="198">
        <v>0</v>
      </c>
      <c r="BF61" s="198">
        <v>1.763566</v>
      </c>
      <c r="BG61" s="198">
        <v>1.7062999999999999</v>
      </c>
      <c r="BH61" s="193">
        <v>0</v>
      </c>
      <c r="BI61" s="272">
        <v>3.4698660000000001</v>
      </c>
      <c r="BJ61" s="198">
        <v>0</v>
      </c>
      <c r="BK61" s="198">
        <v>0</v>
      </c>
      <c r="BL61" s="198">
        <v>0</v>
      </c>
      <c r="BM61" s="198">
        <v>0</v>
      </c>
      <c r="BN61" s="1008"/>
      <c r="BO61" s="198">
        <v>0</v>
      </c>
      <c r="BP61" s="198">
        <v>0</v>
      </c>
      <c r="BQ61" s="1009">
        <v>-0.5</v>
      </c>
      <c r="BR61" s="1009">
        <v>-0.5</v>
      </c>
      <c r="BS61" s="1008"/>
      <c r="BT61" s="198"/>
      <c r="BU61" s="1009"/>
      <c r="BV61" s="1009"/>
      <c r="BW61" s="1009"/>
      <c r="BX61" s="1008"/>
      <c r="BY61" s="1009">
        <f t="shared" ref="BY61:CB61" si="160">BY57-BX57</f>
        <v>2.5083480000000122</v>
      </c>
      <c r="BZ61" s="1009">
        <f t="shared" si="160"/>
        <v>1.0427489999999864</v>
      </c>
      <c r="CA61" s="1009">
        <f t="shared" si="160"/>
        <v>0.26774000000000342</v>
      </c>
      <c r="CB61" s="1009">
        <f t="shared" si="160"/>
        <v>-3.3681569999999965</v>
      </c>
      <c r="CC61" s="1008"/>
      <c r="CD61" s="1009">
        <f>CD57-CC57</f>
        <v>-4.9630319999999983</v>
      </c>
      <c r="CE61" s="1009">
        <f>CE57-CD57</f>
        <v>0.56991299999999967</v>
      </c>
      <c r="CF61" s="1009">
        <f>CF57-CE57</f>
        <v>8.7550000000078398E-3</v>
      </c>
      <c r="CG61" s="1009">
        <f>CG57-CF57</f>
        <v>0.11195999999999628</v>
      </c>
      <c r="CH61" s="1008"/>
      <c r="CI61" s="1009">
        <f>CI57-CH57</f>
        <v>0.52136000000000138</v>
      </c>
      <c r="CJ61" s="1009">
        <f>CJ57-CI57</f>
        <v>0.65752700000000175</v>
      </c>
      <c r="CK61" s="1009">
        <f>CK57-CJ57</f>
        <v>2.5880000000000791E-2</v>
      </c>
      <c r="CL61" s="1009">
        <f>CL57-CK57</f>
        <v>-0.12230399999999975</v>
      </c>
      <c r="CM61" s="1008"/>
      <c r="CN61" s="1010">
        <f>CL61</f>
        <v>-0.12230399999999975</v>
      </c>
      <c r="CO61" s="1010">
        <f>CN61</f>
        <v>-0.12230399999999975</v>
      </c>
      <c r="CP61" s="1010">
        <f>CO61</f>
        <v>-0.12230399999999975</v>
      </c>
      <c r="CQ61" s="1010">
        <f>CP61</f>
        <v>-0.12230399999999975</v>
      </c>
      <c r="CR61" s="1008"/>
      <c r="CS61" s="1010">
        <f>CQ61</f>
        <v>-0.12230399999999975</v>
      </c>
      <c r="CT61" s="1010">
        <f>CS61</f>
        <v>-0.12230399999999975</v>
      </c>
      <c r="CU61" s="1010">
        <f>CT61</f>
        <v>-0.12230399999999975</v>
      </c>
      <c r="CV61" s="1010">
        <f>CU61</f>
        <v>-0.12230399999999975</v>
      </c>
      <c r="CW61" s="1008"/>
      <c r="CX61" s="1010">
        <f>CV61</f>
        <v>-0.12230399999999975</v>
      </c>
      <c r="CY61" s="1010">
        <f>CX61</f>
        <v>-0.12230399999999975</v>
      </c>
      <c r="CZ61" s="1010">
        <f>CY61</f>
        <v>-0.12230399999999975</v>
      </c>
      <c r="DA61" s="1010">
        <f>CZ61</f>
        <v>-0.12230399999999975</v>
      </c>
      <c r="DB61" s="1008"/>
      <c r="DC61"/>
      <c r="DD61"/>
      <c r="DE61"/>
      <c r="DF61"/>
      <c r="DG61"/>
      <c r="DJ61"/>
    </row>
    <row r="62" spans="1:114" s="725" customFormat="1" ht="12.75" hidden="1" customHeight="1" outlineLevel="1">
      <c r="A62" s="342"/>
      <c r="B62" s="401" t="s">
        <v>91</v>
      </c>
      <c r="C62" s="272"/>
      <c r="D62" s="272">
        <v>0</v>
      </c>
      <c r="E62" s="272">
        <v>0</v>
      </c>
      <c r="F62" s="272">
        <v>0</v>
      </c>
      <c r="G62" s="198">
        <v>0</v>
      </c>
      <c r="H62" s="198">
        <v>0</v>
      </c>
      <c r="I62" s="198">
        <v>0</v>
      </c>
      <c r="J62" s="198">
        <v>0</v>
      </c>
      <c r="K62" s="272">
        <v>0</v>
      </c>
      <c r="L62" s="198">
        <v>0</v>
      </c>
      <c r="M62" s="198">
        <v>0</v>
      </c>
      <c r="N62" s="198">
        <v>0</v>
      </c>
      <c r="O62" s="198">
        <v>0</v>
      </c>
      <c r="P62" s="272">
        <v>0</v>
      </c>
      <c r="Q62" s="198">
        <v>18.04</v>
      </c>
      <c r="R62" s="198">
        <v>18.12</v>
      </c>
      <c r="S62" s="198">
        <v>18.45</v>
      </c>
      <c r="T62" s="198">
        <v>18.57</v>
      </c>
      <c r="U62" s="272">
        <v>0</v>
      </c>
      <c r="V62" s="198">
        <v>0</v>
      </c>
      <c r="W62" s="198">
        <v>0</v>
      </c>
      <c r="X62" s="198">
        <v>0</v>
      </c>
      <c r="Y62" s="198">
        <v>0</v>
      </c>
      <c r="Z62" s="272">
        <v>0</v>
      </c>
      <c r="AA62" s="198">
        <v>20.64</v>
      </c>
      <c r="AB62" s="198">
        <v>23.26</v>
      </c>
      <c r="AC62" s="198">
        <v>31.2</v>
      </c>
      <c r="AD62" s="198">
        <v>0</v>
      </c>
      <c r="AE62" s="272">
        <v>0</v>
      </c>
      <c r="AF62" s="198">
        <v>36.049999999999997</v>
      </c>
      <c r="AG62" s="198">
        <v>35.950000000000003</v>
      </c>
      <c r="AH62" s="198">
        <v>35.229999999999997</v>
      </c>
      <c r="AI62" s="198">
        <v>0</v>
      </c>
      <c r="AJ62" s="272">
        <v>0</v>
      </c>
      <c r="AK62" s="198">
        <v>0</v>
      </c>
      <c r="AL62" s="198">
        <v>0</v>
      </c>
      <c r="AM62" s="198">
        <v>0</v>
      </c>
      <c r="AN62" s="198">
        <v>0</v>
      </c>
      <c r="AO62" s="272">
        <v>0</v>
      </c>
      <c r="AP62" s="198">
        <v>0</v>
      </c>
      <c r="AQ62" s="198">
        <v>33.340000000000003</v>
      </c>
      <c r="AR62" s="198">
        <v>33.03</v>
      </c>
      <c r="AS62" s="198">
        <v>17.079999999999998</v>
      </c>
      <c r="AT62" s="272">
        <v>18.8</v>
      </c>
      <c r="AU62" s="198">
        <v>0</v>
      </c>
      <c r="AV62" s="198">
        <v>0</v>
      </c>
      <c r="AW62" s="198">
        <v>0</v>
      </c>
      <c r="AX62" s="198">
        <v>0</v>
      </c>
      <c r="AY62" s="272">
        <v>0</v>
      </c>
      <c r="AZ62" s="198">
        <v>0</v>
      </c>
      <c r="BA62" s="198">
        <v>34.24</v>
      </c>
      <c r="BB62" s="198">
        <f>AVERAGE(30.76,33.69)</f>
        <v>32.225000000000001</v>
      </c>
      <c r="BC62" s="198">
        <v>30.88</v>
      </c>
      <c r="BD62" s="272">
        <v>30.81</v>
      </c>
      <c r="BE62" s="198">
        <v>0</v>
      </c>
      <c r="BF62" s="198">
        <v>28.31</v>
      </c>
      <c r="BG62" s="198">
        <v>20.93</v>
      </c>
      <c r="BH62" s="193">
        <v>0</v>
      </c>
      <c r="BI62" s="272">
        <v>24.68</v>
      </c>
      <c r="BJ62" s="198">
        <v>0</v>
      </c>
      <c r="BK62" s="198">
        <v>0</v>
      </c>
      <c r="BL62" s="198">
        <v>0</v>
      </c>
      <c r="BM62" s="198">
        <v>0</v>
      </c>
      <c r="BN62" s="1008"/>
      <c r="BO62" s="198">
        <v>0</v>
      </c>
      <c r="BP62" s="198">
        <v>0</v>
      </c>
      <c r="BQ62" s="1009">
        <v>0</v>
      </c>
      <c r="BR62" s="1009">
        <v>0</v>
      </c>
      <c r="BS62" s="1008"/>
      <c r="BT62" s="198">
        <v>0</v>
      </c>
      <c r="BU62" s="1009">
        <v>0</v>
      </c>
      <c r="BV62" s="1009">
        <v>0</v>
      </c>
      <c r="BW62" s="1009">
        <v>0</v>
      </c>
      <c r="BX62" s="1008"/>
      <c r="BY62" s="198">
        <v>0</v>
      </c>
      <c r="BZ62" s="1009">
        <v>0</v>
      </c>
      <c r="CA62" s="1009">
        <v>0</v>
      </c>
      <c r="CB62" s="1009">
        <v>0</v>
      </c>
      <c r="CC62" s="1008"/>
      <c r="CD62" s="1009">
        <v>0</v>
      </c>
      <c r="CE62" s="1009">
        <v>0</v>
      </c>
      <c r="CF62" s="1009">
        <v>0</v>
      </c>
      <c r="CG62" s="1009">
        <v>0</v>
      </c>
      <c r="CH62" s="1008"/>
      <c r="CI62" s="1009">
        <v>0</v>
      </c>
      <c r="CJ62" s="1009">
        <v>0</v>
      </c>
      <c r="CK62" s="1009">
        <v>0</v>
      </c>
      <c r="CL62" s="1009">
        <v>0</v>
      </c>
      <c r="CM62" s="1008"/>
      <c r="CN62" s="1009">
        <v>0</v>
      </c>
      <c r="CO62" s="1009">
        <v>0</v>
      </c>
      <c r="CP62" s="1009">
        <v>0</v>
      </c>
      <c r="CQ62" s="1009">
        <v>0</v>
      </c>
      <c r="CR62" s="1008"/>
      <c r="CS62" s="1009">
        <v>0</v>
      </c>
      <c r="CT62" s="1009">
        <v>0</v>
      </c>
      <c r="CU62" s="1009">
        <v>0</v>
      </c>
      <c r="CV62" s="1009">
        <v>0</v>
      </c>
      <c r="CW62" s="1008"/>
      <c r="CX62" s="1009">
        <v>0</v>
      </c>
      <c r="CY62" s="1009">
        <v>0</v>
      </c>
      <c r="CZ62" s="1009">
        <v>0</v>
      </c>
      <c r="DA62" s="1009">
        <v>0</v>
      </c>
      <c r="DB62" s="1008"/>
      <c r="DC62"/>
      <c r="DD62"/>
      <c r="DE62"/>
      <c r="DF62"/>
      <c r="DG62"/>
      <c r="DJ62"/>
    </row>
    <row r="63" spans="1:114" s="725" customFormat="1" ht="12.75" hidden="1" customHeight="1" outlineLevel="1">
      <c r="A63" s="343"/>
      <c r="B63" s="402" t="s">
        <v>92</v>
      </c>
      <c r="C63" s="197"/>
      <c r="D63" s="197">
        <f>-'BS &amp; CF'!D132</f>
        <v>0</v>
      </c>
      <c r="E63" s="197">
        <f>-'BS &amp; CF'!E132</f>
        <v>0</v>
      </c>
      <c r="F63" s="197">
        <f>-'BS &amp; CF'!F132</f>
        <v>0</v>
      </c>
      <c r="G63" s="196">
        <f>-'BS &amp; CF'!G132</f>
        <v>8.2000000000000003E-2</v>
      </c>
      <c r="H63" s="196">
        <f>-'BS &amp; CF'!H132</f>
        <v>8.9999999999999941E-3</v>
      </c>
      <c r="I63" s="196">
        <f>-'BS &amp; CF'!I132</f>
        <v>0</v>
      </c>
      <c r="J63" s="196">
        <f>-'BS &amp; CF'!J132</f>
        <v>0</v>
      </c>
      <c r="K63" s="197">
        <f>SUM(G63:J63)</f>
        <v>9.0999999999999998E-2</v>
      </c>
      <c r="L63" s="196">
        <f>-'BS &amp; CF'!L132</f>
        <v>0</v>
      </c>
      <c r="M63" s="196">
        <f>-'BS &amp; CF'!M132</f>
        <v>0</v>
      </c>
      <c r="N63" s="196">
        <f>-'BS &amp; CF'!N132</f>
        <v>0</v>
      </c>
      <c r="O63" s="196">
        <f>-'BS &amp; CF'!O132</f>
        <v>0</v>
      </c>
      <c r="P63" s="197">
        <f>SUM(L63:O63)</f>
        <v>0</v>
      </c>
      <c r="Q63" s="196">
        <f>-'BS &amp; CF'!Q132</f>
        <v>10.29</v>
      </c>
      <c r="R63" s="196">
        <f>-'BS &amp; CF'!R132</f>
        <v>2.2430000000000003</v>
      </c>
      <c r="S63" s="196">
        <f>-'BS &amp; CF'!S132</f>
        <v>1.527000000000001</v>
      </c>
      <c r="T63" s="196">
        <f>-'BS &amp; CF'!T132</f>
        <v>0.64799999999999969</v>
      </c>
      <c r="U63" s="197">
        <f>SUM(Q63:T63)</f>
        <v>14.708</v>
      </c>
      <c r="V63" s="196">
        <f>-'BS &amp; CF'!V132</f>
        <v>0</v>
      </c>
      <c r="W63" s="196">
        <f>-'BS &amp; CF'!W132</f>
        <v>0</v>
      </c>
      <c r="X63" s="196">
        <f>-'BS &amp; CF'!X132</f>
        <v>290.48099999999999</v>
      </c>
      <c r="Y63" s="196">
        <f>-'BS &amp; CF'!Y132</f>
        <v>3.8999999999987267E-2</v>
      </c>
      <c r="Z63" s="197">
        <f>SUM(V63:Y63)</f>
        <v>290.52</v>
      </c>
      <c r="AA63" s="196">
        <f>-'BS &amp; CF'!AA132</f>
        <v>4.3899999999999997</v>
      </c>
      <c r="AB63" s="196">
        <f>-'BS &amp; CF'!AB132</f>
        <v>6.8240000000000007</v>
      </c>
      <c r="AC63" s="196">
        <f>-'BS &amp; CF'!AC132</f>
        <v>68.638999999999996</v>
      </c>
      <c r="AD63" s="196">
        <f>-'BS &amp; CF'!AD132</f>
        <v>0</v>
      </c>
      <c r="AE63" s="197">
        <f>SUM(AA63:AD63)</f>
        <v>79.852999999999994</v>
      </c>
      <c r="AF63" s="196">
        <f>-'BS &amp; CF'!AF132</f>
        <v>8.1120000000000001</v>
      </c>
      <c r="AG63" s="196">
        <f>-'BS &amp; CF'!AG132</f>
        <v>129.554</v>
      </c>
      <c r="AH63" s="196">
        <f>-'BS &amp; CF'!AH132</f>
        <v>0</v>
      </c>
      <c r="AI63" s="196">
        <f>-'BS &amp; CF'!AI132</f>
        <v>38.650000000000006</v>
      </c>
      <c r="AJ63" s="197">
        <f>SUM(AF63:AI63)</f>
        <v>176.316</v>
      </c>
      <c r="AK63" s="196">
        <f>-'BS &amp; CF'!AK132</f>
        <v>0</v>
      </c>
      <c r="AL63" s="196">
        <f>-'BS &amp; CF'!AL132</f>
        <v>0</v>
      </c>
      <c r="AM63" s="196">
        <f>-'BS &amp; CF'!AM132</f>
        <v>0</v>
      </c>
      <c r="AN63" s="196">
        <f>-'BS &amp; CF'!AN132</f>
        <v>0</v>
      </c>
      <c r="AO63" s="197">
        <f>SUM(AK63:AN63)</f>
        <v>0</v>
      </c>
      <c r="AP63" s="196">
        <f>-'BS &amp; CF'!AP132</f>
        <v>0</v>
      </c>
      <c r="AQ63" s="196">
        <f>-'BS &amp; CF'!AQ132</f>
        <v>10.194000000000001</v>
      </c>
      <c r="AR63" s="196">
        <f>-'BS &amp; CF'!AR132</f>
        <v>6.9019999999999992</v>
      </c>
      <c r="AS63" s="196">
        <f>-'BS &amp; CF'!AS132</f>
        <v>73.091999999999999</v>
      </c>
      <c r="AT63" s="197">
        <f>SUM(AP63:AS63)</f>
        <v>90.188000000000002</v>
      </c>
      <c r="AU63" s="196">
        <f>-'BS &amp; CF'!AU132</f>
        <v>0</v>
      </c>
      <c r="AV63" s="196">
        <f>-'BS &amp; CF'!AV132</f>
        <v>0</v>
      </c>
      <c r="AW63" s="196">
        <f>-'BS &amp; CF'!AW132</f>
        <v>0</v>
      </c>
      <c r="AX63" s="196">
        <f>-'BS &amp; CF'!AX132</f>
        <v>0</v>
      </c>
      <c r="AY63" s="197">
        <f>SUM(AU63:AX63)</f>
        <v>0</v>
      </c>
      <c r="AZ63" s="196">
        <f>-'BS &amp; CF'!AZ132</f>
        <v>0.04</v>
      </c>
      <c r="BA63" s="196">
        <f>-'BS &amp; CF'!BA132</f>
        <v>12.202000000000002</v>
      </c>
      <c r="BB63" s="196">
        <f>-'BS &amp; CF'!BB132</f>
        <v>95.69</v>
      </c>
      <c r="BC63" s="196">
        <f>-'BS &amp; CF'!BC132</f>
        <v>6.0289999999999964</v>
      </c>
      <c r="BD63" s="197">
        <f>SUM(AZ63:BC63)</f>
        <v>113.961</v>
      </c>
      <c r="BE63" s="196">
        <f>-'BS &amp; CF'!BE132</f>
        <v>0</v>
      </c>
      <c r="BF63" s="196">
        <f>-'BS &amp; CF'!BF132</f>
        <v>50.002000000000002</v>
      </c>
      <c r="BG63" s="196">
        <f>-'BS &amp; CF'!BG132</f>
        <v>35.788000000000004</v>
      </c>
      <c r="BH63" s="196">
        <f>-'BS &amp; CF'!BH132</f>
        <v>0</v>
      </c>
      <c r="BI63" s="197">
        <f>SUM(BE63:BH63)</f>
        <v>85.79</v>
      </c>
      <c r="BJ63" s="196">
        <f>-'BS &amp; CF'!BJ132</f>
        <v>0</v>
      </c>
      <c r="BK63" s="196">
        <f>-'BS &amp; CF'!BK132</f>
        <v>0</v>
      </c>
      <c r="BL63" s="196">
        <f>-'BS &amp; CF'!BL132</f>
        <v>0</v>
      </c>
      <c r="BM63" s="196">
        <f>-'BS &amp; CF'!BM132</f>
        <v>0</v>
      </c>
      <c r="BN63" s="1011">
        <f>SUM(BJ63:BM63)</f>
        <v>0</v>
      </c>
      <c r="BO63" s="196">
        <f>-'BS &amp; CF'!BO132</f>
        <v>18.725999999999999</v>
      </c>
      <c r="BP63" s="196">
        <f>-'BS &amp; CF'!BP132</f>
        <v>8.407</v>
      </c>
      <c r="BQ63" s="1012">
        <v>0</v>
      </c>
      <c r="BR63" s="1012">
        <v>0</v>
      </c>
      <c r="BS63" s="1011">
        <f>SUM(BO63:BR63)</f>
        <v>27.132999999999999</v>
      </c>
      <c r="BT63" s="196">
        <v>0</v>
      </c>
      <c r="BU63" s="1012">
        <v>0</v>
      </c>
      <c r="BV63" s="1012">
        <v>0</v>
      </c>
      <c r="BW63" s="1012">
        <v>0</v>
      </c>
      <c r="BX63" s="1011">
        <f>SUM(BT63:BW63)</f>
        <v>0</v>
      </c>
      <c r="BY63" s="196">
        <v>0</v>
      </c>
      <c r="BZ63" s="1012">
        <v>0</v>
      </c>
      <c r="CA63" s="1012">
        <v>0</v>
      </c>
      <c r="CB63" s="1012">
        <v>0</v>
      </c>
      <c r="CC63" s="1011">
        <f>SUM(BY63:CB63)</f>
        <v>0</v>
      </c>
      <c r="CD63" s="1012">
        <v>0</v>
      </c>
      <c r="CE63" s="1012">
        <v>0</v>
      </c>
      <c r="CF63" s="1012">
        <v>0</v>
      </c>
      <c r="CG63" s="1012">
        <v>0</v>
      </c>
      <c r="CH63" s="1011">
        <f>SUM(CD63:CG63)</f>
        <v>0</v>
      </c>
      <c r="CI63" s="1012">
        <v>0</v>
      </c>
      <c r="CJ63" s="1012">
        <v>0</v>
      </c>
      <c r="CK63" s="1012">
        <v>0</v>
      </c>
      <c r="CL63" s="1012">
        <v>0</v>
      </c>
      <c r="CM63" s="1011">
        <f>SUM(CI63:CL63)</f>
        <v>0</v>
      </c>
      <c r="CN63" s="1012">
        <v>0</v>
      </c>
      <c r="CO63" s="1012">
        <v>0</v>
      </c>
      <c r="CP63" s="1012">
        <v>0</v>
      </c>
      <c r="CQ63" s="1012">
        <v>0</v>
      </c>
      <c r="CR63" s="1011">
        <f>SUM(CN63:CQ63)</f>
        <v>0</v>
      </c>
      <c r="CS63" s="1012">
        <v>0</v>
      </c>
      <c r="CT63" s="1012">
        <v>0</v>
      </c>
      <c r="CU63" s="1012">
        <v>0</v>
      </c>
      <c r="CV63" s="1012">
        <v>0</v>
      </c>
      <c r="CW63" s="1011">
        <f>SUM(CS63:CV63)</f>
        <v>0</v>
      </c>
      <c r="CX63" s="1012">
        <v>0</v>
      </c>
      <c r="CY63" s="1012">
        <v>0</v>
      </c>
      <c r="CZ63" s="1012">
        <v>0</v>
      </c>
      <c r="DA63" s="1012">
        <v>0</v>
      </c>
      <c r="DB63" s="1011">
        <f>SUM(CX63:DA63)</f>
        <v>0</v>
      </c>
      <c r="DC63"/>
      <c r="DD63"/>
      <c r="DE63"/>
      <c r="DF63"/>
      <c r="DG63"/>
      <c r="DJ63"/>
    </row>
    <row r="64" spans="1:114" s="725" customFormat="1" ht="4.5" hidden="1" customHeight="1" outlineLevel="1" thickBot="1">
      <c r="A64" s="1013"/>
      <c r="B64" s="1014"/>
      <c r="C64" s="200"/>
      <c r="D64" s="200"/>
      <c r="E64" s="200"/>
      <c r="F64" s="200"/>
      <c r="G64" s="5"/>
      <c r="H64" s="5"/>
      <c r="I64" s="5"/>
      <c r="J64" s="5"/>
      <c r="K64" s="200"/>
      <c r="L64" s="5"/>
      <c r="M64" s="5"/>
      <c r="N64" s="5"/>
      <c r="O64" s="5"/>
      <c r="P64" s="200"/>
      <c r="Q64" s="5"/>
      <c r="R64" s="5"/>
      <c r="S64" s="5"/>
      <c r="T64" s="5"/>
      <c r="U64" s="200"/>
      <c r="V64" s="5"/>
      <c r="W64" s="5"/>
      <c r="X64" s="5"/>
      <c r="Y64" s="5"/>
      <c r="Z64" s="200"/>
      <c r="AA64" s="5"/>
      <c r="AB64" s="5"/>
      <c r="AC64" s="5"/>
      <c r="AD64" s="5"/>
      <c r="AE64" s="200"/>
      <c r="AF64" s="5"/>
      <c r="AG64" s="5"/>
      <c r="AH64" s="5"/>
      <c r="AI64" s="5"/>
      <c r="AJ64" s="200"/>
      <c r="AK64" s="5"/>
      <c r="AL64" s="5"/>
      <c r="AM64" s="5"/>
      <c r="AN64" s="5"/>
      <c r="AO64" s="200"/>
      <c r="AP64" s="5"/>
      <c r="AQ64" s="5"/>
      <c r="AR64" s="5"/>
      <c r="AS64" s="5"/>
      <c r="AT64" s="200"/>
      <c r="AU64" s="5"/>
      <c r="AV64" s="5"/>
      <c r="AW64" s="5"/>
      <c r="AX64" s="5"/>
      <c r="AY64" s="850"/>
      <c r="AZ64" s="5"/>
      <c r="BA64" s="5"/>
      <c r="BB64" s="5"/>
      <c r="BC64" s="5"/>
      <c r="BD64" s="850"/>
      <c r="BE64" s="5"/>
      <c r="BF64" s="5"/>
      <c r="BG64" s="5"/>
      <c r="BH64" s="5"/>
      <c r="BI64" s="850"/>
      <c r="BJ64" s="5"/>
      <c r="BK64" s="5"/>
      <c r="BL64" s="5"/>
      <c r="BM64" s="5"/>
      <c r="BN64" s="850"/>
      <c r="BO64" s="5"/>
      <c r="BP64" s="5"/>
      <c r="BQ64" s="5"/>
      <c r="BR64" s="5"/>
      <c r="BS64" s="850"/>
      <c r="BT64" s="5"/>
      <c r="BU64" s="5"/>
      <c r="BV64" s="5"/>
      <c r="BW64" s="5"/>
      <c r="BX64" s="850"/>
      <c r="BY64" s="5"/>
      <c r="BZ64" s="5"/>
      <c r="CA64" s="5"/>
      <c r="CB64" s="5"/>
      <c r="CC64" s="850"/>
      <c r="CD64" s="5"/>
      <c r="CE64" s="5"/>
      <c r="CF64" s="5"/>
      <c r="CG64" s="5"/>
      <c r="CH64" s="850"/>
      <c r="CI64" s="5"/>
      <c r="CJ64" s="5"/>
      <c r="CK64" s="5"/>
      <c r="CL64" s="5"/>
      <c r="CM64" s="850"/>
      <c r="CN64" s="5"/>
      <c r="CO64" s="5"/>
      <c r="CP64" s="5"/>
      <c r="CQ64" s="5"/>
      <c r="CR64" s="850"/>
      <c r="CS64" s="5"/>
      <c r="CT64" s="5"/>
      <c r="CU64" s="5"/>
      <c r="CV64" s="5"/>
      <c r="CW64" s="850"/>
      <c r="CX64" s="5"/>
      <c r="CY64" s="5"/>
      <c r="CZ64" s="5"/>
      <c r="DA64" s="5"/>
      <c r="DB64" s="850"/>
      <c r="DC64"/>
      <c r="DD64"/>
      <c r="DE64"/>
      <c r="DF64"/>
      <c r="DG64"/>
      <c r="DJ64"/>
    </row>
    <row r="65" spans="1:114" s="725" customFormat="1" hidden="1" outlineLevel="1">
      <c r="A65" s="1015"/>
      <c r="B65" s="1016" t="str">
        <f>B3</f>
        <v>Fiscal year ends on December 31</v>
      </c>
      <c r="C65" s="1017"/>
      <c r="D65" s="1017"/>
      <c r="E65" s="1017"/>
      <c r="F65" s="1017"/>
      <c r="G65" s="1018"/>
      <c r="H65" s="1018"/>
      <c r="I65" s="1018"/>
      <c r="J65" s="1018"/>
      <c r="K65" s="1017"/>
      <c r="L65" s="1018"/>
      <c r="M65" s="1018"/>
      <c r="N65" s="1018"/>
      <c r="O65" s="1018"/>
      <c r="P65" s="1017"/>
      <c r="Q65" s="1018"/>
      <c r="R65" s="1018"/>
      <c r="S65" s="1018"/>
      <c r="T65" s="1018"/>
      <c r="U65" s="1017"/>
      <c r="V65" s="1018"/>
      <c r="W65" s="1018"/>
      <c r="X65" s="1018"/>
      <c r="Y65" s="1018"/>
      <c r="Z65" s="1017"/>
      <c r="AA65" s="1018"/>
      <c r="AB65" s="1018"/>
      <c r="AC65" s="1018"/>
      <c r="AD65" s="1018"/>
      <c r="AE65" s="1017"/>
      <c r="AF65" s="1018"/>
      <c r="AG65" s="1018"/>
      <c r="AH65" s="1018"/>
      <c r="AI65" s="1018"/>
      <c r="AJ65" s="1017"/>
      <c r="AK65" s="1018"/>
      <c r="AL65" s="1018"/>
      <c r="AM65" s="1018"/>
      <c r="AN65" s="1018"/>
      <c r="AO65" s="1017"/>
      <c r="AP65" s="1018"/>
      <c r="AQ65" s="1018"/>
      <c r="AR65" s="1018"/>
      <c r="AS65" s="1018"/>
      <c r="AT65" s="1017"/>
      <c r="AU65" s="1018"/>
      <c r="AV65" s="1018"/>
      <c r="AW65" s="1018"/>
      <c r="AX65" s="1018"/>
      <c r="AY65" s="1017"/>
      <c r="AZ65" s="1018"/>
      <c r="BA65" s="1018"/>
      <c r="BB65" s="1018"/>
      <c r="BC65" s="1018"/>
      <c r="BD65" s="1017"/>
      <c r="BE65" s="1018"/>
      <c r="BF65" s="1018"/>
      <c r="BG65" s="1018"/>
      <c r="BH65" s="1018"/>
      <c r="BI65" s="1017"/>
      <c r="BJ65" s="1018"/>
      <c r="BK65" s="1018"/>
      <c r="BL65" s="1018"/>
      <c r="BM65" s="1018"/>
      <c r="BN65" s="1017"/>
      <c r="BO65" s="1018"/>
      <c r="BP65" s="1018"/>
      <c r="BQ65" s="1018"/>
      <c r="BR65" s="1018"/>
      <c r="BS65" s="1017"/>
      <c r="BT65" s="1018"/>
      <c r="BU65" s="1018"/>
      <c r="BV65" s="1018"/>
      <c r="BW65" s="1018"/>
      <c r="BX65" s="1017"/>
      <c r="BY65" s="1018"/>
      <c r="BZ65" s="1018"/>
      <c r="CA65" s="1018"/>
      <c r="CB65" s="1018"/>
      <c r="CC65" s="1017"/>
      <c r="CD65" s="1018"/>
      <c r="CE65" s="1018"/>
      <c r="CF65" s="1018"/>
      <c r="CG65" s="1018"/>
      <c r="CH65" s="1017"/>
      <c r="CI65" s="1018"/>
      <c r="CJ65" s="1018"/>
      <c r="CK65" s="1018"/>
      <c r="CL65" s="1018"/>
      <c r="CM65" s="1017"/>
      <c r="CN65" s="1018"/>
      <c r="CO65" s="1018"/>
      <c r="CP65" s="1018"/>
      <c r="CQ65" s="1018"/>
      <c r="CR65" s="1017"/>
      <c r="CS65" s="1018"/>
      <c r="CT65" s="1018"/>
      <c r="CU65" s="1018"/>
      <c r="CV65" s="1018"/>
      <c r="CW65" s="1017"/>
      <c r="CX65" s="1018"/>
      <c r="CY65" s="1018"/>
      <c r="CZ65" s="1018"/>
      <c r="DA65" s="1018"/>
      <c r="DB65" s="1017"/>
      <c r="DC65"/>
      <c r="DD65"/>
      <c r="DE65"/>
      <c r="DF65"/>
      <c r="DG65"/>
      <c r="DJ65"/>
    </row>
    <row r="66" spans="1:114" s="725" customFormat="1" hidden="1" outlineLevel="1">
      <c r="A66" s="1019"/>
      <c r="B66" s="975" t="str">
        <f>B4</f>
        <v>($ Million, except per share data)</v>
      </c>
      <c r="C66" s="976"/>
      <c r="D66" s="976" t="str">
        <f t="shared" ref="D66:AI66" si="161">D4</f>
        <v>1998A</v>
      </c>
      <c r="E66" s="976" t="str">
        <f t="shared" si="161"/>
        <v>1999A</v>
      </c>
      <c r="F66" s="976" t="str">
        <f t="shared" si="161"/>
        <v>2000A</v>
      </c>
      <c r="G66" s="977" t="str">
        <f t="shared" si="161"/>
        <v>1Q01A</v>
      </c>
      <c r="H66" s="977" t="str">
        <f t="shared" si="161"/>
        <v>2Q01A</v>
      </c>
      <c r="I66" s="977" t="str">
        <f t="shared" si="161"/>
        <v>3Q01A</v>
      </c>
      <c r="J66" s="977" t="str">
        <f t="shared" si="161"/>
        <v>4Q01A</v>
      </c>
      <c r="K66" s="976" t="str">
        <f t="shared" si="161"/>
        <v>2001A</v>
      </c>
      <c r="L66" s="977" t="str">
        <f t="shared" si="161"/>
        <v>1Q02A</v>
      </c>
      <c r="M66" s="977" t="str">
        <f t="shared" si="161"/>
        <v>2Q02A</v>
      </c>
      <c r="N66" s="977" t="str">
        <f t="shared" si="161"/>
        <v>3Q02A</v>
      </c>
      <c r="O66" s="977" t="str">
        <f t="shared" si="161"/>
        <v>4Q02A</v>
      </c>
      <c r="P66" s="976" t="str">
        <f t="shared" si="161"/>
        <v>2002A</v>
      </c>
      <c r="Q66" s="977" t="str">
        <f t="shared" si="161"/>
        <v>1Q03A</v>
      </c>
      <c r="R66" s="977" t="str">
        <f t="shared" si="161"/>
        <v>2Q03A</v>
      </c>
      <c r="S66" s="977" t="str">
        <f t="shared" si="161"/>
        <v>3Q03A</v>
      </c>
      <c r="T66" s="977" t="str">
        <f t="shared" si="161"/>
        <v>4Q03A</v>
      </c>
      <c r="U66" s="976" t="str">
        <f t="shared" si="161"/>
        <v>2003A</v>
      </c>
      <c r="V66" s="977" t="str">
        <f t="shared" si="161"/>
        <v>1Q04A</v>
      </c>
      <c r="W66" s="977" t="str">
        <f t="shared" si="161"/>
        <v>2Q04A</v>
      </c>
      <c r="X66" s="977" t="str">
        <f t="shared" si="161"/>
        <v>3Q04A</v>
      </c>
      <c r="Y66" s="977" t="str">
        <f t="shared" si="161"/>
        <v>4Q04A</v>
      </c>
      <c r="Z66" s="976" t="str">
        <f t="shared" si="161"/>
        <v>2004A</v>
      </c>
      <c r="AA66" s="977" t="str">
        <f t="shared" si="161"/>
        <v>1Q05A</v>
      </c>
      <c r="AB66" s="977" t="str">
        <f t="shared" si="161"/>
        <v>2Q05A</v>
      </c>
      <c r="AC66" s="977" t="str">
        <f t="shared" si="161"/>
        <v>3Q05A</v>
      </c>
      <c r="AD66" s="977" t="str">
        <f t="shared" si="161"/>
        <v>4Q05A</v>
      </c>
      <c r="AE66" s="976" t="str">
        <f t="shared" si="161"/>
        <v>2005A</v>
      </c>
      <c r="AF66" s="977" t="str">
        <f t="shared" si="161"/>
        <v>1Q06A</v>
      </c>
      <c r="AG66" s="977" t="str">
        <f t="shared" si="161"/>
        <v>2Q06A</v>
      </c>
      <c r="AH66" s="977" t="str">
        <f t="shared" si="161"/>
        <v>3Q06A</v>
      </c>
      <c r="AI66" s="977" t="str">
        <f t="shared" si="161"/>
        <v>4Q06A</v>
      </c>
      <c r="AJ66" s="976" t="str">
        <f t="shared" ref="AJ66:BO66" si="162">AJ4</f>
        <v>2006A</v>
      </c>
      <c r="AK66" s="977" t="str">
        <f t="shared" si="162"/>
        <v>1Q07A</v>
      </c>
      <c r="AL66" s="977" t="str">
        <f t="shared" si="162"/>
        <v>2Q07A</v>
      </c>
      <c r="AM66" s="977" t="str">
        <f t="shared" si="162"/>
        <v>3Q07A</v>
      </c>
      <c r="AN66" s="977" t="str">
        <f t="shared" si="162"/>
        <v>4Q07A</v>
      </c>
      <c r="AO66" s="976" t="str">
        <f t="shared" si="162"/>
        <v>2007A</v>
      </c>
      <c r="AP66" s="977" t="str">
        <f t="shared" si="162"/>
        <v>1Q08A</v>
      </c>
      <c r="AQ66" s="977" t="str">
        <f t="shared" si="162"/>
        <v>2Q08A</v>
      </c>
      <c r="AR66" s="977" t="str">
        <f t="shared" si="162"/>
        <v>3Q08A</v>
      </c>
      <c r="AS66" s="977" t="str">
        <f t="shared" si="162"/>
        <v>4Q08A</v>
      </c>
      <c r="AT66" s="976" t="str">
        <f t="shared" si="162"/>
        <v>2008A</v>
      </c>
      <c r="AU66" s="977" t="str">
        <f t="shared" si="162"/>
        <v>1Q09</v>
      </c>
      <c r="AV66" s="977" t="str">
        <f t="shared" si="162"/>
        <v>2Q09</v>
      </c>
      <c r="AW66" s="977" t="str">
        <f t="shared" si="162"/>
        <v>3Q09</v>
      </c>
      <c r="AX66" s="977" t="str">
        <f t="shared" si="162"/>
        <v>4Q09</v>
      </c>
      <c r="AY66" s="976" t="str">
        <f t="shared" si="162"/>
        <v>2009A</v>
      </c>
      <c r="AZ66" s="977" t="str">
        <f t="shared" si="162"/>
        <v>1Q10A</v>
      </c>
      <c r="BA66" s="977" t="str">
        <f t="shared" si="162"/>
        <v>2Q10A</v>
      </c>
      <c r="BB66" s="977" t="str">
        <f t="shared" si="162"/>
        <v>3Q10A</v>
      </c>
      <c r="BC66" s="977" t="str">
        <f t="shared" si="162"/>
        <v>4Q10A</v>
      </c>
      <c r="BD66" s="976" t="str">
        <f t="shared" si="162"/>
        <v>2010A</v>
      </c>
      <c r="BE66" s="977" t="str">
        <f t="shared" si="162"/>
        <v>1Q11A</v>
      </c>
      <c r="BF66" s="977" t="str">
        <f t="shared" si="162"/>
        <v>2Q11A</v>
      </c>
      <c r="BG66" s="977" t="str">
        <f t="shared" si="162"/>
        <v>3Q11A</v>
      </c>
      <c r="BH66" s="977" t="str">
        <f t="shared" si="162"/>
        <v>4Q11A</v>
      </c>
      <c r="BI66" s="976" t="str">
        <f t="shared" si="162"/>
        <v>2011A</v>
      </c>
      <c r="BJ66" s="977" t="str">
        <f t="shared" si="162"/>
        <v>1Q12A</v>
      </c>
      <c r="BK66" s="977" t="str">
        <f t="shared" si="162"/>
        <v>2Q12A</v>
      </c>
      <c r="BL66" s="977" t="str">
        <f t="shared" si="162"/>
        <v>3Q12A</v>
      </c>
      <c r="BM66" s="977" t="str">
        <f t="shared" si="162"/>
        <v>4Q12A</v>
      </c>
      <c r="BN66" s="976" t="str">
        <f t="shared" si="162"/>
        <v>2012A</v>
      </c>
      <c r="BO66" s="977" t="str">
        <f t="shared" si="162"/>
        <v>1Q13A</v>
      </c>
      <c r="BP66" s="977" t="str">
        <f t="shared" ref="BP66:BX66" si="163">BP4</f>
        <v>2Q13A</v>
      </c>
      <c r="BQ66" s="977" t="str">
        <f t="shared" si="163"/>
        <v>3Q13A</v>
      </c>
      <c r="BR66" s="977" t="str">
        <f t="shared" si="163"/>
        <v>4Q13A</v>
      </c>
      <c r="BS66" s="976" t="str">
        <f t="shared" si="163"/>
        <v>2013A</v>
      </c>
      <c r="BT66" s="977" t="str">
        <f t="shared" si="163"/>
        <v>1Q14A</v>
      </c>
      <c r="BU66" s="977" t="str">
        <f t="shared" si="163"/>
        <v>2Q14A</v>
      </c>
      <c r="BV66" s="977" t="str">
        <f t="shared" si="163"/>
        <v>3Q14A</v>
      </c>
      <c r="BW66" s="977" t="str">
        <f t="shared" si="163"/>
        <v>4Q14A</v>
      </c>
      <c r="BX66" s="976" t="str">
        <f t="shared" si="163"/>
        <v>2014A</v>
      </c>
      <c r="BY66" s="977" t="str">
        <f t="shared" ref="BY66:CH66" si="164">BY4</f>
        <v>1Q15A</v>
      </c>
      <c r="BZ66" s="977" t="str">
        <f t="shared" si="164"/>
        <v>2Q15A</v>
      </c>
      <c r="CA66" s="977" t="str">
        <f t="shared" si="164"/>
        <v>3Q15A</v>
      </c>
      <c r="CB66" s="977" t="str">
        <f t="shared" si="164"/>
        <v>4Q15A</v>
      </c>
      <c r="CC66" s="976" t="str">
        <f t="shared" si="164"/>
        <v>2015A</v>
      </c>
      <c r="CD66" s="977" t="str">
        <f t="shared" si="164"/>
        <v>1Q16A</v>
      </c>
      <c r="CE66" s="977" t="str">
        <f t="shared" si="164"/>
        <v>2Q16A</v>
      </c>
      <c r="CF66" s="977" t="str">
        <f t="shared" si="164"/>
        <v>3Q16A</v>
      </c>
      <c r="CG66" s="977" t="str">
        <f t="shared" si="164"/>
        <v>4Q16A</v>
      </c>
      <c r="CH66" s="976" t="str">
        <f t="shared" si="164"/>
        <v>2016A</v>
      </c>
      <c r="CI66" s="977" t="str">
        <f t="shared" ref="CI66:CR66" si="165">CI4</f>
        <v>1Q17A</v>
      </c>
      <c r="CJ66" s="977" t="str">
        <f t="shared" si="165"/>
        <v>2Q17A</v>
      </c>
      <c r="CK66" s="977" t="str">
        <f t="shared" si="165"/>
        <v>3Q17A</v>
      </c>
      <c r="CL66" s="977" t="str">
        <f t="shared" si="165"/>
        <v>4Q17A</v>
      </c>
      <c r="CM66" s="976" t="str">
        <f t="shared" si="165"/>
        <v>2017A</v>
      </c>
      <c r="CN66" s="977" t="str">
        <f t="shared" si="165"/>
        <v>1Q18E</v>
      </c>
      <c r="CO66" s="977" t="str">
        <f t="shared" si="165"/>
        <v>2Q18E</v>
      </c>
      <c r="CP66" s="977" t="str">
        <f t="shared" si="165"/>
        <v>3Q18E</v>
      </c>
      <c r="CQ66" s="977" t="str">
        <f t="shared" si="165"/>
        <v>4Q18E</v>
      </c>
      <c r="CR66" s="976" t="str">
        <f t="shared" si="165"/>
        <v>2018E</v>
      </c>
      <c r="CS66" s="977" t="str">
        <f t="shared" ref="CS66:CW66" si="166">CS4</f>
        <v>1Q19E</v>
      </c>
      <c r="CT66" s="977" t="str">
        <f t="shared" si="166"/>
        <v>2Q19E</v>
      </c>
      <c r="CU66" s="977" t="str">
        <f t="shared" si="166"/>
        <v>3Q19E</v>
      </c>
      <c r="CV66" s="977" t="str">
        <f t="shared" si="166"/>
        <v>4Q19E</v>
      </c>
      <c r="CW66" s="976" t="str">
        <f t="shared" si="166"/>
        <v>2019E</v>
      </c>
      <c r="CX66" s="977" t="str">
        <f t="shared" ref="CX66:DB66" si="167">CX4</f>
        <v>1Q20E</v>
      </c>
      <c r="CY66" s="977" t="str">
        <f t="shared" si="167"/>
        <v>2Q20E</v>
      </c>
      <c r="CZ66" s="977" t="str">
        <f t="shared" si="167"/>
        <v>3Q20E</v>
      </c>
      <c r="DA66" s="977" t="str">
        <f t="shared" si="167"/>
        <v>4Q20E</v>
      </c>
      <c r="DB66" s="976" t="str">
        <f t="shared" si="167"/>
        <v>2020E</v>
      </c>
      <c r="DC66"/>
      <c r="DD66"/>
      <c r="DE66"/>
      <c r="DF66"/>
      <c r="DG66"/>
      <c r="DJ66"/>
    </row>
    <row r="67" spans="1:114" s="725" customFormat="1" ht="2.1" customHeight="1" collapsed="1">
      <c r="A67" s="1020"/>
      <c r="B67" s="53"/>
      <c r="C67" s="18"/>
      <c r="D67" s="18"/>
      <c r="E67" s="18"/>
      <c r="F67" s="18"/>
      <c r="G67" s="37"/>
      <c r="H67" s="37"/>
      <c r="I67" s="37"/>
      <c r="J67" s="37"/>
      <c r="K67" s="18"/>
      <c r="L67" s="37"/>
      <c r="M67" s="37"/>
      <c r="N67" s="37"/>
      <c r="O67" s="37"/>
      <c r="P67" s="18"/>
      <c r="Q67" s="37"/>
      <c r="R67" s="37"/>
      <c r="S67" s="37"/>
      <c r="T67" s="37"/>
      <c r="U67" s="18"/>
      <c r="V67" s="37"/>
      <c r="W67" s="37"/>
      <c r="X67" s="37"/>
      <c r="Y67" s="37"/>
      <c r="Z67" s="18"/>
      <c r="AA67" s="37"/>
      <c r="AB67" s="37"/>
      <c r="AC67" s="37"/>
      <c r="AD67" s="37"/>
      <c r="AE67" s="18"/>
      <c r="AF67" s="37"/>
      <c r="AG67" s="37"/>
      <c r="AH67" s="37"/>
      <c r="AI67" s="37"/>
      <c r="AJ67" s="18"/>
      <c r="AK67" s="37"/>
      <c r="AL67" s="37"/>
      <c r="AM67" s="37"/>
      <c r="AN67" s="37"/>
      <c r="AO67" s="18"/>
      <c r="AP67" s="37"/>
      <c r="AQ67" s="37"/>
      <c r="AR67" s="37"/>
      <c r="AS67" s="37"/>
      <c r="AT67" s="18"/>
      <c r="AU67" s="37"/>
      <c r="AV67" s="37"/>
      <c r="AW67" s="37"/>
      <c r="AX67" s="37"/>
      <c r="AY67" s="18"/>
      <c r="AZ67" s="37"/>
      <c r="BA67" s="37"/>
      <c r="BB67" s="37"/>
      <c r="BC67" s="37"/>
      <c r="BD67" s="18"/>
      <c r="BE67" s="37"/>
      <c r="BF67" s="37"/>
      <c r="BG67" s="37"/>
      <c r="BH67" s="37"/>
      <c r="BI67" s="18"/>
      <c r="BJ67" s="37"/>
      <c r="BK67" s="37"/>
      <c r="BL67" s="37"/>
      <c r="BM67" s="37"/>
      <c r="BN67" s="18"/>
      <c r="BO67" s="37"/>
      <c r="BP67" s="37"/>
      <c r="BQ67" s="37"/>
      <c r="BR67" s="37"/>
      <c r="BS67" s="18"/>
      <c r="BT67" s="37"/>
      <c r="BU67" s="37"/>
      <c r="BV67" s="37"/>
      <c r="BW67" s="37"/>
      <c r="BX67" s="18"/>
      <c r="BY67" s="37"/>
      <c r="BZ67" s="37"/>
      <c r="CA67" s="37"/>
      <c r="CB67" s="37"/>
      <c r="CC67" s="18"/>
      <c r="CD67" s="37"/>
      <c r="CE67" s="37"/>
      <c r="CF67" s="37"/>
      <c r="CG67" s="37"/>
      <c r="CH67" s="18"/>
      <c r="CI67" s="37"/>
      <c r="CJ67" s="37"/>
      <c r="CK67" s="37"/>
      <c r="CL67" s="37"/>
      <c r="CM67" s="18"/>
      <c r="CN67" s="1105"/>
      <c r="CO67" s="163"/>
      <c r="CP67" s="37"/>
      <c r="CQ67" s="37"/>
      <c r="CR67" s="18"/>
      <c r="CS67" s="37"/>
      <c r="CT67" s="37"/>
      <c r="CU67" s="37"/>
      <c r="CV67" s="37"/>
      <c r="CW67" s="18"/>
      <c r="CX67" s="37"/>
      <c r="CY67" s="37"/>
      <c r="CZ67" s="37"/>
      <c r="DA67" s="37"/>
      <c r="DB67" s="18"/>
      <c r="DC67"/>
      <c r="DD67"/>
      <c r="DE67"/>
      <c r="DF67"/>
      <c r="DG67"/>
      <c r="DJ67"/>
    </row>
    <row r="68" spans="1:114" s="725" customFormat="1" ht="12.75" customHeight="1">
      <c r="A68" s="1021"/>
      <c r="B68" s="1022" t="s">
        <v>224</v>
      </c>
      <c r="C68" s="65"/>
      <c r="D68" s="65"/>
      <c r="E68" s="65"/>
      <c r="F68" s="65"/>
      <c r="G68" s="163"/>
      <c r="H68" s="163"/>
      <c r="I68" s="163"/>
      <c r="J68" s="163"/>
      <c r="K68" s="65"/>
      <c r="L68" s="163"/>
      <c r="M68" s="163"/>
      <c r="N68" s="163"/>
      <c r="O68" s="163"/>
      <c r="P68" s="65"/>
      <c r="Q68" s="163"/>
      <c r="R68" s="163"/>
      <c r="S68" s="163"/>
      <c r="T68" s="163"/>
      <c r="U68" s="65"/>
      <c r="V68" s="163"/>
      <c r="W68" s="163"/>
      <c r="X68" s="163"/>
      <c r="Y68" s="163"/>
      <c r="Z68" s="65"/>
      <c r="AA68" s="163"/>
      <c r="AB68" s="163"/>
      <c r="AC68" s="163"/>
      <c r="AD68" s="163"/>
      <c r="AE68" s="65"/>
      <c r="AF68" s="163"/>
      <c r="AG68" s="163"/>
      <c r="AH68" s="163"/>
      <c r="AI68" s="163"/>
      <c r="AJ68" s="65"/>
      <c r="AK68" s="163"/>
      <c r="AL68" s="163"/>
      <c r="AM68" s="163"/>
      <c r="AN68" s="163"/>
      <c r="AO68" s="907"/>
      <c r="AP68" s="163"/>
      <c r="AQ68" s="163"/>
      <c r="AR68" s="163"/>
      <c r="AS68" s="163"/>
      <c r="AT68" s="907"/>
      <c r="AU68" s="163"/>
      <c r="AV68" s="946"/>
      <c r="AW68" s="946"/>
      <c r="AX68" s="946"/>
      <c r="AY68" s="65"/>
      <c r="AZ68" s="946"/>
      <c r="BA68" s="946"/>
      <c r="BB68" s="946"/>
      <c r="BC68" s="946"/>
      <c r="BD68" s="65"/>
      <c r="BE68" s="946"/>
      <c r="BF68" s="946"/>
      <c r="BG68" s="946"/>
      <c r="BH68" s="946"/>
      <c r="BI68" s="65"/>
      <c r="BJ68" s="946"/>
      <c r="BK68" s="946"/>
      <c r="BL68" s="946"/>
      <c r="BM68" s="946"/>
      <c r="BN68" s="1023"/>
      <c r="BO68" s="946"/>
      <c r="BP68" s="946"/>
      <c r="BQ68" s="946"/>
      <c r="BR68" s="946"/>
      <c r="BS68" s="65"/>
      <c r="BT68" s="946"/>
      <c r="BU68" s="433"/>
      <c r="BV68" s="433"/>
      <c r="BW68" s="946"/>
      <c r="BX68" s="65"/>
      <c r="BY68" s="946"/>
      <c r="BZ68" s="946"/>
      <c r="CA68" s="946"/>
      <c r="CB68" s="946"/>
      <c r="CC68" s="65"/>
      <c r="CD68" s="946"/>
      <c r="CE68" s="946"/>
      <c r="CF68" s="946"/>
      <c r="CG68" s="946"/>
      <c r="CH68" s="65"/>
      <c r="CI68" s="946"/>
      <c r="CJ68" s="946"/>
      <c r="CK68" s="163"/>
      <c r="CL68" s="946"/>
      <c r="CM68" s="65"/>
      <c r="CN68" s="946"/>
      <c r="CO68" s="946"/>
      <c r="CP68" s="946"/>
      <c r="CQ68" s="946"/>
      <c r="CR68" s="65"/>
      <c r="CS68" s="946"/>
      <c r="CT68" s="946"/>
      <c r="CU68" s="946"/>
      <c r="CV68" s="946"/>
      <c r="CW68" s="65"/>
      <c r="CX68" s="946"/>
      <c r="CY68" s="946"/>
      <c r="CZ68" s="946"/>
      <c r="DA68" s="946"/>
      <c r="DB68" s="65"/>
      <c r="DC68"/>
      <c r="DD68"/>
      <c r="DE68"/>
      <c r="DF68"/>
      <c r="DG68"/>
      <c r="DJ68"/>
    </row>
    <row r="69" spans="1:114" s="725" customFormat="1">
      <c r="A69" s="331"/>
      <c r="B69" s="162" t="s">
        <v>225</v>
      </c>
      <c r="C69" s="65"/>
      <c r="D69" s="65">
        <f t="shared" ref="D69:AI69" si="168">D54/D8</f>
        <v>-0.26895361759372988</v>
      </c>
      <c r="E69" s="65">
        <f t="shared" si="168"/>
        <v>0.17306864280204781</v>
      </c>
      <c r="F69" s="65">
        <f t="shared" si="168"/>
        <v>0.18896135404758568</v>
      </c>
      <c r="G69" s="163">
        <f t="shared" si="168"/>
        <v>0.19377641761466968</v>
      </c>
      <c r="H69" s="163">
        <f t="shared" si="168"/>
        <v>0.18415650434387865</v>
      </c>
      <c r="I69" s="163">
        <f t="shared" si="168"/>
        <v>0.17770405383021781</v>
      </c>
      <c r="J69" s="163">
        <f t="shared" si="168"/>
        <v>0.17509246034571588</v>
      </c>
      <c r="K69" s="65">
        <f t="shared" si="168"/>
        <v>0.18227824931729283</v>
      </c>
      <c r="L69" s="163">
        <f t="shared" si="168"/>
        <v>0.17318970833278671</v>
      </c>
      <c r="M69" s="163">
        <f t="shared" si="168"/>
        <v>0.16495094066515634</v>
      </c>
      <c r="N69" s="163">
        <f t="shared" si="168"/>
        <v>0.15793691133617083</v>
      </c>
      <c r="O69" s="163">
        <f t="shared" si="168"/>
        <v>0.16235485667766403</v>
      </c>
      <c r="P69" s="65">
        <f t="shared" si="168"/>
        <v>0.16449791107776393</v>
      </c>
      <c r="Q69" s="163">
        <f t="shared" si="168"/>
        <v>0.16165284091512377</v>
      </c>
      <c r="R69" s="163">
        <f t="shared" si="168"/>
        <v>0.15629711559380682</v>
      </c>
      <c r="S69" s="163">
        <f t="shared" si="168"/>
        <v>0.14977829167023979</v>
      </c>
      <c r="T69" s="163">
        <f t="shared" si="168"/>
        <v>0.14958265830809325</v>
      </c>
      <c r="U69" s="65">
        <f t="shared" si="168"/>
        <v>0.15399679110880321</v>
      </c>
      <c r="V69" s="163">
        <f t="shared" si="168"/>
        <v>0.15202656692315927</v>
      </c>
      <c r="W69" s="163">
        <f t="shared" si="168"/>
        <v>0.14928674928011271</v>
      </c>
      <c r="X69" s="163">
        <f t="shared" si="168"/>
        <v>0.14337929514687803</v>
      </c>
      <c r="Y69" s="163">
        <f t="shared" si="168"/>
        <v>0.14911669857848067</v>
      </c>
      <c r="Z69" s="65">
        <f t="shared" si="168"/>
        <v>0.14842715093479472</v>
      </c>
      <c r="AA69" s="163">
        <f t="shared" si="168"/>
        <v>0.15544880911227105</v>
      </c>
      <c r="AB69" s="163">
        <f t="shared" si="168"/>
        <v>0.15255170792343248</v>
      </c>
      <c r="AC69" s="163">
        <f t="shared" si="168"/>
        <v>0.14796253829623077</v>
      </c>
      <c r="AD69" s="163">
        <f t="shared" si="168"/>
        <v>0.15453990041443064</v>
      </c>
      <c r="AE69" s="65">
        <f t="shared" si="168"/>
        <v>0.15264151018985536</v>
      </c>
      <c r="AF69" s="163">
        <f t="shared" si="168"/>
        <v>0.15435794428393013</v>
      </c>
      <c r="AG69" s="163">
        <f t="shared" si="168"/>
        <v>0.14772480948189265</v>
      </c>
      <c r="AH69" s="163">
        <f t="shared" si="168"/>
        <v>8.131854242565309E-2</v>
      </c>
      <c r="AI69" s="163">
        <f t="shared" si="168"/>
        <v>0.14332377344892971</v>
      </c>
      <c r="AJ69" s="65">
        <f t="shared" ref="AJ69:BM69" si="169">AJ54/AJ8</f>
        <v>0.13103104836566815</v>
      </c>
      <c r="AK69" s="163">
        <f t="shared" si="169"/>
        <v>0.1413616479110828</v>
      </c>
      <c r="AL69" s="163">
        <f t="shared" si="169"/>
        <v>0.13813556336900612</v>
      </c>
      <c r="AM69" s="163">
        <f t="shared" si="169"/>
        <v>0.12907430720037158</v>
      </c>
      <c r="AN69" s="163">
        <f t="shared" si="169"/>
        <v>7.4379969165563858E-2</v>
      </c>
      <c r="AO69" s="65">
        <f t="shared" si="169"/>
        <v>0.11377839448649323</v>
      </c>
      <c r="AP69" s="163">
        <f t="shared" si="169"/>
        <v>0.14047567894164523</v>
      </c>
      <c r="AQ69" s="163">
        <f t="shared" si="169"/>
        <v>0.13696721920761162</v>
      </c>
      <c r="AR69" s="163">
        <f t="shared" si="169"/>
        <v>0.14146585114286317</v>
      </c>
      <c r="AS69" s="163">
        <f t="shared" si="169"/>
        <v>0.14184450838626883</v>
      </c>
      <c r="AT69" s="65">
        <f t="shared" si="169"/>
        <v>0.14020960594389323</v>
      </c>
      <c r="AU69" s="163">
        <f t="shared" si="169"/>
        <v>0.13953616213581141</v>
      </c>
      <c r="AV69" s="163">
        <f t="shared" si="169"/>
        <v>0.1377654533817308</v>
      </c>
      <c r="AW69" s="163">
        <f t="shared" si="169"/>
        <v>0.13536115735705806</v>
      </c>
      <c r="AX69" s="163">
        <f t="shared" si="169"/>
        <v>0.1405371988252902</v>
      </c>
      <c r="AY69" s="65">
        <f t="shared" si="169"/>
        <v>0.13828401388768699</v>
      </c>
      <c r="AZ69" s="163">
        <f t="shared" si="169"/>
        <v>0.13708228689520946</v>
      </c>
      <c r="BA69" s="163">
        <f t="shared" si="169"/>
        <v>0.13974350241436212</v>
      </c>
      <c r="BB69" s="163">
        <f t="shared" si="169"/>
        <v>0.13575200911423704</v>
      </c>
      <c r="BC69" s="163">
        <f t="shared" si="169"/>
        <v>0.13292888968433578</v>
      </c>
      <c r="BD69" s="65">
        <f t="shared" si="169"/>
        <v>0.13631070727293731</v>
      </c>
      <c r="BE69" s="163">
        <f t="shared" si="169"/>
        <v>0.13501492654775932</v>
      </c>
      <c r="BF69" s="163">
        <f t="shared" si="169"/>
        <v>0.13463134011623762</v>
      </c>
      <c r="BG69" s="163">
        <f t="shared" si="169"/>
        <v>0.13198835855646121</v>
      </c>
      <c r="BH69" s="163">
        <f t="shared" si="169"/>
        <v>0.13471753491779556</v>
      </c>
      <c r="BI69" s="65">
        <f t="shared" si="169"/>
        <v>0.13408618145117057</v>
      </c>
      <c r="BJ69" s="163">
        <f t="shared" si="169"/>
        <v>0.14153463031893032</v>
      </c>
      <c r="BK69" s="163">
        <f t="shared" si="169"/>
        <v>0.12894789383380637</v>
      </c>
      <c r="BL69" s="163">
        <f t="shared" si="169"/>
        <v>0.12910407527225232</v>
      </c>
      <c r="BM69" s="163">
        <f t="shared" si="169"/>
        <v>0.12810296897675691</v>
      </c>
      <c r="BN69" s="65">
        <f t="shared" ref="BN69:CH69" si="170">BN54/BN$10</f>
        <v>0.15179348199418441</v>
      </c>
      <c r="BO69" s="163">
        <f t="shared" si="170"/>
        <v>0.14911421453914089</v>
      </c>
      <c r="BP69" s="163">
        <f t="shared" si="170"/>
        <v>0.12799164254257278</v>
      </c>
      <c r="BQ69" s="163">
        <f t="shared" si="170"/>
        <v>0.14834547302539819</v>
      </c>
      <c r="BR69" s="163">
        <f t="shared" si="170"/>
        <v>0.14053354649692815</v>
      </c>
      <c r="BS69" s="65">
        <f t="shared" si="170"/>
        <v>0.14153119326637428</v>
      </c>
      <c r="BT69" s="163">
        <f t="shared" si="170"/>
        <v>0.12896305125148988</v>
      </c>
      <c r="BU69" s="163">
        <f t="shared" si="170"/>
        <v>0.14626490897677338</v>
      </c>
      <c r="BV69" s="163">
        <f t="shared" si="170"/>
        <v>0.15667778936392085</v>
      </c>
      <c r="BW69" s="163">
        <f t="shared" si="170"/>
        <v>0.15900772671817812</v>
      </c>
      <c r="BX69" s="65">
        <f t="shared" si="170"/>
        <v>0.14840637876598708</v>
      </c>
      <c r="BY69" s="163">
        <f t="shared" si="170"/>
        <v>0.14559152922011812</v>
      </c>
      <c r="BZ69" s="163">
        <f t="shared" si="170"/>
        <v>0.15751741089717328</v>
      </c>
      <c r="CA69" s="163">
        <f t="shared" si="170"/>
        <v>0.13640115559224103</v>
      </c>
      <c r="CB69" s="163">
        <f>CB54/CB$10</f>
        <v>0.1098374322634431</v>
      </c>
      <c r="CC69" s="65">
        <f t="shared" si="170"/>
        <v>0.13746977414210013</v>
      </c>
      <c r="CD69" s="163">
        <f t="shared" si="170"/>
        <v>0.12662532506501301</v>
      </c>
      <c r="CE69" s="163">
        <f t="shared" ref="CE69:CF69" si="171">CE54/CE$10</f>
        <v>0.12265795206971677</v>
      </c>
      <c r="CF69" s="163">
        <f t="shared" si="171"/>
        <v>0.10616438356164383</v>
      </c>
      <c r="CG69" s="163">
        <f t="shared" ref="CG69" si="172">CG54/CG$10</f>
        <v>0.12620272991720743</v>
      </c>
      <c r="CH69" s="65">
        <f t="shared" si="170"/>
        <v>0.12067469356763207</v>
      </c>
      <c r="CI69" s="163">
        <f t="shared" ref="CI69:CJ69" si="173">CI54/CI$10</f>
        <v>0.11747659384752564</v>
      </c>
      <c r="CJ69" s="163">
        <f t="shared" si="173"/>
        <v>0.10497104247104247</v>
      </c>
      <c r="CK69" s="163">
        <f t="shared" ref="CK69:CL69" si="174">CK54/CK$10</f>
        <v>9.0289143480632841E-2</v>
      </c>
      <c r="CL69" s="163">
        <f t="shared" si="174"/>
        <v>0.13370382477933965</v>
      </c>
      <c r="CM69" s="65">
        <f>CM54/CM$10</f>
        <v>0.1108433734939759</v>
      </c>
      <c r="CN69" s="163">
        <f t="shared" ref="CN69:CR69" ca="1" si="175">CN54/CN$10</f>
        <v>0.11542417981705078</v>
      </c>
      <c r="CO69" s="163">
        <f t="shared" ca="1" si="175"/>
        <v>0.11252573841696194</v>
      </c>
      <c r="CP69" s="163">
        <f t="shared" ca="1" si="175"/>
        <v>0.11127747545253455</v>
      </c>
      <c r="CQ69" s="163">
        <f t="shared" ca="1" si="175"/>
        <v>0.11347691972126882</v>
      </c>
      <c r="CR69" s="65">
        <f t="shared" ca="1" si="175"/>
        <v>0.11325820823315894</v>
      </c>
      <c r="CS69" s="163">
        <f t="shared" ref="CS69:CW69" ca="1" si="176">CS54/CS$10</f>
        <v>0.11200336559766914</v>
      </c>
      <c r="CT69" s="163">
        <f t="shared" ca="1" si="176"/>
        <v>0.11419241206621687</v>
      </c>
      <c r="CU69" s="163">
        <f t="shared" ca="1" si="176"/>
        <v>0.12145923677043184</v>
      </c>
      <c r="CV69" s="163">
        <f t="shared" ca="1" si="176"/>
        <v>0.11403434669437749</v>
      </c>
      <c r="CW69" s="65">
        <f t="shared" ca="1" si="176"/>
        <v>0.1152945586090651</v>
      </c>
      <c r="CX69" s="163">
        <f t="shared" ref="CX69:DB69" ca="1" si="177">CX54/CX$10</f>
        <v>0.11110050641949328</v>
      </c>
      <c r="CY69" s="163">
        <f t="shared" ca="1" si="177"/>
        <v>0.11505162020678279</v>
      </c>
      <c r="CZ69" s="163">
        <f t="shared" ca="1" si="177"/>
        <v>0.11562361343389058</v>
      </c>
      <c r="DA69" s="163">
        <f t="shared" ca="1" si="177"/>
        <v>0.11466852081726818</v>
      </c>
      <c r="DB69" s="65">
        <f t="shared" ca="1" si="177"/>
        <v>0.11407198159936478</v>
      </c>
      <c r="DC69"/>
      <c r="DD69"/>
      <c r="DE69"/>
      <c r="DF69"/>
      <c r="DG69"/>
      <c r="DJ69"/>
    </row>
    <row r="70" spans="1:114" s="725" customFormat="1">
      <c r="A70" s="331"/>
      <c r="B70" s="162" t="s">
        <v>226</v>
      </c>
      <c r="C70" s="65"/>
      <c r="D70" s="65">
        <f t="shared" ref="D70:AI70" si="178">D19/D8</f>
        <v>-0.38315376966719306</v>
      </c>
      <c r="E70" s="65">
        <f t="shared" si="178"/>
        <v>9.7462574760197859E-2</v>
      </c>
      <c r="F70" s="65">
        <f t="shared" si="178"/>
        <v>0.11597150207738154</v>
      </c>
      <c r="G70" s="163">
        <f t="shared" si="178"/>
        <v>0.12226667837298849</v>
      </c>
      <c r="H70" s="163">
        <f t="shared" si="178"/>
        <v>0.11266646545724851</v>
      </c>
      <c r="I70" s="163">
        <f t="shared" si="178"/>
        <v>0.10417241801478269</v>
      </c>
      <c r="J70" s="163">
        <f t="shared" si="178"/>
        <v>0.10835137863296913</v>
      </c>
      <c r="K70" s="65">
        <f t="shared" si="178"/>
        <v>0.11162034098457452</v>
      </c>
      <c r="L70" s="163">
        <f t="shared" si="178"/>
        <v>0.11980079434846749</v>
      </c>
      <c r="M70" s="163">
        <f t="shared" si="178"/>
        <v>0.11038633048237592</v>
      </c>
      <c r="N70" s="163">
        <f t="shared" si="178"/>
        <v>0.10551315839454747</v>
      </c>
      <c r="O70" s="163">
        <f t="shared" si="178"/>
        <v>0.10785209306311326</v>
      </c>
      <c r="P70" s="65">
        <f t="shared" si="178"/>
        <v>0.11077263991325277</v>
      </c>
      <c r="Q70" s="163">
        <f t="shared" si="178"/>
        <v>0.11123093934719408</v>
      </c>
      <c r="R70" s="163">
        <f t="shared" si="178"/>
        <v>0.10402514555913429</v>
      </c>
      <c r="S70" s="163">
        <f t="shared" si="178"/>
        <v>9.9470002295919235E-2</v>
      </c>
      <c r="T70" s="163">
        <f t="shared" si="178"/>
        <v>9.9531842743436738E-2</v>
      </c>
      <c r="U70" s="65">
        <f t="shared" si="178"/>
        <v>0.10327895339911064</v>
      </c>
      <c r="V70" s="163">
        <f t="shared" si="178"/>
        <v>0.10527058182631793</v>
      </c>
      <c r="W70" s="163">
        <f t="shared" si="178"/>
        <v>0.10171703727191281</v>
      </c>
      <c r="X70" s="163">
        <f t="shared" si="178"/>
        <v>9.6802972392107486E-2</v>
      </c>
      <c r="Y70" s="163">
        <f t="shared" si="178"/>
        <v>0.10138779106385078</v>
      </c>
      <c r="Z70" s="65">
        <f t="shared" si="178"/>
        <v>0.10126584544441261</v>
      </c>
      <c r="AA70" s="163">
        <f t="shared" si="178"/>
        <v>0.11142118874356188</v>
      </c>
      <c r="AB70" s="163">
        <f t="shared" si="178"/>
        <v>0.10848704390248155</v>
      </c>
      <c r="AC70" s="163">
        <f t="shared" si="178"/>
        <v>0.10439065545068227</v>
      </c>
      <c r="AD70" s="163">
        <f t="shared" si="178"/>
        <v>0.10994735609477928</v>
      </c>
      <c r="AE70" s="65">
        <f t="shared" si="178"/>
        <v>0.10856973450689281</v>
      </c>
      <c r="AF70" s="163">
        <f t="shared" si="178"/>
        <v>0.11295177495368021</v>
      </c>
      <c r="AG70" s="163">
        <f t="shared" si="178"/>
        <v>0.10325676167282734</v>
      </c>
      <c r="AH70" s="163">
        <f t="shared" si="178"/>
        <v>3.6857700561557245E-2</v>
      </c>
      <c r="AI70" s="163">
        <f t="shared" si="178"/>
        <v>0.1007668407426047</v>
      </c>
      <c r="AJ70" s="65">
        <f t="shared" ref="AJ70:BM70" si="179">AJ19/AJ8</f>
        <v>8.779024806806715E-2</v>
      </c>
      <c r="AK70" s="163">
        <f t="shared" si="179"/>
        <v>9.8778485328451765E-2</v>
      </c>
      <c r="AL70" s="163">
        <f t="shared" si="179"/>
        <v>9.542656957493538E-2</v>
      </c>
      <c r="AM70" s="163">
        <f t="shared" si="179"/>
        <v>7.7741597143303129E-2</v>
      </c>
      <c r="AN70" s="163">
        <f t="shared" si="179"/>
        <v>2.4563923709688022E-2</v>
      </c>
      <c r="AO70" s="65">
        <f t="shared" si="179"/>
        <v>6.587392688456381E-2</v>
      </c>
      <c r="AP70" s="163">
        <f t="shared" si="179"/>
        <v>9.0761172831042083E-2</v>
      </c>
      <c r="AQ70" s="163">
        <f t="shared" si="179"/>
        <v>8.662528803984236E-2</v>
      </c>
      <c r="AR70" s="163">
        <f t="shared" si="179"/>
        <v>9.126569678959616E-2</v>
      </c>
      <c r="AS70" s="163">
        <f t="shared" si="179"/>
        <v>9.2680600448011241E-2</v>
      </c>
      <c r="AT70" s="65">
        <f t="shared" si="179"/>
        <v>9.0356841035769547E-2</v>
      </c>
      <c r="AU70" s="163">
        <f t="shared" si="179"/>
        <v>8.8211479088227907E-2</v>
      </c>
      <c r="AV70" s="163">
        <f t="shared" si="179"/>
        <v>8.6644474356811343E-2</v>
      </c>
      <c r="AW70" s="163">
        <f t="shared" si="179"/>
        <v>8.6585370989682858E-2</v>
      </c>
      <c r="AX70" s="163">
        <f t="shared" si="179"/>
        <v>9.2184581381791919E-2</v>
      </c>
      <c r="AY70" s="65">
        <f t="shared" si="179"/>
        <v>8.8421158354081153E-2</v>
      </c>
      <c r="AZ70" s="163">
        <f t="shared" si="179"/>
        <v>8.6376467148961619E-2</v>
      </c>
      <c r="BA70" s="163">
        <f t="shared" si="179"/>
        <v>8.7912295838820612E-2</v>
      </c>
      <c r="BB70" s="163">
        <f t="shared" si="179"/>
        <v>8.6351245597014833E-2</v>
      </c>
      <c r="BC70" s="163">
        <f t="shared" si="179"/>
        <v>8.2970900452846316E-2</v>
      </c>
      <c r="BD70" s="65">
        <f t="shared" si="179"/>
        <v>8.5852847187463902E-2</v>
      </c>
      <c r="BE70" s="163">
        <f t="shared" si="179"/>
        <v>8.2507131442304413E-2</v>
      </c>
      <c r="BF70" s="163">
        <f t="shared" si="179"/>
        <v>8.4135814567353265E-2</v>
      </c>
      <c r="BG70" s="163">
        <f t="shared" si="179"/>
        <v>8.2596915017462358E-2</v>
      </c>
      <c r="BH70" s="163">
        <f t="shared" si="179"/>
        <v>8.1624359407107744E-2</v>
      </c>
      <c r="BI70" s="65">
        <f t="shared" si="179"/>
        <v>8.271577893791858E-2</v>
      </c>
      <c r="BJ70" s="163">
        <f t="shared" si="179"/>
        <v>9.2276683095056905E-2</v>
      </c>
      <c r="BK70" s="163">
        <f t="shared" si="179"/>
        <v>7.7436961286857661E-2</v>
      </c>
      <c r="BL70" s="163">
        <f t="shared" si="179"/>
        <v>7.7807513320804794E-2</v>
      </c>
      <c r="BM70" s="163">
        <f t="shared" si="179"/>
        <v>7.5302019167912293E-2</v>
      </c>
      <c r="BN70" s="65">
        <f>BN19/BN$10</f>
        <v>9.2879376252256077E-2</v>
      </c>
      <c r="BO70" s="163">
        <f>BO19/BO8</f>
        <v>7.5263483114132473E-2</v>
      </c>
      <c r="BP70" s="163">
        <f>BP19/BP8</f>
        <v>5.5883013285790109E-2</v>
      </c>
      <c r="BQ70" s="163">
        <f>BQ19/BQ8</f>
        <v>7.1659136468221502E-2</v>
      </c>
      <c r="BR70" s="163">
        <f>BR19/BR8</f>
        <v>6.6190953361627586E-2</v>
      </c>
      <c r="BS70" s="65">
        <f>BS19/BS$10</f>
        <v>7.8034078816909908E-2</v>
      </c>
      <c r="BT70" s="163">
        <f>BT19/BT8</f>
        <v>5.5714285714285716E-2</v>
      </c>
      <c r="BU70" s="163">
        <f>BU19/BU8</f>
        <v>7.3404447658651242E-2</v>
      </c>
      <c r="BV70" s="163">
        <f>BV19/BV8</f>
        <v>8.2557972317095177E-2</v>
      </c>
      <c r="BW70" s="163">
        <f>BW19/BW8</f>
        <v>8.4559475270342133E-2</v>
      </c>
      <c r="BX70" s="65">
        <f>BX19/BX$10</f>
        <v>8.6438165569647368E-2</v>
      </c>
      <c r="BY70" s="163">
        <f>BY19/BY8</f>
        <v>7.2086432872830328E-2</v>
      </c>
      <c r="BZ70" s="163">
        <f>BZ19/BZ8</f>
        <v>7.8553615960099757E-2</v>
      </c>
      <c r="CA70" s="163">
        <f>CA19/CA8</f>
        <v>6.2903225806451607E-2</v>
      </c>
      <c r="CB70" s="163">
        <f>CB19/CB8</f>
        <v>3.6862334032145352E-2</v>
      </c>
      <c r="CC70" s="65">
        <f>CC19/CC$10</f>
        <v>7.2542058959716008E-2</v>
      </c>
      <c r="CD70" s="163">
        <f>CD19/CD8</f>
        <v>5.1094890510948905E-2</v>
      </c>
      <c r="CE70" s="163">
        <f>CE19/CE8</f>
        <v>4.9905482041587901E-2</v>
      </c>
      <c r="CF70" s="163">
        <f>CF19/CF8</f>
        <v>3.8355625491738786E-2</v>
      </c>
      <c r="CG70" s="163">
        <f>CG19/CG8</f>
        <v>1.4571595103944046E-2</v>
      </c>
      <c r="CH70" s="65">
        <f>CH19/CH$10</f>
        <v>4.4907256752359258E-2</v>
      </c>
      <c r="CI70" s="163">
        <f>CI19/CI8</f>
        <v>1.393188854489164E-2</v>
      </c>
      <c r="CJ70" s="163">
        <f>CJ19/CJ8</f>
        <v>4.0016587186398507E-2</v>
      </c>
      <c r="CK70" s="163">
        <f>CK19/CK8</f>
        <v>2.8386798984537272E-2</v>
      </c>
      <c r="CL70" s="163">
        <f>CL19/CL8</f>
        <v>-9.5927379784102054E-2</v>
      </c>
      <c r="CM70" s="65">
        <f>CM19/CM$10</f>
        <v>-1.9537609899055683E-4</v>
      </c>
      <c r="CN70" s="163">
        <f ca="1">CN19/CN8</f>
        <v>5.4322810013303996E-2</v>
      </c>
      <c r="CO70" s="163">
        <f ca="1">CO19/CO8</f>
        <v>5.1810032084919425E-2</v>
      </c>
      <c r="CP70" s="163">
        <f ca="1">CP19/CP8</f>
        <v>4.9978983823974858E-2</v>
      </c>
      <c r="CQ70" s="163">
        <f ca="1">CQ19/CQ8</f>
        <v>5.187553333011722E-2</v>
      </c>
      <c r="CR70" s="65">
        <f ca="1">CR19/CR$10</f>
        <v>6.0821771799293045E-2</v>
      </c>
      <c r="CS70" s="163">
        <f ca="1">CS19/CS8</f>
        <v>4.9649064669813281E-2</v>
      </c>
      <c r="CT70" s="163">
        <f ca="1">CT19/CT8</f>
        <v>5.3514242939722734E-2</v>
      </c>
      <c r="CU70" s="163">
        <f ca="1">CU19/CU8</f>
        <v>5.9717204507240627E-2</v>
      </c>
      <c r="CV70" s="163">
        <f ca="1">CV19/CV8</f>
        <v>5.337931833832063E-2</v>
      </c>
      <c r="CW70" s="65">
        <f ca="1">CW19/CW$10</f>
        <v>6.3196873909665885E-2</v>
      </c>
      <c r="CX70" s="163">
        <f ca="1">CX19/CX8</f>
        <v>4.9743298594017576E-2</v>
      </c>
      <c r="CY70" s="163">
        <f ca="1">CY19/CY8</f>
        <v>5.5101263008509788E-2</v>
      </c>
      <c r="CZ70" s="163">
        <f ca="1">CZ19/CZ8</f>
        <v>5.5589516427168993E-2</v>
      </c>
      <c r="DA70" s="163">
        <f ca="1">DA19/DA8</f>
        <v>5.4774249369620123E-2</v>
      </c>
      <c r="DB70" s="65">
        <f ca="1">DB19/DB$10</f>
        <v>6.2976631921333001E-2</v>
      </c>
      <c r="DC70"/>
      <c r="DD70"/>
      <c r="DE70"/>
      <c r="DF70"/>
      <c r="DG70"/>
      <c r="DH70" s="1362">
        <v>3</v>
      </c>
      <c r="DJ70"/>
    </row>
    <row r="71" spans="1:114" s="725" customFormat="1">
      <c r="A71" s="331"/>
      <c r="B71" s="162" t="s">
        <v>227</v>
      </c>
      <c r="C71" s="65"/>
      <c r="D71" s="65">
        <f t="shared" ref="D71:AI71" si="180">D24/D8</f>
        <v>-0.53215066970813596</v>
      </c>
      <c r="E71" s="65">
        <f t="shared" si="180"/>
        <v>-1.0404156477180069E-2</v>
      </c>
      <c r="F71" s="65">
        <f t="shared" si="180"/>
        <v>2.0741666735202349E-2</v>
      </c>
      <c r="G71" s="163">
        <f t="shared" si="180"/>
        <v>5.3150045780080001E-2</v>
      </c>
      <c r="H71" s="163">
        <f t="shared" si="180"/>
        <v>4.8759194729976231E-2</v>
      </c>
      <c r="I71" s="163">
        <f t="shared" si="180"/>
        <v>4.766077168488296E-2</v>
      </c>
      <c r="J71" s="163">
        <f t="shared" si="180"/>
        <v>5.7930647410900954E-2</v>
      </c>
      <c r="K71" s="65">
        <f t="shared" si="180"/>
        <v>5.2108347479518792E-2</v>
      </c>
      <c r="L71" s="163">
        <f t="shared" si="180"/>
        <v>8.8444835141766334E-2</v>
      </c>
      <c r="M71" s="163">
        <f t="shared" si="180"/>
        <v>7.9246940152511741E-2</v>
      </c>
      <c r="N71" s="163">
        <f t="shared" si="180"/>
        <v>6.3124840596120807E-2</v>
      </c>
      <c r="O71" s="163">
        <f t="shared" si="180"/>
        <v>8.2450833369038981E-2</v>
      </c>
      <c r="P71" s="65">
        <f t="shared" si="180"/>
        <v>7.8276072217220605E-2</v>
      </c>
      <c r="Q71" s="163">
        <f t="shared" si="180"/>
        <v>8.5420847382814927E-2</v>
      </c>
      <c r="R71" s="163">
        <f t="shared" si="180"/>
        <v>7.866811300287703E-2</v>
      </c>
      <c r="S71" s="163">
        <f t="shared" si="180"/>
        <v>7.3927211066883325E-2</v>
      </c>
      <c r="T71" s="163">
        <f t="shared" si="180"/>
        <v>7.5707644472172181E-2</v>
      </c>
      <c r="U71" s="65">
        <f t="shared" si="180"/>
        <v>7.8199083899663804E-2</v>
      </c>
      <c r="V71" s="163">
        <f t="shared" si="180"/>
        <v>8.2444040195725612E-2</v>
      </c>
      <c r="W71" s="163">
        <f t="shared" si="180"/>
        <v>7.8995267117218465E-2</v>
      </c>
      <c r="X71" s="163">
        <f t="shared" si="180"/>
        <v>7.3170038173817717E-2</v>
      </c>
      <c r="Y71" s="163">
        <f t="shared" si="180"/>
        <v>7.6622770236086227E-2</v>
      </c>
      <c r="Z71" s="65">
        <f t="shared" si="180"/>
        <v>7.7757542920836892E-2</v>
      </c>
      <c r="AA71" s="163">
        <f t="shared" si="180"/>
        <v>8.6499625864777302E-2</v>
      </c>
      <c r="AB71" s="163">
        <f t="shared" si="180"/>
        <v>8.3439096654250866E-2</v>
      </c>
      <c r="AC71" s="163">
        <f t="shared" si="180"/>
        <v>7.8380963961995995E-2</v>
      </c>
      <c r="AD71" s="163">
        <f t="shared" si="180"/>
        <v>8.4847312309713027E-2</v>
      </c>
      <c r="AE71" s="65">
        <f t="shared" si="180"/>
        <v>8.3300281905311413E-2</v>
      </c>
      <c r="AF71" s="163">
        <f t="shared" si="180"/>
        <v>9.1728507386791891E-2</v>
      </c>
      <c r="AG71" s="163">
        <f t="shared" si="180"/>
        <v>8.0760262908391223E-2</v>
      </c>
      <c r="AH71" s="163">
        <f t="shared" si="180"/>
        <v>1.2385590169143649E-2</v>
      </c>
      <c r="AI71" s="163">
        <f t="shared" si="180"/>
        <v>7.5519044554374012E-2</v>
      </c>
      <c r="AJ71" s="65">
        <f t="shared" ref="AJ71:BO71" si="181">AJ24/AJ8</f>
        <v>6.4357143249825541E-2</v>
      </c>
      <c r="AK71" s="163">
        <f t="shared" si="181"/>
        <v>7.3525930712451892E-2</v>
      </c>
      <c r="AL71" s="163">
        <f t="shared" si="181"/>
        <v>7.0485170454909249E-2</v>
      </c>
      <c r="AM71" s="163">
        <f t="shared" si="181"/>
        <v>1.2908110966983964E-2</v>
      </c>
      <c r="AN71" s="163">
        <f t="shared" si="181"/>
        <v>-3.9116148052755505E-2</v>
      </c>
      <c r="AO71" s="65">
        <f t="shared" si="181"/>
        <v>1.4731193088644397E-2</v>
      </c>
      <c r="AP71" s="163">
        <f t="shared" si="181"/>
        <v>3.4246801346554522E-2</v>
      </c>
      <c r="AQ71" s="163">
        <f t="shared" si="181"/>
        <v>3.3160261651676147E-2</v>
      </c>
      <c r="AR71" s="163">
        <f t="shared" si="181"/>
        <v>3.3890279350562096E-2</v>
      </c>
      <c r="AS71" s="163">
        <f t="shared" si="181"/>
        <v>3.6994240166168292E-2</v>
      </c>
      <c r="AT71" s="65">
        <f t="shared" si="181"/>
        <v>3.4582351218236614E-2</v>
      </c>
      <c r="AU71" s="163">
        <f t="shared" si="181"/>
        <v>3.6877115465065058E-2</v>
      </c>
      <c r="AV71" s="163">
        <f t="shared" si="181"/>
        <v>3.7026332126931669E-2</v>
      </c>
      <c r="AW71" s="163">
        <f t="shared" si="181"/>
        <v>3.6421720271469532E-2</v>
      </c>
      <c r="AX71" s="163">
        <f t="shared" si="181"/>
        <v>3.7379017361198918E-2</v>
      </c>
      <c r="AY71" s="65">
        <f t="shared" si="181"/>
        <v>3.6926418523181598E-2</v>
      </c>
      <c r="AZ71" s="163">
        <f t="shared" si="181"/>
        <v>3.9593485285956909E-2</v>
      </c>
      <c r="BA71" s="163">
        <f t="shared" si="181"/>
        <v>4.0336496980155394E-2</v>
      </c>
      <c r="BB71" s="163">
        <f t="shared" si="181"/>
        <v>3.8850203947965234E-2</v>
      </c>
      <c r="BC71" s="163">
        <f t="shared" si="181"/>
        <v>3.7922543251695112E-2</v>
      </c>
      <c r="BD71" s="65">
        <f t="shared" si="181"/>
        <v>3.9150964463096287E-2</v>
      </c>
      <c r="BE71" s="163">
        <f t="shared" si="181"/>
        <v>3.9620983736728878E-2</v>
      </c>
      <c r="BF71" s="163">
        <f t="shared" si="181"/>
        <v>4.0099550676518873E-2</v>
      </c>
      <c r="BG71" s="163">
        <f t="shared" si="181"/>
        <v>3.8567229336437914E-2</v>
      </c>
      <c r="BH71" s="163">
        <f t="shared" si="181"/>
        <v>1.9647850379112503E-2</v>
      </c>
      <c r="BI71" s="65">
        <f t="shared" si="181"/>
        <v>3.4464488723862791E-2</v>
      </c>
      <c r="BJ71" s="163">
        <f t="shared" si="181"/>
        <v>3.8466326469390286E-2</v>
      </c>
      <c r="BK71" s="163">
        <f t="shared" si="181"/>
        <v>4.0488166328032885E-2</v>
      </c>
      <c r="BL71" s="163">
        <f t="shared" si="181"/>
        <v>2.2847104454533317E-2</v>
      </c>
      <c r="BM71" s="163">
        <f t="shared" si="181"/>
        <v>3.2456941848400034E-2</v>
      </c>
      <c r="BN71" s="65">
        <f t="shared" si="181"/>
        <v>3.3611221216399985E-2</v>
      </c>
      <c r="BO71" s="163">
        <f t="shared" si="181"/>
        <v>3.7902935473480066E-2</v>
      </c>
      <c r="BP71" s="163">
        <f t="shared" ref="BP71:CH71" si="182">BP24/BP8</f>
        <v>1.7136020780841966E-2</v>
      </c>
      <c r="BQ71" s="163">
        <f t="shared" si="182"/>
        <v>6.6474940619879403E-3</v>
      </c>
      <c r="BR71" s="163">
        <f t="shared" si="182"/>
        <v>2.2580664981696665E-2</v>
      </c>
      <c r="BS71" s="65">
        <f t="shared" si="182"/>
        <v>2.1100970853439115E-2</v>
      </c>
      <c r="BT71" s="163">
        <f t="shared" si="182"/>
        <v>-2.7551020408163266E-2</v>
      </c>
      <c r="BU71" s="163">
        <f>BU24/BU8</f>
        <v>1.9345507141565719E-2</v>
      </c>
      <c r="BV71" s="163">
        <f t="shared" si="182"/>
        <v>2.3907963329139036E-2</v>
      </c>
      <c r="BW71" s="163">
        <f t="shared" si="182"/>
        <v>4.0772912604148198E-2</v>
      </c>
      <c r="BX71" s="65">
        <f t="shared" si="182"/>
        <v>1.5484169170325883E-2</v>
      </c>
      <c r="BY71" s="163">
        <f t="shared" si="182"/>
        <v>2.975557917109458E-2</v>
      </c>
      <c r="BZ71" s="163">
        <f t="shared" si="182"/>
        <v>3.8118988243676523E-2</v>
      </c>
      <c r="CA71" s="163">
        <f t="shared" si="182"/>
        <v>2.1684587813620072E-2</v>
      </c>
      <c r="CB71" s="163">
        <f>CB24/CB8</f>
        <v>-1.5897973445143255E-2</v>
      </c>
      <c r="CC71" s="65">
        <f t="shared" si="182"/>
        <v>1.8259173905335935E-2</v>
      </c>
      <c r="CD71" s="163">
        <f t="shared" si="182"/>
        <v>1.0948905109489052E-2</v>
      </c>
      <c r="CE71" s="163">
        <f t="shared" ref="CE71:CF71" si="183">CE24/CE8</f>
        <v>-0.29168241965973535</v>
      </c>
      <c r="CF71" s="163">
        <f t="shared" si="183"/>
        <v>-1.6325727773406767E-2</v>
      </c>
      <c r="CG71" s="163">
        <f t="shared" ref="CG71" si="184">CG24/CG8</f>
        <v>-2.9531766077326597E-2</v>
      </c>
      <c r="CH71" s="65">
        <f t="shared" si="182"/>
        <v>-8.0611045828437131E-2</v>
      </c>
      <c r="CI71" s="163">
        <f t="shared" ref="CI71:CJ71" si="185">CI24/CI8</f>
        <v>-3.3862229102167185E-2</v>
      </c>
      <c r="CJ71" s="163">
        <f t="shared" si="185"/>
        <v>-2.7161517727555463E-2</v>
      </c>
      <c r="CK71" s="163">
        <f t="shared" ref="CK71:CL71" si="186">CK24/CK8</f>
        <v>-3.3925686591276254E-2</v>
      </c>
      <c r="CL71" s="163">
        <f t="shared" si="186"/>
        <v>-0.58366045142296374</v>
      </c>
      <c r="CM71" s="65">
        <f t="shared" ref="CM71:CR71" si="187">CM24/CM8</f>
        <v>-0.15391304347826087</v>
      </c>
      <c r="CN71" s="163">
        <f t="shared" ca="1" si="187"/>
        <v>-1.2411507400309698E-3</v>
      </c>
      <c r="CO71" s="163">
        <f t="shared" ca="1" si="187"/>
        <v>-6.6900505036168187E-3</v>
      </c>
      <c r="CP71" s="163">
        <f t="shared" ca="1" si="187"/>
        <v>-1.2840574178311255E-2</v>
      </c>
      <c r="CQ71" s="163">
        <f t="shared" ca="1" si="187"/>
        <v>-2.2144223552147567E-3</v>
      </c>
      <c r="CR71" s="65">
        <f t="shared" ca="1" si="187"/>
        <v>-5.4840371239956408E-3</v>
      </c>
      <c r="CS71" s="163">
        <f t="shared" ref="CS71:CW71" ca="1" si="188">CS24/CS8</f>
        <v>-1.9214456292863799E-3</v>
      </c>
      <c r="CT71" s="163">
        <f t="shared" ca="1" si="188"/>
        <v>1.6825335374145208E-4</v>
      </c>
      <c r="CU71" s="163">
        <f t="shared" ca="1" si="188"/>
        <v>5.8731613611059004E-3</v>
      </c>
      <c r="CV71" s="163">
        <f t="shared" ca="1" si="188"/>
        <v>6.1322307863651976E-3</v>
      </c>
      <c r="CW71" s="65">
        <f t="shared" ca="1" si="188"/>
        <v>2.5498433710562508E-3</v>
      </c>
      <c r="CX71" s="163">
        <f t="shared" ref="CX71:DB71" ca="1" si="189">CX24/CX8</f>
        <v>-2.7687661249347245E-4</v>
      </c>
      <c r="CY71" s="163">
        <f t="shared" ca="1" si="189"/>
        <v>2.8733878163104687E-3</v>
      </c>
      <c r="CZ71" s="163">
        <f t="shared" ca="1" si="189"/>
        <v>2.1340203958344684E-3</v>
      </c>
      <c r="DA71" s="163">
        <f t="shared" ca="1" si="189"/>
        <v>8.0283838724784125E-3</v>
      </c>
      <c r="DB71" s="65">
        <f t="shared" ca="1" si="189"/>
        <v>3.2608102304858733E-3</v>
      </c>
      <c r="DC71"/>
      <c r="DD71"/>
      <c r="DE71"/>
      <c r="DF71"/>
      <c r="DG71"/>
      <c r="DH71" s="1361">
        <v>1</v>
      </c>
      <c r="DI71" s="1024">
        <v>0.2</v>
      </c>
      <c r="DJ71"/>
    </row>
    <row r="72" spans="1:114" s="725" customFormat="1">
      <c r="A72" s="331"/>
      <c r="B72" s="162" t="s">
        <v>228</v>
      </c>
      <c r="C72" s="65"/>
      <c r="D72" s="65">
        <f t="shared" ref="D72:AI72" si="190">D42/D8</f>
        <v>-0.55340937006492363</v>
      </c>
      <c r="E72" s="65">
        <f t="shared" si="190"/>
        <v>-1.5546046911300813E-2</v>
      </c>
      <c r="F72" s="65">
        <f t="shared" si="190"/>
        <v>7.1543871742898724E-3</v>
      </c>
      <c r="G72" s="163">
        <f t="shared" si="190"/>
        <v>2.7212181264031889E-2</v>
      </c>
      <c r="H72" s="163">
        <f t="shared" si="190"/>
        <v>2.4072794574329936E-2</v>
      </c>
      <c r="I72" s="163">
        <f t="shared" si="190"/>
        <v>2.4104049989317516E-2</v>
      </c>
      <c r="J72" s="163">
        <f t="shared" si="190"/>
        <v>3.7719213741513179E-2</v>
      </c>
      <c r="K72" s="65">
        <f t="shared" si="190"/>
        <v>2.8666912687283198E-2</v>
      </c>
      <c r="L72" s="163">
        <f t="shared" si="190"/>
        <v>5.0937267463764237E-2</v>
      </c>
      <c r="M72" s="163">
        <f t="shared" si="190"/>
        <v>4.5687565729708106E-2</v>
      </c>
      <c r="N72" s="163">
        <f t="shared" si="190"/>
        <v>4.5998759136894746E-2</v>
      </c>
      <c r="O72" s="163">
        <f t="shared" si="190"/>
        <v>4.8692746047388526E-2</v>
      </c>
      <c r="P72" s="65">
        <f t="shared" si="190"/>
        <v>4.7835478457037874E-2</v>
      </c>
      <c r="Q72" s="163">
        <f t="shared" si="190"/>
        <v>5.0872395063076788E-2</v>
      </c>
      <c r="R72" s="163">
        <f t="shared" si="190"/>
        <v>4.6578922946083491E-2</v>
      </c>
      <c r="S72" s="163">
        <f t="shared" si="190"/>
        <v>4.38202433674219E-2</v>
      </c>
      <c r="T72" s="163">
        <f t="shared" si="190"/>
        <v>4.4820837400255588E-2</v>
      </c>
      <c r="U72" s="65">
        <f t="shared" si="190"/>
        <v>4.6380754555101718E-2</v>
      </c>
      <c r="V72" s="163">
        <f t="shared" si="190"/>
        <v>4.9522359601933963E-2</v>
      </c>
      <c r="W72" s="163">
        <f t="shared" si="190"/>
        <v>4.7978969335196534E-2</v>
      </c>
      <c r="X72" s="163">
        <f t="shared" si="190"/>
        <v>4.8264643367447353E-2</v>
      </c>
      <c r="Y72" s="163">
        <f t="shared" si="190"/>
        <v>4.7313614164944867E-2</v>
      </c>
      <c r="Z72" s="65">
        <f t="shared" si="190"/>
        <v>4.8256553587497204E-2</v>
      </c>
      <c r="AA72" s="163">
        <f t="shared" si="190"/>
        <v>5.2173266178613308E-2</v>
      </c>
      <c r="AB72" s="163">
        <f t="shared" si="190"/>
        <v>5.0233042130447041E-2</v>
      </c>
      <c r="AC72" s="163">
        <f t="shared" si="190"/>
        <v>4.742006889286101E-2</v>
      </c>
      <c r="AD72" s="163">
        <f t="shared" si="190"/>
        <v>5.1771258667915605E-2</v>
      </c>
      <c r="AE72" s="65">
        <f t="shared" si="190"/>
        <v>5.041204113600771E-2</v>
      </c>
      <c r="AF72" s="163">
        <f t="shared" si="190"/>
        <v>5.5772569021646873E-2</v>
      </c>
      <c r="AG72" s="163">
        <f t="shared" si="190"/>
        <v>4.9355640711971439E-2</v>
      </c>
      <c r="AH72" s="163">
        <f t="shared" si="190"/>
        <v>4.2938789460988745E-2</v>
      </c>
      <c r="AI72" s="163">
        <f t="shared" si="190"/>
        <v>4.6440942522025172E-2</v>
      </c>
      <c r="AJ72" s="65">
        <f t="shared" ref="AJ72:BO72" si="191">AJ42/AJ8</f>
        <v>4.8442404851043792E-2</v>
      </c>
      <c r="AK72" s="163">
        <f t="shared" si="191"/>
        <v>4.5119713753439539E-2</v>
      </c>
      <c r="AL72" s="163">
        <f t="shared" si="191"/>
        <v>4.3040425000480241E-2</v>
      </c>
      <c r="AM72" s="163">
        <f t="shared" si="191"/>
        <v>1.4357462117685446E-2</v>
      </c>
      <c r="AN72" s="163">
        <f t="shared" si="191"/>
        <v>1.3768405144557202E-2</v>
      </c>
      <c r="AO72" s="65">
        <f t="shared" si="191"/>
        <v>2.4090398325286828E-2</v>
      </c>
      <c r="AP72" s="163">
        <f t="shared" si="191"/>
        <v>1.9208785600578458E-2</v>
      </c>
      <c r="AQ72" s="163">
        <f t="shared" si="191"/>
        <v>2.058314130677167E-2</v>
      </c>
      <c r="AR72" s="163">
        <f t="shared" si="191"/>
        <v>1.9410283966734568E-2</v>
      </c>
      <c r="AS72" s="163">
        <f t="shared" si="191"/>
        <v>2.0236187226103739E-2</v>
      </c>
      <c r="AT72" s="65">
        <f t="shared" si="191"/>
        <v>1.9856468154636465E-2</v>
      </c>
      <c r="AU72" s="163">
        <f t="shared" si="191"/>
        <v>1.9238415289777492E-2</v>
      </c>
      <c r="AV72" s="163">
        <f t="shared" si="191"/>
        <v>1.986994197140762E-2</v>
      </c>
      <c r="AW72" s="163">
        <f t="shared" si="191"/>
        <v>1.9348928341298158E-2</v>
      </c>
      <c r="AX72" s="163">
        <f t="shared" si="191"/>
        <v>2.2596473929086688E-2</v>
      </c>
      <c r="AY72" s="65">
        <f t="shared" si="191"/>
        <v>2.0283041954773255E-2</v>
      </c>
      <c r="AZ72" s="163">
        <f t="shared" si="191"/>
        <v>2.2149053285926534E-2</v>
      </c>
      <c r="BA72" s="163">
        <f t="shared" si="191"/>
        <v>2.209538622224249E-2</v>
      </c>
      <c r="BB72" s="163">
        <f t="shared" si="191"/>
        <v>2.1648157857108833E-2</v>
      </c>
      <c r="BC72" s="163">
        <f t="shared" si="191"/>
        <v>2.0427901498192964E-2</v>
      </c>
      <c r="BD72" s="65">
        <f t="shared" si="191"/>
        <v>2.1559542601932772E-2</v>
      </c>
      <c r="BE72" s="163">
        <f t="shared" si="191"/>
        <v>2.1771675209127248E-2</v>
      </c>
      <c r="BF72" s="163">
        <f t="shared" si="191"/>
        <v>2.1758800452789037E-2</v>
      </c>
      <c r="BG72" s="163">
        <f t="shared" si="191"/>
        <v>2.2547438882421618E-2</v>
      </c>
      <c r="BH72" s="163">
        <f t="shared" si="191"/>
        <v>2.1910150546954957E-2</v>
      </c>
      <c r="BI72" s="65">
        <f t="shared" si="191"/>
        <v>2.1997516344776955E-2</v>
      </c>
      <c r="BJ72" s="163">
        <f t="shared" si="191"/>
        <v>2.1480469291455945E-2</v>
      </c>
      <c r="BK72" s="163">
        <f t="shared" si="191"/>
        <v>2.225026078173652E-2</v>
      </c>
      <c r="BL72" s="163">
        <f t="shared" si="191"/>
        <v>2.09746931081859E-2</v>
      </c>
      <c r="BM72" s="163">
        <f t="shared" si="191"/>
        <v>2.0498325313251024E-2</v>
      </c>
      <c r="BN72" s="65">
        <f t="shared" si="191"/>
        <v>2.1301651937837191E-2</v>
      </c>
      <c r="BO72" s="163">
        <f t="shared" si="191"/>
        <v>2.1078120164300582E-2</v>
      </c>
      <c r="BP72" s="163">
        <f t="shared" ref="BP72:CH72" si="192">BP42/BP8</f>
        <v>7.8960512047760271E-3</v>
      </c>
      <c r="BQ72" s="163">
        <f t="shared" si="192"/>
        <v>1.8143582494896969E-2</v>
      </c>
      <c r="BR72" s="163">
        <f t="shared" si="192"/>
        <v>1.081428080264139E-2</v>
      </c>
      <c r="BS72" s="65">
        <f t="shared" si="192"/>
        <v>1.4502637092774459E-2</v>
      </c>
      <c r="BT72" s="163">
        <f t="shared" si="192"/>
        <v>5.7972581714285662E-3</v>
      </c>
      <c r="BU72" s="163">
        <f>BU42/BU8</f>
        <v>1.4979334811064907E-2</v>
      </c>
      <c r="BV72" s="163">
        <f t="shared" si="192"/>
        <v>2.057163401042611E-2</v>
      </c>
      <c r="BW72" s="163">
        <f t="shared" si="192"/>
        <v>2.5066477574898063E-2</v>
      </c>
      <c r="BX72" s="65">
        <f t="shared" si="192"/>
        <v>1.6967749751791102E-2</v>
      </c>
      <c r="BY72" s="163">
        <f t="shared" si="192"/>
        <v>1.7252785490612824E-2</v>
      </c>
      <c r="BZ72" s="163">
        <f t="shared" si="192"/>
        <v>2.3494491460634127E-2</v>
      </c>
      <c r="CA72" s="163">
        <f t="shared" si="192"/>
        <v>1.1612992342293906E-2</v>
      </c>
      <c r="CB72" s="163">
        <f>CB42/CB8</f>
        <v>-5.6167016072676433E-3</v>
      </c>
      <c r="CC72" s="65">
        <f t="shared" si="192"/>
        <v>1.1695527727353307E-2</v>
      </c>
      <c r="CD72" s="163">
        <f t="shared" si="192"/>
        <v>4.9611410844629823E-3</v>
      </c>
      <c r="CE72" s="163">
        <f t="shared" ref="CE72:CF72" si="193">CE42/CE8</f>
        <v>1.7827419659735329E-3</v>
      </c>
      <c r="CF72" s="163">
        <f t="shared" si="193"/>
        <v>-7.7297534225019664E-3</v>
      </c>
      <c r="CG72" s="163">
        <f t="shared" ref="CG72" si="194">CG42/CG8</f>
        <v>9.9009131532931758E-3</v>
      </c>
      <c r="CH72" s="65">
        <f t="shared" si="192"/>
        <v>2.3708128977673352E-3</v>
      </c>
      <c r="CI72" s="163">
        <f t="shared" ref="CI72:CJ72" si="195">CI42/CI8</f>
        <v>1.7060395414086672E-3</v>
      </c>
      <c r="CJ72" s="163">
        <f t="shared" si="195"/>
        <v>-5.8144164710760898E-3</v>
      </c>
      <c r="CK72" s="163">
        <f t="shared" ref="CK72:CL72" si="196">CK42/CK8</f>
        <v>-2.0016665077313641E-2</v>
      </c>
      <c r="CL72" s="163">
        <f t="shared" si="196"/>
        <v>-7.581505937193353E-3</v>
      </c>
      <c r="CM72" s="65">
        <f t="shared" ref="CM72:CR72" si="197">CM42/CM8</f>
        <v>-7.4380731668478375E-3</v>
      </c>
      <c r="CN72" s="163">
        <f t="shared" ca="1" si="197"/>
        <v>-6.7716524668171626E-3</v>
      </c>
      <c r="CO72" s="163">
        <f t="shared" ca="1" si="197"/>
        <v>-8.7091102733618947E-3</v>
      </c>
      <c r="CP72" s="163">
        <f t="shared" ca="1" si="197"/>
        <v>-1.224140035477452E-2</v>
      </c>
      <c r="CQ72" s="163">
        <f t="shared" ca="1" si="197"/>
        <v>-8.8798643768627609E-3</v>
      </c>
      <c r="CR72" s="65">
        <f t="shared" ca="1" si="197"/>
        <v>-9.0408784277479868E-3</v>
      </c>
      <c r="CS72" s="163">
        <f t="shared" ref="CS72:CW72" ca="1" si="198">CS42/CS8</f>
        <v>-5.1655101488414764E-3</v>
      </c>
      <c r="CT72" s="163">
        <f t="shared" ca="1" si="198"/>
        <v>-5.0723065597422859E-3</v>
      </c>
      <c r="CU72" s="163">
        <f t="shared" ca="1" si="198"/>
        <v>-2.4556216171390589E-3</v>
      </c>
      <c r="CV72" s="163">
        <f t="shared" ca="1" si="198"/>
        <v>-3.896286457308681E-3</v>
      </c>
      <c r="CW72" s="65">
        <f t="shared" ca="1" si="198"/>
        <v>-4.1715468608797953E-3</v>
      </c>
      <c r="CX72" s="163">
        <f t="shared" ref="CX72:DB72" ca="1" si="199">CX42/CX8</f>
        <v>-5.1681229073998651E-3</v>
      </c>
      <c r="CY72" s="163">
        <f t="shared" ca="1" si="199"/>
        <v>-3.0380999649488065E-3</v>
      </c>
      <c r="CZ72" s="163">
        <f t="shared" ca="1" si="199"/>
        <v>-2.5101435489276896E-3</v>
      </c>
      <c r="DA72" s="163">
        <f t="shared" ca="1" si="199"/>
        <v>-2.4487726714580919E-3</v>
      </c>
      <c r="DB72" s="65">
        <f t="shared" ca="1" si="199"/>
        <v>-3.3041433875797589E-3</v>
      </c>
      <c r="DC72"/>
      <c r="DD72"/>
      <c r="DE72"/>
      <c r="DF72"/>
      <c r="DG72"/>
      <c r="DH72" s="1361">
        <v>2</v>
      </c>
      <c r="DI72" s="1024">
        <f>MEDIAN(DI71,DI73)</f>
        <v>0.27500000000000002</v>
      </c>
      <c r="DJ72"/>
    </row>
    <row r="73" spans="1:114" s="725" customFormat="1" hidden="1" outlineLevel="1">
      <c r="A73" s="331"/>
      <c r="B73" s="162" t="s">
        <v>229</v>
      </c>
      <c r="C73" s="862"/>
      <c r="D73" s="862">
        <f t="shared" ref="D73:V73" si="200">D25/D24</f>
        <v>-3.9948649070473435E-2</v>
      </c>
      <c r="E73" s="862">
        <f t="shared" si="200"/>
        <v>-0.4942150231399054</v>
      </c>
      <c r="F73" s="862">
        <f t="shared" si="200"/>
        <v>0.65507173239132288</v>
      </c>
      <c r="G73" s="864">
        <f t="shared" si="200"/>
        <v>0.48801208231074211</v>
      </c>
      <c r="H73" s="864">
        <f t="shared" si="200"/>
        <v>0.50629220380601492</v>
      </c>
      <c r="I73" s="864">
        <f t="shared" si="200"/>
        <v>0.49425808401329685</v>
      </c>
      <c r="J73" s="864">
        <f t="shared" si="200"/>
        <v>0.48655194852143685</v>
      </c>
      <c r="K73" s="862">
        <f t="shared" si="200"/>
        <v>0.49300865702760271</v>
      </c>
      <c r="L73" s="864">
        <f t="shared" si="200"/>
        <v>0.40795134253078147</v>
      </c>
      <c r="M73" s="864">
        <f t="shared" si="200"/>
        <v>0.40552239160938963</v>
      </c>
      <c r="N73" s="864">
        <f t="shared" si="200"/>
        <v>0.41254513152616162</v>
      </c>
      <c r="O73" s="864">
        <f t="shared" si="200"/>
        <v>0.40163798120894639</v>
      </c>
      <c r="P73" s="862">
        <f t="shared" si="200"/>
        <v>0.4065257779842083</v>
      </c>
      <c r="Q73" s="864">
        <f t="shared" si="200"/>
        <v>0.39784430712408497</v>
      </c>
      <c r="R73" s="864">
        <f t="shared" si="200"/>
        <v>0.39475516361104623</v>
      </c>
      <c r="S73" s="864">
        <f t="shared" si="200"/>
        <v>0.3950721221305486</v>
      </c>
      <c r="T73" s="864">
        <f t="shared" si="200"/>
        <v>0.4032563548762253</v>
      </c>
      <c r="U73" s="862">
        <f t="shared" si="200"/>
        <v>0.3979247964270396</v>
      </c>
      <c r="V73" s="864">
        <f t="shared" si="200"/>
        <v>0.39382005899704992</v>
      </c>
      <c r="W73" s="864">
        <f>W25/W24</f>
        <v>0.39209036032111505</v>
      </c>
      <c r="X73" s="864">
        <f>X25/X24</f>
        <v>0.38908319569934224</v>
      </c>
      <c r="Y73" s="864">
        <f>Y25/Y24</f>
        <v>0.38415930528522241</v>
      </c>
      <c r="Z73" s="862">
        <f>Z25/Z24</f>
        <v>0.38979526060531511</v>
      </c>
      <c r="AA73" s="864">
        <f t="shared" ref="AA73:BJ73" si="201">AA25/AA24</f>
        <v>0.38562033641077598</v>
      </c>
      <c r="AB73" s="864">
        <f t="shared" si="201"/>
        <v>0.38339616734283871</v>
      </c>
      <c r="AC73" s="864">
        <f t="shared" si="201"/>
        <v>0.38518884632810219</v>
      </c>
      <c r="AD73" s="864">
        <f t="shared" si="201"/>
        <v>0.38520989847106601</v>
      </c>
      <c r="AE73" s="862">
        <f t="shared" si="201"/>
        <v>0.38486325306999219</v>
      </c>
      <c r="AF73" s="864">
        <f t="shared" si="201"/>
        <v>0.38547230924441206</v>
      </c>
      <c r="AG73" s="864">
        <f t="shared" si="201"/>
        <v>0.38355253177113047</v>
      </c>
      <c r="AH73" s="864">
        <f t="shared" si="201"/>
        <v>0.364570607258354</v>
      </c>
      <c r="AI73" s="864">
        <f t="shared" si="201"/>
        <v>0.37212823306761461</v>
      </c>
      <c r="AJ73" s="862">
        <f t="shared" si="201"/>
        <v>0.37971070203163437</v>
      </c>
      <c r="AK73" s="864">
        <f t="shared" si="201"/>
        <v>0.384162665913584</v>
      </c>
      <c r="AL73" s="864">
        <f t="shared" si="201"/>
        <v>0.38227042989380483</v>
      </c>
      <c r="AM73" s="864">
        <f t="shared" si="201"/>
        <v>0.31553637890714636</v>
      </c>
      <c r="AN73" s="864">
        <f t="shared" si="201"/>
        <v>0.38480672200932281</v>
      </c>
      <c r="AO73" s="862">
        <f t="shared" si="201"/>
        <v>0.36274437203791299</v>
      </c>
      <c r="AP73" s="864">
        <f t="shared" si="201"/>
        <v>0.34509153195589271</v>
      </c>
      <c r="AQ73" s="864">
        <f t="shared" si="201"/>
        <v>0.34911063538853021</v>
      </c>
      <c r="AR73" s="864">
        <f t="shared" si="201"/>
        <v>0.34255584050738119</v>
      </c>
      <c r="AS73" s="864">
        <f t="shared" si="201"/>
        <v>0.34507297305233875</v>
      </c>
      <c r="AT73" s="862">
        <f t="shared" si="201"/>
        <v>0.34540414241020162</v>
      </c>
      <c r="AU73" s="864">
        <f t="shared" si="201"/>
        <v>0.33312395113582177</v>
      </c>
      <c r="AV73" s="864">
        <f t="shared" si="201"/>
        <v>0.3330946135873315</v>
      </c>
      <c r="AW73" s="864">
        <f t="shared" si="201"/>
        <v>0.32967756281965616</v>
      </c>
      <c r="AX73" s="864">
        <f t="shared" si="201"/>
        <v>0.2719137298345205</v>
      </c>
      <c r="AY73" s="862">
        <f t="shared" si="201"/>
        <v>0.31640300309854108</v>
      </c>
      <c r="AZ73" s="864">
        <f t="shared" si="201"/>
        <v>0.3208144217861017</v>
      </c>
      <c r="BA73" s="864">
        <f t="shared" si="201"/>
        <v>0.32496794571097909</v>
      </c>
      <c r="BB73" s="864">
        <f t="shared" si="201"/>
        <v>0.3283838439802757</v>
      </c>
      <c r="BC73" s="864">
        <f t="shared" si="201"/>
        <v>0.28510760312773725</v>
      </c>
      <c r="BD73" s="862">
        <f t="shared" si="201"/>
        <v>0.31467801130530215</v>
      </c>
      <c r="BE73" s="864">
        <f t="shared" si="201"/>
        <v>0.32449619412553871</v>
      </c>
      <c r="BF73" s="864">
        <f t="shared" si="201"/>
        <v>0.32550927775155203</v>
      </c>
      <c r="BG73" s="864">
        <f t="shared" si="201"/>
        <v>0.27707388486005424</v>
      </c>
      <c r="BH73" s="864">
        <f t="shared" si="201"/>
        <v>0.17775510807534198</v>
      </c>
      <c r="BI73" s="862">
        <f t="shared" si="201"/>
        <v>0.29050516844235919</v>
      </c>
      <c r="BJ73" s="864">
        <f t="shared" si="201"/>
        <v>0.31482715735517447</v>
      </c>
      <c r="BK73" s="864">
        <f t="shared" ref="BK73:BT73" si="202">BK25/BK24</f>
        <v>0.32645728676344643</v>
      </c>
      <c r="BL73" s="864">
        <f t="shared" si="202"/>
        <v>0.30429325818750297</v>
      </c>
      <c r="BM73" s="864">
        <f t="shared" si="202"/>
        <v>0.29866491932181244</v>
      </c>
      <c r="BN73" s="862">
        <f t="shared" si="202"/>
        <v>0.31264602368933464</v>
      </c>
      <c r="BO73" s="864">
        <f t="shared" si="202"/>
        <v>0.33121103134156366</v>
      </c>
      <c r="BP73" s="864">
        <f t="shared" si="202"/>
        <v>0.27079138919002765</v>
      </c>
      <c r="BQ73" s="864">
        <f t="shared" si="202"/>
        <v>0.13746006389776239</v>
      </c>
      <c r="BR73" s="864">
        <f t="shared" si="202"/>
        <v>0.23618768189669367</v>
      </c>
      <c r="BS73" s="862">
        <f>BS25/BS24</f>
        <v>0.27845562952206898</v>
      </c>
      <c r="BT73" s="864">
        <f t="shared" si="202"/>
        <v>0.42222222222222222</v>
      </c>
      <c r="BU73" s="864">
        <f>BU25/BU24</f>
        <v>0.29906542056074764</v>
      </c>
      <c r="BV73" s="864">
        <f>BV25/BV24</f>
        <v>0.3007518796992471</v>
      </c>
      <c r="BW73" s="864">
        <v>0.34</v>
      </c>
      <c r="BX73" s="862">
        <f t="shared" ref="BX73:CC73" si="203">BX25/BX24</f>
        <v>0.23880597014925339</v>
      </c>
      <c r="BY73" s="864">
        <f t="shared" si="203"/>
        <v>0.33333333333333331</v>
      </c>
      <c r="BZ73" s="864">
        <f t="shared" si="203"/>
        <v>0.34579439252336447</v>
      </c>
      <c r="CA73" s="864">
        <f t="shared" si="203"/>
        <v>0.31404958677685951</v>
      </c>
      <c r="CB73" s="864">
        <f t="shared" si="203"/>
        <v>0.56043956043956045</v>
      </c>
      <c r="CC73" s="862">
        <f t="shared" si="203"/>
        <v>0.28398058252427183</v>
      </c>
      <c r="CD73" s="864">
        <f t="shared" ref="CD73:CI73" si="204">CD25/CD24</f>
        <v>0.41269841269841268</v>
      </c>
      <c r="CE73" s="864">
        <f t="shared" si="204"/>
        <v>8.9436163318211276E-2</v>
      </c>
      <c r="CF73" s="864">
        <f t="shared" si="204"/>
        <v>0.3493975903614458</v>
      </c>
      <c r="CG73" s="864">
        <f t="shared" si="204"/>
        <v>-0.24342105263157895</v>
      </c>
      <c r="CH73" s="862">
        <f t="shared" si="204"/>
        <v>6.0641399416909623E-2</v>
      </c>
      <c r="CI73" s="864">
        <f t="shared" si="204"/>
        <v>0</v>
      </c>
      <c r="CJ73" s="864">
        <f t="shared" ref="CJ73:CK73" si="205">CJ25/CJ24</f>
        <v>0.11450381679389313</v>
      </c>
      <c r="CK73" s="864">
        <f t="shared" si="205"/>
        <v>0.40136054421768708</v>
      </c>
      <c r="CL73" s="864">
        <f t="shared" ref="CL73" si="206">CL25/CL24</f>
        <v>0.15762925598991173</v>
      </c>
      <c r="CM73" s="862">
        <f>CM25/CM24</f>
        <v>0.158545197740113</v>
      </c>
      <c r="CN73" s="1024">
        <v>0.26</v>
      </c>
      <c r="CO73" s="1024">
        <v>0.26</v>
      </c>
      <c r="CP73" s="1024">
        <v>0.26</v>
      </c>
      <c r="CQ73" s="1024">
        <v>0.26</v>
      </c>
      <c r="CR73" s="862">
        <f ca="1">CR25/CR24</f>
        <v>0.25999999999999734</v>
      </c>
      <c r="CS73" s="1024">
        <v>0.26</v>
      </c>
      <c r="CT73" s="1024">
        <v>0.26</v>
      </c>
      <c r="CU73" s="1024">
        <v>0.26</v>
      </c>
      <c r="CV73" s="1024">
        <v>0.26</v>
      </c>
      <c r="CW73" s="862">
        <f ca="1">CW25/CW24</f>
        <v>0.25999999999998819</v>
      </c>
      <c r="CX73" s="1024">
        <v>0.26</v>
      </c>
      <c r="CY73" s="1024">
        <v>0.26</v>
      </c>
      <c r="CZ73" s="1024">
        <v>0.26</v>
      </c>
      <c r="DA73" s="1024">
        <v>0.26</v>
      </c>
      <c r="DB73" s="862">
        <f ca="1">DB25/DB24</f>
        <v>0.25999999999999757</v>
      </c>
      <c r="DC73"/>
      <c r="DD73"/>
      <c r="DE73"/>
      <c r="DF73"/>
      <c r="DG73"/>
      <c r="DH73" s="1361">
        <v>3</v>
      </c>
      <c r="DI73" s="1024">
        <v>0.35</v>
      </c>
      <c r="DJ73"/>
    </row>
    <row r="74" spans="1:114" s="1027" customFormat="1" hidden="1" outlineLevel="1">
      <c r="A74" s="1025"/>
      <c r="B74" s="1026" t="s">
        <v>547</v>
      </c>
      <c r="C74" s="65"/>
      <c r="D74" s="65"/>
      <c r="E74" s="65"/>
      <c r="F74" s="65"/>
      <c r="G74" s="163"/>
      <c r="H74" s="163"/>
      <c r="I74" s="163"/>
      <c r="J74" s="163"/>
      <c r="K74" s="65"/>
      <c r="L74" s="163"/>
      <c r="M74" s="163"/>
      <c r="N74" s="163"/>
      <c r="O74" s="163"/>
      <c r="P74" s="65"/>
      <c r="Q74" s="163"/>
      <c r="R74" s="163"/>
      <c r="S74" s="163"/>
      <c r="T74" s="163"/>
      <c r="U74" s="65"/>
      <c r="V74" s="163"/>
      <c r="W74" s="163"/>
      <c r="X74" s="163"/>
      <c r="Y74" s="163"/>
      <c r="Z74" s="65"/>
      <c r="AA74" s="163"/>
      <c r="AB74" s="163"/>
      <c r="AC74" s="163"/>
      <c r="AD74" s="163"/>
      <c r="AE74" s="65"/>
      <c r="AF74" s="163"/>
      <c r="AG74" s="163"/>
      <c r="AH74" s="163"/>
      <c r="AI74" s="163"/>
      <c r="AJ74" s="65"/>
      <c r="AK74" s="163"/>
      <c r="AL74" s="163"/>
      <c r="AM74" s="163"/>
      <c r="AN74" s="163"/>
      <c r="AO74" s="65"/>
      <c r="AP74" s="163"/>
      <c r="AQ74" s="163"/>
      <c r="AR74" s="163"/>
      <c r="AS74" s="163"/>
      <c r="AT74" s="65"/>
      <c r="AU74" s="163"/>
      <c r="AV74" s="946"/>
      <c r="AW74" s="946"/>
      <c r="AX74" s="946"/>
      <c r="AY74" s="65">
        <f t="shared" ref="AY74:CE74" si="207">AY25/(AY24-AY21)</f>
        <v>0.34460099166455116</v>
      </c>
      <c r="AZ74" s="163">
        <f t="shared" si="207"/>
        <v>0.35669355698496658</v>
      </c>
      <c r="BA74" s="163">
        <f t="shared" si="207"/>
        <v>0.35547459612934046</v>
      </c>
      <c r="BB74" s="163">
        <f t="shared" si="207"/>
        <v>0.35518971303335362</v>
      </c>
      <c r="BC74" s="163">
        <f t="shared" si="207"/>
        <v>0.31523387628848393</v>
      </c>
      <c r="BD74" s="65">
        <f t="shared" si="207"/>
        <v>0.34555574273977219</v>
      </c>
      <c r="BE74" s="163">
        <f t="shared" si="207"/>
        <v>0.37486835683645481</v>
      </c>
      <c r="BF74" s="163">
        <f t="shared" si="207"/>
        <v>0.35663361924919196</v>
      </c>
      <c r="BG74" s="163">
        <f t="shared" si="207"/>
        <v>0.2953355372698519</v>
      </c>
      <c r="BH74" s="163">
        <f t="shared" si="207"/>
        <v>0.21282659491609393</v>
      </c>
      <c r="BI74" s="65">
        <f t="shared" si="207"/>
        <v>0.324468562626686</v>
      </c>
      <c r="BJ74" s="163">
        <f t="shared" si="207"/>
        <v>0.3431517929361016</v>
      </c>
      <c r="BK74" s="163">
        <f t="shared" si="207"/>
        <v>0.35752499909750662</v>
      </c>
      <c r="BL74" s="163">
        <f t="shared" si="207"/>
        <v>0.33359726891574576</v>
      </c>
      <c r="BM74" s="163">
        <f t="shared" si="207"/>
        <v>0.32363539540250363</v>
      </c>
      <c r="BN74" s="65">
        <f t="shared" si="207"/>
        <v>0.34110686146689201</v>
      </c>
      <c r="BO74" s="163">
        <f t="shared" si="207"/>
        <v>0.37167500350614785</v>
      </c>
      <c r="BP74" s="163">
        <f t="shared" si="207"/>
        <v>0.31495424742416783</v>
      </c>
      <c r="BQ74" s="163">
        <f>BQ25/(BQ24-BQ21)</f>
        <v>0.25688484215239527</v>
      </c>
      <c r="BR74" s="163">
        <f t="shared" si="207"/>
        <v>0.25509838998210993</v>
      </c>
      <c r="BS74" s="65">
        <f>BS25/(BS24-BS21)</f>
        <v>0.32155080737947594</v>
      </c>
      <c r="BT74" s="163">
        <f>BT25/(BT24-BT21)</f>
        <v>0.3904109589041096</v>
      </c>
      <c r="BU74" s="163">
        <f>BU25/(BU24-BU21)</f>
        <v>0.33333333333333331</v>
      </c>
      <c r="BV74" s="163">
        <f t="shared" si="207"/>
        <v>0.33057851239669295</v>
      </c>
      <c r="BW74" s="163">
        <f t="shared" si="207"/>
        <v>0.30092592592592593</v>
      </c>
      <c r="BX74" s="65">
        <f t="shared" si="207"/>
        <v>0.27874564459930268</v>
      </c>
      <c r="BY74" s="163">
        <f t="shared" si="207"/>
        <v>0.37333333333333335</v>
      </c>
      <c r="BZ74" s="163">
        <f t="shared" si="207"/>
        <v>0.38341968911917096</v>
      </c>
      <c r="CA74" s="163">
        <f>CA25/(CA24-CA21)</f>
        <v>0.34862385321100919</v>
      </c>
      <c r="CB74" s="163">
        <f>CB25/(CB24-CB21)</f>
        <v>0.49514563106796117</v>
      </c>
      <c r="CC74" s="65">
        <f t="shared" si="207"/>
        <v>0.33524355300859598</v>
      </c>
      <c r="CD74" s="163">
        <f t="shared" si="207"/>
        <v>0.60465116279069764</v>
      </c>
      <c r="CE74" s="163">
        <f t="shared" si="207"/>
        <v>8.8631984585741813E-2</v>
      </c>
      <c r="CF74" s="163">
        <f t="shared" ref="CF74:CG74" si="208">CF25/(CF24-CF21)</f>
        <v>0.33333333333333331</v>
      </c>
      <c r="CG74" s="163">
        <f t="shared" si="208"/>
        <v>-0.2356687898089172</v>
      </c>
      <c r="CH74" s="65">
        <f t="shared" ref="CH74:CM74" si="209">CH25/(CH24-CH21)</f>
        <v>5.9158134243458477E-2</v>
      </c>
      <c r="CI74" s="163">
        <f t="shared" si="209"/>
        <v>0</v>
      </c>
      <c r="CJ74" s="163">
        <f t="shared" ref="CJ74:CK74" si="210">CJ25/(CJ24-CJ21)</f>
        <v>0.11029411764705882</v>
      </c>
      <c r="CK74" s="163">
        <f t="shared" si="210"/>
        <v>0.38815789473684209</v>
      </c>
      <c r="CL74" s="163">
        <f t="shared" ref="CL74" si="211">CL25/(CL24-CL21)</f>
        <v>0.15749685006299874</v>
      </c>
      <c r="CM74" s="65">
        <f t="shared" si="209"/>
        <v>0.15770987003863715</v>
      </c>
      <c r="CN74" s="163">
        <f ca="1">CN25/(CN24-CN21)</f>
        <v>0.26</v>
      </c>
      <c r="CO74" s="163">
        <f t="shared" ref="CO74:CR74" ca="1" si="212">CO25/(CO24-CO21)</f>
        <v>0.26</v>
      </c>
      <c r="CP74" s="163">
        <f t="shared" ca="1" si="212"/>
        <v>0.26</v>
      </c>
      <c r="CQ74" s="163">
        <f t="shared" ca="1" si="212"/>
        <v>0.26</v>
      </c>
      <c r="CR74" s="65">
        <f t="shared" ca="1" si="212"/>
        <v>0.25999999999999734</v>
      </c>
      <c r="CS74" s="163">
        <f t="shared" ref="CS74:CW74" ca="1" si="213">CS25/(CS24-CS21)</f>
        <v>0.12750612544542128</v>
      </c>
      <c r="CT74" s="163">
        <f t="shared" ca="1" si="213"/>
        <v>-2.6502505472456795E-2</v>
      </c>
      <c r="CU74" s="163">
        <f t="shared" ca="1" si="213"/>
        <v>0.6536221770940922</v>
      </c>
      <c r="CV74" s="163">
        <f t="shared" ca="1" si="213"/>
        <v>0.5779721376682162</v>
      </c>
      <c r="CW74" s="65">
        <f t="shared" ca="1" si="213"/>
        <v>-5.1543690134998146</v>
      </c>
      <c r="CX74" s="163">
        <f t="shared" ref="CX74:DB74" ca="1" si="214">CX25/(CX24-CX21)</f>
        <v>3.1822502181645736E-2</v>
      </c>
      <c r="CY74" s="163">
        <f t="shared" ca="1" si="214"/>
        <v>0.70092796136066626</v>
      </c>
      <c r="CZ74" s="163">
        <f t="shared" ca="1" si="214"/>
        <v>-0.39349174584927193</v>
      </c>
      <c r="DA74" s="163">
        <f t="shared" ca="1" si="214"/>
        <v>0.44673981582875427</v>
      </c>
      <c r="DB74" s="65">
        <f t="shared" ca="1" si="214"/>
        <v>1.4301553578740855</v>
      </c>
      <c r="DC74"/>
      <c r="DD74"/>
      <c r="DE74"/>
      <c r="DF74"/>
      <c r="DG74"/>
      <c r="DJ74"/>
    </row>
    <row r="75" spans="1:114" s="725" customFormat="1" collapsed="1">
      <c r="A75" s="1021"/>
      <c r="B75" s="1022" t="s">
        <v>67</v>
      </c>
      <c r="C75" s="18"/>
      <c r="D75" s="18"/>
      <c r="E75" s="18"/>
      <c r="F75" s="18"/>
      <c r="G75" s="37"/>
      <c r="H75" s="37"/>
      <c r="I75" s="37"/>
      <c r="J75" s="37"/>
      <c r="K75" s="18"/>
      <c r="L75" s="37"/>
      <c r="M75" s="37"/>
      <c r="N75" s="37"/>
      <c r="O75" s="37"/>
      <c r="P75" s="18"/>
      <c r="Q75" s="37"/>
      <c r="R75" s="37"/>
      <c r="S75" s="37"/>
      <c r="T75" s="37"/>
      <c r="U75" s="18"/>
      <c r="V75" s="37"/>
      <c r="W75" s="37"/>
      <c r="X75" s="37"/>
      <c r="Y75" s="37"/>
      <c r="Z75" s="18"/>
      <c r="AA75" s="37"/>
      <c r="AB75" s="37"/>
      <c r="AC75" s="37"/>
      <c r="AD75" s="37"/>
      <c r="AE75" s="18"/>
      <c r="AF75" s="37"/>
      <c r="AG75" s="37"/>
      <c r="AH75" s="37"/>
      <c r="AI75" s="37"/>
      <c r="AJ75" s="18"/>
      <c r="AK75" s="37"/>
      <c r="AL75" s="37"/>
      <c r="AM75" s="37"/>
      <c r="AN75" s="37"/>
      <c r="AO75" s="18"/>
      <c r="AP75" s="37"/>
      <c r="AQ75" s="37"/>
      <c r="AR75" s="37"/>
      <c r="AS75" s="37"/>
      <c r="AT75" s="18"/>
      <c r="AU75" s="37"/>
      <c r="AV75" s="37"/>
      <c r="AW75" s="37"/>
      <c r="AX75" s="37"/>
      <c r="AY75" s="18"/>
      <c r="AZ75" s="37"/>
      <c r="BA75" s="37"/>
      <c r="BB75" s="37"/>
      <c r="BC75" s="37"/>
      <c r="BD75" s="18"/>
      <c r="BE75" s="37"/>
      <c r="BF75" s="37"/>
      <c r="BG75" s="37"/>
      <c r="BH75" s="443"/>
      <c r="BI75" s="988"/>
      <c r="BJ75" s="37"/>
      <c r="BK75" s="37"/>
      <c r="BL75" s="37"/>
      <c r="BM75" s="37"/>
      <c r="BN75" s="1028"/>
      <c r="BO75" s="445"/>
      <c r="BP75" s="445"/>
      <c r="BQ75" s="445"/>
      <c r="BR75" s="445"/>
      <c r="BS75" s="142"/>
      <c r="BT75" s="445"/>
      <c r="BU75" s="37"/>
      <c r="BV75" s="37"/>
      <c r="BW75" s="445"/>
      <c r="BX75" s="18"/>
      <c r="BY75" s="445"/>
      <c r="BZ75" s="37"/>
      <c r="CA75" s="37"/>
      <c r="CB75" s="445"/>
      <c r="CC75" s="18"/>
      <c r="CD75" s="37"/>
      <c r="CE75" s="37"/>
      <c r="CF75" s="37"/>
      <c r="CG75" s="37"/>
      <c r="CH75" s="18"/>
      <c r="CI75" s="37"/>
      <c r="CJ75" s="37"/>
      <c r="CK75" s="37"/>
      <c r="CL75" s="37"/>
      <c r="CM75" s="18"/>
      <c r="CN75" s="37"/>
      <c r="CO75" s="37"/>
      <c r="CP75" s="37"/>
      <c r="CQ75" s="37"/>
      <c r="CR75" s="18"/>
      <c r="CS75" s="37"/>
      <c r="CT75" s="37"/>
      <c r="CU75" s="37"/>
      <c r="CV75" s="37"/>
      <c r="CW75" s="18"/>
      <c r="CX75" s="37"/>
      <c r="CY75" s="37"/>
      <c r="CZ75" s="37"/>
      <c r="DA75" s="37"/>
      <c r="DB75" s="18"/>
      <c r="DC75"/>
      <c r="DD75"/>
      <c r="DE75"/>
      <c r="DF75"/>
      <c r="DG75"/>
      <c r="DJ75"/>
    </row>
    <row r="76" spans="1:114" s="725" customFormat="1">
      <c r="A76" s="331"/>
      <c r="B76" s="162" t="s">
        <v>57</v>
      </c>
      <c r="C76" s="65"/>
      <c r="D76" s="65">
        <f t="shared" ref="D76:AI76" si="215">D9/D8</f>
        <v>0.14306954436450839</v>
      </c>
      <c r="E76" s="65">
        <f t="shared" si="215"/>
        <v>8.8104760114560546E-2</v>
      </c>
      <c r="F76" s="65">
        <f t="shared" si="215"/>
        <v>9.1441426959680772E-2</v>
      </c>
      <c r="G76" s="163">
        <f t="shared" si="215"/>
        <v>9.2746679376387517E-2</v>
      </c>
      <c r="H76" s="163">
        <f t="shared" si="215"/>
        <v>9.2255349717766374E-2</v>
      </c>
      <c r="I76" s="163">
        <f t="shared" si="215"/>
        <v>9.2143198365696913E-2</v>
      </c>
      <c r="J76" s="163">
        <f t="shared" si="215"/>
        <v>9.1901185754195799E-2</v>
      </c>
      <c r="K76" s="65">
        <f t="shared" si="215"/>
        <v>9.2243560410362385E-2</v>
      </c>
      <c r="L76" s="163">
        <f t="shared" si="215"/>
        <v>9.3524316847197572E-2</v>
      </c>
      <c r="M76" s="163">
        <f t="shared" si="215"/>
        <v>8.9942742120916283E-2</v>
      </c>
      <c r="N76" s="163">
        <f t="shared" si="215"/>
        <v>9.4694496247564847E-2</v>
      </c>
      <c r="O76" s="163">
        <f t="shared" si="215"/>
        <v>8.8031192424696855E-2</v>
      </c>
      <c r="P76" s="65">
        <f t="shared" si="215"/>
        <v>9.1498111494321313E-2</v>
      </c>
      <c r="Q76" s="163">
        <f t="shared" si="215"/>
        <v>9.4559646400526637E-2</v>
      </c>
      <c r="R76" s="163">
        <f t="shared" si="215"/>
        <v>9.4444943122777819E-2</v>
      </c>
      <c r="S76" s="163">
        <f t="shared" si="215"/>
        <v>9.7770192331630285E-2</v>
      </c>
      <c r="T76" s="163">
        <f t="shared" si="215"/>
        <v>0.10239713621590074</v>
      </c>
      <c r="U76" s="65">
        <f t="shared" si="215"/>
        <v>9.7550151272267502E-2</v>
      </c>
      <c r="V76" s="163">
        <f t="shared" si="215"/>
        <v>0.1047100109925387</v>
      </c>
      <c r="W76" s="163">
        <f t="shared" si="215"/>
        <v>0.10043518924771622</v>
      </c>
      <c r="X76" s="163">
        <f t="shared" si="215"/>
        <v>0.10473630209209581</v>
      </c>
      <c r="Y76" s="163">
        <f t="shared" si="215"/>
        <v>0.10322219456149268</v>
      </c>
      <c r="Z76" s="65">
        <f t="shared" si="215"/>
        <v>0.10329195000107405</v>
      </c>
      <c r="AA76" s="163">
        <f t="shared" si="215"/>
        <v>0.10282592428903368</v>
      </c>
      <c r="AB76" s="163">
        <f t="shared" si="215"/>
        <v>9.9684560441833076E-2</v>
      </c>
      <c r="AC76" s="163">
        <f t="shared" si="215"/>
        <v>0.10005714168878979</v>
      </c>
      <c r="AD76" s="163">
        <f t="shared" si="215"/>
        <v>0.10180842506135</v>
      </c>
      <c r="AE76" s="65">
        <f t="shared" si="215"/>
        <v>0.10110104656178345</v>
      </c>
      <c r="AF76" s="163">
        <f t="shared" si="215"/>
        <v>0.10480711345247536</v>
      </c>
      <c r="AG76" s="163">
        <f t="shared" si="215"/>
        <v>0.10904628793633499</v>
      </c>
      <c r="AH76" s="163">
        <f t="shared" si="215"/>
        <v>0.17128786105352728</v>
      </c>
      <c r="AI76" s="163">
        <f t="shared" si="215"/>
        <v>0.11437819895935561</v>
      </c>
      <c r="AJ76" s="65">
        <f t="shared" ref="AJ76:BP76" si="216">AJ9/AJ8</f>
        <v>0.12547737114186078</v>
      </c>
      <c r="AK76" s="163">
        <f t="shared" si="216"/>
        <v>0.11270709146285249</v>
      </c>
      <c r="AL76" s="163">
        <f t="shared" si="216"/>
        <v>0.11901182264747889</v>
      </c>
      <c r="AM76" s="163">
        <f t="shared" si="216"/>
        <v>0.11887485454407086</v>
      </c>
      <c r="AN76" s="163">
        <f t="shared" si="216"/>
        <v>0.14283273386274484</v>
      </c>
      <c r="AO76" s="65">
        <f t="shared" si="216"/>
        <v>0.12614538598883979</v>
      </c>
      <c r="AP76" s="163">
        <f t="shared" si="216"/>
        <v>0.10891810024659455</v>
      </c>
      <c r="AQ76" s="163">
        <f t="shared" si="216"/>
        <v>0.1081710399167472</v>
      </c>
      <c r="AR76" s="163">
        <f t="shared" si="216"/>
        <v>0.117644958634767</v>
      </c>
      <c r="AS76" s="163">
        <f t="shared" si="216"/>
        <v>0.11455717792041971</v>
      </c>
      <c r="AT76" s="65">
        <f t="shared" si="216"/>
        <v>0.11236577557449623</v>
      </c>
      <c r="AU76" s="163">
        <f t="shared" si="216"/>
        <v>0.11597709852405798</v>
      </c>
      <c r="AV76" s="163">
        <f t="shared" si="216"/>
        <v>0.12014142708507004</v>
      </c>
      <c r="AW76" s="163">
        <f t="shared" si="216"/>
        <v>0.12257427455416803</v>
      </c>
      <c r="AX76" s="163">
        <f t="shared" si="216"/>
        <v>0.12348818205286971</v>
      </c>
      <c r="AY76" s="65">
        <f t="shared" si="216"/>
        <v>0.12062210325025022</v>
      </c>
      <c r="AZ76" s="163">
        <f t="shared" si="216"/>
        <v>0.11961634082339415</v>
      </c>
      <c r="BA76" s="163">
        <f t="shared" si="216"/>
        <v>0.12029237243237516</v>
      </c>
      <c r="BB76" s="163">
        <f t="shared" si="216"/>
        <v>0.12394532072797047</v>
      </c>
      <c r="BC76" s="163">
        <f t="shared" si="216"/>
        <v>0.1251697549504085</v>
      </c>
      <c r="BD76" s="65">
        <f t="shared" si="216"/>
        <v>0.12232056366226467</v>
      </c>
      <c r="BE76" s="163">
        <f t="shared" si="216"/>
        <v>0.1197738729325865</v>
      </c>
      <c r="BF76" s="163">
        <f t="shared" si="216"/>
        <v>0.12609888261762597</v>
      </c>
      <c r="BG76" s="163">
        <f t="shared" si="216"/>
        <v>0.13105238649592549</v>
      </c>
      <c r="BH76" s="163">
        <f t="shared" si="216"/>
        <v>0.1268517716994034</v>
      </c>
      <c r="BI76" s="65">
        <f t="shared" si="216"/>
        <v>0.12595842520075362</v>
      </c>
      <c r="BJ76" s="163">
        <f t="shared" si="216"/>
        <v>0.12857332024841608</v>
      </c>
      <c r="BK76" s="163">
        <f t="shared" si="216"/>
        <v>0.13438240371895577</v>
      </c>
      <c r="BL76" s="163">
        <f t="shared" si="216"/>
        <v>0.13109965993635878</v>
      </c>
      <c r="BM76" s="163">
        <f t="shared" si="216"/>
        <v>0.12884228223157226</v>
      </c>
      <c r="BN76" s="65">
        <f t="shared" si="216"/>
        <v>0.13071594621334587</v>
      </c>
      <c r="BO76" s="163">
        <f t="shared" si="216"/>
        <v>0.12845564999168391</v>
      </c>
      <c r="BP76" s="163">
        <f t="shared" si="216"/>
        <v>0.14110479431732717</v>
      </c>
      <c r="BQ76" s="163">
        <f t="shared" ref="BQ76:CH76" si="217">BQ9/BQ8</f>
        <v>0.14564011730809409</v>
      </c>
      <c r="BR76" s="163">
        <f t="shared" si="217"/>
        <v>0.13677002402431443</v>
      </c>
      <c r="BS76" s="65">
        <f t="shared" si="217"/>
        <v>0.13797392160298458</v>
      </c>
      <c r="BT76" s="163">
        <f t="shared" si="217"/>
        <v>0.14387755102040817</v>
      </c>
      <c r="BU76" s="163">
        <f t="shared" si="217"/>
        <v>0.13596094738745254</v>
      </c>
      <c r="BV76" s="163">
        <f t="shared" si="217"/>
        <v>0.1380550062915693</v>
      </c>
      <c r="BW76" s="163">
        <f t="shared" si="217"/>
        <v>0.12816876440347455</v>
      </c>
      <c r="BX76" s="65">
        <f t="shared" si="217"/>
        <v>0.13626068869886757</v>
      </c>
      <c r="BY76" s="163">
        <f t="shared" si="217"/>
        <v>0.1301806588735388</v>
      </c>
      <c r="BZ76" s="163">
        <f t="shared" si="217"/>
        <v>0.13038831492696829</v>
      </c>
      <c r="CA76" s="163">
        <f t="shared" si="217"/>
        <v>0.13154121863799284</v>
      </c>
      <c r="CB76" s="163">
        <f t="shared" si="217"/>
        <v>0.16177498252969952</v>
      </c>
      <c r="CC76" s="65">
        <f t="shared" si="217"/>
        <v>0.13858358447083852</v>
      </c>
      <c r="CD76" s="163">
        <f>CD9/CD8</f>
        <v>0.13121306916927356</v>
      </c>
      <c r="CE76" s="163">
        <f t="shared" si="217"/>
        <v>0.1323251417769376</v>
      </c>
      <c r="CF76" s="163">
        <f t="shared" si="217"/>
        <v>0.13847364280094415</v>
      </c>
      <c r="CG76" s="163">
        <f t="shared" ref="CG76" si="218">CG9/CG8</f>
        <v>0.13172721973965418</v>
      </c>
      <c r="CH76" s="65">
        <f t="shared" si="217"/>
        <v>0.13334900117508813</v>
      </c>
      <c r="CI76" s="163">
        <f>CI9/CI8</f>
        <v>0.13196594427244582</v>
      </c>
      <c r="CJ76" s="163">
        <f>CJ9/CJ8</f>
        <v>0.14078374455732948</v>
      </c>
      <c r="CK76" s="163">
        <f>CK9/CK8</f>
        <v>0.15393491807062082</v>
      </c>
      <c r="CL76" s="163">
        <f>CL9/CL8</f>
        <v>0.24950932286555447</v>
      </c>
      <c r="CM76" s="65">
        <f t="shared" ref="CM76:CR76" si="219">CM9/CM8</f>
        <v>0.16548913043478261</v>
      </c>
      <c r="CN76" s="163">
        <f t="shared" ca="1" si="219"/>
        <v>0.14349999999999999</v>
      </c>
      <c r="CO76" s="163">
        <f t="shared" ca="1" si="219"/>
        <v>0.14399999999999999</v>
      </c>
      <c r="CP76" s="163">
        <f t="shared" ca="1" si="219"/>
        <v>0.14299999999999999</v>
      </c>
      <c r="CQ76" s="163">
        <f t="shared" ca="1" si="219"/>
        <v>0.1444</v>
      </c>
      <c r="CR76" s="65">
        <f t="shared" ca="1" si="219"/>
        <v>0.14374283927399564</v>
      </c>
      <c r="CS76" s="163">
        <f t="shared" ref="CS76:CW76" ca="1" si="220">CS9/CS8</f>
        <v>0.1464</v>
      </c>
      <c r="CT76" s="163">
        <f t="shared" ca="1" si="220"/>
        <v>0.1464</v>
      </c>
      <c r="CU76" s="163">
        <f t="shared" ca="1" si="220"/>
        <v>0.1464</v>
      </c>
      <c r="CV76" s="163">
        <f t="shared" ca="1" si="220"/>
        <v>0.1464</v>
      </c>
      <c r="CW76" s="65">
        <f t="shared" ca="1" si="220"/>
        <v>0.14639999999999997</v>
      </c>
      <c r="CX76" s="163">
        <f t="shared" ref="CX76:DB76" ca="1" si="221">CX9/CX8</f>
        <v>0.1464</v>
      </c>
      <c r="CY76" s="163">
        <f t="shared" ca="1" si="221"/>
        <v>0.1464</v>
      </c>
      <c r="CZ76" s="163">
        <f t="shared" ca="1" si="221"/>
        <v>0.1464</v>
      </c>
      <c r="DA76" s="163">
        <f t="shared" ca="1" si="221"/>
        <v>0.1464</v>
      </c>
      <c r="DB76" s="65">
        <f t="shared" ca="1" si="221"/>
        <v>0.1464</v>
      </c>
      <c r="DC76"/>
      <c r="DD76"/>
      <c r="DE76"/>
      <c r="DF76"/>
      <c r="DG76"/>
      <c r="DJ76"/>
    </row>
    <row r="77" spans="1:114" s="725" customFormat="1">
      <c r="A77" s="331"/>
      <c r="B77" s="162" t="s">
        <v>56</v>
      </c>
      <c r="C77" s="65"/>
      <c r="D77" s="65">
        <f>D11/D$10</f>
        <v>0.70629188297815704</v>
      </c>
      <c r="E77" s="65">
        <f t="shared" ref="E77:BP77" si="222">E11/E$10</f>
        <v>0.42579030954382802</v>
      </c>
      <c r="F77" s="65">
        <f t="shared" si="222"/>
        <v>0.42576765267882283</v>
      </c>
      <c r="G77" s="163">
        <f t="shared" si="222"/>
        <v>0.42506469950673542</v>
      </c>
      <c r="H77" s="163">
        <f t="shared" si="222"/>
        <v>0.42879125529301526</v>
      </c>
      <c r="I77" s="163">
        <f t="shared" si="222"/>
        <v>0.43185213585943383</v>
      </c>
      <c r="J77" s="163">
        <f t="shared" si="222"/>
        <v>0.44496897045563039</v>
      </c>
      <c r="K77" s="65">
        <f t="shared" si="222"/>
        <v>0.43323041058306921</v>
      </c>
      <c r="L77" s="163">
        <f t="shared" si="222"/>
        <v>0.44903664432139145</v>
      </c>
      <c r="M77" s="163">
        <f t="shared" si="222"/>
        <v>0.44363790746800313</v>
      </c>
      <c r="N77" s="163">
        <f t="shared" si="222"/>
        <v>0.44248436532198443</v>
      </c>
      <c r="O77" s="163">
        <f t="shared" si="222"/>
        <v>0.43956242212621049</v>
      </c>
      <c r="P77" s="65">
        <f t="shared" si="222"/>
        <v>0.44357037701786267</v>
      </c>
      <c r="Q77" s="163">
        <f t="shared" si="222"/>
        <v>0.45025262339681299</v>
      </c>
      <c r="R77" s="163">
        <f t="shared" si="222"/>
        <v>0.44237292406945389</v>
      </c>
      <c r="S77" s="163">
        <f t="shared" si="222"/>
        <v>0.44199579355297597</v>
      </c>
      <c r="T77" s="163">
        <f t="shared" si="222"/>
        <v>0.44594274567944137</v>
      </c>
      <c r="U77" s="65">
        <f t="shared" si="222"/>
        <v>0.44511134409598341</v>
      </c>
      <c r="V77" s="163">
        <f t="shared" si="222"/>
        <v>0.44878949834638343</v>
      </c>
      <c r="W77" s="163">
        <f t="shared" si="222"/>
        <v>0.44730363359145736</v>
      </c>
      <c r="X77" s="163">
        <f t="shared" si="222"/>
        <v>0.44789203224316565</v>
      </c>
      <c r="Y77" s="163">
        <f t="shared" si="222"/>
        <v>0.44506375232347056</v>
      </c>
      <c r="Z77" s="65">
        <f t="shared" si="222"/>
        <v>0.44723299583469595</v>
      </c>
      <c r="AA77" s="163">
        <f t="shared" si="222"/>
        <v>0.44236289101271292</v>
      </c>
      <c r="AB77" s="163">
        <f t="shared" si="222"/>
        <v>0.4413989960538533</v>
      </c>
      <c r="AC77" s="163">
        <f t="shared" si="222"/>
        <v>0.44468000894427639</v>
      </c>
      <c r="AD77" s="163">
        <f t="shared" si="222"/>
        <v>0.44122178424577169</v>
      </c>
      <c r="AE77" s="65">
        <f t="shared" si="222"/>
        <v>0.44240269120811399</v>
      </c>
      <c r="AF77" s="163">
        <f t="shared" si="222"/>
        <v>0.44361356343127267</v>
      </c>
      <c r="AG77" s="163">
        <f t="shared" si="222"/>
        <v>0.44443539429840795</v>
      </c>
      <c r="AH77" s="163">
        <f t="shared" si="222"/>
        <v>0.48347553928707987</v>
      </c>
      <c r="AI77" s="163">
        <f t="shared" si="222"/>
        <v>0.4531077922204943</v>
      </c>
      <c r="AJ77" s="65">
        <f t="shared" si="222"/>
        <v>0.45608080056681932</v>
      </c>
      <c r="AK77" s="163">
        <f t="shared" si="222"/>
        <v>0.45524376157214563</v>
      </c>
      <c r="AL77" s="163">
        <f t="shared" si="222"/>
        <v>0.44988627555392396</v>
      </c>
      <c r="AM77" s="163">
        <f t="shared" si="222"/>
        <v>0.45911112419257477</v>
      </c>
      <c r="AN77" s="163">
        <f t="shared" si="222"/>
        <v>0.48723521279874787</v>
      </c>
      <c r="AO77" s="65">
        <f t="shared" si="222"/>
        <v>0.46639333006681799</v>
      </c>
      <c r="AP77" s="163">
        <f t="shared" si="222"/>
        <v>0.44755467452027875</v>
      </c>
      <c r="AQ77" s="163">
        <f t="shared" si="222"/>
        <v>0.44982340475629856</v>
      </c>
      <c r="AR77" s="163">
        <f t="shared" si="222"/>
        <v>0.44621312351148334</v>
      </c>
      <c r="AS77" s="163">
        <f t="shared" si="222"/>
        <v>0.45101186659163478</v>
      </c>
      <c r="AT77" s="65">
        <f t="shared" si="222"/>
        <v>0.44864655528880276</v>
      </c>
      <c r="AU77" s="163">
        <f t="shared" si="222"/>
        <v>0.45528813945111718</v>
      </c>
      <c r="AV77" s="163">
        <f t="shared" si="222"/>
        <v>0.45269559340576138</v>
      </c>
      <c r="AW77" s="163">
        <f t="shared" si="222"/>
        <v>0.45751993797075763</v>
      </c>
      <c r="AX77" s="163">
        <f t="shared" si="222"/>
        <v>0.45325578185194942</v>
      </c>
      <c r="AY77" s="65">
        <f t="shared" si="222"/>
        <v>0.45469131258758833</v>
      </c>
      <c r="AZ77" s="163">
        <f t="shared" si="222"/>
        <v>0.46101087884633624</v>
      </c>
      <c r="BA77" s="163">
        <f t="shared" si="222"/>
        <v>0.45446437341328816</v>
      </c>
      <c r="BB77" s="163">
        <f t="shared" si="222"/>
        <v>0.45749352925856213</v>
      </c>
      <c r="BC77" s="163">
        <f t="shared" si="222"/>
        <v>0.46492758628103348</v>
      </c>
      <c r="BD77" s="65">
        <f t="shared" si="222"/>
        <v>0.45955240856628676</v>
      </c>
      <c r="BE77" s="163">
        <f t="shared" si="222"/>
        <v>0.46776799508652461</v>
      </c>
      <c r="BF77" s="163">
        <f t="shared" si="222"/>
        <v>0.46123818534024119</v>
      </c>
      <c r="BG77" s="163">
        <f t="shared" si="222"/>
        <v>0.46660720553678464</v>
      </c>
      <c r="BH77" s="163">
        <f t="shared" si="222"/>
        <v>0.47285187926775507</v>
      </c>
      <c r="BI77" s="65">
        <f t="shared" si="222"/>
        <v>0.46711916694044037</v>
      </c>
      <c r="BJ77" s="163">
        <f t="shared" si="222"/>
        <v>0.46252921185246743</v>
      </c>
      <c r="BK77" s="163">
        <f t="shared" si="222"/>
        <v>0.46175084968303787</v>
      </c>
      <c r="BL77" s="163">
        <f t="shared" si="222"/>
        <v>0.4748121904216337</v>
      </c>
      <c r="BM77" s="163">
        <f t="shared" si="222"/>
        <v>0.47495411886555344</v>
      </c>
      <c r="BN77" s="65">
        <f t="shared" si="222"/>
        <v>0.46848860444616369</v>
      </c>
      <c r="BO77" s="163">
        <f t="shared" si="222"/>
        <v>0.47622797614554235</v>
      </c>
      <c r="BP77" s="163">
        <f t="shared" si="222"/>
        <v>0.4807673114898664</v>
      </c>
      <c r="BQ77" s="163">
        <f t="shared" ref="BQ77:CM77" si="223">BQ11/BQ$10</f>
        <v>0.47904951509074389</v>
      </c>
      <c r="BR77" s="163">
        <f t="shared" si="223"/>
        <v>0.47750006885728774</v>
      </c>
      <c r="BS77" s="65">
        <f t="shared" si="223"/>
        <v>0.47837312359970346</v>
      </c>
      <c r="BT77" s="163">
        <f t="shared" si="223"/>
        <v>0.47771156138259835</v>
      </c>
      <c r="BU77" s="163">
        <f t="shared" si="223"/>
        <v>0.46620631931366396</v>
      </c>
      <c r="BV77" s="163">
        <f t="shared" si="223"/>
        <v>0.45693430656934308</v>
      </c>
      <c r="BW77" s="163">
        <f t="shared" si="223"/>
        <v>0.45160634404229361</v>
      </c>
      <c r="BX77" s="65">
        <f t="shared" si="223"/>
        <v>0.4625675603360625</v>
      </c>
      <c r="BY77" s="163">
        <f t="shared" si="223"/>
        <v>0.45958053349623296</v>
      </c>
      <c r="BZ77" s="163">
        <f t="shared" si="223"/>
        <v>0.45411716509627204</v>
      </c>
      <c r="CA77" s="163">
        <f t="shared" si="223"/>
        <v>0.46223689640940985</v>
      </c>
      <c r="CB77" s="163">
        <f t="shared" si="223"/>
        <v>0.47478115881617339</v>
      </c>
      <c r="CC77" s="65">
        <f t="shared" si="223"/>
        <v>0.46262283274167826</v>
      </c>
      <c r="CD77" s="163">
        <f t="shared" si="223"/>
        <v>0.46349269853970793</v>
      </c>
      <c r="CE77" s="163">
        <f t="shared" si="223"/>
        <v>0.46928104575163399</v>
      </c>
      <c r="CF77" s="163">
        <f t="shared" si="223"/>
        <v>0.47191780821917806</v>
      </c>
      <c r="CG77" s="163">
        <f t="shared" ref="CG77" si="224">CG11/CG$10</f>
        <v>0.46699485343477287</v>
      </c>
      <c r="CH77" s="65">
        <f t="shared" si="223"/>
        <v>0.46778392450374229</v>
      </c>
      <c r="CI77" s="163">
        <f t="shared" ref="CI77:CJ77" si="225">CI11/CI$10</f>
        <v>0.45942933571110123</v>
      </c>
      <c r="CJ77" s="163">
        <f t="shared" si="225"/>
        <v>0.46332046332046334</v>
      </c>
      <c r="CK77" s="163">
        <f t="shared" ref="CK77:CL77" si="226">CK11/CK$10</f>
        <v>0.47026732133115112</v>
      </c>
      <c r="CL77" s="163">
        <f t="shared" si="226"/>
        <v>0.54625694671461267</v>
      </c>
      <c r="CM77" s="65">
        <f t="shared" si="223"/>
        <v>0.48036470205144904</v>
      </c>
      <c r="CN77" s="163">
        <f t="shared" ref="CN77:CR77" ca="1" si="227">CN11/CN$10</f>
        <v>0.46176298890834794</v>
      </c>
      <c r="CO77" s="163">
        <f t="shared" ca="1" si="227"/>
        <v>0.46495327102803735</v>
      </c>
      <c r="CP77" s="163">
        <f t="shared" ca="1" si="227"/>
        <v>0.46324387397899652</v>
      </c>
      <c r="CQ77" s="163">
        <f t="shared" ca="1" si="227"/>
        <v>0.46575502571295002</v>
      </c>
      <c r="CR77" s="65">
        <f t="shared" ca="1" si="227"/>
        <v>0.46392207122347118</v>
      </c>
      <c r="CS77" s="163">
        <f t="shared" ref="CS77:CW77" ca="1" si="228">CS11/CS$10</f>
        <v>0.46391752577319595</v>
      </c>
      <c r="CT77" s="163">
        <f t="shared" ca="1" si="228"/>
        <v>0.46274601686972816</v>
      </c>
      <c r="CU77" s="163">
        <f t="shared" ca="1" si="228"/>
        <v>0.46157450796626059</v>
      </c>
      <c r="CV77" s="163">
        <f t="shared" ca="1" si="228"/>
        <v>0.46555763823805058</v>
      </c>
      <c r="CW77" s="65">
        <f t="shared" ca="1" si="228"/>
        <v>0.46351484868065479</v>
      </c>
      <c r="CX77" s="163">
        <f t="shared" ref="CX77:DB77" ca="1" si="229">CX11/CX$10</f>
        <v>0.46743205248359893</v>
      </c>
      <c r="CY77" s="163">
        <f t="shared" ca="1" si="229"/>
        <v>0.46274601686972827</v>
      </c>
      <c r="CZ77" s="163">
        <f t="shared" ca="1" si="229"/>
        <v>0.46274601686972822</v>
      </c>
      <c r="DA77" s="163">
        <f t="shared" ca="1" si="229"/>
        <v>0.46626054358013119</v>
      </c>
      <c r="DB77" s="65">
        <f t="shared" ca="1" si="229"/>
        <v>0.46487690387940162</v>
      </c>
      <c r="DC77"/>
      <c r="DD77"/>
      <c r="DE77"/>
      <c r="DF77"/>
      <c r="DG77"/>
      <c r="DJ77"/>
    </row>
    <row r="78" spans="1:114" s="725" customFormat="1">
      <c r="A78" s="331"/>
      <c r="B78" s="162" t="s">
        <v>222</v>
      </c>
      <c r="C78" s="65"/>
      <c r="D78" s="65">
        <f>D12/D$10</f>
        <v>0.21051345510936501</v>
      </c>
      <c r="E78" s="65">
        <f t="shared" ref="E78:BP78" si="230">E12/E$10</f>
        <v>0.12864793400514213</v>
      </c>
      <c r="F78" s="65">
        <f t="shared" si="230"/>
        <v>0.12690195342651983</v>
      </c>
      <c r="G78" s="163">
        <f t="shared" si="230"/>
        <v>0.12928565108717291</v>
      </c>
      <c r="H78" s="163">
        <f t="shared" si="230"/>
        <v>0.1267548355009164</v>
      </c>
      <c r="I78" s="163">
        <f t="shared" si="230"/>
        <v>0.12729748667979957</v>
      </c>
      <c r="J78" s="163">
        <f t="shared" si="230"/>
        <v>0.12678872466381777</v>
      </c>
      <c r="K78" s="65">
        <f t="shared" si="230"/>
        <v>0.1274932532153332</v>
      </c>
      <c r="L78" s="163">
        <f t="shared" si="230"/>
        <v>0.13233475731046146</v>
      </c>
      <c r="M78" s="163">
        <f t="shared" si="230"/>
        <v>0.12820486269312015</v>
      </c>
      <c r="N78" s="163">
        <f t="shared" si="230"/>
        <v>0.12579671921516913</v>
      </c>
      <c r="O78" s="163">
        <f t="shared" si="230"/>
        <v>0.1236997543745572</v>
      </c>
      <c r="P78" s="65">
        <f t="shared" si="230"/>
        <v>0.12740191377746699</v>
      </c>
      <c r="Q78" s="163">
        <f t="shared" si="230"/>
        <v>0.12869051288580349</v>
      </c>
      <c r="R78" s="163">
        <f t="shared" si="230"/>
        <v>0.12794032408457448</v>
      </c>
      <c r="S78" s="163">
        <f t="shared" si="230"/>
        <v>0.12911983468540558</v>
      </c>
      <c r="T78" s="163">
        <f t="shared" si="230"/>
        <v>0.13337154211677593</v>
      </c>
      <c r="U78" s="65">
        <f t="shared" si="230"/>
        <v>0.12993128509921009</v>
      </c>
      <c r="V78" s="163">
        <f t="shared" si="230"/>
        <v>0.1349948727699945</v>
      </c>
      <c r="W78" s="163">
        <f t="shared" si="230"/>
        <v>0.13203806827807441</v>
      </c>
      <c r="X78" s="163">
        <f t="shared" si="230"/>
        <v>0.13741988505001765</v>
      </c>
      <c r="Y78" s="163">
        <f t="shared" si="230"/>
        <v>0.13597595999472942</v>
      </c>
      <c r="Z78" s="65">
        <f t="shared" si="230"/>
        <v>0.1351396403245603</v>
      </c>
      <c r="AA78" s="163">
        <f t="shared" si="230"/>
        <v>0.13847952845580005</v>
      </c>
      <c r="AB78" s="163">
        <f t="shared" si="230"/>
        <v>0.13350766983905912</v>
      </c>
      <c r="AC78" s="163">
        <f t="shared" si="230"/>
        <v>0.13210863708598342</v>
      </c>
      <c r="AD78" s="163">
        <f t="shared" si="230"/>
        <v>0.12996903933512227</v>
      </c>
      <c r="AE78" s="65">
        <f t="shared" si="230"/>
        <v>0.13344412005374334</v>
      </c>
      <c r="AF78" s="163">
        <f t="shared" si="230"/>
        <v>0.13364948404247795</v>
      </c>
      <c r="AG78" s="163">
        <f t="shared" si="230"/>
        <v>0.13296662611731103</v>
      </c>
      <c r="AH78" s="163">
        <f t="shared" si="230"/>
        <v>0.13966686859052849</v>
      </c>
      <c r="AI78" s="163">
        <f t="shared" si="230"/>
        <v>0.12890369022818185</v>
      </c>
      <c r="AJ78" s="65">
        <f t="shared" si="230"/>
        <v>0.13367689988592893</v>
      </c>
      <c r="AK78" s="163">
        <f t="shared" si="230"/>
        <v>0.13152509880201968</v>
      </c>
      <c r="AL78" s="163">
        <f t="shared" si="230"/>
        <v>0.13270093514844153</v>
      </c>
      <c r="AM78" s="163">
        <f t="shared" si="230"/>
        <v>0.15368328714879684</v>
      </c>
      <c r="AN78" s="163">
        <f t="shared" si="230"/>
        <v>0.16851051027772085</v>
      </c>
      <c r="AO78" s="65">
        <f t="shared" si="230"/>
        <v>0.1514006485177406</v>
      </c>
      <c r="AP78" s="163">
        <f t="shared" si="230"/>
        <v>0.15898503748651496</v>
      </c>
      <c r="AQ78" s="163">
        <f t="shared" si="230"/>
        <v>0.15735667655044375</v>
      </c>
      <c r="AR78" s="163">
        <f t="shared" si="230"/>
        <v>0.15659880644817173</v>
      </c>
      <c r="AS78" s="163">
        <f t="shared" si="230"/>
        <v>0.15890297008323301</v>
      </c>
      <c r="AT78" s="65">
        <f t="shared" si="230"/>
        <v>0.15796195378250663</v>
      </c>
      <c r="AU78" s="163">
        <f t="shared" si="230"/>
        <v>0.15739679358795811</v>
      </c>
      <c r="AV78" s="163">
        <f t="shared" si="230"/>
        <v>0.15820537133372439</v>
      </c>
      <c r="AW78" s="163">
        <f t="shared" si="230"/>
        <v>0.15807118594003838</v>
      </c>
      <c r="AX78" s="163">
        <f t="shared" si="230"/>
        <v>0.15936216748492113</v>
      </c>
      <c r="AY78" s="65">
        <f t="shared" si="230"/>
        <v>0.15827154166083371</v>
      </c>
      <c r="AZ78" s="163">
        <f t="shared" si="230"/>
        <v>0.15469150248252742</v>
      </c>
      <c r="BA78" s="163">
        <f t="shared" si="230"/>
        <v>0.15722902493355614</v>
      </c>
      <c r="BB78" s="163">
        <f t="shared" si="230"/>
        <v>0.15553401956771867</v>
      </c>
      <c r="BC78" s="163">
        <f t="shared" si="230"/>
        <v>0.15418048471101697</v>
      </c>
      <c r="BD78" s="65">
        <f t="shared" si="230"/>
        <v>0.15538967241926291</v>
      </c>
      <c r="BE78" s="163">
        <f t="shared" si="230"/>
        <v>0.15484920454609902</v>
      </c>
      <c r="BF78" s="163">
        <f t="shared" si="230"/>
        <v>0.14971839429597239</v>
      </c>
      <c r="BG78" s="163">
        <f t="shared" si="230"/>
        <v>0.15378148671134179</v>
      </c>
      <c r="BH78" s="163">
        <f t="shared" si="230"/>
        <v>0.15565244150940255</v>
      </c>
      <c r="BI78" s="65">
        <f t="shared" si="230"/>
        <v>0.15350054675517835</v>
      </c>
      <c r="BJ78" s="163">
        <f t="shared" si="230"/>
        <v>0.15122041470594036</v>
      </c>
      <c r="BK78" s="163">
        <f t="shared" si="230"/>
        <v>0.15101231153872957</v>
      </c>
      <c r="BL78" s="163">
        <f t="shared" si="230"/>
        <v>0.15074952600069114</v>
      </c>
      <c r="BM78" s="163">
        <f t="shared" si="230"/>
        <v>0.15287740475430478</v>
      </c>
      <c r="BN78" s="65">
        <f t="shared" si="230"/>
        <v>0.15146928175909327</v>
      </c>
      <c r="BO78" s="163">
        <f t="shared" si="230"/>
        <v>0.15032565863969199</v>
      </c>
      <c r="BP78" s="163">
        <f t="shared" si="230"/>
        <v>0.153884373056284</v>
      </c>
      <c r="BQ78" s="163">
        <f t="shared" ref="BQ78:CM78" si="231">BQ12/BQ$10</f>
        <v>0.15113085418666342</v>
      </c>
      <c r="BR78" s="163">
        <f t="shared" si="231"/>
        <v>0.15840920787504553</v>
      </c>
      <c r="BS78" s="65">
        <f t="shared" si="231"/>
        <v>0.15342076474648234</v>
      </c>
      <c r="BT78" s="163">
        <f t="shared" si="231"/>
        <v>0.15137067938021453</v>
      </c>
      <c r="BU78" s="163">
        <f t="shared" si="231"/>
        <v>0.1544256120527307</v>
      </c>
      <c r="BV78" s="163">
        <f t="shared" si="231"/>
        <v>0.15286757038581855</v>
      </c>
      <c r="BW78" s="163">
        <f t="shared" si="231"/>
        <v>0.15534770231801545</v>
      </c>
      <c r="BX78" s="65">
        <f t="shared" si="231"/>
        <v>0.153582704553968</v>
      </c>
      <c r="BY78" s="163">
        <f t="shared" si="231"/>
        <v>0.15516188149053145</v>
      </c>
      <c r="BZ78" s="163">
        <f t="shared" si="231"/>
        <v>0.15362556329373209</v>
      </c>
      <c r="CA78" s="163">
        <f t="shared" si="231"/>
        <v>0.15724308708212958</v>
      </c>
      <c r="CB78" s="163">
        <f t="shared" si="231"/>
        <v>0.16110879533138808</v>
      </c>
      <c r="CC78" s="65">
        <f t="shared" si="231"/>
        <v>0.15676287492925864</v>
      </c>
      <c r="CD78" s="163">
        <f t="shared" si="231"/>
        <v>0.15983196639327865</v>
      </c>
      <c r="CE78" s="163">
        <f t="shared" si="231"/>
        <v>0.165359477124183</v>
      </c>
      <c r="CF78" s="163">
        <f t="shared" si="231"/>
        <v>0.16506849315068492</v>
      </c>
      <c r="CG78" s="163">
        <f t="shared" ref="CG78" si="232">CG12/CG$10</f>
        <v>0.16334750503468337</v>
      </c>
      <c r="CH78" s="65">
        <f t="shared" si="231"/>
        <v>0.1633040459919731</v>
      </c>
      <c r="CI78" s="163">
        <f t="shared" ref="CI78:CJ78" si="233">CI12/CI$10</f>
        <v>0.16696388765046813</v>
      </c>
      <c r="CJ78" s="163">
        <f t="shared" si="233"/>
        <v>0.16819498069498071</v>
      </c>
      <c r="CK78" s="163">
        <f t="shared" ref="CK78:CL78" si="234">CK12/CK$10</f>
        <v>0.16639388979814512</v>
      </c>
      <c r="CL78" s="163">
        <f t="shared" si="234"/>
        <v>0.20137299771167047</v>
      </c>
      <c r="CM78" s="65">
        <f t="shared" si="231"/>
        <v>0.17401497883425593</v>
      </c>
      <c r="CN78" s="163">
        <f t="shared" ref="CN78:CR78" ca="1" si="235">CN12/CN$10</f>
        <v>0.16380618797431407</v>
      </c>
      <c r="CO78" s="163">
        <f t="shared" ca="1" si="235"/>
        <v>0.16471962616822428</v>
      </c>
      <c r="CP78" s="163">
        <f t="shared" ca="1" si="235"/>
        <v>0.16452742123687281</v>
      </c>
      <c r="CQ78" s="163">
        <f t="shared" ca="1" si="235"/>
        <v>0.16479663394109395</v>
      </c>
      <c r="CR78" s="65">
        <f t="shared" ca="1" si="235"/>
        <v>0.1644526782116601</v>
      </c>
      <c r="CS78" s="163">
        <f t="shared" ref="CS78:CW78" ca="1" si="236">CS12/CS$10</f>
        <v>0.16518275538894095</v>
      </c>
      <c r="CT78" s="163">
        <f t="shared" ca="1" si="236"/>
        <v>0.1640112464854733</v>
      </c>
      <c r="CU78" s="163">
        <f t="shared" ca="1" si="236"/>
        <v>0.1640112464854733</v>
      </c>
      <c r="CV78" s="163">
        <f t="shared" ca="1" si="236"/>
        <v>0.16682286785379569</v>
      </c>
      <c r="CW78" s="65">
        <f t="shared" ca="1" si="236"/>
        <v>0.16505467845934799</v>
      </c>
      <c r="CX78" s="163">
        <f t="shared" ref="CX78:DB78" ca="1" si="237">CX12/CX$10</f>
        <v>0.1640112464854733</v>
      </c>
      <c r="CY78" s="163">
        <f t="shared" ca="1" si="237"/>
        <v>0.1640112464854733</v>
      </c>
      <c r="CZ78" s="163">
        <f t="shared" ca="1" si="237"/>
        <v>0.1640112464854733</v>
      </c>
      <c r="DA78" s="163">
        <f t="shared" ca="1" si="237"/>
        <v>0.1640112464854733</v>
      </c>
      <c r="DB78" s="65">
        <f t="shared" ca="1" si="237"/>
        <v>0.16401124648547333</v>
      </c>
      <c r="DC78"/>
      <c r="DD78"/>
      <c r="DE78"/>
      <c r="DF78"/>
      <c r="DG78"/>
      <c r="DJ78"/>
    </row>
    <row r="79" spans="1:114" s="725" customFormat="1">
      <c r="A79" s="331"/>
      <c r="B79" s="162" t="s">
        <v>210</v>
      </c>
      <c r="C79" s="65"/>
      <c r="D79" s="65">
        <f>D13/D10</f>
        <v>0.35420798938498144</v>
      </c>
      <c r="E79" s="65">
        <f t="shared" ref="E79:BP79" si="238">E13/E10</f>
        <v>0.22985589010605156</v>
      </c>
      <c r="F79" s="65">
        <f t="shared" si="238"/>
        <v>0.21352405122457413</v>
      </c>
      <c r="G79" s="163">
        <f t="shared" si="238"/>
        <v>0.20485412196686503</v>
      </c>
      <c r="H79" s="163">
        <f t="shared" si="238"/>
        <v>0.21452614976244974</v>
      </c>
      <c r="I79" s="163">
        <f t="shared" si="238"/>
        <v>0.21614024882002195</v>
      </c>
      <c r="J79" s="163">
        <f t="shared" si="238"/>
        <v>0.20734561908034474</v>
      </c>
      <c r="K79" s="65">
        <f t="shared" si="238"/>
        <v>0.2106226165100927</v>
      </c>
      <c r="L79" s="163">
        <f t="shared" si="238"/>
        <v>0.20244943364859333</v>
      </c>
      <c r="M79" s="163">
        <f t="shared" si="238"/>
        <v>0.21899722486849191</v>
      </c>
      <c r="N79" s="163">
        <f t="shared" si="238"/>
        <v>0.2292952906151971</v>
      </c>
      <c r="O79" s="163">
        <f t="shared" si="238"/>
        <v>0.23095557129997313</v>
      </c>
      <c r="P79" s="65">
        <f t="shared" si="238"/>
        <v>0.22075521626665828</v>
      </c>
      <c r="Q79" s="163">
        <f t="shared" si="238"/>
        <v>0.21548541217148906</v>
      </c>
      <c r="R79" s="163">
        <f t="shared" si="238"/>
        <v>0.22866695227774836</v>
      </c>
      <c r="S79" s="163">
        <f t="shared" si="238"/>
        <v>0.23527590245457833</v>
      </c>
      <c r="T79" s="163">
        <f t="shared" si="238"/>
        <v>0.22729788697953962</v>
      </c>
      <c r="U79" s="65">
        <f t="shared" si="238"/>
        <v>0.22689442892515005</v>
      </c>
      <c r="V79" s="163">
        <f t="shared" si="238"/>
        <v>0.21965460805552348</v>
      </c>
      <c r="W79" s="163">
        <f t="shared" si="238"/>
        <v>0.22722925672315519</v>
      </c>
      <c r="X79" s="163">
        <f t="shared" si="238"/>
        <v>0.22680851683290695</v>
      </c>
      <c r="Y79" s="163">
        <f t="shared" si="238"/>
        <v>0.22628972607033157</v>
      </c>
      <c r="Z79" s="65">
        <f t="shared" si="238"/>
        <v>0.22502356479344993</v>
      </c>
      <c r="AA79" s="163">
        <f t="shared" si="238"/>
        <v>0.22049617492202306</v>
      </c>
      <c r="AB79" s="163">
        <f t="shared" si="238"/>
        <v>0.2290385136180749</v>
      </c>
      <c r="AC79" s="163">
        <f t="shared" si="238"/>
        <v>0.23209919059081252</v>
      </c>
      <c r="AD79" s="163">
        <f t="shared" si="238"/>
        <v>0.23176398699901485</v>
      </c>
      <c r="AE79" s="65">
        <f t="shared" si="238"/>
        <v>0.22843179842323538</v>
      </c>
      <c r="AF79" s="163">
        <f t="shared" si="238"/>
        <v>0.2252987308631067</v>
      </c>
      <c r="AG79" s="163">
        <f t="shared" si="238"/>
        <v>0.23177976410853121</v>
      </c>
      <c r="AH79" s="163">
        <f t="shared" si="238"/>
        <v>0.25242738259416309</v>
      </c>
      <c r="AI79" s="163">
        <f t="shared" si="238"/>
        <v>0.23073853466740996</v>
      </c>
      <c r="AJ79" s="65">
        <f t="shared" si="238"/>
        <v>0.23497621008985553</v>
      </c>
      <c r="AK79" s="163">
        <f t="shared" si="238"/>
        <v>0.2295791998112886</v>
      </c>
      <c r="AL79" s="163">
        <f t="shared" si="238"/>
        <v>0.23495116164319332</v>
      </c>
      <c r="AM79" s="163">
        <f t="shared" si="238"/>
        <v>0.22394731343996549</v>
      </c>
      <c r="AN79" s="163">
        <f t="shared" si="238"/>
        <v>0.23636866167223142</v>
      </c>
      <c r="AO79" s="65">
        <f t="shared" si="238"/>
        <v>0.23097639682544635</v>
      </c>
      <c r="AP79" s="163">
        <f t="shared" si="238"/>
        <v>0.21648740122297133</v>
      </c>
      <c r="AQ79" s="163">
        <f t="shared" si="238"/>
        <v>0.21924815226156516</v>
      </c>
      <c r="AR79" s="163">
        <f t="shared" si="238"/>
        <v>0.21636263833728367</v>
      </c>
      <c r="AS79" s="163">
        <f t="shared" si="238"/>
        <v>0.2113636437994032</v>
      </c>
      <c r="AT79" s="65">
        <f t="shared" si="238"/>
        <v>0.21584871619216897</v>
      </c>
      <c r="AU79" s="163">
        <f t="shared" si="238"/>
        <v>0.21108207900149362</v>
      </c>
      <c r="AV79" s="163">
        <f t="shared" si="238"/>
        <v>0.21390590088751213</v>
      </c>
      <c r="AW79" s="163">
        <f t="shared" si="238"/>
        <v>0.20957908728400532</v>
      </c>
      <c r="AX79" s="163">
        <f t="shared" si="238"/>
        <v>0.20560111256037256</v>
      </c>
      <c r="AY79" s="65">
        <f t="shared" si="238"/>
        <v>0.21000720275646553</v>
      </c>
      <c r="AZ79" s="163">
        <f t="shared" si="238"/>
        <v>0.20996295614824442</v>
      </c>
      <c r="BA79" s="163">
        <f t="shared" si="238"/>
        <v>0.21072285589125794</v>
      </c>
      <c r="BB79" s="163">
        <f t="shared" si="238"/>
        <v>0.21273347846139912</v>
      </c>
      <c r="BC79" s="163">
        <f t="shared" si="238"/>
        <v>0.2111147466527635</v>
      </c>
      <c r="BD79" s="65">
        <f t="shared" si="238"/>
        <v>0.21114225112089993</v>
      </c>
      <c r="BE79" s="163">
        <f t="shared" si="238"/>
        <v>0.20844071552318602</v>
      </c>
      <c r="BF79" s="163">
        <f t="shared" si="238"/>
        <v>0.21818552019160048</v>
      </c>
      <c r="BG79" s="163">
        <f t="shared" si="238"/>
        <v>0.20886464297867435</v>
      </c>
      <c r="BH79" s="163">
        <f t="shared" si="238"/>
        <v>0.20709821762744002</v>
      </c>
      <c r="BI79" s="65">
        <f t="shared" si="238"/>
        <v>0.21064866073547178</v>
      </c>
      <c r="BJ79" s="163">
        <f t="shared" si="238"/>
        <v>0.21502440829411881</v>
      </c>
      <c r="BK79" s="163">
        <f t="shared" si="238"/>
        <v>0.22702155490608314</v>
      </c>
      <c r="BL79" s="163">
        <f t="shared" si="238"/>
        <v>0.21632954860321973</v>
      </c>
      <c r="BM79" s="163">
        <f t="shared" si="238"/>
        <v>0.22269546095663462</v>
      </c>
      <c r="BN79" s="65">
        <f t="shared" si="238"/>
        <v>0.22026167042175579</v>
      </c>
      <c r="BO79" s="163">
        <f t="shared" si="238"/>
        <v>0.21377640220427269</v>
      </c>
      <c r="BP79" s="163">
        <f t="shared" si="238"/>
        <v>0.22549716644249726</v>
      </c>
      <c r="BQ79" s="163">
        <f t="shared" ref="BQ79:CM79" si="239">BQ13/BQ10</f>
        <v>0.22302842772939541</v>
      </c>
      <c r="BR79" s="163">
        <f t="shared" si="239"/>
        <v>0.22029040135597797</v>
      </c>
      <c r="BS79" s="65">
        <f t="shared" si="239"/>
        <v>0.22060507199239132</v>
      </c>
      <c r="BT79" s="163">
        <f t="shared" si="239"/>
        <v>0.2305125148986889</v>
      </c>
      <c r="BU79" s="163">
        <f t="shared" si="239"/>
        <v>0.22975517890772129</v>
      </c>
      <c r="BV79" s="163">
        <f t="shared" si="239"/>
        <v>0.23143482794577686</v>
      </c>
      <c r="BW79" s="163">
        <f t="shared" si="239"/>
        <v>0.2230581537210248</v>
      </c>
      <c r="BX79" s="65">
        <f t="shared" si="239"/>
        <v>0.22859367474715039</v>
      </c>
      <c r="BY79" s="163">
        <f t="shared" si="239"/>
        <v>0.22378334351455914</v>
      </c>
      <c r="BZ79" s="163">
        <f t="shared" si="239"/>
        <v>0.23043834494059812</v>
      </c>
      <c r="CA79" s="163">
        <f t="shared" si="239"/>
        <v>0.23607098638052001</v>
      </c>
      <c r="CB79" s="163">
        <f t="shared" si="239"/>
        <v>0.23989162150896207</v>
      </c>
      <c r="CC79" s="65">
        <f t="shared" si="239"/>
        <v>0.23249472655245151</v>
      </c>
      <c r="CD79" s="163">
        <f t="shared" si="239"/>
        <v>0.23804760952190437</v>
      </c>
      <c r="CE79" s="163">
        <f t="shared" si="239"/>
        <v>0.23006535947712417</v>
      </c>
      <c r="CF79" s="163">
        <f t="shared" si="239"/>
        <v>0.23424657534246576</v>
      </c>
      <c r="CG79" s="163">
        <f t="shared" ref="CG79" si="240">CG13/CG10</f>
        <v>0.27321548444842247</v>
      </c>
      <c r="CH79" s="65">
        <f t="shared" si="239"/>
        <v>0.24368152728061612</v>
      </c>
      <c r="CI79" s="163">
        <f t="shared" ref="CI79:CJ79" si="241">CI13/CI10</f>
        <v>0.28221132411948285</v>
      </c>
      <c r="CJ79" s="163">
        <f t="shared" si="241"/>
        <v>0.24541505791505791</v>
      </c>
      <c r="CK79" s="163">
        <f t="shared" ref="CK79:CL79" si="242">CK13/CK10</f>
        <v>0.24849972722313149</v>
      </c>
      <c r="CL79" s="163">
        <f t="shared" si="242"/>
        <v>0.28800261523373649</v>
      </c>
      <c r="CM79" s="65">
        <f t="shared" si="239"/>
        <v>0.26538586779550632</v>
      </c>
      <c r="CN79" s="163">
        <f t="shared" ref="CN79:CR79" ca="1" si="243">CN13/CN10</f>
        <v>0.23234092235843551</v>
      </c>
      <c r="CO79" s="163">
        <f t="shared" ca="1" si="243"/>
        <v>0.23294392523364485</v>
      </c>
      <c r="CP79" s="163">
        <f t="shared" ca="1" si="243"/>
        <v>0.2322053675612602</v>
      </c>
      <c r="CQ79" s="163">
        <f t="shared" ca="1" si="243"/>
        <v>0.23305282842449743</v>
      </c>
      <c r="CR79" s="65">
        <f t="shared" ca="1" si="243"/>
        <v>0.23264347891965775</v>
      </c>
      <c r="CS79" s="163">
        <f t="shared" ref="CS79:CW79" ca="1" si="244">CS13/CS10</f>
        <v>0.23078725398313027</v>
      </c>
      <c r="CT79" s="163">
        <f t="shared" ca="1" si="244"/>
        <v>0.2278584817244611</v>
      </c>
      <c r="CU79" s="163">
        <f t="shared" ca="1" si="244"/>
        <v>0.22258669165885661</v>
      </c>
      <c r="CV79" s="163">
        <f t="shared" ca="1" si="244"/>
        <v>0.22891283973758197</v>
      </c>
      <c r="CW79" s="65">
        <f t="shared" ca="1" si="244"/>
        <v>0.22765018676697185</v>
      </c>
      <c r="CX79" s="163">
        <f t="shared" ref="CX79:DB79" ca="1" si="245">CX13/CX10</f>
        <v>0.22844423617619497</v>
      </c>
      <c r="CY79" s="163">
        <f t="shared" ca="1" si="245"/>
        <v>0.22610121836925962</v>
      </c>
      <c r="CZ79" s="163">
        <f t="shared" ca="1" si="245"/>
        <v>0.22610121836925962</v>
      </c>
      <c r="DA79" s="163">
        <f t="shared" ca="1" si="245"/>
        <v>0.22961574507966259</v>
      </c>
      <c r="DB79" s="65">
        <f t="shared" ca="1" si="245"/>
        <v>0.22763234557278289</v>
      </c>
      <c r="DC79"/>
      <c r="DD79"/>
      <c r="DE79"/>
      <c r="DF79"/>
      <c r="DG79"/>
      <c r="DJ79"/>
    </row>
    <row r="80" spans="1:114" s="725" customFormat="1">
      <c r="A80" s="331"/>
      <c r="B80" s="162" t="s">
        <v>223</v>
      </c>
      <c r="C80" s="65"/>
      <c r="D80" s="65">
        <f>D14/D$10</f>
        <v>4.2843667368783166E-2</v>
      </c>
      <c r="E80" s="65">
        <f t="shared" ref="E80:BP80" si="246">E14/E$10</f>
        <v>2.5915816751353567E-2</v>
      </c>
      <c r="F80" s="65">
        <f t="shared" si="246"/>
        <v>2.5827066864823681E-2</v>
      </c>
      <c r="G80" s="163">
        <f t="shared" si="246"/>
        <v>2.7209736999270057E-2</v>
      </c>
      <c r="H80" s="163">
        <f t="shared" si="246"/>
        <v>2.7055173759284245E-2</v>
      </c>
      <c r="I80" s="163">
        <f t="shared" si="246"/>
        <v>2.896994857014424E-2</v>
      </c>
      <c r="J80" s="163">
        <f t="shared" si="246"/>
        <v>2.8084562715194671E-2</v>
      </c>
      <c r="K80" s="65">
        <f t="shared" si="246"/>
        <v>2.7852886596127616E-2</v>
      </c>
      <c r="L80" s="163">
        <f t="shared" si="246"/>
        <v>2.5120858852574944E-2</v>
      </c>
      <c r="M80" s="163">
        <f t="shared" si="246"/>
        <v>2.7906639605682806E-2</v>
      </c>
      <c r="N80" s="163">
        <f t="shared" si="246"/>
        <v>2.7966592739115666E-2</v>
      </c>
      <c r="O80" s="163">
        <f t="shared" si="246"/>
        <v>2.7755487107013387E-2</v>
      </c>
      <c r="P80" s="65">
        <f t="shared" si="246"/>
        <v>2.7207474627116531E-2</v>
      </c>
      <c r="Q80" s="163">
        <f t="shared" si="246"/>
        <v>2.7036399211975821E-2</v>
      </c>
      <c r="R80" s="163">
        <f t="shared" si="246"/>
        <v>2.842166276051511E-2</v>
      </c>
      <c r="S80" s="163">
        <f t="shared" si="246"/>
        <v>2.7599443228294791E-2</v>
      </c>
      <c r="T80" s="163">
        <f t="shared" si="246"/>
        <v>2.6741010309365019E-2</v>
      </c>
      <c r="U80" s="65">
        <f t="shared" si="246"/>
        <v>2.7419895813543298E-2</v>
      </c>
      <c r="V80" s="163">
        <f t="shared" si="246"/>
        <v>2.6753954079034043E-2</v>
      </c>
      <c r="W80" s="163">
        <f t="shared" si="246"/>
        <v>2.7474629345254034E-2</v>
      </c>
      <c r="X80" s="163">
        <f t="shared" si="246"/>
        <v>2.7726422747550727E-2</v>
      </c>
      <c r="Y80" s="163">
        <f t="shared" si="246"/>
        <v>2.6390020685764438E-2</v>
      </c>
      <c r="Z80" s="65">
        <f t="shared" si="246"/>
        <v>2.7079299813710864E-2</v>
      </c>
      <c r="AA80" s="163">
        <f t="shared" si="246"/>
        <v>2.5396469271345205E-2</v>
      </c>
      <c r="AB80" s="163">
        <f t="shared" si="246"/>
        <v>2.6612310430207366E-2</v>
      </c>
      <c r="AC80" s="163">
        <f t="shared" si="246"/>
        <v>2.6698904326136062E-2</v>
      </c>
      <c r="AD80" s="163">
        <f t="shared" si="246"/>
        <v>2.4988464856641114E-2</v>
      </c>
      <c r="AE80" s="65">
        <f t="shared" si="246"/>
        <v>2.5911970016870556E-2</v>
      </c>
      <c r="AF80" s="163">
        <f t="shared" si="246"/>
        <v>2.5008406141216646E-2</v>
      </c>
      <c r="AG80" s="163">
        <f t="shared" si="246"/>
        <v>2.5012958163643094E-2</v>
      </c>
      <c r="AH80" s="163">
        <f t="shared" si="246"/>
        <v>2.6303805190732124E-2</v>
      </c>
      <c r="AI80" s="163">
        <f t="shared" si="246"/>
        <v>2.5415920894339954E-2</v>
      </c>
      <c r="AJ80" s="65">
        <f t="shared" si="246"/>
        <v>2.5434576764860346E-2</v>
      </c>
      <c r="AK80" s="163">
        <f t="shared" si="246"/>
        <v>2.4334034136542424E-2</v>
      </c>
      <c r="AL80" s="163">
        <f t="shared" si="246"/>
        <v>2.5665467478806728E-2</v>
      </c>
      <c r="AM80" s="163">
        <f t="shared" si="246"/>
        <v>2.3672088021952409E-2</v>
      </c>
      <c r="AN80" s="163">
        <f t="shared" si="246"/>
        <v>2.6116965022342068E-2</v>
      </c>
      <c r="AO80" s="907">
        <f t="shared" si="246"/>
        <v>2.4951548421929762E-2</v>
      </c>
      <c r="AP80" s="163">
        <f t="shared" si="246"/>
        <v>2.4627706365095859E-2</v>
      </c>
      <c r="AQ80" s="163">
        <f t="shared" si="246"/>
        <v>2.4370768746705119E-2</v>
      </c>
      <c r="AR80" s="163">
        <f t="shared" si="246"/>
        <v>2.4050057078115479E-2</v>
      </c>
      <c r="AS80" s="163">
        <f t="shared" si="246"/>
        <v>2.260729662880176E-2</v>
      </c>
      <c r="AT80" s="907">
        <f t="shared" si="246"/>
        <v>2.391075370350941E-2</v>
      </c>
      <c r="AU80" s="163">
        <f t="shared" si="246"/>
        <v>2.3443265560891362E-2</v>
      </c>
      <c r="AV80" s="163">
        <f t="shared" si="246"/>
        <v>2.3055197986512711E-2</v>
      </c>
      <c r="AW80" s="163">
        <f t="shared" si="246"/>
        <v>2.3143922611135726E-2</v>
      </c>
      <c r="AX80" s="163">
        <f t="shared" si="246"/>
        <v>2.322300000073816E-2</v>
      </c>
      <c r="AY80" s="65">
        <f t="shared" si="246"/>
        <v>2.3213930898696274E-2</v>
      </c>
      <c r="AZ80" s="163">
        <f t="shared" si="246"/>
        <v>2.3150969867550622E-2</v>
      </c>
      <c r="BA80" s="163">
        <f t="shared" si="246"/>
        <v>2.2666543350346683E-2</v>
      </c>
      <c r="BB80" s="163">
        <f t="shared" si="246"/>
        <v>2.2627412356290573E-2</v>
      </c>
      <c r="BC80" s="163">
        <f t="shared" si="246"/>
        <v>2.1971698316035022E-2</v>
      </c>
      <c r="BD80" s="65">
        <f t="shared" si="246"/>
        <v>2.2593556895675587E-2</v>
      </c>
      <c r="BE80" s="163">
        <f t="shared" si="246"/>
        <v>2.1603878736441488E-2</v>
      </c>
      <c r="BF80" s="163">
        <f t="shared" si="246"/>
        <v>2.0804598199096448E-2</v>
      </c>
      <c r="BG80" s="163">
        <f t="shared" si="246"/>
        <v>2.1596581576740357E-2</v>
      </c>
      <c r="BH80" s="163">
        <f t="shared" si="246"/>
        <v>2.1524539851787775E-2</v>
      </c>
      <c r="BI80" s="65">
        <f t="shared" si="246"/>
        <v>2.1382126697908149E-2</v>
      </c>
      <c r="BJ80" s="163">
        <f t="shared" si="246"/>
        <v>2.0389228503792045E-2</v>
      </c>
      <c r="BK80" s="163">
        <f t="shared" si="246"/>
        <v>2.0494459715064011E-2</v>
      </c>
      <c r="BL80" s="163">
        <f t="shared" si="246"/>
        <v>2.136872943278861E-2</v>
      </c>
      <c r="BM80" s="163">
        <f t="shared" si="246"/>
        <v>2.1515459821431295E-2</v>
      </c>
      <c r="BN80" s="65">
        <f t="shared" si="246"/>
        <v>2.0940157656179664E-2</v>
      </c>
      <c r="BO80" s="163">
        <f t="shared" si="246"/>
        <v>2.1606099494225109E-2</v>
      </c>
      <c r="BP80" s="163">
        <f t="shared" si="246"/>
        <v>2.2191385404297565E-2</v>
      </c>
      <c r="BQ80" s="163">
        <f t="shared" ref="BQ80:CM80" si="247">BQ14/BQ$10</f>
        <v>2.2262541128961841E-2</v>
      </c>
      <c r="BR80" s="163">
        <f t="shared" si="247"/>
        <v>2.2403221468866755E-2</v>
      </c>
      <c r="BS80" s="65">
        <f t="shared" si="247"/>
        <v>2.2112539509896102E-2</v>
      </c>
      <c r="BT80" s="163">
        <f t="shared" si="247"/>
        <v>2.3599523241954707E-2</v>
      </c>
      <c r="BU80" s="163">
        <f t="shared" si="247"/>
        <v>2.322661644695543E-2</v>
      </c>
      <c r="BV80" s="163">
        <f t="shared" si="247"/>
        <v>2.2940563086548488E-2</v>
      </c>
      <c r="BW80" s="163">
        <f t="shared" si="247"/>
        <v>2.338348922326149E-2</v>
      </c>
      <c r="BX80" s="65">
        <f t="shared" si="247"/>
        <v>2.3278214801733827E-2</v>
      </c>
      <c r="BY80" s="163">
        <f t="shared" si="247"/>
        <v>2.3620443901445735E-2</v>
      </c>
      <c r="BZ80" s="163">
        <f t="shared" si="247"/>
        <v>2.3146251536255633E-2</v>
      </c>
      <c r="CA80" s="163">
        <f t="shared" si="247"/>
        <v>2.3730912092447379E-2</v>
      </c>
      <c r="CB80" s="163">
        <f t="shared" si="247"/>
        <v>2.3551479783243019E-2</v>
      </c>
      <c r="CC80" s="65">
        <f t="shared" si="247"/>
        <v>2.3511858825950506E-2</v>
      </c>
      <c r="CD80" s="163">
        <f t="shared" si="247"/>
        <v>2.3804760952190439E-2</v>
      </c>
      <c r="CE80" s="163">
        <f t="shared" si="247"/>
        <v>2.4400871459694988E-2</v>
      </c>
      <c r="CF80" s="163">
        <f t="shared" si="247"/>
        <v>2.4885844748858448E-2</v>
      </c>
      <c r="CG80" s="163">
        <f t="shared" ref="CG80" si="248">CG14/CG$10</f>
        <v>2.4614007607965987E-2</v>
      </c>
      <c r="CH80" s="65">
        <f t="shared" si="247"/>
        <v>2.4406117800195248E-2</v>
      </c>
      <c r="CI80" s="163">
        <f t="shared" ref="CI80:CJ80" si="249">CI14/CI$10</f>
        <v>2.4297815425769059E-2</v>
      </c>
      <c r="CJ80" s="163">
        <f t="shared" si="249"/>
        <v>2.5096525096525095E-2</v>
      </c>
      <c r="CK80" s="163">
        <f t="shared" ref="CK80:CL80" si="250">CK14/CK$10</f>
        <v>2.5368248772504091E-2</v>
      </c>
      <c r="CL80" s="163">
        <f t="shared" si="250"/>
        <v>2.8767571101667212E-2</v>
      </c>
      <c r="CM80" s="65">
        <f t="shared" si="247"/>
        <v>2.565939433409313E-2</v>
      </c>
      <c r="CN80" s="163">
        <f t="shared" ref="CN80:CR80" ca="1" si="251">CN14/CN$10</f>
        <v>2.8305847293990147E-2</v>
      </c>
      <c r="CO80" s="163">
        <f t="shared" ca="1" si="251"/>
        <v>2.983361043908574E-2</v>
      </c>
      <c r="CP80" s="163">
        <f t="shared" ca="1" si="251"/>
        <v>3.0024450084372961E-2</v>
      </c>
      <c r="CQ80" s="163">
        <f t="shared" ca="1" si="251"/>
        <v>2.4329140710787411E-2</v>
      </c>
      <c r="CR80" s="65">
        <f t="shared" ca="1" si="251"/>
        <v>2.805122439266991E-2</v>
      </c>
      <c r="CS80" s="163">
        <f t="shared" ref="CS80:CW80" ca="1" si="252">CS14/CS$10</f>
        <v>3.1032904617239739E-2</v>
      </c>
      <c r="CT80" s="163">
        <f t="shared" ca="1" si="252"/>
        <v>3.1800654246050074E-2</v>
      </c>
      <c r="CU80" s="163">
        <f t="shared" ca="1" si="252"/>
        <v>3.0687050062949403E-2</v>
      </c>
      <c r="CV80" s="163">
        <f t="shared" ca="1" si="252"/>
        <v>2.4954612243874557E-2</v>
      </c>
      <c r="CW80" s="65">
        <f t="shared" ca="1" si="252"/>
        <v>2.9531675707909009E-2</v>
      </c>
      <c r="CX80" s="163">
        <f t="shared" ref="CX80:DB80" ca="1" si="253">CX14/CX$10</f>
        <v>3.1628471317584464E-2</v>
      </c>
      <c r="CY80" s="163">
        <f t="shared" ca="1" si="253"/>
        <v>3.2392405504851327E-2</v>
      </c>
      <c r="CZ80" s="163">
        <f t="shared" ca="1" si="253"/>
        <v>3.151790484164816E-2</v>
      </c>
      <c r="DA80" s="163">
        <f t="shared" ca="1" si="253"/>
        <v>2.5443944037464666E-2</v>
      </c>
      <c r="DB80" s="65">
        <f t="shared" ca="1" si="253"/>
        <v>3.0151709560517184E-2</v>
      </c>
      <c r="DC80"/>
      <c r="DD80"/>
      <c r="DE80"/>
      <c r="DF80"/>
      <c r="DG80"/>
      <c r="DJ80"/>
    </row>
    <row r="81" spans="1:114" s="725" customFormat="1">
      <c r="A81" s="331"/>
      <c r="B81" s="162" t="s">
        <v>154</v>
      </c>
      <c r="C81" s="65"/>
      <c r="D81" s="65">
        <f>D16/D$10</f>
        <v>0</v>
      </c>
      <c r="E81" s="65">
        <f t="shared" ref="E81:BP81" si="254">E16/E$10</f>
        <v>0</v>
      </c>
      <c r="F81" s="65">
        <f t="shared" si="254"/>
        <v>0</v>
      </c>
      <c r="G81" s="163">
        <f t="shared" si="254"/>
        <v>0</v>
      </c>
      <c r="H81" s="163">
        <f t="shared" si="254"/>
        <v>0</v>
      </c>
      <c r="I81" s="163">
        <f t="shared" si="254"/>
        <v>0</v>
      </c>
      <c r="J81" s="163">
        <f t="shared" si="254"/>
        <v>0</v>
      </c>
      <c r="K81" s="65">
        <f t="shared" si="254"/>
        <v>0</v>
      </c>
      <c r="L81" s="163">
        <f t="shared" si="254"/>
        <v>0</v>
      </c>
      <c r="M81" s="163">
        <f t="shared" si="254"/>
        <v>0</v>
      </c>
      <c r="N81" s="163">
        <f t="shared" si="254"/>
        <v>0</v>
      </c>
      <c r="O81" s="163">
        <f t="shared" si="254"/>
        <v>0</v>
      </c>
      <c r="P81" s="65">
        <f t="shared" si="254"/>
        <v>0</v>
      </c>
      <c r="Q81" s="163">
        <f t="shared" si="254"/>
        <v>0</v>
      </c>
      <c r="R81" s="163">
        <f t="shared" si="254"/>
        <v>0</v>
      </c>
      <c r="S81" s="163">
        <f t="shared" si="254"/>
        <v>0</v>
      </c>
      <c r="T81" s="163">
        <f t="shared" si="254"/>
        <v>0</v>
      </c>
      <c r="U81" s="65">
        <f t="shared" si="254"/>
        <v>0</v>
      </c>
      <c r="V81" s="163">
        <f t="shared" si="254"/>
        <v>0</v>
      </c>
      <c r="W81" s="163">
        <f t="shared" si="254"/>
        <v>0</v>
      </c>
      <c r="X81" s="163">
        <f t="shared" si="254"/>
        <v>0</v>
      </c>
      <c r="Y81" s="163">
        <f t="shared" si="254"/>
        <v>0</v>
      </c>
      <c r="Z81" s="65">
        <f t="shared" si="254"/>
        <v>0</v>
      </c>
      <c r="AA81" s="163">
        <f t="shared" si="254"/>
        <v>0</v>
      </c>
      <c r="AB81" s="163">
        <f t="shared" si="254"/>
        <v>0</v>
      </c>
      <c r="AC81" s="163">
        <f t="shared" si="254"/>
        <v>0</v>
      </c>
      <c r="AD81" s="163">
        <f t="shared" si="254"/>
        <v>0</v>
      </c>
      <c r="AE81" s="65">
        <f t="shared" si="254"/>
        <v>0</v>
      </c>
      <c r="AF81" s="163">
        <f t="shared" si="254"/>
        <v>0</v>
      </c>
      <c r="AG81" s="163">
        <f t="shared" si="254"/>
        <v>0</v>
      </c>
      <c r="AH81" s="163">
        <f t="shared" si="254"/>
        <v>0</v>
      </c>
      <c r="AI81" s="163">
        <f t="shared" si="254"/>
        <v>0</v>
      </c>
      <c r="AJ81" s="65">
        <f t="shared" si="254"/>
        <v>0</v>
      </c>
      <c r="AK81" s="163">
        <f t="shared" si="254"/>
        <v>0</v>
      </c>
      <c r="AL81" s="163">
        <f t="shared" si="254"/>
        <v>0</v>
      </c>
      <c r="AM81" s="163">
        <f t="shared" si="254"/>
        <v>0</v>
      </c>
      <c r="AN81" s="163">
        <f t="shared" si="254"/>
        <v>0</v>
      </c>
      <c r="AO81" s="907">
        <f t="shared" si="254"/>
        <v>0</v>
      </c>
      <c r="AP81" s="163">
        <f t="shared" si="254"/>
        <v>0</v>
      </c>
      <c r="AQ81" s="163">
        <f t="shared" si="254"/>
        <v>0</v>
      </c>
      <c r="AR81" s="163">
        <f t="shared" si="254"/>
        <v>0</v>
      </c>
      <c r="AS81" s="163">
        <f t="shared" si="254"/>
        <v>0</v>
      </c>
      <c r="AT81" s="907">
        <f t="shared" si="254"/>
        <v>0</v>
      </c>
      <c r="AU81" s="163">
        <f t="shared" si="254"/>
        <v>0</v>
      </c>
      <c r="AV81" s="163">
        <f t="shared" si="254"/>
        <v>0</v>
      </c>
      <c r="AW81" s="163">
        <f t="shared" si="254"/>
        <v>0</v>
      </c>
      <c r="AX81" s="163">
        <f t="shared" si="254"/>
        <v>0</v>
      </c>
      <c r="AY81" s="65">
        <f t="shared" si="254"/>
        <v>0</v>
      </c>
      <c r="AZ81" s="163">
        <f t="shared" si="254"/>
        <v>0</v>
      </c>
      <c r="BA81" s="163">
        <f t="shared" si="254"/>
        <v>0</v>
      </c>
      <c r="BB81" s="163">
        <f t="shared" si="254"/>
        <v>0</v>
      </c>
      <c r="BC81" s="163">
        <f t="shared" si="254"/>
        <v>0</v>
      </c>
      <c r="BD81" s="65">
        <f t="shared" si="254"/>
        <v>0</v>
      </c>
      <c r="BE81" s="163">
        <f t="shared" si="254"/>
        <v>0</v>
      </c>
      <c r="BF81" s="163">
        <f t="shared" si="254"/>
        <v>0</v>
      </c>
      <c r="BG81" s="163">
        <f t="shared" si="254"/>
        <v>0</v>
      </c>
      <c r="BH81" s="163">
        <f t="shared" si="254"/>
        <v>-7.7083662555205304E-3</v>
      </c>
      <c r="BI81" s="65">
        <f t="shared" si="254"/>
        <v>-1.9324715861204669E-3</v>
      </c>
      <c r="BJ81" s="947">
        <f t="shared" si="254"/>
        <v>-7.936828089480397E-3</v>
      </c>
      <c r="BK81" s="947">
        <f t="shared" si="254"/>
        <v>-5.1810467799001782E-3</v>
      </c>
      <c r="BL81" s="947">
        <f t="shared" si="254"/>
        <v>-9.5335348673580254E-3</v>
      </c>
      <c r="BM81" s="947">
        <f t="shared" si="254"/>
        <v>-1.6216928811155266E-2</v>
      </c>
      <c r="BN81" s="907">
        <f t="shared" si="254"/>
        <v>-9.7270815800309853E-3</v>
      </c>
      <c r="BO81" s="163">
        <f t="shared" si="254"/>
        <v>-6.3156941194232657E-3</v>
      </c>
      <c r="BP81" s="163">
        <f t="shared" si="254"/>
        <v>-7.534318319387244E-3</v>
      </c>
      <c r="BQ81" s="163">
        <f t="shared" ref="BQ81:CM81" si="255">BQ16/BQ$10</f>
        <v>-2.0199606554035431E-2</v>
      </c>
      <c r="BR81" s="163">
        <f t="shared" si="255"/>
        <v>-1.719730104189587E-2</v>
      </c>
      <c r="BS81" s="65">
        <f t="shared" si="255"/>
        <v>-1.276203400095694E-2</v>
      </c>
      <c r="BT81" s="163">
        <f t="shared" si="255"/>
        <v>-9.5351609058402856E-3</v>
      </c>
      <c r="BU81" s="163">
        <f t="shared" si="255"/>
        <v>-1.7576898932831136E-2</v>
      </c>
      <c r="BV81" s="163">
        <f t="shared" si="255"/>
        <v>-1.835245046923879E-2</v>
      </c>
      <c r="BW81" s="163">
        <f t="shared" si="255"/>
        <v>-9.5567303782025208E-3</v>
      </c>
      <c r="BX81" s="65">
        <f t="shared" si="255"/>
        <v>-1.3859902606089795E-2</v>
      </c>
      <c r="BY81" s="163">
        <f t="shared" si="255"/>
        <v>-5.2942374261861127E-3</v>
      </c>
      <c r="BZ81" s="163">
        <f t="shared" si="255"/>
        <v>-1.1265874641540352E-2</v>
      </c>
      <c r="CA81" s="163">
        <f t="shared" si="255"/>
        <v>-1.1143210895583986E-2</v>
      </c>
      <c r="CB81" s="163">
        <f t="shared" si="255"/>
        <v>-5.2105043768236768E-3</v>
      </c>
      <c r="CC81" s="65">
        <f t="shared" si="255"/>
        <v>-8.2317230025209659E-3</v>
      </c>
      <c r="CD81" s="163">
        <f t="shared" si="255"/>
        <v>-3.6007201440288058E-3</v>
      </c>
      <c r="CE81" s="163">
        <f t="shared" si="255"/>
        <v>-6.7538126361655773E-3</v>
      </c>
      <c r="CF81" s="163">
        <f t="shared" si="255"/>
        <v>-1.1415525114155251E-3</v>
      </c>
      <c r="CG81" s="163">
        <f t="shared" ref="CG81" si="256">CG16/CG$10</f>
        <v>-3.3564555829044529E-3</v>
      </c>
      <c r="CH81" s="65">
        <f t="shared" si="255"/>
        <v>-3.7422713960299381E-3</v>
      </c>
      <c r="CI81" s="163">
        <f t="shared" ref="CI81:CJ81" si="257">CI16/CI$10</f>
        <v>-1.3374944271065537E-3</v>
      </c>
      <c r="CJ81" s="163">
        <f t="shared" si="257"/>
        <v>-4.1023166023166019E-3</v>
      </c>
      <c r="CK81" s="163">
        <f t="shared" ref="CK81:CL81" si="258">CK16/CK$10</f>
        <v>-5.455537370430987E-4</v>
      </c>
      <c r="CL81" s="163">
        <f t="shared" si="258"/>
        <v>-9.8071265119320039E-4</v>
      </c>
      <c r="CM81" s="65">
        <f t="shared" si="255"/>
        <v>-1.8235102572451969E-3</v>
      </c>
      <c r="CN81" s="163">
        <f t="shared" ref="CN81:CR81" ca="1" si="259">CN16/CN$10</f>
        <v>-1.6401263521384924E-3</v>
      </c>
      <c r="CO81" s="163">
        <f t="shared" ca="1" si="259"/>
        <v>-4.9761712859542539E-3</v>
      </c>
      <c r="CP81" s="163">
        <f t="shared" ca="1" si="259"/>
        <v>-6.39294157018481E-4</v>
      </c>
      <c r="CQ81" s="163">
        <f t="shared" ca="1" si="259"/>
        <v>-8.4632910635856025E-4</v>
      </c>
      <c r="CR81" s="65">
        <f t="shared" ca="1" si="259"/>
        <v>-2.0367033580405494E-3</v>
      </c>
      <c r="CS81" s="163">
        <f t="shared" ref="CS81:CW81" ca="1" si="260">CS16/CS$10</f>
        <v>-5.8476107203523199E-4</v>
      </c>
      <c r="CT81" s="163">
        <f t="shared" ca="1" si="260"/>
        <v>-6.0881139192958764E-4</v>
      </c>
      <c r="CU81" s="163">
        <f t="shared" ca="1" si="260"/>
        <v>-6.3746588794352625E-4</v>
      </c>
      <c r="CV81" s="163">
        <f t="shared" ca="1" si="260"/>
        <v>-5.64609535360753E-4</v>
      </c>
      <c r="CW81" s="65">
        <f t="shared" ca="1" si="260"/>
        <v>-5.9768469939934401E-4</v>
      </c>
      <c r="CX81" s="163">
        <f t="shared" ref="CX81:DB81" ca="1" si="261">CX16/CX$10</f>
        <v>-2.9072365359387862E-4</v>
      </c>
      <c r="CY81" s="163">
        <f t="shared" ca="1" si="261"/>
        <v>-3.0250743609527608E-4</v>
      </c>
      <c r="CZ81" s="163">
        <f t="shared" ca="1" si="261"/>
        <v>-3.1937821320253011E-4</v>
      </c>
      <c r="DA81" s="163">
        <f t="shared" ca="1" si="261"/>
        <v>-2.8081994701740918E-4</v>
      </c>
      <c r="DB81" s="65">
        <f t="shared" ca="1" si="261"/>
        <v>-2.9767483901589679E-4</v>
      </c>
      <c r="DC81"/>
      <c r="DD81"/>
      <c r="DE81"/>
      <c r="DF81"/>
      <c r="DG81"/>
      <c r="DJ81"/>
    </row>
    <row r="82" spans="1:114" s="725" customFormat="1">
      <c r="A82" s="331"/>
      <c r="B82" s="162" t="s">
        <v>213</v>
      </c>
      <c r="C82" s="65"/>
      <c r="D82" s="65">
        <f>+D18/D10</f>
        <v>0.13326653443396805</v>
      </c>
      <c r="E82" s="65">
        <f t="shared" ref="E82:BP82" si="262">+E18/E10</f>
        <v>8.291091425298841E-2</v>
      </c>
      <c r="F82" s="65">
        <f t="shared" si="262"/>
        <v>8.0335879420473044E-2</v>
      </c>
      <c r="G82" s="163">
        <f t="shared" si="262"/>
        <v>7.8820035833572957E-2</v>
      </c>
      <c r="H82" s="163">
        <f t="shared" si="262"/>
        <v>7.8755670842458422E-2</v>
      </c>
      <c r="I82" s="163">
        <f t="shared" si="262"/>
        <v>8.0994751246083269E-2</v>
      </c>
      <c r="J82" s="163">
        <f t="shared" si="262"/>
        <v>7.3495395727585733E-2</v>
      </c>
      <c r="K82" s="65">
        <f t="shared" si="262"/>
        <v>7.7837958786235714E-2</v>
      </c>
      <c r="L82" s="163">
        <f t="shared" si="262"/>
        <v>5.8897237925487261E-2</v>
      </c>
      <c r="M82" s="163">
        <f t="shared" si="262"/>
        <v>5.9957337530547154E-2</v>
      </c>
      <c r="N82" s="163">
        <f t="shared" si="262"/>
        <v>5.7907250894123755E-2</v>
      </c>
      <c r="O82" s="163">
        <f t="shared" si="262"/>
        <v>5.976384626515896E-2</v>
      </c>
      <c r="P82" s="65">
        <f t="shared" si="262"/>
        <v>5.9136113908226928E-2</v>
      </c>
      <c r="Q82" s="163">
        <f t="shared" si="262"/>
        <v>5.568771191551522E-2</v>
      </c>
      <c r="R82" s="163">
        <f t="shared" si="262"/>
        <v>5.7723679678771525E-2</v>
      </c>
      <c r="S82" s="163">
        <f t="shared" si="262"/>
        <v>5.5759950454676445E-2</v>
      </c>
      <c r="T82" s="163">
        <f t="shared" si="262"/>
        <v>5.5760534624024166E-2</v>
      </c>
      <c r="U82" s="65">
        <f t="shared" si="262"/>
        <v>5.620017309681459E-2</v>
      </c>
      <c r="V82" s="163">
        <f t="shared" si="262"/>
        <v>5.2224402898412937E-2</v>
      </c>
      <c r="W82" s="163">
        <f t="shared" si="262"/>
        <v>5.2880805740298499E-2</v>
      </c>
      <c r="X82" s="163">
        <f t="shared" si="262"/>
        <v>5.2025255646590336E-2</v>
      </c>
      <c r="Y82" s="163">
        <f t="shared" si="262"/>
        <v>5.3222668118209485E-2</v>
      </c>
      <c r="Z82" s="65">
        <f t="shared" si="262"/>
        <v>5.2593824144256125E-2</v>
      </c>
      <c r="AA82" s="163">
        <f t="shared" si="262"/>
        <v>4.9073665368473171E-2</v>
      </c>
      <c r="AB82" s="163">
        <f t="shared" si="262"/>
        <v>4.8943583642835034E-2</v>
      </c>
      <c r="AC82" s="163">
        <f t="shared" si="262"/>
        <v>4.8416277148210729E-2</v>
      </c>
      <c r="AD82" s="163">
        <f t="shared" si="262"/>
        <v>4.9647030281593542E-2</v>
      </c>
      <c r="AE82" s="65">
        <f t="shared" si="262"/>
        <v>4.9028620530029182E-2</v>
      </c>
      <c r="AF82" s="163">
        <f t="shared" si="262"/>
        <v>4.625390790351383E-2</v>
      </c>
      <c r="AG82" s="163">
        <f t="shared" si="262"/>
        <v>4.9910615116094563E-2</v>
      </c>
      <c r="AH82" s="163">
        <f t="shared" si="262"/>
        <v>5.3650525646478577E-2</v>
      </c>
      <c r="AI82" s="163">
        <f t="shared" si="262"/>
        <v>4.8053167454006632E-2</v>
      </c>
      <c r="AJ82" s="65">
        <f t="shared" si="262"/>
        <v>4.9445033062278092E-2</v>
      </c>
      <c r="AK82" s="163">
        <f t="shared" si="262"/>
        <v>4.7992226888003163E-2</v>
      </c>
      <c r="AL82" s="163">
        <f t="shared" si="262"/>
        <v>4.8478509578206347E-2</v>
      </c>
      <c r="AM82" s="163">
        <f t="shared" si="262"/>
        <v>5.1356271679912448E-2</v>
      </c>
      <c r="AN82" s="163">
        <f t="shared" si="262"/>
        <v>5.3111555307002727E-2</v>
      </c>
      <c r="AO82" s="65">
        <f t="shared" si="262"/>
        <v>5.0894910789799734E-2</v>
      </c>
      <c r="AP82" s="163">
        <f t="shared" si="262"/>
        <v>5.0490151303819744E-2</v>
      </c>
      <c r="AQ82" s="163">
        <f t="shared" si="262"/>
        <v>5.2068821093911165E-2</v>
      </c>
      <c r="AR82" s="163">
        <f t="shared" si="262"/>
        <v>5.3341164458951373E-2</v>
      </c>
      <c r="AS82" s="163">
        <f t="shared" si="262"/>
        <v>5.1442754410302043E-2</v>
      </c>
      <c r="AT82" s="65">
        <f t="shared" si="262"/>
        <v>5.1836891294464227E-2</v>
      </c>
      <c r="AU82" s="163">
        <f t="shared" si="262"/>
        <v>5.3005566421412485E-2</v>
      </c>
      <c r="AV82" s="163">
        <f t="shared" si="262"/>
        <v>5.3662480189293732E-2</v>
      </c>
      <c r="AW82" s="163">
        <f t="shared" si="262"/>
        <v>5.3004726037512918E-2</v>
      </c>
      <c r="AX82" s="163">
        <f t="shared" si="262"/>
        <v>5.3385846301024643E-2</v>
      </c>
      <c r="AY82" s="65">
        <f t="shared" si="262"/>
        <v>5.3266340924451587E-2</v>
      </c>
      <c r="AZ82" s="163">
        <f t="shared" si="262"/>
        <v>5.3071390991602241E-2</v>
      </c>
      <c r="BA82" s="163">
        <f t="shared" si="262"/>
        <v>5.4983664172379008E-2</v>
      </c>
      <c r="BB82" s="163">
        <f t="shared" si="262"/>
        <v>5.3043231643066388E-2</v>
      </c>
      <c r="BC82" s="163">
        <f t="shared" si="262"/>
        <v>5.2963197867228522E-2</v>
      </c>
      <c r="BD82" s="65">
        <f t="shared" si="262"/>
        <v>5.350411090241923E-2</v>
      </c>
      <c r="BE82" s="163">
        <f t="shared" si="262"/>
        <v>5.3604188330762831E-2</v>
      </c>
      <c r="BF82" s="163">
        <f t="shared" si="262"/>
        <v>5.3777175425307758E-2</v>
      </c>
      <c r="BG82" s="163">
        <f t="shared" si="262"/>
        <v>5.4096119374191134E-2</v>
      </c>
      <c r="BH82" s="163">
        <f t="shared" si="262"/>
        <v>5.7098467142964071E-2</v>
      </c>
      <c r="BI82" s="65">
        <f t="shared" si="262"/>
        <v>5.4645992807068847E-2</v>
      </c>
      <c r="BJ82" s="163">
        <f t="shared" si="262"/>
        <v>5.2882059183478498E-2</v>
      </c>
      <c r="BK82" s="163">
        <f t="shared" si="262"/>
        <v>5.5443244380004281E-2</v>
      </c>
      <c r="BL82" s="163">
        <f t="shared" si="262"/>
        <v>5.6726431571311596E-2</v>
      </c>
      <c r="BM82" s="163">
        <f t="shared" si="262"/>
        <v>5.773546466740679E-2</v>
      </c>
      <c r="BN82" s="65">
        <f t="shared" si="262"/>
        <v>5.5687991044582517E-2</v>
      </c>
      <c r="BO82" s="163">
        <f t="shared" si="262"/>
        <v>5.8023099569713896E-2</v>
      </c>
      <c r="BP82" s="163">
        <f t="shared" si="262"/>
        <v>6.0130250022324257E-2</v>
      </c>
      <c r="BQ82" s="163">
        <f t="shared" ref="BQ82:CM82" si="263">+BQ18/BQ10</f>
        <v>6.0853618028040866E-2</v>
      </c>
      <c r="BR82" s="163">
        <f t="shared" si="263"/>
        <v>6.1916163698994935E-2</v>
      </c>
      <c r="BS82" s="65">
        <f t="shared" si="263"/>
        <v>6.0216455335573793E-2</v>
      </c>
      <c r="BT82" s="163">
        <f t="shared" si="263"/>
        <v>6.1263408820023839E-2</v>
      </c>
      <c r="BU82" s="163">
        <f t="shared" si="263"/>
        <v>5.9008160703075956E-2</v>
      </c>
      <c r="BV82" s="163">
        <f t="shared" si="263"/>
        <v>5.8394160583941604E-2</v>
      </c>
      <c r="BW82" s="163">
        <f t="shared" si="263"/>
        <v>5.9170394469296464E-2</v>
      </c>
      <c r="BX82" s="65">
        <f t="shared" si="263"/>
        <v>5.9399582597527693E-2</v>
      </c>
      <c r="BY82" s="163">
        <f t="shared" si="263"/>
        <v>6.0272856851964977E-2</v>
      </c>
      <c r="BZ82" s="163">
        <f t="shared" si="263"/>
        <v>5.9606718557968043E-2</v>
      </c>
      <c r="CA82" s="163">
        <f t="shared" si="263"/>
        <v>5.9430458109781266E-2</v>
      </c>
      <c r="CB82" s="163">
        <f t="shared" si="263"/>
        <v>6.1900791996665275E-2</v>
      </c>
      <c r="CC82" s="65">
        <f t="shared" si="263"/>
        <v>6.0297370993466069E-2</v>
      </c>
      <c r="CD82" s="163">
        <f t="shared" si="263"/>
        <v>5.9611922384476893E-2</v>
      </c>
      <c r="CE82" s="163">
        <f t="shared" si="263"/>
        <v>6.0130718954248367E-2</v>
      </c>
      <c r="CF82" s="163">
        <f t="shared" si="263"/>
        <v>6.0502283105022828E-2</v>
      </c>
      <c r="CG82" s="163">
        <f t="shared" ref="CG82" si="264">+CG18/CG10</f>
        <v>5.8402327142537479E-2</v>
      </c>
      <c r="CH82" s="65">
        <f t="shared" si="263"/>
        <v>5.9659399067143945E-2</v>
      </c>
      <c r="CI82" s="163">
        <f t="shared" ref="CI82:CJ82" si="265">+CI18/CI10</f>
        <v>5.2385198395006688E-2</v>
      </c>
      <c r="CJ82" s="163">
        <f t="shared" si="265"/>
        <v>5.3812741312741309E-2</v>
      </c>
      <c r="CK82" s="163">
        <f t="shared" ref="CK82:CL82" si="266">+CK18/CK10</f>
        <v>5.6192034915439171E-2</v>
      </c>
      <c r="CL82" s="163">
        <f t="shared" si="266"/>
        <v>6.4073226544622428E-2</v>
      </c>
      <c r="CM82" s="65">
        <f t="shared" si="263"/>
        <v>5.6007815043959623E-2</v>
      </c>
      <c r="CN82" s="163">
        <v>5.1999999999999998E-2</v>
      </c>
      <c r="CO82" s="163">
        <v>5.1999999999999998E-2</v>
      </c>
      <c r="CP82" s="163">
        <v>5.1999999999999998E-2</v>
      </c>
      <c r="CQ82" s="163">
        <v>5.1999999999999998E-2</v>
      </c>
      <c r="CR82" s="65">
        <f t="shared" ref="CR82" ca="1" si="267">+CR18/CR10</f>
        <v>5.1999999999999998E-2</v>
      </c>
      <c r="CS82" s="163">
        <v>5.1499999999999997E-2</v>
      </c>
      <c r="CT82" s="163">
        <v>5.1499999999999997E-2</v>
      </c>
      <c r="CU82" s="163">
        <v>5.1499999999999997E-2</v>
      </c>
      <c r="CV82" s="163">
        <v>5.1499999999999997E-2</v>
      </c>
      <c r="CW82" s="65">
        <f t="shared" ref="CW82" ca="1" si="268">+CW18/CW10</f>
        <v>5.1499999999999997E-2</v>
      </c>
      <c r="CX82" s="1374">
        <v>5.0500000000000003E-2</v>
      </c>
      <c r="CY82" s="1374">
        <v>5.0500000000000003E-2</v>
      </c>
      <c r="CZ82" s="1374">
        <v>5.0500000000000003E-2</v>
      </c>
      <c r="DA82" s="1374">
        <v>5.0500000000000003E-2</v>
      </c>
      <c r="DB82" s="65">
        <f t="shared" ref="DB82" ca="1" si="269">+DB18/DB10</f>
        <v>5.050000000000001E-2</v>
      </c>
      <c r="DC82"/>
      <c r="DD82"/>
      <c r="DE82"/>
      <c r="DF82"/>
      <c r="DG82"/>
      <c r="DJ82"/>
    </row>
    <row r="83" spans="1:114" s="725" customFormat="1">
      <c r="A83" s="331"/>
      <c r="B83" s="162" t="s">
        <v>214</v>
      </c>
      <c r="C83" s="65"/>
      <c r="D83" s="65">
        <f>D20/D10</f>
        <v>0.17387280270071409</v>
      </c>
      <c r="E83" s="65">
        <f t="shared" ref="E83:BP83" si="270">E20/E10</f>
        <v>0.11828851223187559</v>
      </c>
      <c r="F83" s="65">
        <f t="shared" si="270"/>
        <v>0.10481419488840503</v>
      </c>
      <c r="G83" s="163">
        <f t="shared" si="270"/>
        <v>7.6182286712822678E-2</v>
      </c>
      <c r="H83" s="163">
        <f t="shared" si="270"/>
        <v>7.0402255422163482E-2</v>
      </c>
      <c r="I83" s="163">
        <f t="shared" si="270"/>
        <v>6.2247312823089228E-2</v>
      </c>
      <c r="J83" s="163">
        <f t="shared" si="270"/>
        <v>4.1125965421256905E-2</v>
      </c>
      <c r="K83" s="65">
        <f t="shared" si="270"/>
        <v>6.149867405923902E-2</v>
      </c>
      <c r="L83" s="163">
        <f t="shared" si="270"/>
        <v>3.4591064922604844E-2</v>
      </c>
      <c r="M83" s="163">
        <f t="shared" si="270"/>
        <v>3.421695729611067E-2</v>
      </c>
      <c r="N83" s="163">
        <f t="shared" si="270"/>
        <v>2.954704389698096E-2</v>
      </c>
      <c r="O83" s="163">
        <f t="shared" si="270"/>
        <v>2.7853211078139713E-2</v>
      </c>
      <c r="P83" s="65">
        <f t="shared" si="270"/>
        <v>3.1444417265316146E-2</v>
      </c>
      <c r="Q83" s="163">
        <f t="shared" si="270"/>
        <v>2.8505568436147256E-2</v>
      </c>
      <c r="R83" s="163">
        <f t="shared" si="270"/>
        <v>2.8001646463882798E-2</v>
      </c>
      <c r="S83" s="163">
        <f t="shared" si="270"/>
        <v>2.8310737477235514E-2</v>
      </c>
      <c r="T83" s="163">
        <f t="shared" si="270"/>
        <v>2.6542025691436513E-2</v>
      </c>
      <c r="U83" s="65">
        <f t="shared" si="270"/>
        <v>2.7790873403994984E-2</v>
      </c>
      <c r="V83" s="163">
        <f t="shared" si="270"/>
        <v>2.5496254745234391E-2</v>
      </c>
      <c r="W83" s="163">
        <f t="shared" si="270"/>
        <v>2.525862492963981E-2</v>
      </c>
      <c r="X83" s="163">
        <f t="shared" si="270"/>
        <v>2.5354901122634926E-2</v>
      </c>
      <c r="Y83" s="163">
        <f t="shared" si="270"/>
        <v>2.761555948148707E-2</v>
      </c>
      <c r="Z83" s="65">
        <f t="shared" si="270"/>
        <v>2.5954045575125689E-2</v>
      </c>
      <c r="AA83" s="163">
        <f t="shared" si="270"/>
        <v>2.77778455190376E-2</v>
      </c>
      <c r="AB83" s="163">
        <f t="shared" si="270"/>
        <v>2.7821301454658002E-2</v>
      </c>
      <c r="AC83" s="163">
        <f t="shared" si="270"/>
        <v>2.8901492187509346E-2</v>
      </c>
      <c r="AD83" s="163">
        <f t="shared" si="270"/>
        <v>2.7945089316586683E-2</v>
      </c>
      <c r="AE83" s="65">
        <f t="shared" si="270"/>
        <v>2.8111560821077564E-2</v>
      </c>
      <c r="AF83" s="163">
        <f t="shared" si="270"/>
        <v>2.3708038664985078E-2</v>
      </c>
      <c r="AG83" s="163">
        <f t="shared" si="270"/>
        <v>2.5249907441688261E-2</v>
      </c>
      <c r="AH83" s="163">
        <f t="shared" si="270"/>
        <v>2.9530290727398489E-2</v>
      </c>
      <c r="AI83" s="163">
        <f t="shared" si="270"/>
        <v>2.8508553152783073E-2</v>
      </c>
      <c r="AJ83" s="65">
        <f t="shared" si="270"/>
        <v>2.67953098581773E-2</v>
      </c>
      <c r="AK83" s="163">
        <f t="shared" si="270"/>
        <v>2.8460223645462222E-2</v>
      </c>
      <c r="AL83" s="163">
        <f t="shared" si="270"/>
        <v>2.8310708090292579E-2</v>
      </c>
      <c r="AM83" s="163">
        <f t="shared" si="270"/>
        <v>6.7313941779015798E-2</v>
      </c>
      <c r="AN83" s="163">
        <f t="shared" si="270"/>
        <v>7.9252052867924319E-2</v>
      </c>
      <c r="AO83" s="65">
        <f t="shared" si="270"/>
        <v>5.8176535392278329E-2</v>
      </c>
      <c r="AP83" s="163">
        <f t="shared" si="270"/>
        <v>6.817682476751448E-2</v>
      </c>
      <c r="AQ83" s="163">
        <f t="shared" si="270"/>
        <v>6.4329011004123679E-2</v>
      </c>
      <c r="AR83" s="163">
        <f t="shared" si="270"/>
        <v>6.8577526713089379E-2</v>
      </c>
      <c r="AS83" s="163">
        <f t="shared" si="270"/>
        <v>6.8548624561587182E-2</v>
      </c>
      <c r="AT83" s="65">
        <f t="shared" si="270"/>
        <v>6.7421460502414141E-2</v>
      </c>
      <c r="AU83" s="163">
        <f t="shared" si="270"/>
        <v>6.4064883831800451E-2</v>
      </c>
      <c r="AV83" s="163">
        <f t="shared" si="270"/>
        <v>6.0829934386865479E-2</v>
      </c>
      <c r="AW83" s="163">
        <f t="shared" si="270"/>
        <v>5.9748560035445285E-2</v>
      </c>
      <c r="AX83" s="163">
        <f t="shared" si="270"/>
        <v>5.9700837003852467E-2</v>
      </c>
      <c r="AY83" s="65">
        <f t="shared" si="270"/>
        <v>6.1044772243873134E-2</v>
      </c>
      <c r="AZ83" s="163">
        <f t="shared" si="270"/>
        <v>5.7663060509270302E-2</v>
      </c>
      <c r="BA83" s="163">
        <f t="shared" si="270"/>
        <v>5.8016385297540059E-2</v>
      </c>
      <c r="BB83" s="163">
        <f t="shared" si="270"/>
        <v>5.7568363111263052E-2</v>
      </c>
      <c r="BC83" s="163">
        <f t="shared" si="270"/>
        <v>5.5636552736107153E-2</v>
      </c>
      <c r="BD83" s="65">
        <f t="shared" si="270"/>
        <v>5.7196605996288459E-2</v>
      </c>
      <c r="BE83" s="163">
        <f t="shared" si="270"/>
        <v>5.4770171254367429E-2</v>
      </c>
      <c r="BF83" s="163">
        <f t="shared" si="270"/>
        <v>5.4395005110257931E-2</v>
      </c>
      <c r="BG83" s="163">
        <f t="shared" si="270"/>
        <v>5.3414538078791464E-2</v>
      </c>
      <c r="BH83" s="163">
        <f t="shared" si="270"/>
        <v>5.2724959037868134E-2</v>
      </c>
      <c r="BI83" s="65">
        <f t="shared" si="270"/>
        <v>5.3825964294564037E-2</v>
      </c>
      <c r="BJ83" s="163">
        <f t="shared" si="270"/>
        <v>4.6155106027081914E-2</v>
      </c>
      <c r="BK83" s="163">
        <f t="shared" si="270"/>
        <v>4.6749372643752313E-2</v>
      </c>
      <c r="BL83" s="163">
        <f t="shared" si="270"/>
        <v>4.9365977279166133E-2</v>
      </c>
      <c r="BM83" s="163">
        <f t="shared" si="270"/>
        <v>4.9004774567539412E-2</v>
      </c>
      <c r="BN83" s="65">
        <f t="shared" si="270"/>
        <v>4.7811322217348469E-2</v>
      </c>
      <c r="BO83" s="163">
        <f t="shared" si="270"/>
        <v>4.7210689212651917E-2</v>
      </c>
      <c r="BP83" s="163">
        <f t="shared" si="270"/>
        <v>4.7910156714686215E-2</v>
      </c>
      <c r="BQ83" s="163">
        <f t="shared" ref="BQ83:CM83" si="271">BQ20/BQ10</f>
        <v>4.7954606117460184E-2</v>
      </c>
      <c r="BR83" s="163">
        <f t="shared" si="271"/>
        <v>4.6238674523515308E-2</v>
      </c>
      <c r="BS83" s="65">
        <f t="shared" si="271"/>
        <v>4.7327398793001192E-2</v>
      </c>
      <c r="BT83" s="163">
        <f t="shared" si="271"/>
        <v>5.3396901072705602E-2</v>
      </c>
      <c r="BU83" s="163">
        <f t="shared" si="271"/>
        <v>5.3358443188951665E-2</v>
      </c>
      <c r="BV83" s="163">
        <f t="shared" si="271"/>
        <v>5.213764337851929E-2</v>
      </c>
      <c r="BW83" s="163">
        <f t="shared" si="271"/>
        <v>4.961366409109394E-2</v>
      </c>
      <c r="BX83" s="65">
        <f t="shared" si="271"/>
        <v>5.2068282763418419E-2</v>
      </c>
      <c r="BY83" s="163">
        <f t="shared" si="271"/>
        <v>4.9073508450417427E-2</v>
      </c>
      <c r="BZ83" s="163">
        <f t="shared" si="271"/>
        <v>4.895534616960262E-2</v>
      </c>
      <c r="CA83" s="163">
        <f t="shared" si="271"/>
        <v>4.9938093272802311E-2</v>
      </c>
      <c r="CB83" s="163">
        <f t="shared" si="271"/>
        <v>5.189662359316382E-2</v>
      </c>
      <c r="CC83" s="65">
        <f t="shared" si="271"/>
        <v>4.995626897154911E-2</v>
      </c>
      <c r="CD83" s="163">
        <f t="shared" si="271"/>
        <v>5.0210042008401679E-2</v>
      </c>
      <c r="CE83" s="163">
        <f t="shared" si="271"/>
        <v>5.3594771241830062E-2</v>
      </c>
      <c r="CF83" s="163">
        <f t="shared" si="271"/>
        <v>5.3196347031963472E-2</v>
      </c>
      <c r="CG83" s="163">
        <f t="shared" ref="CG83" si="272">CG20/CG10</f>
        <v>5.1913179682255541E-2</v>
      </c>
      <c r="CH83" s="65">
        <f t="shared" si="271"/>
        <v>5.2174856275084065E-2</v>
      </c>
      <c r="CI83" s="163">
        <f t="shared" ref="CI83:CJ83" si="273">CI20/CI10</f>
        <v>5.1047703967900135E-2</v>
      </c>
      <c r="CJ83" s="163">
        <f t="shared" si="273"/>
        <v>5.7673745173745176E-2</v>
      </c>
      <c r="CK83" s="163">
        <f t="shared" ref="CK83:CL83" si="274">CK20/CK10</f>
        <v>6.4920894708128757E-2</v>
      </c>
      <c r="CL83" s="163">
        <f t="shared" si="274"/>
        <v>7.3553448839490027E-2</v>
      </c>
      <c r="CM83" s="65">
        <f t="shared" si="271"/>
        <v>6.0631716053402798E-2</v>
      </c>
      <c r="CN83" s="163">
        <f t="shared" ref="CN83:CR83" ca="1" si="275">CN20/CN10</f>
        <v>6.3506503875652209E-2</v>
      </c>
      <c r="CO83" s="163">
        <f t="shared" ca="1" si="275"/>
        <v>6.6877638187275421E-2</v>
      </c>
      <c r="CP83" s="163">
        <f t="shared" ca="1" si="275"/>
        <v>7.1703465893668633E-2</v>
      </c>
      <c r="CQ83" s="163">
        <f t="shared" ca="1" si="275"/>
        <v>6.1808193524619762E-2</v>
      </c>
      <c r="CR83" s="65">
        <f t="shared" ca="1" si="275"/>
        <v>6.5771645014255961E-2</v>
      </c>
      <c r="CS83" s="163">
        <f t="shared" ref="CS83:CW83" ca="1" si="276">CS20/CS10</f>
        <v>6.2754356259907176E-2</v>
      </c>
      <c r="CT83" s="163">
        <f t="shared" ca="1" si="276"/>
        <v>6.4626141636024037E-2</v>
      </c>
      <c r="CU83" s="163">
        <f t="shared" ca="1" si="276"/>
        <v>6.7222304216026929E-2</v>
      </c>
      <c r="CV83" s="163">
        <f t="shared" ca="1" si="276"/>
        <v>5.9302650477557409E-2</v>
      </c>
      <c r="CW83" s="65">
        <f t="shared" ca="1" si="276"/>
        <v>6.3347554369872036E-2</v>
      </c>
      <c r="CX83" s="163">
        <f t="shared" ref="CX83:DB83" ca="1" si="277">CX20/CX10</f>
        <v>6.0924869836191345E-2</v>
      </c>
      <c r="CY83" s="163">
        <f t="shared" ca="1" si="277"/>
        <v>6.330297284952649E-2</v>
      </c>
      <c r="CZ83" s="163">
        <f t="shared" ca="1" si="277"/>
        <v>6.6775506311621782E-2</v>
      </c>
      <c r="DA83" s="163">
        <f t="shared" ca="1" si="277"/>
        <v>5.8694676888447227E-2</v>
      </c>
      <c r="DB83" s="65">
        <f t="shared" ca="1" si="277"/>
        <v>6.2282149513467271E-2</v>
      </c>
      <c r="DC83"/>
      <c r="DD83"/>
      <c r="DE83"/>
      <c r="DF83"/>
      <c r="DG83"/>
      <c r="DJ83"/>
    </row>
    <row r="84" spans="1:114" s="725" customFormat="1">
      <c r="A84" s="331"/>
      <c r="B84" s="445" t="s">
        <v>195</v>
      </c>
      <c r="C84" s="65"/>
      <c r="D84" s="65"/>
      <c r="E84" s="65"/>
      <c r="F84" s="65"/>
      <c r="G84" s="163"/>
      <c r="H84" s="163"/>
      <c r="I84" s="163"/>
      <c r="J84" s="163"/>
      <c r="K84" s="65"/>
      <c r="L84" s="163"/>
      <c r="M84" s="163"/>
      <c r="N84" s="163"/>
      <c r="O84" s="163"/>
      <c r="P84" s="65"/>
      <c r="Q84" s="163"/>
      <c r="R84" s="163"/>
      <c r="S84" s="163"/>
      <c r="T84" s="163"/>
      <c r="U84" s="65"/>
      <c r="V84" s="163"/>
      <c r="W84" s="163"/>
      <c r="X84" s="163"/>
      <c r="Y84" s="163"/>
      <c r="Z84" s="65"/>
      <c r="AA84" s="163"/>
      <c r="AB84" s="163"/>
      <c r="AC84" s="163"/>
      <c r="AD84" s="163"/>
      <c r="AE84" s="65"/>
      <c r="AF84" s="163"/>
      <c r="AG84" s="163"/>
      <c r="AH84" s="163"/>
      <c r="AI84" s="163"/>
      <c r="AJ84" s="65"/>
      <c r="AK84" s="163"/>
      <c r="AL84" s="163"/>
      <c r="AM84" s="163"/>
      <c r="AN84" s="163"/>
      <c r="AO84" s="907"/>
      <c r="AP84" s="163"/>
      <c r="AQ84" s="163"/>
      <c r="AR84" s="163"/>
      <c r="AS84" s="163"/>
      <c r="AT84" s="907"/>
      <c r="AU84" s="163"/>
      <c r="AV84" s="946"/>
      <c r="AW84" s="946"/>
      <c r="AX84" s="946"/>
      <c r="AY84" s="65"/>
      <c r="AZ84" s="946"/>
      <c r="BA84" s="946"/>
      <c r="BB84" s="946"/>
      <c r="BC84" s="946"/>
      <c r="BD84" s="65"/>
      <c r="BE84" s="946"/>
      <c r="BF84" s="946"/>
      <c r="BG84" s="946"/>
      <c r="BH84" s="946"/>
      <c r="BI84" s="65"/>
      <c r="BJ84" s="946"/>
      <c r="BK84" s="946"/>
      <c r="BL84" s="946"/>
      <c r="BM84" s="946"/>
      <c r="BN84" s="65"/>
      <c r="BO84" s="946"/>
      <c r="BP84" s="946"/>
      <c r="BQ84" s="946"/>
      <c r="BR84" s="946"/>
      <c r="BS84" s="65"/>
      <c r="BT84" s="163">
        <f t="shared" ref="BT84:CF84" si="278">BT21/BT10</f>
        <v>2.6221692491060788E-3</v>
      </c>
      <c r="BU84" s="947">
        <f t="shared" si="278"/>
        <v>2.3017367650136011E-3</v>
      </c>
      <c r="BV84" s="947">
        <f t="shared" si="278"/>
        <v>2.5026068821689261E-3</v>
      </c>
      <c r="BW84" s="163">
        <f t="shared" si="278"/>
        <v>2.8466856445709637E-3</v>
      </c>
      <c r="BX84" s="907">
        <f>BX21/BX10</f>
        <v>2.5686305988120084E-3</v>
      </c>
      <c r="BY84" s="163">
        <f t="shared" si="278"/>
        <v>3.6652412950519244E-3</v>
      </c>
      <c r="BZ84" s="947">
        <f t="shared" si="278"/>
        <v>4.3015157722244984E-3</v>
      </c>
      <c r="CA84" s="947">
        <f t="shared" si="278"/>
        <v>2.4762690879075525E-3</v>
      </c>
      <c r="CB84" s="163">
        <f t="shared" si="278"/>
        <v>2.5010421008753647E-3</v>
      </c>
      <c r="CC84" s="907">
        <f>CC21/CC10</f>
        <v>3.2412409322426301E-3</v>
      </c>
      <c r="CD84" s="947">
        <f t="shared" si="278"/>
        <v>4.0008001600320064E-3</v>
      </c>
      <c r="CE84" s="947">
        <f t="shared" si="278"/>
        <v>3.0501089324618735E-3</v>
      </c>
      <c r="CF84" s="947">
        <f t="shared" si="278"/>
        <v>9.1324200913242006E-4</v>
      </c>
      <c r="CG84" s="947">
        <f t="shared" ref="CG84" si="279">CG21/CG10</f>
        <v>1.1188185276348177E-3</v>
      </c>
      <c r="CH84" s="907">
        <f t="shared" ref="CH84:CM84" si="280">CH21/CH10</f>
        <v>2.3321401453519903E-3</v>
      </c>
      <c r="CI84" s="947">
        <f t="shared" si="280"/>
        <v>6.6874721355327687E-4</v>
      </c>
      <c r="CJ84" s="947">
        <f t="shared" ref="CJ84:CK84" si="281">CJ21/CJ10</f>
        <v>1.2065637065637065E-3</v>
      </c>
      <c r="CK84" s="947">
        <f t="shared" si="281"/>
        <v>1.363884342607747E-3</v>
      </c>
      <c r="CL84" s="947">
        <f t="shared" ref="CL84" si="282">CL21/CL10</f>
        <v>6.5380843412880026E-4</v>
      </c>
      <c r="CM84" s="907">
        <f t="shared" si="280"/>
        <v>9.7688049495278412E-4</v>
      </c>
      <c r="CN84" s="947">
        <f t="shared" ref="CN84:CR84" ca="1" si="283">CN21/CN10</f>
        <v>0</v>
      </c>
      <c r="CO84" s="947">
        <f t="shared" ca="1" si="283"/>
        <v>0</v>
      </c>
      <c r="CP84" s="947">
        <f t="shared" ca="1" si="283"/>
        <v>0</v>
      </c>
      <c r="CQ84" s="947">
        <f t="shared" ca="1" si="283"/>
        <v>0</v>
      </c>
      <c r="CR84" s="907">
        <f t="shared" ca="1" si="283"/>
        <v>0</v>
      </c>
      <c r="CS84" s="947">
        <f t="shared" ref="CS84:CW84" ca="1" si="284">CS21/CS10</f>
        <v>2.339044288140928E-3</v>
      </c>
      <c r="CT84" s="947">
        <f t="shared" ca="1" si="284"/>
        <v>2.1308398717535568E-3</v>
      </c>
      <c r="CU84" s="947">
        <f t="shared" ca="1" si="284"/>
        <v>4.1435282716329206E-3</v>
      </c>
      <c r="CV84" s="947">
        <f t="shared" ca="1" si="284"/>
        <v>3.9522667475252711E-3</v>
      </c>
      <c r="CW84" s="907">
        <f t="shared" ca="1" si="284"/>
        <v>3.1378446718465561E-3</v>
      </c>
      <c r="CX84" s="947">
        <f t="shared" ref="CX84:DB84" ca="1" si="285">CX21/CX10</f>
        <v>2.325789228751029E-3</v>
      </c>
      <c r="CY84" s="947">
        <f t="shared" ca="1" si="285"/>
        <v>2.1175520526669329E-3</v>
      </c>
      <c r="CZ84" s="947">
        <f t="shared" ca="1" si="285"/>
        <v>4.1519167716328916E-3</v>
      </c>
      <c r="DA84" s="947">
        <f t="shared" ca="1" si="285"/>
        <v>3.9314792582437284E-3</v>
      </c>
      <c r="DB84" s="907">
        <f t="shared" ca="1" si="285"/>
        <v>3.1255858096669161E-3</v>
      </c>
      <c r="DC84"/>
      <c r="DD84"/>
      <c r="DE84"/>
      <c r="DF84"/>
      <c r="DG84"/>
      <c r="DJ84"/>
    </row>
    <row r="85" spans="1:114" s="725" customFormat="1">
      <c r="A85" s="1021"/>
      <c r="B85" s="1022" t="s">
        <v>230</v>
      </c>
      <c r="C85" s="96"/>
      <c r="D85" s="96"/>
      <c r="E85" s="96"/>
      <c r="F85" s="96"/>
      <c r="G85" s="54"/>
      <c r="H85" s="54"/>
      <c r="I85" s="54"/>
      <c r="J85" s="54"/>
      <c r="K85" s="96"/>
      <c r="L85" s="54"/>
      <c r="M85" s="54"/>
      <c r="N85" s="54"/>
      <c r="O85" s="54"/>
      <c r="P85" s="96"/>
      <c r="Q85" s="54"/>
      <c r="R85" s="54"/>
      <c r="S85" s="54"/>
      <c r="T85" s="54"/>
      <c r="U85" s="96"/>
      <c r="V85" s="54"/>
      <c r="W85" s="54"/>
      <c r="X85" s="54"/>
      <c r="Y85" s="54"/>
      <c r="Z85" s="96"/>
      <c r="AA85" s="54"/>
      <c r="AB85" s="54"/>
      <c r="AC85" s="54"/>
      <c r="AD85" s="54"/>
      <c r="AE85" s="96"/>
      <c r="AF85" s="54"/>
      <c r="AG85" s="54"/>
      <c r="AH85" s="54"/>
      <c r="AI85" s="54"/>
      <c r="AJ85" s="96"/>
      <c r="AK85" s="54"/>
      <c r="AL85" s="54"/>
      <c r="AM85" s="54"/>
      <c r="AN85" s="54"/>
      <c r="AO85" s="96"/>
      <c r="AP85" s="54"/>
      <c r="AQ85" s="54"/>
      <c r="AR85" s="54"/>
      <c r="AS85" s="54"/>
      <c r="AT85" s="96"/>
      <c r="AU85" s="54"/>
      <c r="AV85" s="54"/>
      <c r="AW85" s="54"/>
      <c r="AX85" s="54"/>
      <c r="AY85" s="96"/>
      <c r="AZ85" s="54"/>
      <c r="BA85" s="54"/>
      <c r="BB85" s="54"/>
      <c r="BC85" s="54"/>
      <c r="BD85" s="96"/>
      <c r="BE85" s="54"/>
      <c r="BF85" s="54"/>
      <c r="BG85" s="54"/>
      <c r="BH85" s="54"/>
      <c r="BI85" s="96"/>
      <c r="BJ85" s="54"/>
      <c r="BK85" s="54"/>
      <c r="BL85" s="54"/>
      <c r="BM85" s="54"/>
      <c r="BN85" s="1029"/>
      <c r="BO85" s="54"/>
      <c r="BP85" s="54"/>
      <c r="BQ85" s="54"/>
      <c r="BR85" s="54"/>
      <c r="BS85" s="1029"/>
      <c r="BT85" s="54"/>
      <c r="BU85" s="54"/>
      <c r="BV85" s="54"/>
      <c r="BW85" s="54"/>
      <c r="BX85" s="1029"/>
      <c r="BY85" s="54"/>
      <c r="BZ85" s="54"/>
      <c r="CA85" s="54"/>
      <c r="CB85" s="54"/>
      <c r="CC85" s="1029"/>
      <c r="CD85" s="54"/>
      <c r="CE85" s="54"/>
      <c r="CF85" s="54"/>
      <c r="CG85" s="54"/>
      <c r="CH85" s="1029"/>
      <c r="CI85" s="54"/>
      <c r="CJ85" s="54"/>
      <c r="CK85" s="54"/>
      <c r="CL85" s="54"/>
      <c r="CM85" s="1029"/>
      <c r="CN85" s="54"/>
      <c r="CO85" s="54"/>
      <c r="CP85" s="54"/>
      <c r="CQ85" s="54"/>
      <c r="CR85" s="1029"/>
      <c r="CS85" s="54"/>
      <c r="CT85" s="54"/>
      <c r="CU85" s="54"/>
      <c r="CV85" s="54"/>
      <c r="CW85" s="1029"/>
      <c r="CX85" s="54"/>
      <c r="CY85" s="54"/>
      <c r="CZ85" s="54"/>
      <c r="DA85" s="54"/>
      <c r="DB85" s="1029"/>
      <c r="DC85"/>
      <c r="DD85"/>
      <c r="DE85"/>
      <c r="DF85"/>
      <c r="DG85"/>
      <c r="DJ85"/>
    </row>
    <row r="86" spans="1:114" s="725" customFormat="1">
      <c r="A86" s="331"/>
      <c r="B86" s="162" t="s">
        <v>231</v>
      </c>
      <c r="C86" s="65"/>
      <c r="D86" s="65"/>
      <c r="E86" s="65">
        <f>E8/D8-1</f>
        <v>0.2633245598643037</v>
      </c>
      <c r="F86" s="65">
        <f>F8/E8-1</f>
        <v>0.23848074869924885</v>
      </c>
      <c r="G86" s="163"/>
      <c r="H86" s="163"/>
      <c r="I86" s="163"/>
      <c r="J86" s="163"/>
      <c r="K86" s="65">
        <f t="shared" ref="K86:Z86" si="286">K8/F8-1</f>
        <v>0.26626073550599227</v>
      </c>
      <c r="L86" s="163">
        <f t="shared" si="286"/>
        <v>0.33833109658969773</v>
      </c>
      <c r="M86" s="163">
        <f t="shared" si="286"/>
        <v>0.32344746563434601</v>
      </c>
      <c r="N86" s="163">
        <f t="shared" si="286"/>
        <v>0.32712947914991264</v>
      </c>
      <c r="O86" s="163">
        <f t="shared" si="286"/>
        <v>0.22193205473484934</v>
      </c>
      <c r="P86" s="65">
        <f t="shared" si="286"/>
        <v>0.29923507269909222</v>
      </c>
      <c r="Q86" s="163">
        <f t="shared" si="286"/>
        <v>0.23571419199691124</v>
      </c>
      <c r="R86" s="163">
        <f t="shared" si="286"/>
        <v>0.23881511246141041</v>
      </c>
      <c r="S86" s="163">
        <f t="shared" si="286"/>
        <v>0.30782991854800934</v>
      </c>
      <c r="T86" s="163">
        <f t="shared" si="286"/>
        <v>0.36258108745019069</v>
      </c>
      <c r="U86" s="65">
        <f t="shared" si="286"/>
        <v>0.28822127805775022</v>
      </c>
      <c r="V86" s="163">
        <f t="shared" si="286"/>
        <v>0.24739070223896764</v>
      </c>
      <c r="W86" s="163">
        <f>W8/R8-1</f>
        <v>0.23790912119861307</v>
      </c>
      <c r="X86" s="163">
        <f>X8/S8-1</f>
        <v>0.16736973425428259</v>
      </c>
      <c r="Y86" s="163">
        <f>Y8/T8-1</f>
        <v>9.6399893337626663E-2</v>
      </c>
      <c r="Z86" s="65">
        <f t="shared" si="286"/>
        <v>0.1824326612630105</v>
      </c>
      <c r="AA86" s="163">
        <f t="shared" ref="AA86:AP86" si="287">AA8/V8-1</f>
        <v>0.11154508400050589</v>
      </c>
      <c r="AB86" s="163">
        <f t="shared" si="287"/>
        <v>0.12910532415515408</v>
      </c>
      <c r="AC86" s="163">
        <f t="shared" si="287"/>
        <v>0.10098526836596622</v>
      </c>
      <c r="AD86" s="163">
        <f t="shared" si="287"/>
        <v>0.12664955780436027</v>
      </c>
      <c r="AE86" s="65">
        <f t="shared" si="287"/>
        <v>0.11707697944239315</v>
      </c>
      <c r="AF86" s="163">
        <f t="shared" si="287"/>
        <v>0.12302047460475118</v>
      </c>
      <c r="AG86" s="163">
        <f t="shared" si="287"/>
        <v>0.15492893357918325</v>
      </c>
      <c r="AH86" s="163">
        <f t="shared" si="287"/>
        <v>0.20899653383465933</v>
      </c>
      <c r="AI86" s="163">
        <f t="shared" si="287"/>
        <v>0.17555469569378968</v>
      </c>
      <c r="AJ86" s="65">
        <f t="shared" si="287"/>
        <v>0.1659678459683267</v>
      </c>
      <c r="AK86" s="163">
        <f t="shared" si="287"/>
        <v>0.17284391980221381</v>
      </c>
      <c r="AL86" s="163">
        <f t="shared" si="287"/>
        <v>0.17725205314715353</v>
      </c>
      <c r="AM86" s="163">
        <f t="shared" si="287"/>
        <v>1.0935670588696045</v>
      </c>
      <c r="AN86" s="163">
        <f t="shared" si="287"/>
        <v>1.1900323696357744</v>
      </c>
      <c r="AO86" s="65">
        <f t="shared" si="287"/>
        <v>0.67985942748448314</v>
      </c>
      <c r="AP86" s="163">
        <f t="shared" si="287"/>
        <v>1.2654159437274344</v>
      </c>
      <c r="AQ86" s="163">
        <f t="shared" ref="AQ86:BV86" si="288">AQ8/AL8-1</f>
        <v>1.1539826182745085</v>
      </c>
      <c r="AR86" s="163">
        <f t="shared" si="288"/>
        <v>0.17889346780114868</v>
      </c>
      <c r="AS86" s="163">
        <f t="shared" si="288"/>
        <v>9.2232775471039918E-2</v>
      </c>
      <c r="AT86" s="65">
        <f t="shared" si="288"/>
        <v>0.49348487786412987</v>
      </c>
      <c r="AU86" s="163">
        <f t="shared" si="288"/>
        <v>6.0433633944552367E-2</v>
      </c>
      <c r="AV86" s="163">
        <f t="shared" si="288"/>
        <v>0.12129673678733366</v>
      </c>
      <c r="AW86" s="163">
        <f t="shared" si="288"/>
        <v>0.1132033351846109</v>
      </c>
      <c r="AX86" s="163">
        <f t="shared" si="288"/>
        <v>0.11935667732980693</v>
      </c>
      <c r="AY86" s="65">
        <f t="shared" si="288"/>
        <v>0.10360160810010299</v>
      </c>
      <c r="AZ86" s="163">
        <f t="shared" si="288"/>
        <v>9.2771721655793504E-2</v>
      </c>
      <c r="BA86" s="163">
        <f t="shared" si="288"/>
        <v>5.1065625309707485E-2</v>
      </c>
      <c r="BB86" s="163">
        <f t="shared" si="288"/>
        <v>5.3550700622044367E-2</v>
      </c>
      <c r="BC86" s="163">
        <f t="shared" si="288"/>
        <v>0.10078883365586733</v>
      </c>
      <c r="BD86" s="65">
        <f t="shared" si="288"/>
        <v>7.4396219356356541E-2</v>
      </c>
      <c r="BE86" s="163">
        <f t="shared" si="288"/>
        <v>7.7393709411963441E-2</v>
      </c>
      <c r="BF86" s="163">
        <f t="shared" si="288"/>
        <v>8.2877013860507054E-2</v>
      </c>
      <c r="BG86" s="163">
        <f t="shared" si="288"/>
        <v>5.65626965103605E-2</v>
      </c>
      <c r="BH86" s="163">
        <f t="shared" si="288"/>
        <v>1.1701005584096702E-2</v>
      </c>
      <c r="BI86" s="65">
        <f t="shared" si="288"/>
        <v>5.6303468987024985E-2</v>
      </c>
      <c r="BJ86" s="163">
        <f t="shared" si="288"/>
        <v>0.11104582153569309</v>
      </c>
      <c r="BK86" s="163">
        <f t="shared" si="288"/>
        <v>9.1035109785606583E-2</v>
      </c>
      <c r="BL86" s="163">
        <f t="shared" si="288"/>
        <v>7.5861757857974332E-2</v>
      </c>
      <c r="BM86" s="163">
        <f t="shared" si="288"/>
        <v>9.2689528640987451E-2</v>
      </c>
      <c r="BN86" s="65">
        <f t="shared" si="288"/>
        <v>9.2617230968636388E-2</v>
      </c>
      <c r="BO86" s="163">
        <f t="shared" si="288"/>
        <v>4.3274848545959976E-3</v>
      </c>
      <c r="BP86" s="163">
        <f t="shared" si="288"/>
        <v>5.7809732363733879E-3</v>
      </c>
      <c r="BQ86" s="163">
        <f t="shared" si="288"/>
        <v>1.8982535861416627E-2</v>
      </c>
      <c r="BR86" s="163">
        <f t="shared" si="288"/>
        <v>-4.8670791331026919E-3</v>
      </c>
      <c r="BS86" s="65">
        <f t="shared" si="288"/>
        <v>5.9977266084159098E-3</v>
      </c>
      <c r="BT86" s="163">
        <f t="shared" si="288"/>
        <v>0.28951983544674231</v>
      </c>
      <c r="BU86" s="163">
        <f t="shared" si="288"/>
        <v>0.467853971485789</v>
      </c>
      <c r="BV86" s="163">
        <f t="shared" si="288"/>
        <v>0.47683743877150908</v>
      </c>
      <c r="BW86" s="163">
        <f t="shared" ref="BW86:CC86" si="289">BW8/BR8-1</f>
        <v>0.50696272344308779</v>
      </c>
      <c r="BX86" s="65">
        <f t="shared" si="289"/>
        <v>0.43486495689038263</v>
      </c>
      <c r="BY86" s="163">
        <f t="shared" si="289"/>
        <v>0.15224489795918372</v>
      </c>
      <c r="BZ86" s="163">
        <f t="shared" si="289"/>
        <v>1.5006327969625755E-2</v>
      </c>
      <c r="CA86" s="163">
        <f t="shared" si="289"/>
        <v>3.0559050871832305E-3</v>
      </c>
      <c r="CB86" s="163">
        <f t="shared" si="289"/>
        <v>1.4713703244105591E-2</v>
      </c>
      <c r="CC86" s="65">
        <f t="shared" si="289"/>
        <v>4.2939681072336588E-2</v>
      </c>
      <c r="CD86" s="163">
        <f t="shared" ref="CD86:CM86" si="290">CD8/BY8-1</f>
        <v>1.9128586609989284E-2</v>
      </c>
      <c r="CE86" s="163">
        <f t="shared" si="290"/>
        <v>-5.7712860705379398E-2</v>
      </c>
      <c r="CF86" s="163">
        <f t="shared" si="290"/>
        <v>-8.8888888888888906E-2</v>
      </c>
      <c r="CG86" s="163">
        <f t="shared" si="290"/>
        <v>-0.10080363382250179</v>
      </c>
      <c r="CH86" s="65">
        <f t="shared" si="290"/>
        <v>-5.7126396029072879E-2</v>
      </c>
      <c r="CI86" s="163">
        <f t="shared" si="290"/>
        <v>-0.10184219673270767</v>
      </c>
      <c r="CJ86" s="163">
        <f t="shared" si="290"/>
        <v>-8.8279773156899832E-2</v>
      </c>
      <c r="CK86" s="163">
        <f t="shared" si="290"/>
        <v>-0.14771833202202989</v>
      </c>
      <c r="CL86" s="163">
        <f t="shared" si="290"/>
        <v>-0.20808237808432095</v>
      </c>
      <c r="CM86" s="65">
        <f t="shared" si="290"/>
        <v>-0.13513513513513509</v>
      </c>
      <c r="CN86" s="163">
        <f t="shared" ref="CN86:CR86" ca="1" si="291">CN8/CI8-1</f>
        <v>-0.17353575127649545</v>
      </c>
      <c r="CO86" s="163">
        <f t="shared" ca="1" si="291"/>
        <v>-0.172510343455479</v>
      </c>
      <c r="CP86" s="163">
        <f t="shared" ca="1" si="291"/>
        <v>-0.1575197093421008</v>
      </c>
      <c r="CQ86" s="163">
        <f t="shared" ca="1" si="291"/>
        <v>1.6428950565918532E-2</v>
      </c>
      <c r="CR86" s="65">
        <f t="shared" ca="1" si="291"/>
        <v>-0.12741405691061647</v>
      </c>
      <c r="CS86" s="163">
        <f t="shared" ref="CS86" ca="1" si="292">CS8/CN8-1</f>
        <v>-6.1896925969375016E-2</v>
      </c>
      <c r="CT86" s="163">
        <f t="shared" ref="CT86" ca="1" si="293">CT8/CO8-1</f>
        <v>-3.5698187219162181E-2</v>
      </c>
      <c r="CU86" s="163">
        <f t="shared" ref="CU86" ca="1" si="294">CU8/CP8-1</f>
        <v>6.8625805193534006E-3</v>
      </c>
      <c r="CV86" s="163">
        <f t="shared" ref="CV86" ca="1" si="295">CV8/CQ8-1</f>
        <v>1.6504237549623824E-3</v>
      </c>
      <c r="CW86" s="65">
        <f t="shared" ref="CW86" ca="1" si="296">CW8/CR8-1</f>
        <v>-2.3353479846850211E-2</v>
      </c>
      <c r="CX86" s="163">
        <f t="shared" ref="CX86" ca="1" si="297">CX8/CS8-1</f>
        <v>5.6991662125021048E-3</v>
      </c>
      <c r="CY86" s="163">
        <f t="shared" ref="CY86" ca="1" si="298">CY8/CT8-1</f>
        <v>6.2750849831005873E-3</v>
      </c>
      <c r="CZ86" s="163">
        <f t="shared" ref="CZ86" ca="1" si="299">CZ8/CU8-1</f>
        <v>-2.0203921372614619E-3</v>
      </c>
      <c r="DA86" s="163">
        <f t="shared" ref="DA86" ca="1" si="300">DA8/CV8-1</f>
        <v>5.287447272665613E-3</v>
      </c>
      <c r="DB86" s="65">
        <f t="shared" ref="DB86" ca="1" si="301">DB8/CW8-1</f>
        <v>3.9221006640501876E-3</v>
      </c>
      <c r="DC86"/>
      <c r="DD86"/>
      <c r="DE86"/>
      <c r="DF86"/>
      <c r="DG86"/>
      <c r="DJ86"/>
    </row>
    <row r="87" spans="1:114" s="725" customFormat="1">
      <c r="A87" s="331"/>
      <c r="B87" s="162" t="s">
        <v>232</v>
      </c>
      <c r="C87" s="65"/>
      <c r="D87" s="65"/>
      <c r="E87" s="65">
        <f>E17/D17-1</f>
        <v>-1.8129352151882216</v>
      </c>
      <c r="F87" s="65">
        <f>F17/E17-1</f>
        <v>0.35220913186307534</v>
      </c>
      <c r="G87" s="163"/>
      <c r="H87" s="163"/>
      <c r="I87" s="163"/>
      <c r="J87" s="163"/>
      <c r="K87" s="65">
        <f t="shared" ref="K87:AP87" si="302">K17/F17-1</f>
        <v>0.22147616485186195</v>
      </c>
      <c r="L87" s="163">
        <f t="shared" si="302"/>
        <v>0.19614747307373714</v>
      </c>
      <c r="M87" s="163">
        <f t="shared" si="302"/>
        <v>0.18542597859948451</v>
      </c>
      <c r="N87" s="163">
        <f t="shared" si="302"/>
        <v>0.17950449841947447</v>
      </c>
      <c r="O87" s="163">
        <f t="shared" si="302"/>
        <v>0.1330390995969235</v>
      </c>
      <c r="P87" s="65">
        <f t="shared" si="302"/>
        <v>0.17250114184463761</v>
      </c>
      <c r="Q87" s="163">
        <f t="shared" si="302"/>
        <v>0.15339826839826864</v>
      </c>
      <c r="R87" s="163">
        <f t="shared" si="302"/>
        <v>0.17382312614259687</v>
      </c>
      <c r="S87" s="163">
        <f t="shared" si="302"/>
        <v>0.24027074695925155</v>
      </c>
      <c r="T87" s="163">
        <f t="shared" si="302"/>
        <v>0.25538900031668921</v>
      </c>
      <c r="U87" s="65">
        <f t="shared" si="302"/>
        <v>0.20598457305146556</v>
      </c>
      <c r="V87" s="163">
        <f t="shared" si="302"/>
        <v>0.17310976410756784</v>
      </c>
      <c r="W87" s="163">
        <f t="shared" si="302"/>
        <v>0.18238540683130022</v>
      </c>
      <c r="X87" s="163">
        <f t="shared" si="302"/>
        <v>0.11749605237642258</v>
      </c>
      <c r="Y87" s="163">
        <f t="shared" si="302"/>
        <v>9.2984536212507241E-2</v>
      </c>
      <c r="Z87" s="65">
        <f t="shared" si="302"/>
        <v>0.13966732566210771</v>
      </c>
      <c r="AA87" s="163">
        <f t="shared" si="302"/>
        <v>0.13656687169560677</v>
      </c>
      <c r="AB87" s="163">
        <f t="shared" si="302"/>
        <v>0.15379929200625675</v>
      </c>
      <c r="AC87" s="163">
        <f t="shared" si="302"/>
        <v>0.13617921449052628</v>
      </c>
      <c r="AD87" s="163">
        <f t="shared" si="302"/>
        <v>0.16762449896523268</v>
      </c>
      <c r="AE87" s="65">
        <f t="shared" si="302"/>
        <v>0.14879465156153437</v>
      </c>
      <c r="AF87" s="163">
        <f t="shared" si="302"/>
        <v>0.11513965812086124</v>
      </c>
      <c r="AG87" s="163">
        <f t="shared" si="302"/>
        <v>0.11838575261145112</v>
      </c>
      <c r="AH87" s="163">
        <f t="shared" si="302"/>
        <v>-0.33554913925394758</v>
      </c>
      <c r="AI87" s="163">
        <f t="shared" si="302"/>
        <v>9.0235818909000898E-2</v>
      </c>
      <c r="AJ87" s="65">
        <f t="shared" si="302"/>
        <v>8.9411476514178467E-4</v>
      </c>
      <c r="AK87" s="163">
        <f t="shared" si="302"/>
        <v>7.409534387661143E-2</v>
      </c>
      <c r="AL87" s="163">
        <f t="shared" si="302"/>
        <v>0.10083320573674093</v>
      </c>
      <c r="AM87" s="163">
        <f t="shared" si="302"/>
        <v>2.1664842381786382</v>
      </c>
      <c r="AN87" s="163">
        <f t="shared" si="302"/>
        <v>7.0988251220809317E-2</v>
      </c>
      <c r="AO87" s="65">
        <f t="shared" si="302"/>
        <v>0.41470492599986719</v>
      </c>
      <c r="AP87" s="163">
        <f t="shared" si="302"/>
        <v>1.175518070023915</v>
      </c>
      <c r="AQ87" s="163">
        <f t="shared" ref="AQ87:BV87" si="303">AQ17/AL17-1</f>
        <v>1.0748656903256473</v>
      </c>
      <c r="AR87" s="163">
        <f t="shared" si="303"/>
        <v>0.32591517162708383</v>
      </c>
      <c r="AS87" s="163">
        <f t="shared" si="303"/>
        <v>1.1540996557756333</v>
      </c>
      <c r="AT87" s="65">
        <f t="shared" si="303"/>
        <v>0.84565052987464795</v>
      </c>
      <c r="AU87" s="163">
        <f t="shared" si="303"/>
        <v>5.5102884103803262E-2</v>
      </c>
      <c r="AV87" s="163">
        <f t="shared" si="303"/>
        <v>0.12802221129781932</v>
      </c>
      <c r="AW87" s="163">
        <f t="shared" si="303"/>
        <v>7.1047568396191751E-2</v>
      </c>
      <c r="AX87" s="163">
        <f t="shared" si="303"/>
        <v>0.12541128761841014</v>
      </c>
      <c r="AY87" s="65">
        <f t="shared" si="303"/>
        <v>9.4645849694930062E-2</v>
      </c>
      <c r="AZ87" s="163">
        <f t="shared" si="303"/>
        <v>7.6833881957849126E-2</v>
      </c>
      <c r="BA87" s="163">
        <f t="shared" si="303"/>
        <v>7.0082951590938025E-2</v>
      </c>
      <c r="BB87" s="163">
        <f t="shared" si="303"/>
        <v>5.1389152585278541E-2</v>
      </c>
      <c r="BC87" s="163">
        <f t="shared" si="303"/>
        <v>2.4171265895561511E-2</v>
      </c>
      <c r="BD87" s="65">
        <f t="shared" si="303"/>
        <v>5.493497970275496E-2</v>
      </c>
      <c r="BE87" s="163">
        <f t="shared" si="303"/>
        <v>4.9801398175857159E-2</v>
      </c>
      <c r="BF87" s="163">
        <f t="shared" si="303"/>
        <v>4.1955048327791067E-2</v>
      </c>
      <c r="BG87" s="163">
        <f t="shared" si="303"/>
        <v>3.0976667947715919E-2</v>
      </c>
      <c r="BH87" s="163">
        <f t="shared" si="303"/>
        <v>2.8719160880485539E-2</v>
      </c>
      <c r="BI87" s="65">
        <f t="shared" si="303"/>
        <v>3.7743069063822299E-2</v>
      </c>
      <c r="BJ87" s="163">
        <f t="shared" si="303"/>
        <v>0.18530846251035937</v>
      </c>
      <c r="BK87" s="163">
        <f t="shared" si="303"/>
        <v>4.3592488296273935E-2</v>
      </c>
      <c r="BL87" s="163">
        <f t="shared" si="303"/>
        <v>5.5055039320213606E-2</v>
      </c>
      <c r="BM87" s="163">
        <f t="shared" si="303"/>
        <v>4.3813698436439452E-2</v>
      </c>
      <c r="BN87" s="65">
        <f t="shared" si="303"/>
        <v>8.1468155419542221E-2</v>
      </c>
      <c r="BO87" s="163">
        <f t="shared" si="303"/>
        <v>-8.6598966153564216E-2</v>
      </c>
      <c r="BP87" s="163">
        <f t="shared" si="303"/>
        <v>-0.13776167077735657</v>
      </c>
      <c r="BQ87" s="163">
        <f t="shared" si="303"/>
        <v>-8.6541019719674761E-3</v>
      </c>
      <c r="BR87" s="163">
        <f t="shared" si="303"/>
        <v>-5.208783114475013E-2</v>
      </c>
      <c r="BS87" s="65">
        <f t="shared" si="303"/>
        <v>-7.167706265802043E-2</v>
      </c>
      <c r="BT87" s="163">
        <f t="shared" si="303"/>
        <v>0.1084410926301218</v>
      </c>
      <c r="BU87" s="163">
        <f t="shared" si="303"/>
        <v>0.6980233330124872</v>
      </c>
      <c r="BV87" s="163">
        <f t="shared" si="303"/>
        <v>0.58720309853167563</v>
      </c>
      <c r="BW87" s="163">
        <f t="shared" ref="BW87:CC87" si="304">BW17/BR17-1</f>
        <v>0.71488669020169904</v>
      </c>
      <c r="BX87" s="65">
        <f t="shared" si="304"/>
        <v>0.51661882602516229</v>
      </c>
      <c r="BY87" s="163">
        <f t="shared" si="304"/>
        <v>0.32641509433962268</v>
      </c>
      <c r="BZ87" s="163">
        <f t="shared" si="304"/>
        <v>6.3953488372092915E-2</v>
      </c>
      <c r="CA87" s="163">
        <f t="shared" si="304"/>
        <v>-0.13563380091171073</v>
      </c>
      <c r="CB87" s="163">
        <f t="shared" si="304"/>
        <v>-0.33854166666666663</v>
      </c>
      <c r="CC87" s="65">
        <f t="shared" si="304"/>
        <v>-5.2570937925416672E-2</v>
      </c>
      <c r="CD87" s="163">
        <f t="shared" ref="CD87:CM87" si="305">CD17/BY17-1</f>
        <v>-0.15789473684210531</v>
      </c>
      <c r="CE87" s="163">
        <f t="shared" si="305"/>
        <v>-0.26229508196721307</v>
      </c>
      <c r="CF87" s="163">
        <f t="shared" si="305"/>
        <v>-0.28012519561815341</v>
      </c>
      <c r="CG87" s="163">
        <f t="shared" si="305"/>
        <v>-0.33858267716535428</v>
      </c>
      <c r="CH87" s="65">
        <f t="shared" si="305"/>
        <v>-0.25329202168861353</v>
      </c>
      <c r="CI87" s="163">
        <f t="shared" si="305"/>
        <v>-0.48141891891891897</v>
      </c>
      <c r="CJ87" s="163">
        <f t="shared" si="305"/>
        <v>-0.22962962962962963</v>
      </c>
      <c r="CK87" s="163">
        <f t="shared" si="305"/>
        <v>-0.2847826086956522</v>
      </c>
      <c r="CL87" s="163">
        <f t="shared" si="305"/>
        <v>-1.5803571428571428</v>
      </c>
      <c r="CM87" s="65">
        <f t="shared" si="305"/>
        <v>-0.55549792531120334</v>
      </c>
      <c r="CN87" s="163">
        <f t="shared" ref="CN87:CR87" ca="1" si="306">CN17/CI17-1</f>
        <v>0.37541059541352939</v>
      </c>
      <c r="CO87" s="163">
        <f t="shared" ca="1" si="306"/>
        <v>-7.5914530410402081E-2</v>
      </c>
      <c r="CP87" s="163">
        <f t="shared" ca="1" si="306"/>
        <v>4.9015355411797801E-2</v>
      </c>
      <c r="CQ87" s="163">
        <f t="shared" ca="1" si="306"/>
        <v>-3.0474048501155382</v>
      </c>
      <c r="CR87" s="65">
        <f t="shared" ca="1" si="306"/>
        <v>0.80984901498744088</v>
      </c>
      <c r="CS87" s="163">
        <f t="shared" ref="CS87" ca="1" si="307">CS17/CN17-1</f>
        <v>-0.1117276243913492</v>
      </c>
      <c r="CT87" s="163">
        <f t="shared" ref="CT87" ca="1" si="308">CT17/CO17-1</f>
        <v>-2.4159137298186528E-2</v>
      </c>
      <c r="CU87" s="163">
        <f t="shared" ref="CU87" ca="1" si="309">CU17/CP17-1</f>
        <v>0.10414433936824352</v>
      </c>
      <c r="CV87" s="163">
        <f t="shared" ref="CV87" ca="1" si="310">CV17/CQ17-1</f>
        <v>1.1763777316876611E-2</v>
      </c>
      <c r="CW87" s="65">
        <f t="shared" ref="CW87" ca="1" si="311">CW17/CR17-1</f>
        <v>-1.020270535349177E-2</v>
      </c>
      <c r="CX87" s="163">
        <f t="shared" ref="CX87" ca="1" si="312">CX17/CS17-1</f>
        <v>-2.4591309422947738E-3</v>
      </c>
      <c r="CY87" s="163">
        <f t="shared" ref="CY87" ca="1" si="313">CY17/CT17-1</f>
        <v>1.3846514021351952E-2</v>
      </c>
      <c r="CZ87" s="163">
        <f t="shared" ref="CZ87" ca="1" si="314">CZ17/CU17-1</f>
        <v>-4.9969261600714798E-2</v>
      </c>
      <c r="DA87" s="163">
        <f t="shared" ref="DA87" ca="1" si="315">DA17/CV17-1</f>
        <v>1.0878107486958832E-2</v>
      </c>
      <c r="DB87" s="65">
        <f t="shared" ref="DB87" ca="1" si="316">DB17/CW17-1</f>
        <v>-6.7584685484154416E-3</v>
      </c>
      <c r="DC87"/>
      <c r="DD87"/>
      <c r="DE87"/>
      <c r="DF87"/>
      <c r="DG87"/>
      <c r="DJ87"/>
    </row>
    <row r="88" spans="1:114" s="725" customFormat="1">
      <c r="A88" s="331"/>
      <c r="B88" s="162" t="s">
        <v>233</v>
      </c>
      <c r="C88" s="65"/>
      <c r="D88" s="65"/>
      <c r="E88" s="65">
        <f>E54/D54-1</f>
        <v>-1.8129352151882214</v>
      </c>
      <c r="F88" s="65">
        <f>F54/E54-1</f>
        <v>0.35220913186307534</v>
      </c>
      <c r="G88" s="163"/>
      <c r="H88" s="163"/>
      <c r="I88" s="163"/>
      <c r="J88" s="163"/>
      <c r="K88" s="65">
        <f t="shared" ref="K88:Z88" si="317">K54/F54-1</f>
        <v>0.22147616485186217</v>
      </c>
      <c r="L88" s="163">
        <f t="shared" si="317"/>
        <v>0.19614747307373714</v>
      </c>
      <c r="M88" s="163">
        <f t="shared" si="317"/>
        <v>0.18542597859948451</v>
      </c>
      <c r="N88" s="163">
        <f t="shared" si="317"/>
        <v>0.17950449841947447</v>
      </c>
      <c r="O88" s="163">
        <f t="shared" si="317"/>
        <v>0.1330390995969235</v>
      </c>
      <c r="P88" s="65">
        <f t="shared" si="317"/>
        <v>0.17250114184463783</v>
      </c>
      <c r="Q88" s="163">
        <f t="shared" si="317"/>
        <v>0.15339826839826864</v>
      </c>
      <c r="R88" s="163">
        <f t="shared" si="317"/>
        <v>0.17382312614259687</v>
      </c>
      <c r="S88" s="163">
        <f t="shared" si="317"/>
        <v>0.24027074695925155</v>
      </c>
      <c r="T88" s="163">
        <f t="shared" si="317"/>
        <v>0.25538900031668921</v>
      </c>
      <c r="U88" s="65">
        <f t="shared" si="317"/>
        <v>0.20598457305146423</v>
      </c>
      <c r="V88" s="163">
        <f t="shared" si="317"/>
        <v>0.17310976410756784</v>
      </c>
      <c r="W88" s="163">
        <f>W54/R54-1</f>
        <v>0.18238540683130022</v>
      </c>
      <c r="X88" s="163">
        <f>X54/S54-1</f>
        <v>0.11749605237642258</v>
      </c>
      <c r="Y88" s="163">
        <f>Y54/T54-1</f>
        <v>9.2984536212507241E-2</v>
      </c>
      <c r="Z88" s="65">
        <f t="shared" si="317"/>
        <v>0.13966732566210682</v>
      </c>
      <c r="AA88" s="163">
        <f t="shared" ref="AA88:AP88" si="318">AA54/V54-1</f>
        <v>0.13656687169560677</v>
      </c>
      <c r="AB88" s="163">
        <f t="shared" si="318"/>
        <v>0.15379929200625675</v>
      </c>
      <c r="AC88" s="163">
        <f t="shared" si="318"/>
        <v>0.13617921449052628</v>
      </c>
      <c r="AD88" s="163">
        <f t="shared" si="318"/>
        <v>0.16762449896523268</v>
      </c>
      <c r="AE88" s="65">
        <f t="shared" si="318"/>
        <v>0.14879465156153526</v>
      </c>
      <c r="AF88" s="163">
        <f t="shared" si="318"/>
        <v>0.11513965812086124</v>
      </c>
      <c r="AG88" s="163">
        <f t="shared" si="318"/>
        <v>0.11838575261145112</v>
      </c>
      <c r="AH88" s="163">
        <f t="shared" si="318"/>
        <v>-0.33554913925394758</v>
      </c>
      <c r="AI88" s="163">
        <f t="shared" si="318"/>
        <v>9.0235818909000898E-2</v>
      </c>
      <c r="AJ88" s="65">
        <f t="shared" si="318"/>
        <v>8.9411476514200672E-4</v>
      </c>
      <c r="AK88" s="163">
        <f t="shared" si="318"/>
        <v>7.409534387661143E-2</v>
      </c>
      <c r="AL88" s="163">
        <f t="shared" si="318"/>
        <v>0.10083320573674093</v>
      </c>
      <c r="AM88" s="163">
        <f t="shared" si="318"/>
        <v>2.3230516637478145</v>
      </c>
      <c r="AN88" s="163">
        <f t="shared" si="318"/>
        <v>0.13654934003771202</v>
      </c>
      <c r="AO88" s="65">
        <f t="shared" si="318"/>
        <v>0.45867495533419844</v>
      </c>
      <c r="AP88" s="163">
        <f t="shared" si="318"/>
        <v>1.2512176922308611</v>
      </c>
      <c r="AQ88" s="163">
        <f t="shared" ref="AQ88:BV88" si="319">AQ54/AL54-1</f>
        <v>1.135764333609584</v>
      </c>
      <c r="AR88" s="163">
        <f t="shared" si="319"/>
        <v>0.29207098954524491</v>
      </c>
      <c r="AS88" s="163">
        <f t="shared" si="319"/>
        <v>1.0829159089217155</v>
      </c>
      <c r="AT88" s="65">
        <f t="shared" si="319"/>
        <v>0.84042785234899231</v>
      </c>
      <c r="AU88" s="163">
        <f t="shared" si="319"/>
        <v>5.3341337056802773E-2</v>
      </c>
      <c r="AV88" s="163">
        <f t="shared" si="319"/>
        <v>0.12783156592243694</v>
      </c>
      <c r="AW88" s="163">
        <f t="shared" si="319"/>
        <v>6.5165130715207464E-2</v>
      </c>
      <c r="AX88" s="163">
        <f t="shared" si="319"/>
        <v>0.10904012927964502</v>
      </c>
      <c r="AY88" s="65">
        <f t="shared" si="319"/>
        <v>8.8445110972335872E-2</v>
      </c>
      <c r="AZ88" s="163">
        <f t="shared" si="319"/>
        <v>7.3554298513603511E-2</v>
      </c>
      <c r="BA88" s="163">
        <f t="shared" si="319"/>
        <v>6.6156922092327264E-2</v>
      </c>
      <c r="BB88" s="163">
        <f t="shared" si="319"/>
        <v>5.6592800369530183E-2</v>
      </c>
      <c r="BC88" s="163">
        <f t="shared" si="319"/>
        <v>4.1195061933007482E-2</v>
      </c>
      <c r="BD88" s="65">
        <f t="shared" si="319"/>
        <v>5.9064633969777569E-2</v>
      </c>
      <c r="BE88" s="163">
        <f t="shared" si="319"/>
        <v>6.1145358995011279E-2</v>
      </c>
      <c r="BF88" s="163">
        <f t="shared" si="319"/>
        <v>4.3262699433574525E-2</v>
      </c>
      <c r="BG88" s="163">
        <f t="shared" si="319"/>
        <v>2.7270070876362906E-2</v>
      </c>
      <c r="BH88" s="163">
        <f t="shared" si="319"/>
        <v>2.5314104930834969E-2</v>
      </c>
      <c r="BI88" s="65">
        <f t="shared" si="319"/>
        <v>3.9065099460569463E-2</v>
      </c>
      <c r="BJ88" s="163">
        <f t="shared" si="319"/>
        <v>0.16469684974291643</v>
      </c>
      <c r="BK88" s="163">
        <f t="shared" si="319"/>
        <v>4.4977190185613747E-2</v>
      </c>
      <c r="BL88" s="163">
        <f t="shared" si="319"/>
        <v>5.2351426202611684E-2</v>
      </c>
      <c r="BM88" s="163">
        <f t="shared" si="319"/>
        <v>3.9039000187593542E-2</v>
      </c>
      <c r="BN88" s="65">
        <f t="shared" si="319"/>
        <v>7.5223774459699966E-2</v>
      </c>
      <c r="BO88" s="163">
        <f t="shared" si="319"/>
        <v>-7.7808382898066464E-2</v>
      </c>
      <c r="BP88" s="163">
        <f t="shared" si="319"/>
        <v>-0.14254575714043216</v>
      </c>
      <c r="BQ88" s="163">
        <f t="shared" si="319"/>
        <v>3.2686996861364115E-4</v>
      </c>
      <c r="BR88" s="163">
        <f t="shared" si="319"/>
        <v>-5.7614885280737327E-2</v>
      </c>
      <c r="BS88" s="65">
        <f t="shared" si="319"/>
        <v>-6.9846261974045087E-2</v>
      </c>
      <c r="BT88" s="163">
        <f t="shared" si="319"/>
        <v>9.5520919184576281E-2</v>
      </c>
      <c r="BU88" s="163">
        <f t="shared" si="319"/>
        <v>0.68746424096699799</v>
      </c>
      <c r="BV88" s="163">
        <f t="shared" si="319"/>
        <v>0.57363691585848642</v>
      </c>
      <c r="BW88" s="163">
        <f t="shared" ref="BW88:CL88" si="320">BW54/BR54-1</f>
        <v>0.7220535157858563</v>
      </c>
      <c r="BX88" s="65">
        <f t="shared" si="320"/>
        <v>0.50755689209324539</v>
      </c>
      <c r="BY88" s="163">
        <f t="shared" si="320"/>
        <v>0.32162661737523113</v>
      </c>
      <c r="BZ88" s="163">
        <f t="shared" si="320"/>
        <v>0.10014306151645203</v>
      </c>
      <c r="CA88" s="163">
        <f t="shared" si="320"/>
        <v>-0.12015653493417866</v>
      </c>
      <c r="CB88" s="163">
        <f t="shared" si="320"/>
        <v>-0.32608695652173914</v>
      </c>
      <c r="CC88" s="65">
        <f t="shared" si="320"/>
        <v>-3.651645890951849E-2</v>
      </c>
      <c r="CD88" s="163">
        <f t="shared" si="320"/>
        <v>-0.11468531468531473</v>
      </c>
      <c r="CE88" s="163">
        <f t="shared" si="320"/>
        <v>-0.26788036410923277</v>
      </c>
      <c r="CF88" s="163">
        <f t="shared" si="320"/>
        <v>-0.29652042360060515</v>
      </c>
      <c r="CG88" s="163">
        <f t="shared" si="320"/>
        <v>7.0208728652751518E-2</v>
      </c>
      <c r="CH88" s="65">
        <f t="shared" si="320"/>
        <v>-0.16729041916167664</v>
      </c>
      <c r="CI88" s="163">
        <f t="shared" si="320"/>
        <v>-0.16745655608214849</v>
      </c>
      <c r="CJ88" s="163">
        <f t="shared" si="320"/>
        <v>-0.22735346358792186</v>
      </c>
      <c r="CK88" s="163">
        <f t="shared" si="320"/>
        <v>-0.28817204301075272</v>
      </c>
      <c r="CL88" s="163">
        <f t="shared" si="320"/>
        <v>-0.27482269503546097</v>
      </c>
      <c r="CM88" s="65">
        <f t="shared" ref="CM88:CR88" si="321">CM54/CH54-1</f>
        <v>-0.23505617977528093</v>
      </c>
      <c r="CN88" s="163">
        <f t="shared" ca="1" si="321"/>
        <v>-0.19876460570786814</v>
      </c>
      <c r="CO88" s="163">
        <f t="shared" ca="1" si="321"/>
        <v>-0.11627688425454541</v>
      </c>
      <c r="CP88" s="163">
        <f t="shared" ca="1" si="321"/>
        <v>5.1740338158554389E-2</v>
      </c>
      <c r="CQ88" s="163">
        <f t="shared" ca="1" si="321"/>
        <v>-1.6518469993814233E-2</v>
      </c>
      <c r="CR88" s="65">
        <f t="shared" ca="1" si="321"/>
        <v>-8.5170031818896819E-2</v>
      </c>
      <c r="CS88" s="163">
        <f t="shared" ref="CS88" ca="1" si="322">CS54/CN54-1</f>
        <v>-9.2781549663759066E-2</v>
      </c>
      <c r="CT88" s="163">
        <f t="shared" ref="CT88" ca="1" si="323">CT54/CO54-1</f>
        <v>-2.4159137298186528E-2</v>
      </c>
      <c r="CU88" s="163">
        <f t="shared" ref="CU88" ca="1" si="324">CU54/CP54-1</f>
        <v>9.4629300204308153E-2</v>
      </c>
      <c r="CV88" s="163">
        <f t="shared" ref="CV88" ca="1" si="325">CV54/CQ54-1</f>
        <v>4.2178804454613417E-3</v>
      </c>
      <c r="CW88" s="65">
        <f t="shared" ref="CW88" ca="1" si="326">CW54/CR54-1</f>
        <v>-8.8789015783161673E-3</v>
      </c>
      <c r="CX88" s="163">
        <f t="shared" ref="CX88" ca="1" si="327">CX54/CS54-1</f>
        <v>-2.4077751981734785E-3</v>
      </c>
      <c r="CY88" s="163">
        <f t="shared" ref="CY88" ca="1" si="328">CY54/CT54-1</f>
        <v>1.3846514021351952E-2</v>
      </c>
      <c r="CZ88" s="163">
        <f t="shared" ref="CZ88" ca="1" si="329">CZ54/CU54-1</f>
        <v>-4.9969261600714798E-2</v>
      </c>
      <c r="DA88" s="163">
        <f t="shared" ref="DA88" ca="1" si="330">DA54/CV54-1</f>
        <v>1.0878107486958832E-2</v>
      </c>
      <c r="DB88" s="65">
        <f t="shared" ref="DB88" ca="1" si="331">DB54/CW54-1</f>
        <v>-6.7234327818398443E-3</v>
      </c>
      <c r="DC88"/>
      <c r="DD88"/>
      <c r="DE88"/>
      <c r="DF88"/>
      <c r="DG88"/>
      <c r="DJ88"/>
    </row>
    <row r="89" spans="1:114" s="725" customFormat="1">
      <c r="A89" s="331"/>
      <c r="B89" s="162" t="s">
        <v>212</v>
      </c>
      <c r="C89" s="96"/>
      <c r="D89" s="96"/>
      <c r="E89" s="65">
        <f>E9/D9-1</f>
        <v>-0.22202235431673789</v>
      </c>
      <c r="F89" s="65">
        <f>F9/E9-1</f>
        <v>0.28538397671021243</v>
      </c>
      <c r="G89" s="163"/>
      <c r="H89" s="163"/>
      <c r="I89" s="163"/>
      <c r="J89" s="163"/>
      <c r="K89" s="65">
        <f t="shared" ref="K89:AP89" si="332">K9/F9-1</f>
        <v>0.27736850281677472</v>
      </c>
      <c r="L89" s="163">
        <f t="shared" si="332"/>
        <v>0.34955237605820466</v>
      </c>
      <c r="M89" s="163">
        <f t="shared" si="332"/>
        <v>0.2902719948088468</v>
      </c>
      <c r="N89" s="163">
        <f t="shared" si="332"/>
        <v>0.36387557315548147</v>
      </c>
      <c r="O89" s="163">
        <f t="shared" si="332"/>
        <v>0.17047603855707205</v>
      </c>
      <c r="P89" s="65">
        <f t="shared" si="332"/>
        <v>0.28873554978044624</v>
      </c>
      <c r="Q89" s="163">
        <f t="shared" si="332"/>
        <v>0.24939375112732232</v>
      </c>
      <c r="R89" s="163">
        <f t="shared" si="332"/>
        <v>0.30082561502032612</v>
      </c>
      <c r="S89" s="163">
        <f t="shared" si="332"/>
        <v>0.35030849458463065</v>
      </c>
      <c r="T89" s="163">
        <f t="shared" si="332"/>
        <v>0.58494276146717561</v>
      </c>
      <c r="U89" s="65">
        <f t="shared" si="332"/>
        <v>0.37342922705553971</v>
      </c>
      <c r="V89" s="163">
        <f t="shared" si="332"/>
        <v>0.38129000176448891</v>
      </c>
      <c r="W89" s="163">
        <f t="shared" si="332"/>
        <v>0.31642449821192686</v>
      </c>
      <c r="X89" s="163">
        <f t="shared" si="332"/>
        <v>0.25054463148960249</v>
      </c>
      <c r="Y89" s="163">
        <f t="shared" si="332"/>
        <v>0.10523406502966504</v>
      </c>
      <c r="Z89" s="65">
        <f t="shared" si="332"/>
        <v>0.2520306092189295</v>
      </c>
      <c r="AA89" s="163">
        <f t="shared" si="332"/>
        <v>9.154463425114101E-2</v>
      </c>
      <c r="AB89" s="163">
        <f t="shared" si="332"/>
        <v>0.12066665850882874</v>
      </c>
      <c r="AC89" s="163">
        <f t="shared" si="332"/>
        <v>5.1798056583070462E-2</v>
      </c>
      <c r="AD89" s="163">
        <f t="shared" si="332"/>
        <v>0.11121854716813373</v>
      </c>
      <c r="AE89" s="65">
        <f t="shared" si="332"/>
        <v>9.3382898769240441E-2</v>
      </c>
      <c r="AF89" s="163">
        <f t="shared" si="332"/>
        <v>0.14465816967040435</v>
      </c>
      <c r="AG89" s="163">
        <f t="shared" si="332"/>
        <v>0.26339236967963142</v>
      </c>
      <c r="AH89" s="163">
        <f t="shared" si="332"/>
        <v>1.0696816519681649</v>
      </c>
      <c r="AI89" s="163">
        <f t="shared" si="332"/>
        <v>0.32069451806807159</v>
      </c>
      <c r="AJ89" s="65">
        <f t="shared" si="332"/>
        <v>0.44709263774670505</v>
      </c>
      <c r="AK89" s="163">
        <f t="shared" si="332"/>
        <v>0.26124861744941508</v>
      </c>
      <c r="AL89" s="163">
        <f t="shared" si="332"/>
        <v>0.28483889926018113</v>
      </c>
      <c r="AM89" s="163">
        <f t="shared" si="332"/>
        <v>0.45294872660947094</v>
      </c>
      <c r="AN89" s="163">
        <f t="shared" si="332"/>
        <v>1.7348595575817702</v>
      </c>
      <c r="AO89" s="65">
        <f t="shared" si="332"/>
        <v>0.68880264193172103</v>
      </c>
      <c r="AP89" s="163">
        <f t="shared" si="332"/>
        <v>1.1892571058003374</v>
      </c>
      <c r="AQ89" s="163">
        <f t="shared" ref="AQ89:BV89" si="333">AQ9/AL9-1</f>
        <v>0.95777641748676534</v>
      </c>
      <c r="AR89" s="163">
        <f t="shared" si="333"/>
        <v>0.16669647072287974</v>
      </c>
      <c r="AS89" s="163">
        <f t="shared" si="333"/>
        <v>-0.12398859136599016</v>
      </c>
      <c r="AT89" s="65">
        <f t="shared" si="333"/>
        <v>0.33034264626081256</v>
      </c>
      <c r="AU89" s="163">
        <f t="shared" si="333"/>
        <v>0.12916049548943054</v>
      </c>
      <c r="AV89" s="163">
        <f t="shared" si="333"/>
        <v>0.24538129842464218</v>
      </c>
      <c r="AW89" s="163">
        <f t="shared" si="333"/>
        <v>0.15984648067367035</v>
      </c>
      <c r="AX89" s="163">
        <f t="shared" si="333"/>
        <v>0.20662296035453975</v>
      </c>
      <c r="AY89" s="65">
        <f t="shared" si="333"/>
        <v>0.18469121437370184</v>
      </c>
      <c r="AZ89" s="163">
        <f t="shared" si="333"/>
        <v>0.12706177653368145</v>
      </c>
      <c r="BA89" s="163">
        <f t="shared" si="333"/>
        <v>5.238618117209537E-2</v>
      </c>
      <c r="BB89" s="163">
        <f t="shared" si="333"/>
        <v>6.5335120005708847E-2</v>
      </c>
      <c r="BC89" s="163">
        <f t="shared" si="333"/>
        <v>0.11577858115896467</v>
      </c>
      <c r="BD89" s="65">
        <f t="shared" si="333"/>
        <v>8.952461951042201E-2</v>
      </c>
      <c r="BE89" s="163">
        <f t="shared" si="333"/>
        <v>7.8812613403725029E-2</v>
      </c>
      <c r="BF89" s="163">
        <f t="shared" si="333"/>
        <v>0.13514746362563912</v>
      </c>
      <c r="BG89" s="163">
        <f t="shared" si="333"/>
        <v>0.11714635168962761</v>
      </c>
      <c r="BH89" s="163">
        <f t="shared" si="333"/>
        <v>2.5296127161522852E-2</v>
      </c>
      <c r="BI89" s="65">
        <f t="shared" si="333"/>
        <v>8.7718348445970928E-2</v>
      </c>
      <c r="BJ89" s="163">
        <f t="shared" si="333"/>
        <v>0.19267121222151129</v>
      </c>
      <c r="BK89" s="163">
        <f t="shared" si="333"/>
        <v>0.16270594593096566</v>
      </c>
      <c r="BL89" s="163">
        <f t="shared" si="333"/>
        <v>7.6249844546698142E-2</v>
      </c>
      <c r="BM89" s="163">
        <f t="shared" si="333"/>
        <v>0.10983560382789581</v>
      </c>
      <c r="BN89" s="65">
        <f t="shared" si="333"/>
        <v>0.13388600220619984</v>
      </c>
      <c r="BO89" s="163">
        <f t="shared" si="333"/>
        <v>3.4083246994589533E-3</v>
      </c>
      <c r="BP89" s="163">
        <f t="shared" si="333"/>
        <v>5.6094499199529801E-2</v>
      </c>
      <c r="BQ89" s="163">
        <f t="shared" si="333"/>
        <v>0.13199939747973199</v>
      </c>
      <c r="BR89" s="163">
        <f t="shared" si="333"/>
        <v>5.6364037775480602E-2</v>
      </c>
      <c r="BS89" s="65">
        <f t="shared" si="333"/>
        <v>6.1855538553098999E-2</v>
      </c>
      <c r="BT89" s="163">
        <f t="shared" si="333"/>
        <v>0.44433472508471383</v>
      </c>
      <c r="BU89" s="163">
        <f t="shared" si="333"/>
        <v>0.41434469009488506</v>
      </c>
      <c r="BV89" s="163">
        <f t="shared" si="333"/>
        <v>0.39992198351446051</v>
      </c>
      <c r="BW89" s="163">
        <f t="shared" ref="BW89:CL89" si="334">BW9/BR9-1</f>
        <v>0.41219212063206823</v>
      </c>
      <c r="BX89" s="65">
        <f t="shared" si="334"/>
        <v>0.41704812724207718</v>
      </c>
      <c r="BY89" s="163">
        <f t="shared" si="334"/>
        <v>4.2553191489361764E-2</v>
      </c>
      <c r="BZ89" s="163">
        <f t="shared" si="334"/>
        <v>-2.6595744680851019E-2</v>
      </c>
      <c r="CA89" s="163">
        <f t="shared" si="334"/>
        <v>-4.427083333333337E-2</v>
      </c>
      <c r="CB89" s="163">
        <f t="shared" si="334"/>
        <v>0.28077455048409394</v>
      </c>
      <c r="CC89" s="65">
        <f t="shared" si="334"/>
        <v>6.0719131614654032E-2</v>
      </c>
      <c r="CD89" s="163">
        <f t="shared" si="334"/>
        <v>2.7210884353741527E-2</v>
      </c>
      <c r="CE89" s="163">
        <f t="shared" si="334"/>
        <v>-4.3715846994535568E-2</v>
      </c>
      <c r="CF89" s="163">
        <f t="shared" si="334"/>
        <v>-4.0871934604904681E-2</v>
      </c>
      <c r="CG89" s="163">
        <f t="shared" si="334"/>
        <v>-0.2678185745140389</v>
      </c>
      <c r="CH89" s="65">
        <f t="shared" si="334"/>
        <v>-9.2740645986568615E-2</v>
      </c>
      <c r="CI89" s="163">
        <f t="shared" si="334"/>
        <v>-9.6688741721854266E-2</v>
      </c>
      <c r="CJ89" s="163">
        <f t="shared" si="334"/>
        <v>-3.0000000000000027E-2</v>
      </c>
      <c r="CK89" s="163">
        <f t="shared" si="334"/>
        <v>-5.2556818181818232E-2</v>
      </c>
      <c r="CL89" s="163">
        <f t="shared" si="334"/>
        <v>0.5</v>
      </c>
      <c r="CM89" s="65">
        <f t="shared" ref="CM89:CR89" si="335">CM9/CH9-1</f>
        <v>7.3316884032428531E-2</v>
      </c>
      <c r="CN89" s="163">
        <f t="shared" ca="1" si="335"/>
        <v>-0.10130132174876738</v>
      </c>
      <c r="CO89" s="163">
        <f t="shared" ca="1" si="335"/>
        <v>-0.15360604367297748</v>
      </c>
      <c r="CP89" s="163">
        <f t="shared" ca="1" si="335"/>
        <v>-0.21736612411220879</v>
      </c>
      <c r="CQ89" s="163">
        <f t="shared" ca="1" si="335"/>
        <v>-0.41175608680239417</v>
      </c>
      <c r="CR89" s="65">
        <f t="shared" ca="1" si="335"/>
        <v>-0.24207722500738549</v>
      </c>
      <c r="CS89" s="163">
        <f t="shared" ref="CS89" ca="1" si="336">CS9/CN9-1</f>
        <v>-4.2938745379208831E-2</v>
      </c>
      <c r="CT89" s="163">
        <f t="shared" ref="CT89" ca="1" si="337">CT9/CO9-1</f>
        <v>-1.9626490339481495E-2</v>
      </c>
      <c r="CU89" s="163">
        <f t="shared" ref="CU89" ca="1" si="338">CU9/CP9-1</f>
        <v>3.0801970545687896E-2</v>
      </c>
      <c r="CV89" s="163">
        <f t="shared" ref="CV89" ca="1" si="339">CV9/CQ9-1</f>
        <v>1.5523698322205792E-2</v>
      </c>
      <c r="CW89" s="65">
        <f t="shared" ref="CW89" ca="1" si="340">CW9/CR9-1</f>
        <v>-5.2996638122783102E-3</v>
      </c>
      <c r="CX89" s="163">
        <f t="shared" ref="CX89" ca="1" si="341">CX9/CS9-1</f>
        <v>5.6991662125018827E-3</v>
      </c>
      <c r="CY89" s="163">
        <f t="shared" ref="CY89" ca="1" si="342">CY9/CT9-1</f>
        <v>6.2750849831008093E-3</v>
      </c>
      <c r="CZ89" s="163">
        <f t="shared" ref="CZ89" ca="1" si="343">CZ9/CU9-1</f>
        <v>-2.0203921372613509E-3</v>
      </c>
      <c r="DA89" s="163">
        <f t="shared" ref="DA89" ca="1" si="344">DA9/CV9-1</f>
        <v>5.287447272665613E-3</v>
      </c>
      <c r="DB89" s="65">
        <f t="shared" ref="DB89" ca="1" si="345">DB9/CW9-1</f>
        <v>3.9221006640501876E-3</v>
      </c>
      <c r="DC89"/>
      <c r="DD89"/>
      <c r="DE89"/>
      <c r="DF89"/>
      <c r="DG89"/>
      <c r="DJ89"/>
    </row>
    <row r="90" spans="1:114" s="725" customFormat="1">
      <c r="A90" s="331"/>
      <c r="B90" s="162" t="s">
        <v>211</v>
      </c>
      <c r="C90" s="96"/>
      <c r="D90" s="96"/>
      <c r="E90" s="65">
        <f t="shared" ref="E90:F92" si="346">E11/D11-1</f>
        <v>-0.18955066951170496</v>
      </c>
      <c r="F90" s="65">
        <f t="shared" si="346"/>
        <v>0.23388343031574954</v>
      </c>
      <c r="G90" s="163"/>
      <c r="H90" s="163"/>
      <c r="I90" s="163"/>
      <c r="J90" s="163"/>
      <c r="K90" s="65">
        <f t="shared" ref="K90:Z90" si="347">K11/F11-1</f>
        <v>0.28731793301790498</v>
      </c>
      <c r="L90" s="163">
        <f t="shared" si="347"/>
        <v>0.41259578232531502</v>
      </c>
      <c r="M90" s="163">
        <f t="shared" si="347"/>
        <v>0.3727594891282755</v>
      </c>
      <c r="N90" s="163">
        <f t="shared" si="347"/>
        <v>0.35598212098946869</v>
      </c>
      <c r="O90" s="163">
        <f t="shared" si="347"/>
        <v>0.21222926503132977</v>
      </c>
      <c r="P90" s="65">
        <f t="shared" si="347"/>
        <v>0.33133648025367535</v>
      </c>
      <c r="Q90" s="163">
        <f t="shared" si="347"/>
        <v>0.23764528190676182</v>
      </c>
      <c r="R90" s="163">
        <f t="shared" si="347"/>
        <v>0.22917162663679025</v>
      </c>
      <c r="S90" s="163">
        <f t="shared" si="347"/>
        <v>0.30194753882208425</v>
      </c>
      <c r="T90" s="163">
        <f t="shared" si="347"/>
        <v>0.36058333618360305</v>
      </c>
      <c r="U90" s="65">
        <f t="shared" si="347"/>
        <v>0.28408519353041606</v>
      </c>
      <c r="V90" s="163">
        <f t="shared" si="347"/>
        <v>0.22939889571830396</v>
      </c>
      <c r="W90" s="163">
        <f>W11/R11-1</f>
        <v>0.24342687433300303</v>
      </c>
      <c r="X90" s="163">
        <f>X11/S11-1</f>
        <v>0.17380899531089611</v>
      </c>
      <c r="Y90" s="163">
        <f>Y11/T11-1</f>
        <v>9.3232988200543598E-2</v>
      </c>
      <c r="Z90" s="65">
        <f t="shared" si="347"/>
        <v>0.18050976514128236</v>
      </c>
      <c r="AA90" s="163">
        <f t="shared" ref="AA90:AP90" si="348">AA11/V11-1</f>
        <v>9.7933589163146095E-2</v>
      </c>
      <c r="AB90" s="163">
        <f t="shared" si="348"/>
        <v>0.11513028286240501</v>
      </c>
      <c r="AC90" s="163">
        <f t="shared" si="348"/>
        <v>9.8802749067786966E-2</v>
      </c>
      <c r="AD90" s="163">
        <f t="shared" si="348"/>
        <v>0.11868469840904861</v>
      </c>
      <c r="AE90" s="65">
        <f t="shared" si="348"/>
        <v>0.10771192505754446</v>
      </c>
      <c r="AF90" s="163">
        <f t="shared" si="348"/>
        <v>0.12370861219224438</v>
      </c>
      <c r="AG90" s="163">
        <f t="shared" si="348"/>
        <v>0.1507818470159985</v>
      </c>
      <c r="AH90" s="163">
        <f t="shared" si="348"/>
        <v>0.21043290730099162</v>
      </c>
      <c r="AI90" s="163">
        <f t="shared" si="348"/>
        <v>0.19032826647755874</v>
      </c>
      <c r="AJ90" s="65">
        <f t="shared" si="348"/>
        <v>0.16942071053525876</v>
      </c>
      <c r="AK90" s="163">
        <f t="shared" si="348"/>
        <v>0.19297075070891023</v>
      </c>
      <c r="AL90" s="163">
        <f t="shared" si="348"/>
        <v>0.17836138303974569</v>
      </c>
      <c r="AM90" s="163">
        <f t="shared" si="348"/>
        <v>1.1138009095008852</v>
      </c>
      <c r="AN90" s="163">
        <f t="shared" si="348"/>
        <v>1.2793181528738038</v>
      </c>
      <c r="AO90" s="65">
        <f t="shared" si="348"/>
        <v>0.71653085216540346</v>
      </c>
      <c r="AP90" s="163">
        <f t="shared" si="348"/>
        <v>1.2366635412554281</v>
      </c>
      <c r="AQ90" s="163">
        <f t="shared" ref="AQ90:BV90" si="349">AQ11/AL11-1</f>
        <v>1.1801832008644979</v>
      </c>
      <c r="AR90" s="163">
        <f t="shared" si="349"/>
        <v>0.14737362059905434</v>
      </c>
      <c r="AS90" s="163">
        <f t="shared" si="349"/>
        <v>4.4382172505686768E-2</v>
      </c>
      <c r="AT90" s="65">
        <f t="shared" si="349"/>
        <v>0.45931044681539435</v>
      </c>
      <c r="AU90" s="163">
        <f t="shared" si="349"/>
        <v>7.0211533688187888E-2</v>
      </c>
      <c r="AV90" s="163">
        <f t="shared" si="349"/>
        <v>0.11330991239382771</v>
      </c>
      <c r="AW90" s="163">
        <f t="shared" si="349"/>
        <v>0.1350347981086828</v>
      </c>
      <c r="AX90" s="163">
        <f t="shared" si="349"/>
        <v>0.11357925729524765</v>
      </c>
      <c r="AY90" s="65">
        <f t="shared" si="349"/>
        <v>0.10806732911798411</v>
      </c>
      <c r="AZ90" s="163">
        <f t="shared" si="349"/>
        <v>0.10195216399345775</v>
      </c>
      <c r="BA90" s="163">
        <f t="shared" si="349"/>
        <v>5.4991345449703743E-2</v>
      </c>
      <c r="BB90" s="163">
        <f t="shared" si="349"/>
        <v>5.1843727983846843E-2</v>
      </c>
      <c r="BC90" s="163">
        <f t="shared" si="349"/>
        <v>0.12696905614777076</v>
      </c>
      <c r="BD90" s="65">
        <f t="shared" si="349"/>
        <v>8.3785257873211672E-2</v>
      </c>
      <c r="BE90" s="163">
        <f t="shared" si="349"/>
        <v>9.2989645557365108E-2</v>
      </c>
      <c r="BF90" s="163">
        <f t="shared" si="349"/>
        <v>9.1763280489555621E-2</v>
      </c>
      <c r="BG90" s="163">
        <f t="shared" si="349"/>
        <v>6.8868158316511829E-2</v>
      </c>
      <c r="BH90" s="163">
        <f t="shared" si="349"/>
        <v>2.6966254789597244E-2</v>
      </c>
      <c r="BI90" s="65">
        <f t="shared" si="349"/>
        <v>6.9245706018609132E-2</v>
      </c>
      <c r="BJ90" s="163">
        <f t="shared" si="349"/>
        <v>8.7620112672158745E-2</v>
      </c>
      <c r="BK90" s="163">
        <f t="shared" si="349"/>
        <v>8.189460846646468E-2</v>
      </c>
      <c r="BL90" s="163">
        <f t="shared" si="349"/>
        <v>9.4720529217579452E-2</v>
      </c>
      <c r="BM90" s="163">
        <f t="shared" si="349"/>
        <v>9.5045415848759252E-2</v>
      </c>
      <c r="BN90" s="65">
        <f t="shared" si="349"/>
        <v>8.9855728181480909E-2</v>
      </c>
      <c r="BO90" s="163">
        <f t="shared" si="349"/>
        <v>3.4212364137117035E-2</v>
      </c>
      <c r="BP90" s="163">
        <f t="shared" si="349"/>
        <v>3.9069856275284698E-2</v>
      </c>
      <c r="BQ90" s="163">
        <f t="shared" si="349"/>
        <v>1.0871995546553492E-2</v>
      </c>
      <c r="BR90" s="163">
        <f t="shared" si="349"/>
        <v>-8.6372453336194255E-3</v>
      </c>
      <c r="BS90" s="65">
        <f t="shared" si="349"/>
        <v>1.864634446228175E-2</v>
      </c>
      <c r="BT90" s="163">
        <f t="shared" si="349"/>
        <v>0.27064803049555275</v>
      </c>
      <c r="BU90" s="163">
        <f t="shared" si="349"/>
        <v>0.43192169933371938</v>
      </c>
      <c r="BV90" s="163">
        <f t="shared" si="349"/>
        <v>0.42116583597761426</v>
      </c>
      <c r="BW90" s="163">
        <f t="shared" ref="BW90:CC90" si="350">BW11/BR11-1</f>
        <v>0.43944480594391555</v>
      </c>
      <c r="BX90" s="65">
        <f t="shared" si="350"/>
        <v>0.39021417243255474</v>
      </c>
      <c r="BY90" s="163">
        <f t="shared" si="350"/>
        <v>0.12624750499002002</v>
      </c>
      <c r="BZ90" s="163">
        <f t="shared" si="350"/>
        <v>-4.9371633752244293E-3</v>
      </c>
      <c r="CA90" s="163">
        <f t="shared" si="350"/>
        <v>2.2364217252396124E-2</v>
      </c>
      <c r="CB90" s="163">
        <f t="shared" si="350"/>
        <v>2.566411526339496E-2</v>
      </c>
      <c r="CC90" s="65">
        <f t="shared" si="350"/>
        <v>4.0259139287367018E-2</v>
      </c>
      <c r="CD90" s="163">
        <f t="shared" ref="CD90:CM90" si="351">CD11/BY11-1</f>
        <v>2.658396101019056E-2</v>
      </c>
      <c r="CE90" s="163">
        <f t="shared" si="351"/>
        <v>-2.841677943166443E-2</v>
      </c>
      <c r="CF90" s="163">
        <f t="shared" si="351"/>
        <v>-7.723214285714286E-2</v>
      </c>
      <c r="CG90" s="163">
        <f t="shared" si="351"/>
        <v>-8.3845478489903424E-2</v>
      </c>
      <c r="CH90" s="65">
        <f t="shared" si="351"/>
        <v>-4.0814056939501797E-2</v>
      </c>
      <c r="CI90" s="163">
        <f t="shared" si="351"/>
        <v>-0.11048769961156668</v>
      </c>
      <c r="CJ90" s="163">
        <f t="shared" si="351"/>
        <v>-0.10863509749303624</v>
      </c>
      <c r="CK90" s="163">
        <f t="shared" si="351"/>
        <v>-0.16594097726173196</v>
      </c>
      <c r="CL90" s="163">
        <f t="shared" si="351"/>
        <v>-0.19932918064206995</v>
      </c>
      <c r="CM90" s="65">
        <f t="shared" si="351"/>
        <v>-0.14481159420289857</v>
      </c>
      <c r="CN90" s="163">
        <f t="shared" ref="CN90:CR92" ca="1" si="352">CN11/CI11-1</f>
        <v>-0.18037523416161338</v>
      </c>
      <c r="CO90" s="163">
        <f t="shared" ca="1" si="352"/>
        <v>-0.17270256240694715</v>
      </c>
      <c r="CP90" s="163">
        <f t="shared" ca="1" si="352"/>
        <v>-0.15937619578305751</v>
      </c>
      <c r="CQ90" s="163">
        <f t="shared" ca="1" si="352"/>
        <v>-1.1986047636796227E-2</v>
      </c>
      <c r="CR90" s="65">
        <f t="shared" ca="1" si="352"/>
        <v>-0.1353220613556807</v>
      </c>
      <c r="CS90" s="163">
        <f t="shared" ref="CS90:CS92" ca="1" si="353">CS11/CN11-1</f>
        <v>-6.0710954952901242E-2</v>
      </c>
      <c r="CT90" s="163">
        <f t="shared" ref="CT90:CT92" ca="1" si="354">CT11/CO11-1</f>
        <v>-4.2966793848163487E-2</v>
      </c>
      <c r="CU90" s="163">
        <f t="shared" ref="CU90:CU92" ca="1" si="355">CU11/CP11-1</f>
        <v>-7.4595283469702789E-4</v>
      </c>
      <c r="CV90" s="163">
        <f t="shared" ref="CV90:CV92" ca="1" si="356">CV11/CQ11-1</f>
        <v>-1.1144833118644781E-3</v>
      </c>
      <c r="CW90" s="65">
        <f t="shared" ref="CW90:CW92" ca="1" si="357">CW11/CR11-1</f>
        <v>-2.7238858738616756E-2</v>
      </c>
      <c r="CX90" s="163">
        <f t="shared" ref="CX90:CX92" ca="1" si="358">CX11/CS11-1</f>
        <v>1.3318099289869378E-2</v>
      </c>
      <c r="CY90" s="163">
        <f t="shared" ref="CY90:CY92" ca="1" si="359">CY11/CT11-1</f>
        <v>6.2750849831008093E-3</v>
      </c>
      <c r="CZ90" s="163">
        <f t="shared" ref="CZ90:CZ92" ca="1" si="360">CZ11/CU11-1</f>
        <v>5.1255102990266366E-4</v>
      </c>
      <c r="DA90" s="163">
        <f t="shared" ref="DA90:DA92" ca="1" si="361">DA11/CV11-1</f>
        <v>6.8052441231025718E-3</v>
      </c>
      <c r="DB90" s="65">
        <f t="shared" ref="DB90:DB92" ca="1" si="362">DB11/CW11-1</f>
        <v>6.8721621782354969E-3</v>
      </c>
      <c r="DC90"/>
      <c r="DD90"/>
      <c r="DE90"/>
      <c r="DF90"/>
      <c r="DG90"/>
      <c r="DJ90"/>
    </row>
    <row r="91" spans="1:114" s="725" customFormat="1">
      <c r="A91" s="331"/>
      <c r="B91" s="162" t="s">
        <v>235</v>
      </c>
      <c r="C91" s="96"/>
      <c r="D91" s="96"/>
      <c r="E91" s="65">
        <f t="shared" si="346"/>
        <v>-0.1784438204797324</v>
      </c>
      <c r="F91" s="65">
        <f t="shared" si="346"/>
        <v>0.21720221322409294</v>
      </c>
      <c r="G91" s="163"/>
      <c r="H91" s="163"/>
      <c r="I91" s="163"/>
      <c r="J91" s="163"/>
      <c r="K91" s="65">
        <f t="shared" ref="K91:Z92" si="363">K12/F12-1</f>
        <v>0.27103773401378617</v>
      </c>
      <c r="L91" s="163">
        <f t="shared" si="363"/>
        <v>0.36872046023225469</v>
      </c>
      <c r="M91" s="163">
        <f t="shared" si="363"/>
        <v>0.34199744195625326</v>
      </c>
      <c r="N91" s="163">
        <f t="shared" si="363"/>
        <v>0.30779776494536981</v>
      </c>
      <c r="O91" s="163">
        <f t="shared" si="363"/>
        <v>0.19724253337698716</v>
      </c>
      <c r="P91" s="65">
        <f t="shared" si="363"/>
        <v>0.29937043385984241</v>
      </c>
      <c r="Q91" s="163">
        <f t="shared" si="363"/>
        <v>0.20031249999999989</v>
      </c>
      <c r="R91" s="163">
        <f t="shared" si="363"/>
        <v>0.23014296098861164</v>
      </c>
      <c r="S91" s="163">
        <f t="shared" si="363"/>
        <v>0.33781766200762386</v>
      </c>
      <c r="T91" s="163">
        <f t="shared" si="363"/>
        <v>0.44597550970800048</v>
      </c>
      <c r="U91" s="65">
        <f t="shared" si="363"/>
        <v>0.30504501603929524</v>
      </c>
      <c r="V91" s="163">
        <f t="shared" si="363"/>
        <v>0.29382973184066663</v>
      </c>
      <c r="W91" s="163">
        <f t="shared" si="363"/>
        <v>0.26910652379451605</v>
      </c>
      <c r="X91" s="163">
        <f t="shared" si="363"/>
        <v>0.23281767562241029</v>
      </c>
      <c r="Y91" s="163">
        <f t="shared" si="363"/>
        <v>0.11678241591981253</v>
      </c>
      <c r="Z91" s="65">
        <f t="shared" si="363"/>
        <v>0.22200626996973338</v>
      </c>
      <c r="AA91" s="163">
        <f t="shared" ref="AA91:AD92" si="364">AA12/V12-1</f>
        <v>0.14263723438506126</v>
      </c>
      <c r="AB91" s="163">
        <f t="shared" si="364"/>
        <v>0.14262507113663414</v>
      </c>
      <c r="AC91" s="163">
        <f t="shared" si="364"/>
        <v>6.3964406436887833E-2</v>
      </c>
      <c r="AD91" s="163">
        <f t="shared" si="364"/>
        <v>7.857599819365535E-2</v>
      </c>
      <c r="AE91" s="65">
        <f t="shared" ref="AE91:AN92" si="365">AE12/Z12-1</f>
        <v>0.10575673120482154</v>
      </c>
      <c r="AF91" s="163">
        <f t="shared" si="365"/>
        <v>8.1457087761624969E-2</v>
      </c>
      <c r="AG91" s="163">
        <f t="shared" si="365"/>
        <v>0.13828794972335157</v>
      </c>
      <c r="AH91" s="163">
        <f t="shared" si="365"/>
        <v>0.17699875996777736</v>
      </c>
      <c r="AI91" s="163">
        <f t="shared" si="365"/>
        <v>0.14960224695579338</v>
      </c>
      <c r="AJ91" s="65">
        <f t="shared" si="365"/>
        <v>0.13632791017160106</v>
      </c>
      <c r="AK91" s="163">
        <f t="shared" si="365"/>
        <v>0.14401563263312189</v>
      </c>
      <c r="AL91" s="163">
        <f t="shared" si="365"/>
        <v>0.16175815433571983</v>
      </c>
      <c r="AM91" s="163">
        <f t="shared" si="365"/>
        <v>1.4493678673598076</v>
      </c>
      <c r="AN91" s="163">
        <f t="shared" si="365"/>
        <v>1.7709548920672256</v>
      </c>
      <c r="AO91" s="65">
        <f t="shared" ref="AO91:AX92" si="366">AO12/AJ12-1</f>
        <v>0.90113274981336366</v>
      </c>
      <c r="AP91" s="163">
        <f t="shared" si="366"/>
        <v>1.7500854043897855</v>
      </c>
      <c r="AQ91" s="163">
        <f t="shared" si="366"/>
        <v>1.5856210582539565</v>
      </c>
      <c r="AR91" s="163">
        <f t="shared" si="366"/>
        <v>0.20293495255976346</v>
      </c>
      <c r="AS91" s="163">
        <f t="shared" si="366"/>
        <v>6.3935180367910238E-2</v>
      </c>
      <c r="AT91" s="65">
        <f t="shared" si="366"/>
        <v>0.58277960721261124</v>
      </c>
      <c r="AU91" s="163">
        <f t="shared" si="366"/>
        <v>4.1523359963147932E-2</v>
      </c>
      <c r="AV91" s="163">
        <f t="shared" si="366"/>
        <v>0.1122128468746193</v>
      </c>
      <c r="AW91" s="163">
        <f t="shared" si="366"/>
        <v>0.11739250721664551</v>
      </c>
      <c r="AX91" s="163">
        <f t="shared" si="366"/>
        <v>0.11126839224083551</v>
      </c>
      <c r="AY91" s="65">
        <f t="shared" ref="AY91:BH92" si="367">AY12/AT12-1</f>
        <v>9.5479278289023028E-2</v>
      </c>
      <c r="AZ91" s="163">
        <f t="shared" si="367"/>
        <v>6.9568199098530403E-2</v>
      </c>
      <c r="BA91" s="163">
        <f t="shared" si="367"/>
        <v>4.4399889512234614E-2</v>
      </c>
      <c r="BB91" s="163">
        <f t="shared" si="367"/>
        <v>3.5020554984583674E-2</v>
      </c>
      <c r="BC91" s="163">
        <f t="shared" si="367"/>
        <v>6.2953355875677408E-2</v>
      </c>
      <c r="BD91" s="65">
        <f t="shared" si="367"/>
        <v>5.2795858076097657E-2</v>
      </c>
      <c r="BE91" s="163">
        <f t="shared" si="367"/>
        <v>7.8299090258611814E-2</v>
      </c>
      <c r="BF91" s="163">
        <f t="shared" si="367"/>
        <v>2.4343254248726742E-2</v>
      </c>
      <c r="BG91" s="163">
        <f t="shared" si="367"/>
        <v>3.6182644156230959E-2</v>
      </c>
      <c r="BH91" s="163">
        <f t="shared" si="367"/>
        <v>1.9395941276184159E-2</v>
      </c>
      <c r="BI91" s="65">
        <f t="shared" ref="BI91:BR92" si="368">BI12/BD12-1</f>
        <v>3.91366185071782E-2</v>
      </c>
      <c r="BJ91" s="163">
        <f t="shared" si="368"/>
        <v>7.4162566033833421E-2</v>
      </c>
      <c r="BK91" s="163">
        <f t="shared" si="368"/>
        <v>9.0033141989721344E-2</v>
      </c>
      <c r="BL91" s="163">
        <f t="shared" si="368"/>
        <v>5.4592656801975892E-2</v>
      </c>
      <c r="BM91" s="163">
        <f t="shared" si="368"/>
        <v>7.0762016312432729E-2</v>
      </c>
      <c r="BN91" s="65">
        <f t="shared" si="368"/>
        <v>7.2290125485955814E-2</v>
      </c>
      <c r="BO91" s="163">
        <f t="shared" si="368"/>
        <v>-1.4802067475766512E-3</v>
      </c>
      <c r="BP91" s="163">
        <f t="shared" si="368"/>
        <v>1.6950190819820632E-2</v>
      </c>
      <c r="BQ91" s="163">
        <f t="shared" si="368"/>
        <v>4.464986410910976E-3</v>
      </c>
      <c r="BR91" s="163">
        <f t="shared" si="368"/>
        <v>2.1757746456381621E-2</v>
      </c>
      <c r="BS91" s="65">
        <f t="shared" ref="BS91:BX92" si="369">BS12/BN12-1</f>
        <v>1.0451023085486622E-2</v>
      </c>
      <c r="BT91" s="163">
        <f t="shared" si="369"/>
        <v>0.27550764199814792</v>
      </c>
      <c r="BU91" s="163">
        <f t="shared" si="369"/>
        <v>0.48183844346726112</v>
      </c>
      <c r="BV91" s="163">
        <f t="shared" si="369"/>
        <v>0.50707069045631536</v>
      </c>
      <c r="BW91" s="163">
        <f t="shared" si="369"/>
        <v>0.49256355605220858</v>
      </c>
      <c r="BX91" s="65">
        <f t="shared" si="369"/>
        <v>0.4392342270961167</v>
      </c>
      <c r="BY91" s="163">
        <f t="shared" ref="BY91:CC92" si="370">BY12/BT12-1</f>
        <v>0.19999999999999996</v>
      </c>
      <c r="BZ91" s="163">
        <f t="shared" si="370"/>
        <v>1.6260162601626105E-2</v>
      </c>
      <c r="CA91" s="163">
        <f t="shared" si="370"/>
        <v>3.9563437926330103E-2</v>
      </c>
      <c r="CB91" s="163">
        <f t="shared" si="370"/>
        <v>1.1780104712041828E-2</v>
      </c>
      <c r="CC91" s="65">
        <f t="shared" si="370"/>
        <v>6.1672473867595778E-2</v>
      </c>
      <c r="CD91" s="163">
        <f t="shared" ref="CD91:CL92" si="371">CD12/BY12-1</f>
        <v>4.8556430446194287E-2</v>
      </c>
      <c r="CE91" s="163">
        <f t="shared" si="371"/>
        <v>1.2000000000000011E-2</v>
      </c>
      <c r="CF91" s="163">
        <f t="shared" si="371"/>
        <v>-5.1181102362204745E-2</v>
      </c>
      <c r="CG91" s="163">
        <f t="shared" si="371"/>
        <v>-5.5627425614488968E-2</v>
      </c>
      <c r="CH91" s="65">
        <f t="shared" si="371"/>
        <v>-1.1814899901542497E-2</v>
      </c>
      <c r="CI91" s="163">
        <f t="shared" si="371"/>
        <v>-6.2578222778473136E-2</v>
      </c>
      <c r="CJ91" s="163">
        <f t="shared" si="371"/>
        <v>-8.1686429512516479E-2</v>
      </c>
      <c r="CK91" s="163">
        <f t="shared" si="371"/>
        <v>-0.15629322268326418</v>
      </c>
      <c r="CL91" s="163">
        <f t="shared" si="371"/>
        <v>-0.15616438356164386</v>
      </c>
      <c r="CM91" s="65">
        <f t="shared" ref="CM91:CM92" si="372">CM12/CH12-1</f>
        <v>-0.11258718033875792</v>
      </c>
      <c r="CN91" s="163">
        <f t="shared" ca="1" si="352"/>
        <v>-0.19994023577082654</v>
      </c>
      <c r="CO91" s="163">
        <f t="shared" ca="1" si="352"/>
        <v>-0.19264196771089581</v>
      </c>
      <c r="CP91" s="163">
        <f t="shared" ca="1" si="352"/>
        <v>-0.15620350652735182</v>
      </c>
      <c r="CQ91" s="163">
        <f t="shared" ca="1" si="352"/>
        <v>-5.1691589685970318E-2</v>
      </c>
      <c r="CR91" s="65">
        <f t="shared" ca="1" si="352"/>
        <v>-0.15387456823169376</v>
      </c>
      <c r="CS91" s="163">
        <f t="shared" ca="1" si="353"/>
        <v>-5.7216440211560027E-2</v>
      </c>
      <c r="CT91" s="163">
        <f t="shared" ca="1" si="354"/>
        <v>-4.2537207167962165E-2</v>
      </c>
      <c r="CU91" s="163">
        <f t="shared" ca="1" si="355"/>
        <v>-2.782888460318711E-4</v>
      </c>
      <c r="CV91" s="163">
        <f t="shared" ca="1" si="356"/>
        <v>1.1595888955366451E-2</v>
      </c>
      <c r="CW91" s="65">
        <f t="shared" ca="1" si="357"/>
        <v>-2.2820190009929853E-2</v>
      </c>
      <c r="CX91" s="163">
        <f t="shared" ca="1" si="358"/>
        <v>-1.4334519875864871E-3</v>
      </c>
      <c r="CY91" s="163">
        <f t="shared" ca="1" si="359"/>
        <v>6.2750849831003652E-3</v>
      </c>
      <c r="CZ91" s="163">
        <f t="shared" ca="1" si="360"/>
        <v>-2.0203921372614619E-3</v>
      </c>
      <c r="DA91" s="163">
        <f t="shared" ca="1" si="361"/>
        <v>-1.1655599591480437E-2</v>
      </c>
      <c r="DB91" s="65">
        <f t="shared" ca="1" si="362"/>
        <v>-2.4244290368351518E-3</v>
      </c>
      <c r="DC91"/>
      <c r="DD91"/>
      <c r="DE91"/>
      <c r="DF91"/>
      <c r="DG91"/>
      <c r="DJ91"/>
    </row>
    <row r="92" spans="1:114" s="725" customFormat="1">
      <c r="A92" s="331"/>
      <c r="B92" s="162" t="s">
        <v>236</v>
      </c>
      <c r="C92" s="96"/>
      <c r="D92" s="96"/>
      <c r="E92" s="65">
        <f t="shared" si="346"/>
        <v>-0.12760816112597018</v>
      </c>
      <c r="F92" s="65">
        <f t="shared" si="346"/>
        <v>0.14627390518768513</v>
      </c>
      <c r="G92" s="163"/>
      <c r="H92" s="163"/>
      <c r="I92" s="163"/>
      <c r="J92" s="163"/>
      <c r="K92" s="65">
        <f t="shared" si="363"/>
        <v>0.24795162521100367</v>
      </c>
      <c r="L92" s="163">
        <f t="shared" si="363"/>
        <v>0.32148738021325407</v>
      </c>
      <c r="M92" s="163">
        <f t="shared" si="363"/>
        <v>0.35447221119237637</v>
      </c>
      <c r="N92" s="163">
        <f t="shared" si="363"/>
        <v>0.40394661185940972</v>
      </c>
      <c r="O92" s="163">
        <f t="shared" si="363"/>
        <v>0.36687094729115</v>
      </c>
      <c r="P92" s="65">
        <f t="shared" si="363"/>
        <v>0.36285672815315118</v>
      </c>
      <c r="Q92" s="163">
        <f t="shared" si="363"/>
        <v>0.31378116414221369</v>
      </c>
      <c r="R92" s="163">
        <f t="shared" si="363"/>
        <v>0.287115230034517</v>
      </c>
      <c r="S92" s="163">
        <f t="shared" si="363"/>
        <v>0.33738236319275017</v>
      </c>
      <c r="T92" s="163">
        <f t="shared" si="363"/>
        <v>0.31987729262616571</v>
      </c>
      <c r="U92" s="65">
        <f t="shared" si="363"/>
        <v>0.31522655379009668</v>
      </c>
      <c r="V92" s="163">
        <f t="shared" si="363"/>
        <v>0.25727079786365636</v>
      </c>
      <c r="W92" s="163">
        <f t="shared" si="363"/>
        <v>0.22198874406712421</v>
      </c>
      <c r="X92" s="163">
        <f t="shared" si="363"/>
        <v>0.11666818697142256</v>
      </c>
      <c r="Y92" s="163">
        <f t="shared" si="363"/>
        <v>9.0533584044881321E-2</v>
      </c>
      <c r="Z92" s="65">
        <f t="shared" si="363"/>
        <v>0.16522173598428735</v>
      </c>
      <c r="AA92" s="163">
        <f t="shared" si="364"/>
        <v>0.11815191313596007</v>
      </c>
      <c r="AB92" s="163">
        <f t="shared" si="364"/>
        <v>0.13904521404521408</v>
      </c>
      <c r="AC92" s="163">
        <f t="shared" si="364"/>
        <v>0.13255613126079457</v>
      </c>
      <c r="AD92" s="163">
        <f t="shared" si="364"/>
        <v>0.15572389620668226</v>
      </c>
      <c r="AE92" s="65">
        <f t="shared" si="365"/>
        <v>0.13676702379649819</v>
      </c>
      <c r="AF92" s="163">
        <f t="shared" si="365"/>
        <v>0.14494669085117695</v>
      </c>
      <c r="AG92" s="163">
        <f t="shared" si="365"/>
        <v>0.15659871414545568</v>
      </c>
      <c r="AH92" s="163">
        <f t="shared" si="365"/>
        <v>0.21081184119689644</v>
      </c>
      <c r="AI92" s="163">
        <f t="shared" si="365"/>
        <v>0.15397483809113854</v>
      </c>
      <c r="AJ92" s="65">
        <f t="shared" si="365"/>
        <v>0.16684746415267115</v>
      </c>
      <c r="AK92" s="163">
        <f t="shared" si="365"/>
        <v>0.18458001477953845</v>
      </c>
      <c r="AL92" s="163">
        <f t="shared" si="365"/>
        <v>0.18001213985477804</v>
      </c>
      <c r="AM92" s="163">
        <f t="shared" si="365"/>
        <v>0.97483203628611936</v>
      </c>
      <c r="AN92" s="163">
        <f t="shared" si="365"/>
        <v>1.1713887264002985</v>
      </c>
      <c r="AO92" s="65">
        <f t="shared" si="366"/>
        <v>0.65000317693522724</v>
      </c>
      <c r="AP92" s="163">
        <f t="shared" si="366"/>
        <v>1.1453524641297568</v>
      </c>
      <c r="AQ92" s="163">
        <f t="shared" si="366"/>
        <v>1.034754559940593</v>
      </c>
      <c r="AR92" s="163">
        <f t="shared" si="366"/>
        <v>0.14055635634212194</v>
      </c>
      <c r="AS92" s="163">
        <f t="shared" si="366"/>
        <v>8.9056164728527065E-3</v>
      </c>
      <c r="AT92" s="65">
        <f t="shared" si="366"/>
        <v>0.41767784553875376</v>
      </c>
      <c r="AU92" s="163">
        <f t="shared" si="366"/>
        <v>2.5765583930577263E-2</v>
      </c>
      <c r="AV92" s="163">
        <f t="shared" si="366"/>
        <v>7.9291310744386001E-2</v>
      </c>
      <c r="AW92" s="163">
        <f t="shared" si="366"/>
        <v>7.2277435332654516E-2</v>
      </c>
      <c r="AX92" s="163">
        <f t="shared" si="366"/>
        <v>7.78564421475052E-2</v>
      </c>
      <c r="AY92" s="65">
        <f t="shared" si="367"/>
        <v>6.3747497558913846E-2</v>
      </c>
      <c r="AZ92" s="163">
        <f t="shared" si="367"/>
        <v>8.250327945394309E-2</v>
      </c>
      <c r="BA92" s="163">
        <f t="shared" si="367"/>
        <v>3.524751987009811E-2</v>
      </c>
      <c r="BB92" s="163">
        <f t="shared" si="367"/>
        <v>6.7736741223063168E-2</v>
      </c>
      <c r="BC92" s="163">
        <f t="shared" si="367"/>
        <v>0.12814036523827732</v>
      </c>
      <c r="BD92" s="65">
        <f t="shared" si="367"/>
        <v>7.8116782291366871E-2</v>
      </c>
      <c r="BE92" s="163">
        <f t="shared" si="367"/>
        <v>6.9391171290519527E-2</v>
      </c>
      <c r="BF92" s="163">
        <f t="shared" si="367"/>
        <v>0.11382600663120268</v>
      </c>
      <c r="BG92" s="163">
        <f t="shared" si="367"/>
        <v>2.8932158337361846E-2</v>
      </c>
      <c r="BH92" s="163">
        <f t="shared" si="367"/>
        <v>-9.4551136698157734E-3</v>
      </c>
      <c r="BI92" s="65">
        <f t="shared" si="368"/>
        <v>4.9466133908641075E-2</v>
      </c>
      <c r="BJ92" s="163">
        <f t="shared" si="368"/>
        <v>0.13468097535991808</v>
      </c>
      <c r="BK92" s="163">
        <f t="shared" si="368"/>
        <v>0.12445913397287778</v>
      </c>
      <c r="BL92" s="163">
        <f t="shared" si="368"/>
        <v>0.11425286397865331</v>
      </c>
      <c r="BM92" s="163">
        <f t="shared" si="368"/>
        <v>0.17230494408844321</v>
      </c>
      <c r="BN92" s="65">
        <f t="shared" si="368"/>
        <v>0.13626045823614708</v>
      </c>
      <c r="BO92" s="163">
        <f t="shared" si="368"/>
        <v>-1.3668235669157536E-3</v>
      </c>
      <c r="BP92" s="163">
        <f t="shared" si="368"/>
        <v>-8.7310265204251225E-3</v>
      </c>
      <c r="BQ92" s="163">
        <f t="shared" si="368"/>
        <v>3.2956421249264123E-2</v>
      </c>
      <c r="BR92" s="163">
        <f t="shared" si="368"/>
        <v>-2.4572428507415256E-2</v>
      </c>
      <c r="BS92" s="65">
        <f t="shared" si="369"/>
        <v>-8.4640457511453437E-4</v>
      </c>
      <c r="BT92" s="163">
        <f t="shared" si="369"/>
        <v>0.3658693680841385</v>
      </c>
      <c r="BU92" s="163">
        <f t="shared" si="369"/>
        <v>0.50452797147699968</v>
      </c>
      <c r="BV92" s="163">
        <f t="shared" si="369"/>
        <v>0.54610822325661768</v>
      </c>
      <c r="BW92" s="163">
        <f t="shared" si="369"/>
        <v>0.54110046092530628</v>
      </c>
      <c r="BX92" s="65">
        <f t="shared" si="369"/>
        <v>0.48977961237474044</v>
      </c>
      <c r="BY92" s="163">
        <f t="shared" si="370"/>
        <v>0.13650465356773522</v>
      </c>
      <c r="BZ92" s="163">
        <f t="shared" si="370"/>
        <v>2.4590163934426146E-2</v>
      </c>
      <c r="CA92" s="163">
        <f t="shared" si="370"/>
        <v>3.0881385562253838E-2</v>
      </c>
      <c r="CB92" s="163">
        <f t="shared" si="370"/>
        <v>4.9225159525980056E-2</v>
      </c>
      <c r="CC92" s="65">
        <f t="shared" si="370"/>
        <v>5.7885212782643247E-2</v>
      </c>
      <c r="CD92" s="163">
        <f t="shared" si="371"/>
        <v>8.2802547770700619E-2</v>
      </c>
      <c r="CE92" s="163">
        <f t="shared" si="371"/>
        <v>-6.1333333333333351E-2</v>
      </c>
      <c r="CF92" s="163">
        <f t="shared" si="371"/>
        <v>-0.10314685314685312</v>
      </c>
      <c r="CG92" s="163">
        <f t="shared" si="371"/>
        <v>6.0816681146828921E-2</v>
      </c>
      <c r="CH92" s="65">
        <f t="shared" si="371"/>
        <v>-5.7534852843549311E-3</v>
      </c>
      <c r="CI92" s="163">
        <f t="shared" si="371"/>
        <v>6.386554621848739E-2</v>
      </c>
      <c r="CJ92" s="163">
        <f t="shared" si="371"/>
        <v>-3.6931818181818232E-2</v>
      </c>
      <c r="CK92" s="163">
        <f t="shared" si="371"/>
        <v>-0.11208576998050679</v>
      </c>
      <c r="CL92" s="163">
        <f t="shared" si="371"/>
        <v>-0.27846027846027843</v>
      </c>
      <c r="CM92" s="65">
        <f t="shared" si="372"/>
        <v>-9.303360783440906E-2</v>
      </c>
      <c r="CN92" s="163">
        <f t="shared" ca="1" si="352"/>
        <v>-0.3286237912770843</v>
      </c>
      <c r="CO92" s="163">
        <f t="shared" ca="1" si="352"/>
        <v>-0.2175005573896398</v>
      </c>
      <c r="CP92" s="163">
        <f t="shared" ca="1" si="352"/>
        <v>-0.20258731856782131</v>
      </c>
      <c r="CQ92" s="163">
        <f t="shared" ca="1" si="352"/>
        <v>-6.2307489375899361E-2</v>
      </c>
      <c r="CR92" s="65">
        <f t="shared" ca="1" si="352"/>
        <v>-0.21513760293926498</v>
      </c>
      <c r="CS92" s="163">
        <f t="shared" ca="1" si="353"/>
        <v>-7.1325097567672802E-2</v>
      </c>
      <c r="CT92" s="163">
        <f t="shared" ca="1" si="354"/>
        <v>-5.9394671083886741E-2</v>
      </c>
      <c r="CU92" s="163">
        <f t="shared" ca="1" si="355"/>
        <v>-3.8673918097099635E-2</v>
      </c>
      <c r="CV92" s="163">
        <f t="shared" ca="1" si="356"/>
        <v>-1.8442864585157315E-2</v>
      </c>
      <c r="CW92" s="65">
        <f t="shared" ca="1" si="357"/>
        <v>-4.7281223992348798E-2</v>
      </c>
      <c r="CX92" s="163">
        <f t="shared" ca="1" si="358"/>
        <v>-4.5109776069141017E-3</v>
      </c>
      <c r="CY92" s="163">
        <f t="shared" ca="1" si="359"/>
        <v>-1.4853912507022393E-3</v>
      </c>
      <c r="CZ92" s="163">
        <f t="shared" ca="1" si="360"/>
        <v>1.3737180618466072E-2</v>
      </c>
      <c r="DA92" s="163">
        <f t="shared" ca="1" si="361"/>
        <v>8.3743073973514548E-3</v>
      </c>
      <c r="DB92" s="65">
        <f t="shared" ca="1" si="362"/>
        <v>3.8434221907182042E-3</v>
      </c>
      <c r="DC92"/>
      <c r="DD92"/>
      <c r="DE92"/>
      <c r="DF92"/>
      <c r="DG92"/>
      <c r="DJ92"/>
    </row>
    <row r="93" spans="1:114" s="725" customFormat="1" ht="4.5" customHeight="1">
      <c r="A93" s="1030"/>
      <c r="B93" s="1031"/>
      <c r="C93" s="1032"/>
      <c r="D93" s="1032"/>
      <c r="E93" s="1032"/>
      <c r="F93" s="1032"/>
      <c r="G93" s="1031"/>
      <c r="H93" s="1031"/>
      <c r="I93" s="1031"/>
      <c r="J93" s="1031"/>
      <c r="K93" s="1032"/>
      <c r="L93" s="1031"/>
      <c r="M93" s="1031"/>
      <c r="N93" s="1031"/>
      <c r="O93" s="1031"/>
      <c r="P93" s="1032"/>
      <c r="Q93" s="1031"/>
      <c r="R93" s="1031"/>
      <c r="S93" s="1031"/>
      <c r="T93" s="1031"/>
      <c r="U93" s="1032"/>
      <c r="V93" s="1031"/>
      <c r="W93" s="1031"/>
      <c r="X93" s="1031"/>
      <c r="Y93" s="1031"/>
      <c r="Z93" s="1032"/>
      <c r="AA93" s="1031"/>
      <c r="AB93" s="1031"/>
      <c r="AC93" s="1031"/>
      <c r="AD93" s="1031"/>
      <c r="AE93" s="1032"/>
      <c r="AF93" s="1031"/>
      <c r="AG93" s="1031"/>
      <c r="AH93" s="1031"/>
      <c r="AI93" s="1031"/>
      <c r="AJ93" s="1032"/>
      <c r="AK93" s="1031"/>
      <c r="AL93" s="1031"/>
      <c r="AM93" s="1031"/>
      <c r="AN93" s="1031"/>
      <c r="AO93" s="1032"/>
      <c r="AP93" s="399"/>
      <c r="AQ93" s="399"/>
      <c r="AR93" s="399"/>
      <c r="AS93" s="399"/>
      <c r="AT93" s="172"/>
      <c r="AU93" s="399"/>
      <c r="AV93" s="399"/>
      <c r="AW93" s="399"/>
      <c r="AX93" s="399"/>
      <c r="AY93" s="172"/>
      <c r="AZ93" s="399"/>
      <c r="BA93" s="399"/>
      <c r="BB93" s="399"/>
      <c r="BC93" s="399"/>
      <c r="BD93" s="172"/>
      <c r="BE93" s="399"/>
      <c r="BF93" s="1033"/>
      <c r="BG93" s="399"/>
      <c r="BH93" s="399"/>
      <c r="BI93" s="172"/>
      <c r="BJ93" s="399"/>
      <c r="BK93" s="399"/>
      <c r="BL93" s="399"/>
      <c r="BM93" s="399"/>
      <c r="BN93" s="172"/>
      <c r="BO93" s="399"/>
      <c r="BP93" s="399"/>
      <c r="BQ93" s="399"/>
      <c r="BR93" s="399"/>
      <c r="BS93" s="172"/>
      <c r="BT93" s="399"/>
      <c r="BU93" s="399"/>
      <c r="BV93" s="399"/>
      <c r="BW93" s="399"/>
      <c r="BX93" s="172"/>
      <c r="BY93" s="399"/>
      <c r="BZ93" s="399"/>
      <c r="CA93" s="399"/>
      <c r="CB93" s="399"/>
      <c r="CC93" s="172"/>
      <c r="CD93" s="399"/>
      <c r="CE93" s="399"/>
      <c r="CF93" s="399"/>
      <c r="CG93" s="399"/>
      <c r="CH93" s="172"/>
      <c r="CI93" s="399"/>
      <c r="CJ93" s="399"/>
      <c r="CK93" s="399"/>
      <c r="CL93" s="399"/>
      <c r="CM93" s="172"/>
      <c r="CN93" s="399"/>
      <c r="CO93" s="399"/>
      <c r="CP93" s="399"/>
      <c r="CQ93" s="399"/>
      <c r="CR93" s="172"/>
      <c r="CS93" s="399"/>
      <c r="CT93" s="399"/>
      <c r="CU93" s="399"/>
      <c r="CV93" s="399"/>
      <c r="CW93" s="172"/>
      <c r="CX93" s="399"/>
      <c r="CY93" s="399"/>
      <c r="CZ93" s="399"/>
      <c r="DA93" s="399"/>
      <c r="DB93" s="172"/>
      <c r="DC93"/>
      <c r="DD93"/>
      <c r="DE93"/>
      <c r="DF93"/>
      <c r="DG93"/>
      <c r="DJ93"/>
    </row>
    <row r="94" spans="1:114" s="725" customFormat="1" hidden="1" outlineLevel="1">
      <c r="A94" s="467"/>
      <c r="B94" s="1004" t="s">
        <v>311</v>
      </c>
      <c r="C94" s="18"/>
      <c r="D94" s="18"/>
      <c r="E94" s="18"/>
      <c r="F94" s="18"/>
      <c r="G94" s="16"/>
      <c r="H94" s="16"/>
      <c r="I94" s="16"/>
      <c r="J94" s="16"/>
      <c r="K94" s="18"/>
      <c r="L94" s="16"/>
      <c r="M94" s="16"/>
      <c r="N94" s="16"/>
      <c r="O94" s="16"/>
      <c r="P94" s="18"/>
      <c r="Q94" s="16"/>
      <c r="R94" s="16"/>
      <c r="S94" s="16"/>
      <c r="T94" s="16"/>
      <c r="U94" s="18"/>
      <c r="V94" s="16"/>
      <c r="W94" s="16"/>
      <c r="X94" s="16"/>
      <c r="Y94" s="16"/>
      <c r="Z94" s="18"/>
      <c r="AA94" s="16"/>
      <c r="AB94" s="16"/>
      <c r="AC94" s="16"/>
      <c r="AD94" s="16"/>
      <c r="AE94" s="18"/>
      <c r="AF94" s="16"/>
      <c r="AG94" s="16"/>
      <c r="AH94" s="16"/>
      <c r="AI94" s="16"/>
      <c r="AJ94" s="18"/>
      <c r="AK94" s="16"/>
      <c r="AL94" s="16"/>
      <c r="AM94" s="16"/>
      <c r="AN94" s="16"/>
      <c r="AO94" s="18"/>
      <c r="AP94" s="16"/>
      <c r="AQ94" s="16"/>
      <c r="AR94" s="16"/>
      <c r="AS94" s="16"/>
      <c r="AT94" s="18"/>
      <c r="AU94" s="16"/>
      <c r="AV94" s="16"/>
      <c r="AW94" s="16"/>
      <c r="AX94" s="16"/>
      <c r="AY94" s="18"/>
      <c r="AZ94" s="16"/>
      <c r="BA94" s="16"/>
      <c r="BB94" s="16"/>
      <c r="BC94" s="16"/>
      <c r="BD94" s="18"/>
      <c r="BE94" s="16"/>
      <c r="BF94" s="16"/>
      <c r="BG94" s="16"/>
      <c r="BH94" s="16"/>
      <c r="BI94" s="18"/>
      <c r="BJ94" s="16"/>
      <c r="BK94" s="16"/>
      <c r="BL94" s="16"/>
      <c r="BM94" s="16"/>
      <c r="BN94" s="18"/>
      <c r="BO94" s="16"/>
      <c r="BP94" s="16"/>
      <c r="BQ94" s="16"/>
      <c r="BR94" s="16"/>
      <c r="BS94" s="18"/>
      <c r="BT94" s="16"/>
      <c r="BU94" s="16"/>
      <c r="BV94" s="16"/>
      <c r="BW94" s="16"/>
      <c r="BX94" s="316"/>
      <c r="BY94" s="16"/>
      <c r="BZ94" s="16"/>
      <c r="CA94" s="16"/>
      <c r="CB94" s="16"/>
      <c r="CC94" s="316"/>
      <c r="CD94" s="16"/>
      <c r="CE94" s="16"/>
      <c r="CF94" s="16"/>
      <c r="CG94" s="16"/>
      <c r="CH94" s="316"/>
      <c r="CI94" s="16"/>
      <c r="CJ94" s="16"/>
      <c r="CK94" s="16"/>
      <c r="CL94" s="16"/>
      <c r="CM94" s="316"/>
      <c r="CN94" s="16"/>
      <c r="CO94" s="16"/>
      <c r="CP94" s="16"/>
      <c r="CQ94" s="16"/>
      <c r="CR94" s="316"/>
      <c r="CS94" s="16"/>
      <c r="CT94" s="16"/>
      <c r="CU94" s="16"/>
      <c r="CV94" s="16"/>
      <c r="CW94" s="316"/>
      <c r="CX94" s="16"/>
      <c r="CY94" s="16"/>
      <c r="CZ94" s="16"/>
      <c r="DA94" s="16"/>
      <c r="DB94" s="316"/>
      <c r="DC94"/>
      <c r="DD94"/>
      <c r="DE94"/>
      <c r="DF94"/>
      <c r="DG94"/>
      <c r="DJ94"/>
    </row>
    <row r="95" spans="1:114" s="725" customFormat="1" hidden="1" outlineLevel="1">
      <c r="A95" s="396"/>
      <c r="B95" s="37" t="s">
        <v>312</v>
      </c>
      <c r="C95" s="1034"/>
      <c r="D95" s="1034">
        <v>0</v>
      </c>
      <c r="E95" s="1034">
        <v>0</v>
      </c>
      <c r="F95" s="1034">
        <v>0</v>
      </c>
      <c r="G95" s="1035">
        <v>0</v>
      </c>
      <c r="H95" s="1035">
        <v>0</v>
      </c>
      <c r="I95" s="1035">
        <v>0</v>
      </c>
      <c r="J95" s="1035">
        <v>0</v>
      </c>
      <c r="K95" s="1034">
        <v>0</v>
      </c>
      <c r="L95" s="1035">
        <v>0</v>
      </c>
      <c r="M95" s="1035">
        <v>0</v>
      </c>
      <c r="N95" s="1035">
        <v>0</v>
      </c>
      <c r="O95" s="1035">
        <v>0</v>
      </c>
      <c r="P95" s="1034">
        <v>0</v>
      </c>
      <c r="Q95" s="1035">
        <v>0</v>
      </c>
      <c r="R95" s="1035">
        <v>0</v>
      </c>
      <c r="S95" s="1035">
        <v>0</v>
      </c>
      <c r="T95" s="1035">
        <v>0</v>
      </c>
      <c r="U95" s="1034">
        <v>0</v>
      </c>
      <c r="V95" s="1035">
        <v>0</v>
      </c>
      <c r="W95" s="1035">
        <v>0</v>
      </c>
      <c r="X95" s="1035">
        <v>0</v>
      </c>
      <c r="Y95" s="1035">
        <v>0</v>
      </c>
      <c r="Z95" s="1034">
        <v>0</v>
      </c>
      <c r="AA95" s="1035">
        <v>0</v>
      </c>
      <c r="AB95" s="1035">
        <v>0</v>
      </c>
      <c r="AC95" s="1035">
        <v>0</v>
      </c>
      <c r="AD95" s="1035">
        <v>0</v>
      </c>
      <c r="AE95" s="1034">
        <v>0</v>
      </c>
      <c r="AF95" s="1035">
        <v>0</v>
      </c>
      <c r="AG95" s="1035">
        <v>0</v>
      </c>
      <c r="AH95" s="1035">
        <v>0</v>
      </c>
      <c r="AI95" s="1035">
        <v>0</v>
      </c>
      <c r="AJ95" s="1034">
        <v>0</v>
      </c>
      <c r="AK95" s="1035">
        <v>0</v>
      </c>
      <c r="AL95" s="1035">
        <v>0</v>
      </c>
      <c r="AM95" s="1035">
        <v>0</v>
      </c>
      <c r="AN95" s="1035">
        <v>0</v>
      </c>
      <c r="AO95" s="1034">
        <v>0</v>
      </c>
      <c r="AP95" s="1035">
        <v>0</v>
      </c>
      <c r="AQ95" s="1035">
        <v>0</v>
      </c>
      <c r="AR95" s="1035">
        <v>0</v>
      </c>
      <c r="AS95" s="1035">
        <v>0</v>
      </c>
      <c r="AT95" s="1034">
        <v>0</v>
      </c>
      <c r="AU95" s="1035">
        <v>0</v>
      </c>
      <c r="AV95" s="1035">
        <v>0</v>
      </c>
      <c r="AW95" s="1035">
        <v>0</v>
      </c>
      <c r="AX95" s="1035">
        <v>0</v>
      </c>
      <c r="AY95" s="1034">
        <v>0</v>
      </c>
      <c r="AZ95" s="1035">
        <v>0</v>
      </c>
      <c r="BA95" s="1035">
        <v>0</v>
      </c>
      <c r="BB95" s="1035">
        <v>0</v>
      </c>
      <c r="BC95" s="1035">
        <v>0</v>
      </c>
      <c r="BD95" s="1034">
        <v>0</v>
      </c>
      <c r="BE95" s="1035">
        <v>0</v>
      </c>
      <c r="BF95" s="1035">
        <v>0</v>
      </c>
      <c r="BG95" s="1035">
        <v>0</v>
      </c>
      <c r="BH95" s="1035">
        <v>0</v>
      </c>
      <c r="BI95" s="1034">
        <v>0</v>
      </c>
      <c r="BJ95" s="1035">
        <v>0</v>
      </c>
      <c r="BK95" s="1035">
        <v>0</v>
      </c>
      <c r="BL95" s="1035">
        <v>0</v>
      </c>
      <c r="BM95" s="1035">
        <v>0</v>
      </c>
      <c r="BN95" s="1034">
        <v>0</v>
      </c>
      <c r="BO95" s="1035">
        <v>0</v>
      </c>
      <c r="BP95" s="1035">
        <v>0</v>
      </c>
      <c r="BQ95" s="1035">
        <v>0</v>
      </c>
      <c r="BR95" s="1035">
        <v>0</v>
      </c>
      <c r="BS95" s="1034">
        <v>0</v>
      </c>
      <c r="BT95" s="1035">
        <v>0</v>
      </c>
      <c r="BU95" s="1035">
        <v>0</v>
      </c>
      <c r="BV95" s="1035">
        <v>0</v>
      </c>
      <c r="BW95" s="1035">
        <v>0</v>
      </c>
      <c r="BX95" s="1034">
        <v>0</v>
      </c>
      <c r="BY95" s="1035">
        <v>0</v>
      </c>
      <c r="BZ95" s="1035">
        <v>0</v>
      </c>
      <c r="CA95" s="1035">
        <v>0</v>
      </c>
      <c r="CB95" s="1035">
        <v>0</v>
      </c>
      <c r="CC95" s="1034">
        <v>0</v>
      </c>
      <c r="CD95" s="1035">
        <v>0</v>
      </c>
      <c r="CE95" s="1035">
        <v>0</v>
      </c>
      <c r="CF95" s="1035">
        <v>0</v>
      </c>
      <c r="CG95" s="1035">
        <v>0</v>
      </c>
      <c r="CH95" s="1034">
        <v>0</v>
      </c>
      <c r="CI95" s="1035">
        <v>0</v>
      </c>
      <c r="CJ95" s="1035">
        <v>0</v>
      </c>
      <c r="CK95" s="1035">
        <v>0</v>
      </c>
      <c r="CL95" s="1035">
        <v>0</v>
      </c>
      <c r="CM95" s="1034">
        <v>0</v>
      </c>
      <c r="CN95" s="1035">
        <v>0</v>
      </c>
      <c r="CO95" s="1035">
        <v>0</v>
      </c>
      <c r="CP95" s="1035">
        <v>0</v>
      </c>
      <c r="CQ95" s="1035">
        <v>0</v>
      </c>
      <c r="CR95" s="1034">
        <v>0</v>
      </c>
      <c r="CS95" s="1035">
        <v>0</v>
      </c>
      <c r="CT95" s="1035">
        <v>0</v>
      </c>
      <c r="CU95" s="1035">
        <v>0</v>
      </c>
      <c r="CV95" s="1035">
        <v>0</v>
      </c>
      <c r="CW95" s="1034">
        <v>0</v>
      </c>
      <c r="CX95" s="1035">
        <v>0</v>
      </c>
      <c r="CY95" s="1035">
        <v>0</v>
      </c>
      <c r="CZ95" s="1035">
        <v>0</v>
      </c>
      <c r="DA95" s="1035">
        <v>0</v>
      </c>
      <c r="DB95" s="1034">
        <v>0</v>
      </c>
      <c r="DC95"/>
      <c r="DD95"/>
      <c r="DE95"/>
      <c r="DF95"/>
      <c r="DG95"/>
      <c r="DJ95"/>
    </row>
    <row r="96" spans="1:114" s="725" customFormat="1" hidden="1" outlineLevel="1">
      <c r="A96" s="1036"/>
      <c r="B96" s="1037" t="s">
        <v>313</v>
      </c>
      <c r="C96" s="1038"/>
      <c r="D96" s="1038"/>
      <c r="E96" s="1038"/>
      <c r="F96" s="1039">
        <f>35%+5.3%</f>
        <v>0.40299999999999997</v>
      </c>
      <c r="G96" s="1040">
        <f>K96</f>
        <v>0.41</v>
      </c>
      <c r="H96" s="1040">
        <f>K96</f>
        <v>0.41</v>
      </c>
      <c r="I96" s="1040">
        <f>K96</f>
        <v>0.41</v>
      </c>
      <c r="J96" s="1040">
        <f>K96</f>
        <v>0.41</v>
      </c>
      <c r="K96" s="1039">
        <f>35%+6%</f>
        <v>0.41</v>
      </c>
      <c r="L96" s="1040">
        <f>P96</f>
        <v>0.40699999999999997</v>
      </c>
      <c r="M96" s="1040">
        <f>P96</f>
        <v>0.40699999999999997</v>
      </c>
      <c r="N96" s="1040">
        <f>P96</f>
        <v>0.40699999999999997</v>
      </c>
      <c r="O96" s="1040">
        <f>P96</f>
        <v>0.40699999999999997</v>
      </c>
      <c r="P96" s="1039">
        <f>35%+5.7%</f>
        <v>0.40699999999999997</v>
      </c>
      <c r="Q96" s="1040">
        <f>U96</f>
        <v>0.39499999999999996</v>
      </c>
      <c r="R96" s="1040">
        <f>U96</f>
        <v>0.39499999999999996</v>
      </c>
      <c r="S96" s="1040">
        <f>U96</f>
        <v>0.39499999999999996</v>
      </c>
      <c r="T96" s="1040">
        <f>U96</f>
        <v>0.39499999999999996</v>
      </c>
      <c r="U96" s="1039">
        <f>35%+4.5%</f>
        <v>0.39499999999999996</v>
      </c>
      <c r="V96" s="1040">
        <f>Z96</f>
        <v>0.38700000000000001</v>
      </c>
      <c r="W96" s="1040">
        <f>Z96</f>
        <v>0.38700000000000001</v>
      </c>
      <c r="X96" s="1040">
        <f>Z96</f>
        <v>0.38700000000000001</v>
      </c>
      <c r="Y96" s="1040">
        <f>Z96</f>
        <v>0.38700000000000001</v>
      </c>
      <c r="Z96" s="1039">
        <f>35%+3.7%</f>
        <v>0.38700000000000001</v>
      </c>
      <c r="AA96" s="1040">
        <f>AE96</f>
        <v>0.38</v>
      </c>
      <c r="AB96" s="1040">
        <f>AE96</f>
        <v>0.38</v>
      </c>
      <c r="AC96" s="1040">
        <f>AE96</f>
        <v>0.38</v>
      </c>
      <c r="AD96" s="1040">
        <f>AE96</f>
        <v>0.38</v>
      </c>
      <c r="AE96" s="1039">
        <f>35%+3%</f>
        <v>0.38</v>
      </c>
      <c r="AF96" s="1040">
        <f>AJ96</f>
        <v>0.377</v>
      </c>
      <c r="AG96" s="1040">
        <f>AJ96</f>
        <v>0.377</v>
      </c>
      <c r="AH96" s="1040">
        <f>AJ96</f>
        <v>0.377</v>
      </c>
      <c r="AI96" s="1040">
        <f>AJ96</f>
        <v>0.377</v>
      </c>
      <c r="AJ96" s="1039">
        <f>35%+2.7%</f>
        <v>0.377</v>
      </c>
      <c r="AK96" s="1040">
        <f>AO96</f>
        <v>0.37899999999999995</v>
      </c>
      <c r="AL96" s="1040">
        <f>AO96</f>
        <v>0.37899999999999995</v>
      </c>
      <c r="AM96" s="1040">
        <f>AO96</f>
        <v>0.37899999999999995</v>
      </c>
      <c r="AN96" s="1040">
        <f>AO96</f>
        <v>0.37899999999999995</v>
      </c>
      <c r="AO96" s="1039">
        <f>35%+5.5%-2.6%</f>
        <v>0.37899999999999995</v>
      </c>
      <c r="AP96" s="1040">
        <f>AT96</f>
        <v>0.375</v>
      </c>
      <c r="AQ96" s="1040">
        <f>AT96</f>
        <v>0.375</v>
      </c>
      <c r="AR96" s="1040">
        <f>AT96</f>
        <v>0.375</v>
      </c>
      <c r="AS96" s="1040">
        <f>AT96</f>
        <v>0.375</v>
      </c>
      <c r="AT96" s="1039">
        <f>35%+3.2%-0.7%</f>
        <v>0.375</v>
      </c>
      <c r="AU96" s="1040">
        <f>AY96</f>
        <v>0.36</v>
      </c>
      <c r="AV96" s="1040">
        <f>AY96</f>
        <v>0.36</v>
      </c>
      <c r="AW96" s="1040">
        <f>AY96</f>
        <v>0.36</v>
      </c>
      <c r="AX96" s="1040">
        <f>AY96</f>
        <v>0.36</v>
      </c>
      <c r="AY96" s="1039">
        <f>35%+2%-1%</f>
        <v>0.36</v>
      </c>
      <c r="AZ96" s="1040">
        <f>BD96</f>
        <v>0.36299999999999999</v>
      </c>
      <c r="BA96" s="1040">
        <f>BD96</f>
        <v>0.36299999999999999</v>
      </c>
      <c r="BB96" s="1040">
        <f>BD96</f>
        <v>0.36299999999999999</v>
      </c>
      <c r="BC96" s="1040">
        <f>BD96</f>
        <v>0.36299999999999999</v>
      </c>
      <c r="BD96" s="1039">
        <f>35%+1.7%-0.4%</f>
        <v>0.36299999999999999</v>
      </c>
      <c r="BE96" s="1040">
        <f>BI96</f>
        <v>0.35899999999999999</v>
      </c>
      <c r="BF96" s="1040">
        <f>BI96</f>
        <v>0.35899999999999999</v>
      </c>
      <c r="BG96" s="1040">
        <f>BI96</f>
        <v>0.35899999999999999</v>
      </c>
      <c r="BH96" s="1040">
        <f>BI96</f>
        <v>0.35899999999999999</v>
      </c>
      <c r="BI96" s="1039">
        <f>35%+1.7%-0.8%</f>
        <v>0.35899999999999999</v>
      </c>
      <c r="BJ96" s="1040">
        <v>0.35</v>
      </c>
      <c r="BK96" s="1040">
        <v>0.35</v>
      </c>
      <c r="BL96" s="1040">
        <v>0.35</v>
      </c>
      <c r="BM96" s="1040">
        <v>0.35</v>
      </c>
      <c r="BN96" s="1038">
        <v>0.35</v>
      </c>
      <c r="BO96" s="1040">
        <v>0.35</v>
      </c>
      <c r="BP96" s="1040">
        <v>0.35</v>
      </c>
      <c r="BQ96" s="1040">
        <v>0.35</v>
      </c>
      <c r="BR96" s="1040">
        <v>0.35</v>
      </c>
      <c r="BS96" s="1038">
        <v>0.35</v>
      </c>
      <c r="BT96" s="1040">
        <v>0.35</v>
      </c>
      <c r="BU96" s="1040">
        <v>0.35</v>
      </c>
      <c r="BV96" s="1040">
        <v>0.35</v>
      </c>
      <c r="BW96" s="1040">
        <v>0.35</v>
      </c>
      <c r="BX96" s="1038">
        <v>0.35</v>
      </c>
      <c r="BY96" s="1040">
        <v>0.35</v>
      </c>
      <c r="BZ96" s="1040">
        <v>0.35</v>
      </c>
      <c r="CA96" s="1040">
        <v>0.35</v>
      </c>
      <c r="CB96" s="1040">
        <v>0.35</v>
      </c>
      <c r="CC96" s="1038">
        <v>0.35</v>
      </c>
      <c r="CD96" s="1040">
        <v>0.35</v>
      </c>
      <c r="CE96" s="1040">
        <v>0.35</v>
      </c>
      <c r="CF96" s="1040">
        <v>0.35</v>
      </c>
      <c r="CG96" s="1040">
        <v>0.35</v>
      </c>
      <c r="CH96" s="1038">
        <v>0.35</v>
      </c>
      <c r="CI96" s="1040">
        <v>0.35</v>
      </c>
      <c r="CJ96" s="1040">
        <v>0.35</v>
      </c>
      <c r="CK96" s="1040">
        <v>0.35</v>
      </c>
      <c r="CL96" s="1040">
        <v>0.35</v>
      </c>
      <c r="CM96" s="1038">
        <v>0.35</v>
      </c>
      <c r="CN96" s="1040">
        <v>0.35</v>
      </c>
      <c r="CO96" s="1040">
        <v>0.35</v>
      </c>
      <c r="CP96" s="1040">
        <v>0.35</v>
      </c>
      <c r="CQ96" s="1040">
        <v>0.35</v>
      </c>
      <c r="CR96" s="1038">
        <v>0.35</v>
      </c>
      <c r="CS96" s="1040">
        <v>0.35</v>
      </c>
      <c r="CT96" s="1040">
        <v>0.35</v>
      </c>
      <c r="CU96" s="1040">
        <v>0.35</v>
      </c>
      <c r="CV96" s="1040">
        <v>0.35</v>
      </c>
      <c r="CW96" s="1038">
        <v>0.35</v>
      </c>
      <c r="CX96" s="1040">
        <v>0.35</v>
      </c>
      <c r="CY96" s="1040">
        <v>0.35</v>
      </c>
      <c r="CZ96" s="1040">
        <v>0.35</v>
      </c>
      <c r="DA96" s="1040">
        <v>0.35</v>
      </c>
      <c r="DB96" s="1038">
        <v>0.35</v>
      </c>
      <c r="DC96"/>
      <c r="DD96"/>
      <c r="DE96"/>
      <c r="DF96"/>
      <c r="DG96"/>
      <c r="DJ96"/>
    </row>
    <row r="97" spans="1:114" hidden="1" outlineLevel="1"/>
    <row r="98" spans="1:114" s="725" customFormat="1" hidden="1" outlineLevel="1">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c r="DA98" s="6"/>
      <c r="DB98" s="6"/>
      <c r="DC98"/>
      <c r="DD98"/>
      <c r="DE98"/>
      <c r="DF98"/>
      <c r="DG98"/>
      <c r="DJ98"/>
    </row>
    <row r="99" spans="1:114" s="725" customFormat="1" collapsed="1">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c r="DA99" s="6"/>
      <c r="DB99" s="6"/>
      <c r="DC99"/>
      <c r="DD99"/>
      <c r="DE99"/>
      <c r="DF99"/>
      <c r="DG99"/>
      <c r="DJ99"/>
    </row>
    <row r="100" spans="1:114" s="725" customFormat="1" hidden="1" outlineLevel="1">
      <c r="A100" s="1041"/>
      <c r="B100" s="41" t="s">
        <v>162</v>
      </c>
      <c r="C100" s="1042"/>
      <c r="D100" s="1042"/>
      <c r="E100" s="1042"/>
      <c r="F100" s="1042"/>
      <c r="G100" s="1043"/>
      <c r="H100" s="1043"/>
      <c r="I100" s="1043"/>
      <c r="J100" s="1043"/>
      <c r="K100" s="1042"/>
      <c r="L100" s="1043"/>
      <c r="M100" s="1043"/>
      <c r="N100" s="1043"/>
      <c r="O100" s="1043"/>
      <c r="P100" s="1042"/>
      <c r="Q100" s="1043"/>
      <c r="R100" s="1043"/>
      <c r="S100" s="1043"/>
      <c r="T100" s="1043"/>
      <c r="U100" s="1042"/>
      <c r="V100" s="1043"/>
      <c r="W100" s="1043"/>
      <c r="X100" s="1043"/>
      <c r="Y100" s="1043"/>
      <c r="Z100" s="1042"/>
      <c r="AA100" s="1043"/>
      <c r="AB100" s="1043"/>
      <c r="AC100" s="1043"/>
      <c r="AD100" s="1043"/>
      <c r="AE100" s="1043"/>
      <c r="AF100" s="1043"/>
      <c r="AG100" s="1043"/>
      <c r="AH100" s="1043"/>
      <c r="AI100" s="1043"/>
      <c r="AJ100" s="1043"/>
      <c r="AK100" s="1043"/>
      <c r="AL100" s="1043"/>
      <c r="AM100" s="1043"/>
      <c r="AN100" s="1043"/>
      <c r="AO100" s="1043"/>
      <c r="AP100" s="1043"/>
      <c r="AQ100" s="1043"/>
      <c r="AR100" s="1043"/>
      <c r="AS100" s="1043"/>
      <c r="AT100" s="1043"/>
      <c r="AU100" s="1043"/>
      <c r="AV100" s="1043"/>
      <c r="AW100" s="1043"/>
      <c r="AX100" s="1043"/>
      <c r="AY100" s="1043"/>
      <c r="AZ100" s="1043"/>
      <c r="BA100" s="1043"/>
      <c r="BB100" s="1043"/>
      <c r="BC100" s="1043"/>
      <c r="BD100" s="1043"/>
      <c r="BE100" s="1043"/>
      <c r="BF100" s="1043"/>
      <c r="BG100" s="1043"/>
      <c r="BH100" s="1043"/>
      <c r="BI100" s="1043"/>
      <c r="BJ100" s="1043"/>
      <c r="BK100" s="1043"/>
      <c r="BL100" s="1043"/>
      <c r="BM100" s="1043"/>
      <c r="BN100" s="1043"/>
      <c r="BO100" s="1043"/>
      <c r="BP100" s="1043"/>
      <c r="BQ100" s="1043"/>
      <c r="BR100" s="1043"/>
      <c r="BS100" s="1043"/>
      <c r="BT100" s="1043"/>
      <c r="BU100" s="1043"/>
      <c r="BV100" s="1043"/>
      <c r="BW100" s="1043"/>
      <c r="BX100" s="1043"/>
      <c r="BY100" s="1043"/>
      <c r="BZ100" s="1043"/>
      <c r="CA100" s="1043"/>
      <c r="CB100" s="1043"/>
      <c r="CC100" s="1044"/>
      <c r="CD100" s="1043"/>
      <c r="CE100" s="1043"/>
      <c r="CF100" s="1043"/>
      <c r="CG100" s="1043"/>
      <c r="CH100" s="1044"/>
      <c r="CI100" s="1043"/>
      <c r="CJ100" s="1043"/>
      <c r="CK100" s="1043"/>
      <c r="CL100" s="1043"/>
      <c r="CM100" s="1044"/>
      <c r="CN100" s="1043"/>
      <c r="CO100" s="1043"/>
      <c r="CP100" s="1043"/>
      <c r="CQ100" s="1043"/>
      <c r="CR100" s="1044"/>
      <c r="CS100" s="1043"/>
      <c r="CT100" s="1043"/>
      <c r="CU100" s="1043"/>
      <c r="CV100" s="1043"/>
      <c r="CW100" s="1044"/>
      <c r="CX100" s="1043"/>
      <c r="CY100" s="1043"/>
      <c r="CZ100" s="1043"/>
      <c r="DA100" s="1043"/>
      <c r="DB100" s="1044"/>
      <c r="DC100"/>
      <c r="DD100"/>
      <c r="DE100"/>
      <c r="DF100"/>
      <c r="DG100"/>
      <c r="DJ100"/>
    </row>
    <row r="101" spans="1:114" s="725" customFormat="1" hidden="1" outlineLevel="1">
      <c r="A101" s="396"/>
      <c r="B101" s="37" t="s">
        <v>163</v>
      </c>
      <c r="C101" s="316"/>
      <c r="D101" s="316"/>
      <c r="E101" s="316"/>
      <c r="F101" s="316"/>
      <c r="G101" s="6"/>
      <c r="H101" s="6"/>
      <c r="I101" s="6"/>
      <c r="J101" s="6"/>
      <c r="K101" s="1045">
        <v>1693.625</v>
      </c>
      <c r="L101" s="6"/>
      <c r="M101" s="6"/>
      <c r="N101" s="6"/>
      <c r="O101" s="6"/>
      <c r="P101" s="1045">
        <v>2200.4169999999999</v>
      </c>
      <c r="Q101" s="6"/>
      <c r="R101" s="6"/>
      <c r="S101" s="6"/>
      <c r="T101" s="6"/>
      <c r="U101" s="1045">
        <v>2834.6239999999998</v>
      </c>
      <c r="V101" s="6"/>
      <c r="W101" s="6"/>
      <c r="X101" s="6"/>
      <c r="Y101" s="6"/>
      <c r="Z101" s="1045">
        <v>3332.6410000000001</v>
      </c>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313"/>
      <c r="CD101" s="6"/>
      <c r="CE101" s="6"/>
      <c r="CF101" s="6"/>
      <c r="CG101" s="6"/>
      <c r="CH101" s="313"/>
      <c r="CI101" s="6"/>
      <c r="CJ101" s="6"/>
      <c r="CK101" s="6"/>
      <c r="CL101" s="6"/>
      <c r="CM101" s="313"/>
      <c r="CN101" s="6"/>
      <c r="CO101" s="6"/>
      <c r="CP101" s="6"/>
      <c r="CQ101" s="6"/>
      <c r="CR101" s="313"/>
      <c r="CS101" s="6"/>
      <c r="CT101" s="6"/>
      <c r="CU101" s="6"/>
      <c r="CV101" s="6"/>
      <c r="CW101" s="313"/>
      <c r="CX101" s="6"/>
      <c r="CY101" s="6"/>
      <c r="CZ101" s="6"/>
      <c r="DA101" s="6"/>
      <c r="DB101" s="313"/>
      <c r="DC101"/>
      <c r="DD101"/>
      <c r="DE101"/>
      <c r="DF101"/>
      <c r="DG101"/>
      <c r="DJ101"/>
    </row>
    <row r="102" spans="1:114" s="725" customFormat="1" hidden="1" outlineLevel="1">
      <c r="A102" s="396"/>
      <c r="B102" s="37" t="s">
        <v>164</v>
      </c>
      <c r="C102" s="308"/>
      <c r="D102" s="308"/>
      <c r="E102" s="308"/>
      <c r="F102" s="308"/>
      <c r="G102" s="239"/>
      <c r="H102" s="239"/>
      <c r="I102" s="239"/>
      <c r="J102" s="239"/>
      <c r="K102" s="306">
        <v>0.5</v>
      </c>
      <c r="L102" s="239"/>
      <c r="M102" s="239"/>
      <c r="N102" s="239"/>
      <c r="O102" s="239"/>
      <c r="P102" s="306">
        <v>1</v>
      </c>
      <c r="Q102" s="239"/>
      <c r="R102" s="239"/>
      <c r="S102" s="239"/>
      <c r="T102" s="239"/>
      <c r="U102" s="306">
        <v>1.3</v>
      </c>
      <c r="V102" s="239"/>
      <c r="W102" s="239"/>
      <c r="X102" s="239"/>
      <c r="Y102" s="239"/>
      <c r="Z102" s="306">
        <v>1.51</v>
      </c>
      <c r="AA102" s="239"/>
      <c r="AB102" s="239"/>
      <c r="AC102" s="239"/>
      <c r="AD102" s="239"/>
      <c r="AE102" s="239"/>
      <c r="AF102" s="239"/>
      <c r="AG102" s="239"/>
      <c r="AH102" s="239"/>
      <c r="AI102" s="239"/>
      <c r="AJ102" s="239"/>
      <c r="AK102" s="239"/>
      <c r="AL102" s="239"/>
      <c r="AM102" s="239"/>
      <c r="AN102" s="239"/>
      <c r="AO102" s="239"/>
      <c r="AP102" s="239"/>
      <c r="AQ102" s="239"/>
      <c r="AR102" s="239"/>
      <c r="AS102" s="239"/>
      <c r="AT102" s="239"/>
      <c r="AU102" s="239"/>
      <c r="AV102" s="239"/>
      <c r="AW102" s="239"/>
      <c r="AX102" s="239"/>
      <c r="AY102" s="239"/>
      <c r="AZ102" s="239"/>
      <c r="BA102" s="239"/>
      <c r="BB102" s="239"/>
      <c r="BC102" s="239"/>
      <c r="BD102" s="239"/>
      <c r="BE102" s="239"/>
      <c r="BF102" s="239"/>
      <c r="BG102" s="239"/>
      <c r="BH102" s="239"/>
      <c r="BI102" s="239"/>
      <c r="BJ102" s="239"/>
      <c r="BK102" s="239"/>
      <c r="BL102" s="239"/>
      <c r="BM102" s="239"/>
      <c r="BN102" s="239"/>
      <c r="BO102" s="239"/>
      <c r="BP102" s="239"/>
      <c r="BQ102" s="239"/>
      <c r="BR102" s="239"/>
      <c r="BS102" s="239"/>
      <c r="BT102" s="239"/>
      <c r="BU102" s="239"/>
      <c r="BV102" s="239"/>
      <c r="BW102" s="239"/>
      <c r="BX102" s="239"/>
      <c r="BY102" s="239"/>
      <c r="BZ102" s="239"/>
      <c r="CA102" s="239"/>
      <c r="CB102" s="239"/>
      <c r="CC102" s="312"/>
      <c r="CD102" s="239"/>
      <c r="CE102" s="239"/>
      <c r="CF102" s="239"/>
      <c r="CG102" s="239"/>
      <c r="CH102" s="312"/>
      <c r="CI102" s="239"/>
      <c r="CJ102" s="239"/>
      <c r="CK102" s="239"/>
      <c r="CL102" s="239"/>
      <c r="CM102" s="312"/>
      <c r="CN102" s="239"/>
      <c r="CO102" s="239"/>
      <c r="CP102" s="239"/>
      <c r="CQ102" s="239"/>
      <c r="CR102" s="312"/>
      <c r="CS102" s="239"/>
      <c r="CT102" s="239"/>
      <c r="CU102" s="239"/>
      <c r="CV102" s="239"/>
      <c r="CW102" s="312"/>
      <c r="CX102" s="239"/>
      <c r="CY102" s="239"/>
      <c r="CZ102" s="239"/>
      <c r="DA102" s="239"/>
      <c r="DB102" s="312"/>
      <c r="DC102"/>
      <c r="DD102"/>
      <c r="DE102"/>
      <c r="DF102"/>
      <c r="DG102"/>
      <c r="DJ102"/>
    </row>
    <row r="103" spans="1:114" s="725" customFormat="1" hidden="1" outlineLevel="1">
      <c r="A103" s="307"/>
      <c r="B103" s="239"/>
      <c r="C103" s="308"/>
      <c r="D103" s="308"/>
      <c r="E103" s="308"/>
      <c r="F103" s="308"/>
      <c r="G103" s="239"/>
      <c r="H103" s="239"/>
      <c r="I103" s="239"/>
      <c r="J103" s="239"/>
      <c r="K103" s="308"/>
      <c r="L103" s="239"/>
      <c r="M103" s="239"/>
      <c r="N103" s="239"/>
      <c r="O103" s="239"/>
      <c r="P103" s="308"/>
      <c r="Q103" s="239"/>
      <c r="R103" s="239"/>
      <c r="S103" s="239"/>
      <c r="T103" s="239"/>
      <c r="U103" s="308"/>
      <c r="V103" s="239"/>
      <c r="W103" s="239"/>
      <c r="X103" s="239"/>
      <c r="Y103" s="239"/>
      <c r="Z103" s="308"/>
      <c r="AA103" s="239"/>
      <c r="AB103" s="239"/>
      <c r="AC103" s="239"/>
      <c r="AD103" s="239"/>
      <c r="AE103" s="239"/>
      <c r="AF103" s="239"/>
      <c r="AG103" s="239"/>
      <c r="AH103" s="239"/>
      <c r="AI103" s="239"/>
      <c r="AJ103" s="239"/>
      <c r="AK103" s="239"/>
      <c r="AL103" s="239"/>
      <c r="AM103" s="239"/>
      <c r="AN103" s="239"/>
      <c r="AO103" s="239"/>
      <c r="AP103" s="239"/>
      <c r="AQ103" s="239"/>
      <c r="AR103" s="239"/>
      <c r="AS103" s="239"/>
      <c r="AT103" s="239"/>
      <c r="AU103" s="239"/>
      <c r="AV103" s="239"/>
      <c r="AW103" s="239"/>
      <c r="AX103" s="239"/>
      <c r="AY103" s="239"/>
      <c r="AZ103" s="239"/>
      <c r="BA103" s="239"/>
      <c r="BB103" s="239"/>
      <c r="BC103" s="239"/>
      <c r="BD103" s="239"/>
      <c r="BE103" s="239"/>
      <c r="BF103" s="239"/>
      <c r="BG103" s="239"/>
      <c r="BH103" s="239"/>
      <c r="BI103" s="239"/>
      <c r="BJ103" s="239"/>
      <c r="BK103" s="239"/>
      <c r="BL103" s="239"/>
      <c r="BM103" s="239"/>
      <c r="BN103" s="239"/>
      <c r="BO103" s="239"/>
      <c r="BP103" s="239"/>
      <c r="BQ103" s="239"/>
      <c r="BR103" s="239"/>
      <c r="BS103" s="239"/>
      <c r="BT103" s="239"/>
      <c r="BU103" s="239"/>
      <c r="BV103" s="239"/>
      <c r="BW103" s="239"/>
      <c r="BX103" s="239"/>
      <c r="BY103" s="239"/>
      <c r="BZ103" s="239"/>
      <c r="CA103" s="239"/>
      <c r="CB103" s="239"/>
      <c r="CC103" s="312"/>
      <c r="CD103" s="239"/>
      <c r="CE103" s="239"/>
      <c r="CF103" s="239"/>
      <c r="CG103" s="239"/>
      <c r="CH103" s="312"/>
      <c r="CI103" s="239"/>
      <c r="CJ103" s="239"/>
      <c r="CK103" s="239"/>
      <c r="CL103" s="239"/>
      <c r="CM103" s="312"/>
      <c r="CN103" s="239"/>
      <c r="CO103" s="239"/>
      <c r="CP103" s="239"/>
      <c r="CQ103" s="239"/>
      <c r="CR103" s="312"/>
      <c r="CS103" s="239"/>
      <c r="CT103" s="239"/>
      <c r="CU103" s="239"/>
      <c r="CV103" s="239"/>
      <c r="CW103" s="312"/>
      <c r="CX103" s="239"/>
      <c r="CY103" s="239"/>
      <c r="CZ103" s="239"/>
      <c r="DA103" s="239"/>
      <c r="DB103" s="312"/>
      <c r="DC103"/>
      <c r="DD103"/>
      <c r="DE103"/>
      <c r="DF103"/>
      <c r="DG103"/>
      <c r="DJ103"/>
    </row>
    <row r="104" spans="1:114" s="725" customFormat="1" hidden="1" outlineLevel="1">
      <c r="A104" s="396"/>
      <c r="B104" s="37" t="s">
        <v>165</v>
      </c>
      <c r="C104" s="308"/>
      <c r="D104" s="308"/>
      <c r="E104" s="308"/>
      <c r="F104" s="308"/>
      <c r="G104" s="239"/>
      <c r="H104" s="239"/>
      <c r="I104" s="239"/>
      <c r="J104" s="239"/>
      <c r="K104" s="1045">
        <f>K8</f>
        <v>1693.625</v>
      </c>
      <c r="L104" s="239"/>
      <c r="M104" s="239"/>
      <c r="N104" s="239"/>
      <c r="O104" s="239"/>
      <c r="P104" s="1045">
        <f>P8</f>
        <v>2200.4169999999999</v>
      </c>
      <c r="Q104" s="239"/>
      <c r="R104" s="239"/>
      <c r="S104" s="239"/>
      <c r="T104" s="239"/>
      <c r="U104" s="1045">
        <f>U8</f>
        <v>2834.6240000000003</v>
      </c>
      <c r="V104" s="239"/>
      <c r="W104" s="239"/>
      <c r="X104" s="239"/>
      <c r="Y104" s="239"/>
      <c r="Z104" s="1045">
        <f>Z8</f>
        <v>3351.7520000000004</v>
      </c>
      <c r="AA104" s="239"/>
      <c r="AB104" s="239"/>
      <c r="AC104" s="239"/>
      <c r="AD104" s="239"/>
      <c r="AE104" s="239"/>
      <c r="AF104" s="239"/>
      <c r="AG104" s="239"/>
      <c r="AH104" s="239"/>
      <c r="AI104" s="239"/>
      <c r="AJ104" s="239"/>
      <c r="AK104" s="239"/>
      <c r="AL104" s="239"/>
      <c r="AM104" s="239"/>
      <c r="AN104" s="239"/>
      <c r="AO104" s="239"/>
      <c r="AP104" s="239"/>
      <c r="AQ104" s="239"/>
      <c r="AR104" s="239"/>
      <c r="AS104" s="239"/>
      <c r="AT104" s="239"/>
      <c r="AU104" s="239"/>
      <c r="AV104" s="239"/>
      <c r="AW104" s="239"/>
      <c r="AX104" s="239"/>
      <c r="AY104" s="239"/>
      <c r="AZ104" s="239"/>
      <c r="BA104" s="239"/>
      <c r="BB104" s="239"/>
      <c r="BC104" s="239"/>
      <c r="BD104" s="239"/>
      <c r="BE104" s="239"/>
      <c r="BF104" s="239"/>
      <c r="BG104" s="239"/>
      <c r="BH104" s="239"/>
      <c r="BI104" s="239"/>
      <c r="BJ104" s="239"/>
      <c r="BK104" s="239"/>
      <c r="BL104" s="6"/>
      <c r="BM104" s="6"/>
      <c r="BN104" s="6"/>
      <c r="BO104" s="6"/>
      <c r="BP104" s="6"/>
      <c r="BQ104" s="6"/>
      <c r="BR104" s="6"/>
      <c r="BS104" s="6"/>
      <c r="BT104" s="6"/>
      <c r="BU104" s="6"/>
      <c r="BV104" s="6"/>
      <c r="BW104" s="6"/>
      <c r="BX104" s="6"/>
      <c r="BY104" s="6"/>
      <c r="BZ104" s="6"/>
      <c r="CA104" s="6"/>
      <c r="CB104" s="6"/>
      <c r="CC104" s="313"/>
      <c r="CD104" s="6"/>
      <c r="CE104" s="6"/>
      <c r="CF104" s="6"/>
      <c r="CG104" s="6"/>
      <c r="CH104" s="313"/>
      <c r="CI104" s="6"/>
      <c r="CJ104" s="6"/>
      <c r="CK104" s="6"/>
      <c r="CL104" s="6"/>
      <c r="CM104" s="313"/>
      <c r="CN104" s="6"/>
      <c r="CO104" s="6"/>
      <c r="CP104" s="6"/>
      <c r="CQ104" s="6"/>
      <c r="CR104" s="313"/>
      <c r="CS104" s="6"/>
      <c r="CT104" s="6"/>
      <c r="CU104" s="6"/>
      <c r="CV104" s="6"/>
      <c r="CW104" s="313"/>
      <c r="CX104" s="6"/>
      <c r="CY104" s="6"/>
      <c r="CZ104" s="6"/>
      <c r="DA104" s="6"/>
      <c r="DB104" s="313"/>
      <c r="DC104"/>
      <c r="DD104"/>
      <c r="DE104"/>
      <c r="DF104"/>
      <c r="DG104"/>
      <c r="DJ104"/>
    </row>
    <row r="105" spans="1:114" s="725" customFormat="1" hidden="1" outlineLevel="1">
      <c r="A105" s="396"/>
      <c r="B105" s="37" t="s">
        <v>166</v>
      </c>
      <c r="C105" s="316"/>
      <c r="D105" s="316"/>
      <c r="E105" s="316"/>
      <c r="F105" s="316"/>
      <c r="G105" s="6"/>
      <c r="H105" s="6"/>
      <c r="I105" s="6"/>
      <c r="J105" s="6"/>
      <c r="K105" s="306">
        <f>K47</f>
        <v>0.49575946875876586</v>
      </c>
      <c r="L105" s="6"/>
      <c r="M105" s="6"/>
      <c r="N105" s="6"/>
      <c r="O105" s="6"/>
      <c r="P105" s="306">
        <f>P47</f>
        <v>1.0033481754727798</v>
      </c>
      <c r="Q105" s="6"/>
      <c r="R105" s="6"/>
      <c r="S105" s="6"/>
      <c r="T105" s="6"/>
      <c r="U105" s="306">
        <f>U47</f>
        <v>1.2972760727151846</v>
      </c>
      <c r="V105" s="6"/>
      <c r="W105" s="6"/>
      <c r="X105" s="6"/>
      <c r="Y105" s="6"/>
      <c r="Z105" s="306">
        <f>Z47</f>
        <v>1.5131708396232644</v>
      </c>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313"/>
      <c r="CD105" s="6"/>
      <c r="CE105" s="6"/>
      <c r="CF105" s="6"/>
      <c r="CG105" s="6"/>
      <c r="CH105" s="313"/>
      <c r="CI105" s="6"/>
      <c r="CJ105" s="6"/>
      <c r="CK105" s="6"/>
      <c r="CL105" s="6"/>
      <c r="CM105" s="313"/>
      <c r="CN105" s="6"/>
      <c r="CO105" s="6"/>
      <c r="CP105" s="6"/>
      <c r="CQ105" s="6"/>
      <c r="CR105" s="313"/>
      <c r="CS105" s="6"/>
      <c r="CT105" s="6"/>
      <c r="CU105" s="6"/>
      <c r="CV105" s="6"/>
      <c r="CW105" s="313"/>
      <c r="CX105" s="6"/>
      <c r="CY105" s="6"/>
      <c r="CZ105" s="6"/>
      <c r="DA105" s="6"/>
      <c r="DB105" s="313"/>
      <c r="DC105"/>
      <c r="DD105"/>
      <c r="DE105"/>
      <c r="DF105"/>
      <c r="DG105"/>
      <c r="DJ105"/>
    </row>
    <row r="106" spans="1:114" s="725" customFormat="1" hidden="1" outlineLevel="1">
      <c r="A106" s="307"/>
      <c r="B106" s="239"/>
      <c r="C106" s="309"/>
      <c r="D106" s="309"/>
      <c r="E106" s="309"/>
      <c r="F106" s="309"/>
      <c r="G106" s="301"/>
      <c r="H106" s="301"/>
      <c r="I106" s="301"/>
      <c r="J106" s="301"/>
      <c r="K106" s="309"/>
      <c r="L106" s="301"/>
      <c r="M106" s="301"/>
      <c r="N106" s="301"/>
      <c r="O106" s="301"/>
      <c r="P106" s="309"/>
      <c r="Q106" s="301"/>
      <c r="R106" s="301"/>
      <c r="S106" s="301"/>
      <c r="T106" s="301"/>
      <c r="U106" s="309"/>
      <c r="V106" s="301"/>
      <c r="W106" s="301"/>
      <c r="X106" s="301"/>
      <c r="Y106" s="301"/>
      <c r="Z106" s="309"/>
      <c r="AA106" s="301"/>
      <c r="AB106" s="301"/>
      <c r="AC106" s="301"/>
      <c r="AD106" s="301"/>
      <c r="AE106" s="301"/>
      <c r="AF106" s="301"/>
      <c r="AG106" s="301"/>
      <c r="AH106" s="301"/>
      <c r="AI106" s="301"/>
      <c r="AJ106" s="301"/>
      <c r="AK106" s="301"/>
      <c r="AL106" s="301"/>
      <c r="AM106" s="301"/>
      <c r="AN106" s="301"/>
      <c r="AO106" s="301"/>
      <c r="AP106" s="301"/>
      <c r="AQ106" s="301"/>
      <c r="AR106" s="301"/>
      <c r="AS106" s="301"/>
      <c r="AT106" s="301"/>
      <c r="AU106" s="301"/>
      <c r="AV106" s="301"/>
      <c r="AW106" s="301"/>
      <c r="AX106" s="301"/>
      <c r="AY106" s="301"/>
      <c r="AZ106" s="301"/>
      <c r="BA106" s="301"/>
      <c r="BB106" s="301"/>
      <c r="BC106" s="301"/>
      <c r="BD106" s="301"/>
      <c r="BE106" s="301"/>
      <c r="BF106" s="301"/>
      <c r="BG106" s="301"/>
      <c r="BH106" s="301"/>
      <c r="BI106" s="301"/>
      <c r="BJ106" s="301"/>
      <c r="BK106" s="302"/>
      <c r="BL106" s="6"/>
      <c r="BM106" s="6"/>
      <c r="BN106" s="6"/>
      <c r="BO106" s="6"/>
      <c r="BP106" s="6"/>
      <c r="BQ106" s="6"/>
      <c r="BR106" s="6"/>
      <c r="BS106" s="6"/>
      <c r="BT106" s="6"/>
      <c r="BU106" s="6"/>
      <c r="BV106" s="6"/>
      <c r="BW106" s="6"/>
      <c r="BX106" s="6"/>
      <c r="BY106" s="6"/>
      <c r="BZ106" s="6"/>
      <c r="CA106" s="6"/>
      <c r="CB106" s="6"/>
      <c r="CC106" s="313"/>
      <c r="CD106" s="6"/>
      <c r="CE106" s="6"/>
      <c r="CF106" s="6"/>
      <c r="CG106" s="6"/>
      <c r="CH106" s="313"/>
      <c r="CI106" s="6"/>
      <c r="CJ106" s="6"/>
      <c r="CK106" s="6"/>
      <c r="CL106" s="6"/>
      <c r="CM106" s="313"/>
      <c r="CN106" s="6"/>
      <c r="CO106" s="6"/>
      <c r="CP106" s="6"/>
      <c r="CQ106" s="6"/>
      <c r="CR106" s="313"/>
      <c r="CS106" s="6"/>
      <c r="CT106" s="6"/>
      <c r="CU106" s="6"/>
      <c r="CV106" s="6"/>
      <c r="CW106" s="313"/>
      <c r="CX106" s="6"/>
      <c r="CY106" s="6"/>
      <c r="CZ106" s="6"/>
      <c r="DA106" s="6"/>
      <c r="DB106" s="313"/>
      <c r="DC106"/>
      <c r="DD106"/>
      <c r="DE106"/>
      <c r="DF106"/>
      <c r="DG106"/>
      <c r="DJ106"/>
    </row>
    <row r="107" spans="1:114" s="725" customFormat="1" hidden="1" outlineLevel="1">
      <c r="A107" s="396"/>
      <c r="B107" s="37" t="s">
        <v>167</v>
      </c>
      <c r="C107" s="309"/>
      <c r="D107" s="309"/>
      <c r="E107" s="309"/>
      <c r="F107" s="309"/>
      <c r="G107" s="301"/>
      <c r="H107" s="301"/>
      <c r="I107" s="301"/>
      <c r="J107" s="301"/>
      <c r="K107" s="1046">
        <f>K101-K104</f>
        <v>0</v>
      </c>
      <c r="L107" s="301"/>
      <c r="M107" s="301"/>
      <c r="N107" s="301"/>
      <c r="O107" s="301"/>
      <c r="P107" s="1046">
        <f>P101-P104</f>
        <v>0</v>
      </c>
      <c r="Q107" s="301"/>
      <c r="R107" s="301"/>
      <c r="S107" s="301"/>
      <c r="T107" s="301"/>
      <c r="U107" s="1046">
        <f>U101-U104</f>
        <v>0</v>
      </c>
      <c r="V107" s="301"/>
      <c r="W107" s="301"/>
      <c r="X107" s="301"/>
      <c r="Y107" s="301"/>
      <c r="Z107" s="1046">
        <f>Z101-Z104</f>
        <v>-19.111000000000331</v>
      </c>
      <c r="AA107" s="301"/>
      <c r="AB107" s="301"/>
      <c r="AC107" s="301"/>
      <c r="AD107" s="301"/>
      <c r="AE107" s="301"/>
      <c r="AF107" s="301"/>
      <c r="AG107" s="301"/>
      <c r="AH107" s="301"/>
      <c r="AI107" s="301"/>
      <c r="AJ107" s="301"/>
      <c r="AK107" s="301"/>
      <c r="AL107" s="301"/>
      <c r="AM107" s="301"/>
      <c r="AN107" s="301"/>
      <c r="AO107" s="301"/>
      <c r="AP107" s="301"/>
      <c r="AQ107" s="301"/>
      <c r="AR107" s="301"/>
      <c r="AS107" s="301"/>
      <c r="AT107" s="301"/>
      <c r="AU107" s="301"/>
      <c r="AV107" s="301"/>
      <c r="AW107" s="301"/>
      <c r="AX107" s="301"/>
      <c r="AY107" s="301"/>
      <c r="AZ107" s="301"/>
      <c r="BA107" s="301"/>
      <c r="BB107" s="301"/>
      <c r="BC107" s="301"/>
      <c r="BD107" s="301"/>
      <c r="BE107" s="301"/>
      <c r="BF107" s="301"/>
      <c r="BG107" s="301"/>
      <c r="BH107" s="301"/>
      <c r="BI107" s="301"/>
      <c r="BJ107" s="301"/>
      <c r="BK107" s="302"/>
      <c r="BL107" s="6"/>
      <c r="BM107" s="6"/>
      <c r="BN107" s="6"/>
      <c r="BO107" s="6"/>
      <c r="BP107" s="6"/>
      <c r="BQ107" s="6"/>
      <c r="BR107" s="6"/>
      <c r="BS107" s="6"/>
      <c r="BT107" s="6"/>
      <c r="BU107" s="6"/>
      <c r="BV107" s="6"/>
      <c r="BW107" s="6"/>
      <c r="BX107" s="6"/>
      <c r="BY107" s="6"/>
      <c r="BZ107" s="6"/>
      <c r="CA107" s="6"/>
      <c r="CB107" s="6"/>
      <c r="CC107" s="313"/>
      <c r="CD107" s="6"/>
      <c r="CE107" s="6"/>
      <c r="CF107" s="6"/>
      <c r="CG107" s="6"/>
      <c r="CH107" s="313"/>
      <c r="CI107" s="6"/>
      <c r="CJ107" s="6"/>
      <c r="CK107" s="6"/>
      <c r="CL107" s="6"/>
      <c r="CM107" s="313"/>
      <c r="CN107" s="6"/>
      <c r="CO107" s="6"/>
      <c r="CP107" s="6"/>
      <c r="CQ107" s="6"/>
      <c r="CR107" s="313"/>
      <c r="CS107" s="6"/>
      <c r="CT107" s="6"/>
      <c r="CU107" s="6"/>
      <c r="CV107" s="6"/>
      <c r="CW107" s="313"/>
      <c r="CX107" s="6"/>
      <c r="CY107" s="6"/>
      <c r="CZ107" s="6"/>
      <c r="DA107" s="6"/>
      <c r="DB107" s="313"/>
      <c r="DC107"/>
      <c r="DD107"/>
      <c r="DE107"/>
      <c r="DF107"/>
      <c r="DG107"/>
      <c r="DJ107"/>
    </row>
    <row r="108" spans="1:114" s="725" customFormat="1" hidden="1" outlineLevel="1">
      <c r="A108" s="397"/>
      <c r="B108" s="32" t="s">
        <v>168</v>
      </c>
      <c r="C108" s="317"/>
      <c r="D108" s="317"/>
      <c r="E108" s="317"/>
      <c r="F108" s="317"/>
      <c r="G108" s="310"/>
      <c r="H108" s="310"/>
      <c r="I108" s="310"/>
      <c r="J108" s="310"/>
      <c r="K108" s="311">
        <f>K102-K105</f>
        <v>4.2405312412341356E-3</v>
      </c>
      <c r="L108" s="310"/>
      <c r="M108" s="310"/>
      <c r="N108" s="310"/>
      <c r="O108" s="310"/>
      <c r="P108" s="311">
        <f>P102-P105</f>
        <v>-3.3481754727797686E-3</v>
      </c>
      <c r="Q108" s="310"/>
      <c r="R108" s="310"/>
      <c r="S108" s="310"/>
      <c r="T108" s="310"/>
      <c r="U108" s="311">
        <f>U102-U105</f>
        <v>2.7239272848154084E-3</v>
      </c>
      <c r="V108" s="310"/>
      <c r="W108" s="310"/>
      <c r="X108" s="310"/>
      <c r="Y108" s="310"/>
      <c r="Z108" s="311">
        <f>Z102-Z105</f>
        <v>-3.1708396232643654E-3</v>
      </c>
      <c r="AA108" s="310"/>
      <c r="AB108" s="310"/>
      <c r="AC108" s="310"/>
      <c r="AD108" s="310"/>
      <c r="AE108" s="310"/>
      <c r="AF108" s="310"/>
      <c r="AG108" s="310"/>
      <c r="AH108" s="310"/>
      <c r="AI108" s="310"/>
      <c r="AJ108" s="310"/>
      <c r="AK108" s="310"/>
      <c r="AL108" s="310"/>
      <c r="AM108" s="310"/>
      <c r="AN108" s="310"/>
      <c r="AO108" s="310"/>
      <c r="AP108" s="310"/>
      <c r="AQ108" s="310"/>
      <c r="AR108" s="310"/>
      <c r="AS108" s="310"/>
      <c r="AT108" s="310"/>
      <c r="AU108" s="310"/>
      <c r="AV108" s="310"/>
      <c r="AW108" s="310"/>
      <c r="AX108" s="310"/>
      <c r="AY108" s="310"/>
      <c r="AZ108" s="310"/>
      <c r="BA108" s="310"/>
      <c r="BB108" s="310"/>
      <c r="BC108" s="310"/>
      <c r="BD108" s="310"/>
      <c r="BE108" s="310"/>
      <c r="BF108" s="310"/>
      <c r="BG108" s="310"/>
      <c r="BH108" s="310"/>
      <c r="BI108" s="310"/>
      <c r="BJ108" s="310"/>
      <c r="BK108" s="314"/>
      <c r="BL108" s="31"/>
      <c r="BM108" s="31"/>
      <c r="BN108" s="31"/>
      <c r="BO108" s="31"/>
      <c r="BP108" s="31"/>
      <c r="BQ108" s="31"/>
      <c r="BR108" s="31"/>
      <c r="BS108" s="31"/>
      <c r="BT108" s="31"/>
      <c r="BU108" s="31"/>
      <c r="BV108" s="31"/>
      <c r="BW108" s="31"/>
      <c r="BX108" s="31"/>
      <c r="BY108" s="31"/>
      <c r="BZ108" s="31"/>
      <c r="CA108" s="31"/>
      <c r="CB108" s="31"/>
      <c r="CC108" s="315"/>
      <c r="CD108" s="31"/>
      <c r="CE108" s="31"/>
      <c r="CF108" s="31"/>
      <c r="CG108" s="31"/>
      <c r="CH108" s="315"/>
      <c r="CI108" s="31"/>
      <c r="CJ108" s="31"/>
      <c r="CK108" s="31"/>
      <c r="CL108" s="31"/>
      <c r="CM108" s="315"/>
      <c r="CN108" s="31"/>
      <c r="CO108" s="31"/>
      <c r="CP108" s="31"/>
      <c r="CQ108" s="31"/>
      <c r="CR108" s="315"/>
      <c r="CS108" s="31"/>
      <c r="CT108" s="31"/>
      <c r="CU108" s="31"/>
      <c r="CV108" s="31"/>
      <c r="CW108" s="315"/>
      <c r="CX108" s="31"/>
      <c r="CY108" s="31"/>
      <c r="CZ108" s="31"/>
      <c r="DA108" s="31"/>
      <c r="DB108" s="315"/>
      <c r="DC108"/>
      <c r="DD108"/>
      <c r="DE108"/>
      <c r="DF108"/>
      <c r="DG108"/>
      <c r="DJ108"/>
    </row>
    <row r="109" spans="1:114" s="725" customFormat="1" hidden="1" outlineLevel="1">
      <c r="DC109"/>
      <c r="DD109"/>
      <c r="DE109"/>
      <c r="DF109"/>
      <c r="DG109"/>
      <c r="DJ109"/>
    </row>
    <row r="110" spans="1:114" s="725" customFormat="1" hidden="1" outlineLevel="1">
      <c r="DC110"/>
      <c r="DD110"/>
      <c r="DE110"/>
      <c r="DF110"/>
      <c r="DG110"/>
      <c r="DJ110"/>
    </row>
    <row r="111" spans="1:114" s="725" customFormat="1" hidden="1" outlineLevel="1">
      <c r="B111" s="1047" t="s">
        <v>557</v>
      </c>
      <c r="C111" s="1048"/>
      <c r="D111" s="1048"/>
      <c r="E111" s="1048"/>
      <c r="F111" s="1048"/>
      <c r="G111" s="1048"/>
      <c r="H111" s="1048"/>
      <c r="I111" s="1048"/>
      <c r="J111" s="1048"/>
      <c r="K111" s="1048"/>
      <c r="L111" s="1048"/>
      <c r="M111" s="1048"/>
      <c r="N111" s="1048"/>
      <c r="O111" s="1048"/>
      <c r="P111" s="1048"/>
      <c r="Q111" s="1048"/>
      <c r="R111" s="1048"/>
      <c r="S111" s="1048"/>
      <c r="T111" s="1048"/>
      <c r="U111" s="1048"/>
      <c r="V111" s="1048"/>
      <c r="W111" s="1048"/>
      <c r="X111" s="1048"/>
      <c r="Y111" s="1048"/>
      <c r="Z111" s="1048"/>
      <c r="AA111" s="1048"/>
      <c r="AB111" s="1048"/>
      <c r="AC111" s="1048"/>
      <c r="AD111" s="1048"/>
      <c r="AE111" s="1048"/>
      <c r="AF111" s="1048"/>
      <c r="AG111" s="1048"/>
      <c r="AH111" s="1048"/>
      <c r="AI111" s="1048"/>
      <c r="AJ111" s="1048"/>
      <c r="AK111" s="1048"/>
      <c r="AL111" s="1048"/>
      <c r="AM111" s="1048"/>
      <c r="AN111" s="1048"/>
      <c r="AO111" s="1048"/>
      <c r="AP111" s="1048"/>
      <c r="AQ111" s="1048"/>
      <c r="AR111" s="1048"/>
      <c r="AS111" s="1048"/>
      <c r="AT111" s="1048"/>
      <c r="AU111" s="1048"/>
      <c r="AV111" s="1048"/>
      <c r="AW111" s="1048"/>
      <c r="AX111" s="1048"/>
      <c r="AY111" s="1049">
        <f>AY17-AY54</f>
        <v>-36.522999999999456</v>
      </c>
      <c r="AZ111" s="1048">
        <f t="shared" ref="AZ111:CH111" si="373">AZ17-AZ54</f>
        <v>-12.588000000000022</v>
      </c>
      <c r="BA111" s="1048">
        <f t="shared" si="373"/>
        <v>-10.976999999999975</v>
      </c>
      <c r="BB111" s="1048">
        <f t="shared" si="373"/>
        <v>-9.535000000000025</v>
      </c>
      <c r="BC111" s="1048">
        <f t="shared" si="373"/>
        <v>-12.331999999999994</v>
      </c>
      <c r="BD111" s="1048">
        <f t="shared" si="373"/>
        <v>-45.432000000000471</v>
      </c>
      <c r="BE111" s="1048">
        <f t="shared" si="373"/>
        <v>-18.129999999999995</v>
      </c>
      <c r="BF111" s="1048">
        <f t="shared" si="373"/>
        <v>-12.016999999999996</v>
      </c>
      <c r="BG111" s="1048">
        <f t="shared" si="373"/>
        <v>-8.1940000000000168</v>
      </c>
      <c r="BH111" s="1048">
        <f t="shared" si="373"/>
        <v>-11.146000000000015</v>
      </c>
      <c r="BI111" s="1048">
        <f t="shared" si="373"/>
        <v>-49.486999999999171</v>
      </c>
      <c r="BJ111" s="1048">
        <f t="shared" si="373"/>
        <v>-12.013000000000034</v>
      </c>
      <c r="BK111" s="1048">
        <f t="shared" si="373"/>
        <v>-13.180999999999983</v>
      </c>
      <c r="BL111" s="1048">
        <f t="shared" si="373"/>
        <v>-7.4189999999999827</v>
      </c>
      <c r="BM111" s="1048">
        <f t="shared" si="373"/>
        <v>-9.4200000000000159</v>
      </c>
      <c r="BN111" s="1048">
        <f t="shared" si="373"/>
        <v>-42.032999999998083</v>
      </c>
      <c r="BO111" s="1048">
        <f t="shared" si="373"/>
        <v>-15.680000000000007</v>
      </c>
      <c r="BP111" s="1048">
        <f t="shared" si="373"/>
        <v>-9.0539999999999736</v>
      </c>
      <c r="BQ111" s="1048">
        <f t="shared" si="373"/>
        <v>-11.64100000000002</v>
      </c>
      <c r="BR111" s="1048">
        <f t="shared" si="373"/>
        <v>-6.2660000000000196</v>
      </c>
      <c r="BS111" s="1048">
        <f t="shared" si="373"/>
        <v>-42.641000000001895</v>
      </c>
      <c r="BT111" s="1048">
        <f t="shared" si="373"/>
        <v>-11</v>
      </c>
      <c r="BU111" s="1048">
        <f t="shared" si="373"/>
        <v>-11</v>
      </c>
      <c r="BV111" s="1048">
        <f t="shared" si="373"/>
        <v>-12</v>
      </c>
      <c r="BW111" s="1048">
        <f t="shared" si="373"/>
        <v>-14</v>
      </c>
      <c r="BX111" s="1048">
        <f t="shared" si="373"/>
        <v>-48</v>
      </c>
      <c r="BY111" s="1048">
        <f t="shared" si="373"/>
        <v>-12</v>
      </c>
      <c r="BZ111" s="1048">
        <f t="shared" si="373"/>
        <v>-37</v>
      </c>
      <c r="CA111" s="1048">
        <f t="shared" si="373"/>
        <v>-22</v>
      </c>
      <c r="CB111" s="1048">
        <f t="shared" si="373"/>
        <v>-19</v>
      </c>
      <c r="CC111" s="1049">
        <f t="shared" si="373"/>
        <v>-90</v>
      </c>
      <c r="CD111" s="1049">
        <f t="shared" si="373"/>
        <v>-41</v>
      </c>
      <c r="CE111" s="1049">
        <f t="shared" si="373"/>
        <v>-23</v>
      </c>
      <c r="CF111" s="1049">
        <f t="shared" si="373"/>
        <v>-5</v>
      </c>
      <c r="CG111" s="1049">
        <f t="shared" si="373"/>
        <v>-228</v>
      </c>
      <c r="CH111" s="1049">
        <f t="shared" si="373"/>
        <v>-297</v>
      </c>
      <c r="CI111" s="1049">
        <f t="shared" ref="CI111:CW111" si="374">CI17-CI54</f>
        <v>-220</v>
      </c>
      <c r="CJ111" s="1049">
        <f t="shared" si="374"/>
        <v>-19</v>
      </c>
      <c r="CK111" s="1049">
        <f t="shared" si="374"/>
        <v>-2</v>
      </c>
      <c r="CL111" s="1049">
        <f t="shared" si="374"/>
        <v>-604</v>
      </c>
      <c r="CM111" s="1049">
        <f t="shared" si="374"/>
        <v>-845</v>
      </c>
      <c r="CN111" s="1049">
        <f t="shared" ca="1" si="374"/>
        <v>0</v>
      </c>
      <c r="CO111" s="1049">
        <f t="shared" ca="1" si="374"/>
        <v>0</v>
      </c>
      <c r="CP111" s="1049">
        <f t="shared" ca="1" si="374"/>
        <v>-3</v>
      </c>
      <c r="CQ111" s="1049">
        <f t="shared" ca="1" si="374"/>
        <v>-3</v>
      </c>
      <c r="CR111" s="1049">
        <f t="shared" ca="1" si="374"/>
        <v>-6.0000000000009095</v>
      </c>
      <c r="CS111" s="1049">
        <f t="shared" ca="1" si="374"/>
        <v>-8</v>
      </c>
      <c r="CT111" s="1049">
        <f t="shared" ca="1" si="374"/>
        <v>0</v>
      </c>
      <c r="CU111" s="1049">
        <f t="shared" ca="1" si="374"/>
        <v>0</v>
      </c>
      <c r="CV111" s="1049">
        <f t="shared" ca="1" si="374"/>
        <v>0</v>
      </c>
      <c r="CW111" s="1049">
        <f t="shared" ca="1" si="374"/>
        <v>-7.999999999998181</v>
      </c>
      <c r="CX111" s="1049">
        <f t="shared" ref="CX111:DB111" ca="1" si="375">CX17-CX54</f>
        <v>-8</v>
      </c>
      <c r="CY111" s="1049">
        <f t="shared" ca="1" si="375"/>
        <v>0</v>
      </c>
      <c r="CZ111" s="1049">
        <f t="shared" ca="1" si="375"/>
        <v>0</v>
      </c>
      <c r="DA111" s="1049">
        <f t="shared" ca="1" si="375"/>
        <v>0</v>
      </c>
      <c r="DB111" s="1049">
        <f t="shared" ca="1" si="375"/>
        <v>-7.9999999999995453</v>
      </c>
      <c r="DC111"/>
      <c r="DD111"/>
      <c r="DE111"/>
      <c r="DF111"/>
      <c r="DG111"/>
      <c r="DJ111"/>
    </row>
    <row r="112" spans="1:114" s="725" customFormat="1" hidden="1" outlineLevel="1">
      <c r="B112" s="1047" t="s">
        <v>558</v>
      </c>
      <c r="C112" s="1048"/>
      <c r="D112" s="1048"/>
      <c r="E112" s="1048"/>
      <c r="F112" s="1048"/>
      <c r="G112" s="1048"/>
      <c r="H112" s="1048"/>
      <c r="I112" s="1048"/>
      <c r="J112" s="1048"/>
      <c r="K112" s="1048"/>
      <c r="L112" s="1048"/>
      <c r="M112" s="1048"/>
      <c r="N112" s="1048"/>
      <c r="O112" s="1048"/>
      <c r="P112" s="1048"/>
      <c r="Q112" s="1048"/>
      <c r="R112" s="1048"/>
      <c r="S112" s="1048"/>
      <c r="T112" s="1048"/>
      <c r="U112" s="1048"/>
      <c r="V112" s="1048"/>
      <c r="W112" s="1048"/>
      <c r="X112" s="1048"/>
      <c r="Y112" s="1048"/>
      <c r="Z112" s="1048"/>
      <c r="AA112" s="1048"/>
      <c r="AB112" s="1048"/>
      <c r="AC112" s="1048"/>
      <c r="AD112" s="1048"/>
      <c r="AE112" s="1048"/>
      <c r="AF112" s="1048"/>
      <c r="AG112" s="1048"/>
      <c r="AH112" s="1048"/>
      <c r="AI112" s="1048"/>
      <c r="AJ112" s="1048"/>
      <c r="AK112" s="1048"/>
      <c r="AL112" s="1048"/>
      <c r="AM112" s="1048"/>
      <c r="AN112" s="1048"/>
      <c r="AO112" s="1048"/>
      <c r="AP112" s="1048"/>
      <c r="AQ112" s="1048"/>
      <c r="AR112" s="1048"/>
      <c r="AS112" s="1048"/>
      <c r="AT112" s="1048"/>
      <c r="AU112" s="1048"/>
      <c r="AV112" s="1048"/>
      <c r="AW112" s="1048"/>
      <c r="AX112" s="1048"/>
      <c r="AY112" s="1048">
        <v>1</v>
      </c>
      <c r="AZ112" s="1048">
        <v>1</v>
      </c>
      <c r="BA112" s="1048">
        <v>1</v>
      </c>
      <c r="BB112" s="1048">
        <v>1</v>
      </c>
      <c r="BC112" s="1048">
        <v>1</v>
      </c>
      <c r="BD112" s="1048">
        <v>1</v>
      </c>
      <c r="BE112" s="1048">
        <v>1</v>
      </c>
      <c r="BF112" s="1048">
        <v>1</v>
      </c>
      <c r="BG112" s="1048">
        <v>1</v>
      </c>
      <c r="BH112" s="1048">
        <v>1</v>
      </c>
      <c r="BI112" s="1048">
        <v>1</v>
      </c>
      <c r="BJ112" s="1048">
        <v>1</v>
      </c>
      <c r="BK112" s="1048">
        <v>1</v>
      </c>
      <c r="BL112" s="1048">
        <v>1</v>
      </c>
      <c r="BM112" s="1048">
        <v>1</v>
      </c>
      <c r="BN112" s="1048">
        <v>1</v>
      </c>
      <c r="BO112" s="1048">
        <v>1</v>
      </c>
      <c r="BP112" s="1048">
        <v>1</v>
      </c>
      <c r="BQ112" s="1048">
        <v>1</v>
      </c>
      <c r="BR112" s="1048">
        <v>1</v>
      </c>
      <c r="BS112" s="1048">
        <v>1</v>
      </c>
      <c r="BT112" s="1048">
        <v>1</v>
      </c>
      <c r="BU112" s="1048">
        <v>1</v>
      </c>
      <c r="BV112" s="1048">
        <v>1</v>
      </c>
      <c r="BW112" s="1048">
        <v>1</v>
      </c>
      <c r="BX112" s="1048">
        <v>1</v>
      </c>
      <c r="BY112" s="1048">
        <v>1</v>
      </c>
      <c r="BZ112" s="1048">
        <v>1</v>
      </c>
      <c r="CA112" s="1048">
        <v>1</v>
      </c>
      <c r="CB112" s="1048">
        <v>1</v>
      </c>
      <c r="CC112" s="1049">
        <v>1</v>
      </c>
      <c r="CD112" s="1049">
        <v>1</v>
      </c>
      <c r="CE112" s="1049">
        <v>1</v>
      </c>
      <c r="CF112" s="1049">
        <v>1</v>
      </c>
      <c r="CG112" s="1049">
        <v>1</v>
      </c>
      <c r="CH112" s="1049">
        <v>1</v>
      </c>
      <c r="CI112" s="1049">
        <v>1</v>
      </c>
      <c r="CJ112" s="1049">
        <v>1</v>
      </c>
      <c r="CK112" s="1049">
        <v>1</v>
      </c>
      <c r="CL112" s="1049">
        <v>1</v>
      </c>
      <c r="CM112" s="1049">
        <v>1</v>
      </c>
      <c r="CN112" s="1049">
        <v>1</v>
      </c>
      <c r="CO112" s="1049">
        <v>1</v>
      </c>
      <c r="CP112" s="1049">
        <v>1</v>
      </c>
      <c r="CQ112" s="1049">
        <v>1</v>
      </c>
      <c r="CR112" s="1049">
        <v>1</v>
      </c>
      <c r="CS112" s="1049">
        <v>1</v>
      </c>
      <c r="CT112" s="1049">
        <v>1</v>
      </c>
      <c r="CU112" s="1049">
        <v>1</v>
      </c>
      <c r="CV112" s="1049">
        <v>1</v>
      </c>
      <c r="CW112" s="1049">
        <v>1</v>
      </c>
      <c r="CX112" s="1049">
        <v>1</v>
      </c>
      <c r="CY112" s="1049">
        <v>1</v>
      </c>
      <c r="CZ112" s="1049">
        <v>1</v>
      </c>
      <c r="DA112" s="1049">
        <v>1</v>
      </c>
      <c r="DB112" s="1049">
        <v>1</v>
      </c>
      <c r="DC112"/>
      <c r="DD112"/>
      <c r="DE112"/>
      <c r="DF112"/>
      <c r="DG112"/>
      <c r="DJ112"/>
    </row>
    <row r="113" spans="107:114" s="725" customFormat="1" hidden="1" outlineLevel="1">
      <c r="DC113"/>
      <c r="DD113"/>
      <c r="DE113"/>
      <c r="DF113"/>
      <c r="DG113"/>
      <c r="DJ113"/>
    </row>
    <row r="114" spans="107:114" s="725" customFormat="1" collapsed="1">
      <c r="DC114"/>
      <c r="DD114"/>
      <c r="DE114"/>
      <c r="DF114"/>
      <c r="DG114"/>
      <c r="DJ114"/>
    </row>
    <row r="115" spans="107:114" s="725" customFormat="1">
      <c r="DC115"/>
      <c r="DD115"/>
      <c r="DE115"/>
      <c r="DF115"/>
      <c r="DG115"/>
      <c r="DJ115"/>
    </row>
    <row r="116" spans="107:114" s="725" customFormat="1">
      <c r="DC116"/>
      <c r="DD116"/>
      <c r="DE116"/>
      <c r="DF116"/>
      <c r="DG116"/>
      <c r="DJ116"/>
    </row>
    <row r="117" spans="107:114" s="725" customFormat="1">
      <c r="DC117"/>
      <c r="DD117"/>
      <c r="DE117"/>
      <c r="DF117"/>
      <c r="DG117"/>
      <c r="DJ117"/>
    </row>
    <row r="118" spans="107:114" s="725" customFormat="1">
      <c r="DC118"/>
      <c r="DD118"/>
      <c r="DE118"/>
      <c r="DF118"/>
      <c r="DG118"/>
      <c r="DJ118"/>
    </row>
    <row r="119" spans="107:114" s="725" customFormat="1">
      <c r="DC119"/>
      <c r="DD119"/>
      <c r="DE119"/>
      <c r="DF119"/>
      <c r="DG119"/>
      <c r="DJ119"/>
    </row>
    <row r="120" spans="107:114" s="725" customFormat="1">
      <c r="DC120"/>
      <c r="DD120"/>
      <c r="DE120"/>
      <c r="DF120"/>
      <c r="DG120"/>
      <c r="DJ120"/>
    </row>
    <row r="121" spans="107:114" s="725" customFormat="1">
      <c r="DC121"/>
      <c r="DD121"/>
      <c r="DE121"/>
      <c r="DF121"/>
      <c r="DG121"/>
      <c r="DJ121"/>
    </row>
    <row r="122" spans="107:114" s="725" customFormat="1">
      <c r="DC122"/>
      <c r="DD122"/>
      <c r="DE122"/>
      <c r="DF122"/>
      <c r="DG122"/>
      <c r="DJ122"/>
    </row>
    <row r="123" spans="107:114" s="725" customFormat="1">
      <c r="DC123"/>
      <c r="DD123"/>
      <c r="DE123"/>
      <c r="DF123"/>
      <c r="DG123"/>
      <c r="DJ123"/>
    </row>
    <row r="124" spans="107:114" s="725" customFormat="1">
      <c r="DC124"/>
      <c r="DD124"/>
      <c r="DE124"/>
      <c r="DF124"/>
      <c r="DG124"/>
      <c r="DJ124"/>
    </row>
    <row r="125" spans="107:114" s="725" customFormat="1">
      <c r="DC125"/>
      <c r="DD125"/>
      <c r="DE125"/>
      <c r="DF125"/>
      <c r="DG125"/>
      <c r="DJ125"/>
    </row>
    <row r="126" spans="107:114" s="725" customFormat="1">
      <c r="DC126"/>
      <c r="DD126"/>
      <c r="DE126"/>
      <c r="DF126"/>
      <c r="DG126"/>
      <c r="DJ126"/>
    </row>
    <row r="127" spans="107:114" s="725" customFormat="1">
      <c r="DC127"/>
      <c r="DD127"/>
      <c r="DE127"/>
      <c r="DF127"/>
      <c r="DG127"/>
      <c r="DJ127"/>
    </row>
  </sheetData>
  <phoneticPr fontId="18" type="noConversion"/>
  <pageMargins left="0" right="0" top="0" bottom="0" header="0" footer="0"/>
  <pageSetup paperSize="5" scale="87" orientation="landscape" horizontalDpi="1200" verticalDpi="1200" r:id="rId1"/>
  <headerFooter alignWithMargins="0"/>
  <ignoredErrors>
    <ignoredError sqref="BD10:BD13 BD17:BD19" formula="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DP174"/>
  <sheetViews>
    <sheetView showGridLines="0" zoomScaleNormal="100" zoomScaleSheetLayoutView="85" workbookViewId="0">
      <pane xSplit="3" ySplit="4" topLeftCell="CH5" activePane="bottomRight" state="frozen"/>
      <selection pane="topRight" activeCell="D1" sqref="D1"/>
      <selection pane="bottomLeft" activeCell="A6" sqref="A6"/>
      <selection pane="bottomRight" activeCell="CH5" sqref="CH5"/>
    </sheetView>
  </sheetViews>
  <sheetFormatPr defaultRowHeight="12.75" outlineLevelRow="1" outlineLevelCol="2"/>
  <cols>
    <col min="1" max="1" width="1.140625" customWidth="1"/>
    <col min="2" max="2" width="31.42578125" customWidth="1"/>
    <col min="3" max="3" width="0.7109375" hidden="1" customWidth="1" outlineLevel="2"/>
    <col min="4" max="5" width="9" hidden="1" customWidth="1" outlineLevel="2"/>
    <col min="6" max="6" width="9" hidden="1" customWidth="1" outlineLevel="1"/>
    <col min="7" max="10" width="9" hidden="1" customWidth="1" outlineLevel="2"/>
    <col min="11" max="11" width="9" hidden="1" customWidth="1" outlineLevel="1"/>
    <col min="12" max="15" width="9" hidden="1" customWidth="1" outlineLevel="2"/>
    <col min="16" max="16" width="9" hidden="1" customWidth="1" outlineLevel="1"/>
    <col min="17" max="20" width="9" hidden="1" customWidth="1" outlineLevel="2"/>
    <col min="21" max="21" width="9" hidden="1" customWidth="1" outlineLevel="1"/>
    <col min="22" max="25" width="9" hidden="1" customWidth="1" outlineLevel="2"/>
    <col min="26" max="26" width="9" hidden="1" customWidth="1" outlineLevel="1"/>
    <col min="27" max="30" width="9" hidden="1" customWidth="1" outlineLevel="2"/>
    <col min="31" max="31" width="9" hidden="1" customWidth="1" outlineLevel="1"/>
    <col min="32" max="35" width="9" hidden="1" customWidth="1" outlineLevel="2"/>
    <col min="36" max="36" width="9" hidden="1" customWidth="1" outlineLevel="1"/>
    <col min="37" max="40" width="9" hidden="1" customWidth="1" outlineLevel="2"/>
    <col min="41" max="41" width="9" hidden="1" customWidth="1" outlineLevel="1"/>
    <col min="42" max="45" width="9" hidden="1" customWidth="1" outlineLevel="2"/>
    <col min="46" max="50" width="9" hidden="1" customWidth="1" outlineLevel="1"/>
    <col min="51" max="51" width="9" hidden="1" customWidth="1" collapsed="1"/>
    <col min="52" max="55" width="9" hidden="1" customWidth="1" outlineLevel="1"/>
    <col min="56" max="56" width="9" hidden="1" customWidth="1" collapsed="1"/>
    <col min="57" max="60" width="9" hidden="1" customWidth="1" outlineLevel="1"/>
    <col min="61" max="61" width="9" hidden="1" customWidth="1" collapsed="1"/>
    <col min="62" max="65" width="9" hidden="1" customWidth="1" outlineLevel="1"/>
    <col min="66" max="66" width="10.42578125" hidden="1" customWidth="1" collapsed="1"/>
    <col min="67" max="70" width="9" hidden="1" customWidth="1" outlineLevel="1"/>
    <col min="71" max="71" width="9" hidden="1" customWidth="1" collapsed="1"/>
    <col min="72" max="75" width="9" hidden="1" customWidth="1" outlineLevel="1"/>
    <col min="76" max="76" width="9" hidden="1" customWidth="1" collapsed="1"/>
    <col min="77" max="80" width="9" hidden="1" customWidth="1" outlineLevel="1"/>
    <col min="81" max="81" width="9" hidden="1" customWidth="1" collapsed="1"/>
    <col min="82" max="85" width="9" hidden="1" customWidth="1" outlineLevel="1"/>
    <col min="86" max="86" width="9" customWidth="1" collapsed="1"/>
    <col min="87" max="90" width="9" hidden="1" customWidth="1" outlineLevel="1"/>
    <col min="91" max="91" width="9" customWidth="1" collapsed="1"/>
    <col min="92" max="95" width="9" customWidth="1" outlineLevel="1"/>
    <col min="96" max="96" width="9" customWidth="1"/>
    <col min="97" max="100" width="9" customWidth="1" outlineLevel="1"/>
    <col min="101" max="101" width="9" customWidth="1"/>
    <col min="102" max="105" width="9" hidden="1" customWidth="1" outlineLevel="1"/>
    <col min="106" max="106" width="9" customWidth="1" collapsed="1"/>
    <col min="107" max="107" width="9.5703125" hidden="1" customWidth="1" outlineLevel="1"/>
    <col min="108" max="108" width="38.5703125" hidden="1" customWidth="1" outlineLevel="1"/>
    <col min="109" max="109" width="14.5703125" hidden="1" customWidth="1" outlineLevel="1"/>
    <col min="110" max="113" width="9.5703125" hidden="1" customWidth="1" outlineLevel="1"/>
    <col min="114" max="114" width="9.140625" collapsed="1"/>
  </cols>
  <sheetData>
    <row r="1" spans="1:114" ht="15.75">
      <c r="A1" s="712" t="s">
        <v>97</v>
      </c>
      <c r="B1" s="727"/>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c r="BG1" s="714"/>
      <c r="BH1" s="714"/>
      <c r="BI1" s="714"/>
      <c r="BJ1" s="714"/>
      <c r="BK1" s="714"/>
      <c r="BL1" s="714"/>
      <c r="BM1" s="714"/>
      <c r="BN1" s="714"/>
      <c r="BO1" s="714"/>
      <c r="BP1" s="714"/>
      <c r="BQ1" s="714"/>
      <c r="BR1" s="714"/>
      <c r="BS1" s="714"/>
      <c r="BT1" s="714"/>
      <c r="BU1" s="714"/>
      <c r="BV1" s="714"/>
      <c r="BW1" s="714"/>
      <c r="BX1" s="714"/>
      <c r="BY1" s="714"/>
      <c r="BZ1" s="714"/>
      <c r="CA1" s="714"/>
      <c r="CB1" s="714"/>
      <c r="CC1" s="714"/>
      <c r="CD1" s="714"/>
      <c r="CE1" s="714"/>
      <c r="CF1" s="714"/>
      <c r="CG1" s="714"/>
      <c r="CH1" s="714"/>
      <c r="CI1" s="714"/>
      <c r="CJ1" s="714"/>
      <c r="CK1" s="714"/>
      <c r="CL1" s="714"/>
      <c r="CM1" s="714"/>
      <c r="CN1" s="714"/>
      <c r="CO1" s="714"/>
      <c r="CP1" s="714"/>
      <c r="CQ1" s="714"/>
      <c r="CR1" s="714"/>
      <c r="CS1" s="714"/>
      <c r="CT1" s="714"/>
      <c r="CU1" s="714"/>
      <c r="CV1" s="714"/>
      <c r="CW1" s="715"/>
      <c r="CX1" s="714"/>
      <c r="CY1" s="714"/>
      <c r="CZ1" s="714"/>
      <c r="DA1" s="714"/>
      <c r="DB1" s="715"/>
      <c r="DC1" s="5"/>
    </row>
    <row r="2" spans="1:114" ht="12.75" customHeight="1" thickBot="1">
      <c r="A2" s="731" t="s">
        <v>153</v>
      </c>
      <c r="B2" s="717"/>
      <c r="C2" s="718"/>
      <c r="D2" s="718"/>
      <c r="E2" s="718"/>
      <c r="F2" s="718"/>
      <c r="G2" s="718"/>
      <c r="H2" s="718"/>
      <c r="I2" s="718"/>
      <c r="J2" s="718"/>
      <c r="K2" s="718"/>
      <c r="L2" s="718"/>
      <c r="M2" s="718"/>
      <c r="N2" s="718"/>
      <c r="O2" s="718"/>
      <c r="P2" s="718"/>
      <c r="Q2" s="718"/>
      <c r="R2" s="718"/>
      <c r="S2" s="718"/>
      <c r="T2" s="718"/>
      <c r="U2" s="718"/>
      <c r="V2" s="718"/>
      <c r="W2" s="718"/>
      <c r="X2" s="718"/>
      <c r="Y2" s="718"/>
      <c r="Z2" s="718"/>
      <c r="AA2" s="718"/>
      <c r="AB2" s="718"/>
      <c r="AC2" s="718"/>
      <c r="AD2" s="718"/>
      <c r="AE2" s="718"/>
      <c r="AF2" s="718"/>
      <c r="AG2" s="718"/>
      <c r="AH2" s="718"/>
      <c r="AI2" s="718"/>
      <c r="AJ2" s="718"/>
      <c r="AK2" s="718"/>
      <c r="AL2" s="718"/>
      <c r="AM2" s="718"/>
      <c r="AN2" s="718"/>
      <c r="AO2" s="718"/>
      <c r="AP2" s="718"/>
      <c r="AQ2" s="718"/>
      <c r="AR2" s="718"/>
      <c r="AS2" s="718"/>
      <c r="AT2" s="718"/>
      <c r="AU2" s="718"/>
      <c r="AV2" s="718"/>
      <c r="AW2" s="718"/>
      <c r="AX2" s="718"/>
      <c r="AY2" s="718"/>
      <c r="AZ2" s="719"/>
      <c r="BA2" s="718"/>
      <c r="BB2" s="718"/>
      <c r="BC2" s="718"/>
      <c r="BD2" s="718"/>
      <c r="BE2" s="719"/>
      <c r="BF2" s="718"/>
      <c r="BG2" s="718"/>
      <c r="BH2" s="718"/>
      <c r="BI2" s="719"/>
      <c r="BJ2" s="719"/>
      <c r="BK2" s="718"/>
      <c r="BL2" s="718"/>
      <c r="BM2" s="718"/>
      <c r="BN2" s="718"/>
      <c r="BO2" s="719"/>
      <c r="BP2" s="718"/>
      <c r="BQ2" s="718"/>
      <c r="BR2" s="718"/>
      <c r="BS2" s="718"/>
      <c r="BT2" s="719"/>
      <c r="BU2" s="719"/>
      <c r="BV2" s="718"/>
      <c r="BW2" s="718"/>
      <c r="BX2" s="718"/>
      <c r="BY2" s="719"/>
      <c r="BZ2" s="719"/>
      <c r="CA2" s="719"/>
      <c r="CB2" s="719"/>
      <c r="CC2" s="718"/>
      <c r="CD2" s="719"/>
      <c r="CE2" s="719"/>
      <c r="CF2" s="719"/>
      <c r="CG2" s="718"/>
      <c r="CH2" s="718"/>
      <c r="CI2" s="720"/>
      <c r="CJ2" s="718"/>
      <c r="CK2" s="718"/>
      <c r="CL2" s="718"/>
      <c r="CM2" s="734"/>
      <c r="CN2" s="743"/>
      <c r="CO2" s="734"/>
      <c r="CP2" s="734"/>
      <c r="CQ2" s="734"/>
      <c r="CR2" s="734"/>
      <c r="CS2" s="720"/>
      <c r="CT2" s="718"/>
      <c r="CU2" s="718"/>
      <c r="CV2" s="718"/>
      <c r="CW2" s="721"/>
      <c r="CX2" s="720"/>
      <c r="CY2" s="718"/>
      <c r="CZ2" s="718"/>
      <c r="DA2" s="718"/>
      <c r="DB2" s="721"/>
      <c r="DC2" s="5"/>
    </row>
    <row r="3" spans="1:114">
      <c r="A3" s="2"/>
      <c r="B3" s="889" t="s">
        <v>636</v>
      </c>
      <c r="C3" s="888"/>
      <c r="D3" s="887"/>
      <c r="E3" s="886"/>
      <c r="F3" s="886"/>
      <c r="G3" s="888">
        <f>IS!G3</f>
        <v>36981</v>
      </c>
      <c r="H3" s="885"/>
      <c r="I3" s="885"/>
      <c r="J3" s="885"/>
      <c r="K3" s="884"/>
      <c r="L3" s="883" t="str">
        <f t="shared" ref="L3" si="0">P4</f>
        <v>2002A</v>
      </c>
      <c r="M3" s="885"/>
      <c r="N3" s="885"/>
      <c r="O3" s="885"/>
      <c r="P3" s="884"/>
      <c r="Q3" s="883" t="str">
        <f t="shared" ref="Q3" si="1">U4</f>
        <v>2003A</v>
      </c>
      <c r="R3" s="885"/>
      <c r="S3" s="885"/>
      <c r="T3" s="885"/>
      <c r="U3" s="884"/>
      <c r="V3" s="883" t="str">
        <f t="shared" ref="V3" si="2">Z4</f>
        <v>2004A</v>
      </c>
      <c r="W3" s="885"/>
      <c r="X3" s="885"/>
      <c r="Y3" s="885"/>
      <c r="Z3" s="884"/>
      <c r="AA3" s="883" t="str">
        <f t="shared" ref="AA3" si="3">AE4</f>
        <v>2005A</v>
      </c>
      <c r="AB3" s="885"/>
      <c r="AC3" s="885"/>
      <c r="AD3" s="885"/>
      <c r="AE3" s="884"/>
      <c r="AF3" s="883" t="str">
        <f t="shared" ref="AF3" si="4">AJ4</f>
        <v>2006A</v>
      </c>
      <c r="AG3" s="885"/>
      <c r="AH3" s="885"/>
      <c r="AI3" s="885"/>
      <c r="AJ3" s="884"/>
      <c r="AK3" s="883" t="str">
        <f t="shared" ref="AK3" si="5">AO4</f>
        <v>2007A</v>
      </c>
      <c r="AL3" s="885"/>
      <c r="AM3" s="885"/>
      <c r="AN3" s="885"/>
      <c r="AO3" s="884"/>
      <c r="AP3" s="883" t="str">
        <f t="shared" ref="AP3" si="6">AT4</f>
        <v>2008A</v>
      </c>
      <c r="AQ3" s="885"/>
      <c r="AR3" s="885"/>
      <c r="AS3" s="885"/>
      <c r="AT3" s="884"/>
      <c r="AU3" s="883" t="str">
        <f t="shared" ref="AU3" si="7">AY4</f>
        <v>2009A</v>
      </c>
      <c r="AV3" s="885"/>
      <c r="AW3" s="885"/>
      <c r="AX3" s="885"/>
      <c r="AY3" s="884"/>
      <c r="AZ3" s="883" t="str">
        <f t="shared" ref="AZ3" si="8">BD4</f>
        <v>2010A</v>
      </c>
      <c r="BA3" s="885"/>
      <c r="BB3" s="885"/>
      <c r="BC3" s="885"/>
      <c r="BD3" s="884"/>
      <c r="BE3" s="883" t="str">
        <f t="shared" ref="BE3" si="9">BI4</f>
        <v>2011A</v>
      </c>
      <c r="BF3" s="885"/>
      <c r="BG3" s="885"/>
      <c r="BH3" s="885"/>
      <c r="BI3" s="884"/>
      <c r="BJ3" s="883" t="str">
        <f t="shared" ref="BJ3" si="10">BN4</f>
        <v>2012A</v>
      </c>
      <c r="BK3" s="885"/>
      <c r="BL3" s="885"/>
      <c r="BM3" s="885"/>
      <c r="BN3" s="884"/>
      <c r="BO3" s="883" t="str">
        <f t="shared" ref="BO3" si="11">BS4</f>
        <v>2013A</v>
      </c>
      <c r="BP3" s="885"/>
      <c r="BQ3" s="885"/>
      <c r="BR3" s="885"/>
      <c r="BS3" s="884"/>
      <c r="BT3" s="883" t="str">
        <f t="shared" ref="BT3" si="12">BX4</f>
        <v>2014A</v>
      </c>
      <c r="BU3" s="885"/>
      <c r="BV3" s="885"/>
      <c r="BW3" s="885"/>
      <c r="BX3" s="884"/>
      <c r="BY3" s="883" t="str">
        <f t="shared" ref="BY3" si="13">CC4</f>
        <v>2015A</v>
      </c>
      <c r="BZ3" s="885"/>
      <c r="CA3" s="885"/>
      <c r="CB3" s="885"/>
      <c r="CC3" s="884"/>
      <c r="CD3" s="883" t="str">
        <f t="shared" ref="CD3" si="14">CH4</f>
        <v>2016A</v>
      </c>
      <c r="CE3" s="885"/>
      <c r="CF3" s="885"/>
      <c r="CG3" s="885"/>
      <c r="CH3" s="884"/>
      <c r="CI3" s="883" t="str">
        <f>CM4</f>
        <v>2017A</v>
      </c>
      <c r="CJ3" s="885"/>
      <c r="CK3" s="885"/>
      <c r="CL3" s="885"/>
      <c r="CM3" s="884"/>
      <c r="CN3" s="883" t="str">
        <f t="shared" ref="CN3" si="15">CR4</f>
        <v>2018E</v>
      </c>
      <c r="CO3" s="885"/>
      <c r="CP3" s="885"/>
      <c r="CQ3" s="885"/>
      <c r="CR3" s="884"/>
      <c r="CS3" s="883" t="str">
        <f t="shared" ref="CS3" si="16">CW4</f>
        <v>2019E</v>
      </c>
      <c r="CT3" s="885"/>
      <c r="CU3" s="885"/>
      <c r="CV3" s="885"/>
      <c r="CW3" s="884"/>
      <c r="CX3" s="883" t="str">
        <f t="shared" ref="CX3" si="17">DB4</f>
        <v>2020E</v>
      </c>
      <c r="CY3" s="885"/>
      <c r="CZ3" s="885"/>
      <c r="DA3" s="885"/>
      <c r="DB3" s="884"/>
      <c r="DC3" s="9"/>
    </row>
    <row r="4" spans="1:114">
      <c r="A4" s="2"/>
      <c r="B4" s="882" t="s">
        <v>100</v>
      </c>
      <c r="C4" s="881"/>
      <c r="D4" s="880" t="str">
        <f>IS!D4</f>
        <v>1998A</v>
      </c>
      <c r="E4" s="879" t="str">
        <f>IS!E4</f>
        <v>1999A</v>
      </c>
      <c r="F4" s="879" t="str">
        <f>IS!F4</f>
        <v>2000A</v>
      </c>
      <c r="G4" s="881" t="str">
        <f>IS!G4</f>
        <v>1Q01A</v>
      </c>
      <c r="H4" s="881" t="str">
        <f>IS!H4</f>
        <v>2Q01A</v>
      </c>
      <c r="I4" s="881" t="str">
        <f>IS!I4</f>
        <v>3Q01A</v>
      </c>
      <c r="J4" s="881" t="str">
        <f>IS!J4</f>
        <v>4Q01A</v>
      </c>
      <c r="K4" s="879" t="str">
        <f>IS!K4</f>
        <v>2001A</v>
      </c>
      <c r="L4" s="881" t="str">
        <f>IS!L4</f>
        <v>1Q02A</v>
      </c>
      <c r="M4" s="881" t="str">
        <f>IS!M4</f>
        <v>2Q02A</v>
      </c>
      <c r="N4" s="881" t="str">
        <f>IS!N4</f>
        <v>3Q02A</v>
      </c>
      <c r="O4" s="881" t="str">
        <f>IS!O4</f>
        <v>4Q02A</v>
      </c>
      <c r="P4" s="879" t="str">
        <f>IS!P4</f>
        <v>2002A</v>
      </c>
      <c r="Q4" s="881" t="str">
        <f>IS!Q4</f>
        <v>1Q03A</v>
      </c>
      <c r="R4" s="881" t="str">
        <f>IS!R4</f>
        <v>2Q03A</v>
      </c>
      <c r="S4" s="881" t="str">
        <f>IS!S4</f>
        <v>3Q03A</v>
      </c>
      <c r="T4" s="881" t="str">
        <f>IS!T4</f>
        <v>4Q03A</v>
      </c>
      <c r="U4" s="879" t="str">
        <f>IS!U4</f>
        <v>2003A</v>
      </c>
      <c r="V4" s="881" t="str">
        <f>IS!V4</f>
        <v>1Q04A</v>
      </c>
      <c r="W4" s="881" t="str">
        <f>IS!W4</f>
        <v>2Q04A</v>
      </c>
      <c r="X4" s="881" t="str">
        <f>IS!X4</f>
        <v>3Q04A</v>
      </c>
      <c r="Y4" s="881" t="str">
        <f>IS!Y4</f>
        <v>4Q04A</v>
      </c>
      <c r="Z4" s="879" t="str">
        <f>IS!Z4</f>
        <v>2004A</v>
      </c>
      <c r="AA4" s="881" t="str">
        <f>IS!AA4</f>
        <v>1Q05A</v>
      </c>
      <c r="AB4" s="881" t="str">
        <f>IS!AB4</f>
        <v>2Q05A</v>
      </c>
      <c r="AC4" s="881" t="str">
        <f>IS!AC4</f>
        <v>3Q05A</v>
      </c>
      <c r="AD4" s="881" t="str">
        <f>IS!AD4</f>
        <v>4Q05A</v>
      </c>
      <c r="AE4" s="879" t="str">
        <f>IS!AE4</f>
        <v>2005A</v>
      </c>
      <c r="AF4" s="881" t="str">
        <f>IS!AF4</f>
        <v>1Q06A</v>
      </c>
      <c r="AG4" s="881" t="str">
        <f>IS!AG4</f>
        <v>2Q06A</v>
      </c>
      <c r="AH4" s="881" t="str">
        <f>IS!AH4</f>
        <v>3Q06A</v>
      </c>
      <c r="AI4" s="881" t="str">
        <f>IS!AI4</f>
        <v>4Q06A</v>
      </c>
      <c r="AJ4" s="879" t="str">
        <f>IS!AJ4</f>
        <v>2006A</v>
      </c>
      <c r="AK4" s="881" t="str">
        <f>IS!AK4</f>
        <v>1Q07A</v>
      </c>
      <c r="AL4" s="881" t="str">
        <f>IS!AL4</f>
        <v>2Q07A</v>
      </c>
      <c r="AM4" s="881" t="str">
        <f>IS!AM4</f>
        <v>3Q07A</v>
      </c>
      <c r="AN4" s="881" t="str">
        <f>IS!AN4</f>
        <v>4Q07A</v>
      </c>
      <c r="AO4" s="879" t="str">
        <f>IS!AO4</f>
        <v>2007A</v>
      </c>
      <c r="AP4" s="878" t="str">
        <f>IS!AP4</f>
        <v>1Q08A</v>
      </c>
      <c r="AQ4" s="878" t="str">
        <f>IS!AQ4</f>
        <v>2Q08A</v>
      </c>
      <c r="AR4" s="878" t="str">
        <f>IS!AR4</f>
        <v>3Q08A</v>
      </c>
      <c r="AS4" s="878" t="str">
        <f>IS!AS4</f>
        <v>4Q08A</v>
      </c>
      <c r="AT4" s="877" t="str">
        <f>IS!AT4</f>
        <v>2008A</v>
      </c>
      <c r="AU4" s="878" t="str">
        <f>IS!AU4</f>
        <v>1Q09</v>
      </c>
      <c r="AV4" s="878" t="str">
        <f>IS!AV4</f>
        <v>2Q09</v>
      </c>
      <c r="AW4" s="878" t="str">
        <f>IS!AW4</f>
        <v>3Q09</v>
      </c>
      <c r="AX4" s="878" t="str">
        <f>IS!AX4</f>
        <v>4Q09</v>
      </c>
      <c r="AY4" s="877" t="str">
        <f>IS!AY4</f>
        <v>2009A</v>
      </c>
      <c r="AZ4" s="878" t="str">
        <f>IS!AZ4</f>
        <v>1Q10A</v>
      </c>
      <c r="BA4" s="878" t="str">
        <f>IS!BA4</f>
        <v>2Q10A</v>
      </c>
      <c r="BB4" s="878" t="str">
        <f>IS!BB4</f>
        <v>3Q10A</v>
      </c>
      <c r="BC4" s="878" t="str">
        <f>IS!BC4</f>
        <v>4Q10A</v>
      </c>
      <c r="BD4" s="877" t="str">
        <f>IS!BD4</f>
        <v>2010A</v>
      </c>
      <c r="BE4" s="878" t="str">
        <f>IS!BE4</f>
        <v>1Q11A</v>
      </c>
      <c r="BF4" s="878" t="str">
        <f>IS!BF4</f>
        <v>2Q11A</v>
      </c>
      <c r="BG4" s="878" t="str">
        <f>IS!BG4</f>
        <v>3Q11A</v>
      </c>
      <c r="BH4" s="878" t="str">
        <f>IS!BH4</f>
        <v>4Q11A</v>
      </c>
      <c r="BI4" s="877" t="str">
        <f>IS!BI4</f>
        <v>2011A</v>
      </c>
      <c r="BJ4" s="878" t="str">
        <f>IS!BJ4</f>
        <v>1Q12A</v>
      </c>
      <c r="BK4" s="878" t="str">
        <f>IS!BK4</f>
        <v>2Q12A</v>
      </c>
      <c r="BL4" s="878" t="str">
        <f>IS!BL4</f>
        <v>3Q12A</v>
      </c>
      <c r="BM4" s="878" t="str">
        <f>IS!BM4</f>
        <v>4Q12A</v>
      </c>
      <c r="BN4" s="877" t="str">
        <f>IS!BN4</f>
        <v>2012A</v>
      </c>
      <c r="BO4" s="878" t="str">
        <f>IS!BO4</f>
        <v>1Q13A</v>
      </c>
      <c r="BP4" s="878" t="str">
        <f>IS!BP4</f>
        <v>2Q13A</v>
      </c>
      <c r="BQ4" s="878" t="str">
        <f>IS!BQ4</f>
        <v>3Q13A</v>
      </c>
      <c r="BR4" s="878" t="str">
        <f>IS!BR4</f>
        <v>4Q13A</v>
      </c>
      <c r="BS4" s="877" t="str">
        <f>IS!BS4</f>
        <v>2013A</v>
      </c>
      <c r="BT4" s="878" t="str">
        <f>IS!BT4</f>
        <v>1Q14A</v>
      </c>
      <c r="BU4" s="878" t="str">
        <f>IS!BU4</f>
        <v>2Q14A</v>
      </c>
      <c r="BV4" s="878" t="str">
        <f>IS!BV4</f>
        <v>3Q14A</v>
      </c>
      <c r="BW4" s="878" t="str">
        <f>IS!BW4</f>
        <v>4Q14A</v>
      </c>
      <c r="BX4" s="877" t="str">
        <f>IS!BX4</f>
        <v>2014A</v>
      </c>
      <c r="BY4" s="878" t="str">
        <f>IS!BY4</f>
        <v>1Q15A</v>
      </c>
      <c r="BZ4" s="878" t="str">
        <f>IS!BZ4</f>
        <v>2Q15A</v>
      </c>
      <c r="CA4" s="878" t="str">
        <f>IS!CA4</f>
        <v>3Q15A</v>
      </c>
      <c r="CB4" s="878" t="str">
        <f>IS!CB4</f>
        <v>4Q15A</v>
      </c>
      <c r="CC4" s="877" t="str">
        <f>IS!CC4</f>
        <v>2015A</v>
      </c>
      <c r="CD4" s="878" t="str">
        <f>IS!CD4</f>
        <v>1Q16A</v>
      </c>
      <c r="CE4" s="878" t="str">
        <f>IS!CE4</f>
        <v>2Q16A</v>
      </c>
      <c r="CF4" s="878" t="str">
        <f>IS!CF4</f>
        <v>3Q16A</v>
      </c>
      <c r="CG4" s="878" t="str">
        <f>IS!CG4</f>
        <v>4Q16A</v>
      </c>
      <c r="CH4" s="877" t="str">
        <f>IS!CH4</f>
        <v>2016A</v>
      </c>
      <c r="CI4" s="878" t="str">
        <f>IS!CI4</f>
        <v>1Q17A</v>
      </c>
      <c r="CJ4" s="878" t="str">
        <f>IS!CJ4</f>
        <v>2Q17A</v>
      </c>
      <c r="CK4" s="878" t="str">
        <f>IS!CK4</f>
        <v>3Q17A</v>
      </c>
      <c r="CL4" s="878" t="str">
        <f>IS!CL4</f>
        <v>4Q17A</v>
      </c>
      <c r="CM4" s="877" t="str">
        <f>IS!CM4</f>
        <v>2017A</v>
      </c>
      <c r="CN4" s="878" t="str">
        <f>IS!CN4</f>
        <v>1Q18E</v>
      </c>
      <c r="CO4" s="878" t="str">
        <f>IS!CO4</f>
        <v>2Q18E</v>
      </c>
      <c r="CP4" s="878" t="str">
        <f>IS!CP4</f>
        <v>3Q18E</v>
      </c>
      <c r="CQ4" s="878" t="str">
        <f>IS!CQ4</f>
        <v>4Q18E</v>
      </c>
      <c r="CR4" s="877" t="str">
        <f>IS!CR4</f>
        <v>2018E</v>
      </c>
      <c r="CS4" s="878" t="str">
        <f>IS!CS4</f>
        <v>1Q19E</v>
      </c>
      <c r="CT4" s="878" t="str">
        <f>IS!CT4</f>
        <v>2Q19E</v>
      </c>
      <c r="CU4" s="878" t="str">
        <f>IS!CU4</f>
        <v>3Q19E</v>
      </c>
      <c r="CV4" s="878" t="str">
        <f>IS!CV4</f>
        <v>4Q19E</v>
      </c>
      <c r="CW4" s="877" t="str">
        <f>IS!CW4</f>
        <v>2019E</v>
      </c>
      <c r="CX4" s="878" t="str">
        <f>IS!CX4</f>
        <v>1Q20E</v>
      </c>
      <c r="CY4" s="878" t="str">
        <f>IS!CY4</f>
        <v>2Q20E</v>
      </c>
      <c r="CZ4" s="878" t="str">
        <f>IS!CZ4</f>
        <v>3Q20E</v>
      </c>
      <c r="DA4" s="878" t="str">
        <f>IS!DA4</f>
        <v>4Q20E</v>
      </c>
      <c r="DB4" s="877" t="str">
        <f>IS!DB4</f>
        <v>2020E</v>
      </c>
      <c r="DC4" s="9"/>
    </row>
    <row r="5" spans="1:114" ht="3" customHeight="1">
      <c r="A5" s="1"/>
      <c r="B5" s="25"/>
      <c r="C5" s="5"/>
      <c r="D5" s="876"/>
      <c r="E5" s="200"/>
      <c r="F5" s="200"/>
      <c r="G5" s="9"/>
      <c r="H5" s="9"/>
      <c r="I5" s="9"/>
      <c r="J5" s="9"/>
      <c r="K5" s="200"/>
      <c r="L5" s="9"/>
      <c r="M5" s="9"/>
      <c r="N5" s="9"/>
      <c r="O5" s="9"/>
      <c r="P5" s="200"/>
      <c r="Q5" s="9"/>
      <c r="R5" s="9"/>
      <c r="S5" s="9"/>
      <c r="T5" s="9"/>
      <c r="U5" s="200"/>
      <c r="V5" s="9"/>
      <c r="W5" s="9"/>
      <c r="X5" s="9"/>
      <c r="Y5" s="9"/>
      <c r="Z5" s="200"/>
      <c r="AA5" s="9"/>
      <c r="AB5" s="9"/>
      <c r="AC5" s="9"/>
      <c r="AD5" s="9"/>
      <c r="AE5" s="200"/>
      <c r="AF5" s="9"/>
      <c r="AG5" s="9"/>
      <c r="AH5" s="9"/>
      <c r="AI5" s="9"/>
      <c r="AJ5" s="200"/>
      <c r="AK5" s="9"/>
      <c r="AL5" s="9"/>
      <c r="AM5" s="9"/>
      <c r="AN5" s="9"/>
      <c r="AO5" s="200"/>
      <c r="AP5" s="9"/>
      <c r="AQ5" s="9"/>
      <c r="AR5" s="9"/>
      <c r="AS5" s="9"/>
      <c r="AT5" s="200"/>
      <c r="AU5" s="9"/>
      <c r="AV5" s="9"/>
      <c r="AW5" s="9"/>
      <c r="AX5" s="9"/>
      <c r="AY5" s="200"/>
      <c r="AZ5" s="9"/>
      <c r="BA5" s="9"/>
      <c r="BB5" s="9"/>
      <c r="BC5" s="9"/>
      <c r="BD5" s="200"/>
      <c r="BE5" s="9"/>
      <c r="BF5" s="9"/>
      <c r="BG5" s="9"/>
      <c r="BH5" s="9"/>
      <c r="BI5" s="200"/>
      <c r="BJ5" s="9"/>
      <c r="BK5" s="9"/>
      <c r="BL5" s="9"/>
      <c r="BM5" s="9"/>
      <c r="BN5" s="200"/>
      <c r="BO5" s="9"/>
      <c r="BP5" s="9"/>
      <c r="BQ5" s="9"/>
      <c r="BR5" s="9"/>
      <c r="BS5" s="200"/>
      <c r="BT5" s="9"/>
      <c r="BU5" s="9"/>
      <c r="BV5" s="9"/>
      <c r="BW5" s="9"/>
      <c r="BX5" s="200"/>
      <c r="BY5" s="9"/>
      <c r="BZ5" s="9"/>
      <c r="CA5" s="9"/>
      <c r="CB5" s="9"/>
      <c r="CC5" s="200"/>
      <c r="CD5" s="9"/>
      <c r="CE5" s="9"/>
      <c r="CF5" s="9"/>
      <c r="CG5" s="9"/>
      <c r="CH5" s="200"/>
      <c r="CI5" s="9"/>
      <c r="CJ5" s="9"/>
      <c r="CK5" s="9"/>
      <c r="CL5" s="9"/>
      <c r="CM5" s="200"/>
      <c r="CN5" s="9"/>
      <c r="CO5" s="9"/>
      <c r="CP5" s="9"/>
      <c r="CQ5" s="9"/>
      <c r="CR5" s="200"/>
      <c r="CS5" s="9"/>
      <c r="CT5" s="9"/>
      <c r="CU5" s="9"/>
      <c r="CV5" s="9"/>
      <c r="CW5" s="200"/>
      <c r="CX5" s="9"/>
      <c r="CY5" s="9"/>
      <c r="CZ5" s="9"/>
      <c r="DA5" s="9"/>
      <c r="DB5" s="200"/>
      <c r="DC5" s="9"/>
    </row>
    <row r="6" spans="1:114" ht="9" hidden="1" customHeight="1" outlineLevel="1">
      <c r="A6" s="13"/>
      <c r="B6" s="14" t="str">
        <f>IS!B6</f>
        <v># of days in period</v>
      </c>
      <c r="C6" s="395"/>
      <c r="D6" s="69">
        <f>IS!D6</f>
        <v>365</v>
      </c>
      <c r="E6" s="17">
        <f>IS!E6</f>
        <v>365</v>
      </c>
      <c r="F6" s="17">
        <f>IS!F6</f>
        <v>366</v>
      </c>
      <c r="G6" s="15">
        <f>IS!G6</f>
        <v>90</v>
      </c>
      <c r="H6" s="15">
        <f>IS!H6</f>
        <v>91</v>
      </c>
      <c r="I6" s="15">
        <f>IS!I6</f>
        <v>92</v>
      </c>
      <c r="J6" s="15">
        <f>IS!J6</f>
        <v>92</v>
      </c>
      <c r="K6" s="17">
        <f>IS!K6</f>
        <v>365</v>
      </c>
      <c r="L6" s="15">
        <f>IS!L6</f>
        <v>90</v>
      </c>
      <c r="M6" s="15">
        <f>IS!M6</f>
        <v>91</v>
      </c>
      <c r="N6" s="15">
        <f>IS!N6</f>
        <v>92</v>
      </c>
      <c r="O6" s="15">
        <f>IS!O6</f>
        <v>92</v>
      </c>
      <c r="P6" s="17">
        <f>IS!P6</f>
        <v>365</v>
      </c>
      <c r="Q6" s="15">
        <f>IS!Q6</f>
        <v>90</v>
      </c>
      <c r="R6" s="15">
        <f>IS!R6</f>
        <v>91</v>
      </c>
      <c r="S6" s="15">
        <f>IS!S6</f>
        <v>92</v>
      </c>
      <c r="T6" s="15">
        <f>IS!T6</f>
        <v>92</v>
      </c>
      <c r="U6" s="17">
        <f>IS!U6</f>
        <v>365</v>
      </c>
      <c r="V6" s="15">
        <f>IS!V6</f>
        <v>91</v>
      </c>
      <c r="W6" s="15">
        <f>IS!W6</f>
        <v>91</v>
      </c>
      <c r="X6" s="15">
        <f>IS!X6</f>
        <v>92</v>
      </c>
      <c r="Y6" s="15">
        <f>IS!Y6</f>
        <v>92</v>
      </c>
      <c r="Z6" s="17">
        <f>IS!Z6</f>
        <v>366</v>
      </c>
      <c r="AA6" s="15">
        <f>IS!AA6</f>
        <v>90</v>
      </c>
      <c r="AB6" s="15">
        <f>IS!AB6</f>
        <v>91</v>
      </c>
      <c r="AC6" s="15">
        <f>IS!AC6</f>
        <v>92</v>
      </c>
      <c r="AD6" s="15">
        <f>IS!AD6</f>
        <v>92</v>
      </c>
      <c r="AE6" s="17">
        <f>IS!AE6</f>
        <v>365</v>
      </c>
      <c r="AF6" s="15">
        <f>IS!AF6</f>
        <v>90</v>
      </c>
      <c r="AG6" s="15">
        <f>IS!AG6</f>
        <v>91</v>
      </c>
      <c r="AH6" s="15">
        <f>IS!AH6</f>
        <v>92</v>
      </c>
      <c r="AI6" s="15">
        <f>IS!AI6</f>
        <v>92</v>
      </c>
      <c r="AJ6" s="17">
        <f>IS!AJ6</f>
        <v>365</v>
      </c>
      <c r="AK6" s="15">
        <f>IS!AK6</f>
        <v>90</v>
      </c>
      <c r="AL6" s="15">
        <f>IS!AL6</f>
        <v>91</v>
      </c>
      <c r="AM6" s="15">
        <f>IS!AM6</f>
        <v>92</v>
      </c>
      <c r="AN6" s="15">
        <f>IS!AN6</f>
        <v>92</v>
      </c>
      <c r="AO6" s="17">
        <f>IS!AO6</f>
        <v>365</v>
      </c>
      <c r="AP6" s="15">
        <f>IS!AP6</f>
        <v>91</v>
      </c>
      <c r="AQ6" s="15">
        <f>IS!AQ6</f>
        <v>91</v>
      </c>
      <c r="AR6" s="15">
        <f>IS!AR6</f>
        <v>92</v>
      </c>
      <c r="AS6" s="15">
        <f>IS!AS6</f>
        <v>92</v>
      </c>
      <c r="AT6" s="17">
        <f>IS!AT6</f>
        <v>366</v>
      </c>
      <c r="AU6" s="15">
        <f>IS!AU6</f>
        <v>90</v>
      </c>
      <c r="AV6" s="15">
        <f>IS!AV6</f>
        <v>91</v>
      </c>
      <c r="AW6" s="15">
        <f>IS!AW6</f>
        <v>92</v>
      </c>
      <c r="AX6" s="15">
        <f>IS!AX6</f>
        <v>92</v>
      </c>
      <c r="AY6" s="17">
        <f>IS!AY6</f>
        <v>365</v>
      </c>
      <c r="AZ6" s="15">
        <f>IS!AZ6</f>
        <v>90</v>
      </c>
      <c r="BA6" s="15">
        <f>IS!BA6</f>
        <v>91</v>
      </c>
      <c r="BB6" s="15">
        <f>IS!BB6</f>
        <v>92</v>
      </c>
      <c r="BC6" s="15">
        <f>IS!BC6</f>
        <v>92</v>
      </c>
      <c r="BD6" s="17">
        <f>IS!BD6</f>
        <v>365</v>
      </c>
      <c r="BE6" s="15">
        <f>IS!BE6</f>
        <v>90</v>
      </c>
      <c r="BF6" s="15">
        <f>IS!BF6</f>
        <v>91</v>
      </c>
      <c r="BG6" s="15">
        <f>IS!BG6</f>
        <v>92</v>
      </c>
      <c r="BH6" s="15">
        <f>IS!BH6</f>
        <v>92</v>
      </c>
      <c r="BI6" s="17">
        <f>IS!BI6</f>
        <v>365</v>
      </c>
      <c r="BJ6" s="15">
        <f>IS!BJ6</f>
        <v>91</v>
      </c>
      <c r="BK6" s="15">
        <f>IS!BK6</f>
        <v>91</v>
      </c>
      <c r="BL6" s="15">
        <f>IS!BL6</f>
        <v>92</v>
      </c>
      <c r="BM6" s="15">
        <f>IS!BM6</f>
        <v>92</v>
      </c>
      <c r="BN6" s="17">
        <f>IS!BN6</f>
        <v>366</v>
      </c>
      <c r="BO6" s="15">
        <f>IS!BO6</f>
        <v>90</v>
      </c>
      <c r="BP6" s="15">
        <f>IS!BP6</f>
        <v>91</v>
      </c>
      <c r="BQ6" s="15">
        <f>IS!BQ6</f>
        <v>92</v>
      </c>
      <c r="BR6" s="15">
        <f>IS!BR6</f>
        <v>92</v>
      </c>
      <c r="BS6" s="17">
        <f>IS!BS6</f>
        <v>365</v>
      </c>
      <c r="BT6" s="15">
        <f>IS!BT6</f>
        <v>90</v>
      </c>
      <c r="BU6" s="15">
        <f>IS!BU6</f>
        <v>91</v>
      </c>
      <c r="BV6" s="15">
        <f>IS!BV6</f>
        <v>92</v>
      </c>
      <c r="BW6" s="15">
        <f>IS!BW6</f>
        <v>92</v>
      </c>
      <c r="BX6" s="17">
        <f>IS!BX6</f>
        <v>365</v>
      </c>
      <c r="BY6" s="15">
        <f>IS!BY6</f>
        <v>90</v>
      </c>
      <c r="BZ6" s="15">
        <f>IS!BZ6</f>
        <v>91</v>
      </c>
      <c r="CA6" s="15">
        <f>IS!CA6</f>
        <v>92</v>
      </c>
      <c r="CB6" s="15">
        <f>IS!CB6</f>
        <v>92</v>
      </c>
      <c r="CC6" s="17">
        <f>IS!CC6</f>
        <v>365</v>
      </c>
      <c r="CD6" s="15">
        <f>IS!CD6</f>
        <v>91</v>
      </c>
      <c r="CE6" s="15">
        <f>IS!CE6</f>
        <v>91</v>
      </c>
      <c r="CF6" s="15">
        <f>IS!CF6</f>
        <v>92</v>
      </c>
      <c r="CG6" s="15">
        <f>IS!CG6</f>
        <v>92</v>
      </c>
      <c r="CH6" s="17">
        <f>IS!CH6</f>
        <v>366</v>
      </c>
      <c r="CI6" s="15">
        <f>IS!CI6</f>
        <v>90</v>
      </c>
      <c r="CJ6" s="15">
        <f>IS!CJ6</f>
        <v>91</v>
      </c>
      <c r="CK6" s="15">
        <f>IS!CK6</f>
        <v>92</v>
      </c>
      <c r="CL6" s="15">
        <f>IS!CL6</f>
        <v>92</v>
      </c>
      <c r="CM6" s="17">
        <f>IS!CM6</f>
        <v>365</v>
      </c>
      <c r="CN6" s="15">
        <f>IS!CN6</f>
        <v>90</v>
      </c>
      <c r="CO6" s="15">
        <f>IS!CO6</f>
        <v>91</v>
      </c>
      <c r="CP6" s="15">
        <f>IS!CP6</f>
        <v>92</v>
      </c>
      <c r="CQ6" s="15">
        <f>IS!CQ6</f>
        <v>92</v>
      </c>
      <c r="CR6" s="17">
        <f>IS!CR6</f>
        <v>365</v>
      </c>
      <c r="CS6" s="15">
        <f>IS!CS6</f>
        <v>90</v>
      </c>
      <c r="CT6" s="15">
        <f>IS!CT6</f>
        <v>91</v>
      </c>
      <c r="CU6" s="15">
        <f>IS!CU6</f>
        <v>92</v>
      </c>
      <c r="CV6" s="15">
        <f>IS!CV6</f>
        <v>92</v>
      </c>
      <c r="CW6" s="17">
        <f>IS!CW6</f>
        <v>365</v>
      </c>
      <c r="CX6" s="15">
        <f>IS!CX6</f>
        <v>91</v>
      </c>
      <c r="CY6" s="15">
        <f>IS!CY6</f>
        <v>91</v>
      </c>
      <c r="CZ6" s="15">
        <f>IS!CZ6</f>
        <v>92</v>
      </c>
      <c r="DA6" s="15">
        <f>IS!DA6</f>
        <v>92</v>
      </c>
      <c r="DB6" s="17">
        <f>IS!DB6</f>
        <v>366</v>
      </c>
      <c r="DC6" s="9"/>
    </row>
    <row r="7" spans="1:114" ht="2.25" hidden="1" customHeight="1" outlineLevel="1">
      <c r="A7" s="1"/>
      <c r="B7" s="9"/>
      <c r="C7" s="5"/>
      <c r="D7" s="876"/>
      <c r="E7" s="200"/>
      <c r="F7" s="200"/>
      <c r="G7" s="9"/>
      <c r="H7" s="9"/>
      <c r="I7" s="9"/>
      <c r="J7" s="9"/>
      <c r="K7" s="200"/>
      <c r="L7" s="9"/>
      <c r="M7" s="9"/>
      <c r="N7" s="9"/>
      <c r="O7" s="9"/>
      <c r="P7" s="200"/>
      <c r="Q7" s="9"/>
      <c r="R7" s="9"/>
      <c r="S7" s="9"/>
      <c r="T7" s="9"/>
      <c r="U7" s="200"/>
      <c r="V7" s="9"/>
      <c r="W7" s="9"/>
      <c r="X7" s="9"/>
      <c r="Y7" s="9"/>
      <c r="Z7" s="200"/>
      <c r="AA7" s="9"/>
      <c r="AB7" s="9"/>
      <c r="AC7" s="9"/>
      <c r="AD7" s="9"/>
      <c r="AE7" s="200"/>
      <c r="AF7" s="9"/>
      <c r="AG7" s="9"/>
      <c r="AH7" s="9"/>
      <c r="AI7" s="9"/>
      <c r="AJ7" s="200"/>
      <c r="AK7" s="9"/>
      <c r="AL7" s="9"/>
      <c r="AM7" s="9"/>
      <c r="AN7" s="9"/>
      <c r="AO7" s="200"/>
      <c r="AP7" s="9"/>
      <c r="AQ7" s="9"/>
      <c r="AR7" s="9"/>
      <c r="AS7" s="9"/>
      <c r="AT7" s="200"/>
      <c r="AU7" s="9"/>
      <c r="AV7" s="9"/>
      <c r="AW7" s="9"/>
      <c r="AX7" s="9"/>
      <c r="AY7" s="200"/>
      <c r="AZ7" s="9"/>
      <c r="BA7" s="9"/>
      <c r="BB7" s="9"/>
      <c r="BC7" s="9"/>
      <c r="BD7" s="200"/>
      <c r="BE7" s="9"/>
      <c r="BF7" s="9"/>
      <c r="BG7" s="9"/>
      <c r="BH7" s="9"/>
      <c r="BI7" s="200"/>
      <c r="BJ7" s="9"/>
      <c r="BK7" s="9"/>
      <c r="BL7" s="9"/>
      <c r="BM7" s="9"/>
      <c r="BN7" s="200"/>
      <c r="BO7" s="9"/>
      <c r="BP7" s="9"/>
      <c r="BQ7" s="9"/>
      <c r="BR7" s="9"/>
      <c r="BS7" s="200"/>
      <c r="BT7" s="9"/>
      <c r="BU7" s="9"/>
      <c r="BV7" s="9"/>
      <c r="BW7" s="9"/>
      <c r="BX7" s="200"/>
      <c r="BY7" s="9"/>
      <c r="BZ7" s="9"/>
      <c r="CA7" s="9"/>
      <c r="CB7" s="9"/>
      <c r="CC7" s="200"/>
      <c r="CD7" s="9"/>
      <c r="CE7" s="9"/>
      <c r="CF7" s="9"/>
      <c r="CG7" s="9"/>
      <c r="CH7" s="200"/>
      <c r="CI7" s="9"/>
      <c r="CJ7" s="9"/>
      <c r="CK7" s="9"/>
      <c r="CL7" s="9"/>
      <c r="CM7" s="200"/>
      <c r="CN7" s="9"/>
      <c r="CO7" s="9"/>
      <c r="CP7" s="9"/>
      <c r="CQ7" s="9"/>
      <c r="CR7" s="200"/>
      <c r="CS7" s="9"/>
      <c r="CT7" s="9"/>
      <c r="CU7" s="9"/>
      <c r="CV7" s="9"/>
      <c r="CW7" s="200"/>
      <c r="CX7" s="9"/>
      <c r="CY7" s="9"/>
      <c r="CZ7" s="9"/>
      <c r="DA7" s="9"/>
      <c r="DB7" s="200"/>
      <c r="DC7" s="9"/>
    </row>
    <row r="8" spans="1:114" collapsed="1">
      <c r="A8" s="1"/>
      <c r="B8" s="9" t="s">
        <v>503</v>
      </c>
      <c r="C8" s="202"/>
      <c r="D8" s="891"/>
      <c r="E8" s="213">
        <v>4.282</v>
      </c>
      <c r="F8" s="213">
        <v>13.74</v>
      </c>
      <c r="G8" s="265">
        <v>23.216000000000001</v>
      </c>
      <c r="H8" s="265">
        <v>35.74</v>
      </c>
      <c r="I8" s="265">
        <v>17.699000000000002</v>
      </c>
      <c r="J8" s="265">
        <v>8.3859999999999992</v>
      </c>
      <c r="K8" s="201">
        <f t="shared" ref="K8:K16" si="18">J8</f>
        <v>8.3859999999999992</v>
      </c>
      <c r="L8" s="265">
        <v>23.698</v>
      </c>
      <c r="M8" s="265">
        <v>20.024000000000001</v>
      </c>
      <c r="N8" s="265">
        <v>117.53</v>
      </c>
      <c r="O8" s="265">
        <v>132.84399999999999</v>
      </c>
      <c r="P8" s="201">
        <f t="shared" ref="P8:P16" si="19">O8</f>
        <v>132.84399999999999</v>
      </c>
      <c r="Q8" s="265">
        <v>19.562999999999999</v>
      </c>
      <c r="R8" s="265">
        <v>25.306000000000001</v>
      </c>
      <c r="S8" s="265">
        <v>62.642000000000003</v>
      </c>
      <c r="T8" s="265">
        <v>16.331</v>
      </c>
      <c r="U8" s="201">
        <f t="shared" ref="U8:U16" si="20">T8</f>
        <v>16.331</v>
      </c>
      <c r="V8" s="265">
        <v>16.100000000000001</v>
      </c>
      <c r="W8" s="265">
        <v>18.605</v>
      </c>
      <c r="X8" s="265">
        <v>19.952000000000002</v>
      </c>
      <c r="Y8" s="265">
        <v>82.498000000000005</v>
      </c>
      <c r="Z8" s="201">
        <f t="shared" ref="Z8:Z16" si="21">Y8</f>
        <v>82.498000000000005</v>
      </c>
      <c r="AA8" s="265">
        <v>218.447</v>
      </c>
      <c r="AB8" s="265">
        <v>272.36399999999998</v>
      </c>
      <c r="AC8" s="265">
        <v>184.28</v>
      </c>
      <c r="AD8" s="265">
        <v>104.108</v>
      </c>
      <c r="AE8" s="201">
        <f t="shared" ref="AE8:AE16" si="22">AD8</f>
        <v>104.108</v>
      </c>
      <c r="AF8" s="265">
        <v>111.95099999999999</v>
      </c>
      <c r="AG8" s="265">
        <v>24.157</v>
      </c>
      <c r="AH8" s="265">
        <v>13.444000000000001</v>
      </c>
      <c r="AI8" s="265">
        <v>40.566000000000003</v>
      </c>
      <c r="AJ8" s="201">
        <f t="shared" ref="AJ8:AJ16" si="23">AI8</f>
        <v>40.566000000000003</v>
      </c>
      <c r="AK8" s="265">
        <v>62.878</v>
      </c>
      <c r="AL8" s="265">
        <v>21.356999999999999</v>
      </c>
      <c r="AM8" s="265">
        <v>118.855</v>
      </c>
      <c r="AN8" s="265">
        <v>132.874</v>
      </c>
      <c r="AO8" s="201">
        <f t="shared" ref="AO8:AO16" si="24">AN8</f>
        <v>132.874</v>
      </c>
      <c r="AP8" s="265">
        <v>164.35300000000001</v>
      </c>
      <c r="AQ8" s="265">
        <v>264.072</v>
      </c>
      <c r="AR8" s="265">
        <v>341.88400000000001</v>
      </c>
      <c r="AS8" s="265">
        <v>220.655</v>
      </c>
      <c r="AT8" s="201">
        <f t="shared" ref="AT8:AT16" si="25">AS8</f>
        <v>220.655</v>
      </c>
      <c r="AU8" s="265">
        <v>532.13199999999995</v>
      </c>
      <c r="AV8" s="265">
        <v>268.82499999999999</v>
      </c>
      <c r="AW8" s="265">
        <v>432.815</v>
      </c>
      <c r="AX8" s="265">
        <v>344.541</v>
      </c>
      <c r="AY8" s="201">
        <f>+AX8</f>
        <v>344.541</v>
      </c>
      <c r="AZ8" s="265">
        <v>480.06599999999997</v>
      </c>
      <c r="BA8" s="265">
        <v>548.75400000000002</v>
      </c>
      <c r="BB8" s="265">
        <v>567.74900000000002</v>
      </c>
      <c r="BC8" s="265">
        <v>299.16899999999998</v>
      </c>
      <c r="BD8" s="201">
        <f>+BC8</f>
        <v>299.16899999999998</v>
      </c>
      <c r="BE8" s="265">
        <v>270.71600000000001</v>
      </c>
      <c r="BF8" s="265">
        <v>191.43199999999999</v>
      </c>
      <c r="BG8" s="265">
        <v>266.31200000000001</v>
      </c>
      <c r="BH8" s="265">
        <v>129.86500000000001</v>
      </c>
      <c r="BI8" s="201">
        <f>BH8</f>
        <v>129.86500000000001</v>
      </c>
      <c r="BJ8" s="265">
        <v>129.298</v>
      </c>
      <c r="BK8" s="265">
        <v>115.10899999999999</v>
      </c>
      <c r="BL8" s="265">
        <v>240.65</v>
      </c>
      <c r="BM8" s="265">
        <v>387.81299999999999</v>
      </c>
      <c r="BN8" s="201">
        <f>BM8</f>
        <v>387.81299999999999</v>
      </c>
      <c r="BO8" s="265">
        <v>285.048</v>
      </c>
      <c r="BP8" s="265">
        <v>251.227</v>
      </c>
      <c r="BQ8" s="265">
        <v>143.60499999999999</v>
      </c>
      <c r="BR8" s="708">
        <v>373.40300000000002</v>
      </c>
      <c r="BS8" s="221">
        <f>BR8</f>
        <v>373.40300000000002</v>
      </c>
      <c r="BT8" s="265">
        <v>613</v>
      </c>
      <c r="BU8" s="265">
        <v>389</v>
      </c>
      <c r="BV8" s="265">
        <v>221</v>
      </c>
      <c r="BW8" s="875">
        <v>509</v>
      </c>
      <c r="BX8" s="221">
        <f>BW8</f>
        <v>509</v>
      </c>
      <c r="BY8" s="265">
        <v>222</v>
      </c>
      <c r="BZ8" s="265">
        <v>365</v>
      </c>
      <c r="CA8" s="265">
        <v>186</v>
      </c>
      <c r="CB8" s="265">
        <v>184</v>
      </c>
      <c r="CC8" s="221">
        <f>CB8</f>
        <v>184</v>
      </c>
      <c r="CD8" s="265">
        <v>181</v>
      </c>
      <c r="CE8" s="265">
        <v>461</v>
      </c>
      <c r="CF8" s="265">
        <v>133</v>
      </c>
      <c r="CG8" s="265">
        <v>238</v>
      </c>
      <c r="CH8" s="221">
        <f>CG8</f>
        <v>238</v>
      </c>
      <c r="CI8" s="265">
        <v>247</v>
      </c>
      <c r="CJ8" s="265">
        <v>768</v>
      </c>
      <c r="CK8" s="265">
        <v>590</v>
      </c>
      <c r="CL8" s="265">
        <v>563</v>
      </c>
      <c r="CM8" s="221">
        <f>CL8</f>
        <v>563</v>
      </c>
      <c r="CN8" s="708">
        <f ca="1">IF(Switch="Y",CN147,CM8)</f>
        <v>508.02631845250716</v>
      </c>
      <c r="CO8" s="708">
        <f ca="1">IF(Switch="Y",CO147,CN8)</f>
        <v>712.28602136398672</v>
      </c>
      <c r="CP8" s="708">
        <f ca="1">IF(Switch="Y",CP147,CO8)</f>
        <v>740.97549917369292</v>
      </c>
      <c r="CQ8" s="708">
        <f ca="1">IF(Switch="Y",CQ147,CP8)</f>
        <v>574.67555942532442</v>
      </c>
      <c r="CR8" s="221">
        <f ca="1">CQ8</f>
        <v>574.67555942532442</v>
      </c>
      <c r="CS8" s="708">
        <f ca="1">IF(Switch="Y",CS147,CR8)</f>
        <v>310.88494895668333</v>
      </c>
      <c r="CT8" s="708">
        <f ca="1">IF(Switch="Y",CT147,CS8)</f>
        <v>474.61248303849931</v>
      </c>
      <c r="CU8" s="708">
        <f ca="1">IF(Switch="Y",CU147,CT8)</f>
        <v>500.16083743763676</v>
      </c>
      <c r="CV8" s="708">
        <f ca="1">IF(Switch="Y",CV147,CU8)</f>
        <v>714.23774281568853</v>
      </c>
      <c r="CW8" s="221">
        <f ca="1">CV8</f>
        <v>714.23774281568853</v>
      </c>
      <c r="CX8" s="708">
        <f ca="1">IF(Switch="Y",CX147,CW8)</f>
        <v>283.07015564062908</v>
      </c>
      <c r="CY8" s="708">
        <f ca="1">IF(Switch="Y",CY147,CX8)</f>
        <v>336.79526973413726</v>
      </c>
      <c r="CZ8" s="708">
        <f ca="1">IF(Switch="Y",CZ147,CY8)</f>
        <v>453.3926388405722</v>
      </c>
      <c r="DA8" s="708">
        <f ca="1">IF(Switch="Y",DA147,CZ8)</f>
        <v>255.53769257557096</v>
      </c>
      <c r="DB8" s="221">
        <f ca="1">DA8</f>
        <v>255.53769257557096</v>
      </c>
      <c r="DC8" s="9"/>
      <c r="DJ8" s="1282"/>
    </row>
    <row r="9" spans="1:114" hidden="1" outlineLevel="1">
      <c r="A9" s="1"/>
      <c r="B9" s="264" t="s">
        <v>382</v>
      </c>
      <c r="C9" s="166"/>
      <c r="D9" s="874"/>
      <c r="E9" s="201">
        <f>E11-E10</f>
        <v>260.84899999999999</v>
      </c>
      <c r="F9" s="201">
        <f>F11-F10</f>
        <v>362.76100000000002</v>
      </c>
      <c r="G9" s="166"/>
      <c r="H9" s="166"/>
      <c r="I9" s="166"/>
      <c r="J9" s="708">
        <f>J11-J10</f>
        <v>433.93200000000002</v>
      </c>
      <c r="K9" s="201">
        <f t="shared" si="18"/>
        <v>433.93200000000002</v>
      </c>
      <c r="L9" s="166"/>
      <c r="M9" s="166"/>
      <c r="N9" s="166"/>
      <c r="O9" s="708">
        <f>O11-O10</f>
        <v>473.55200000000002</v>
      </c>
      <c r="P9" s="201">
        <f t="shared" si="19"/>
        <v>473.55200000000002</v>
      </c>
      <c r="Q9" s="708"/>
      <c r="R9" s="708">
        <f>R11-R10</f>
        <v>496.56700000000001</v>
      </c>
      <c r="S9" s="708">
        <f>S11-S10</f>
        <v>590.84300000000007</v>
      </c>
      <c r="T9" s="708">
        <f>T11-T10</f>
        <v>662.774</v>
      </c>
      <c r="U9" s="201">
        <f t="shared" si="20"/>
        <v>662.774</v>
      </c>
      <c r="V9" s="708">
        <f>V11-V10</f>
        <v>787.77499999999998</v>
      </c>
      <c r="W9" s="708">
        <f>W11-W10</f>
        <v>755.82900000000006</v>
      </c>
      <c r="X9" s="708">
        <f>X11-X10</f>
        <v>860.23</v>
      </c>
      <c r="Y9" s="708">
        <f>Y11-Y10</f>
        <v>883.35500000000002</v>
      </c>
      <c r="Z9" s="201">
        <f t="shared" si="21"/>
        <v>883.35500000000002</v>
      </c>
      <c r="AA9" s="708">
        <f>AA11-AA10</f>
        <v>902.89900000000011</v>
      </c>
      <c r="AB9" s="708">
        <f>AB11-AB10</f>
        <v>914.95699999999999</v>
      </c>
      <c r="AC9" s="708">
        <f>AC11-AC10</f>
        <v>962.14799999999991</v>
      </c>
      <c r="AD9" s="708">
        <f>AD11-AD10</f>
        <v>1002.053</v>
      </c>
      <c r="AE9" s="201">
        <f t="shared" si="22"/>
        <v>1002.053</v>
      </c>
      <c r="AF9" s="708">
        <f>AF11-AF10</f>
        <v>1039.914</v>
      </c>
      <c r="AG9" s="708">
        <f>AG11-AG10</f>
        <v>1078.4639999999999</v>
      </c>
      <c r="AH9" s="708">
        <f>AH11-AH10</f>
        <v>1206.4639999999999</v>
      </c>
      <c r="AI9" s="708">
        <f>AI11-AI10</f>
        <v>1252.549</v>
      </c>
      <c r="AJ9" s="201">
        <f t="shared" si="23"/>
        <v>1252.549</v>
      </c>
      <c r="AK9" s="708">
        <f>AK11-AK10</f>
        <v>1314.8509999999999</v>
      </c>
      <c r="AL9" s="708">
        <f>AL11-AL10</f>
        <v>1374.9960000000001</v>
      </c>
      <c r="AM9" s="708">
        <f>AM11-AM10</f>
        <v>2831.1750000000002</v>
      </c>
      <c r="AN9" s="708">
        <f>AN11-AN10</f>
        <v>2567.3140000000003</v>
      </c>
      <c r="AO9" s="201">
        <f t="shared" si="24"/>
        <v>2567.3140000000003</v>
      </c>
      <c r="AP9" s="708">
        <f>AP11-AP10</f>
        <v>2662.424</v>
      </c>
      <c r="AQ9" s="708">
        <f>AQ11-AQ10</f>
        <v>2656.5129999999999</v>
      </c>
      <c r="AR9" s="708">
        <f>AR11-AR10</f>
        <v>2752.1030000000001</v>
      </c>
      <c r="AS9" s="708">
        <f>AS11-AS10</f>
        <v>2716.8590000000004</v>
      </c>
      <c r="AT9" s="201">
        <f t="shared" si="25"/>
        <v>2716.8590000000004</v>
      </c>
      <c r="AU9" s="708">
        <f>AU11-AU10</f>
        <v>2838.7530000000002</v>
      </c>
      <c r="AV9" s="708">
        <f>AV11-AV10</f>
        <v>2932.6210000000001</v>
      </c>
      <c r="AW9" s="708">
        <f>AW11-AW10</f>
        <v>3043.6350000000002</v>
      </c>
      <c r="AX9" s="708">
        <f>AX11-AX10</f>
        <v>3035.0910000000003</v>
      </c>
      <c r="AY9" s="201">
        <f t="shared" ref="AY9:AY16" si="26">AX9</f>
        <v>3035.0910000000003</v>
      </c>
      <c r="AZ9" s="708">
        <f>AZ11-AZ10</f>
        <v>3159.3360000000002</v>
      </c>
      <c r="BA9" s="708">
        <f>BA11-BA10</f>
        <v>3175.0060000000003</v>
      </c>
      <c r="BB9" s="708">
        <f>BB11-BB10</f>
        <v>3205.5549999999998</v>
      </c>
      <c r="BC9" s="708">
        <f>BC11-BC10</f>
        <v>3353.74</v>
      </c>
      <c r="BD9" s="201">
        <f t="shared" ref="BD9:BD16" si="27">BC9</f>
        <v>3353.74</v>
      </c>
      <c r="BE9" s="708">
        <f>BE11-BE10</f>
        <v>3466.0569999999998</v>
      </c>
      <c r="BF9" s="708">
        <f>BF11-BF10</f>
        <v>3585.808</v>
      </c>
      <c r="BG9" s="166">
        <f>BG11-BG10</f>
        <v>3613.1279999999997</v>
      </c>
      <c r="BH9" s="166">
        <f>BH11-BH10</f>
        <v>3725.5010000000002</v>
      </c>
      <c r="BI9" s="201">
        <f>BH9</f>
        <v>3725.5010000000002</v>
      </c>
      <c r="BJ9" s="708">
        <f>BJ11-BJ10</f>
        <v>4015.627</v>
      </c>
      <c r="BK9" s="708">
        <f>BK11-BK10</f>
        <v>4160.3429999999998</v>
      </c>
      <c r="BL9" s="166">
        <f>BL11-BL10</f>
        <v>4290.3050000000003</v>
      </c>
      <c r="BM9" s="166">
        <f>BM11-BM10</f>
        <v>4269.2539999999999</v>
      </c>
      <c r="BN9" s="201">
        <f>BM9</f>
        <v>4269.2539999999999</v>
      </c>
      <c r="BO9" s="708">
        <f>BO11-BO10</f>
        <v>4473.4269999999997</v>
      </c>
      <c r="BP9" s="708">
        <f>BP11-BP10</f>
        <v>4477.8770000000004</v>
      </c>
      <c r="BQ9" s="708">
        <f>BQ11-BQ10</f>
        <v>4689.1859999999997</v>
      </c>
      <c r="BR9" s="708">
        <f>BR11-BR10</f>
        <v>4801.74</v>
      </c>
      <c r="BS9" s="221"/>
      <c r="BT9" s="708"/>
      <c r="BU9" s="708">
        <f>BU11-BU10</f>
        <v>6616</v>
      </c>
      <c r="BV9" s="708"/>
      <c r="BW9" s="708"/>
      <c r="BX9" s="221"/>
      <c r="BY9" s="708"/>
      <c r="BZ9" s="708">
        <f>BZ11-BZ10</f>
        <v>7264</v>
      </c>
      <c r="CA9" s="708">
        <f>CA11-CA10</f>
        <v>7511</v>
      </c>
      <c r="CB9" s="708">
        <f>CB11-CB10</f>
        <v>7722</v>
      </c>
      <c r="CC9" s="221"/>
      <c r="CD9" s="708">
        <f>CD11-CD10</f>
        <v>7774</v>
      </c>
      <c r="CE9" s="708">
        <f>CE11-CE10</f>
        <v>6911</v>
      </c>
      <c r="CF9" s="708">
        <f>CF11-CF10</f>
        <v>6933</v>
      </c>
      <c r="CG9" s="708">
        <f>CG11-CG10</f>
        <v>6949</v>
      </c>
      <c r="CH9" s="221"/>
      <c r="CI9" s="708">
        <f>CI11-CI10</f>
        <v>6893</v>
      </c>
      <c r="CJ9" s="708">
        <f>CJ11-CJ10</f>
        <v>6559</v>
      </c>
      <c r="CK9" s="708">
        <f>CK11-CK10</f>
        <v>6426</v>
      </c>
      <c r="CL9" s="708">
        <f>CL11-CL10</f>
        <v>6254</v>
      </c>
      <c r="CM9" s="221"/>
      <c r="CN9" s="192"/>
      <c r="CO9" s="192"/>
      <c r="CP9" s="192"/>
      <c r="CQ9" s="192"/>
      <c r="CR9" s="221"/>
      <c r="CS9" s="192"/>
      <c r="CT9" s="192"/>
      <c r="CU9" s="192"/>
      <c r="CV9" s="192"/>
      <c r="CW9" s="221"/>
      <c r="CX9" s="192"/>
      <c r="CY9" s="192"/>
      <c r="CZ9" s="192"/>
      <c r="DA9" s="192"/>
      <c r="DB9" s="221"/>
      <c r="DC9" s="9"/>
    </row>
    <row r="10" spans="1:114" hidden="1" outlineLevel="1">
      <c r="A10" s="9"/>
      <c r="B10" s="264" t="s">
        <v>383</v>
      </c>
      <c r="C10" s="353"/>
      <c r="D10" s="406"/>
      <c r="E10" s="352">
        <v>-34.499000000000002</v>
      </c>
      <c r="F10" s="352">
        <v>-52.935000000000002</v>
      </c>
      <c r="G10" s="353"/>
      <c r="H10" s="353"/>
      <c r="I10" s="353"/>
      <c r="J10" s="353">
        <v>-63.88</v>
      </c>
      <c r="K10" s="354">
        <f t="shared" si="18"/>
        <v>-63.88</v>
      </c>
      <c r="L10" s="353"/>
      <c r="M10" s="353"/>
      <c r="N10" s="353"/>
      <c r="O10" s="353">
        <v>-73.11</v>
      </c>
      <c r="P10" s="354">
        <f t="shared" si="19"/>
        <v>-73.11</v>
      </c>
      <c r="Q10" s="353"/>
      <c r="R10" s="353">
        <v>-85.481999999999999</v>
      </c>
      <c r="S10" s="353">
        <v>-98.721000000000004</v>
      </c>
      <c r="T10" s="353">
        <v>-103.67700000000001</v>
      </c>
      <c r="U10" s="354">
        <f t="shared" si="20"/>
        <v>-103.67700000000001</v>
      </c>
      <c r="V10" s="353">
        <v>-203.9</v>
      </c>
      <c r="W10" s="353">
        <v>-203.45099999999999</v>
      </c>
      <c r="X10" s="353">
        <v>-282.32</v>
      </c>
      <c r="Y10" s="353">
        <v>-286.09399999999999</v>
      </c>
      <c r="Z10" s="354">
        <f t="shared" si="21"/>
        <v>-286.09399999999999</v>
      </c>
      <c r="AA10" s="353">
        <v>-296.358</v>
      </c>
      <c r="AB10" s="353">
        <v>-300.31299999999999</v>
      </c>
      <c r="AC10" s="353">
        <v>-332.286</v>
      </c>
      <c r="AD10" s="353">
        <v>-346.024</v>
      </c>
      <c r="AE10" s="354">
        <f t="shared" si="22"/>
        <v>-346.024</v>
      </c>
      <c r="AF10" s="353">
        <v>-340.84699999999998</v>
      </c>
      <c r="AG10" s="353">
        <v>-350.77600000000001</v>
      </c>
      <c r="AH10" s="353">
        <v>-460.92599999999999</v>
      </c>
      <c r="AI10" s="353">
        <v>-478.565</v>
      </c>
      <c r="AJ10" s="354">
        <f t="shared" si="23"/>
        <v>-478.565</v>
      </c>
      <c r="AK10" s="353">
        <v>-497.35399999999998</v>
      </c>
      <c r="AL10" s="353">
        <v>-498.47300000000001</v>
      </c>
      <c r="AM10" s="353">
        <v>-1001.57</v>
      </c>
      <c r="AN10" s="353">
        <v>-1033.5160000000001</v>
      </c>
      <c r="AO10" s="354">
        <f t="shared" si="24"/>
        <v>-1033.5160000000001</v>
      </c>
      <c r="AP10" s="353">
        <v>-1036.7660000000001</v>
      </c>
      <c r="AQ10" s="353">
        <v>-1052.8109999999999</v>
      </c>
      <c r="AR10" s="353">
        <v>-1109.2829999999999</v>
      </c>
      <c r="AS10" s="353">
        <v>-1102.9000000000001</v>
      </c>
      <c r="AT10" s="354">
        <f t="shared" si="25"/>
        <v>-1102.9000000000001</v>
      </c>
      <c r="AU10" s="353">
        <v>-1194.8340000000001</v>
      </c>
      <c r="AV10" s="353">
        <v>-1274.6980000000001</v>
      </c>
      <c r="AW10" s="353">
        <v>-1367.29</v>
      </c>
      <c r="AX10" s="353">
        <f>+-1417.188</f>
        <v>-1417.1880000000001</v>
      </c>
      <c r="AY10" s="354">
        <f t="shared" si="26"/>
        <v>-1417.1880000000001</v>
      </c>
      <c r="AZ10" s="353">
        <v>-1447.229</v>
      </c>
      <c r="BA10" s="353">
        <v>-1493.2070000000001</v>
      </c>
      <c r="BB10" s="353">
        <v>-1554.1489999999999</v>
      </c>
      <c r="BC10" s="353">
        <v>-1639.1980000000001</v>
      </c>
      <c r="BD10" s="354">
        <f t="shared" si="27"/>
        <v>-1639.1980000000001</v>
      </c>
      <c r="BE10" s="353">
        <v>-1699.9349999999999</v>
      </c>
      <c r="BF10" s="353">
        <v>-1793.404</v>
      </c>
      <c r="BG10" s="353">
        <v>-1840.0029999999999</v>
      </c>
      <c r="BH10" s="353">
        <v>-1891.3340000000001</v>
      </c>
      <c r="BI10" s="354">
        <f>BH10</f>
        <v>-1891.3340000000001</v>
      </c>
      <c r="BJ10" s="353">
        <v>-1996.09</v>
      </c>
      <c r="BK10" s="353">
        <v>-2105.0509999999999</v>
      </c>
      <c r="BL10" s="353">
        <v>-2199.0880000000002</v>
      </c>
      <c r="BM10" s="353">
        <v>-2201.875</v>
      </c>
      <c r="BN10" s="354">
        <f>BM10</f>
        <v>-2201.875</v>
      </c>
      <c r="BO10" s="355">
        <v>-2258.2289999999998</v>
      </c>
      <c r="BP10" s="355">
        <v>-2304.8130000000001</v>
      </c>
      <c r="BQ10" s="355">
        <v>-2390.567</v>
      </c>
      <c r="BR10" s="355">
        <v>-2448.4319999999998</v>
      </c>
      <c r="BS10" s="357">
        <f>+BR10</f>
        <v>-2448.4319999999998</v>
      </c>
      <c r="BT10" s="355">
        <v>-3437</v>
      </c>
      <c r="BU10" s="355">
        <v>-3495</v>
      </c>
      <c r="BV10" s="355">
        <v>-3517</v>
      </c>
      <c r="BW10" s="355">
        <v>-3504</v>
      </c>
      <c r="BX10" s="357">
        <f>+BW10</f>
        <v>-3504</v>
      </c>
      <c r="BY10" s="355">
        <v>-3628</v>
      </c>
      <c r="BZ10" s="355">
        <v>-3773</v>
      </c>
      <c r="CA10" s="355">
        <v>-3825</v>
      </c>
      <c r="CB10" s="355">
        <v>-4111</v>
      </c>
      <c r="CC10" s="357">
        <f>+CB10</f>
        <v>-4111</v>
      </c>
      <c r="CD10" s="355">
        <v>-4051</v>
      </c>
      <c r="CE10" s="355">
        <v>-3732</v>
      </c>
      <c r="CF10" s="355">
        <v>-3754</v>
      </c>
      <c r="CG10" s="355">
        <v>-3773</v>
      </c>
      <c r="CH10" s="357"/>
      <c r="CI10" s="355">
        <v>-3729</v>
      </c>
      <c r="CJ10" s="355">
        <v>-3620</v>
      </c>
      <c r="CK10" s="355">
        <v>-3538</v>
      </c>
      <c r="CL10" s="355">
        <v>-3870</v>
      </c>
      <c r="CM10" s="357"/>
      <c r="CN10" s="355"/>
      <c r="CO10" s="356"/>
      <c r="CP10" s="356"/>
      <c r="CQ10" s="356"/>
      <c r="CR10" s="357"/>
      <c r="CS10" s="355"/>
      <c r="CT10" s="356"/>
      <c r="CU10" s="356"/>
      <c r="CV10" s="356"/>
      <c r="CW10" s="357"/>
      <c r="CX10" s="355"/>
      <c r="CY10" s="356"/>
      <c r="CZ10" s="356"/>
      <c r="DA10" s="356"/>
      <c r="DB10" s="357"/>
      <c r="DC10" s="9"/>
    </row>
    <row r="11" spans="1:114" collapsed="1">
      <c r="A11" s="1"/>
      <c r="B11" s="9" t="s">
        <v>384</v>
      </c>
      <c r="C11" s="202"/>
      <c r="D11" s="891"/>
      <c r="E11" s="213">
        <v>226.35</v>
      </c>
      <c r="F11" s="213">
        <v>309.82600000000002</v>
      </c>
      <c r="G11" s="265">
        <v>313.11700000000002</v>
      </c>
      <c r="H11" s="265">
        <v>316.49900000000002</v>
      </c>
      <c r="I11" s="265">
        <v>334.53800000000001</v>
      </c>
      <c r="J11" s="265">
        <v>370.05200000000002</v>
      </c>
      <c r="K11" s="201">
        <f t="shared" si="18"/>
        <v>370.05200000000002</v>
      </c>
      <c r="L11" s="265">
        <v>408.83699999999999</v>
      </c>
      <c r="M11" s="265">
        <v>375.84199999999998</v>
      </c>
      <c r="N11" s="265">
        <v>390.77499999999998</v>
      </c>
      <c r="O11" s="265">
        <v>400.44200000000001</v>
      </c>
      <c r="P11" s="201">
        <f t="shared" si="19"/>
        <v>400.44200000000001</v>
      </c>
      <c r="Q11" s="265">
        <v>464.79599999999999</v>
      </c>
      <c r="R11" s="265">
        <v>411.08499999999998</v>
      </c>
      <c r="S11" s="265">
        <v>492.12200000000001</v>
      </c>
      <c r="T11" s="265">
        <v>559.09699999999998</v>
      </c>
      <c r="U11" s="201">
        <f t="shared" si="20"/>
        <v>559.09699999999998</v>
      </c>
      <c r="V11" s="265">
        <v>583.875</v>
      </c>
      <c r="W11" s="265">
        <v>552.37800000000004</v>
      </c>
      <c r="X11" s="265">
        <v>577.91</v>
      </c>
      <c r="Y11" s="265">
        <v>597.26099999999997</v>
      </c>
      <c r="Z11" s="201">
        <f t="shared" si="21"/>
        <v>597.26099999999997</v>
      </c>
      <c r="AA11" s="265">
        <v>606.54100000000005</v>
      </c>
      <c r="AB11" s="265">
        <v>614.64400000000001</v>
      </c>
      <c r="AC11" s="265">
        <v>629.86199999999997</v>
      </c>
      <c r="AD11" s="265">
        <v>656.029</v>
      </c>
      <c r="AE11" s="201">
        <f t="shared" si="22"/>
        <v>656.029</v>
      </c>
      <c r="AF11" s="265">
        <v>699.06700000000001</v>
      </c>
      <c r="AG11" s="265">
        <v>727.68799999999999</v>
      </c>
      <c r="AH11" s="265">
        <v>745.53800000000001</v>
      </c>
      <c r="AI11" s="265">
        <v>773.98400000000004</v>
      </c>
      <c r="AJ11" s="201">
        <f t="shared" si="23"/>
        <v>773.98400000000004</v>
      </c>
      <c r="AK11" s="265">
        <v>817.49699999999996</v>
      </c>
      <c r="AL11" s="265">
        <v>876.52300000000002</v>
      </c>
      <c r="AM11" s="265">
        <v>1829.605</v>
      </c>
      <c r="AN11" s="265">
        <v>1533.798</v>
      </c>
      <c r="AO11" s="201">
        <f t="shared" si="24"/>
        <v>1533.798</v>
      </c>
      <c r="AP11" s="265">
        <v>1625.6579999999999</v>
      </c>
      <c r="AQ11" s="265">
        <v>1603.702</v>
      </c>
      <c r="AR11" s="265">
        <v>1642.82</v>
      </c>
      <c r="AS11" s="265">
        <v>1613.9590000000001</v>
      </c>
      <c r="AT11" s="201">
        <f t="shared" si="25"/>
        <v>1613.9590000000001</v>
      </c>
      <c r="AU11" s="265">
        <v>1643.9190000000001</v>
      </c>
      <c r="AV11" s="265">
        <v>1657.923</v>
      </c>
      <c r="AW11" s="265">
        <v>1676.345</v>
      </c>
      <c r="AX11" s="265">
        <v>1617.903</v>
      </c>
      <c r="AY11" s="201">
        <f t="shared" si="26"/>
        <v>1617.903</v>
      </c>
      <c r="AZ11" s="265">
        <v>1712.107</v>
      </c>
      <c r="BA11" s="265">
        <v>1681.799</v>
      </c>
      <c r="BB11" s="265">
        <v>1651.4059999999999</v>
      </c>
      <c r="BC11" s="265">
        <v>1714.5419999999999</v>
      </c>
      <c r="BD11" s="201">
        <f t="shared" si="27"/>
        <v>1714.5419999999999</v>
      </c>
      <c r="BE11" s="265">
        <v>1766.1220000000001</v>
      </c>
      <c r="BF11" s="265">
        <v>1792.404</v>
      </c>
      <c r="BG11" s="265">
        <v>1773.125</v>
      </c>
      <c r="BH11" s="265">
        <v>1834.1669999999999</v>
      </c>
      <c r="BI11" s="201">
        <f t="shared" ref="BI11:BI16" si="28">+BH11</f>
        <v>1834.1669999999999</v>
      </c>
      <c r="BJ11" s="265">
        <v>2019.537</v>
      </c>
      <c r="BK11" s="265">
        <v>2055.2919999999999</v>
      </c>
      <c r="BL11" s="265">
        <v>2091.2170000000001</v>
      </c>
      <c r="BM11" s="265">
        <v>2067.3789999999999</v>
      </c>
      <c r="BN11" s="201">
        <f t="shared" ref="BN11:BN16" si="29">+BM11</f>
        <v>2067.3789999999999</v>
      </c>
      <c r="BO11" s="267">
        <v>2215.1979999999999</v>
      </c>
      <c r="BP11" s="267">
        <v>2173.0639999999999</v>
      </c>
      <c r="BQ11" s="267">
        <v>2298.6190000000001</v>
      </c>
      <c r="BR11" s="267">
        <v>2353.308</v>
      </c>
      <c r="BS11" s="221">
        <f t="shared" ref="BS11:BS16" si="30">+BR11</f>
        <v>2353.308</v>
      </c>
      <c r="BT11" s="267">
        <v>3129</v>
      </c>
      <c r="BU11" s="267">
        <v>3121</v>
      </c>
      <c r="BV11" s="267">
        <v>3266</v>
      </c>
      <c r="BW11" s="267">
        <v>3409</v>
      </c>
      <c r="BX11" s="221">
        <f t="shared" ref="BX11:BX16" si="31">+BW11</f>
        <v>3409</v>
      </c>
      <c r="BY11" s="267">
        <v>3606</v>
      </c>
      <c r="BZ11" s="267">
        <v>3491</v>
      </c>
      <c r="CA11" s="267">
        <v>3686</v>
      </c>
      <c r="CB11" s="267">
        <v>3611</v>
      </c>
      <c r="CC11" s="221">
        <f t="shared" ref="CC11:CC16" si="32">+CB11</f>
        <v>3611</v>
      </c>
      <c r="CD11" s="267">
        <v>3723</v>
      </c>
      <c r="CE11" s="267">
        <v>3179</v>
      </c>
      <c r="CF11" s="267">
        <v>3179</v>
      </c>
      <c r="CG11" s="267">
        <v>3176</v>
      </c>
      <c r="CH11" s="221">
        <f t="shared" ref="CH11:CH16" si="33">+CG11</f>
        <v>3176</v>
      </c>
      <c r="CI11" s="267">
        <v>3164</v>
      </c>
      <c r="CJ11" s="267">
        <v>2939</v>
      </c>
      <c r="CK11" s="267">
        <v>2888</v>
      </c>
      <c r="CL11" s="267">
        <v>2384</v>
      </c>
      <c r="CM11" s="221">
        <f t="shared" ref="CM11:CM16" si="34">+CL11</f>
        <v>2384</v>
      </c>
      <c r="CN11" s="266">
        <f ca="1">CN72*IS!CN8/IS!CN6</f>
        <v>2515.2429286929196</v>
      </c>
      <c r="CO11" s="266">
        <f ca="1">CO72*IS!CO8/IS!CO6</f>
        <v>2324.4184452335594</v>
      </c>
      <c r="CP11" s="266">
        <f ca="1">CP72*IS!CP8/IS!CP6</f>
        <v>2301.3814322434705</v>
      </c>
      <c r="CQ11" s="266">
        <f ca="1">CQ72*IS!CQ8/IS!CQ6</f>
        <v>2611.8688624498654</v>
      </c>
      <c r="CR11" s="221">
        <f t="shared" ref="CR11:CR16" ca="1" si="35">+CQ11</f>
        <v>2611.8688624498654</v>
      </c>
      <c r="CS11" s="266">
        <f ca="1">CS72*IS!CS8/IS!CS6</f>
        <v>2537.6369062342519</v>
      </c>
      <c r="CT11" s="266">
        <f ca="1">CT72*IS!CT8/IS!CT6</f>
        <v>2241.440920399938</v>
      </c>
      <c r="CU11" s="266">
        <f ca="1">CU72*IS!CU8/IS!CU6</f>
        <v>2117.4183952462631</v>
      </c>
      <c r="CV11" s="266">
        <f ca="1">CV72*IS!CV8/IS!CV6</f>
        <v>2255.3272007459482</v>
      </c>
      <c r="CW11" s="221">
        <f t="shared" ref="CW11:CW16" ca="1" si="36">+CV11</f>
        <v>2255.3272007459482</v>
      </c>
      <c r="CX11" s="266">
        <f ca="1">CX72*IS!CX8/IS!CX6</f>
        <v>2346.9276576010861</v>
      </c>
      <c r="CY11" s="266">
        <f ca="1">CY72*IS!CY8/IS!CY6</f>
        <v>2255.5061526600466</v>
      </c>
      <c r="CZ11" s="266">
        <f ca="1">CZ72*IS!CZ8/IS!CZ6</f>
        <v>2113.1403797692146</v>
      </c>
      <c r="DA11" s="266">
        <f ca="1">DA72*IS!DA8/IS!DA6</f>
        <v>2403.2872518666509</v>
      </c>
      <c r="DB11" s="221">
        <f t="shared" ref="DB11:DB16" ca="1" si="37">+DA11</f>
        <v>2403.2872518666509</v>
      </c>
      <c r="DC11" s="9"/>
      <c r="DJ11" s="1281"/>
    </row>
    <row r="12" spans="1:114">
      <c r="A12" s="1"/>
      <c r="B12" s="9" t="s">
        <v>188</v>
      </c>
      <c r="C12" s="202"/>
      <c r="D12" s="891"/>
      <c r="E12" s="213">
        <v>32.134</v>
      </c>
      <c r="F12" s="213">
        <v>39.679000000000002</v>
      </c>
      <c r="G12" s="265">
        <v>40.247</v>
      </c>
      <c r="H12" s="265">
        <v>41.86</v>
      </c>
      <c r="I12" s="265">
        <v>42.668999999999997</v>
      </c>
      <c r="J12" s="265">
        <v>47.466000000000001</v>
      </c>
      <c r="K12" s="201">
        <f t="shared" si="18"/>
        <v>47.466000000000001</v>
      </c>
      <c r="L12" s="265">
        <v>49.996000000000002</v>
      </c>
      <c r="M12" s="265">
        <v>53.802</v>
      </c>
      <c r="N12" s="265">
        <v>56.476999999999997</v>
      </c>
      <c r="O12" s="265">
        <v>60.456000000000003</v>
      </c>
      <c r="P12" s="201">
        <f t="shared" si="19"/>
        <v>60.456000000000003</v>
      </c>
      <c r="Q12" s="265">
        <v>63.774999999999999</v>
      </c>
      <c r="R12" s="265">
        <v>64.176000000000002</v>
      </c>
      <c r="S12" s="265">
        <v>70.536000000000001</v>
      </c>
      <c r="T12" s="265">
        <v>77.418000000000006</v>
      </c>
      <c r="U12" s="201">
        <f t="shared" si="20"/>
        <v>77.418000000000006</v>
      </c>
      <c r="V12" s="265">
        <v>79.227000000000004</v>
      </c>
      <c r="W12" s="265">
        <v>82.808000000000007</v>
      </c>
      <c r="X12" s="265">
        <v>85.653000000000006</v>
      </c>
      <c r="Y12" s="265">
        <v>88.266999999999996</v>
      </c>
      <c r="Z12" s="201">
        <f t="shared" si="21"/>
        <v>88.266999999999996</v>
      </c>
      <c r="AA12" s="265">
        <v>86.313999999999993</v>
      </c>
      <c r="AB12" s="265">
        <v>88.635000000000005</v>
      </c>
      <c r="AC12" s="265">
        <v>90.213999999999999</v>
      </c>
      <c r="AD12" s="265">
        <v>95.2</v>
      </c>
      <c r="AE12" s="201">
        <f t="shared" si="22"/>
        <v>95.2</v>
      </c>
      <c r="AF12" s="265">
        <v>94.864000000000004</v>
      </c>
      <c r="AG12" s="265">
        <v>102.874</v>
      </c>
      <c r="AH12" s="265">
        <v>106.718</v>
      </c>
      <c r="AI12" s="265">
        <v>113.32</v>
      </c>
      <c r="AJ12" s="201">
        <f t="shared" si="23"/>
        <v>113.32</v>
      </c>
      <c r="AK12" s="265">
        <v>113.315</v>
      </c>
      <c r="AL12" s="265">
        <v>121.964</v>
      </c>
      <c r="AM12" s="265">
        <v>274.45499999999998</v>
      </c>
      <c r="AN12" s="265">
        <v>262.90300000000002</v>
      </c>
      <c r="AO12" s="201">
        <f t="shared" si="24"/>
        <v>262.90300000000002</v>
      </c>
      <c r="AP12" s="265">
        <v>264.06099999999998</v>
      </c>
      <c r="AQ12" s="265">
        <v>266.40300000000002</v>
      </c>
      <c r="AR12" s="265">
        <v>267.32</v>
      </c>
      <c r="AS12" s="265">
        <v>272.93700000000001</v>
      </c>
      <c r="AT12" s="201">
        <f t="shared" si="25"/>
        <v>272.93700000000001</v>
      </c>
      <c r="AU12" s="265">
        <v>275.38</v>
      </c>
      <c r="AV12" s="265">
        <v>286.59399999999999</v>
      </c>
      <c r="AW12" s="265">
        <v>289.14499999999998</v>
      </c>
      <c r="AX12" s="265">
        <v>302.60899999999998</v>
      </c>
      <c r="AY12" s="201">
        <f t="shared" si="26"/>
        <v>302.60899999999998</v>
      </c>
      <c r="AZ12" s="265">
        <v>303.53100000000001</v>
      </c>
      <c r="BA12" s="265">
        <v>307.37299999999999</v>
      </c>
      <c r="BB12" s="265">
        <v>313.77</v>
      </c>
      <c r="BC12" s="265">
        <v>329.11399999999998</v>
      </c>
      <c r="BD12" s="201">
        <f t="shared" si="27"/>
        <v>329.11399999999998</v>
      </c>
      <c r="BE12" s="265">
        <v>329.27499999999998</v>
      </c>
      <c r="BF12" s="265">
        <v>342.26799999999997</v>
      </c>
      <c r="BG12" s="265">
        <v>336.46199999999999</v>
      </c>
      <c r="BH12" s="265">
        <v>346.61099999999999</v>
      </c>
      <c r="BI12" s="201">
        <f t="shared" si="28"/>
        <v>346.61099999999999</v>
      </c>
      <c r="BJ12" s="265">
        <v>354.07400000000001</v>
      </c>
      <c r="BK12" s="265">
        <v>358.59699999999998</v>
      </c>
      <c r="BL12" s="265">
        <v>364.97199999999998</v>
      </c>
      <c r="BM12" s="265">
        <v>368.17200000000003</v>
      </c>
      <c r="BN12" s="201">
        <f t="shared" si="29"/>
        <v>368.17200000000003</v>
      </c>
      <c r="BO12" s="267">
        <v>371.05500000000001</v>
      </c>
      <c r="BP12" s="267">
        <v>375.44</v>
      </c>
      <c r="BQ12" s="267">
        <v>377.90899999999999</v>
      </c>
      <c r="BR12" s="267">
        <v>377.005</v>
      </c>
      <c r="BS12" s="221">
        <f t="shared" si="30"/>
        <v>377.005</v>
      </c>
      <c r="BT12" s="267">
        <v>529</v>
      </c>
      <c r="BU12" s="267">
        <v>550</v>
      </c>
      <c r="BV12" s="267">
        <v>553</v>
      </c>
      <c r="BW12" s="267">
        <v>557</v>
      </c>
      <c r="BX12" s="221">
        <f t="shared" si="31"/>
        <v>557</v>
      </c>
      <c r="BY12" s="267">
        <v>561</v>
      </c>
      <c r="BZ12" s="267">
        <v>568</v>
      </c>
      <c r="CA12" s="267">
        <v>572</v>
      </c>
      <c r="CB12" s="267">
        <v>580</v>
      </c>
      <c r="CC12" s="221">
        <f t="shared" si="32"/>
        <v>580</v>
      </c>
      <c r="CD12" s="267">
        <v>587</v>
      </c>
      <c r="CE12" s="267">
        <v>527</v>
      </c>
      <c r="CF12" s="267">
        <v>527</v>
      </c>
      <c r="CG12" s="267">
        <v>480</v>
      </c>
      <c r="CH12" s="221">
        <f t="shared" si="33"/>
        <v>480</v>
      </c>
      <c r="CI12" s="267">
        <v>458</v>
      </c>
      <c r="CJ12" s="267">
        <v>438</v>
      </c>
      <c r="CK12" s="267">
        <v>445</v>
      </c>
      <c r="CL12" s="267">
        <v>444</v>
      </c>
      <c r="CM12" s="221">
        <f t="shared" si="34"/>
        <v>444</v>
      </c>
      <c r="CN12" s="266">
        <f ca="1">CN74/IS!CN6*(IS!CN12+IS!CN13)</f>
        <v>370.35291115522028</v>
      </c>
      <c r="CO12" s="266">
        <f ca="1">CO74/IS!CO6*(IS!CO12+IS!CO13)</f>
        <v>403.0804725745773</v>
      </c>
      <c r="CP12" s="266">
        <f ca="1">CP74/IS!CP6*(IS!CP12+IS!CP13)</f>
        <v>370.99855847373186</v>
      </c>
      <c r="CQ12" s="266">
        <f ca="1">CQ74/IS!CQ6*(IS!CQ12+IS!CQ13)</f>
        <v>421.54662795505499</v>
      </c>
      <c r="CR12" s="221">
        <f t="shared" ca="1" si="35"/>
        <v>421.54662795505499</v>
      </c>
      <c r="CS12" s="266">
        <f ca="1">CS74/IS!CS6*(IS!CS12+IS!CS13)</f>
        <v>391.24128301730889</v>
      </c>
      <c r="CT12" s="266">
        <f ca="1">CT74/IS!CT6*(IS!CT12+IS!CT13)</f>
        <v>367.8077676361936</v>
      </c>
      <c r="CU12" s="266">
        <f ca="1">CU74/IS!CU6*(IS!CU12+IS!CU13)</f>
        <v>303.23029471545544</v>
      </c>
      <c r="CV12" s="266">
        <f ca="1">CV74/IS!CV6*(IS!CV12+IS!CV13)</f>
        <v>304.73981136479244</v>
      </c>
      <c r="CW12" s="221">
        <f t="shared" ca="1" si="36"/>
        <v>304.73981136479244</v>
      </c>
      <c r="CX12" s="266">
        <f ca="1">CX74/IS!CX6*(IS!CX12+IS!CX13)</f>
        <v>311.52143530610647</v>
      </c>
      <c r="CY12" s="266">
        <f ca="1">CY74/IS!CY6*(IS!CY12+IS!CY13)</f>
        <v>297.59914199154173</v>
      </c>
      <c r="CZ12" s="266">
        <f ca="1">CZ74/IS!CZ6*(IS!CZ12+IS!CZ13)</f>
        <v>278.8149184099268</v>
      </c>
      <c r="DA12" s="266">
        <f ca="1">DA74/IS!DA6*(IS!DA12+IS!DA13)</f>
        <v>319.95461979568091</v>
      </c>
      <c r="DB12" s="221">
        <f t="shared" ca="1" si="37"/>
        <v>319.95461979568091</v>
      </c>
      <c r="DC12" s="9"/>
      <c r="DJ12" s="1281"/>
    </row>
    <row r="13" spans="1:114">
      <c r="A13" s="1"/>
      <c r="B13" s="9" t="s">
        <v>385</v>
      </c>
      <c r="C13" s="202"/>
      <c r="D13" s="891"/>
      <c r="E13" s="213">
        <v>0</v>
      </c>
      <c r="F13" s="213">
        <v>0</v>
      </c>
      <c r="G13" s="202">
        <v>0</v>
      </c>
      <c r="H13" s="202">
        <v>0</v>
      </c>
      <c r="I13" s="202">
        <v>0</v>
      </c>
      <c r="J13" s="202">
        <v>0</v>
      </c>
      <c r="K13" s="201">
        <f t="shared" si="18"/>
        <v>0</v>
      </c>
      <c r="L13" s="202">
        <v>0</v>
      </c>
      <c r="M13" s="202">
        <v>0</v>
      </c>
      <c r="N13" s="202">
        <v>0</v>
      </c>
      <c r="O13" s="202">
        <v>0</v>
      </c>
      <c r="P13" s="201">
        <f t="shared" si="19"/>
        <v>0</v>
      </c>
      <c r="Q13" s="202">
        <v>0</v>
      </c>
      <c r="R13" s="202">
        <v>0</v>
      </c>
      <c r="S13" s="202">
        <v>0</v>
      </c>
      <c r="T13" s="202">
        <v>0</v>
      </c>
      <c r="U13" s="201">
        <f t="shared" si="20"/>
        <v>0</v>
      </c>
      <c r="V13" s="202">
        <v>0</v>
      </c>
      <c r="W13" s="202">
        <v>0</v>
      </c>
      <c r="X13" s="202">
        <v>0</v>
      </c>
      <c r="Y13" s="202">
        <v>0</v>
      </c>
      <c r="Z13" s="201">
        <f t="shared" si="21"/>
        <v>0</v>
      </c>
      <c r="AA13" s="202">
        <v>0</v>
      </c>
      <c r="AB13" s="202">
        <v>0</v>
      </c>
      <c r="AC13" s="202">
        <v>0</v>
      </c>
      <c r="AD13" s="202">
        <v>0</v>
      </c>
      <c r="AE13" s="201">
        <f t="shared" si="22"/>
        <v>0</v>
      </c>
      <c r="AF13" s="202">
        <v>0</v>
      </c>
      <c r="AG13" s="202">
        <v>0</v>
      </c>
      <c r="AH13" s="202">
        <v>0</v>
      </c>
      <c r="AI13" s="202">
        <v>0</v>
      </c>
      <c r="AJ13" s="201">
        <f t="shared" si="23"/>
        <v>0</v>
      </c>
      <c r="AK13" s="202">
        <v>0</v>
      </c>
      <c r="AL13" s="202">
        <v>0</v>
      </c>
      <c r="AM13" s="202">
        <v>0</v>
      </c>
      <c r="AN13" s="202">
        <v>99.417000000000002</v>
      </c>
      <c r="AO13" s="201">
        <f t="shared" si="24"/>
        <v>99.417000000000002</v>
      </c>
      <c r="AP13" s="265">
        <v>110.16</v>
      </c>
      <c r="AQ13" s="265">
        <v>0</v>
      </c>
      <c r="AR13" s="265">
        <v>0</v>
      </c>
      <c r="AS13" s="265">
        <v>92.71</v>
      </c>
      <c r="AT13" s="201">
        <f t="shared" si="25"/>
        <v>92.71</v>
      </c>
      <c r="AU13" s="265">
        <v>0</v>
      </c>
      <c r="AV13" s="265">
        <v>0</v>
      </c>
      <c r="AW13" s="265">
        <v>0</v>
      </c>
      <c r="AX13" s="265">
        <v>45.414000000000001</v>
      </c>
      <c r="AY13" s="201">
        <f t="shared" si="26"/>
        <v>45.414000000000001</v>
      </c>
      <c r="AZ13" s="265">
        <v>13.865</v>
      </c>
      <c r="BA13" s="265">
        <v>75.997</v>
      </c>
      <c r="BB13" s="265">
        <v>100.86799999999999</v>
      </c>
      <c r="BC13" s="265">
        <v>118.464</v>
      </c>
      <c r="BD13" s="201">
        <f t="shared" si="27"/>
        <v>118.464</v>
      </c>
      <c r="BE13" s="265">
        <v>65.03</v>
      </c>
      <c r="BF13" s="265">
        <v>0</v>
      </c>
      <c r="BG13" s="265">
        <v>0</v>
      </c>
      <c r="BH13" s="265">
        <v>101.389</v>
      </c>
      <c r="BI13" s="201">
        <f t="shared" si="28"/>
        <v>101.389</v>
      </c>
      <c r="BJ13" s="265">
        <v>49.768999999999998</v>
      </c>
      <c r="BK13" s="265">
        <v>16.721</v>
      </c>
      <c r="BL13" s="265">
        <v>20.233000000000001</v>
      </c>
      <c r="BM13" s="265">
        <v>49.887999999999998</v>
      </c>
      <c r="BN13" s="201">
        <f t="shared" si="29"/>
        <v>49.887999999999998</v>
      </c>
      <c r="BO13" s="267">
        <v>0</v>
      </c>
      <c r="BP13" s="267">
        <v>35.697000000000003</v>
      </c>
      <c r="BQ13" s="267">
        <v>26.73</v>
      </c>
      <c r="BR13" s="267">
        <v>107.077</v>
      </c>
      <c r="BS13" s="221">
        <f t="shared" si="30"/>
        <v>107.077</v>
      </c>
      <c r="BT13" s="267">
        <v>220</v>
      </c>
      <c r="BU13" s="267">
        <v>193</v>
      </c>
      <c r="BV13" s="267">
        <v>123</v>
      </c>
      <c r="BW13" s="267">
        <v>30</v>
      </c>
      <c r="BX13" s="221">
        <f t="shared" si="31"/>
        <v>30</v>
      </c>
      <c r="BY13" s="267">
        <v>0</v>
      </c>
      <c r="BZ13" s="267">
        <v>0</v>
      </c>
      <c r="CA13" s="267">
        <v>0</v>
      </c>
      <c r="CB13" s="267">
        <v>27</v>
      </c>
      <c r="CC13" s="221">
        <f t="shared" si="32"/>
        <v>27</v>
      </c>
      <c r="CD13" s="267">
        <v>2</v>
      </c>
      <c r="CE13" s="267">
        <v>33</v>
      </c>
      <c r="CF13" s="267">
        <v>33</v>
      </c>
      <c r="CG13" s="267">
        <v>17</v>
      </c>
      <c r="CH13" s="221">
        <f t="shared" si="33"/>
        <v>17</v>
      </c>
      <c r="CI13" s="267">
        <v>17</v>
      </c>
      <c r="CJ13" s="267">
        <v>22</v>
      </c>
      <c r="CK13" s="267">
        <v>22</v>
      </c>
      <c r="CL13" s="267">
        <v>17</v>
      </c>
      <c r="CM13" s="221">
        <f t="shared" si="34"/>
        <v>17</v>
      </c>
      <c r="CN13" s="266">
        <f>CM13</f>
        <v>17</v>
      </c>
      <c r="CO13" s="266">
        <f t="shared" ref="CO13:CQ13" si="38">CN13</f>
        <v>17</v>
      </c>
      <c r="CP13" s="266">
        <f t="shared" si="38"/>
        <v>17</v>
      </c>
      <c r="CQ13" s="266">
        <f t="shared" si="38"/>
        <v>17</v>
      </c>
      <c r="CR13" s="221">
        <f t="shared" si="35"/>
        <v>17</v>
      </c>
      <c r="CS13" s="266">
        <f t="shared" ref="CS13:CV13" si="39">CR13</f>
        <v>17</v>
      </c>
      <c r="CT13" s="266">
        <f t="shared" si="39"/>
        <v>17</v>
      </c>
      <c r="CU13" s="266">
        <f t="shared" si="39"/>
        <v>17</v>
      </c>
      <c r="CV13" s="266">
        <f t="shared" si="39"/>
        <v>17</v>
      </c>
      <c r="CW13" s="221">
        <f t="shared" si="36"/>
        <v>17</v>
      </c>
      <c r="CX13" s="266">
        <f t="shared" ref="CX13" si="40">CW13</f>
        <v>17</v>
      </c>
      <c r="CY13" s="266">
        <f t="shared" ref="CY13" si="41">CX13</f>
        <v>17</v>
      </c>
      <c r="CZ13" s="266">
        <f t="shared" ref="CZ13" si="42">CY13</f>
        <v>17</v>
      </c>
      <c r="DA13" s="266">
        <f t="shared" ref="DA13" si="43">CZ13</f>
        <v>17</v>
      </c>
      <c r="DB13" s="221">
        <f t="shared" si="37"/>
        <v>17</v>
      </c>
      <c r="DC13" s="9"/>
      <c r="DJ13" s="1281"/>
    </row>
    <row r="14" spans="1:114" hidden="1" outlineLevel="1">
      <c r="A14" s="1"/>
      <c r="B14" s="9" t="s">
        <v>387</v>
      </c>
      <c r="C14" s="202"/>
      <c r="D14" s="891"/>
      <c r="E14" s="213">
        <v>5.8620000000000001</v>
      </c>
      <c r="F14" s="213">
        <v>2.2330000000000001</v>
      </c>
      <c r="G14" s="265">
        <v>2.2330000000000001</v>
      </c>
      <c r="H14" s="265">
        <v>2.2330000000000001</v>
      </c>
      <c r="I14" s="265">
        <v>2.2330000000000001</v>
      </c>
      <c r="J14" s="265">
        <v>33.411000000000001</v>
      </c>
      <c r="K14" s="201">
        <f t="shared" si="18"/>
        <v>33.411000000000001</v>
      </c>
      <c r="L14" s="265">
        <v>33.411000000000001</v>
      </c>
      <c r="M14" s="265">
        <v>33.411000000000001</v>
      </c>
      <c r="N14" s="265">
        <v>33.411000000000001</v>
      </c>
      <c r="O14" s="265">
        <v>15.683999999999999</v>
      </c>
      <c r="P14" s="201">
        <f t="shared" si="19"/>
        <v>15.683999999999999</v>
      </c>
      <c r="Q14" s="265">
        <v>15.683999999999999</v>
      </c>
      <c r="R14" s="265">
        <v>15.683999999999999</v>
      </c>
      <c r="S14" s="265">
        <v>15.683999999999999</v>
      </c>
      <c r="T14" s="265">
        <v>0</v>
      </c>
      <c r="U14" s="201">
        <f t="shared" si="20"/>
        <v>0</v>
      </c>
      <c r="V14" s="265">
        <v>0</v>
      </c>
      <c r="W14" s="265">
        <v>0</v>
      </c>
      <c r="X14" s="265">
        <v>0</v>
      </c>
      <c r="Y14" s="265">
        <v>0</v>
      </c>
      <c r="Z14" s="201">
        <f t="shared" si="21"/>
        <v>0</v>
      </c>
      <c r="AA14" s="265">
        <v>0</v>
      </c>
      <c r="AB14" s="265">
        <v>0</v>
      </c>
      <c r="AC14" s="265">
        <v>0</v>
      </c>
      <c r="AD14" s="265">
        <v>4.1280000000000001</v>
      </c>
      <c r="AE14" s="201">
        <f t="shared" si="22"/>
        <v>4.1280000000000001</v>
      </c>
      <c r="AF14" s="265">
        <v>4.1280000000000001</v>
      </c>
      <c r="AG14" s="265">
        <v>4.1280000000000001</v>
      </c>
      <c r="AH14" s="265">
        <v>4.1280000000000001</v>
      </c>
      <c r="AI14" s="265">
        <v>13.249000000000001</v>
      </c>
      <c r="AJ14" s="201">
        <f t="shared" si="23"/>
        <v>13.249000000000001</v>
      </c>
      <c r="AK14" s="265">
        <v>13.249000000000001</v>
      </c>
      <c r="AL14" s="265">
        <v>13.249000000000001</v>
      </c>
      <c r="AM14" s="265">
        <v>53.156999999999996</v>
      </c>
      <c r="AN14" s="265">
        <v>113.741</v>
      </c>
      <c r="AO14" s="201">
        <f t="shared" si="24"/>
        <v>113.741</v>
      </c>
      <c r="AP14" s="265">
        <v>113.741</v>
      </c>
      <c r="AQ14" s="265">
        <v>88.531000000000006</v>
      </c>
      <c r="AR14" s="265">
        <v>111.101</v>
      </c>
      <c r="AS14" s="265">
        <v>91.875</v>
      </c>
      <c r="AT14" s="201">
        <f>AS14</f>
        <v>91.875</v>
      </c>
      <c r="AU14" s="265">
        <v>91.875</v>
      </c>
      <c r="AV14" s="265">
        <v>91.875</v>
      </c>
      <c r="AW14" s="265">
        <v>91.875</v>
      </c>
      <c r="AX14" s="265">
        <v>80.713999999999999</v>
      </c>
      <c r="AY14" s="201">
        <f>AX14</f>
        <v>80.713999999999999</v>
      </c>
      <c r="AZ14" s="265">
        <v>78.962000000000003</v>
      </c>
      <c r="BA14" s="265">
        <v>78.962000000000003</v>
      </c>
      <c r="BB14" s="265">
        <v>78.620999999999995</v>
      </c>
      <c r="BC14" s="265">
        <v>115.819</v>
      </c>
      <c r="BD14" s="201">
        <f>BC14</f>
        <v>115.819</v>
      </c>
      <c r="BE14" s="265">
        <v>115.819</v>
      </c>
      <c r="BF14" s="265">
        <v>115.819</v>
      </c>
      <c r="BG14" s="265">
        <v>115.819</v>
      </c>
      <c r="BH14" s="265">
        <v>89.796999999999997</v>
      </c>
      <c r="BI14" s="201">
        <f>+BH14</f>
        <v>89.796999999999997</v>
      </c>
      <c r="BJ14" s="265">
        <v>89.796999999999997</v>
      </c>
      <c r="BK14" s="265">
        <v>89.796999999999997</v>
      </c>
      <c r="BL14" s="265">
        <v>89.796999999999997</v>
      </c>
      <c r="BM14" s="265">
        <v>117.045</v>
      </c>
      <c r="BN14" s="201">
        <f>+BM14</f>
        <v>117.045</v>
      </c>
      <c r="BO14" s="267">
        <v>117.045</v>
      </c>
      <c r="BP14" s="267">
        <v>117.045</v>
      </c>
      <c r="BQ14" s="267">
        <v>117.045</v>
      </c>
      <c r="BR14" s="267">
        <v>101.372</v>
      </c>
      <c r="BS14" s="221">
        <f>+BR14</f>
        <v>101.372</v>
      </c>
      <c r="BT14" s="267">
        <v>294</v>
      </c>
      <c r="BU14" s="267">
        <v>317</v>
      </c>
      <c r="BV14" s="267">
        <v>318</v>
      </c>
      <c r="BW14" s="267">
        <v>341</v>
      </c>
      <c r="BX14" s="221">
        <f>+BW14</f>
        <v>341</v>
      </c>
      <c r="BY14" s="267">
        <v>341</v>
      </c>
      <c r="BZ14" s="267">
        <v>345</v>
      </c>
      <c r="CA14" s="267">
        <v>345</v>
      </c>
      <c r="CB14" s="267">
        <v>0</v>
      </c>
      <c r="CC14" s="221">
        <f>+CB14</f>
        <v>0</v>
      </c>
      <c r="CD14" s="267">
        <f>+CB14</f>
        <v>0</v>
      </c>
      <c r="CE14" s="267">
        <f>+CD14</f>
        <v>0</v>
      </c>
      <c r="CF14" s="267">
        <f>+CE14</f>
        <v>0</v>
      </c>
      <c r="CG14" s="267">
        <f>+CF14</f>
        <v>0</v>
      </c>
      <c r="CH14" s="221">
        <f>+CG14</f>
        <v>0</v>
      </c>
      <c r="CI14" s="267">
        <f>+CG14</f>
        <v>0</v>
      </c>
      <c r="CJ14" s="267">
        <f>+CH14</f>
        <v>0</v>
      </c>
      <c r="CK14" s="267">
        <f>+CJ14</f>
        <v>0</v>
      </c>
      <c r="CL14" s="267"/>
      <c r="CM14" s="221">
        <f t="shared" si="34"/>
        <v>0</v>
      </c>
      <c r="CN14" s="266">
        <f>+CM14</f>
        <v>0</v>
      </c>
      <c r="CO14" s="266">
        <f t="shared" ref="CO14:CQ14" si="44">+CN14</f>
        <v>0</v>
      </c>
      <c r="CP14" s="266">
        <f t="shared" si="44"/>
        <v>0</v>
      </c>
      <c r="CQ14" s="266">
        <f t="shared" si="44"/>
        <v>0</v>
      </c>
      <c r="CR14" s="221">
        <f t="shared" si="35"/>
        <v>0</v>
      </c>
      <c r="CS14" s="266">
        <f t="shared" ref="CS14:CV14" si="45">+CR14</f>
        <v>0</v>
      </c>
      <c r="CT14" s="266">
        <f t="shared" si="45"/>
        <v>0</v>
      </c>
      <c r="CU14" s="266">
        <f t="shared" si="45"/>
        <v>0</v>
      </c>
      <c r="CV14" s="266">
        <f t="shared" si="45"/>
        <v>0</v>
      </c>
      <c r="CW14" s="221">
        <f t="shared" si="36"/>
        <v>0</v>
      </c>
      <c r="CX14" s="266">
        <f t="shared" ref="CX14" si="46">+CW14</f>
        <v>0</v>
      </c>
      <c r="CY14" s="266">
        <f t="shared" ref="CY14" si="47">+CX14</f>
        <v>0</v>
      </c>
      <c r="CZ14" s="266">
        <f t="shared" ref="CZ14" si="48">+CY14</f>
        <v>0</v>
      </c>
      <c r="DA14" s="266">
        <f t="shared" ref="DA14" si="49">+CZ14</f>
        <v>0</v>
      </c>
      <c r="DB14" s="221">
        <f t="shared" si="37"/>
        <v>0</v>
      </c>
      <c r="DC14" s="9"/>
    </row>
    <row r="15" spans="1:114" collapsed="1">
      <c r="A15" s="1"/>
      <c r="B15" s="9" t="s">
        <v>386</v>
      </c>
      <c r="C15" s="202"/>
      <c r="D15" s="891"/>
      <c r="E15" s="213">
        <v>9.8460000000000001</v>
      </c>
      <c r="F15" s="213">
        <v>19.989000000000001</v>
      </c>
      <c r="G15" s="265">
        <v>17.733000000000001</v>
      </c>
      <c r="H15" s="265">
        <v>14.169</v>
      </c>
      <c r="I15" s="265">
        <v>13.180999999999999</v>
      </c>
      <c r="J15" s="265">
        <v>14.846</v>
      </c>
      <c r="K15" s="201">
        <f t="shared" si="18"/>
        <v>14.846</v>
      </c>
      <c r="L15" s="265">
        <v>17.113</v>
      </c>
      <c r="M15" s="265">
        <v>16.506</v>
      </c>
      <c r="N15" s="265">
        <v>25.06</v>
      </c>
      <c r="O15" s="265">
        <v>22.106999999999999</v>
      </c>
      <c r="P15" s="201">
        <f t="shared" si="19"/>
        <v>22.106999999999999</v>
      </c>
      <c r="Q15" s="265">
        <v>20.58</v>
      </c>
      <c r="R15" s="265">
        <v>25.59</v>
      </c>
      <c r="S15" s="265">
        <v>25.416</v>
      </c>
      <c r="T15" s="265">
        <v>24.314</v>
      </c>
      <c r="U15" s="201">
        <f t="shared" si="20"/>
        <v>24.314</v>
      </c>
      <c r="V15" s="265">
        <v>24.088000000000001</v>
      </c>
      <c r="W15" s="265">
        <v>32.32</v>
      </c>
      <c r="X15" s="265">
        <v>35.029000000000003</v>
      </c>
      <c r="Y15" s="265">
        <v>30.483000000000001</v>
      </c>
      <c r="Z15" s="201">
        <f t="shared" si="21"/>
        <v>30.483000000000001</v>
      </c>
      <c r="AA15" s="265">
        <v>29.76</v>
      </c>
      <c r="AB15" s="265">
        <v>29.652999999999999</v>
      </c>
      <c r="AC15" s="265">
        <v>36.531999999999996</v>
      </c>
      <c r="AD15" s="265">
        <v>33.377000000000002</v>
      </c>
      <c r="AE15" s="201">
        <f t="shared" si="22"/>
        <v>33.377000000000002</v>
      </c>
      <c r="AF15" s="265">
        <v>32.445</v>
      </c>
      <c r="AG15" s="265">
        <v>31.187999999999999</v>
      </c>
      <c r="AH15" s="265">
        <v>36.844999999999999</v>
      </c>
      <c r="AI15" s="265">
        <v>32.384999999999998</v>
      </c>
      <c r="AJ15" s="201">
        <f t="shared" si="23"/>
        <v>32.384999999999998</v>
      </c>
      <c r="AK15" s="265">
        <v>35.712000000000003</v>
      </c>
      <c r="AL15" s="265">
        <v>36.286999999999999</v>
      </c>
      <c r="AM15" s="265">
        <v>200.374</v>
      </c>
      <c r="AN15" s="265">
        <f>70.339</f>
        <v>70.338999999999999</v>
      </c>
      <c r="AO15" s="201">
        <f t="shared" si="24"/>
        <v>70.338999999999999</v>
      </c>
      <c r="AP15" s="265">
        <f>83.852</f>
        <v>83.852000000000004</v>
      </c>
      <c r="AQ15" s="265">
        <v>89.724000000000004</v>
      </c>
      <c r="AR15" s="265">
        <v>91.239000000000004</v>
      </c>
      <c r="AS15" s="265">
        <v>72.900000000000006</v>
      </c>
      <c r="AT15" s="201">
        <f t="shared" si="25"/>
        <v>72.900000000000006</v>
      </c>
      <c r="AU15" s="265">
        <v>88.716999999999999</v>
      </c>
      <c r="AV15" s="265">
        <v>94.597999999999999</v>
      </c>
      <c r="AW15" s="265">
        <v>91.191999999999993</v>
      </c>
      <c r="AX15" s="265">
        <v>89.474999999999994</v>
      </c>
      <c r="AY15" s="201">
        <f t="shared" si="26"/>
        <v>89.474999999999994</v>
      </c>
      <c r="AZ15" s="265">
        <v>98.103999999999999</v>
      </c>
      <c r="BA15" s="265">
        <v>98.78</v>
      </c>
      <c r="BB15" s="265">
        <v>99.65</v>
      </c>
      <c r="BC15" s="265">
        <v>100.754</v>
      </c>
      <c r="BD15" s="201">
        <f t="shared" si="27"/>
        <v>100.754</v>
      </c>
      <c r="BE15" s="265">
        <v>112.486</v>
      </c>
      <c r="BF15" s="265">
        <v>117.458</v>
      </c>
      <c r="BG15" s="265">
        <v>119.07299999999999</v>
      </c>
      <c r="BH15" s="265">
        <v>112.613</v>
      </c>
      <c r="BI15" s="201">
        <f t="shared" si="28"/>
        <v>112.613</v>
      </c>
      <c r="BJ15" s="265">
        <v>129.154</v>
      </c>
      <c r="BK15" s="265">
        <v>126.883</v>
      </c>
      <c r="BL15" s="265">
        <v>132.80699999999999</v>
      </c>
      <c r="BM15" s="265">
        <v>126.56100000000001</v>
      </c>
      <c r="BN15" s="201">
        <f t="shared" si="29"/>
        <v>126.56100000000001</v>
      </c>
      <c r="BO15" s="267">
        <v>142.36600000000001</v>
      </c>
      <c r="BP15" s="267">
        <v>133.524</v>
      </c>
      <c r="BQ15" s="267">
        <v>148.762</v>
      </c>
      <c r="BR15" s="267">
        <v>128.476</v>
      </c>
      <c r="BS15" s="221">
        <f t="shared" si="30"/>
        <v>128.476</v>
      </c>
      <c r="BT15" s="267">
        <v>204</v>
      </c>
      <c r="BU15" s="267">
        <v>203</v>
      </c>
      <c r="BV15" s="267">
        <v>213</v>
      </c>
      <c r="BW15" s="267">
        <v>192</v>
      </c>
      <c r="BX15" s="221">
        <f t="shared" si="31"/>
        <v>192</v>
      </c>
      <c r="BY15" s="267">
        <v>189</v>
      </c>
      <c r="BZ15" s="267">
        <v>216</v>
      </c>
      <c r="CA15" s="267">
        <v>215</v>
      </c>
      <c r="CB15" s="267">
        <v>197</v>
      </c>
      <c r="CC15" s="221">
        <f t="shared" si="32"/>
        <v>197</v>
      </c>
      <c r="CD15" s="267">
        <v>218</v>
      </c>
      <c r="CE15" s="267">
        <v>217</v>
      </c>
      <c r="CF15" s="267">
        <v>208</v>
      </c>
      <c r="CG15" s="267">
        <v>187</v>
      </c>
      <c r="CH15" s="221">
        <f t="shared" si="33"/>
        <v>187</v>
      </c>
      <c r="CI15" s="267">
        <v>218</v>
      </c>
      <c r="CJ15" s="267">
        <v>210</v>
      </c>
      <c r="CK15" s="267">
        <v>207</v>
      </c>
      <c r="CL15" s="267">
        <v>198</v>
      </c>
      <c r="CM15" s="221">
        <f t="shared" si="34"/>
        <v>198</v>
      </c>
      <c r="CN15" s="266">
        <f ca="1">CN76*(IS!CN11+IS!CN13+IS!CN14)*4</f>
        <v>179.70760673925659</v>
      </c>
      <c r="CO15" s="266">
        <f ca="1">CO76*(IS!CO11+IS!CO13+IS!CO14)*4</f>
        <v>169.05704490531107</v>
      </c>
      <c r="CP15" s="266">
        <f ca="1">CP76*(IS!CP11+IS!CP13+IS!CP14)*4</f>
        <v>172.49023773535896</v>
      </c>
      <c r="CQ15" s="266">
        <f ca="1">CQ76*(IS!CQ11+IS!CQ13+IS!CQ14)*4</f>
        <v>198.91350910167867</v>
      </c>
      <c r="CR15" s="221">
        <f t="shared" ca="1" si="35"/>
        <v>198.91350910167867</v>
      </c>
      <c r="CS15" s="266">
        <f ca="1">CS76*(IS!CS11+IS!CS13+IS!CS14)*4</f>
        <v>168.78744122156314</v>
      </c>
      <c r="CT15" s="266">
        <f ca="1">CT76*(IS!CT11+IS!CT13+IS!CT14)*4</f>
        <v>161.37526677167594</v>
      </c>
      <c r="CU15" s="266">
        <f ca="1">CU76*(IS!CU11+IS!CU13+IS!CU14)*4</f>
        <v>143.53799582163469</v>
      </c>
      <c r="CV15" s="266">
        <f ca="1">CV76*(IS!CV11+IS!CV13+IS!CV14)*4</f>
        <v>101.93594619472177</v>
      </c>
      <c r="CW15" s="221">
        <f t="shared" ca="1" si="36"/>
        <v>101.93594619472177</v>
      </c>
      <c r="CX15" s="266">
        <f ca="1">CX76*(IS!CX11+IS!CX13+IS!CX14)*4</f>
        <v>170.1627062914132</v>
      </c>
      <c r="CY15" s="266">
        <f ca="1">CY76*(IS!CY11+IS!CY13+IS!CY14)*4</f>
        <v>162.1259173117792</v>
      </c>
      <c r="CZ15" s="266">
        <f ca="1">CZ76*(IS!CZ11+IS!CZ13+IS!CZ14)*4</f>
        <v>144.35351899199452</v>
      </c>
      <c r="DA15" s="266">
        <f ca="1">DA76*(IS!DA11+IS!DA13+IS!DA14)*4</f>
        <v>164.39179404076526</v>
      </c>
      <c r="DB15" s="221">
        <f t="shared" ca="1" si="37"/>
        <v>164.39179404076526</v>
      </c>
      <c r="DC15" s="9"/>
      <c r="DJ15" s="1281"/>
    </row>
    <row r="16" spans="1:114">
      <c r="A16" s="1"/>
      <c r="B16" s="9" t="s">
        <v>388</v>
      </c>
      <c r="C16" s="353"/>
      <c r="D16" s="406"/>
      <c r="E16" s="352">
        <v>22.021999999999998</v>
      </c>
      <c r="F16" s="352">
        <v>23.11</v>
      </c>
      <c r="G16" s="353">
        <v>21.82</v>
      </c>
      <c r="H16" s="353">
        <v>15.33</v>
      </c>
      <c r="I16" s="353">
        <v>17.510000000000002</v>
      </c>
      <c r="J16" s="353">
        <v>20.398</v>
      </c>
      <c r="K16" s="354">
        <f t="shared" si="18"/>
        <v>20.398</v>
      </c>
      <c r="L16" s="353">
        <v>22.22</v>
      </c>
      <c r="M16" s="353">
        <v>18.253</v>
      </c>
      <c r="N16" s="353">
        <v>13.94</v>
      </c>
      <c r="O16" s="353">
        <v>16.193000000000001</v>
      </c>
      <c r="P16" s="354">
        <f t="shared" si="19"/>
        <v>16.193000000000001</v>
      </c>
      <c r="Q16" s="353">
        <v>17.431000000000001</v>
      </c>
      <c r="R16" s="353">
        <v>16.091999999999999</v>
      </c>
      <c r="S16" s="353">
        <v>19.16</v>
      </c>
      <c r="T16" s="353">
        <v>18.920000000000002</v>
      </c>
      <c r="U16" s="354">
        <f t="shared" si="20"/>
        <v>18.920000000000002</v>
      </c>
      <c r="V16" s="353">
        <v>16.695</v>
      </c>
      <c r="W16" s="353">
        <v>16.061</v>
      </c>
      <c r="X16" s="353">
        <v>19.641999999999999</v>
      </c>
      <c r="Y16" s="353">
        <v>16.940000000000001</v>
      </c>
      <c r="Z16" s="354">
        <f t="shared" si="21"/>
        <v>16.940000000000001</v>
      </c>
      <c r="AA16" s="353">
        <v>15.132</v>
      </c>
      <c r="AB16" s="353">
        <v>16.253</v>
      </c>
      <c r="AC16" s="353">
        <v>19.902999999999999</v>
      </c>
      <c r="AD16" s="353">
        <v>21.367000000000001</v>
      </c>
      <c r="AE16" s="354">
        <f t="shared" si="22"/>
        <v>21.367000000000001</v>
      </c>
      <c r="AF16" s="353">
        <v>53.454999999999998</v>
      </c>
      <c r="AG16" s="353">
        <v>49.607999999999997</v>
      </c>
      <c r="AH16" s="353">
        <v>55.286999999999999</v>
      </c>
      <c r="AI16" s="353">
        <v>47.88</v>
      </c>
      <c r="AJ16" s="354">
        <f t="shared" si="23"/>
        <v>47.88</v>
      </c>
      <c r="AK16" s="353">
        <v>49.353999999999999</v>
      </c>
      <c r="AL16" s="353">
        <v>62.933</v>
      </c>
      <c r="AM16" s="353">
        <v>233.33799999999999</v>
      </c>
      <c r="AN16" s="353">
        <v>339.82600000000002</v>
      </c>
      <c r="AO16" s="354">
        <f t="shared" si="24"/>
        <v>339.82600000000002</v>
      </c>
      <c r="AP16" s="353">
        <v>244.56700000000001</v>
      </c>
      <c r="AQ16" s="353">
        <v>191.226</v>
      </c>
      <c r="AR16" s="353">
        <v>197.78700000000001</v>
      </c>
      <c r="AS16" s="353">
        <v>240.01400000000001</v>
      </c>
      <c r="AT16" s="354">
        <f t="shared" si="25"/>
        <v>240.01400000000001</v>
      </c>
      <c r="AU16" s="353">
        <v>195.113</v>
      </c>
      <c r="AV16" s="353">
        <v>199.61600000000001</v>
      </c>
      <c r="AW16" s="353">
        <v>213.26</v>
      </c>
      <c r="AX16" s="353">
        <v>194.339</v>
      </c>
      <c r="AY16" s="354">
        <f t="shared" si="26"/>
        <v>194.339</v>
      </c>
      <c r="AZ16" s="353">
        <v>190.97499999999999</v>
      </c>
      <c r="BA16" s="353">
        <v>188.53800000000001</v>
      </c>
      <c r="BB16" s="353">
        <v>171.90600000000001</v>
      </c>
      <c r="BC16" s="353">
        <v>193.33099999999999</v>
      </c>
      <c r="BD16" s="354">
        <f t="shared" si="27"/>
        <v>193.33099999999999</v>
      </c>
      <c r="BE16" s="353">
        <v>176.54499999999999</v>
      </c>
      <c r="BF16" s="353">
        <v>175.10900000000001</v>
      </c>
      <c r="BG16" s="353">
        <v>225.73699999999999</v>
      </c>
      <c r="BH16" s="353">
        <v>231.64699999999999</v>
      </c>
      <c r="BI16" s="354">
        <f t="shared" si="28"/>
        <v>231.64699999999999</v>
      </c>
      <c r="BJ16" s="353">
        <v>328.84699999999998</v>
      </c>
      <c r="BK16" s="353">
        <v>234.76400000000001</v>
      </c>
      <c r="BL16" s="353">
        <v>267.73500000000001</v>
      </c>
      <c r="BM16" s="353">
        <v>302.28399999999999</v>
      </c>
      <c r="BN16" s="354">
        <f t="shared" si="29"/>
        <v>302.28399999999999</v>
      </c>
      <c r="BO16" s="355">
        <v>288.07100000000003</v>
      </c>
      <c r="BP16" s="355">
        <v>270.61099999999999</v>
      </c>
      <c r="BQ16" s="355">
        <v>333.61200000000002</v>
      </c>
      <c r="BR16" s="355">
        <v>307.322</v>
      </c>
      <c r="BS16" s="357">
        <f t="shared" si="30"/>
        <v>307.322</v>
      </c>
      <c r="BT16" s="355">
        <v>638</v>
      </c>
      <c r="BU16" s="355">
        <v>624</v>
      </c>
      <c r="BV16" s="355">
        <v>678</v>
      </c>
      <c r="BW16" s="355">
        <v>528</v>
      </c>
      <c r="BX16" s="357">
        <f t="shared" si="31"/>
        <v>528</v>
      </c>
      <c r="BY16" s="355">
        <v>507</v>
      </c>
      <c r="BZ16" s="355">
        <v>515</v>
      </c>
      <c r="CA16" s="355">
        <v>548</v>
      </c>
      <c r="CB16" s="355">
        <v>567</v>
      </c>
      <c r="CC16" s="357">
        <f t="shared" si="32"/>
        <v>567</v>
      </c>
      <c r="CD16" s="355">
        <v>545</v>
      </c>
      <c r="CE16" s="355">
        <v>425</v>
      </c>
      <c r="CF16" s="355">
        <v>461</v>
      </c>
      <c r="CG16" s="355">
        <v>568</v>
      </c>
      <c r="CH16" s="357">
        <f t="shared" si="33"/>
        <v>568</v>
      </c>
      <c r="CI16" s="355">
        <v>671</v>
      </c>
      <c r="CJ16" s="355">
        <v>678</v>
      </c>
      <c r="CK16" s="355">
        <v>526</v>
      </c>
      <c r="CL16" s="355">
        <v>462</v>
      </c>
      <c r="CM16" s="357">
        <f t="shared" si="34"/>
        <v>462</v>
      </c>
      <c r="CN16" s="356">
        <f>+CM16</f>
        <v>462</v>
      </c>
      <c r="CO16" s="356">
        <f t="shared" ref="CO16:CQ16" si="50">+CN16</f>
        <v>462</v>
      </c>
      <c r="CP16" s="356">
        <f t="shared" si="50"/>
        <v>462</v>
      </c>
      <c r="CQ16" s="356">
        <f t="shared" si="50"/>
        <v>462</v>
      </c>
      <c r="CR16" s="357">
        <f t="shared" si="35"/>
        <v>462</v>
      </c>
      <c r="CS16" s="356">
        <f t="shared" ref="CS16:CV16" si="51">+CR16</f>
        <v>462</v>
      </c>
      <c r="CT16" s="356">
        <f t="shared" si="51"/>
        <v>462</v>
      </c>
      <c r="CU16" s="356">
        <f t="shared" si="51"/>
        <v>462</v>
      </c>
      <c r="CV16" s="356">
        <f t="shared" si="51"/>
        <v>462</v>
      </c>
      <c r="CW16" s="357">
        <f t="shared" si="36"/>
        <v>462</v>
      </c>
      <c r="CX16" s="356">
        <f t="shared" ref="CX16" si="52">+CW16</f>
        <v>462</v>
      </c>
      <c r="CY16" s="356">
        <f t="shared" ref="CY16" si="53">+CX16</f>
        <v>462</v>
      </c>
      <c r="CZ16" s="356">
        <f t="shared" ref="CZ16" si="54">+CY16</f>
        <v>462</v>
      </c>
      <c r="DA16" s="356">
        <f t="shared" ref="DA16" si="55">+CZ16</f>
        <v>462</v>
      </c>
      <c r="DB16" s="357">
        <f t="shared" si="37"/>
        <v>462</v>
      </c>
      <c r="DC16" s="9"/>
      <c r="DJ16" s="1281"/>
    </row>
    <row r="17" spans="1:114">
      <c r="A17" s="1"/>
      <c r="B17" s="25" t="s">
        <v>389</v>
      </c>
      <c r="C17" s="158"/>
      <c r="D17" s="873"/>
      <c r="E17" s="168">
        <f>E8+SUM(E11:E16)</f>
        <v>300.49599999999998</v>
      </c>
      <c r="F17" s="168">
        <f t="shared" ref="F17:Z17" si="56">F8+SUM(F11:F16)</f>
        <v>408.577</v>
      </c>
      <c r="G17" s="872">
        <f t="shared" si="56"/>
        <v>418.36600000000004</v>
      </c>
      <c r="H17" s="872">
        <f t="shared" si="56"/>
        <v>425.83100000000002</v>
      </c>
      <c r="I17" s="872">
        <f t="shared" si="56"/>
        <v>427.83</v>
      </c>
      <c r="J17" s="872">
        <f t="shared" si="56"/>
        <v>494.55900000000008</v>
      </c>
      <c r="K17" s="168">
        <f t="shared" si="56"/>
        <v>494.55900000000008</v>
      </c>
      <c r="L17" s="872">
        <f t="shared" si="56"/>
        <v>555.27499999999998</v>
      </c>
      <c r="M17" s="872">
        <f t="shared" si="56"/>
        <v>517.83799999999997</v>
      </c>
      <c r="N17" s="872">
        <f t="shared" si="56"/>
        <v>637.19299999999998</v>
      </c>
      <c r="O17" s="872">
        <f t="shared" si="56"/>
        <v>647.72600000000011</v>
      </c>
      <c r="P17" s="168">
        <f t="shared" si="56"/>
        <v>647.72600000000011</v>
      </c>
      <c r="Q17" s="872">
        <f t="shared" si="56"/>
        <v>601.82900000000006</v>
      </c>
      <c r="R17" s="872">
        <f t="shared" si="56"/>
        <v>557.93299999999999</v>
      </c>
      <c r="S17" s="872">
        <f t="shared" si="56"/>
        <v>685.56000000000006</v>
      </c>
      <c r="T17" s="872">
        <f t="shared" si="56"/>
        <v>696.07999999999993</v>
      </c>
      <c r="U17" s="168">
        <f t="shared" si="56"/>
        <v>696.07999999999993</v>
      </c>
      <c r="V17" s="872">
        <f t="shared" si="56"/>
        <v>719.98500000000001</v>
      </c>
      <c r="W17" s="872">
        <f t="shared" si="56"/>
        <v>702.17200000000014</v>
      </c>
      <c r="X17" s="872">
        <f t="shared" si="56"/>
        <v>738.18600000000004</v>
      </c>
      <c r="Y17" s="872">
        <f t="shared" si="56"/>
        <v>815.44900000000007</v>
      </c>
      <c r="Z17" s="168">
        <f t="shared" si="56"/>
        <v>815.44900000000007</v>
      </c>
      <c r="AA17" s="872">
        <f t="shared" ref="AA17:AY17" si="57">AA8+SUM(AA11:AA16)</f>
        <v>956.19399999999996</v>
      </c>
      <c r="AB17" s="872">
        <f t="shared" si="57"/>
        <v>1021.549</v>
      </c>
      <c r="AC17" s="872">
        <f t="shared" si="57"/>
        <v>960.79100000000005</v>
      </c>
      <c r="AD17" s="872">
        <f t="shared" si="57"/>
        <v>914.20900000000006</v>
      </c>
      <c r="AE17" s="168">
        <f t="shared" si="57"/>
        <v>914.20900000000006</v>
      </c>
      <c r="AF17" s="872">
        <f t="shared" si="57"/>
        <v>995.9100000000002</v>
      </c>
      <c r="AG17" s="872">
        <f t="shared" si="57"/>
        <v>939.64300000000003</v>
      </c>
      <c r="AH17" s="872">
        <f t="shared" si="57"/>
        <v>961.96</v>
      </c>
      <c r="AI17" s="872">
        <f t="shared" si="57"/>
        <v>1021.3840000000001</v>
      </c>
      <c r="AJ17" s="168">
        <f t="shared" si="57"/>
        <v>1021.3840000000001</v>
      </c>
      <c r="AK17" s="872">
        <f t="shared" si="57"/>
        <v>1092.0049999999999</v>
      </c>
      <c r="AL17" s="872">
        <f t="shared" si="57"/>
        <v>1132.3130000000001</v>
      </c>
      <c r="AM17" s="872">
        <f t="shared" si="57"/>
        <v>2709.7840000000001</v>
      </c>
      <c r="AN17" s="872">
        <f t="shared" si="57"/>
        <v>2552.8979999999997</v>
      </c>
      <c r="AO17" s="168">
        <f t="shared" si="57"/>
        <v>2552.8979999999997</v>
      </c>
      <c r="AP17" s="872">
        <f t="shared" si="57"/>
        <v>2606.3919999999998</v>
      </c>
      <c r="AQ17" s="872">
        <f t="shared" si="57"/>
        <v>2503.6580000000004</v>
      </c>
      <c r="AR17" s="872">
        <f t="shared" si="57"/>
        <v>2652.1509999999998</v>
      </c>
      <c r="AS17" s="872">
        <f t="shared" si="57"/>
        <v>2605.0500000000006</v>
      </c>
      <c r="AT17" s="168">
        <f t="shared" si="57"/>
        <v>2605.0500000000006</v>
      </c>
      <c r="AU17" s="872">
        <f t="shared" si="57"/>
        <v>2827.136</v>
      </c>
      <c r="AV17" s="872">
        <f t="shared" si="57"/>
        <v>2599.431</v>
      </c>
      <c r="AW17" s="872">
        <f t="shared" si="57"/>
        <v>2794.6320000000001</v>
      </c>
      <c r="AX17" s="872">
        <f t="shared" si="57"/>
        <v>2674.9949999999999</v>
      </c>
      <c r="AY17" s="168">
        <f t="shared" si="57"/>
        <v>2674.9949999999999</v>
      </c>
      <c r="AZ17" s="872">
        <f t="shared" ref="AZ17:BQ17" si="58">AZ8+SUM(AZ11:AZ16)</f>
        <v>2877.6099999999997</v>
      </c>
      <c r="BA17" s="872">
        <f t="shared" si="58"/>
        <v>2980.203</v>
      </c>
      <c r="BB17" s="872">
        <f t="shared" si="58"/>
        <v>2983.9700000000003</v>
      </c>
      <c r="BC17" s="872">
        <f t="shared" si="58"/>
        <v>2871.1929999999998</v>
      </c>
      <c r="BD17" s="168">
        <f t="shared" si="58"/>
        <v>2871.1929999999998</v>
      </c>
      <c r="BE17" s="872">
        <f t="shared" si="58"/>
        <v>2835.9929999999999</v>
      </c>
      <c r="BF17" s="872">
        <f t="shared" si="58"/>
        <v>2734.49</v>
      </c>
      <c r="BG17" s="872">
        <f t="shared" si="58"/>
        <v>2836.5279999999998</v>
      </c>
      <c r="BH17" s="872">
        <f t="shared" si="58"/>
        <v>2846.0889999999999</v>
      </c>
      <c r="BI17" s="168">
        <f t="shared" si="58"/>
        <v>2846.0889999999999</v>
      </c>
      <c r="BJ17" s="872">
        <f t="shared" si="58"/>
        <v>3100.4759999999997</v>
      </c>
      <c r="BK17" s="872">
        <f t="shared" si="58"/>
        <v>2997.163</v>
      </c>
      <c r="BL17" s="872">
        <f t="shared" si="58"/>
        <v>3207.4110000000005</v>
      </c>
      <c r="BM17" s="872">
        <f t="shared" si="58"/>
        <v>3419.1420000000003</v>
      </c>
      <c r="BN17" s="168">
        <f t="shared" si="58"/>
        <v>3419.1420000000003</v>
      </c>
      <c r="BO17" s="653">
        <f t="shared" si="58"/>
        <v>3418.7829999999994</v>
      </c>
      <c r="BP17" s="653">
        <f t="shared" si="58"/>
        <v>3356.6079999999997</v>
      </c>
      <c r="BQ17" s="653">
        <f t="shared" si="58"/>
        <v>3446.2820000000006</v>
      </c>
      <c r="BR17" s="653">
        <f t="shared" ref="BR17:CC17" si="59">BR8+SUM(BR11:BR16)</f>
        <v>3747.9630000000006</v>
      </c>
      <c r="BS17" s="235">
        <f t="shared" si="59"/>
        <v>3747.9630000000006</v>
      </c>
      <c r="BT17" s="653">
        <f t="shared" si="59"/>
        <v>5627</v>
      </c>
      <c r="BU17" s="653">
        <f t="shared" si="59"/>
        <v>5397</v>
      </c>
      <c r="BV17" s="653">
        <f t="shared" si="59"/>
        <v>5372</v>
      </c>
      <c r="BW17" s="653">
        <f t="shared" si="59"/>
        <v>5566</v>
      </c>
      <c r="BX17" s="235">
        <f t="shared" si="59"/>
        <v>5566</v>
      </c>
      <c r="BY17" s="653">
        <f t="shared" si="59"/>
        <v>5426</v>
      </c>
      <c r="BZ17" s="653">
        <f t="shared" si="59"/>
        <v>5500</v>
      </c>
      <c r="CA17" s="653">
        <f t="shared" si="59"/>
        <v>5552</v>
      </c>
      <c r="CB17" s="653">
        <f t="shared" si="59"/>
        <v>5166</v>
      </c>
      <c r="CC17" s="235">
        <f t="shared" si="59"/>
        <v>5166</v>
      </c>
      <c r="CD17" s="653">
        <f t="shared" ref="CD17:CM17" si="60">CD8+SUM(CD11:CD16)</f>
        <v>5256</v>
      </c>
      <c r="CE17" s="653">
        <f t="shared" si="60"/>
        <v>4842</v>
      </c>
      <c r="CF17" s="653">
        <f t="shared" si="60"/>
        <v>4541</v>
      </c>
      <c r="CG17" s="653">
        <f t="shared" si="60"/>
        <v>4666</v>
      </c>
      <c r="CH17" s="235">
        <f t="shared" si="60"/>
        <v>4666</v>
      </c>
      <c r="CI17" s="653">
        <f t="shared" si="60"/>
        <v>4775</v>
      </c>
      <c r="CJ17" s="653">
        <f t="shared" ref="CJ17:CL17" si="61">CJ8+SUM(CJ11:CJ16)</f>
        <v>5055</v>
      </c>
      <c r="CK17" s="653">
        <f t="shared" si="61"/>
        <v>4678</v>
      </c>
      <c r="CL17" s="653">
        <f t="shared" si="61"/>
        <v>4068</v>
      </c>
      <c r="CM17" s="235">
        <f t="shared" si="60"/>
        <v>4068</v>
      </c>
      <c r="CN17" s="653">
        <f t="shared" ref="CN17:CQ17" ca="1" si="62">CN8+SUM(CN11:CN16)</f>
        <v>4052.3297650399036</v>
      </c>
      <c r="CO17" s="653">
        <f t="shared" ca="1" si="62"/>
        <v>4087.841984077435</v>
      </c>
      <c r="CP17" s="653">
        <f t="shared" ca="1" si="62"/>
        <v>4064.8457276262543</v>
      </c>
      <c r="CQ17" s="653">
        <f t="shared" ca="1" si="62"/>
        <v>4286.0045589319234</v>
      </c>
      <c r="CR17" s="235">
        <f t="shared" ref="CR17:CW17" ca="1" si="63">CR8+SUM(CR11:CR16)</f>
        <v>4286.0045589319234</v>
      </c>
      <c r="CS17" s="653">
        <f t="shared" ca="1" si="63"/>
        <v>3887.5505794298074</v>
      </c>
      <c r="CT17" s="653">
        <f t="shared" ca="1" si="63"/>
        <v>3724.2364378463067</v>
      </c>
      <c r="CU17" s="653">
        <f t="shared" ca="1" si="63"/>
        <v>3543.3475232209898</v>
      </c>
      <c r="CV17" s="653">
        <f t="shared" ca="1" si="63"/>
        <v>3855.2407011211508</v>
      </c>
      <c r="CW17" s="235">
        <f t="shared" ca="1" si="63"/>
        <v>3855.2407011211508</v>
      </c>
      <c r="CX17" s="653">
        <f t="shared" ref="CX17:DA17" ca="1" si="64">CX8+SUM(CX11:CX16)</f>
        <v>3590.681954839235</v>
      </c>
      <c r="CY17" s="653">
        <f t="shared" ca="1" si="64"/>
        <v>3531.026481697505</v>
      </c>
      <c r="CZ17" s="653">
        <f t="shared" ca="1" si="64"/>
        <v>3468.7014560117077</v>
      </c>
      <c r="DA17" s="653">
        <f t="shared" ca="1" si="64"/>
        <v>3622.1713582786679</v>
      </c>
      <c r="DB17" s="235">
        <f t="shared" ref="DB17" ca="1" si="65">DB8+SUM(DB11:DB16)</f>
        <v>3622.1713582786679</v>
      </c>
      <c r="DC17" s="9"/>
    </row>
    <row r="18" spans="1:114">
      <c r="A18" s="1"/>
      <c r="B18" s="9"/>
      <c r="C18" s="166"/>
      <c r="D18" s="874"/>
      <c r="E18" s="201"/>
      <c r="F18" s="201"/>
      <c r="G18" s="166"/>
      <c r="H18" s="166"/>
      <c r="I18" s="166"/>
      <c r="J18" s="166"/>
      <c r="K18" s="201"/>
      <c r="L18" s="166"/>
      <c r="M18" s="166"/>
      <c r="N18" s="166"/>
      <c r="O18" s="166"/>
      <c r="P18" s="201"/>
      <c r="Q18" s="166"/>
      <c r="R18" s="166"/>
      <c r="S18" s="166"/>
      <c r="T18" s="166"/>
      <c r="U18" s="201"/>
      <c r="V18" s="166"/>
      <c r="W18" s="166"/>
      <c r="X18" s="166"/>
      <c r="Y18" s="166"/>
      <c r="Z18" s="201"/>
      <c r="AA18" s="166"/>
      <c r="AB18" s="166"/>
      <c r="AC18" s="166"/>
      <c r="AD18" s="166"/>
      <c r="AE18" s="201"/>
      <c r="AF18" s="166"/>
      <c r="AG18" s="166"/>
      <c r="AH18" s="166"/>
      <c r="AI18" s="166"/>
      <c r="AJ18" s="201"/>
      <c r="AK18" s="166"/>
      <c r="AL18" s="166"/>
      <c r="AM18" s="166"/>
      <c r="AN18" s="166"/>
      <c r="AO18" s="201"/>
      <c r="AP18" s="166"/>
      <c r="AQ18" s="166"/>
      <c r="AR18" s="166"/>
      <c r="AS18" s="166"/>
      <c r="AT18" s="201"/>
      <c r="AU18" s="166"/>
      <c r="AV18" s="166"/>
      <c r="AW18" s="166"/>
      <c r="AX18" s="166"/>
      <c r="AY18" s="201"/>
      <c r="AZ18" s="166"/>
      <c r="BA18" s="166"/>
      <c r="BB18" s="166"/>
      <c r="BC18" s="166"/>
      <c r="BD18" s="201"/>
      <c r="BE18" s="166"/>
      <c r="BF18" s="166"/>
      <c r="BG18" s="166"/>
      <c r="BH18" s="166"/>
      <c r="BI18" s="201"/>
      <c r="BJ18" s="166"/>
      <c r="BK18" s="166"/>
      <c r="BL18" s="166"/>
      <c r="BM18" s="166"/>
      <c r="BN18" s="201"/>
      <c r="BO18" s="192"/>
      <c r="BP18" s="192"/>
      <c r="BQ18" s="192"/>
      <c r="BR18" s="192"/>
      <c r="BS18" s="221"/>
      <c r="BT18" s="192"/>
      <c r="BU18" s="192"/>
      <c r="BV18" s="192"/>
      <c r="BW18" s="192"/>
      <c r="BX18" s="221"/>
      <c r="BY18" s="192"/>
      <c r="BZ18" s="192"/>
      <c r="CA18" s="192"/>
      <c r="CB18" s="192"/>
      <c r="CC18" s="221"/>
      <c r="CD18" s="192"/>
      <c r="CE18" s="192"/>
      <c r="CF18" s="192"/>
      <c r="CG18" s="192"/>
      <c r="CH18" s="221"/>
      <c r="CI18" s="192"/>
      <c r="CJ18" s="192"/>
      <c r="CK18" s="192"/>
      <c r="CL18" s="192"/>
      <c r="CM18" s="221"/>
      <c r="CN18" s="192"/>
      <c r="CO18" s="192"/>
      <c r="CP18" s="192"/>
      <c r="CQ18" s="192"/>
      <c r="CR18" s="221"/>
      <c r="CS18" s="192"/>
      <c r="CT18" s="192"/>
      <c r="CU18" s="192"/>
      <c r="CV18" s="192"/>
      <c r="CW18" s="221"/>
      <c r="CX18" s="192"/>
      <c r="CY18" s="192"/>
      <c r="CZ18" s="192"/>
      <c r="DA18" s="192"/>
      <c r="DB18" s="221"/>
      <c r="DC18" s="9"/>
    </row>
    <row r="19" spans="1:114">
      <c r="A19" s="1"/>
      <c r="B19" s="9" t="s">
        <v>390</v>
      </c>
      <c r="C19" s="202"/>
      <c r="D19" s="891"/>
      <c r="E19" s="213">
        <v>623.34299999999996</v>
      </c>
      <c r="F19" s="213">
        <v>708.08100000000002</v>
      </c>
      <c r="G19" s="265">
        <v>718.96600000000001</v>
      </c>
      <c r="H19" s="265">
        <v>766.70899999999995</v>
      </c>
      <c r="I19" s="265">
        <v>777.94399999999996</v>
      </c>
      <c r="J19" s="265">
        <v>866.53399999999999</v>
      </c>
      <c r="K19" s="201">
        <f>J19</f>
        <v>866.53399999999999</v>
      </c>
      <c r="L19" s="265">
        <v>921.13499999999999</v>
      </c>
      <c r="M19" s="265">
        <v>937.63499999999999</v>
      </c>
      <c r="N19" s="265">
        <v>981.71699999999998</v>
      </c>
      <c r="O19" s="265">
        <v>1029.337</v>
      </c>
      <c r="P19" s="201">
        <f>O19</f>
        <v>1029.337</v>
      </c>
      <c r="Q19" s="265">
        <v>1130.2660000000001</v>
      </c>
      <c r="R19" s="265">
        <v>1134.43</v>
      </c>
      <c r="S19" s="265">
        <v>1250.799</v>
      </c>
      <c r="T19" s="265">
        <v>1395.345</v>
      </c>
      <c r="U19" s="201">
        <f>T19</f>
        <v>1395.345</v>
      </c>
      <c r="V19" s="265">
        <v>1398.4490000000001</v>
      </c>
      <c r="W19" s="265">
        <v>1408.056</v>
      </c>
      <c r="X19" s="265">
        <v>1478.7470000000001</v>
      </c>
      <c r="Y19" s="265">
        <v>1484.548</v>
      </c>
      <c r="Z19" s="201">
        <f>Y19</f>
        <v>1484.548</v>
      </c>
      <c r="AA19" s="265">
        <v>1477.2349999999999</v>
      </c>
      <c r="AB19" s="265">
        <v>1484.4690000000001</v>
      </c>
      <c r="AC19" s="265">
        <v>1499.69</v>
      </c>
      <c r="AD19" s="265">
        <v>1610.991</v>
      </c>
      <c r="AE19" s="201">
        <f>AD19</f>
        <v>1610.991</v>
      </c>
      <c r="AF19" s="265">
        <v>1627.4580000000001</v>
      </c>
      <c r="AG19" s="265">
        <v>1757.2180000000001</v>
      </c>
      <c r="AH19" s="265">
        <v>1846.1379999999999</v>
      </c>
      <c r="AI19" s="265">
        <v>1986.577</v>
      </c>
      <c r="AJ19" s="201">
        <f>AI19</f>
        <v>1986.577</v>
      </c>
      <c r="AK19" s="265">
        <v>1985.703</v>
      </c>
      <c r="AL19" s="265">
        <v>2089.1419999999998</v>
      </c>
      <c r="AM19" s="265">
        <v>5877.42</v>
      </c>
      <c r="AN19" s="265">
        <v>5512.5739999999996</v>
      </c>
      <c r="AO19" s="201">
        <f>AN19</f>
        <v>5512.5739999999996</v>
      </c>
      <c r="AP19" s="265">
        <v>5438.3969999999999</v>
      </c>
      <c r="AQ19" s="265">
        <v>5621.7539999999999</v>
      </c>
      <c r="AR19" s="265">
        <v>5744.4660000000003</v>
      </c>
      <c r="AS19" s="265">
        <v>5869.0590000000002</v>
      </c>
      <c r="AT19" s="201">
        <f>AS19</f>
        <v>5869.0590000000002</v>
      </c>
      <c r="AU19" s="265">
        <v>5868.2929999999997</v>
      </c>
      <c r="AV19" s="265">
        <v>6076.1450000000004</v>
      </c>
      <c r="AW19" s="265">
        <v>6053.3469999999998</v>
      </c>
      <c r="AX19" s="265">
        <v>6132.2460000000001</v>
      </c>
      <c r="AY19" s="201">
        <f>AX19</f>
        <v>6132.2460000000001</v>
      </c>
      <c r="AZ19" s="265">
        <v>6111.0569999999998</v>
      </c>
      <c r="BA19" s="265">
        <v>6084.9859999999999</v>
      </c>
      <c r="BB19" s="265">
        <v>6143.57</v>
      </c>
      <c r="BC19" s="265">
        <v>6457.4660000000003</v>
      </c>
      <c r="BD19" s="201">
        <f>BC19</f>
        <v>6457.4660000000003</v>
      </c>
      <c r="BE19" s="265">
        <v>6446.4170000000004</v>
      </c>
      <c r="BF19" s="265">
        <v>6506.424</v>
      </c>
      <c r="BG19" s="265">
        <v>6573.94</v>
      </c>
      <c r="BH19" s="265">
        <v>6855.9759999999997</v>
      </c>
      <c r="BI19" s="201">
        <f>+BH19</f>
        <v>6855.9759999999997</v>
      </c>
      <c r="BJ19" s="265">
        <v>7001.8630000000003</v>
      </c>
      <c r="BK19" s="265">
        <v>7048.2250000000004</v>
      </c>
      <c r="BL19" s="265">
        <v>7105.7939999999999</v>
      </c>
      <c r="BM19" s="265">
        <v>7151.8729999999996</v>
      </c>
      <c r="BN19" s="201">
        <f>+BM19</f>
        <v>7151.8729999999996</v>
      </c>
      <c r="BO19" s="267">
        <v>7095.134</v>
      </c>
      <c r="BP19" s="267">
        <v>7104.2439999999997</v>
      </c>
      <c r="BQ19" s="267">
        <v>7068.5609999999997</v>
      </c>
      <c r="BR19" s="267">
        <v>7114.4629999999997</v>
      </c>
      <c r="BS19" s="221">
        <f>+BR19</f>
        <v>7114.4629999999997</v>
      </c>
      <c r="BT19" s="267">
        <v>10572</v>
      </c>
      <c r="BU19" s="267">
        <v>10817</v>
      </c>
      <c r="BV19" s="267">
        <v>10298</v>
      </c>
      <c r="BW19" s="267">
        <v>10169</v>
      </c>
      <c r="BX19" s="221">
        <f>+BW19</f>
        <v>10169</v>
      </c>
      <c r="BY19" s="267">
        <v>10091</v>
      </c>
      <c r="BZ19" s="267">
        <v>10090</v>
      </c>
      <c r="CA19" s="267">
        <v>10064</v>
      </c>
      <c r="CB19" s="267">
        <v>10112</v>
      </c>
      <c r="CC19" s="221">
        <f>+CB19</f>
        <v>10112</v>
      </c>
      <c r="CD19" s="267">
        <v>10104</v>
      </c>
      <c r="CE19" s="267">
        <v>8955</v>
      </c>
      <c r="CF19" s="267">
        <v>8830</v>
      </c>
      <c r="CG19" s="267">
        <v>8149</v>
      </c>
      <c r="CH19" s="221">
        <f>+CG19</f>
        <v>8149</v>
      </c>
      <c r="CI19" s="267">
        <v>7639</v>
      </c>
      <c r="CJ19" s="267">
        <v>7312</v>
      </c>
      <c r="CK19" s="267">
        <v>7331</v>
      </c>
      <c r="CL19" s="267">
        <v>7052</v>
      </c>
      <c r="CM19" s="221">
        <f>+CL19</f>
        <v>7052</v>
      </c>
      <c r="CN19" s="266">
        <f ca="1">+CM19-CN122-CN102-CN121-CN124-CN106</f>
        <v>6617.6683577457543</v>
      </c>
      <c r="CO19" s="266">
        <f t="shared" ref="CO19:CQ19" ca="1" si="66">+CN19-CO122-CO102-CO121-CO124-CO106</f>
        <v>6185.692605046278</v>
      </c>
      <c r="CP19" s="266">
        <f t="shared" ca="1" si="66"/>
        <v>5706.2552383565499</v>
      </c>
      <c r="CQ19" s="266">
        <f t="shared" ca="1" si="66"/>
        <v>5203.1479812232383</v>
      </c>
      <c r="CR19" s="221">
        <f ca="1">+CQ19</f>
        <v>5203.1479812232383</v>
      </c>
      <c r="CS19" s="266">
        <f ca="1">+CR19-CS122-CS102-CS121-CS124-CS106</f>
        <v>5175.2590845040495</v>
      </c>
      <c r="CT19" s="266">
        <f t="shared" ref="CT19:CV19" ca="1" si="67">+CS19-CT122-CT102-CT121-CT124-CT106</f>
        <v>5148.4719031871819</v>
      </c>
      <c r="CU19" s="266">
        <f t="shared" ca="1" si="67"/>
        <v>5122.8888226618792</v>
      </c>
      <c r="CV19" s="266">
        <f t="shared" ca="1" si="67"/>
        <v>5064.9559261318191</v>
      </c>
      <c r="CW19" s="221">
        <f ca="1">+CV19</f>
        <v>5064.9559261318191</v>
      </c>
      <c r="CX19" s="266">
        <f ca="1">+CW19-CX122-CX102-CX121-CX124-CX106</f>
        <v>5040.3477785550476</v>
      </c>
      <c r="CY19" s="266">
        <f t="shared" ref="CY19:DA19" ca="1" si="68">+CX19-CY122-CY102-CY121-CY124-CY106</f>
        <v>5016.6982092616736</v>
      </c>
      <c r="CZ19" s="266">
        <f t="shared" ca="1" si="68"/>
        <v>4994.2979005494462</v>
      </c>
      <c r="DA19" s="266">
        <f t="shared" ca="1" si="68"/>
        <v>4968.8218948465719</v>
      </c>
      <c r="DB19" s="221">
        <f ca="1">+DA19</f>
        <v>4968.8218948465719</v>
      </c>
      <c r="DC19" s="9"/>
      <c r="DJ19" s="1281"/>
    </row>
    <row r="20" spans="1:114">
      <c r="A20" s="1"/>
      <c r="B20" s="9" t="s">
        <v>391</v>
      </c>
      <c r="C20" s="202"/>
      <c r="D20" s="891"/>
      <c r="E20" s="213">
        <v>877.89</v>
      </c>
      <c r="F20" s="213">
        <v>985.56799999999998</v>
      </c>
      <c r="G20" s="265">
        <v>981.596</v>
      </c>
      <c r="H20" s="265">
        <v>991.55700000000002</v>
      </c>
      <c r="I20" s="265">
        <v>986.68600000000004</v>
      </c>
      <c r="J20" s="265">
        <v>1000.918</v>
      </c>
      <c r="K20" s="201">
        <f>J20</f>
        <v>1000.918</v>
      </c>
      <c r="L20" s="265">
        <v>1013.377</v>
      </c>
      <c r="M20" s="265">
        <v>1021.0170000000001</v>
      </c>
      <c r="N20" s="265">
        <v>1048.402</v>
      </c>
      <c r="O20" s="265">
        <v>1029.9749999999999</v>
      </c>
      <c r="P20" s="201">
        <f>O20</f>
        <v>1029.9749999999999</v>
      </c>
      <c r="Q20" s="265">
        <v>1084.3530000000001</v>
      </c>
      <c r="R20" s="265">
        <v>1091.9179999999999</v>
      </c>
      <c r="S20" s="265">
        <v>1154.481</v>
      </c>
      <c r="T20" s="265">
        <v>1155.797</v>
      </c>
      <c r="U20" s="201">
        <f>T20</f>
        <v>1155.797</v>
      </c>
      <c r="V20" s="265">
        <v>1159.2329999999999</v>
      </c>
      <c r="W20" s="265">
        <v>1158.5509999999999</v>
      </c>
      <c r="X20" s="265">
        <v>1213.479</v>
      </c>
      <c r="Y20" s="265">
        <v>1213.7829999999999</v>
      </c>
      <c r="Z20" s="201">
        <f>Y20</f>
        <v>1213.7829999999999</v>
      </c>
      <c r="AA20" s="265">
        <v>1205.1199999999999</v>
      </c>
      <c r="AB20" s="265">
        <v>1217.5129999999999</v>
      </c>
      <c r="AC20" s="265">
        <v>1236.623</v>
      </c>
      <c r="AD20" s="265">
        <v>1259.816</v>
      </c>
      <c r="AE20" s="201">
        <f>AD20</f>
        <v>1259.816</v>
      </c>
      <c r="AF20" s="265">
        <v>1267.557</v>
      </c>
      <c r="AG20" s="265">
        <v>1316.9390000000001</v>
      </c>
      <c r="AH20" s="265">
        <v>1381.1369999999999</v>
      </c>
      <c r="AI20" s="265">
        <v>1336.5250000000001</v>
      </c>
      <c r="AJ20" s="201">
        <f>AI20</f>
        <v>1336.5250000000001</v>
      </c>
      <c r="AK20" s="265">
        <v>1332.422</v>
      </c>
      <c r="AL20" s="265">
        <v>1344.9559999999999</v>
      </c>
      <c r="AM20" s="265">
        <v>4046.8130000000001</v>
      </c>
      <c r="AN20" s="265">
        <v>4247.7139999999999</v>
      </c>
      <c r="AO20" s="201">
        <f>AN20</f>
        <v>4247.7139999999999</v>
      </c>
      <c r="AP20" s="265">
        <v>4375.2929999999997</v>
      </c>
      <c r="AQ20" s="265">
        <v>4165.0410000000002</v>
      </c>
      <c r="AR20" s="265">
        <v>4151.4870000000001</v>
      </c>
      <c r="AS20" s="265">
        <v>4166.0910000000003</v>
      </c>
      <c r="AT20" s="201">
        <f>AS20</f>
        <v>4166.0910000000003</v>
      </c>
      <c r="AU20" s="265">
        <f>4173.408</f>
        <v>4173.4080000000004</v>
      </c>
      <c r="AV20" s="265">
        <v>4187.9679999999998</v>
      </c>
      <c r="AW20" s="265">
        <v>4187.6769999999997</v>
      </c>
      <c r="AX20" s="265">
        <v>4157.9269999999997</v>
      </c>
      <c r="AY20" s="201">
        <f>AX20</f>
        <v>4157.9269999999997</v>
      </c>
      <c r="AZ20" s="265">
        <v>4159.0969999999998</v>
      </c>
      <c r="BA20" s="265">
        <v>4161.1959999999999</v>
      </c>
      <c r="BB20" s="265">
        <v>4174.04</v>
      </c>
      <c r="BC20" s="265">
        <v>4199.9049999999997</v>
      </c>
      <c r="BD20" s="201">
        <f>BC20</f>
        <v>4199.9049999999997</v>
      </c>
      <c r="BE20" s="265">
        <v>4225.768</v>
      </c>
      <c r="BF20" s="265">
        <v>4227.97</v>
      </c>
      <c r="BG20" s="265">
        <v>4232.9129999999996</v>
      </c>
      <c r="BH20" s="265">
        <v>4264.8450000000003</v>
      </c>
      <c r="BI20" s="201">
        <f>+BH20</f>
        <v>4264.8450000000003</v>
      </c>
      <c r="BJ20" s="265">
        <v>4367.8410000000003</v>
      </c>
      <c r="BK20" s="265">
        <v>4372.9930000000004</v>
      </c>
      <c r="BL20" s="265">
        <v>4397.473</v>
      </c>
      <c r="BM20" s="265">
        <v>4408.1379999999999</v>
      </c>
      <c r="BN20" s="201">
        <f>+BM20</f>
        <v>4408.1379999999999</v>
      </c>
      <c r="BO20" s="267">
        <v>4408.3620000000001</v>
      </c>
      <c r="BP20" s="267">
        <v>4412.0969999999998</v>
      </c>
      <c r="BQ20" s="267">
        <v>4437.26</v>
      </c>
      <c r="BR20" s="267">
        <v>4444.1350000000002</v>
      </c>
      <c r="BS20" s="221">
        <f>+BR20</f>
        <v>4444.1350000000002</v>
      </c>
      <c r="BT20" s="267">
        <v>8373</v>
      </c>
      <c r="BU20" s="267">
        <v>8519</v>
      </c>
      <c r="BV20" s="267">
        <v>8936</v>
      </c>
      <c r="BW20" s="267">
        <v>8951</v>
      </c>
      <c r="BX20" s="221">
        <f>+BW20</f>
        <v>8951</v>
      </c>
      <c r="BY20" s="267">
        <v>8954</v>
      </c>
      <c r="BZ20" s="267">
        <v>8956</v>
      </c>
      <c r="CA20" s="267">
        <v>8972</v>
      </c>
      <c r="CB20" s="267">
        <v>8965</v>
      </c>
      <c r="CC20" s="221">
        <f>+CB20</f>
        <v>8965</v>
      </c>
      <c r="CD20" s="267">
        <v>9022</v>
      </c>
      <c r="CE20" s="267">
        <v>6926</v>
      </c>
      <c r="CF20" s="267">
        <v>6901</v>
      </c>
      <c r="CG20" s="267">
        <v>6521</v>
      </c>
      <c r="CH20" s="221">
        <f>+CG20</f>
        <v>6521</v>
      </c>
      <c r="CI20" s="267">
        <v>6327</v>
      </c>
      <c r="CJ20" s="267">
        <v>6165</v>
      </c>
      <c r="CK20" s="267">
        <v>6148</v>
      </c>
      <c r="CL20" s="267">
        <v>4723</v>
      </c>
      <c r="CM20" s="221">
        <f>+CL20</f>
        <v>4723</v>
      </c>
      <c r="CN20" s="266">
        <f>+CM20-CN121*0.25</f>
        <v>4723</v>
      </c>
      <c r="CO20" s="266">
        <f t="shared" ref="CO20:CQ20" si="69">+CN20-CO121*0.25</f>
        <v>4723</v>
      </c>
      <c r="CP20" s="266">
        <f t="shared" si="69"/>
        <v>4723</v>
      </c>
      <c r="CQ20" s="266">
        <f t="shared" si="69"/>
        <v>4723</v>
      </c>
      <c r="CR20" s="221">
        <f>+CQ20</f>
        <v>4723</v>
      </c>
      <c r="CS20" s="266">
        <f t="shared" ref="CS20:CV20" si="70">+CR20-CS121*0.25</f>
        <v>4723</v>
      </c>
      <c r="CT20" s="266">
        <f t="shared" si="70"/>
        <v>4723</v>
      </c>
      <c r="CU20" s="266">
        <f t="shared" si="70"/>
        <v>4723</v>
      </c>
      <c r="CV20" s="266">
        <f t="shared" si="70"/>
        <v>4723</v>
      </c>
      <c r="CW20" s="221">
        <f>+CV20</f>
        <v>4723</v>
      </c>
      <c r="CX20" s="266">
        <f t="shared" ref="CX20" si="71">+CW20-CX121*0.25</f>
        <v>4723</v>
      </c>
      <c r="CY20" s="266">
        <f t="shared" ref="CY20" si="72">+CX20-CY121*0.25</f>
        <v>4723</v>
      </c>
      <c r="CZ20" s="266">
        <f t="shared" ref="CZ20" si="73">+CY20-CZ121*0.25</f>
        <v>4723</v>
      </c>
      <c r="DA20" s="266">
        <f t="shared" ref="DA20" si="74">+CZ20-DA121*0.25</f>
        <v>4723</v>
      </c>
      <c r="DB20" s="221">
        <f>+DA20</f>
        <v>4723</v>
      </c>
      <c r="DC20" s="9"/>
      <c r="DJ20" s="1281"/>
    </row>
    <row r="21" spans="1:114">
      <c r="A21" s="1"/>
      <c r="B21" s="9" t="s">
        <v>392</v>
      </c>
      <c r="C21" s="353"/>
      <c r="D21" s="406"/>
      <c r="E21" s="352">
        <v>93.355000000000004</v>
      </c>
      <c r="F21" s="352">
        <v>111.611</v>
      </c>
      <c r="G21" s="353">
        <v>103.012</v>
      </c>
      <c r="H21" s="353">
        <v>95.989000000000004</v>
      </c>
      <c r="I21" s="353">
        <v>106.143</v>
      </c>
      <c r="J21" s="353">
        <v>98.653000000000006</v>
      </c>
      <c r="K21" s="354">
        <f>J21</f>
        <v>98.653000000000006</v>
      </c>
      <c r="L21" s="353">
        <f>104.274</f>
        <v>104.274</v>
      </c>
      <c r="M21" s="353">
        <f>101.777</f>
        <v>101.777</v>
      </c>
      <c r="N21" s="353">
        <f>101.183</f>
        <v>101.18300000000001</v>
      </c>
      <c r="O21" s="353">
        <f>102.458</f>
        <v>102.458</v>
      </c>
      <c r="P21" s="354">
        <f>O21</f>
        <v>102.458</v>
      </c>
      <c r="Q21" s="353">
        <f>105.272</f>
        <v>105.27200000000001</v>
      </c>
      <c r="R21" s="353">
        <f>102.755</f>
        <v>102.755</v>
      </c>
      <c r="S21" s="353">
        <f>96.885</f>
        <v>96.885000000000005</v>
      </c>
      <c r="T21" s="353">
        <f>102.989</f>
        <v>102.989</v>
      </c>
      <c r="U21" s="354">
        <f>T21</f>
        <v>102.989</v>
      </c>
      <c r="V21" s="353">
        <f>102.596</f>
        <v>102.596</v>
      </c>
      <c r="W21" s="353">
        <f>112.485</f>
        <v>112.485</v>
      </c>
      <c r="X21" s="353">
        <f>104.283</f>
        <v>104.283</v>
      </c>
      <c r="Y21" s="353">
        <f>118.828</f>
        <v>118.828</v>
      </c>
      <c r="Z21" s="354">
        <f>Y21</f>
        <v>118.828</v>
      </c>
      <c r="AA21" s="353">
        <f>122.566</f>
        <v>122.566</v>
      </c>
      <c r="AB21" s="353">
        <f>124.64</f>
        <v>124.64</v>
      </c>
      <c r="AC21" s="353">
        <f>146.979</f>
        <v>146.97900000000001</v>
      </c>
      <c r="AD21" s="353">
        <f>149.202</f>
        <v>149.202</v>
      </c>
      <c r="AE21" s="354">
        <f>AD21</f>
        <v>149.202</v>
      </c>
      <c r="AF21" s="353">
        <f>158.364</f>
        <v>158.364</v>
      </c>
      <c r="AG21" s="353">
        <f>164.86</f>
        <v>164.86</v>
      </c>
      <c r="AH21" s="353">
        <f>154.378</f>
        <v>154.37799999999999</v>
      </c>
      <c r="AI21" s="353">
        <f>162.093</f>
        <v>162.09299999999999</v>
      </c>
      <c r="AJ21" s="354">
        <f>AI21</f>
        <v>162.09299999999999</v>
      </c>
      <c r="AK21" s="353">
        <f>198.786</f>
        <v>198.786</v>
      </c>
      <c r="AL21" s="353">
        <f>226.7</f>
        <v>226.7</v>
      </c>
      <c r="AM21" s="353">
        <f>804.68</f>
        <v>804.68</v>
      </c>
      <c r="AN21" s="353">
        <f>1180.457</f>
        <v>1180.4570000000001</v>
      </c>
      <c r="AO21" s="354">
        <f>AN21</f>
        <v>1180.4570000000001</v>
      </c>
      <c r="AP21" s="353">
        <f>912.267</f>
        <v>912.26700000000005</v>
      </c>
      <c r="AQ21" s="353">
        <f>1069.055</f>
        <v>1069.0550000000001</v>
      </c>
      <c r="AR21" s="353">
        <f>1039.3</f>
        <v>1039.3</v>
      </c>
      <c r="AS21" s="353">
        <f>1178.054</f>
        <v>1178.0540000000001</v>
      </c>
      <c r="AT21" s="354">
        <f>AS21</f>
        <v>1178.0540000000001</v>
      </c>
      <c r="AU21" s="353">
        <f>1045.529</f>
        <v>1045.529</v>
      </c>
      <c r="AV21" s="353">
        <v>1008.478</v>
      </c>
      <c r="AW21" s="353">
        <v>1008.027</v>
      </c>
      <c r="AX21" s="353">
        <v>1056.3040000000001</v>
      </c>
      <c r="AY21" s="354">
        <f>AX21</f>
        <v>1056.3040000000001</v>
      </c>
      <c r="AZ21" s="353">
        <v>1052.848</v>
      </c>
      <c r="BA21" s="353">
        <v>1087.046</v>
      </c>
      <c r="BB21" s="353">
        <v>1117.913</v>
      </c>
      <c r="BC21" s="353">
        <v>1169.559</v>
      </c>
      <c r="BD21" s="354">
        <f>BC21</f>
        <v>1169.559</v>
      </c>
      <c r="BE21" s="353">
        <v>1210.1010000000001</v>
      </c>
      <c r="BF21" s="353">
        <v>1356.5309999999999</v>
      </c>
      <c r="BG21" s="353">
        <v>1204.5409999999999</v>
      </c>
      <c r="BH21" s="353">
        <v>1241.93</v>
      </c>
      <c r="BI21" s="354">
        <f>+BH21</f>
        <v>1241.93</v>
      </c>
      <c r="BJ21" s="353">
        <v>1376.2360000000001</v>
      </c>
      <c r="BK21" s="353">
        <v>1454.625</v>
      </c>
      <c r="BL21" s="353">
        <v>1530.4770000000001</v>
      </c>
      <c r="BM21" s="353">
        <v>1627.182</v>
      </c>
      <c r="BN21" s="354">
        <f>+BM21</f>
        <v>1627.182</v>
      </c>
      <c r="BO21" s="355">
        <v>1674.923</v>
      </c>
      <c r="BP21" s="355">
        <v>1723.873</v>
      </c>
      <c r="BQ21" s="355">
        <v>1770.14</v>
      </c>
      <c r="BR21" s="355">
        <v>1810.7339999999999</v>
      </c>
      <c r="BS21" s="357">
        <f>+BR21</f>
        <v>1810.7339999999999</v>
      </c>
      <c r="BT21" s="355">
        <v>2390</v>
      </c>
      <c r="BU21" s="355">
        <v>2537</v>
      </c>
      <c r="BV21" s="355">
        <v>2618</v>
      </c>
      <c r="BW21" s="355">
        <v>2735</v>
      </c>
      <c r="BX21" s="357">
        <f>+BW21</f>
        <v>2735</v>
      </c>
      <c r="BY21" s="355">
        <v>2648</v>
      </c>
      <c r="BZ21" s="355">
        <v>2640</v>
      </c>
      <c r="CA21" s="355">
        <v>2601</v>
      </c>
      <c r="CB21" s="355">
        <v>2618</v>
      </c>
      <c r="CC21" s="357">
        <f>+CB21</f>
        <v>2618</v>
      </c>
      <c r="CD21" s="355">
        <v>2342</v>
      </c>
      <c r="CE21" s="355">
        <v>1709</v>
      </c>
      <c r="CF21" s="355">
        <v>1955</v>
      </c>
      <c r="CG21" s="355">
        <v>2608</v>
      </c>
      <c r="CH21" s="357">
        <f>+CG21</f>
        <v>2608</v>
      </c>
      <c r="CI21" s="355">
        <v>2919</v>
      </c>
      <c r="CJ21" s="355">
        <v>2341</v>
      </c>
      <c r="CK21" s="355">
        <v>1578</v>
      </c>
      <c r="CL21" s="355">
        <f>62+1545</f>
        <v>1607</v>
      </c>
      <c r="CM21" s="357">
        <f>+CL21</f>
        <v>1607</v>
      </c>
      <c r="CN21" s="356">
        <f>+CM21-CN125</f>
        <v>1607</v>
      </c>
      <c r="CO21" s="356">
        <f t="shared" ref="CO21:CQ21" si="75">+CN21-CO125</f>
        <v>1607</v>
      </c>
      <c r="CP21" s="356">
        <f t="shared" si="75"/>
        <v>1607</v>
      </c>
      <c r="CQ21" s="356">
        <f t="shared" si="75"/>
        <v>1607</v>
      </c>
      <c r="CR21" s="357">
        <f>+CQ21</f>
        <v>1607</v>
      </c>
      <c r="CS21" s="356">
        <f t="shared" ref="CS21:CV21" si="76">+CR21-CS125</f>
        <v>1607</v>
      </c>
      <c r="CT21" s="356">
        <f t="shared" si="76"/>
        <v>1607</v>
      </c>
      <c r="CU21" s="356">
        <f t="shared" si="76"/>
        <v>1607</v>
      </c>
      <c r="CV21" s="356">
        <f t="shared" si="76"/>
        <v>1607</v>
      </c>
      <c r="CW21" s="357">
        <f>+CV21</f>
        <v>1607</v>
      </c>
      <c r="CX21" s="356">
        <f t="shared" ref="CX21" si="77">+CW21-CX125</f>
        <v>1607</v>
      </c>
      <c r="CY21" s="356">
        <f t="shared" ref="CY21" si="78">+CX21-CY125</f>
        <v>1607</v>
      </c>
      <c r="CZ21" s="356">
        <f t="shared" ref="CZ21" si="79">+CY21-CZ125</f>
        <v>1607</v>
      </c>
      <c r="DA21" s="356">
        <f t="shared" ref="DA21" si="80">+CZ21-DA125</f>
        <v>1607</v>
      </c>
      <c r="DB21" s="357">
        <f>+DA21</f>
        <v>1607</v>
      </c>
      <c r="DC21" s="9"/>
      <c r="DJ21" s="1281"/>
    </row>
    <row r="22" spans="1:114">
      <c r="A22" s="1"/>
      <c r="B22" s="25" t="s">
        <v>393</v>
      </c>
      <c r="C22" s="158"/>
      <c r="D22" s="873"/>
      <c r="E22" s="168">
        <f t="shared" ref="E22:Z22" si="81">E17+SUM(E19:E21)</f>
        <v>1895.0839999999998</v>
      </c>
      <c r="F22" s="168">
        <f t="shared" si="81"/>
        <v>2213.837</v>
      </c>
      <c r="G22" s="872">
        <f t="shared" si="81"/>
        <v>2221.94</v>
      </c>
      <c r="H22" s="872">
        <f t="shared" si="81"/>
        <v>2280.0860000000002</v>
      </c>
      <c r="I22" s="872">
        <f t="shared" si="81"/>
        <v>2298.6030000000001</v>
      </c>
      <c r="J22" s="872">
        <f t="shared" si="81"/>
        <v>2460.6640000000002</v>
      </c>
      <c r="K22" s="168">
        <f t="shared" si="81"/>
        <v>2460.6640000000002</v>
      </c>
      <c r="L22" s="872">
        <f t="shared" si="81"/>
        <v>2594.0610000000001</v>
      </c>
      <c r="M22" s="872">
        <f t="shared" si="81"/>
        <v>2578.2669999999998</v>
      </c>
      <c r="N22" s="872">
        <f t="shared" si="81"/>
        <v>2768.4949999999999</v>
      </c>
      <c r="O22" s="872">
        <f t="shared" si="81"/>
        <v>2809.4960000000001</v>
      </c>
      <c r="P22" s="168">
        <f t="shared" si="81"/>
        <v>2809.4960000000001</v>
      </c>
      <c r="Q22" s="872">
        <f t="shared" si="81"/>
        <v>2921.7200000000003</v>
      </c>
      <c r="R22" s="872">
        <f t="shared" si="81"/>
        <v>2887.0360000000001</v>
      </c>
      <c r="S22" s="872">
        <f t="shared" si="81"/>
        <v>3187.7249999999999</v>
      </c>
      <c r="T22" s="872">
        <f t="shared" si="81"/>
        <v>3350.2109999999998</v>
      </c>
      <c r="U22" s="168">
        <f t="shared" si="81"/>
        <v>3350.2109999999998</v>
      </c>
      <c r="V22" s="872">
        <f t="shared" si="81"/>
        <v>3380.2629999999999</v>
      </c>
      <c r="W22" s="872">
        <f t="shared" si="81"/>
        <v>3381.2640000000001</v>
      </c>
      <c r="X22" s="872">
        <f t="shared" si="81"/>
        <v>3534.6950000000002</v>
      </c>
      <c r="Y22" s="872">
        <f t="shared" si="81"/>
        <v>3632.6080000000002</v>
      </c>
      <c r="Z22" s="168">
        <f t="shared" si="81"/>
        <v>3632.6080000000002</v>
      </c>
      <c r="AA22" s="872">
        <f t="shared" ref="AA22:AY22" si="82">AA17+SUM(AA19:AA21)</f>
        <v>3761.1149999999993</v>
      </c>
      <c r="AB22" s="872">
        <f t="shared" si="82"/>
        <v>3848.1709999999998</v>
      </c>
      <c r="AC22" s="872">
        <f t="shared" si="82"/>
        <v>3844.0830000000001</v>
      </c>
      <c r="AD22" s="872">
        <f t="shared" si="82"/>
        <v>3934.2179999999998</v>
      </c>
      <c r="AE22" s="168">
        <f t="shared" si="82"/>
        <v>3934.2179999999998</v>
      </c>
      <c r="AF22" s="872">
        <f t="shared" si="82"/>
        <v>4049.2890000000007</v>
      </c>
      <c r="AG22" s="872">
        <f t="shared" si="82"/>
        <v>4178.66</v>
      </c>
      <c r="AH22" s="872">
        <f t="shared" si="82"/>
        <v>4343.6129999999994</v>
      </c>
      <c r="AI22" s="872">
        <f t="shared" si="82"/>
        <v>4506.5789999999997</v>
      </c>
      <c r="AJ22" s="168">
        <f t="shared" si="82"/>
        <v>4506.5789999999997</v>
      </c>
      <c r="AK22" s="872">
        <f t="shared" si="82"/>
        <v>4608.9160000000002</v>
      </c>
      <c r="AL22" s="872">
        <f t="shared" si="82"/>
        <v>4793.1109999999999</v>
      </c>
      <c r="AM22" s="872">
        <f t="shared" si="82"/>
        <v>13438.697</v>
      </c>
      <c r="AN22" s="872">
        <f t="shared" si="82"/>
        <v>13493.643</v>
      </c>
      <c r="AO22" s="168">
        <f t="shared" si="82"/>
        <v>13493.643</v>
      </c>
      <c r="AP22" s="872">
        <f t="shared" si="82"/>
        <v>13332.348999999998</v>
      </c>
      <c r="AQ22" s="872">
        <f t="shared" si="82"/>
        <v>13359.508000000002</v>
      </c>
      <c r="AR22" s="872">
        <f t="shared" si="82"/>
        <v>13587.404</v>
      </c>
      <c r="AS22" s="872">
        <f t="shared" si="82"/>
        <v>13818.254000000003</v>
      </c>
      <c r="AT22" s="168">
        <f t="shared" si="82"/>
        <v>13818.254000000003</v>
      </c>
      <c r="AU22" s="872">
        <f t="shared" si="82"/>
        <v>13914.366000000002</v>
      </c>
      <c r="AV22" s="872">
        <f t="shared" si="82"/>
        <v>13872.022000000001</v>
      </c>
      <c r="AW22" s="872">
        <f t="shared" si="82"/>
        <v>14043.682999999999</v>
      </c>
      <c r="AX22" s="872">
        <f t="shared" si="82"/>
        <v>14021.471999999998</v>
      </c>
      <c r="AY22" s="168">
        <f t="shared" si="82"/>
        <v>14021.471999999998</v>
      </c>
      <c r="AZ22" s="872">
        <f t="shared" ref="AZ22:BP22" si="83">AZ17+SUM(AZ19:AZ21)</f>
        <v>14200.611999999997</v>
      </c>
      <c r="BA22" s="872">
        <f t="shared" si="83"/>
        <v>14313.431</v>
      </c>
      <c r="BB22" s="872">
        <f t="shared" si="83"/>
        <v>14419.493000000002</v>
      </c>
      <c r="BC22" s="872">
        <f t="shared" si="83"/>
        <v>14698.122999999998</v>
      </c>
      <c r="BD22" s="168">
        <f t="shared" si="83"/>
        <v>14698.122999999998</v>
      </c>
      <c r="BE22" s="872">
        <f t="shared" si="83"/>
        <v>14718.279000000002</v>
      </c>
      <c r="BF22" s="872">
        <f t="shared" si="83"/>
        <v>14825.414999999999</v>
      </c>
      <c r="BG22" s="872">
        <f t="shared" si="83"/>
        <v>14847.921999999999</v>
      </c>
      <c r="BH22" s="872">
        <f t="shared" si="83"/>
        <v>15208.84</v>
      </c>
      <c r="BI22" s="168">
        <f t="shared" si="83"/>
        <v>15208.84</v>
      </c>
      <c r="BJ22" s="872">
        <f t="shared" si="83"/>
        <v>15846.416000000001</v>
      </c>
      <c r="BK22" s="872">
        <f t="shared" si="83"/>
        <v>15873.006000000001</v>
      </c>
      <c r="BL22" s="872">
        <f t="shared" si="83"/>
        <v>16241.155000000001</v>
      </c>
      <c r="BM22" s="872">
        <f t="shared" si="83"/>
        <v>16606.334999999999</v>
      </c>
      <c r="BN22" s="168">
        <f t="shared" si="83"/>
        <v>16606.334999999999</v>
      </c>
      <c r="BO22" s="653">
        <f t="shared" si="83"/>
        <v>16597.201999999997</v>
      </c>
      <c r="BP22" s="653">
        <f t="shared" si="83"/>
        <v>16596.822</v>
      </c>
      <c r="BQ22" s="653">
        <f t="shared" ref="BQ22:BX22" si="84">BQ17+SUM(BQ19:BQ21)</f>
        <v>16722.242999999999</v>
      </c>
      <c r="BR22" s="653">
        <f t="shared" si="84"/>
        <v>17117.295000000002</v>
      </c>
      <c r="BS22" s="235">
        <f t="shared" si="84"/>
        <v>17117.295000000002</v>
      </c>
      <c r="BT22" s="653">
        <f t="shared" si="84"/>
        <v>26962</v>
      </c>
      <c r="BU22" s="653">
        <f t="shared" si="84"/>
        <v>27270</v>
      </c>
      <c r="BV22" s="653">
        <f t="shared" si="84"/>
        <v>27224</v>
      </c>
      <c r="BW22" s="653">
        <f t="shared" si="84"/>
        <v>27421</v>
      </c>
      <c r="BX22" s="235">
        <f t="shared" si="84"/>
        <v>27421</v>
      </c>
      <c r="BY22" s="653">
        <f t="shared" ref="BY22:CH22" si="85">BY17+SUM(BY19:BY21)</f>
        <v>27119</v>
      </c>
      <c r="BZ22" s="653">
        <f t="shared" si="85"/>
        <v>27186</v>
      </c>
      <c r="CA22" s="653">
        <f t="shared" si="85"/>
        <v>27189</v>
      </c>
      <c r="CB22" s="653">
        <f t="shared" si="85"/>
        <v>26861</v>
      </c>
      <c r="CC22" s="235">
        <f t="shared" si="85"/>
        <v>26861</v>
      </c>
      <c r="CD22" s="653">
        <f t="shared" si="85"/>
        <v>26724</v>
      </c>
      <c r="CE22" s="653">
        <f t="shared" si="85"/>
        <v>22432</v>
      </c>
      <c r="CF22" s="653">
        <f t="shared" si="85"/>
        <v>22227</v>
      </c>
      <c r="CG22" s="653">
        <f t="shared" si="85"/>
        <v>21944</v>
      </c>
      <c r="CH22" s="235">
        <f t="shared" si="85"/>
        <v>21944</v>
      </c>
      <c r="CI22" s="653">
        <f>CI17+SUM(CI19:CI21)</f>
        <v>21660</v>
      </c>
      <c r="CJ22" s="653">
        <f>CJ17+SUM(CJ19:CJ21)</f>
        <v>20873</v>
      </c>
      <c r="CK22" s="653">
        <f t="shared" ref="CK22:CL22" si="86">CK17+SUM(CK19:CK21)</f>
        <v>19735</v>
      </c>
      <c r="CL22" s="653">
        <f t="shared" si="86"/>
        <v>17450</v>
      </c>
      <c r="CM22" s="235">
        <f t="shared" ref="CM22:DA22" si="87">CM17+SUM(CM19:CM21)</f>
        <v>17450</v>
      </c>
      <c r="CN22" s="653">
        <f t="shared" ref="CN22:CQ22" ca="1" si="88">CN17+SUM(CN19:CN21)</f>
        <v>16999.998122785659</v>
      </c>
      <c r="CO22" s="653">
        <f t="shared" ca="1" si="88"/>
        <v>16603.534589123716</v>
      </c>
      <c r="CP22" s="653">
        <f t="shared" ca="1" si="88"/>
        <v>16101.100965982803</v>
      </c>
      <c r="CQ22" s="653">
        <f t="shared" ca="1" si="88"/>
        <v>15819.152540155163</v>
      </c>
      <c r="CR22" s="235">
        <f t="shared" ca="1" si="87"/>
        <v>15819.152540155163</v>
      </c>
      <c r="CS22" s="653">
        <f t="shared" ref="CS22:CV22" ca="1" si="89">CS17+SUM(CS19:CS21)</f>
        <v>15392.809663933858</v>
      </c>
      <c r="CT22" s="653">
        <f t="shared" ca="1" si="89"/>
        <v>15202.708341033489</v>
      </c>
      <c r="CU22" s="653">
        <f t="shared" ca="1" si="89"/>
        <v>14996.23634588287</v>
      </c>
      <c r="CV22" s="653">
        <f t="shared" ca="1" si="89"/>
        <v>15250.19662725297</v>
      </c>
      <c r="CW22" s="235">
        <f t="shared" ca="1" si="87"/>
        <v>15250.19662725297</v>
      </c>
      <c r="CX22" s="653">
        <f t="shared" ca="1" si="87"/>
        <v>14961.029733394284</v>
      </c>
      <c r="CY22" s="653">
        <f t="shared" ca="1" si="87"/>
        <v>14877.724690959179</v>
      </c>
      <c r="CZ22" s="653">
        <f t="shared" ca="1" si="87"/>
        <v>14792.999356561153</v>
      </c>
      <c r="DA22" s="653">
        <f t="shared" ca="1" si="87"/>
        <v>14920.993253125242</v>
      </c>
      <c r="DB22" s="235">
        <f t="shared" ref="DB22" ca="1" si="90">DB17+SUM(DB19:DB21)</f>
        <v>14920.993253125242</v>
      </c>
      <c r="DC22" s="9"/>
    </row>
    <row r="23" spans="1:114">
      <c r="A23" s="1"/>
      <c r="B23" s="9"/>
      <c r="C23" s="166"/>
      <c r="D23" s="874"/>
      <c r="E23" s="201"/>
      <c r="F23" s="201"/>
      <c r="G23" s="166"/>
      <c r="H23" s="166"/>
      <c r="I23" s="166"/>
      <c r="J23" s="166"/>
      <c r="K23" s="201"/>
      <c r="L23" s="166"/>
      <c r="M23" s="166"/>
      <c r="N23" s="166"/>
      <c r="O23" s="166"/>
      <c r="P23" s="201"/>
      <c r="Q23" s="166"/>
      <c r="R23" s="166"/>
      <c r="S23" s="166"/>
      <c r="T23" s="166"/>
      <c r="U23" s="201"/>
      <c r="V23" s="166"/>
      <c r="W23" s="166"/>
      <c r="X23" s="166"/>
      <c r="Y23" s="166"/>
      <c r="Z23" s="201"/>
      <c r="AA23" s="166"/>
      <c r="AB23" s="166"/>
      <c r="AC23" s="166"/>
      <c r="AD23" s="166"/>
      <c r="AE23" s="201"/>
      <c r="AF23" s="166"/>
      <c r="AG23" s="166"/>
      <c r="AH23" s="166"/>
      <c r="AI23" s="166"/>
      <c r="AJ23" s="201"/>
      <c r="AK23" s="166"/>
      <c r="AL23" s="166"/>
      <c r="AM23" s="166"/>
      <c r="AN23" s="166"/>
      <c r="AO23" s="201"/>
      <c r="AP23" s="166"/>
      <c r="AQ23" s="166"/>
      <c r="AR23" s="166"/>
      <c r="AS23" s="166"/>
      <c r="AT23" s="201"/>
      <c r="AU23" s="166"/>
      <c r="AV23" s="166"/>
      <c r="AW23" s="166"/>
      <c r="AX23" s="871"/>
      <c r="AY23" s="201"/>
      <c r="AZ23" s="870"/>
      <c r="BA23" s="870"/>
      <c r="BB23" s="870"/>
      <c r="BC23" s="871"/>
      <c r="BD23" s="201"/>
      <c r="BE23" s="870"/>
      <c r="BF23" s="870"/>
      <c r="BG23" s="166"/>
      <c r="BH23" s="166"/>
      <c r="BI23" s="201"/>
      <c r="BJ23" s="870"/>
      <c r="BK23" s="166"/>
      <c r="BL23" s="166"/>
      <c r="BM23" s="166"/>
      <c r="BN23" s="201"/>
      <c r="BO23" s="192"/>
      <c r="BP23" s="192"/>
      <c r="BQ23" s="192"/>
      <c r="BR23" s="192"/>
      <c r="BS23" s="221"/>
      <c r="BT23" s="192"/>
      <c r="BU23" s="192"/>
      <c r="BV23" s="192"/>
      <c r="BW23" s="192"/>
      <c r="BX23" s="221"/>
      <c r="BY23" s="192"/>
      <c r="BZ23" s="192"/>
      <c r="CA23" s="192"/>
      <c r="CB23" s="192"/>
      <c r="CC23" s="221"/>
      <c r="CD23" s="192"/>
      <c r="CE23" s="192"/>
      <c r="CF23" s="192"/>
      <c r="CG23" s="192"/>
      <c r="CH23" s="221"/>
      <c r="CI23" s="192"/>
      <c r="CJ23" s="192"/>
      <c r="CK23" s="192"/>
      <c r="CL23" s="192"/>
      <c r="CM23" s="221"/>
      <c r="CN23" s="192"/>
      <c r="CO23" s="192"/>
      <c r="CP23" s="192"/>
      <c r="CQ23" s="192"/>
      <c r="CR23" s="221"/>
      <c r="CS23" s="192"/>
      <c r="CT23" s="192"/>
      <c r="CU23" s="192"/>
      <c r="CV23" s="192"/>
      <c r="CW23" s="221"/>
      <c r="CX23" s="192"/>
      <c r="CY23" s="192"/>
      <c r="CZ23" s="192"/>
      <c r="DA23" s="192"/>
      <c r="DB23" s="221"/>
      <c r="DC23" s="9"/>
    </row>
    <row r="24" spans="1:114">
      <c r="A24" s="1"/>
      <c r="B24" s="9" t="s">
        <v>394</v>
      </c>
      <c r="C24" s="202"/>
      <c r="D24" s="891"/>
      <c r="E24" s="213">
        <v>27.029</v>
      </c>
      <c r="F24" s="213">
        <v>17.433</v>
      </c>
      <c r="G24" s="265">
        <v>17.143999999999998</v>
      </c>
      <c r="H24" s="265">
        <v>21.498999999999999</v>
      </c>
      <c r="I24" s="265">
        <v>42.182000000000002</v>
      </c>
      <c r="J24" s="265">
        <v>58.691000000000003</v>
      </c>
      <c r="K24" s="201">
        <f>J24</f>
        <v>58.691000000000003</v>
      </c>
      <c r="L24" s="265">
        <v>88.09</v>
      </c>
      <c r="M24" s="265">
        <v>31.748000000000001</v>
      </c>
      <c r="N24" s="265">
        <v>15.597</v>
      </c>
      <c r="O24" s="265">
        <v>18.529</v>
      </c>
      <c r="P24" s="201">
        <f>O24</f>
        <v>18.529</v>
      </c>
      <c r="Q24" s="265">
        <v>19.204000000000001</v>
      </c>
      <c r="R24" s="265">
        <v>17.78</v>
      </c>
      <c r="S24" s="265">
        <v>17.443000000000001</v>
      </c>
      <c r="T24" s="265">
        <v>29.677</v>
      </c>
      <c r="U24" s="201">
        <f>T24</f>
        <v>29.677</v>
      </c>
      <c r="V24" s="265">
        <v>22.163</v>
      </c>
      <c r="W24" s="265">
        <v>20.132000000000001</v>
      </c>
      <c r="X24" s="265">
        <v>20.687000000000001</v>
      </c>
      <c r="Y24" s="265">
        <v>26.867000000000001</v>
      </c>
      <c r="Z24" s="201">
        <f>Y24</f>
        <v>26.867000000000001</v>
      </c>
      <c r="AA24" s="265">
        <v>25.04</v>
      </c>
      <c r="AB24" s="265">
        <v>22.831</v>
      </c>
      <c r="AC24" s="265">
        <v>22.79</v>
      </c>
      <c r="AD24" s="265">
        <v>19.123999999999999</v>
      </c>
      <c r="AE24" s="201">
        <f>AD24</f>
        <v>19.123999999999999</v>
      </c>
      <c r="AF24" s="265">
        <v>19.283999999999999</v>
      </c>
      <c r="AG24" s="265">
        <v>20.620999999999999</v>
      </c>
      <c r="AH24" s="265">
        <v>28.384</v>
      </c>
      <c r="AI24" s="265">
        <v>35.396000000000001</v>
      </c>
      <c r="AJ24" s="201">
        <f>AI24</f>
        <v>35.396000000000001</v>
      </c>
      <c r="AK24" s="265">
        <v>23.058</v>
      </c>
      <c r="AL24" s="265">
        <v>25.757000000000001</v>
      </c>
      <c r="AM24" s="265">
        <v>79.346000000000004</v>
      </c>
      <c r="AN24" s="265">
        <v>20.71</v>
      </c>
      <c r="AO24" s="201">
        <f>AN24</f>
        <v>20.71</v>
      </c>
      <c r="AP24" s="265">
        <v>19.475999999999999</v>
      </c>
      <c r="AQ24" s="265">
        <v>24.279</v>
      </c>
      <c r="AR24" s="265">
        <v>19.646999999999998</v>
      </c>
      <c r="AS24" s="265">
        <v>29.462</v>
      </c>
      <c r="AT24" s="201">
        <f>AS24</f>
        <v>29.462</v>
      </c>
      <c r="AU24" s="265">
        <v>32.671999999999997</v>
      </c>
      <c r="AV24" s="265">
        <v>56.734000000000002</v>
      </c>
      <c r="AW24" s="265">
        <v>62.265000000000001</v>
      </c>
      <c r="AX24" s="265">
        <v>66.47</v>
      </c>
      <c r="AY24" s="201">
        <f>AX24</f>
        <v>66.47</v>
      </c>
      <c r="AZ24" s="265">
        <v>69.781000000000006</v>
      </c>
      <c r="BA24" s="265">
        <v>64.094999999999999</v>
      </c>
      <c r="BB24" s="265">
        <v>60.654000000000003</v>
      </c>
      <c r="BC24" s="265">
        <v>63.139000000000003</v>
      </c>
      <c r="BD24" s="201">
        <f>BC24</f>
        <v>63.139000000000003</v>
      </c>
      <c r="BE24" s="265">
        <v>65.951999999999998</v>
      </c>
      <c r="BF24" s="265">
        <v>70.111999999999995</v>
      </c>
      <c r="BG24" s="265">
        <v>61.066000000000003</v>
      </c>
      <c r="BH24" s="265">
        <v>63.706000000000003</v>
      </c>
      <c r="BI24" s="201">
        <f>+BH24</f>
        <v>63.706000000000003</v>
      </c>
      <c r="BJ24" s="265">
        <v>75.388000000000005</v>
      </c>
      <c r="BK24" s="265">
        <v>83.876999999999995</v>
      </c>
      <c r="BL24" s="265">
        <v>99.194000000000003</v>
      </c>
      <c r="BM24" s="265">
        <v>89.911000000000001</v>
      </c>
      <c r="BN24" s="201">
        <f>BM24</f>
        <v>89.911000000000001</v>
      </c>
      <c r="BO24" s="267">
        <v>113.801</v>
      </c>
      <c r="BP24" s="267">
        <v>119.03700000000001</v>
      </c>
      <c r="BQ24" s="267">
        <v>180.386</v>
      </c>
      <c r="BR24" s="267">
        <v>166.90199999999999</v>
      </c>
      <c r="BS24" s="221">
        <f>BR24</f>
        <v>166.90199999999999</v>
      </c>
      <c r="BT24" s="267">
        <v>199</v>
      </c>
      <c r="BU24" s="267">
        <v>209</v>
      </c>
      <c r="BV24" s="267">
        <v>219</v>
      </c>
      <c r="BW24" s="267">
        <v>235</v>
      </c>
      <c r="BX24" s="221">
        <f>BW24</f>
        <v>235</v>
      </c>
      <c r="BY24" s="267">
        <v>229</v>
      </c>
      <c r="BZ24" s="267">
        <v>246</v>
      </c>
      <c r="CA24" s="267">
        <v>240</v>
      </c>
      <c r="CB24" s="267">
        <v>229</v>
      </c>
      <c r="CC24" s="221">
        <f>CB24</f>
        <v>229</v>
      </c>
      <c r="CD24" s="267">
        <v>249</v>
      </c>
      <c r="CE24" s="267">
        <v>253</v>
      </c>
      <c r="CF24" s="267">
        <v>240</v>
      </c>
      <c r="CG24" s="267">
        <v>455</v>
      </c>
      <c r="CH24" s="221">
        <f>CG24</f>
        <v>455</v>
      </c>
      <c r="CI24" s="267">
        <v>558</v>
      </c>
      <c r="CJ24" s="267">
        <v>46</v>
      </c>
      <c r="CK24" s="267">
        <v>40</v>
      </c>
      <c r="CL24" s="267">
        <v>33</v>
      </c>
      <c r="CM24" s="221">
        <f>CL24</f>
        <v>33</v>
      </c>
      <c r="CN24" s="266">
        <f>Debt!CN21</f>
        <v>558</v>
      </c>
      <c r="CO24" s="266">
        <f>Debt!CO21</f>
        <v>558</v>
      </c>
      <c r="CP24" s="266">
        <f>Debt!CP21</f>
        <v>558</v>
      </c>
      <c r="CQ24" s="266">
        <f>Debt!CQ21</f>
        <v>558</v>
      </c>
      <c r="CR24" s="221">
        <f>CQ24</f>
        <v>558</v>
      </c>
      <c r="CS24" s="266">
        <f>Debt!CS21</f>
        <v>558</v>
      </c>
      <c r="CT24" s="266">
        <f>Debt!CT21</f>
        <v>558</v>
      </c>
      <c r="CU24" s="266">
        <f>Debt!CU21</f>
        <v>558</v>
      </c>
      <c r="CV24" s="266">
        <f>Debt!CV21</f>
        <v>558</v>
      </c>
      <c r="CW24" s="221">
        <f>CV24</f>
        <v>558</v>
      </c>
      <c r="CX24" s="266">
        <f>Debt!CX21</f>
        <v>558</v>
      </c>
      <c r="CY24" s="266">
        <f>Debt!CY21</f>
        <v>558</v>
      </c>
      <c r="CZ24" s="266">
        <f>Debt!CZ21</f>
        <v>558</v>
      </c>
      <c r="DA24" s="266">
        <f>Debt!DA21</f>
        <v>558</v>
      </c>
      <c r="DB24" s="221">
        <f>DA24</f>
        <v>558</v>
      </c>
      <c r="DC24" s="9"/>
      <c r="DJ24" s="1281"/>
    </row>
    <row r="25" spans="1:114">
      <c r="A25" s="1"/>
      <c r="B25" s="9" t="s">
        <v>395</v>
      </c>
      <c r="C25" s="202"/>
      <c r="D25" s="891"/>
      <c r="E25" s="213">
        <v>57.392000000000003</v>
      </c>
      <c r="F25" s="213">
        <v>83.191000000000003</v>
      </c>
      <c r="G25" s="265">
        <v>84.992000000000004</v>
      </c>
      <c r="H25" s="265">
        <v>86.46</v>
      </c>
      <c r="I25" s="265">
        <v>91.81</v>
      </c>
      <c r="J25" s="265">
        <v>91.096000000000004</v>
      </c>
      <c r="K25" s="201">
        <f>J25</f>
        <v>91.096000000000004</v>
      </c>
      <c r="L25" s="265">
        <v>102.625</v>
      </c>
      <c r="M25" s="265">
        <v>104.34399999999999</v>
      </c>
      <c r="N25" s="265">
        <v>118.312</v>
      </c>
      <c r="O25" s="265">
        <v>111.67700000000001</v>
      </c>
      <c r="P25" s="201">
        <f>O25</f>
        <v>111.67700000000001</v>
      </c>
      <c r="Q25" s="265">
        <v>114.136</v>
      </c>
      <c r="R25" s="265">
        <v>108.735</v>
      </c>
      <c r="S25" s="265">
        <v>125.20699999999999</v>
      </c>
      <c r="T25" s="265">
        <v>154.71100000000001</v>
      </c>
      <c r="U25" s="201">
        <f>T25</f>
        <v>154.71100000000001</v>
      </c>
      <c r="V25" s="265">
        <v>139.74199999999999</v>
      </c>
      <c r="W25" s="265">
        <v>140.852</v>
      </c>
      <c r="X25" s="265">
        <v>147.011</v>
      </c>
      <c r="Y25" s="265">
        <v>162.63800000000001</v>
      </c>
      <c r="Z25" s="201">
        <f>Y25</f>
        <v>162.63800000000001</v>
      </c>
      <c r="AA25" s="265">
        <v>151.703</v>
      </c>
      <c r="AB25" s="265">
        <v>147.39599999999999</v>
      </c>
      <c r="AC25" s="265">
        <v>154.72499999999999</v>
      </c>
      <c r="AD25" s="265">
        <v>189.94</v>
      </c>
      <c r="AE25" s="201">
        <f>AD25</f>
        <v>189.94</v>
      </c>
      <c r="AF25" s="265">
        <v>158.19</v>
      </c>
      <c r="AG25" s="265">
        <v>197.01</v>
      </c>
      <c r="AH25" s="265">
        <v>210.839</v>
      </c>
      <c r="AI25" s="265">
        <v>247.74700000000001</v>
      </c>
      <c r="AJ25" s="201">
        <f>AI25</f>
        <v>247.74700000000001</v>
      </c>
      <c r="AK25" s="265">
        <v>239.88900000000001</v>
      </c>
      <c r="AL25" s="265">
        <v>257.73</v>
      </c>
      <c r="AM25" s="265">
        <v>505.7</v>
      </c>
      <c r="AN25" s="265">
        <v>492.69299999999998</v>
      </c>
      <c r="AO25" s="201">
        <f>AN25</f>
        <v>492.69299999999998</v>
      </c>
      <c r="AP25" s="265">
        <v>461.43700000000001</v>
      </c>
      <c r="AQ25" s="265">
        <v>438.51799999999997</v>
      </c>
      <c r="AR25" s="265">
        <v>477.06400000000002</v>
      </c>
      <c r="AS25" s="265">
        <v>529.42899999999997</v>
      </c>
      <c r="AT25" s="201">
        <f>AS25</f>
        <v>529.42899999999997</v>
      </c>
      <c r="AU25" s="265">
        <v>465.39299999999997</v>
      </c>
      <c r="AV25" s="265">
        <v>505.96600000000001</v>
      </c>
      <c r="AW25" s="265">
        <v>495.37700000000001</v>
      </c>
      <c r="AX25" s="265">
        <v>428.565</v>
      </c>
      <c r="AY25" s="201">
        <f>AX25</f>
        <v>428.565</v>
      </c>
      <c r="AZ25" s="265">
        <v>499.875</v>
      </c>
      <c r="BA25" s="265">
        <v>514.601</v>
      </c>
      <c r="BB25" s="265">
        <v>516.15200000000004</v>
      </c>
      <c r="BC25" s="265">
        <v>526.33799999999997</v>
      </c>
      <c r="BD25" s="201">
        <f>BC25</f>
        <v>526.33799999999997</v>
      </c>
      <c r="BE25" s="265">
        <v>547.68299999999999</v>
      </c>
      <c r="BF25" s="265">
        <v>583.92399999999998</v>
      </c>
      <c r="BG25" s="265">
        <v>636.327</v>
      </c>
      <c r="BH25" s="265">
        <v>748.99699999999996</v>
      </c>
      <c r="BI25" s="201">
        <f>+BH25</f>
        <v>748.99699999999996</v>
      </c>
      <c r="BJ25" s="265">
        <v>822.24699999999996</v>
      </c>
      <c r="BK25" s="265">
        <v>770.45</v>
      </c>
      <c r="BL25" s="265">
        <v>809.255</v>
      </c>
      <c r="BM25" s="265">
        <v>825.91399999999999</v>
      </c>
      <c r="BN25" s="201">
        <f>+BM25</f>
        <v>825.91399999999999</v>
      </c>
      <c r="BO25" s="267">
        <v>741.17499999999995</v>
      </c>
      <c r="BP25" s="267">
        <v>753.00900000000001</v>
      </c>
      <c r="BQ25" s="267">
        <v>743.77599999999995</v>
      </c>
      <c r="BR25" s="267">
        <v>958.59299999999996</v>
      </c>
      <c r="BS25" s="221">
        <f>+BR25</f>
        <v>958.59299999999996</v>
      </c>
      <c r="BT25" s="267">
        <v>1016</v>
      </c>
      <c r="BU25" s="267">
        <v>1000</v>
      </c>
      <c r="BV25" s="267">
        <v>1060</v>
      </c>
      <c r="BW25" s="267">
        <v>1293</v>
      </c>
      <c r="BX25" s="221">
        <f>+BW25</f>
        <v>1293</v>
      </c>
      <c r="BY25" s="267">
        <v>1192</v>
      </c>
      <c r="BZ25" s="267">
        <v>1144</v>
      </c>
      <c r="CA25" s="267">
        <v>1214</v>
      </c>
      <c r="CB25" s="267">
        <v>1258</v>
      </c>
      <c r="CC25" s="221">
        <f>+CB25</f>
        <v>1258</v>
      </c>
      <c r="CD25" s="267">
        <v>1179</v>
      </c>
      <c r="CE25" s="267">
        <v>979</v>
      </c>
      <c r="CF25" s="267">
        <v>1018</v>
      </c>
      <c r="CG25" s="267">
        <v>995</v>
      </c>
      <c r="CH25" s="221">
        <f>+CG25</f>
        <v>995</v>
      </c>
      <c r="CI25" s="267">
        <v>988</v>
      </c>
      <c r="CJ25" s="267">
        <v>917</v>
      </c>
      <c r="CK25" s="267">
        <v>850</v>
      </c>
      <c r="CL25" s="267">
        <v>967</v>
      </c>
      <c r="CM25" s="221">
        <f>+CL25</f>
        <v>967</v>
      </c>
      <c r="CN25" s="266">
        <f ca="1">CN75*(IS!CN12+IS!CN13+IS!CN11)/IS!CN6</f>
        <v>836.92098294500704</v>
      </c>
      <c r="CO25" s="266">
        <f ca="1">CO75*(IS!CO12+IS!CO13+IS!CO11)/IS!CO6</f>
        <v>777.21535696322724</v>
      </c>
      <c r="CP25" s="266">
        <f ca="1">CP75*(IS!CP12+IS!CP13+IS!CP11)/IS!CP6</f>
        <v>672.59856306825975</v>
      </c>
      <c r="CQ25" s="266">
        <f ca="1">CQ75*(IS!CQ12+IS!CQ13+IS!CQ11)/IS!CQ6</f>
        <v>765.30909925304718</v>
      </c>
      <c r="CR25" s="221">
        <f ca="1">+CQ25</f>
        <v>765.30909925304718</v>
      </c>
      <c r="CS25" s="266">
        <f ca="1">CS75*(IS!CS12+IS!CS13+IS!CS11)/IS!CS6</f>
        <v>784.26336386355433</v>
      </c>
      <c r="CT25" s="266">
        <f ca="1">CT75*(IS!CT12+IS!CT13+IS!CT11)/IS!CT6</f>
        <v>863.84287245451196</v>
      </c>
      <c r="CU25" s="266">
        <f ca="1">CU75*(IS!CU12+IS!CU13+IS!CU11)/IS!CU6</f>
        <v>809.89256053645749</v>
      </c>
      <c r="CV25" s="266">
        <f ca="1">CV75*(IS!CV12+IS!CV13+IS!CV11)/IS!CV6</f>
        <v>1127.5192594321263</v>
      </c>
      <c r="CW25" s="221">
        <f ca="1">+CV25</f>
        <v>1127.5192594321263</v>
      </c>
      <c r="CX25" s="266">
        <f ca="1">CX75*(IS!CX12+IS!CX13+IS!CX11)/IS!CX6</f>
        <v>910.07655130221747</v>
      </c>
      <c r="CY25" s="266">
        <f ca="1">CY75*(IS!CY12+IS!CY13+IS!CY11)/IS!CY6</f>
        <v>867.47617765702648</v>
      </c>
      <c r="CZ25" s="266">
        <f ca="1">CZ75*(IS!CZ12+IS!CZ13+IS!CZ11)/IS!CZ6</f>
        <v>812.72176417388084</v>
      </c>
      <c r="DA25" s="266">
        <f ca="1">DA75*(IS!DA12+IS!DA13+IS!DA11)/IS!DA6</f>
        <v>931.93131321440399</v>
      </c>
      <c r="DB25" s="221">
        <f ca="1">+DA25</f>
        <v>931.93131321440399</v>
      </c>
      <c r="DC25" s="9"/>
      <c r="DJ25" s="1281"/>
    </row>
    <row r="26" spans="1:114">
      <c r="A26" s="1"/>
      <c r="B26" s="9" t="s">
        <v>397</v>
      </c>
      <c r="C26" s="202"/>
      <c r="D26" s="891"/>
      <c r="E26" s="213">
        <v>19.451000000000001</v>
      </c>
      <c r="F26" s="213">
        <v>27.388999999999999</v>
      </c>
      <c r="G26" s="265">
        <v>17.012</v>
      </c>
      <c r="H26" s="265">
        <v>20.277999999999999</v>
      </c>
      <c r="I26" s="265">
        <v>14.797000000000001</v>
      </c>
      <c r="J26" s="265">
        <v>6.681</v>
      </c>
      <c r="K26" s="201">
        <f>J26</f>
        <v>6.681</v>
      </c>
      <c r="L26" s="265">
        <v>10.298999999999999</v>
      </c>
      <c r="M26" s="265">
        <v>6.8010000000000002</v>
      </c>
      <c r="N26" s="265">
        <v>10.076000000000001</v>
      </c>
      <c r="O26" s="265">
        <v>6.7809999999999997</v>
      </c>
      <c r="P26" s="201">
        <f>O26</f>
        <v>6.7809999999999997</v>
      </c>
      <c r="Q26" s="265">
        <v>9.9130000000000003</v>
      </c>
      <c r="R26" s="265">
        <v>6.7670000000000003</v>
      </c>
      <c r="S26" s="265">
        <v>10.775</v>
      </c>
      <c r="T26" s="265">
        <v>7.5579999999999998</v>
      </c>
      <c r="U26" s="201">
        <f>T26</f>
        <v>7.5579999999999998</v>
      </c>
      <c r="V26" s="265">
        <v>10.731</v>
      </c>
      <c r="W26" s="265">
        <v>7.5309999999999997</v>
      </c>
      <c r="X26" s="265">
        <v>13.618</v>
      </c>
      <c r="Y26" s="265">
        <v>7.6929999999999996</v>
      </c>
      <c r="Z26" s="201">
        <f>Y26</f>
        <v>7.6929999999999996</v>
      </c>
      <c r="AA26" s="265">
        <v>15.906000000000001</v>
      </c>
      <c r="AB26" s="265">
        <v>7.782</v>
      </c>
      <c r="AC26" s="265">
        <v>16.158000000000001</v>
      </c>
      <c r="AD26" s="265">
        <v>8.5909999999999993</v>
      </c>
      <c r="AE26" s="201">
        <f>AD26</f>
        <v>8.5909999999999993</v>
      </c>
      <c r="AF26" s="265">
        <v>11.061999999999999</v>
      </c>
      <c r="AG26" s="265">
        <v>6.8769999999999998</v>
      </c>
      <c r="AH26" s="265">
        <v>12.7</v>
      </c>
      <c r="AI26" s="265">
        <v>7.1219999999999999</v>
      </c>
      <c r="AJ26" s="201">
        <f>AI26</f>
        <v>7.1219999999999999</v>
      </c>
      <c r="AK26" s="265">
        <v>11.675000000000001</v>
      </c>
      <c r="AL26" s="265">
        <v>8.375</v>
      </c>
      <c r="AM26" s="265">
        <v>93.153999999999996</v>
      </c>
      <c r="AN26" s="265">
        <v>153.83199999999999</v>
      </c>
      <c r="AO26" s="201">
        <f>AN26</f>
        <v>153.83199999999999</v>
      </c>
      <c r="AP26" s="265">
        <v>90.441999999999993</v>
      </c>
      <c r="AQ26" s="265">
        <v>147.45099999999999</v>
      </c>
      <c r="AR26" s="265">
        <v>82.849000000000004</v>
      </c>
      <c r="AS26" s="265">
        <v>152.22800000000001</v>
      </c>
      <c r="AT26" s="201">
        <f>AS26</f>
        <v>152.22800000000001</v>
      </c>
      <c r="AU26" s="265">
        <v>83.102999999999994</v>
      </c>
      <c r="AV26" s="265">
        <v>143.58099999999999</v>
      </c>
      <c r="AW26" s="265">
        <v>83.561999999999998</v>
      </c>
      <c r="AX26" s="265">
        <v>145.20099999999999</v>
      </c>
      <c r="AY26" s="201">
        <f>AX26</f>
        <v>145.20099999999999</v>
      </c>
      <c r="AZ26" s="265">
        <v>85.454999999999998</v>
      </c>
      <c r="BA26" s="265">
        <v>147.34800000000001</v>
      </c>
      <c r="BB26" s="265">
        <v>82.055999999999997</v>
      </c>
      <c r="BC26" s="265">
        <v>146.41499999999999</v>
      </c>
      <c r="BD26" s="201">
        <f>BC26</f>
        <v>146.41499999999999</v>
      </c>
      <c r="BE26" s="265">
        <f>84.502</f>
        <v>84.501999999999995</v>
      </c>
      <c r="BF26" s="265">
        <v>145.14599999999999</v>
      </c>
      <c r="BG26" s="265">
        <v>83.983999999999995</v>
      </c>
      <c r="BH26" s="265">
        <v>110.121</v>
      </c>
      <c r="BI26" s="201">
        <f>+BH26</f>
        <v>110.121</v>
      </c>
      <c r="BJ26" s="265">
        <v>101.15600000000001</v>
      </c>
      <c r="BK26" s="265">
        <v>82.742000000000004</v>
      </c>
      <c r="BL26" s="265">
        <v>110.864</v>
      </c>
      <c r="BM26" s="265">
        <v>110.702</v>
      </c>
      <c r="BN26" s="201">
        <f>+BM26</f>
        <v>110.702</v>
      </c>
      <c r="BO26" s="267">
        <v>109.93899999999999</v>
      </c>
      <c r="BP26" s="267">
        <v>111.15600000000001</v>
      </c>
      <c r="BQ26" s="267">
        <v>107.46299999999999</v>
      </c>
      <c r="BR26" s="267">
        <v>111.89100000000001</v>
      </c>
      <c r="BS26" s="221">
        <f>+BR26</f>
        <v>111.89100000000001</v>
      </c>
      <c r="BT26" s="267">
        <v>165</v>
      </c>
      <c r="BU26" s="267">
        <v>233</v>
      </c>
      <c r="BV26" s="267">
        <v>164</v>
      </c>
      <c r="BW26" s="267">
        <v>227</v>
      </c>
      <c r="BX26" s="221">
        <f>+BW26</f>
        <v>227</v>
      </c>
      <c r="BY26" s="267">
        <v>157</v>
      </c>
      <c r="BZ26" s="267">
        <v>226</v>
      </c>
      <c r="CA26" s="267">
        <v>163</v>
      </c>
      <c r="CB26" s="267">
        <v>227</v>
      </c>
      <c r="CC26" s="221">
        <f>+CB26</f>
        <v>227</v>
      </c>
      <c r="CD26" s="267">
        <v>158</v>
      </c>
      <c r="CE26" s="267">
        <v>208</v>
      </c>
      <c r="CF26" s="267">
        <v>151</v>
      </c>
      <c r="CG26" s="267">
        <v>207</v>
      </c>
      <c r="CH26" s="221">
        <f>+CG26</f>
        <v>207</v>
      </c>
      <c r="CI26" s="267">
        <v>145</v>
      </c>
      <c r="CJ26" s="267">
        <v>236</v>
      </c>
      <c r="CK26" s="267">
        <v>238</v>
      </c>
      <c r="CL26" s="267">
        <v>229</v>
      </c>
      <c r="CM26" s="221">
        <f>+CL26</f>
        <v>229</v>
      </c>
      <c r="CN26" s="266">
        <f t="shared" ref="CN26:CN27" si="91">+CM26</f>
        <v>229</v>
      </c>
      <c r="CO26" s="266">
        <f t="shared" ref="CO26:CO28" si="92">+CN26</f>
        <v>229</v>
      </c>
      <c r="CP26" s="266">
        <f t="shared" ref="CP26:CP28" si="93">+CO26</f>
        <v>229</v>
      </c>
      <c r="CQ26" s="266">
        <f t="shared" ref="CQ26:CQ28" si="94">+CP26</f>
        <v>229</v>
      </c>
      <c r="CR26" s="221">
        <f>+CQ26</f>
        <v>229</v>
      </c>
      <c r="CS26" s="266">
        <f t="shared" ref="CS26:CS28" si="95">+CR26</f>
        <v>229</v>
      </c>
      <c r="CT26" s="266">
        <f t="shared" ref="CT26:CT28" si="96">+CS26</f>
        <v>229</v>
      </c>
      <c r="CU26" s="266">
        <f t="shared" ref="CU26:CU28" si="97">+CT26</f>
        <v>229</v>
      </c>
      <c r="CV26" s="266">
        <f t="shared" ref="CV26:CV28" si="98">+CU26</f>
        <v>229</v>
      </c>
      <c r="CW26" s="221">
        <f>+CV26</f>
        <v>229</v>
      </c>
      <c r="CX26" s="266">
        <f t="shared" ref="CX26:CX28" si="99">+CW26</f>
        <v>229</v>
      </c>
      <c r="CY26" s="266">
        <f t="shared" ref="CY26:CY28" si="100">+CX26</f>
        <v>229</v>
      </c>
      <c r="CZ26" s="266">
        <f t="shared" ref="CZ26:CZ28" si="101">+CY26</f>
        <v>229</v>
      </c>
      <c r="DA26" s="266">
        <f t="shared" ref="DA26:DA28" si="102">+CZ26</f>
        <v>229</v>
      </c>
      <c r="DB26" s="221">
        <f>+DA26</f>
        <v>229</v>
      </c>
      <c r="DC26" s="9"/>
      <c r="DJ26" s="1281"/>
    </row>
    <row r="27" spans="1:114">
      <c r="A27" s="1"/>
      <c r="B27" s="9" t="s">
        <v>353</v>
      </c>
      <c r="C27" s="202"/>
      <c r="D27" s="891"/>
      <c r="E27" s="213">
        <f>51.159+49.346+30.9</f>
        <v>131.405</v>
      </c>
      <c r="F27" s="213">
        <f>56.02+56.84</f>
        <v>112.86000000000001</v>
      </c>
      <c r="G27" s="265">
        <v>106.11799999999999</v>
      </c>
      <c r="H27" s="265">
        <v>111.488</v>
      </c>
      <c r="I27" s="265">
        <v>105.703</v>
      </c>
      <c r="J27" s="265">
        <f>67.45+73.329</f>
        <v>140.779</v>
      </c>
      <c r="K27" s="201">
        <f>J27</f>
        <v>140.779</v>
      </c>
      <c r="L27" s="265">
        <v>153.83600000000001</v>
      </c>
      <c r="M27" s="265">
        <v>144.27699999999999</v>
      </c>
      <c r="N27" s="265">
        <v>145.45500000000001</v>
      </c>
      <c r="O27" s="265">
        <f>80.525+94.359</f>
        <v>174.88400000000001</v>
      </c>
      <c r="P27" s="201">
        <f>O27</f>
        <v>174.88400000000001</v>
      </c>
      <c r="Q27" s="265">
        <v>155.08000000000001</v>
      </c>
      <c r="R27" s="265">
        <v>171.00299999999999</v>
      </c>
      <c r="S27" s="265">
        <v>191.251</v>
      </c>
      <c r="T27" s="265">
        <f>80.845+0.669+115.478</f>
        <v>196.99199999999999</v>
      </c>
      <c r="U27" s="201">
        <f>T27</f>
        <v>196.99199999999999</v>
      </c>
      <c r="V27" s="265">
        <f>181.639+0.669</f>
        <v>182.30800000000002</v>
      </c>
      <c r="W27" s="265">
        <f>190.84+0.669</f>
        <v>191.50900000000001</v>
      </c>
      <c r="X27" s="265">
        <f>197.945+0.669</f>
        <v>198.614</v>
      </c>
      <c r="Y27" s="265">
        <f>62.688+1.301+98.365</f>
        <v>162.35399999999998</v>
      </c>
      <c r="Z27" s="201">
        <f>Y27</f>
        <v>162.35399999999998</v>
      </c>
      <c r="AA27" s="265">
        <f>206.2+1.301</f>
        <v>207.50099999999998</v>
      </c>
      <c r="AB27" s="265">
        <f>229.598+1.301</f>
        <v>230.899</v>
      </c>
      <c r="AC27" s="265">
        <f>223.377+1.301</f>
        <v>224.678</v>
      </c>
      <c r="AD27" s="265">
        <f>78.162+121.775</f>
        <v>199.93700000000001</v>
      </c>
      <c r="AE27" s="201">
        <f>AD27</f>
        <v>199.93700000000001</v>
      </c>
      <c r="AF27" s="265">
        <v>252.238</v>
      </c>
      <c r="AG27" s="265">
        <v>258.98899999999998</v>
      </c>
      <c r="AH27" s="265">
        <v>294.892</v>
      </c>
      <c r="AI27" s="265">
        <f>115.204+162.188</f>
        <v>277.392</v>
      </c>
      <c r="AJ27" s="201">
        <f>AI27</f>
        <v>277.392</v>
      </c>
      <c r="AK27" s="265">
        <v>290.57</v>
      </c>
      <c r="AL27" s="265">
        <v>270.15199999999999</v>
      </c>
      <c r="AM27" s="265">
        <v>711.30799999999999</v>
      </c>
      <c r="AN27" s="265">
        <f>377.102+403.598</f>
        <v>780.7</v>
      </c>
      <c r="AO27" s="201">
        <f>AN27</f>
        <v>780.7</v>
      </c>
      <c r="AP27" s="265">
        <v>731.27099999999996</v>
      </c>
      <c r="AQ27" s="265">
        <v>691.40599999999995</v>
      </c>
      <c r="AR27" s="265">
        <v>811.01099999999997</v>
      </c>
      <c r="AS27" s="265">
        <f>427.688+388.423+6.74</f>
        <v>822.851</v>
      </c>
      <c r="AT27" s="201">
        <f>AS27</f>
        <v>822.851</v>
      </c>
      <c r="AU27" s="265">
        <f>797.432+6.74</f>
        <v>804.17200000000003</v>
      </c>
      <c r="AV27" s="265">
        <f>721.313+6.74</f>
        <v>728.053</v>
      </c>
      <c r="AW27" s="265">
        <f>863.903+6.74</f>
        <v>870.64300000000003</v>
      </c>
      <c r="AX27" s="265">
        <f>789.163+28.397</f>
        <v>817.56000000000006</v>
      </c>
      <c r="AY27" s="201">
        <f>AX27</f>
        <v>817.56000000000006</v>
      </c>
      <c r="AZ27" s="265">
        <f>847.787+28.431</f>
        <v>876.21800000000007</v>
      </c>
      <c r="BA27" s="265">
        <f>746.773+28.431</f>
        <v>775.20400000000006</v>
      </c>
      <c r="BB27" s="265">
        <f>892.62+28.522</f>
        <v>921.14200000000005</v>
      </c>
      <c r="BC27" s="265">
        <f>897.266+8.882</f>
        <v>906.14799999999991</v>
      </c>
      <c r="BD27" s="201">
        <f>BC27</f>
        <v>906.14799999999991</v>
      </c>
      <c r="BE27" s="265">
        <f>898.81+8.882</f>
        <v>907.69199999999989</v>
      </c>
      <c r="BF27" s="265">
        <f>854.329+8.882</f>
        <v>863.2109999999999</v>
      </c>
      <c r="BG27" s="265">
        <f>895.196+8.882</f>
        <v>904.07799999999997</v>
      </c>
      <c r="BH27" s="265">
        <v>988.31500000000005</v>
      </c>
      <c r="BI27" s="201">
        <f>+BH27</f>
        <v>988.31500000000005</v>
      </c>
      <c r="BJ27" s="265">
        <v>997.61800000000005</v>
      </c>
      <c r="BK27" s="265">
        <v>962.05600000000004</v>
      </c>
      <c r="BL27" s="265">
        <v>961.91</v>
      </c>
      <c r="BM27" s="265">
        <v>1116.693</v>
      </c>
      <c r="BN27" s="201">
        <f>+BM27</f>
        <v>1116.693</v>
      </c>
      <c r="BO27" s="267">
        <v>1038.0809999999999</v>
      </c>
      <c r="BP27" s="267">
        <v>1003.747</v>
      </c>
      <c r="BQ27" s="267">
        <v>1077.8820000000001</v>
      </c>
      <c r="BR27" s="267">
        <v>1216.914</v>
      </c>
      <c r="BS27" s="221">
        <f>+BR27</f>
        <v>1216.914</v>
      </c>
      <c r="BT27" s="267">
        <v>1746</v>
      </c>
      <c r="BU27" s="267">
        <v>1727</v>
      </c>
      <c r="BV27" s="267">
        <v>1737</v>
      </c>
      <c r="BW27" s="267">
        <f>955+856</f>
        <v>1811</v>
      </c>
      <c r="BX27" s="221">
        <f>+BW27</f>
        <v>1811</v>
      </c>
      <c r="BY27" s="267">
        <v>1547</v>
      </c>
      <c r="BZ27" s="267">
        <v>1508</v>
      </c>
      <c r="CA27" s="267">
        <f>1412+23</f>
        <v>1435</v>
      </c>
      <c r="CB27" s="267">
        <f>823+535</f>
        <v>1358</v>
      </c>
      <c r="CC27" s="221">
        <f>+CB27</f>
        <v>1358</v>
      </c>
      <c r="CD27" s="267">
        <v>1468</v>
      </c>
      <c r="CE27" s="267">
        <v>1288</v>
      </c>
      <c r="CF27" s="267">
        <v>1277</v>
      </c>
      <c r="CG27" s="267">
        <f>731+499</f>
        <v>1230</v>
      </c>
      <c r="CH27" s="221">
        <f>+CG27</f>
        <v>1230</v>
      </c>
      <c r="CI27" s="267">
        <v>1305</v>
      </c>
      <c r="CJ27" s="267">
        <v>1179</v>
      </c>
      <c r="CK27" s="267">
        <v>1149</v>
      </c>
      <c r="CL27" s="267">
        <f>685+442</f>
        <v>1127</v>
      </c>
      <c r="CM27" s="221">
        <f>+CL27</f>
        <v>1127</v>
      </c>
      <c r="CN27" s="266">
        <f t="shared" si="91"/>
        <v>1127</v>
      </c>
      <c r="CO27" s="266">
        <f t="shared" si="92"/>
        <v>1127</v>
      </c>
      <c r="CP27" s="266">
        <f t="shared" si="93"/>
        <v>1127</v>
      </c>
      <c r="CQ27" s="266">
        <f t="shared" si="94"/>
        <v>1127</v>
      </c>
      <c r="CR27" s="221">
        <f>+CQ27</f>
        <v>1127</v>
      </c>
      <c r="CS27" s="266">
        <f t="shared" si="95"/>
        <v>1127</v>
      </c>
      <c r="CT27" s="266">
        <f t="shared" si="96"/>
        <v>1127</v>
      </c>
      <c r="CU27" s="266">
        <f t="shared" si="97"/>
        <v>1127</v>
      </c>
      <c r="CV27" s="266">
        <f t="shared" si="98"/>
        <v>1127</v>
      </c>
      <c r="CW27" s="221">
        <f>+CV27</f>
        <v>1127</v>
      </c>
      <c r="CX27" s="266">
        <f t="shared" si="99"/>
        <v>1127</v>
      </c>
      <c r="CY27" s="266">
        <f t="shared" si="100"/>
        <v>1127</v>
      </c>
      <c r="CZ27" s="266">
        <f t="shared" si="101"/>
        <v>1127</v>
      </c>
      <c r="DA27" s="266">
        <f t="shared" si="102"/>
        <v>1127</v>
      </c>
      <c r="DB27" s="221">
        <f>+DA27</f>
        <v>1127</v>
      </c>
      <c r="DC27" s="9"/>
      <c r="DJ27" s="1281"/>
    </row>
    <row r="28" spans="1:114">
      <c r="A28" s="1"/>
      <c r="B28" s="9" t="s">
        <v>396</v>
      </c>
      <c r="C28" s="353"/>
      <c r="D28" s="406"/>
      <c r="E28" s="352">
        <v>0</v>
      </c>
      <c r="F28" s="352">
        <v>0</v>
      </c>
      <c r="G28" s="353">
        <v>9.9610000000000003</v>
      </c>
      <c r="H28" s="353">
        <v>16.998000000000001</v>
      </c>
      <c r="I28" s="353">
        <v>26.023</v>
      </c>
      <c r="J28" s="353">
        <v>2.3250000000000002</v>
      </c>
      <c r="K28" s="354">
        <f>J28</f>
        <v>2.3250000000000002</v>
      </c>
      <c r="L28" s="353">
        <v>21.216999999999999</v>
      </c>
      <c r="M28" s="353">
        <v>23.393999999999998</v>
      </c>
      <c r="N28" s="353">
        <v>32.332999999999998</v>
      </c>
      <c r="O28" s="353">
        <v>6.5590000000000002</v>
      </c>
      <c r="P28" s="354">
        <f>O28</f>
        <v>6.5590000000000002</v>
      </c>
      <c r="Q28" s="353">
        <v>22.148</v>
      </c>
      <c r="R28" s="353">
        <v>30.431000000000001</v>
      </c>
      <c r="S28" s="353">
        <v>50.16</v>
      </c>
      <c r="T28" s="353">
        <v>9.1259999999999994</v>
      </c>
      <c r="U28" s="354">
        <f>T28</f>
        <v>9.1259999999999994</v>
      </c>
      <c r="V28" s="353">
        <v>23.1</v>
      </c>
      <c r="W28" s="353">
        <v>46.82</v>
      </c>
      <c r="X28" s="353">
        <v>39.676000000000002</v>
      </c>
      <c r="Y28" s="353">
        <v>2.8069999999999999</v>
      </c>
      <c r="Z28" s="354">
        <f>Y28</f>
        <v>2.8069999999999999</v>
      </c>
      <c r="AA28" s="353">
        <v>22.666</v>
      </c>
      <c r="AB28" s="353">
        <v>27.12</v>
      </c>
      <c r="AC28" s="353">
        <v>21.983000000000001</v>
      </c>
      <c r="AD28" s="353">
        <v>19.811</v>
      </c>
      <c r="AE28" s="354">
        <f>AD28</f>
        <v>19.811</v>
      </c>
      <c r="AF28" s="353">
        <v>31.821999999999999</v>
      </c>
      <c r="AG28" s="353">
        <v>50.289000000000001</v>
      </c>
      <c r="AH28" s="353">
        <v>0</v>
      </c>
      <c r="AI28" s="353">
        <v>7.6260000000000003</v>
      </c>
      <c r="AJ28" s="354">
        <f>AI28</f>
        <v>7.6260000000000003</v>
      </c>
      <c r="AK28" s="353">
        <v>25.524000000000001</v>
      </c>
      <c r="AL28" s="353">
        <v>49.01</v>
      </c>
      <c r="AM28" s="353">
        <v>0</v>
      </c>
      <c r="AN28" s="353">
        <v>0</v>
      </c>
      <c r="AO28" s="354">
        <f>AN28</f>
        <v>0</v>
      </c>
      <c r="AP28" s="353">
        <v>0</v>
      </c>
      <c r="AQ28" s="353">
        <v>12.224</v>
      </c>
      <c r="AR28" s="353">
        <v>38.311999999999998</v>
      </c>
      <c r="AS28" s="353">
        <v>0</v>
      </c>
      <c r="AT28" s="354">
        <f>AS28</f>
        <v>0</v>
      </c>
      <c r="AU28" s="353">
        <v>17.667999999999999</v>
      </c>
      <c r="AV28" s="353">
        <v>25.92</v>
      </c>
      <c r="AW28" s="353">
        <v>48.250999999999998</v>
      </c>
      <c r="AX28" s="353">
        <v>0</v>
      </c>
      <c r="AY28" s="354">
        <f>AX28</f>
        <v>0</v>
      </c>
      <c r="AZ28" s="353">
        <f>+AX28</f>
        <v>0</v>
      </c>
      <c r="BA28" s="353">
        <f>+AZ28</f>
        <v>0</v>
      </c>
      <c r="BB28" s="353">
        <f>+BA28</f>
        <v>0</v>
      </c>
      <c r="BC28" s="353">
        <v>0</v>
      </c>
      <c r="BD28" s="354">
        <f>BC28</f>
        <v>0</v>
      </c>
      <c r="BE28" s="353">
        <f>+BC28</f>
        <v>0</v>
      </c>
      <c r="BF28" s="353">
        <v>0.34899999999999998</v>
      </c>
      <c r="BG28" s="353">
        <v>17.704999999999998</v>
      </c>
      <c r="BH28" s="353">
        <v>0</v>
      </c>
      <c r="BI28" s="354">
        <f>+BH28</f>
        <v>0</v>
      </c>
      <c r="BJ28" s="353">
        <v>0</v>
      </c>
      <c r="BK28" s="353">
        <v>0</v>
      </c>
      <c r="BL28" s="353">
        <v>0</v>
      </c>
      <c r="BM28" s="869">
        <v>0</v>
      </c>
      <c r="BN28" s="354">
        <f>+BM28</f>
        <v>0</v>
      </c>
      <c r="BO28" s="355">
        <v>5.9240000000000004</v>
      </c>
      <c r="BP28" s="355">
        <v>0</v>
      </c>
      <c r="BQ28" s="355">
        <f>+BP28</f>
        <v>0</v>
      </c>
      <c r="BR28" s="355">
        <v>3.1829999999999998</v>
      </c>
      <c r="BS28" s="357">
        <f>+BR28</f>
        <v>3.1829999999999998</v>
      </c>
      <c r="BT28" s="355">
        <v>0</v>
      </c>
      <c r="BU28" s="355">
        <f>+BT28</f>
        <v>0</v>
      </c>
      <c r="BV28" s="355">
        <f>+BU28</f>
        <v>0</v>
      </c>
      <c r="BW28" s="355">
        <v>23</v>
      </c>
      <c r="BX28" s="357">
        <f>+BW28</f>
        <v>23</v>
      </c>
      <c r="BY28" s="355">
        <f>23+13</f>
        <v>36</v>
      </c>
      <c r="BZ28" s="355">
        <f>83+23</f>
        <v>106</v>
      </c>
      <c r="CA28" s="355">
        <f>102</f>
        <v>102</v>
      </c>
      <c r="CB28" s="355">
        <v>0</v>
      </c>
      <c r="CC28" s="357">
        <f>+CB28</f>
        <v>0</v>
      </c>
      <c r="CD28" s="355">
        <f>+CB28</f>
        <v>0</v>
      </c>
      <c r="CE28" s="355">
        <f>+CD28</f>
        <v>0</v>
      </c>
      <c r="CF28" s="355">
        <f>+CE28</f>
        <v>0</v>
      </c>
      <c r="CG28" s="355">
        <f>+CF28</f>
        <v>0</v>
      </c>
      <c r="CH28" s="357">
        <f>+CG28</f>
        <v>0</v>
      </c>
      <c r="CI28" s="355">
        <f>+CG28</f>
        <v>0</v>
      </c>
      <c r="CJ28" s="355">
        <f>+CH28</f>
        <v>0</v>
      </c>
      <c r="CK28" s="355">
        <f>+CJ28</f>
        <v>0</v>
      </c>
      <c r="CL28" s="355">
        <f>+CK28</f>
        <v>0</v>
      </c>
      <c r="CM28" s="357">
        <f>+CL28</f>
        <v>0</v>
      </c>
      <c r="CN28" s="356">
        <f>+CM28</f>
        <v>0</v>
      </c>
      <c r="CO28" s="356">
        <f t="shared" si="92"/>
        <v>0</v>
      </c>
      <c r="CP28" s="356">
        <f t="shared" si="93"/>
        <v>0</v>
      </c>
      <c r="CQ28" s="356">
        <f t="shared" si="94"/>
        <v>0</v>
      </c>
      <c r="CR28" s="357">
        <f>+CQ28</f>
        <v>0</v>
      </c>
      <c r="CS28" s="356">
        <f t="shared" si="95"/>
        <v>0</v>
      </c>
      <c r="CT28" s="356">
        <f t="shared" si="96"/>
        <v>0</v>
      </c>
      <c r="CU28" s="356">
        <f t="shared" si="97"/>
        <v>0</v>
      </c>
      <c r="CV28" s="356">
        <f t="shared" si="98"/>
        <v>0</v>
      </c>
      <c r="CW28" s="357">
        <f>+CV28</f>
        <v>0</v>
      </c>
      <c r="CX28" s="356">
        <f t="shared" si="99"/>
        <v>0</v>
      </c>
      <c r="CY28" s="356">
        <f t="shared" si="100"/>
        <v>0</v>
      </c>
      <c r="CZ28" s="356">
        <f t="shared" si="101"/>
        <v>0</v>
      </c>
      <c r="DA28" s="356">
        <f t="shared" si="102"/>
        <v>0</v>
      </c>
      <c r="DB28" s="357">
        <f>+DA28</f>
        <v>0</v>
      </c>
      <c r="DC28" s="9"/>
    </row>
    <row r="29" spans="1:114">
      <c r="A29" s="1"/>
      <c r="B29" s="25" t="s">
        <v>399</v>
      </c>
      <c r="C29" s="158"/>
      <c r="D29" s="873"/>
      <c r="E29" s="168">
        <f t="shared" ref="E29:Z29" si="103">SUM(E24:E28)</f>
        <v>235.27700000000002</v>
      </c>
      <c r="F29" s="168">
        <f t="shared" si="103"/>
        <v>240.87300000000002</v>
      </c>
      <c r="G29" s="872">
        <f t="shared" si="103"/>
        <v>235.227</v>
      </c>
      <c r="H29" s="872">
        <f t="shared" si="103"/>
        <v>256.72300000000001</v>
      </c>
      <c r="I29" s="872">
        <f t="shared" si="103"/>
        <v>280.51500000000004</v>
      </c>
      <c r="J29" s="872">
        <f t="shared" si="103"/>
        <v>299.572</v>
      </c>
      <c r="K29" s="168">
        <f t="shared" si="103"/>
        <v>299.572</v>
      </c>
      <c r="L29" s="872">
        <f t="shared" si="103"/>
        <v>376.06700000000001</v>
      </c>
      <c r="M29" s="872">
        <f t="shared" si="103"/>
        <v>310.56399999999996</v>
      </c>
      <c r="N29" s="872">
        <f t="shared" si="103"/>
        <v>321.77300000000002</v>
      </c>
      <c r="O29" s="872">
        <f t="shared" si="103"/>
        <v>318.43000000000006</v>
      </c>
      <c r="P29" s="168">
        <f t="shared" si="103"/>
        <v>318.43000000000006</v>
      </c>
      <c r="Q29" s="872">
        <f t="shared" si="103"/>
        <v>320.48100000000005</v>
      </c>
      <c r="R29" s="872">
        <f t="shared" si="103"/>
        <v>334.71599999999995</v>
      </c>
      <c r="S29" s="872">
        <f t="shared" si="103"/>
        <v>394.83600000000001</v>
      </c>
      <c r="T29" s="872">
        <f t="shared" si="103"/>
        <v>398.06399999999996</v>
      </c>
      <c r="U29" s="168">
        <f t="shared" si="103"/>
        <v>398.06399999999996</v>
      </c>
      <c r="V29" s="872">
        <f t="shared" si="103"/>
        <v>378.04400000000004</v>
      </c>
      <c r="W29" s="872">
        <f t="shared" si="103"/>
        <v>406.84399999999999</v>
      </c>
      <c r="X29" s="872">
        <f t="shared" si="103"/>
        <v>419.60599999999999</v>
      </c>
      <c r="Y29" s="872">
        <f t="shared" si="103"/>
        <v>362.35900000000004</v>
      </c>
      <c r="Z29" s="168">
        <f t="shared" si="103"/>
        <v>362.35900000000004</v>
      </c>
      <c r="AA29" s="872">
        <f t="shared" ref="AA29:AY29" si="104">SUM(AA24:AA28)</f>
        <v>422.81599999999997</v>
      </c>
      <c r="AB29" s="872">
        <f t="shared" si="104"/>
        <v>436.02800000000002</v>
      </c>
      <c r="AC29" s="872">
        <f t="shared" si="104"/>
        <v>440.334</v>
      </c>
      <c r="AD29" s="872">
        <f t="shared" si="104"/>
        <v>437.40299999999996</v>
      </c>
      <c r="AE29" s="168">
        <f t="shared" si="104"/>
        <v>437.40299999999996</v>
      </c>
      <c r="AF29" s="872">
        <f t="shared" si="104"/>
        <v>472.596</v>
      </c>
      <c r="AG29" s="872">
        <f t="shared" si="104"/>
        <v>533.78599999999994</v>
      </c>
      <c r="AH29" s="872">
        <f t="shared" si="104"/>
        <v>546.81500000000005</v>
      </c>
      <c r="AI29" s="872">
        <f t="shared" si="104"/>
        <v>575.28300000000002</v>
      </c>
      <c r="AJ29" s="168">
        <f t="shared" si="104"/>
        <v>575.28300000000002</v>
      </c>
      <c r="AK29" s="872">
        <f t="shared" si="104"/>
        <v>590.71600000000001</v>
      </c>
      <c r="AL29" s="872">
        <f t="shared" si="104"/>
        <v>611.024</v>
      </c>
      <c r="AM29" s="872">
        <f t="shared" si="104"/>
        <v>1389.508</v>
      </c>
      <c r="AN29" s="872">
        <f t="shared" si="104"/>
        <v>1447.9349999999999</v>
      </c>
      <c r="AO29" s="168">
        <f t="shared" si="104"/>
        <v>1447.9349999999999</v>
      </c>
      <c r="AP29" s="872">
        <f t="shared" si="104"/>
        <v>1302.626</v>
      </c>
      <c r="AQ29" s="872">
        <f t="shared" si="104"/>
        <v>1313.8779999999999</v>
      </c>
      <c r="AR29" s="872">
        <f t="shared" si="104"/>
        <v>1428.8829999999998</v>
      </c>
      <c r="AS29" s="872">
        <f t="shared" si="104"/>
        <v>1533.9699999999998</v>
      </c>
      <c r="AT29" s="168">
        <f t="shared" si="104"/>
        <v>1533.9699999999998</v>
      </c>
      <c r="AU29" s="872">
        <f t="shared" si="104"/>
        <v>1403.0079999999998</v>
      </c>
      <c r="AV29" s="872">
        <f t="shared" si="104"/>
        <v>1460.2540000000001</v>
      </c>
      <c r="AW29" s="872">
        <f t="shared" si="104"/>
        <v>1560.0980000000002</v>
      </c>
      <c r="AX29" s="872">
        <f t="shared" si="104"/>
        <v>1457.796</v>
      </c>
      <c r="AY29" s="168">
        <f t="shared" si="104"/>
        <v>1457.796</v>
      </c>
      <c r="AZ29" s="872">
        <f t="shared" ref="AZ29:BP29" si="105">SUM(AZ24:AZ28)</f>
        <v>1531.3290000000002</v>
      </c>
      <c r="BA29" s="872">
        <f t="shared" si="105"/>
        <v>1501.248</v>
      </c>
      <c r="BB29" s="872">
        <f t="shared" si="105"/>
        <v>1580.0040000000001</v>
      </c>
      <c r="BC29" s="872">
        <f t="shared" si="105"/>
        <v>1642.04</v>
      </c>
      <c r="BD29" s="168">
        <f t="shared" si="105"/>
        <v>1642.04</v>
      </c>
      <c r="BE29" s="872">
        <f t="shared" si="105"/>
        <v>1605.8289999999997</v>
      </c>
      <c r="BF29" s="872">
        <f t="shared" si="105"/>
        <v>1662.7419999999997</v>
      </c>
      <c r="BG29" s="872">
        <f t="shared" si="105"/>
        <v>1703.1599999999999</v>
      </c>
      <c r="BH29" s="872">
        <f t="shared" si="105"/>
        <v>1911.1390000000001</v>
      </c>
      <c r="BI29" s="168">
        <f t="shared" si="105"/>
        <v>1911.1390000000001</v>
      </c>
      <c r="BJ29" s="872">
        <f t="shared" si="105"/>
        <v>1996.4090000000001</v>
      </c>
      <c r="BK29" s="872">
        <f t="shared" si="105"/>
        <v>1899.125</v>
      </c>
      <c r="BL29" s="872">
        <f t="shared" si="105"/>
        <v>1981.223</v>
      </c>
      <c r="BM29" s="872">
        <f t="shared" si="105"/>
        <v>2143.2200000000003</v>
      </c>
      <c r="BN29" s="168">
        <f t="shared" si="105"/>
        <v>2143.2200000000003</v>
      </c>
      <c r="BO29" s="653">
        <f t="shared" si="105"/>
        <v>2008.9199999999998</v>
      </c>
      <c r="BP29" s="653">
        <f t="shared" si="105"/>
        <v>1986.9490000000001</v>
      </c>
      <c r="BQ29" s="653">
        <f t="shared" ref="BQ29:CC29" si="106">SUM(BQ24:BQ28)</f>
        <v>2109.5070000000001</v>
      </c>
      <c r="BR29" s="653">
        <f t="shared" si="106"/>
        <v>2457.4830000000002</v>
      </c>
      <c r="BS29" s="235">
        <f t="shared" si="106"/>
        <v>2457.4830000000002</v>
      </c>
      <c r="BT29" s="653">
        <f t="shared" si="106"/>
        <v>3126</v>
      </c>
      <c r="BU29" s="653">
        <f t="shared" si="106"/>
        <v>3169</v>
      </c>
      <c r="BV29" s="653">
        <f t="shared" si="106"/>
        <v>3180</v>
      </c>
      <c r="BW29" s="653">
        <f t="shared" si="106"/>
        <v>3589</v>
      </c>
      <c r="BX29" s="235">
        <f t="shared" si="106"/>
        <v>3589</v>
      </c>
      <c r="BY29" s="653">
        <f t="shared" si="106"/>
        <v>3161</v>
      </c>
      <c r="BZ29" s="653">
        <f t="shared" si="106"/>
        <v>3230</v>
      </c>
      <c r="CA29" s="653">
        <f t="shared" si="106"/>
        <v>3154</v>
      </c>
      <c r="CB29" s="653">
        <f t="shared" si="106"/>
        <v>3072</v>
      </c>
      <c r="CC29" s="235">
        <f t="shared" si="106"/>
        <v>3072</v>
      </c>
      <c r="CD29" s="653">
        <f t="shared" ref="CD29:CM29" si="107">SUM(CD24:CD28)</f>
        <v>3054</v>
      </c>
      <c r="CE29" s="653">
        <f t="shared" si="107"/>
        <v>2728</v>
      </c>
      <c r="CF29" s="653">
        <f t="shared" si="107"/>
        <v>2686</v>
      </c>
      <c r="CG29" s="653">
        <f t="shared" si="107"/>
        <v>2887</v>
      </c>
      <c r="CH29" s="235">
        <f t="shared" si="107"/>
        <v>2887</v>
      </c>
      <c r="CI29" s="653">
        <f t="shared" si="107"/>
        <v>2996</v>
      </c>
      <c r="CJ29" s="653">
        <f t="shared" ref="CJ29:CL29" si="108">SUM(CJ24:CJ28)</f>
        <v>2378</v>
      </c>
      <c r="CK29" s="653">
        <f t="shared" si="108"/>
        <v>2277</v>
      </c>
      <c r="CL29" s="653">
        <f t="shared" si="108"/>
        <v>2356</v>
      </c>
      <c r="CM29" s="235">
        <f t="shared" si="107"/>
        <v>2356</v>
      </c>
      <c r="CN29" s="653">
        <f t="shared" ref="CN29:CQ29" ca="1" si="109">SUM(CN24:CN28)</f>
        <v>2750.9209829450069</v>
      </c>
      <c r="CO29" s="653">
        <f t="shared" ca="1" si="109"/>
        <v>2691.2153569632274</v>
      </c>
      <c r="CP29" s="653">
        <f t="shared" ca="1" si="109"/>
        <v>2586.5985630682599</v>
      </c>
      <c r="CQ29" s="653">
        <f t="shared" ca="1" si="109"/>
        <v>2679.309099253047</v>
      </c>
      <c r="CR29" s="235">
        <f t="shared" ref="CR29:CW29" ca="1" si="110">SUM(CR24:CR28)</f>
        <v>2679.309099253047</v>
      </c>
      <c r="CS29" s="653">
        <f t="shared" ca="1" si="110"/>
        <v>2698.2633638635543</v>
      </c>
      <c r="CT29" s="653">
        <f t="shared" ca="1" si="110"/>
        <v>2777.842872454512</v>
      </c>
      <c r="CU29" s="653">
        <f t="shared" ca="1" si="110"/>
        <v>2723.8925605364575</v>
      </c>
      <c r="CV29" s="653">
        <f t="shared" ca="1" si="110"/>
        <v>3041.5192594321261</v>
      </c>
      <c r="CW29" s="235">
        <f t="shared" ca="1" si="110"/>
        <v>3041.5192594321261</v>
      </c>
      <c r="CX29" s="653">
        <f t="shared" ref="CX29:DA29" ca="1" si="111">SUM(CX24:CX28)</f>
        <v>2824.0765513022175</v>
      </c>
      <c r="CY29" s="653">
        <f t="shared" ca="1" si="111"/>
        <v>2781.4761776570267</v>
      </c>
      <c r="CZ29" s="653">
        <f t="shared" ca="1" si="111"/>
        <v>2726.7217641738807</v>
      </c>
      <c r="DA29" s="653">
        <f t="shared" ca="1" si="111"/>
        <v>2845.9313132144039</v>
      </c>
      <c r="DB29" s="235">
        <f t="shared" ref="DB29" ca="1" si="112">SUM(DB24:DB28)</f>
        <v>2845.9313132144039</v>
      </c>
      <c r="DC29" s="9"/>
    </row>
    <row r="30" spans="1:114">
      <c r="A30" s="1"/>
      <c r="B30" s="9"/>
      <c r="C30" s="166"/>
      <c r="D30" s="874"/>
      <c r="E30" s="201"/>
      <c r="F30" s="201"/>
      <c r="G30" s="166"/>
      <c r="H30" s="166"/>
      <c r="I30" s="166"/>
      <c r="J30" s="166"/>
      <c r="K30" s="201"/>
      <c r="L30" s="166"/>
      <c r="M30" s="166"/>
      <c r="N30" s="166"/>
      <c r="O30" s="166"/>
      <c r="P30" s="201"/>
      <c r="Q30" s="166"/>
      <c r="R30" s="166"/>
      <c r="S30" s="166"/>
      <c r="T30" s="166"/>
      <c r="U30" s="201"/>
      <c r="V30" s="166"/>
      <c r="W30" s="166"/>
      <c r="X30" s="166"/>
      <c r="Y30" s="166"/>
      <c r="Z30" s="201"/>
      <c r="AA30" s="166"/>
      <c r="AB30" s="166"/>
      <c r="AC30" s="166"/>
      <c r="AD30" s="166"/>
      <c r="AE30" s="201"/>
      <c r="AF30" s="166"/>
      <c r="AG30" s="166"/>
      <c r="AH30" s="166"/>
      <c r="AI30" s="166"/>
      <c r="AJ30" s="201"/>
      <c r="AK30" s="166"/>
      <c r="AL30" s="166"/>
      <c r="AM30" s="166"/>
      <c r="AN30" s="166"/>
      <c r="AO30" s="201"/>
      <c r="AP30" s="166"/>
      <c r="AQ30" s="166"/>
      <c r="AR30" s="166"/>
      <c r="AS30" s="166"/>
      <c r="AT30" s="201"/>
      <c r="AU30" s="166"/>
      <c r="AV30" s="166"/>
      <c r="AW30" s="166"/>
      <c r="AX30" s="166"/>
      <c r="AY30" s="201"/>
      <c r="AZ30" s="166"/>
      <c r="BA30" s="166"/>
      <c r="BB30" s="166"/>
      <c r="BC30" s="166"/>
      <c r="BD30" s="201"/>
      <c r="BE30" s="166"/>
      <c r="BF30" s="166"/>
      <c r="BG30" s="166"/>
      <c r="BH30" s="166"/>
      <c r="BI30" s="201"/>
      <c r="BJ30" s="166"/>
      <c r="BK30" s="166"/>
      <c r="BL30" s="166"/>
      <c r="BM30" s="166"/>
      <c r="BN30" s="201"/>
      <c r="BO30" s="192"/>
      <c r="BP30" s="192"/>
      <c r="BQ30" s="192"/>
      <c r="BR30" s="192"/>
      <c r="BS30" s="221"/>
      <c r="BT30" s="192"/>
      <c r="BU30" s="192"/>
      <c r="BV30" s="192"/>
      <c r="BW30" s="192"/>
      <c r="BX30" s="221"/>
      <c r="BY30" s="192"/>
      <c r="BZ30" s="192"/>
      <c r="CA30" s="192"/>
      <c r="CB30" s="192"/>
      <c r="CC30" s="221"/>
      <c r="CD30" s="192"/>
      <c r="CE30" s="192"/>
      <c r="CF30" s="192"/>
      <c r="CG30" s="192"/>
      <c r="CH30" s="221"/>
      <c r="CI30" s="192"/>
      <c r="CJ30" s="192"/>
      <c r="CK30" s="192"/>
      <c r="CL30" s="192"/>
      <c r="CM30" s="221"/>
      <c r="CN30" s="192"/>
      <c r="CO30" s="192"/>
      <c r="CP30" s="192"/>
      <c r="CQ30" s="192"/>
      <c r="CR30" s="221"/>
      <c r="CS30" s="192"/>
      <c r="CT30" s="192"/>
      <c r="CU30" s="192"/>
      <c r="CV30" s="192"/>
      <c r="CW30" s="221"/>
      <c r="CX30" s="192"/>
      <c r="CY30" s="192"/>
      <c r="CZ30" s="192"/>
      <c r="DA30" s="192"/>
      <c r="DB30" s="221"/>
      <c r="DC30" s="9"/>
    </row>
    <row r="31" spans="1:114">
      <c r="A31" s="1"/>
      <c r="B31" s="9" t="s">
        <v>400</v>
      </c>
      <c r="C31" s="202"/>
      <c r="D31" s="891"/>
      <c r="E31" s="213">
        <v>1407.604</v>
      </c>
      <c r="F31" s="213">
        <v>1201.5899999999999</v>
      </c>
      <c r="G31" s="265">
        <v>1204.6099999999999</v>
      </c>
      <c r="H31" s="265">
        <v>1229.5070000000001</v>
      </c>
      <c r="I31" s="265">
        <v>1211.586</v>
      </c>
      <c r="J31" s="265">
        <v>980.08299999999997</v>
      </c>
      <c r="K31" s="201">
        <f>J31</f>
        <v>980.08299999999997</v>
      </c>
      <c r="L31" s="265">
        <v>1008.867</v>
      </c>
      <c r="M31" s="265">
        <v>1025.3599999999999</v>
      </c>
      <c r="N31" s="265">
        <v>1178.3389999999999</v>
      </c>
      <c r="O31" s="265">
        <v>1173.9290000000001</v>
      </c>
      <c r="P31" s="201">
        <f>O31</f>
        <v>1173.9290000000001</v>
      </c>
      <c r="Q31" s="265">
        <v>1252.67</v>
      </c>
      <c r="R31" s="265">
        <v>1168.1969999999999</v>
      </c>
      <c r="S31" s="265">
        <v>1371.097</v>
      </c>
      <c r="T31" s="265">
        <v>1444.981</v>
      </c>
      <c r="U31" s="201">
        <f>T31</f>
        <v>1444.981</v>
      </c>
      <c r="V31" s="265">
        <v>1441.2940000000001</v>
      </c>
      <c r="W31" s="265">
        <v>1353.7819999999999</v>
      </c>
      <c r="X31" s="265">
        <v>1760.518</v>
      </c>
      <c r="Y31" s="265">
        <v>1804.8679999999999</v>
      </c>
      <c r="Z31" s="201">
        <f>Y31</f>
        <v>1804.8679999999999</v>
      </c>
      <c r="AA31" s="265">
        <v>1794.912</v>
      </c>
      <c r="AB31" s="265">
        <v>1791.221</v>
      </c>
      <c r="AC31" s="265">
        <v>1787.2929999999999</v>
      </c>
      <c r="AD31" s="265">
        <v>1648.5</v>
      </c>
      <c r="AE31" s="201">
        <f>AD31</f>
        <v>1648.5</v>
      </c>
      <c r="AF31" s="265">
        <v>1516.269</v>
      </c>
      <c r="AG31" s="265">
        <v>1656.9829999999999</v>
      </c>
      <c r="AH31" s="265">
        <v>1786.3579999999999</v>
      </c>
      <c r="AI31" s="265">
        <v>1905.7809999999999</v>
      </c>
      <c r="AJ31" s="201">
        <f>AI31</f>
        <v>1905.7809999999999</v>
      </c>
      <c r="AK31" s="265">
        <v>1900.8489999999999</v>
      </c>
      <c r="AL31" s="265">
        <v>1974.24</v>
      </c>
      <c r="AM31" s="265">
        <v>9083.3829999999998</v>
      </c>
      <c r="AN31" s="265">
        <v>9077.3670000000002</v>
      </c>
      <c r="AO31" s="201">
        <f>AN31</f>
        <v>9077.3670000000002</v>
      </c>
      <c r="AP31" s="265">
        <v>8886.3549999999996</v>
      </c>
      <c r="AQ31" s="265">
        <v>8889.9150000000009</v>
      </c>
      <c r="AR31" s="265">
        <v>8888.7819999999992</v>
      </c>
      <c r="AS31" s="265">
        <v>8937.9840000000004</v>
      </c>
      <c r="AT31" s="201">
        <f>AS31</f>
        <v>8937.9840000000004</v>
      </c>
      <c r="AU31" s="265">
        <v>9074.9519999999993</v>
      </c>
      <c r="AV31" s="265">
        <v>8883.81</v>
      </c>
      <c r="AW31" s="265">
        <v>8864.6980000000003</v>
      </c>
      <c r="AX31" s="265">
        <v>8844.6380000000008</v>
      </c>
      <c r="AY31" s="201">
        <f>AX31</f>
        <v>8844.6380000000008</v>
      </c>
      <c r="AZ31" s="265">
        <v>8831.8490000000002</v>
      </c>
      <c r="BA31" s="265">
        <v>8819.1620000000003</v>
      </c>
      <c r="BB31" s="265">
        <v>8816.223</v>
      </c>
      <c r="BC31" s="265">
        <v>8808.3819999999996</v>
      </c>
      <c r="BD31" s="201">
        <f>BC31</f>
        <v>8808.3819999999996</v>
      </c>
      <c r="BE31" s="265">
        <v>8794.1460000000006</v>
      </c>
      <c r="BF31" s="265">
        <v>8781.4429999999993</v>
      </c>
      <c r="BG31" s="265">
        <v>8768.6769999999997</v>
      </c>
      <c r="BH31" s="265">
        <v>8782.7980000000007</v>
      </c>
      <c r="BI31" s="201">
        <f>+BH31</f>
        <v>8782.7980000000007</v>
      </c>
      <c r="BJ31" s="265">
        <v>9243.616</v>
      </c>
      <c r="BK31" s="265">
        <v>9241.4889999999996</v>
      </c>
      <c r="BL31" s="265">
        <v>9472.8690000000006</v>
      </c>
      <c r="BM31" s="265">
        <v>9451.3940000000002</v>
      </c>
      <c r="BN31" s="201">
        <f>BM31</f>
        <v>9451.3940000000002</v>
      </c>
      <c r="BO31" s="267">
        <v>9424.3829999999998</v>
      </c>
      <c r="BP31" s="267">
        <v>9388.1970000000001</v>
      </c>
      <c r="BQ31" s="267">
        <v>9368.2929999999997</v>
      </c>
      <c r="BR31" s="267">
        <v>9286.4950000000008</v>
      </c>
      <c r="BS31" s="221">
        <f>BR31</f>
        <v>9286.4950000000008</v>
      </c>
      <c r="BT31" s="267">
        <v>16799</v>
      </c>
      <c r="BU31" s="267">
        <v>16722</v>
      </c>
      <c r="BV31" s="267">
        <v>16793</v>
      </c>
      <c r="BW31" s="267">
        <v>16681</v>
      </c>
      <c r="BX31" s="221">
        <f>BW31</f>
        <v>16681</v>
      </c>
      <c r="BY31" s="267">
        <v>16740</v>
      </c>
      <c r="BZ31" s="267">
        <v>16621</v>
      </c>
      <c r="CA31" s="267">
        <v>16647</v>
      </c>
      <c r="CB31" s="267">
        <v>16822</v>
      </c>
      <c r="CC31" s="221">
        <f>CB31</f>
        <v>16822</v>
      </c>
      <c r="CD31" s="267">
        <v>16665</v>
      </c>
      <c r="CE31" s="267">
        <v>15110</v>
      </c>
      <c r="CF31" s="267">
        <v>15082</v>
      </c>
      <c r="CG31" s="267">
        <v>14789</v>
      </c>
      <c r="CH31" s="221">
        <f>CG31</f>
        <v>14789</v>
      </c>
      <c r="CI31" s="267">
        <v>14687</v>
      </c>
      <c r="CJ31" s="267">
        <v>14702</v>
      </c>
      <c r="CK31" s="267">
        <v>13901</v>
      </c>
      <c r="CL31" s="267">
        <v>13880</v>
      </c>
      <c r="CM31" s="221">
        <f>CL31</f>
        <v>13880</v>
      </c>
      <c r="CN31" s="266">
        <f ca="1">Debt!CN19-Debt!CN21</f>
        <v>13055</v>
      </c>
      <c r="CO31" s="266">
        <f ca="1">Debt!CO19-Debt!CO21</f>
        <v>12754</v>
      </c>
      <c r="CP31" s="266">
        <f ca="1">Debt!CP19-Debt!CP21</f>
        <v>12406.869999999999</v>
      </c>
      <c r="CQ31" s="266">
        <f ca="1">Debt!CQ19-Debt!CQ21</f>
        <v>12055</v>
      </c>
      <c r="CR31" s="221">
        <f ca="1">CQ31</f>
        <v>12055</v>
      </c>
      <c r="CS31" s="266">
        <f ca="1">Debt!CS19-Debt!CS21</f>
        <v>11631.399999999599</v>
      </c>
      <c r="CT31" s="266">
        <f ca="1">Debt!CT19-Debt!CT21</f>
        <v>11377.239999999359</v>
      </c>
      <c r="CU31" s="266">
        <f ca="1">Debt!CU19-Debt!CU21</f>
        <v>11224.743999999217</v>
      </c>
      <c r="CV31" s="266">
        <f ca="1">Debt!CV19-Debt!CV21</f>
        <v>11133.246399999129</v>
      </c>
      <c r="CW31" s="221">
        <f ca="1">CV31</f>
        <v>11133.246399999129</v>
      </c>
      <c r="CX31" s="266">
        <f ca="1">Debt!CX19-Debt!CX21</f>
        <v>11078.347839999078</v>
      </c>
      <c r="CY31" s="266">
        <f ca="1">Debt!CY19-Debt!CY21</f>
        <v>11045.408703999046</v>
      </c>
      <c r="CZ31" s="266">
        <f ca="1">Debt!CZ19-Debt!CZ21</f>
        <v>11025.645222399027</v>
      </c>
      <c r="DA31" s="266">
        <f ca="1">Debt!DA19-Debt!DA21</f>
        <v>11025.645222399027</v>
      </c>
      <c r="DB31" s="221">
        <f ca="1">DA31</f>
        <v>11025.645222399027</v>
      </c>
      <c r="DC31" s="9"/>
      <c r="DJ31" s="1281"/>
    </row>
    <row r="32" spans="1:114">
      <c r="A32" s="1"/>
      <c r="B32" s="9" t="s">
        <v>387</v>
      </c>
      <c r="C32" s="202"/>
      <c r="D32" s="891"/>
      <c r="E32" s="213">
        <v>0</v>
      </c>
      <c r="F32" s="213">
        <v>0</v>
      </c>
      <c r="G32" s="265">
        <v>0</v>
      </c>
      <c r="H32" s="265">
        <v>0</v>
      </c>
      <c r="I32" s="265">
        <v>0</v>
      </c>
      <c r="J32" s="265">
        <v>44.674999999999997</v>
      </c>
      <c r="K32" s="201">
        <f>J32</f>
        <v>44.674999999999997</v>
      </c>
      <c r="L32" s="265">
        <v>44.674999999999997</v>
      </c>
      <c r="M32" s="265">
        <v>0</v>
      </c>
      <c r="N32" s="265">
        <v>0</v>
      </c>
      <c r="O32" s="265">
        <v>65.12</v>
      </c>
      <c r="P32" s="201">
        <f>O32</f>
        <v>65.12</v>
      </c>
      <c r="Q32" s="265">
        <v>65.12</v>
      </c>
      <c r="R32" s="265">
        <v>65.295000000000002</v>
      </c>
      <c r="S32" s="265">
        <v>65.295000000000002</v>
      </c>
      <c r="T32" s="265">
        <v>110.34099999999999</v>
      </c>
      <c r="U32" s="201">
        <f>T32</f>
        <v>110.34099999999999</v>
      </c>
      <c r="V32" s="265">
        <v>110.34099999999999</v>
      </c>
      <c r="W32" s="265">
        <v>110.34099999999999</v>
      </c>
      <c r="X32" s="265">
        <v>110.34099999999999</v>
      </c>
      <c r="Y32" s="265">
        <v>142.26</v>
      </c>
      <c r="Z32" s="201">
        <f>Y32</f>
        <v>142.26</v>
      </c>
      <c r="AA32" s="265">
        <v>142.26</v>
      </c>
      <c r="AB32" s="265">
        <v>142.26</v>
      </c>
      <c r="AC32" s="265">
        <v>142.26</v>
      </c>
      <c r="AD32" s="265">
        <v>157.57900000000001</v>
      </c>
      <c r="AE32" s="201">
        <f>AD32</f>
        <v>157.57900000000001</v>
      </c>
      <c r="AF32" s="265">
        <v>157.57900000000001</v>
      </c>
      <c r="AG32" s="265">
        <v>157.57900000000001</v>
      </c>
      <c r="AH32" s="265">
        <v>157.57900000000001</v>
      </c>
      <c r="AI32" s="265">
        <v>141.47200000000001</v>
      </c>
      <c r="AJ32" s="201">
        <f>AI32</f>
        <v>141.47200000000001</v>
      </c>
      <c r="AK32" s="265">
        <v>141.47200000000001</v>
      </c>
      <c r="AL32" s="265">
        <v>141.47200000000001</v>
      </c>
      <c r="AM32" s="265">
        <v>329.40899999999999</v>
      </c>
      <c r="AN32" s="265">
        <v>407.947</v>
      </c>
      <c r="AO32" s="201">
        <f>AN32</f>
        <v>407.947</v>
      </c>
      <c r="AP32" s="265">
        <v>407.947</v>
      </c>
      <c r="AQ32" s="265">
        <v>429.93400000000003</v>
      </c>
      <c r="AR32" s="265">
        <v>433.00900000000001</v>
      </c>
      <c r="AS32" s="265">
        <v>460.79300000000001</v>
      </c>
      <c r="AT32" s="201">
        <f>AS32</f>
        <v>460.79300000000001</v>
      </c>
      <c r="AU32" s="265">
        <v>461.09800000000001</v>
      </c>
      <c r="AV32" s="265">
        <v>461.09800000000001</v>
      </c>
      <c r="AW32" s="265">
        <v>461.09800000000001</v>
      </c>
      <c r="AX32" s="265">
        <v>475.81200000000001</v>
      </c>
      <c r="AY32" s="201">
        <f>AX32</f>
        <v>475.81200000000001</v>
      </c>
      <c r="AZ32" s="265">
        <v>474.74799999999999</v>
      </c>
      <c r="BA32" s="265">
        <v>474.74799999999999</v>
      </c>
      <c r="BB32" s="265">
        <v>474.74799999999999</v>
      </c>
      <c r="BC32" s="265">
        <v>608.17700000000002</v>
      </c>
      <c r="BD32" s="201">
        <f>BC32</f>
        <v>608.17700000000002</v>
      </c>
      <c r="BE32" s="265">
        <v>608.17700000000002</v>
      </c>
      <c r="BF32" s="265">
        <v>608.17700000000002</v>
      </c>
      <c r="BG32" s="265">
        <v>608.17700000000002</v>
      </c>
      <c r="BH32" s="265">
        <v>704.72500000000002</v>
      </c>
      <c r="BI32" s="201">
        <f>+BH32</f>
        <v>704.72500000000002</v>
      </c>
      <c r="BJ32" s="265">
        <v>704.72500000000002</v>
      </c>
      <c r="BK32" s="265">
        <v>704.72500000000002</v>
      </c>
      <c r="BL32" s="265">
        <v>704.72500000000002</v>
      </c>
      <c r="BM32" s="265">
        <v>808.48900000000003</v>
      </c>
      <c r="BN32" s="201">
        <f>+BM32</f>
        <v>808.48900000000003</v>
      </c>
      <c r="BO32" s="267">
        <v>808.48900000000003</v>
      </c>
      <c r="BP32" s="267">
        <v>808.48900000000003</v>
      </c>
      <c r="BQ32" s="267">
        <v>808.48900000000003</v>
      </c>
      <c r="BR32" s="267">
        <v>906.101</v>
      </c>
      <c r="BS32" s="221">
        <f>+BR32</f>
        <v>906.101</v>
      </c>
      <c r="BT32" s="267">
        <v>1134</v>
      </c>
      <c r="BU32" s="267">
        <v>1043</v>
      </c>
      <c r="BV32" s="267">
        <v>877</v>
      </c>
      <c r="BW32" s="267">
        <v>845</v>
      </c>
      <c r="BX32" s="221">
        <f>+BW32</f>
        <v>845</v>
      </c>
      <c r="BY32" s="267">
        <v>844</v>
      </c>
      <c r="BZ32" s="267">
        <v>844</v>
      </c>
      <c r="CA32" s="267">
        <v>847</v>
      </c>
      <c r="CB32" s="267">
        <v>593</v>
      </c>
      <c r="CC32" s="221">
        <f>+CB32</f>
        <v>593</v>
      </c>
      <c r="CD32" s="267">
        <v>599</v>
      </c>
      <c r="CE32" s="267">
        <v>388</v>
      </c>
      <c r="CF32" s="267">
        <v>357</v>
      </c>
      <c r="CG32" s="267">
        <v>411</v>
      </c>
      <c r="CH32" s="221">
        <f t="shared" ref="CH32:CH33" si="113">+CG32</f>
        <v>411</v>
      </c>
      <c r="CI32" s="267">
        <v>415</v>
      </c>
      <c r="CJ32" s="267">
        <v>396</v>
      </c>
      <c r="CK32" s="267">
        <v>319</v>
      </c>
      <c r="CL32" s="267">
        <v>19</v>
      </c>
      <c r="CM32" s="221">
        <f t="shared" ref="CM32:CN33" si="114">+CL32</f>
        <v>19</v>
      </c>
      <c r="CN32" s="266">
        <f t="shared" si="114"/>
        <v>19</v>
      </c>
      <c r="CO32" s="266">
        <f t="shared" ref="CO32:CO33" si="115">+CN32</f>
        <v>19</v>
      </c>
      <c r="CP32" s="266">
        <f t="shared" ref="CP32:CP33" si="116">+CO32</f>
        <v>19</v>
      </c>
      <c r="CQ32" s="266">
        <f t="shared" ref="CQ32:CQ33" si="117">+CP32</f>
        <v>19</v>
      </c>
      <c r="CR32" s="221">
        <f t="shared" ref="CR32:CR33" si="118">+CQ32</f>
        <v>19</v>
      </c>
      <c r="CS32" s="266">
        <f t="shared" ref="CS32:CS33" si="119">+CR32</f>
        <v>19</v>
      </c>
      <c r="CT32" s="266">
        <f t="shared" ref="CT32:CT33" si="120">+CS32</f>
        <v>19</v>
      </c>
      <c r="CU32" s="266">
        <f t="shared" ref="CU32:CU33" si="121">+CT32</f>
        <v>19</v>
      </c>
      <c r="CV32" s="266">
        <f t="shared" ref="CV32:CV33" si="122">+CU32</f>
        <v>19</v>
      </c>
      <c r="CW32" s="221">
        <f t="shared" ref="CW32:CW33" si="123">+CV32</f>
        <v>19</v>
      </c>
      <c r="CX32" s="266">
        <f t="shared" ref="CX32:CX33" si="124">+CW32</f>
        <v>19</v>
      </c>
      <c r="CY32" s="266">
        <f t="shared" ref="CY32:CY33" si="125">+CX32</f>
        <v>19</v>
      </c>
      <c r="CZ32" s="266">
        <f t="shared" ref="CZ32:CZ33" si="126">+CY32</f>
        <v>19</v>
      </c>
      <c r="DA32" s="266">
        <f t="shared" ref="DA32:DA33" si="127">+CZ32</f>
        <v>19</v>
      </c>
      <c r="DB32" s="221">
        <f t="shared" ref="DB32:DB33" si="128">+DA32</f>
        <v>19</v>
      </c>
      <c r="DC32" s="9"/>
      <c r="DJ32" s="1281"/>
    </row>
    <row r="33" spans="1:114">
      <c r="A33" s="1"/>
      <c r="B33" s="9" t="s">
        <v>402</v>
      </c>
      <c r="C33" s="353"/>
      <c r="D33" s="406"/>
      <c r="E33" s="352">
        <v>22.495000000000001</v>
      </c>
      <c r="F33" s="352">
        <v>15.2</v>
      </c>
      <c r="G33" s="353">
        <v>15.127000000000001</v>
      </c>
      <c r="H33" s="353">
        <v>14.015000000000001</v>
      </c>
      <c r="I33" s="353">
        <v>12.882</v>
      </c>
      <c r="J33" s="353">
        <v>20.669</v>
      </c>
      <c r="K33" s="354">
        <f>J33</f>
        <v>20.669</v>
      </c>
      <c r="L33" s="353">
        <v>20.722999999999999</v>
      </c>
      <c r="M33" s="353">
        <v>72.704999999999998</v>
      </c>
      <c r="N33" s="353">
        <v>81.745999999999995</v>
      </c>
      <c r="O33" s="353">
        <v>37.712000000000003</v>
      </c>
      <c r="P33" s="354">
        <f>O33</f>
        <v>37.712000000000003</v>
      </c>
      <c r="Q33" s="353">
        <v>45.972999999999999</v>
      </c>
      <c r="R33" s="353">
        <v>47.454999999999998</v>
      </c>
      <c r="S33" s="353">
        <v>49.485999999999997</v>
      </c>
      <c r="T33" s="353">
        <v>46.235999999999997</v>
      </c>
      <c r="U33" s="354">
        <f>T33</f>
        <v>46.235999999999997</v>
      </c>
      <c r="V33" s="353">
        <v>62.709000000000003</v>
      </c>
      <c r="W33" s="353">
        <v>65.195999999999998</v>
      </c>
      <c r="X33" s="353">
        <v>58.468000000000004</v>
      </c>
      <c r="Y33" s="353">
        <v>83.13</v>
      </c>
      <c r="Z33" s="354">
        <f>Y33</f>
        <v>83.13</v>
      </c>
      <c r="AA33" s="353">
        <v>99.716999999999999</v>
      </c>
      <c r="AB33" s="353">
        <v>115.54</v>
      </c>
      <c r="AC33" s="353">
        <v>123.357</v>
      </c>
      <c r="AD33" s="353">
        <v>126.15900000000001</v>
      </c>
      <c r="AE33" s="354">
        <f>AD33</f>
        <v>126.15900000000001</v>
      </c>
      <c r="AF33" s="353">
        <v>139.81800000000001</v>
      </c>
      <c r="AG33" s="353">
        <v>132.01300000000001</v>
      </c>
      <c r="AH33" s="353">
        <v>144.221</v>
      </c>
      <c r="AI33" s="353">
        <v>160.37</v>
      </c>
      <c r="AJ33" s="354">
        <f>AI33</f>
        <v>160.37</v>
      </c>
      <c r="AK33" s="353">
        <v>195.429</v>
      </c>
      <c r="AL33" s="353">
        <v>205.40799999999999</v>
      </c>
      <c r="AM33" s="353">
        <v>416.53</v>
      </c>
      <c r="AN33" s="353">
        <v>483.459</v>
      </c>
      <c r="AO33" s="354">
        <f>AN33</f>
        <v>483.459</v>
      </c>
      <c r="AP33" s="353">
        <v>679.72199999999998</v>
      </c>
      <c r="AQ33" s="353">
        <v>571.08500000000004</v>
      </c>
      <c r="AR33" s="353">
        <v>617.35</v>
      </c>
      <c r="AS33" s="353">
        <v>887.44500000000005</v>
      </c>
      <c r="AT33" s="354">
        <f>AS33</f>
        <v>887.44500000000005</v>
      </c>
      <c r="AU33" s="353">
        <f>890.237</f>
        <v>890.23699999999997</v>
      </c>
      <c r="AV33" s="353">
        <v>825.47299999999996</v>
      </c>
      <c r="AW33" s="353">
        <v>873.58699999999999</v>
      </c>
      <c r="AX33" s="353">
        <v>858.952</v>
      </c>
      <c r="AY33" s="354">
        <f>AX33</f>
        <v>858.952</v>
      </c>
      <c r="AZ33" s="353">
        <v>887.34</v>
      </c>
      <c r="BA33" s="353">
        <v>966.28800000000001</v>
      </c>
      <c r="BB33" s="353">
        <f>1038.229</f>
        <v>1038.229</v>
      </c>
      <c r="BC33" s="353">
        <v>1001.675</v>
      </c>
      <c r="BD33" s="354">
        <f>BC33</f>
        <v>1001.675</v>
      </c>
      <c r="BE33" s="353">
        <v>952.40599999999995</v>
      </c>
      <c r="BF33" s="353">
        <v>1026.069</v>
      </c>
      <c r="BG33" s="353">
        <v>975.16300000000001</v>
      </c>
      <c r="BH33" s="353">
        <v>949.99</v>
      </c>
      <c r="BI33" s="354">
        <f>+BH33</f>
        <v>949.99</v>
      </c>
      <c r="BJ33" s="353">
        <v>986.02200000000005</v>
      </c>
      <c r="BK33" s="353">
        <v>998.98400000000004</v>
      </c>
      <c r="BL33" s="353">
        <v>999.08</v>
      </c>
      <c r="BM33" s="353">
        <v>1039.0450000000001</v>
      </c>
      <c r="BN33" s="354">
        <f>+BM33</f>
        <v>1039.0450000000001</v>
      </c>
      <c r="BO33" s="355">
        <v>1039.365</v>
      </c>
      <c r="BP33" s="355">
        <v>1019.415</v>
      </c>
      <c r="BQ33" s="355">
        <v>1016.203</v>
      </c>
      <c r="BR33" s="355">
        <v>977.33600000000001</v>
      </c>
      <c r="BS33" s="357">
        <f>+BR33</f>
        <v>977.33600000000001</v>
      </c>
      <c r="BT33" s="355">
        <v>1425</v>
      </c>
      <c r="BU33" s="355">
        <v>1782</v>
      </c>
      <c r="BV33" s="355">
        <v>1709</v>
      </c>
      <c r="BW33" s="355">
        <v>1692</v>
      </c>
      <c r="BX33" s="357">
        <f>+BW33</f>
        <v>1692</v>
      </c>
      <c r="BY33" s="355">
        <v>1694</v>
      </c>
      <c r="BZ33" s="355">
        <v>1683</v>
      </c>
      <c r="CA33" s="355">
        <v>1696</v>
      </c>
      <c r="CB33" s="355">
        <v>1698</v>
      </c>
      <c r="CC33" s="357">
        <f>+CB33</f>
        <v>1698</v>
      </c>
      <c r="CD33" s="355">
        <v>1723</v>
      </c>
      <c r="CE33" s="355">
        <v>1658</v>
      </c>
      <c r="CF33" s="355">
        <v>1622</v>
      </c>
      <c r="CG33" s="355">
        <v>1575</v>
      </c>
      <c r="CH33" s="357">
        <f t="shared" si="113"/>
        <v>1575</v>
      </c>
      <c r="CI33" s="355">
        <v>1469</v>
      </c>
      <c r="CJ33" s="355">
        <v>1456</v>
      </c>
      <c r="CK33" s="355">
        <v>1399</v>
      </c>
      <c r="CL33" s="355">
        <v>1360</v>
      </c>
      <c r="CM33" s="357">
        <f t="shared" si="114"/>
        <v>1360</v>
      </c>
      <c r="CN33" s="356">
        <f t="shared" si="114"/>
        <v>1360</v>
      </c>
      <c r="CO33" s="356">
        <f t="shared" si="115"/>
        <v>1360</v>
      </c>
      <c r="CP33" s="356">
        <f t="shared" si="116"/>
        <v>1360</v>
      </c>
      <c r="CQ33" s="356">
        <f t="shared" si="117"/>
        <v>1360</v>
      </c>
      <c r="CR33" s="357">
        <f t="shared" si="118"/>
        <v>1360</v>
      </c>
      <c r="CS33" s="356">
        <f t="shared" si="119"/>
        <v>1360</v>
      </c>
      <c r="CT33" s="356">
        <f t="shared" si="120"/>
        <v>1360</v>
      </c>
      <c r="CU33" s="356">
        <f t="shared" si="121"/>
        <v>1360</v>
      </c>
      <c r="CV33" s="356">
        <f t="shared" si="122"/>
        <v>1360</v>
      </c>
      <c r="CW33" s="357">
        <f t="shared" si="123"/>
        <v>1360</v>
      </c>
      <c r="CX33" s="356">
        <f t="shared" si="124"/>
        <v>1360</v>
      </c>
      <c r="CY33" s="356">
        <f t="shared" si="125"/>
        <v>1360</v>
      </c>
      <c r="CZ33" s="356">
        <f t="shared" si="126"/>
        <v>1360</v>
      </c>
      <c r="DA33" s="356">
        <f t="shared" si="127"/>
        <v>1360</v>
      </c>
      <c r="DB33" s="357">
        <f t="shared" si="128"/>
        <v>1360</v>
      </c>
      <c r="DC33" s="9"/>
      <c r="DJ33" s="1281"/>
    </row>
    <row r="34" spans="1:114">
      <c r="A34" s="1"/>
      <c r="B34" s="25" t="s">
        <v>403</v>
      </c>
      <c r="C34" s="158"/>
      <c r="D34" s="873"/>
      <c r="E34" s="168">
        <f>SUM(E29,E31:E33)</f>
        <v>1665.376</v>
      </c>
      <c r="F34" s="168">
        <f t="shared" ref="F34:Z34" si="129">SUM(F29,F31:F33)</f>
        <v>1457.663</v>
      </c>
      <c r="G34" s="872">
        <f t="shared" si="129"/>
        <v>1454.9639999999999</v>
      </c>
      <c r="H34" s="872">
        <f t="shared" si="129"/>
        <v>1500.2450000000001</v>
      </c>
      <c r="I34" s="872">
        <f t="shared" si="129"/>
        <v>1504.9830000000002</v>
      </c>
      <c r="J34" s="872">
        <f t="shared" si="129"/>
        <v>1344.999</v>
      </c>
      <c r="K34" s="168">
        <f t="shared" si="129"/>
        <v>1344.999</v>
      </c>
      <c r="L34" s="872">
        <f t="shared" si="129"/>
        <v>1450.3319999999999</v>
      </c>
      <c r="M34" s="872">
        <f t="shared" si="129"/>
        <v>1408.6289999999999</v>
      </c>
      <c r="N34" s="872">
        <f t="shared" si="129"/>
        <v>1581.8580000000002</v>
      </c>
      <c r="O34" s="872">
        <f t="shared" si="129"/>
        <v>1595.1910000000003</v>
      </c>
      <c r="P34" s="168">
        <f t="shared" si="129"/>
        <v>1595.1910000000003</v>
      </c>
      <c r="Q34" s="872">
        <f t="shared" si="129"/>
        <v>1684.2440000000001</v>
      </c>
      <c r="R34" s="872">
        <f t="shared" si="129"/>
        <v>1615.6629999999998</v>
      </c>
      <c r="S34" s="872">
        <f t="shared" si="129"/>
        <v>1880.7140000000002</v>
      </c>
      <c r="T34" s="872">
        <f t="shared" si="129"/>
        <v>1999.6220000000001</v>
      </c>
      <c r="U34" s="168">
        <f t="shared" si="129"/>
        <v>1999.6220000000001</v>
      </c>
      <c r="V34" s="872">
        <f t="shared" si="129"/>
        <v>1992.3880000000001</v>
      </c>
      <c r="W34" s="872">
        <f t="shared" si="129"/>
        <v>1936.1629999999998</v>
      </c>
      <c r="X34" s="872">
        <f t="shared" si="129"/>
        <v>2348.9329999999995</v>
      </c>
      <c r="Y34" s="872">
        <f t="shared" si="129"/>
        <v>2392.6170000000002</v>
      </c>
      <c r="Z34" s="168">
        <f t="shared" si="129"/>
        <v>2392.6170000000002</v>
      </c>
      <c r="AA34" s="872">
        <f t="shared" ref="AA34:AY34" si="130">SUM(AA29,AA31:AA33)</f>
        <v>2459.7050000000004</v>
      </c>
      <c r="AB34" s="872">
        <f t="shared" si="130"/>
        <v>2485.049</v>
      </c>
      <c r="AC34" s="872">
        <f t="shared" si="130"/>
        <v>2493.2439999999997</v>
      </c>
      <c r="AD34" s="872">
        <f t="shared" si="130"/>
        <v>2369.6410000000001</v>
      </c>
      <c r="AE34" s="168">
        <f t="shared" si="130"/>
        <v>2369.6410000000001</v>
      </c>
      <c r="AF34" s="872">
        <f t="shared" si="130"/>
        <v>2286.2620000000002</v>
      </c>
      <c r="AG34" s="872">
        <f t="shared" si="130"/>
        <v>2480.3609999999999</v>
      </c>
      <c r="AH34" s="872">
        <f t="shared" si="130"/>
        <v>2634.973</v>
      </c>
      <c r="AI34" s="872">
        <f t="shared" si="130"/>
        <v>2782.9059999999999</v>
      </c>
      <c r="AJ34" s="168">
        <f t="shared" si="130"/>
        <v>2782.9059999999999</v>
      </c>
      <c r="AK34" s="872">
        <f t="shared" si="130"/>
        <v>2828.4660000000003</v>
      </c>
      <c r="AL34" s="872">
        <f t="shared" si="130"/>
        <v>2932.1440000000002</v>
      </c>
      <c r="AM34" s="872">
        <f t="shared" si="130"/>
        <v>11218.83</v>
      </c>
      <c r="AN34" s="872">
        <f t="shared" si="130"/>
        <v>11416.708000000001</v>
      </c>
      <c r="AO34" s="168">
        <f t="shared" si="130"/>
        <v>11416.708000000001</v>
      </c>
      <c r="AP34" s="872">
        <f t="shared" si="130"/>
        <v>11276.65</v>
      </c>
      <c r="AQ34" s="872">
        <f t="shared" si="130"/>
        <v>11204.812000000002</v>
      </c>
      <c r="AR34" s="872">
        <f t="shared" si="130"/>
        <v>11368.023999999999</v>
      </c>
      <c r="AS34" s="872">
        <f t="shared" si="130"/>
        <v>11820.191999999999</v>
      </c>
      <c r="AT34" s="168">
        <f t="shared" si="130"/>
        <v>11820.191999999999</v>
      </c>
      <c r="AU34" s="872">
        <f t="shared" si="130"/>
        <v>11829.294999999998</v>
      </c>
      <c r="AV34" s="872">
        <f t="shared" si="130"/>
        <v>11630.635</v>
      </c>
      <c r="AW34" s="872">
        <f t="shared" si="130"/>
        <v>11759.481</v>
      </c>
      <c r="AX34" s="872">
        <f t="shared" si="130"/>
        <v>11637.198</v>
      </c>
      <c r="AY34" s="168">
        <f t="shared" si="130"/>
        <v>11637.198</v>
      </c>
      <c r="AZ34" s="872">
        <f t="shared" ref="AZ34:BQ34" si="131">SUM(AZ29,AZ31:AZ33)</f>
        <v>11725.266</v>
      </c>
      <c r="BA34" s="872">
        <f t="shared" si="131"/>
        <v>11761.446</v>
      </c>
      <c r="BB34" s="872">
        <f t="shared" si="131"/>
        <v>11909.204</v>
      </c>
      <c r="BC34" s="872">
        <f t="shared" si="131"/>
        <v>12060.273999999998</v>
      </c>
      <c r="BD34" s="168">
        <f t="shared" si="131"/>
        <v>12060.273999999998</v>
      </c>
      <c r="BE34" s="872">
        <f t="shared" si="131"/>
        <v>11960.558000000001</v>
      </c>
      <c r="BF34" s="872">
        <f t="shared" si="131"/>
        <v>12078.430999999999</v>
      </c>
      <c r="BG34" s="872">
        <f t="shared" si="131"/>
        <v>12055.177</v>
      </c>
      <c r="BH34" s="872">
        <f t="shared" si="131"/>
        <v>12348.652000000002</v>
      </c>
      <c r="BI34" s="168">
        <f t="shared" si="131"/>
        <v>12348.652000000002</v>
      </c>
      <c r="BJ34" s="872">
        <f t="shared" si="131"/>
        <v>12930.772000000001</v>
      </c>
      <c r="BK34" s="872">
        <f t="shared" si="131"/>
        <v>12844.323</v>
      </c>
      <c r="BL34" s="872">
        <f t="shared" si="131"/>
        <v>13157.897000000001</v>
      </c>
      <c r="BM34" s="872">
        <f t="shared" si="131"/>
        <v>13442.148000000001</v>
      </c>
      <c r="BN34" s="168">
        <f t="shared" si="131"/>
        <v>13442.148000000001</v>
      </c>
      <c r="BO34" s="653">
        <f t="shared" si="131"/>
        <v>13281.156999999999</v>
      </c>
      <c r="BP34" s="653">
        <f t="shared" si="131"/>
        <v>13203.05</v>
      </c>
      <c r="BQ34" s="653">
        <f t="shared" si="131"/>
        <v>13302.491999999998</v>
      </c>
      <c r="BR34" s="653">
        <f t="shared" ref="BR34:CC34" si="132">SUM(BR29,BR31:BR33)</f>
        <v>13627.415000000001</v>
      </c>
      <c r="BS34" s="235">
        <f t="shared" si="132"/>
        <v>13627.415000000001</v>
      </c>
      <c r="BT34" s="653">
        <f t="shared" si="132"/>
        <v>22484</v>
      </c>
      <c r="BU34" s="653">
        <f t="shared" si="132"/>
        <v>22716</v>
      </c>
      <c r="BV34" s="653">
        <f t="shared" si="132"/>
        <v>22559</v>
      </c>
      <c r="BW34" s="653">
        <f t="shared" si="132"/>
        <v>22807</v>
      </c>
      <c r="BX34" s="235">
        <f t="shared" si="132"/>
        <v>22807</v>
      </c>
      <c r="BY34" s="653">
        <f t="shared" si="132"/>
        <v>22439</v>
      </c>
      <c r="BZ34" s="653">
        <f t="shared" si="132"/>
        <v>22378</v>
      </c>
      <c r="CA34" s="653">
        <f t="shared" si="132"/>
        <v>22344</v>
      </c>
      <c r="CB34" s="653">
        <f t="shared" si="132"/>
        <v>22185</v>
      </c>
      <c r="CC34" s="235">
        <f t="shared" si="132"/>
        <v>22185</v>
      </c>
      <c r="CD34" s="653">
        <f t="shared" ref="CD34:CM34" si="133">SUM(CD29,CD31:CD33)</f>
        <v>22041</v>
      </c>
      <c r="CE34" s="653">
        <f t="shared" si="133"/>
        <v>19884</v>
      </c>
      <c r="CF34" s="653">
        <f t="shared" si="133"/>
        <v>19747</v>
      </c>
      <c r="CG34" s="653">
        <f t="shared" si="133"/>
        <v>19662</v>
      </c>
      <c r="CH34" s="235">
        <f t="shared" si="133"/>
        <v>19662</v>
      </c>
      <c r="CI34" s="653">
        <f t="shared" si="133"/>
        <v>19567</v>
      </c>
      <c r="CJ34" s="653">
        <f t="shared" ref="CJ34:CL34" si="134">SUM(CJ29,CJ31:CJ33)</f>
        <v>18932</v>
      </c>
      <c r="CK34" s="653">
        <f t="shared" si="134"/>
        <v>17896</v>
      </c>
      <c r="CL34" s="653">
        <f t="shared" si="134"/>
        <v>17615</v>
      </c>
      <c r="CM34" s="235">
        <f t="shared" si="133"/>
        <v>17615</v>
      </c>
      <c r="CN34" s="653">
        <f t="shared" ref="CN34:CQ34" ca="1" si="135">SUM(CN29,CN31:CN33)</f>
        <v>17184.920982945005</v>
      </c>
      <c r="CO34" s="653">
        <f t="shared" ca="1" si="135"/>
        <v>16824.215356963228</v>
      </c>
      <c r="CP34" s="653">
        <f t="shared" ca="1" si="135"/>
        <v>16372.468563068258</v>
      </c>
      <c r="CQ34" s="653">
        <f t="shared" ca="1" si="135"/>
        <v>16113.309099253047</v>
      </c>
      <c r="CR34" s="235">
        <f t="shared" ref="CR34:CW34" ca="1" si="136">SUM(CR29,CR31:CR33)</f>
        <v>16113.309099253047</v>
      </c>
      <c r="CS34" s="653">
        <f t="shared" ca="1" si="136"/>
        <v>15708.663363863154</v>
      </c>
      <c r="CT34" s="653">
        <f t="shared" ca="1" si="136"/>
        <v>15534.082872453871</v>
      </c>
      <c r="CU34" s="653">
        <f t="shared" ca="1" si="136"/>
        <v>15327.636560535673</v>
      </c>
      <c r="CV34" s="653">
        <f t="shared" ca="1" si="136"/>
        <v>15553.765659431254</v>
      </c>
      <c r="CW34" s="235">
        <f t="shared" ca="1" si="136"/>
        <v>15553.765659431254</v>
      </c>
      <c r="CX34" s="653">
        <f t="shared" ref="CX34:DA34" ca="1" si="137">SUM(CX29,CX31:CX33)</f>
        <v>15281.424391301296</v>
      </c>
      <c r="CY34" s="653">
        <f t="shared" ca="1" si="137"/>
        <v>15205.884881656073</v>
      </c>
      <c r="CZ34" s="653">
        <f t="shared" ca="1" si="137"/>
        <v>15131.366986572908</v>
      </c>
      <c r="DA34" s="653">
        <f t="shared" ca="1" si="137"/>
        <v>15250.576535613431</v>
      </c>
      <c r="DB34" s="235">
        <f t="shared" ref="DB34" ca="1" si="138">SUM(DB29,DB31:DB33)</f>
        <v>15250.576535613431</v>
      </c>
      <c r="DC34" s="9"/>
    </row>
    <row r="35" spans="1:114">
      <c r="A35" s="1"/>
      <c r="B35" s="9"/>
      <c r="C35" s="166"/>
      <c r="D35" s="874"/>
      <c r="E35" s="201"/>
      <c r="F35" s="201"/>
      <c r="G35" s="166"/>
      <c r="H35" s="166"/>
      <c r="I35" s="166"/>
      <c r="J35" s="166"/>
      <c r="K35" s="201"/>
      <c r="L35" s="166"/>
      <c r="M35" s="166"/>
      <c r="N35" s="166"/>
      <c r="O35" s="166"/>
      <c r="P35" s="201"/>
      <c r="Q35" s="166"/>
      <c r="R35" s="166"/>
      <c r="S35" s="166"/>
      <c r="T35" s="166"/>
      <c r="U35" s="201"/>
      <c r="V35" s="166"/>
      <c r="W35" s="166"/>
      <c r="X35" s="166"/>
      <c r="Y35" s="166"/>
      <c r="Z35" s="201"/>
      <c r="AA35" s="166"/>
      <c r="AB35" s="166"/>
      <c r="AC35" s="166"/>
      <c r="AD35" s="166"/>
      <c r="AE35" s="201"/>
      <c r="AF35" s="166"/>
      <c r="AG35" s="166"/>
      <c r="AH35" s="166"/>
      <c r="AI35" s="166"/>
      <c r="AJ35" s="201"/>
      <c r="AK35" s="166"/>
      <c r="AL35" s="166"/>
      <c r="AM35" s="166"/>
      <c r="AN35" s="166"/>
      <c r="AO35" s="201"/>
      <c r="AP35" s="166"/>
      <c r="AQ35" s="166"/>
      <c r="AR35" s="166"/>
      <c r="AS35" s="166"/>
      <c r="AT35" s="201"/>
      <c r="AU35" s="166"/>
      <c r="AV35" s="166"/>
      <c r="AW35" s="166"/>
      <c r="AX35" s="166"/>
      <c r="AY35" s="201"/>
      <c r="AZ35" s="166"/>
      <c r="BA35" s="166"/>
      <c r="BB35" s="166"/>
      <c r="BC35" s="166"/>
      <c r="BD35" s="201"/>
      <c r="BE35" s="166"/>
      <c r="BF35" s="166"/>
      <c r="BG35" s="166"/>
      <c r="BH35" s="166"/>
      <c r="BI35" s="201"/>
      <c r="BJ35" s="166"/>
      <c r="BK35" s="166"/>
      <c r="BL35" s="166"/>
      <c r="BM35" s="166"/>
      <c r="BN35" s="201"/>
      <c r="BO35" s="192"/>
      <c r="BP35" s="192"/>
      <c r="BQ35" s="192"/>
      <c r="BR35" s="192"/>
      <c r="BS35" s="221"/>
      <c r="BT35" s="192"/>
      <c r="BU35" s="192"/>
      <c r="BV35" s="192"/>
      <c r="BW35" s="192"/>
      <c r="BX35" s="221"/>
      <c r="BY35" s="192"/>
      <c r="BZ35" s="192"/>
      <c r="CA35" s="192"/>
      <c r="CB35" s="192"/>
      <c r="CC35" s="221"/>
      <c r="CD35" s="192"/>
      <c r="CE35" s="192"/>
      <c r="CF35" s="192"/>
      <c r="CG35" s="192"/>
      <c r="CH35" s="221"/>
      <c r="CI35" s="192"/>
      <c r="CJ35" s="192"/>
      <c r="CK35" s="192"/>
      <c r="CL35" s="192"/>
      <c r="CM35" s="221"/>
      <c r="CN35" s="192"/>
      <c r="CO35" s="192"/>
      <c r="CP35" s="192"/>
      <c r="CQ35" s="192"/>
      <c r="CR35" s="221"/>
      <c r="CS35" s="192"/>
      <c r="CT35" s="192"/>
      <c r="CU35" s="192"/>
      <c r="CV35" s="192"/>
      <c r="CW35" s="221"/>
      <c r="CX35" s="192"/>
      <c r="CY35" s="192"/>
      <c r="CZ35" s="192"/>
      <c r="DA35" s="192"/>
      <c r="DB35" s="221"/>
      <c r="DC35" s="9"/>
    </row>
    <row r="36" spans="1:114">
      <c r="A36" s="1"/>
      <c r="B36" s="9" t="s">
        <v>401</v>
      </c>
      <c r="C36" s="202"/>
      <c r="D36" s="891"/>
      <c r="E36" s="213">
        <v>0</v>
      </c>
      <c r="F36" s="213">
        <v>0</v>
      </c>
      <c r="G36" s="265">
        <v>0</v>
      </c>
      <c r="H36" s="265">
        <v>0</v>
      </c>
      <c r="I36" s="265">
        <v>0</v>
      </c>
      <c r="J36" s="265">
        <v>0</v>
      </c>
      <c r="K36" s="201">
        <f>+J36</f>
        <v>0</v>
      </c>
      <c r="L36" s="265">
        <v>0</v>
      </c>
      <c r="M36" s="265">
        <v>0</v>
      </c>
      <c r="N36" s="265">
        <v>0</v>
      </c>
      <c r="O36" s="265">
        <v>0</v>
      </c>
      <c r="P36" s="201">
        <f>+O36</f>
        <v>0</v>
      </c>
      <c r="Q36" s="265">
        <v>0</v>
      </c>
      <c r="R36" s="265">
        <v>0</v>
      </c>
      <c r="S36" s="265">
        <v>0</v>
      </c>
      <c r="T36" s="265">
        <v>0</v>
      </c>
      <c r="U36" s="201">
        <f>+T36</f>
        <v>0</v>
      </c>
      <c r="V36" s="265">
        <v>0</v>
      </c>
      <c r="W36" s="265">
        <v>0</v>
      </c>
      <c r="X36" s="265">
        <v>0</v>
      </c>
      <c r="Y36" s="265">
        <v>0</v>
      </c>
      <c r="Z36" s="201">
        <f>+Y36</f>
        <v>0</v>
      </c>
      <c r="AA36" s="265">
        <v>0</v>
      </c>
      <c r="AB36" s="265">
        <v>0</v>
      </c>
      <c r="AC36" s="265">
        <v>0</v>
      </c>
      <c r="AD36" s="265">
        <v>0</v>
      </c>
      <c r="AE36" s="201">
        <f>+AD36</f>
        <v>0</v>
      </c>
      <c r="AF36" s="265">
        <v>0</v>
      </c>
      <c r="AG36" s="265">
        <v>0</v>
      </c>
      <c r="AH36" s="265">
        <v>0</v>
      </c>
      <c r="AI36" s="265">
        <v>0</v>
      </c>
      <c r="AJ36" s="201">
        <f>+AI36</f>
        <v>0</v>
      </c>
      <c r="AK36" s="265">
        <v>0</v>
      </c>
      <c r="AL36" s="265">
        <v>0</v>
      </c>
      <c r="AM36" s="265">
        <v>372.95400000000001</v>
      </c>
      <c r="AN36" s="265">
        <v>366.13099999999997</v>
      </c>
      <c r="AO36" s="201">
        <f>AN36</f>
        <v>366.13099999999997</v>
      </c>
      <c r="AP36" s="265">
        <v>384.12900000000002</v>
      </c>
      <c r="AQ36" s="265">
        <v>320.58699999999999</v>
      </c>
      <c r="AR36" s="265">
        <v>343.47199999999998</v>
      </c>
      <c r="AS36" s="265">
        <v>325.197</v>
      </c>
      <c r="AT36" s="201">
        <f>AS36</f>
        <v>325.197</v>
      </c>
      <c r="AU36" s="265">
        <v>306.94200000000001</v>
      </c>
      <c r="AV36" s="265">
        <v>323.99400000000003</v>
      </c>
      <c r="AW36" s="265">
        <v>335.01900000000001</v>
      </c>
      <c r="AX36" s="265">
        <v>368.85700000000003</v>
      </c>
      <c r="AY36" s="201">
        <f>AX36</f>
        <v>368.85700000000003</v>
      </c>
      <c r="AZ36" s="265">
        <v>374.48599999999999</v>
      </c>
      <c r="BA36" s="265">
        <v>388.38499999999999</v>
      </c>
      <c r="BB36" s="265">
        <v>384.05599999999998</v>
      </c>
      <c r="BC36" s="265">
        <v>387.47199999999998</v>
      </c>
      <c r="BD36" s="201">
        <f>BC36</f>
        <v>387.47199999999998</v>
      </c>
      <c r="BE36" s="265">
        <v>385.43799999999999</v>
      </c>
      <c r="BF36" s="265">
        <v>376.65800000000002</v>
      </c>
      <c r="BG36" s="265">
        <v>383.745</v>
      </c>
      <c r="BH36" s="265">
        <v>395.74299999999999</v>
      </c>
      <c r="BI36" s="201">
        <f>+BH36</f>
        <v>395.74299999999999</v>
      </c>
      <c r="BJ36" s="265">
        <v>363.54</v>
      </c>
      <c r="BK36" s="265">
        <v>367.90899999999999</v>
      </c>
      <c r="BL36" s="265">
        <v>370.51400000000001</v>
      </c>
      <c r="BM36" s="265">
        <v>367.666</v>
      </c>
      <c r="BN36" s="201">
        <f>+BM36</f>
        <v>367.666</v>
      </c>
      <c r="BO36" s="267">
        <v>375.50599999999997</v>
      </c>
      <c r="BP36" s="267">
        <v>371.41300000000001</v>
      </c>
      <c r="BQ36" s="267">
        <v>366.78699999999998</v>
      </c>
      <c r="BR36" s="267">
        <v>358.41</v>
      </c>
      <c r="BS36" s="221">
        <f>+BR36</f>
        <v>358.41</v>
      </c>
      <c r="BT36" s="267">
        <v>692</v>
      </c>
      <c r="BU36" s="267">
        <v>689</v>
      </c>
      <c r="BV36" s="267">
        <v>695</v>
      </c>
      <c r="BW36" s="267">
        <v>531</v>
      </c>
      <c r="BX36" s="221">
        <f>+BW36</f>
        <v>531</v>
      </c>
      <c r="BY36" s="267">
        <v>520</v>
      </c>
      <c r="BZ36" s="267">
        <v>524</v>
      </c>
      <c r="CA36" s="267">
        <v>522</v>
      </c>
      <c r="CB36" s="267">
        <v>571</v>
      </c>
      <c r="CC36" s="221">
        <f>+CB36</f>
        <v>571</v>
      </c>
      <c r="CD36" s="267">
        <v>565</v>
      </c>
      <c r="CE36" s="267">
        <v>546</v>
      </c>
      <c r="CF36" s="267">
        <v>553</v>
      </c>
      <c r="CG36" s="267">
        <v>554</v>
      </c>
      <c r="CH36" s="221">
        <f>+CG36</f>
        <v>554</v>
      </c>
      <c r="CI36" s="267">
        <v>552</v>
      </c>
      <c r="CJ36" s="267">
        <v>548</v>
      </c>
      <c r="CK36" s="267">
        <v>530</v>
      </c>
      <c r="CL36" s="267">
        <v>527</v>
      </c>
      <c r="CM36" s="221">
        <f>+CL36</f>
        <v>527</v>
      </c>
      <c r="CN36" s="266">
        <f>CM36</f>
        <v>527</v>
      </c>
      <c r="CO36" s="266">
        <f t="shared" ref="CO36:CQ36" si="139">CN36</f>
        <v>527</v>
      </c>
      <c r="CP36" s="266">
        <f t="shared" si="139"/>
        <v>527</v>
      </c>
      <c r="CQ36" s="266">
        <f t="shared" si="139"/>
        <v>527</v>
      </c>
      <c r="CR36" s="221">
        <f>+CQ36</f>
        <v>527</v>
      </c>
      <c r="CS36" s="266">
        <f t="shared" ref="CS36:CV36" si="140">CR36</f>
        <v>527</v>
      </c>
      <c r="CT36" s="266">
        <f t="shared" si="140"/>
        <v>527</v>
      </c>
      <c r="CU36" s="266">
        <f t="shared" si="140"/>
        <v>527</v>
      </c>
      <c r="CV36" s="266">
        <f t="shared" si="140"/>
        <v>527</v>
      </c>
      <c r="CW36" s="221">
        <f>+CV36</f>
        <v>527</v>
      </c>
      <c r="CX36" s="266">
        <f t="shared" ref="CX36" si="141">CW36</f>
        <v>527</v>
      </c>
      <c r="CY36" s="266">
        <f t="shared" ref="CY36" si="142">CX36</f>
        <v>527</v>
      </c>
      <c r="CZ36" s="266">
        <f t="shared" ref="CZ36" si="143">CY36</f>
        <v>527</v>
      </c>
      <c r="DA36" s="266">
        <f t="shared" ref="DA36" si="144">CZ36</f>
        <v>527</v>
      </c>
      <c r="DB36" s="221">
        <f>+DA36</f>
        <v>527</v>
      </c>
      <c r="DC36" s="9"/>
      <c r="DJ36" s="1281"/>
    </row>
    <row r="37" spans="1:114">
      <c r="A37" s="1"/>
      <c r="B37" s="9"/>
      <c r="C37" s="202"/>
      <c r="D37" s="891"/>
      <c r="E37" s="213"/>
      <c r="F37" s="213"/>
      <c r="G37" s="202"/>
      <c r="H37" s="202"/>
      <c r="I37" s="202"/>
      <c r="J37" s="202"/>
      <c r="K37" s="201"/>
      <c r="L37" s="202"/>
      <c r="M37" s="202"/>
      <c r="N37" s="202"/>
      <c r="O37" s="202"/>
      <c r="P37" s="201"/>
      <c r="Q37" s="202"/>
      <c r="R37" s="202"/>
      <c r="S37" s="202"/>
      <c r="T37" s="202"/>
      <c r="U37" s="201"/>
      <c r="V37" s="202"/>
      <c r="W37" s="202"/>
      <c r="X37" s="202"/>
      <c r="Y37" s="202"/>
      <c r="Z37" s="201"/>
      <c r="AA37" s="202"/>
      <c r="AB37" s="202"/>
      <c r="AC37" s="202"/>
      <c r="AD37" s="202"/>
      <c r="AE37" s="201"/>
      <c r="AF37" s="202"/>
      <c r="AG37" s="202"/>
      <c r="AH37" s="202"/>
      <c r="AI37" s="202"/>
      <c r="AJ37" s="201"/>
      <c r="AK37" s="202"/>
      <c r="AL37" s="202"/>
      <c r="AM37" s="202"/>
      <c r="AN37" s="202"/>
      <c r="AO37" s="201"/>
      <c r="AP37" s="202"/>
      <c r="AQ37" s="202"/>
      <c r="AR37" s="202"/>
      <c r="AS37" s="202"/>
      <c r="AT37" s="201"/>
      <c r="AU37" s="202"/>
      <c r="AV37" s="202"/>
      <c r="AW37" s="202"/>
      <c r="AX37" s="202"/>
      <c r="AY37" s="201"/>
      <c r="AZ37" s="202"/>
      <c r="BA37" s="202"/>
      <c r="BB37" s="202"/>
      <c r="BC37" s="202"/>
      <c r="BD37" s="201"/>
      <c r="BE37" s="202"/>
      <c r="BF37" s="202"/>
      <c r="BG37" s="202"/>
      <c r="BH37" s="202"/>
      <c r="BI37" s="201"/>
      <c r="BJ37" s="202"/>
      <c r="BK37" s="202"/>
      <c r="BL37" s="202"/>
      <c r="BM37" s="166"/>
      <c r="BN37" s="201"/>
      <c r="BO37" s="192"/>
      <c r="BP37" s="192"/>
      <c r="BQ37" s="192"/>
      <c r="BR37" s="192"/>
      <c r="BS37" s="221"/>
      <c r="BT37" s="192"/>
      <c r="BU37" s="192"/>
      <c r="BV37" s="192"/>
      <c r="BW37" s="192"/>
      <c r="BX37" s="221"/>
      <c r="BY37" s="192"/>
      <c r="BZ37" s="192"/>
      <c r="CA37" s="192"/>
      <c r="CB37" s="192"/>
      <c r="CC37" s="221"/>
      <c r="CD37" s="192"/>
      <c r="CE37" s="192"/>
      <c r="CF37" s="192"/>
      <c r="CG37" s="192"/>
      <c r="CH37" s="221"/>
      <c r="CI37" s="192"/>
      <c r="CJ37" s="192"/>
      <c r="CK37" s="192"/>
      <c r="CL37" s="192"/>
      <c r="CM37" s="221"/>
      <c r="CN37" s="192"/>
      <c r="CO37" s="192"/>
      <c r="CP37" s="192"/>
      <c r="CQ37" s="192"/>
      <c r="CR37" s="221"/>
      <c r="CS37" s="192"/>
      <c r="CT37" s="192"/>
      <c r="CU37" s="192"/>
      <c r="CV37" s="192"/>
      <c r="CW37" s="221"/>
      <c r="CX37" s="192"/>
      <c r="CY37" s="192"/>
      <c r="CZ37" s="192"/>
      <c r="DA37" s="192"/>
      <c r="DB37" s="221"/>
      <c r="DC37" s="9"/>
    </row>
    <row r="38" spans="1:114" hidden="1" outlineLevel="1">
      <c r="A38" s="1"/>
      <c r="B38" s="264" t="s">
        <v>404</v>
      </c>
      <c r="C38" s="202"/>
      <c r="D38" s="891"/>
      <c r="E38" s="213">
        <v>0.56599999999999995</v>
      </c>
      <c r="F38" s="213">
        <v>0.871</v>
      </c>
      <c r="G38" s="265">
        <v>0.871</v>
      </c>
      <c r="H38" s="265">
        <v>0.873</v>
      </c>
      <c r="I38" s="265">
        <v>0.874</v>
      </c>
      <c r="J38" s="265">
        <v>0.99399999999999999</v>
      </c>
      <c r="K38" s="201">
        <f>J38</f>
        <v>0.99399999999999999</v>
      </c>
      <c r="L38" s="265">
        <v>0.99399999999999999</v>
      </c>
      <c r="M38" s="265">
        <v>0.998</v>
      </c>
      <c r="N38" s="265">
        <v>0.998</v>
      </c>
      <c r="O38" s="265">
        <v>0.998</v>
      </c>
      <c r="P38" s="201">
        <f>O38</f>
        <v>0.998</v>
      </c>
      <c r="Q38" s="265">
        <v>0.99199999999999999</v>
      </c>
      <c r="R38" s="265">
        <v>0.995</v>
      </c>
      <c r="S38" s="265">
        <v>0.995</v>
      </c>
      <c r="T38" s="265">
        <v>0.997</v>
      </c>
      <c r="U38" s="201">
        <f>T38</f>
        <v>0.997</v>
      </c>
      <c r="V38" s="265">
        <v>0.997</v>
      </c>
      <c r="W38" s="265">
        <v>1</v>
      </c>
      <c r="X38" s="265">
        <v>0.88200000000000001</v>
      </c>
      <c r="Y38" s="265">
        <v>0.88600000000000001</v>
      </c>
      <c r="Z38" s="201">
        <f>Y38</f>
        <v>0.88600000000000001</v>
      </c>
      <c r="AA38" s="265">
        <v>0.90100000000000002</v>
      </c>
      <c r="AB38" s="265">
        <v>0.91200000000000003</v>
      </c>
      <c r="AC38" s="265">
        <v>0.89500000000000002</v>
      </c>
      <c r="AD38" s="265">
        <v>0.94499999999999995</v>
      </c>
      <c r="AE38" s="201">
        <f>AD38</f>
        <v>0.94499999999999995</v>
      </c>
      <c r="AF38" s="265">
        <v>0.99399999999999999</v>
      </c>
      <c r="AG38" s="265">
        <v>0.95799999999999996</v>
      </c>
      <c r="AH38" s="265">
        <v>0.96099999999999997</v>
      </c>
      <c r="AI38" s="265">
        <v>0.95</v>
      </c>
      <c r="AJ38" s="201">
        <f>AI38</f>
        <v>0.95</v>
      </c>
      <c r="AK38" s="265">
        <v>0.95699999999999996</v>
      </c>
      <c r="AL38" s="265">
        <v>0.95899999999999996</v>
      </c>
      <c r="AM38" s="265">
        <v>0.96599999999999997</v>
      </c>
      <c r="AN38" s="265">
        <v>0.96599999999999997</v>
      </c>
      <c r="AO38" s="201">
        <f>AN38</f>
        <v>0.96599999999999997</v>
      </c>
      <c r="AP38" s="265">
        <v>0.97199999999999998</v>
      </c>
      <c r="AQ38" s="265">
        <v>0.96899999999999997</v>
      </c>
      <c r="AR38" s="265">
        <v>0.96699999999999997</v>
      </c>
      <c r="AS38" s="265">
        <v>0.92500000000000004</v>
      </c>
      <c r="AT38" s="201">
        <f>AS38</f>
        <v>0.92500000000000004</v>
      </c>
      <c r="AU38" s="265">
        <v>0.93400000000000005</v>
      </c>
      <c r="AV38" s="265">
        <v>0.93700000000000006</v>
      </c>
      <c r="AW38" s="265">
        <v>0.93899999999999995</v>
      </c>
      <c r="AX38" s="265">
        <v>0.94</v>
      </c>
      <c r="AY38" s="201">
        <f>AX38</f>
        <v>0.94</v>
      </c>
      <c r="AZ38" s="265">
        <v>0.95699999999999996</v>
      </c>
      <c r="BA38" s="265">
        <v>0.96499999999999997</v>
      </c>
      <c r="BB38" s="265">
        <v>0.93700000000000006</v>
      </c>
      <c r="BC38" s="265">
        <v>0.93600000000000005</v>
      </c>
      <c r="BD38" s="201">
        <f>BC38</f>
        <v>0.93600000000000005</v>
      </c>
      <c r="BE38" s="265">
        <v>0.94899999999999995</v>
      </c>
      <c r="BF38" s="265">
        <v>0.93200000000000005</v>
      </c>
      <c r="BG38" s="265">
        <v>0.91800000000000004</v>
      </c>
      <c r="BH38" s="265">
        <v>0.91500000000000004</v>
      </c>
      <c r="BI38" s="201">
        <f>BH38</f>
        <v>0.91500000000000004</v>
      </c>
      <c r="BJ38" s="265">
        <v>0.91900000000000004</v>
      </c>
      <c r="BK38" s="265">
        <v>0.91900000000000004</v>
      </c>
      <c r="BL38" s="265">
        <v>0.92200000000000004</v>
      </c>
      <c r="BM38" s="265">
        <v>0.92900000000000005</v>
      </c>
      <c r="BN38" s="201">
        <f>BM38</f>
        <v>0.92900000000000005</v>
      </c>
      <c r="BO38" s="267">
        <v>0.95</v>
      </c>
      <c r="BP38" s="267">
        <v>0.95799999999999996</v>
      </c>
      <c r="BQ38" s="267">
        <v>0.95899999999999996</v>
      </c>
      <c r="BR38" s="267">
        <v>0.96</v>
      </c>
      <c r="BS38" s="221">
        <f>BR38</f>
        <v>0.96</v>
      </c>
      <c r="BT38" s="267">
        <v>1</v>
      </c>
      <c r="BU38" s="267">
        <v>1</v>
      </c>
      <c r="BV38" s="267">
        <f>BU38</f>
        <v>1</v>
      </c>
      <c r="BW38" s="267">
        <v>1</v>
      </c>
      <c r="BX38" s="221">
        <f>BW38</f>
        <v>1</v>
      </c>
      <c r="BY38" s="267">
        <v>1</v>
      </c>
      <c r="BZ38" s="267">
        <f t="shared" ref="BZ38:CH38" si="145">BY38</f>
        <v>1</v>
      </c>
      <c r="CA38" s="267">
        <v>1</v>
      </c>
      <c r="CB38" s="267">
        <f t="shared" si="145"/>
        <v>1</v>
      </c>
      <c r="CC38" s="221">
        <f t="shared" si="145"/>
        <v>1</v>
      </c>
      <c r="CD38" s="267">
        <v>1</v>
      </c>
      <c r="CE38" s="267">
        <v>1</v>
      </c>
      <c r="CF38" s="267">
        <v>1</v>
      </c>
      <c r="CG38" s="267">
        <v>1</v>
      </c>
      <c r="CH38" s="221">
        <f t="shared" si="145"/>
        <v>1</v>
      </c>
      <c r="CI38" s="267">
        <v>1</v>
      </c>
      <c r="CJ38" s="267">
        <v>1</v>
      </c>
      <c r="CK38" s="267">
        <v>1</v>
      </c>
      <c r="CL38" s="267">
        <v>1</v>
      </c>
      <c r="CM38" s="221">
        <f t="shared" ref="CM38:CW38" si="146">CL38</f>
        <v>1</v>
      </c>
      <c r="CN38" s="266">
        <f t="shared" si="146"/>
        <v>1</v>
      </c>
      <c r="CO38" s="266">
        <f t="shared" ref="CO38" si="147">CN38</f>
        <v>1</v>
      </c>
      <c r="CP38" s="266">
        <f t="shared" ref="CP38" si="148">CO38</f>
        <v>1</v>
      </c>
      <c r="CQ38" s="266">
        <f t="shared" ref="CQ38" si="149">CP38</f>
        <v>1</v>
      </c>
      <c r="CR38" s="221">
        <f t="shared" si="146"/>
        <v>1</v>
      </c>
      <c r="CS38" s="266">
        <f t="shared" ref="CS38" si="150">CR38</f>
        <v>1</v>
      </c>
      <c r="CT38" s="266">
        <f t="shared" ref="CT38" si="151">CS38</f>
        <v>1</v>
      </c>
      <c r="CU38" s="266">
        <f t="shared" ref="CU38" si="152">CT38</f>
        <v>1</v>
      </c>
      <c r="CV38" s="266">
        <f t="shared" ref="CV38" si="153">CU38</f>
        <v>1</v>
      </c>
      <c r="CW38" s="221">
        <f t="shared" si="146"/>
        <v>1</v>
      </c>
      <c r="CX38" s="266">
        <f t="shared" ref="CX38" si="154">CW38</f>
        <v>1</v>
      </c>
      <c r="CY38" s="266">
        <f t="shared" ref="CY38" si="155">CX38</f>
        <v>1</v>
      </c>
      <c r="CZ38" s="266">
        <f t="shared" ref="CZ38" si="156">CY38</f>
        <v>1</v>
      </c>
      <c r="DA38" s="266">
        <f t="shared" ref="DA38" si="157">CZ38</f>
        <v>1</v>
      </c>
      <c r="DB38" s="221">
        <f t="shared" ref="DB38" si="158">DA38</f>
        <v>1</v>
      </c>
      <c r="DC38" s="9"/>
    </row>
    <row r="39" spans="1:114" hidden="1" outlineLevel="1">
      <c r="A39" s="1"/>
      <c r="B39" s="264" t="s">
        <v>405</v>
      </c>
      <c r="C39" s="202"/>
      <c r="D39" s="891"/>
      <c r="E39" s="213">
        <v>483.23700000000002</v>
      </c>
      <c r="F39" s="213">
        <v>998.09199999999998</v>
      </c>
      <c r="G39" s="265">
        <v>998.09900000000005</v>
      </c>
      <c r="H39" s="265">
        <v>1001.204</v>
      </c>
      <c r="I39" s="265">
        <v>1004.93</v>
      </c>
      <c r="J39" s="265">
        <v>1311.8910000000001</v>
      </c>
      <c r="K39" s="201">
        <f>J39</f>
        <v>1311.8910000000001</v>
      </c>
      <c r="L39" s="265">
        <v>1311.9639999999999</v>
      </c>
      <c r="M39" s="265">
        <v>1317.3520000000001</v>
      </c>
      <c r="N39" s="265">
        <v>1318.992</v>
      </c>
      <c r="O39" s="265">
        <v>1319.37</v>
      </c>
      <c r="P39" s="201">
        <f>O39</f>
        <v>1319.37</v>
      </c>
      <c r="Q39" s="265">
        <v>1309.1969999999999</v>
      </c>
      <c r="R39" s="265">
        <v>1313.1030000000001</v>
      </c>
      <c r="S39" s="265">
        <v>1312.2860000000001</v>
      </c>
      <c r="T39" s="265">
        <v>1315.9590000000001</v>
      </c>
      <c r="U39" s="201">
        <f>T39</f>
        <v>1315.9590000000001</v>
      </c>
      <c r="V39" s="265">
        <v>1317.3389999999999</v>
      </c>
      <c r="W39" s="265">
        <v>1324.7650000000001</v>
      </c>
      <c r="X39" s="265">
        <v>1037.1959999999999</v>
      </c>
      <c r="Y39" s="265">
        <v>1047.8879999999999</v>
      </c>
      <c r="Z39" s="201">
        <f>Y39</f>
        <v>1047.8879999999999</v>
      </c>
      <c r="AA39" s="265">
        <v>1085.441</v>
      </c>
      <c r="AB39" s="265">
        <v>1109.0519999999999</v>
      </c>
      <c r="AC39" s="265">
        <v>1046.1980000000001</v>
      </c>
      <c r="AD39" s="265">
        <v>1208.93</v>
      </c>
      <c r="AE39" s="201">
        <f>AD39</f>
        <v>1208.93</v>
      </c>
      <c r="AF39" s="265">
        <v>1334.789</v>
      </c>
      <c r="AG39" s="265">
        <v>1215.4949999999999</v>
      </c>
      <c r="AH39" s="265">
        <v>1226.854</v>
      </c>
      <c r="AI39" s="265">
        <v>1195.9469999999999</v>
      </c>
      <c r="AJ39" s="201">
        <f>AI39</f>
        <v>1195.9469999999999</v>
      </c>
      <c r="AK39" s="265">
        <v>1202.4760000000001</v>
      </c>
      <c r="AL39" s="265">
        <v>1215.3209999999999</v>
      </c>
      <c r="AM39" s="265">
        <v>1227.623</v>
      </c>
      <c r="AN39" s="265">
        <v>1240.308</v>
      </c>
      <c r="AO39" s="201">
        <f>AN39</f>
        <v>1240.308</v>
      </c>
      <c r="AP39" s="265">
        <v>1247.241</v>
      </c>
      <c r="AQ39" s="265">
        <v>1251.7460000000001</v>
      </c>
      <c r="AR39" s="265">
        <v>1258.6369999999999</v>
      </c>
      <c r="AS39" s="265">
        <v>1197.944</v>
      </c>
      <c r="AT39" s="201">
        <f>AS39</f>
        <v>1197.944</v>
      </c>
      <c r="AU39" s="265">
        <v>1153.498</v>
      </c>
      <c r="AV39" s="265">
        <v>1168.125</v>
      </c>
      <c r="AW39" s="265">
        <v>1164.2380000000001</v>
      </c>
      <c r="AX39" s="265">
        <v>1158.3589999999999</v>
      </c>
      <c r="AY39" s="201">
        <f>AX39</f>
        <v>1158.3589999999999</v>
      </c>
      <c r="AZ39" s="265">
        <v>1183.306</v>
      </c>
      <c r="BA39" s="265">
        <v>1208.7819999999999</v>
      </c>
      <c r="BB39" s="265">
        <v>1126.498</v>
      </c>
      <c r="BC39" s="265">
        <v>1126.751</v>
      </c>
      <c r="BD39" s="201">
        <f>BC39</f>
        <v>1126.751</v>
      </c>
      <c r="BE39" s="265">
        <v>1149.002</v>
      </c>
      <c r="BF39" s="265">
        <v>1119.2049999999999</v>
      </c>
      <c r="BG39" s="265">
        <v>1084.415</v>
      </c>
      <c r="BH39" s="265">
        <v>1086.008</v>
      </c>
      <c r="BI39" s="201">
        <f>BH39</f>
        <v>1086.008</v>
      </c>
      <c r="BJ39" s="265">
        <v>1089.4469999999999</v>
      </c>
      <c r="BK39" s="265">
        <v>1101.2239999999999</v>
      </c>
      <c r="BL39" s="265">
        <v>1104.57</v>
      </c>
      <c r="BM39" s="265">
        <v>1138.2739999999999</v>
      </c>
      <c r="BN39" s="201">
        <f>BM39</f>
        <v>1138.2739999999999</v>
      </c>
      <c r="BO39" s="267">
        <v>1187.5350000000001</v>
      </c>
      <c r="BP39" s="267">
        <v>1220.5229999999999</v>
      </c>
      <c r="BQ39" s="267">
        <v>1231.1859999999999</v>
      </c>
      <c r="BR39" s="267">
        <v>1255.855</v>
      </c>
      <c r="BS39" s="221">
        <f>BR39</f>
        <v>1255.855</v>
      </c>
      <c r="BT39" s="267">
        <v>1995</v>
      </c>
      <c r="BU39" s="267">
        <v>2021</v>
      </c>
      <c r="BV39" s="267">
        <f>BU39+BV105</f>
        <v>2035</v>
      </c>
      <c r="BW39" s="267">
        <v>2095</v>
      </c>
      <c r="BX39" s="221">
        <f>BW39</f>
        <v>2095</v>
      </c>
      <c r="BY39" s="267">
        <v>2101</v>
      </c>
      <c r="BZ39" s="267">
        <v>2105</v>
      </c>
      <c r="CA39" s="267">
        <v>2122</v>
      </c>
      <c r="CB39" s="267">
        <v>1963</v>
      </c>
      <c r="CC39" s="221">
        <f>CB39</f>
        <v>1963</v>
      </c>
      <c r="CD39" s="267">
        <v>1952</v>
      </c>
      <c r="CE39" s="267">
        <v>1965</v>
      </c>
      <c r="CF39" s="267">
        <v>1967</v>
      </c>
      <c r="CG39" s="267">
        <v>1975</v>
      </c>
      <c r="CH39" s="221">
        <f>CG39</f>
        <v>1975</v>
      </c>
      <c r="CI39" s="267">
        <v>1980</v>
      </c>
      <c r="CJ39" s="267">
        <v>1984</v>
      </c>
      <c r="CK39" s="267">
        <v>2002</v>
      </c>
      <c r="CL39" s="267">
        <v>2014</v>
      </c>
      <c r="CM39" s="221">
        <f>CL39</f>
        <v>2014</v>
      </c>
      <c r="CN39" s="266">
        <f>CM39+CN105</f>
        <v>2023</v>
      </c>
      <c r="CO39" s="266">
        <f t="shared" ref="CO39:CQ39" si="159">CN39+CO105</f>
        <v>2032</v>
      </c>
      <c r="CP39" s="266">
        <f t="shared" si="159"/>
        <v>2041</v>
      </c>
      <c r="CQ39" s="266">
        <f t="shared" si="159"/>
        <v>2050</v>
      </c>
      <c r="CR39" s="221">
        <f>CQ39</f>
        <v>2050</v>
      </c>
      <c r="CS39" s="266">
        <f t="shared" ref="CS39:CV39" si="160">CR39+CS105</f>
        <v>2059</v>
      </c>
      <c r="CT39" s="266">
        <f t="shared" si="160"/>
        <v>2068</v>
      </c>
      <c r="CU39" s="266">
        <f t="shared" si="160"/>
        <v>2077</v>
      </c>
      <c r="CV39" s="266">
        <f t="shared" si="160"/>
        <v>2086</v>
      </c>
      <c r="CW39" s="221">
        <f>CV39</f>
        <v>2086</v>
      </c>
      <c r="CX39" s="266">
        <f t="shared" ref="CX39" si="161">CW39+CX105</f>
        <v>2095</v>
      </c>
      <c r="CY39" s="266">
        <f t="shared" ref="CY39" si="162">CX39+CY105</f>
        <v>2104</v>
      </c>
      <c r="CZ39" s="266">
        <f t="shared" ref="CZ39" si="163">CY39+CZ105</f>
        <v>2113</v>
      </c>
      <c r="DA39" s="266">
        <f t="shared" ref="DA39" si="164">CZ39+DA105</f>
        <v>2122</v>
      </c>
      <c r="DB39" s="221">
        <f>DA39</f>
        <v>2122</v>
      </c>
      <c r="DC39" s="9"/>
      <c r="DJ39" s="1281"/>
    </row>
    <row r="40" spans="1:114" hidden="1" outlineLevel="1">
      <c r="A40" s="1"/>
      <c r="B40" s="264" t="s">
        <v>407</v>
      </c>
      <c r="C40" s="202"/>
      <c r="D40" s="891"/>
      <c r="E40" s="213">
        <v>-6.5869999999999997</v>
      </c>
      <c r="F40" s="213">
        <v>-6.5869999999999997</v>
      </c>
      <c r="G40" s="265">
        <v>-6.6779999999999999</v>
      </c>
      <c r="H40" s="265">
        <v>-6.6779999999999999</v>
      </c>
      <c r="I40" s="265">
        <v>-6.6779999999999999</v>
      </c>
      <c r="J40" s="265">
        <v>-6.6779999999999999</v>
      </c>
      <c r="K40" s="201">
        <f>J40</f>
        <v>-6.6779999999999999</v>
      </c>
      <c r="L40" s="265">
        <v>-6.6779999999999999</v>
      </c>
      <c r="M40" s="265">
        <v>-6.6779999999999999</v>
      </c>
      <c r="N40" s="265">
        <v>-6.6779999999999999</v>
      </c>
      <c r="O40" s="265">
        <v>-6.6779999999999999</v>
      </c>
      <c r="P40" s="201">
        <f>O40</f>
        <v>-6.6779999999999999</v>
      </c>
      <c r="Q40" s="265">
        <v>-6.6779999999999999</v>
      </c>
      <c r="R40" s="265">
        <v>-6.6779999999999999</v>
      </c>
      <c r="S40" s="265">
        <v>-6.6779999999999999</v>
      </c>
      <c r="T40" s="265">
        <v>-6.6779999999999999</v>
      </c>
      <c r="U40" s="201">
        <f>T40</f>
        <v>-6.6779999999999999</v>
      </c>
      <c r="V40" s="265">
        <v>-6.6779999999999999</v>
      </c>
      <c r="W40" s="265">
        <v>-6.6779999999999999</v>
      </c>
      <c r="X40" s="265">
        <v>-6.6779999999999999</v>
      </c>
      <c r="Y40" s="265">
        <v>-6.6779999999999999</v>
      </c>
      <c r="Z40" s="201">
        <f>Y40</f>
        <v>-6.6779999999999999</v>
      </c>
      <c r="AA40" s="265">
        <v>-6.6779999999999999</v>
      </c>
      <c r="AB40" s="265">
        <v>-6.6779999999999999</v>
      </c>
      <c r="AC40" s="265">
        <v>-6.6779999999999999</v>
      </c>
      <c r="AD40" s="265">
        <v>-6.6779999999999999</v>
      </c>
      <c r="AE40" s="201">
        <f>AD40</f>
        <v>-6.6779999999999999</v>
      </c>
      <c r="AF40" s="265">
        <v>-6.6779999999999999</v>
      </c>
      <c r="AG40" s="265">
        <v>-6.6779999999999999</v>
      </c>
      <c r="AH40" s="265">
        <v>-6.6779999999999999</v>
      </c>
      <c r="AI40" s="265">
        <v>-6.6779999999999999</v>
      </c>
      <c r="AJ40" s="201">
        <f>AI40</f>
        <v>-6.6779999999999999</v>
      </c>
      <c r="AK40" s="265">
        <v>-6.6779999999999999</v>
      </c>
      <c r="AL40" s="265">
        <v>-6.6779999999999999</v>
      </c>
      <c r="AM40" s="265">
        <v>-6.6779999999999999</v>
      </c>
      <c r="AN40" s="265">
        <v>-6.6779999999999999</v>
      </c>
      <c r="AO40" s="201">
        <f>AN40</f>
        <v>-6.6779999999999999</v>
      </c>
      <c r="AP40" s="265">
        <v>-6.6779999999999999</v>
      </c>
      <c r="AQ40" s="265">
        <v>-6.6779999999999999</v>
      </c>
      <c r="AR40" s="265">
        <v>-6.6779999999999999</v>
      </c>
      <c r="AS40" s="265">
        <v>-6.6779999999999999</v>
      </c>
      <c r="AT40" s="201">
        <f>AS40</f>
        <v>-6.6779999999999999</v>
      </c>
      <c r="AU40" s="265">
        <v>-6.6779999999999999</v>
      </c>
      <c r="AV40" s="265">
        <v>-6.6779999999999999</v>
      </c>
      <c r="AW40" s="265">
        <v>-6.6779999999999999</v>
      </c>
      <c r="AX40" s="265">
        <f>+-6.678</f>
        <v>-6.6779999999999999</v>
      </c>
      <c r="AY40" s="201">
        <f>AX40</f>
        <v>-6.6779999999999999</v>
      </c>
      <c r="AZ40" s="265">
        <v>-6.6779999999999999</v>
      </c>
      <c r="BA40" s="265">
        <v>-6.6779999999999999</v>
      </c>
      <c r="BB40" s="265">
        <v>-6.6779999999999999</v>
      </c>
      <c r="BC40" s="265">
        <v>-6.6779999999999999</v>
      </c>
      <c r="BD40" s="201">
        <f>BC40</f>
        <v>-6.6779999999999999</v>
      </c>
      <c r="BE40" s="265">
        <v>-6.6779999999999999</v>
      </c>
      <c r="BF40" s="265">
        <v>-6.6779999999999999</v>
      </c>
      <c r="BG40" s="265">
        <v>-6.6779999999999999</v>
      </c>
      <c r="BH40" s="265">
        <v>-6.6779999999999999</v>
      </c>
      <c r="BI40" s="201">
        <f>BH40</f>
        <v>-6.6779999999999999</v>
      </c>
      <c r="BJ40" s="265">
        <v>-6.6779999999999999</v>
      </c>
      <c r="BK40" s="265">
        <v>-6.6779999999999999</v>
      </c>
      <c r="BL40" s="265">
        <v>-6.6779999999999999</v>
      </c>
      <c r="BM40" s="265">
        <v>-6.6779999999999999</v>
      </c>
      <c r="BN40" s="201">
        <f>BM40</f>
        <v>-6.6779999999999999</v>
      </c>
      <c r="BO40" s="267">
        <v>-6.6779999999999999</v>
      </c>
      <c r="BP40" s="267">
        <v>-6.6779999999999999</v>
      </c>
      <c r="BQ40" s="267">
        <v>-6.6779999999999999</v>
      </c>
      <c r="BR40" s="267">
        <v>-6.6779999999999999</v>
      </c>
      <c r="BS40" s="221">
        <f>BR40</f>
        <v>-6.6779999999999999</v>
      </c>
      <c r="BT40" s="267">
        <v>-7</v>
      </c>
      <c r="BU40" s="267">
        <v>-7</v>
      </c>
      <c r="BV40" s="267">
        <f>BU40</f>
        <v>-7</v>
      </c>
      <c r="BW40" s="267">
        <v>-7</v>
      </c>
      <c r="BX40" s="221">
        <f>BW40</f>
        <v>-7</v>
      </c>
      <c r="BY40" s="267">
        <v>-7</v>
      </c>
      <c r="BZ40" s="267">
        <f>BY40</f>
        <v>-7</v>
      </c>
      <c r="CA40" s="267">
        <v>-7</v>
      </c>
      <c r="CB40" s="267">
        <v>-7</v>
      </c>
      <c r="CC40" s="221">
        <f>CB40</f>
        <v>-7</v>
      </c>
      <c r="CD40" s="267">
        <v>-7</v>
      </c>
      <c r="CE40" s="267">
        <v>0</v>
      </c>
      <c r="CF40" s="267">
        <f t="shared" ref="CF40:CG40" si="165">CE40</f>
        <v>0</v>
      </c>
      <c r="CG40" s="267">
        <f t="shared" si="165"/>
        <v>0</v>
      </c>
      <c r="CH40" s="221">
        <f>CG40</f>
        <v>0</v>
      </c>
      <c r="CI40" s="267">
        <f t="shared" ref="CI40:CN41" si="166">CH40</f>
        <v>0</v>
      </c>
      <c r="CJ40" s="267">
        <f t="shared" si="166"/>
        <v>0</v>
      </c>
      <c r="CK40" s="267">
        <f t="shared" si="166"/>
        <v>0</v>
      </c>
      <c r="CL40" s="267">
        <f t="shared" si="166"/>
        <v>0</v>
      </c>
      <c r="CM40" s="221">
        <f>CL40</f>
        <v>0</v>
      </c>
      <c r="CN40" s="266">
        <f t="shared" si="166"/>
        <v>0</v>
      </c>
      <c r="CO40" s="266">
        <f t="shared" ref="CO40:CO41" si="167">CN40</f>
        <v>0</v>
      </c>
      <c r="CP40" s="266">
        <f t="shared" ref="CP40:CP41" si="168">CO40</f>
        <v>0</v>
      </c>
      <c r="CQ40" s="266">
        <f t="shared" ref="CQ40:CQ41" si="169">CP40</f>
        <v>0</v>
      </c>
      <c r="CR40" s="221">
        <f>CQ40</f>
        <v>0</v>
      </c>
      <c r="CS40" s="266">
        <f t="shared" ref="CS40:CS41" si="170">CR40</f>
        <v>0</v>
      </c>
      <c r="CT40" s="266">
        <f t="shared" ref="CT40:CT41" si="171">CS40</f>
        <v>0</v>
      </c>
      <c r="CU40" s="266">
        <f t="shared" ref="CU40:CU41" si="172">CT40</f>
        <v>0</v>
      </c>
      <c r="CV40" s="266">
        <f t="shared" ref="CV40:CV41" si="173">CU40</f>
        <v>0</v>
      </c>
      <c r="CW40" s="221">
        <f>CV40</f>
        <v>0</v>
      </c>
      <c r="CX40" s="266">
        <f t="shared" ref="CX40:CX41" si="174">CW40</f>
        <v>0</v>
      </c>
      <c r="CY40" s="266">
        <f t="shared" ref="CY40:CY41" si="175">CX40</f>
        <v>0</v>
      </c>
      <c r="CZ40" s="266">
        <f t="shared" ref="CZ40:CZ41" si="176">CY40</f>
        <v>0</v>
      </c>
      <c r="DA40" s="266">
        <f t="shared" ref="DA40:DA41" si="177">CZ40</f>
        <v>0</v>
      </c>
      <c r="DB40" s="221">
        <f>DA40</f>
        <v>0</v>
      </c>
      <c r="DC40" s="9"/>
    </row>
    <row r="41" spans="1:114" hidden="1" outlineLevel="1">
      <c r="A41" s="1"/>
      <c r="B41" s="264" t="s">
        <v>408</v>
      </c>
      <c r="C41" s="202"/>
      <c r="D41" s="891"/>
      <c r="E41" s="213">
        <f>-0.159-1.997</f>
        <v>-2.1560000000000001</v>
      </c>
      <c r="F41" s="213">
        <f>-0.085-0.334</f>
        <v>-0.41900000000000004</v>
      </c>
      <c r="G41" s="265">
        <f>-0.074-0.307</f>
        <v>-0.38100000000000001</v>
      </c>
      <c r="H41" s="265">
        <f>-0.063-0.211</f>
        <v>-0.27400000000000002</v>
      </c>
      <c r="I41" s="265">
        <f>-0.052-0.211</f>
        <v>-0.26300000000000001</v>
      </c>
      <c r="J41" s="265">
        <f>0.75-0.211-0.041</f>
        <v>0.49800000000000005</v>
      </c>
      <c r="K41" s="201">
        <f>J41</f>
        <v>0.49800000000000005</v>
      </c>
      <c r="L41" s="265">
        <f>1.354-0.041</f>
        <v>1.3130000000000002</v>
      </c>
      <c r="M41" s="265">
        <f>-2.383-0.028</f>
        <v>-2.411</v>
      </c>
      <c r="N41" s="265">
        <f>-7.187-0.021</f>
        <v>-7.2080000000000002</v>
      </c>
      <c r="O41" s="265">
        <f>-8.314-0.015</f>
        <v>-8.3290000000000006</v>
      </c>
      <c r="P41" s="201">
        <f>O41</f>
        <v>-8.3290000000000006</v>
      </c>
      <c r="Q41" s="265">
        <f>-8.507-0.011</f>
        <v>-8.5179999999999989</v>
      </c>
      <c r="R41" s="265">
        <f>-9.138-0.008</f>
        <v>-9.145999999999999</v>
      </c>
      <c r="S41" s="265">
        <f>-4.369-0.005</f>
        <v>-4.3739999999999997</v>
      </c>
      <c r="T41" s="265">
        <f>-0.103-0.002</f>
        <v>-0.105</v>
      </c>
      <c r="U41" s="201">
        <f>T41</f>
        <v>-0.105</v>
      </c>
      <c r="V41" s="265">
        <v>-4.9249999999999998</v>
      </c>
      <c r="W41" s="265">
        <v>6.4329999999999998</v>
      </c>
      <c r="X41" s="265">
        <v>2.742</v>
      </c>
      <c r="Y41" s="265">
        <v>6.0460000000000003</v>
      </c>
      <c r="Z41" s="201">
        <f>Y41</f>
        <v>6.0460000000000003</v>
      </c>
      <c r="AA41" s="265">
        <f>11.573-17.664</f>
        <v>-6.0910000000000011</v>
      </c>
      <c r="AB41" s="265">
        <f>7.648-16.177</f>
        <v>-8.5289999999999999</v>
      </c>
      <c r="AC41" s="265">
        <f>13.864-14.691</f>
        <v>-0.82699999999999996</v>
      </c>
      <c r="AD41" s="265">
        <f>15.191-13.204</f>
        <v>1.9870000000000001</v>
      </c>
      <c r="AE41" s="107">
        <f>AD41</f>
        <v>1.9870000000000001</v>
      </c>
      <c r="AF41" s="265">
        <v>20.491</v>
      </c>
      <c r="AG41" s="265">
        <v>22.724</v>
      </c>
      <c r="AH41" s="265">
        <v>13.462</v>
      </c>
      <c r="AI41" s="265">
        <v>5.798</v>
      </c>
      <c r="AJ41" s="201">
        <f>AI41</f>
        <v>5.798</v>
      </c>
      <c r="AK41" s="265">
        <v>1.7150000000000001</v>
      </c>
      <c r="AL41" s="265">
        <v>15.622</v>
      </c>
      <c r="AM41" s="265">
        <v>-21.201000000000001</v>
      </c>
      <c r="AN41" s="265">
        <v>-81.736999999999995</v>
      </c>
      <c r="AO41" s="201">
        <f>AN41</f>
        <v>-81.736999999999995</v>
      </c>
      <c r="AP41" s="265">
        <v>-188.03700000000001</v>
      </c>
      <c r="AQ41" s="265">
        <v>-77.893000000000001</v>
      </c>
      <c r="AR41" s="265">
        <v>-93.367000000000004</v>
      </c>
      <c r="AS41" s="265">
        <v>-295.57499999999999</v>
      </c>
      <c r="AT41" s="201">
        <f>AS41</f>
        <v>-295.57499999999999</v>
      </c>
      <c r="AU41" s="265">
        <v>-283.47500000000002</v>
      </c>
      <c r="AV41" s="265">
        <v>-220.565</v>
      </c>
      <c r="AW41" s="265">
        <v>-242.24199999999999</v>
      </c>
      <c r="AX41" s="265">
        <f>+-221.385</f>
        <v>-221.38499999999999</v>
      </c>
      <c r="AY41" s="201">
        <f>AX41</f>
        <v>-221.38499999999999</v>
      </c>
      <c r="AZ41" s="265">
        <v>-228.11199999999999</v>
      </c>
      <c r="BA41" s="265">
        <v>-260.57299999999998</v>
      </c>
      <c r="BB41" s="265">
        <v>-288.66000000000003</v>
      </c>
      <c r="BC41" s="265">
        <v>-230.92699999999999</v>
      </c>
      <c r="BD41" s="201">
        <f>BC41</f>
        <v>-230.92699999999999</v>
      </c>
      <c r="BE41" s="265">
        <v>-192.64</v>
      </c>
      <c r="BF41" s="265">
        <v>-200.53299999999999</v>
      </c>
      <c r="BG41" s="265">
        <v>-201.05099999999999</v>
      </c>
      <c r="BH41" s="265">
        <v>-184.47900000000001</v>
      </c>
      <c r="BI41" s="201">
        <f>BH41</f>
        <v>-184.47900000000001</v>
      </c>
      <c r="BJ41" s="265">
        <v>-170.136</v>
      </c>
      <c r="BK41" s="265">
        <v>-159.54599999999999</v>
      </c>
      <c r="BL41" s="265">
        <v>-148.721</v>
      </c>
      <c r="BM41" s="265">
        <v>-145.31</v>
      </c>
      <c r="BN41" s="201">
        <f>BM41</f>
        <v>-145.31</v>
      </c>
      <c r="BO41" s="267">
        <v>-126.998</v>
      </c>
      <c r="BP41" s="267">
        <v>-105.267</v>
      </c>
      <c r="BQ41" s="267">
        <v>-92.515000000000001</v>
      </c>
      <c r="BR41" s="267">
        <v>-67.504999999999995</v>
      </c>
      <c r="BS41" s="221">
        <f>BR41</f>
        <v>-67.504999999999995</v>
      </c>
      <c r="BT41" s="267">
        <v>-58</v>
      </c>
      <c r="BU41" s="267">
        <v>-55</v>
      </c>
      <c r="BV41" s="267">
        <f>BU41</f>
        <v>-55</v>
      </c>
      <c r="BW41" s="267">
        <v>-63</v>
      </c>
      <c r="BX41" s="221">
        <f>BW41</f>
        <v>-63</v>
      </c>
      <c r="BY41" s="267">
        <v>-70</v>
      </c>
      <c r="BZ41" s="267">
        <v>-64</v>
      </c>
      <c r="CA41" s="267">
        <v>-93</v>
      </c>
      <c r="CB41" s="267">
        <v>-73</v>
      </c>
      <c r="CC41" s="221">
        <f>CB41</f>
        <v>-73</v>
      </c>
      <c r="CD41" s="267">
        <v>-89</v>
      </c>
      <c r="CE41" s="267">
        <v>-90</v>
      </c>
      <c r="CF41" s="267">
        <v>-87</v>
      </c>
      <c r="CG41" s="267">
        <v>-62</v>
      </c>
      <c r="CH41" s="221">
        <f>CG41</f>
        <v>-62</v>
      </c>
      <c r="CI41" s="267">
        <v>-54</v>
      </c>
      <c r="CJ41" s="267">
        <v>-53</v>
      </c>
      <c r="CK41" s="267">
        <v>-45</v>
      </c>
      <c r="CL41" s="267">
        <v>-21</v>
      </c>
      <c r="CM41" s="221">
        <f>CL41</f>
        <v>-21</v>
      </c>
      <c r="CN41" s="266">
        <f t="shared" si="166"/>
        <v>-21</v>
      </c>
      <c r="CO41" s="266">
        <f t="shared" si="167"/>
        <v>-21</v>
      </c>
      <c r="CP41" s="266">
        <f t="shared" si="168"/>
        <v>-21</v>
      </c>
      <c r="CQ41" s="266">
        <f t="shared" si="169"/>
        <v>-21</v>
      </c>
      <c r="CR41" s="221">
        <f>CQ41</f>
        <v>-21</v>
      </c>
      <c r="CS41" s="266">
        <f t="shared" si="170"/>
        <v>-21</v>
      </c>
      <c r="CT41" s="266">
        <f t="shared" si="171"/>
        <v>-21</v>
      </c>
      <c r="CU41" s="266">
        <f t="shared" si="172"/>
        <v>-21</v>
      </c>
      <c r="CV41" s="266">
        <f t="shared" si="173"/>
        <v>-21</v>
      </c>
      <c r="CW41" s="221">
        <f>CV41</f>
        <v>-21</v>
      </c>
      <c r="CX41" s="266">
        <f t="shared" si="174"/>
        <v>-21</v>
      </c>
      <c r="CY41" s="266">
        <f t="shared" si="175"/>
        <v>-21</v>
      </c>
      <c r="CZ41" s="266">
        <f t="shared" si="176"/>
        <v>-21</v>
      </c>
      <c r="DA41" s="266">
        <f t="shared" si="177"/>
        <v>-21</v>
      </c>
      <c r="DB41" s="221">
        <f>DA41</f>
        <v>-21</v>
      </c>
      <c r="DC41" s="9"/>
      <c r="DJ41" s="1281"/>
    </row>
    <row r="42" spans="1:114" hidden="1" outlineLevel="1">
      <c r="A42" s="1"/>
      <c r="B42" s="264" t="s">
        <v>406</v>
      </c>
      <c r="C42" s="202"/>
      <c r="D42" s="891"/>
      <c r="E42" s="213">
        <v>-245.352</v>
      </c>
      <c r="F42" s="213">
        <v>-235.78299999999999</v>
      </c>
      <c r="G42" s="265">
        <v>-224.935</v>
      </c>
      <c r="H42" s="265">
        <v>-215.28399999999999</v>
      </c>
      <c r="I42" s="265">
        <v>-205.24299999999999</v>
      </c>
      <c r="J42" s="265">
        <v>-191.04</v>
      </c>
      <c r="K42" s="201">
        <f>J42</f>
        <v>-191.04</v>
      </c>
      <c r="L42" s="265">
        <v>-163.864</v>
      </c>
      <c r="M42" s="265">
        <v>-139.62299999999999</v>
      </c>
      <c r="N42" s="265">
        <v>-119.467</v>
      </c>
      <c r="O42" s="265">
        <v>-91.055999999999997</v>
      </c>
      <c r="P42" s="201">
        <f>O42</f>
        <v>-91.055999999999997</v>
      </c>
      <c r="Q42" s="265">
        <v>-57.517000000000003</v>
      </c>
      <c r="R42" s="265">
        <v>-26.901</v>
      </c>
      <c r="S42" s="265">
        <v>4.782</v>
      </c>
      <c r="T42" s="265">
        <v>40.415999999999997</v>
      </c>
      <c r="U42" s="201">
        <f>T42</f>
        <v>40.415999999999997</v>
      </c>
      <c r="V42" s="265">
        <v>81.141999999999996</v>
      </c>
      <c r="W42" s="265">
        <v>119.581</v>
      </c>
      <c r="X42" s="265">
        <v>151.62</v>
      </c>
      <c r="Y42" s="265">
        <v>191.84899999999999</v>
      </c>
      <c r="Z42" s="201">
        <f>Y42</f>
        <v>191.84899999999999</v>
      </c>
      <c r="AA42" s="265">
        <v>227.83699999999999</v>
      </c>
      <c r="AB42" s="265">
        <v>268.36500000000001</v>
      </c>
      <c r="AC42" s="265">
        <v>311.25099999999998</v>
      </c>
      <c r="AD42" s="265">
        <v>359.39299999999997</v>
      </c>
      <c r="AE42" s="201">
        <f>AD42</f>
        <v>359.39299999999997</v>
      </c>
      <c r="AF42" s="265">
        <v>413.43099999999998</v>
      </c>
      <c r="AG42" s="265">
        <v>465.8</v>
      </c>
      <c r="AH42" s="265">
        <v>474.041</v>
      </c>
      <c r="AI42" s="265">
        <v>527.65599999999995</v>
      </c>
      <c r="AJ42" s="201">
        <f>AI42</f>
        <v>527.65599999999995</v>
      </c>
      <c r="AK42" s="265">
        <v>581.98</v>
      </c>
      <c r="AL42" s="265">
        <v>635.74300000000005</v>
      </c>
      <c r="AM42" s="265">
        <v>646.20299999999997</v>
      </c>
      <c r="AN42" s="265">
        <v>557.94500000000005</v>
      </c>
      <c r="AO42" s="201">
        <f>AN42</f>
        <v>557.94500000000005</v>
      </c>
      <c r="AP42" s="265">
        <v>618.072</v>
      </c>
      <c r="AQ42" s="265">
        <v>665.96500000000003</v>
      </c>
      <c r="AR42" s="265">
        <v>716.34900000000005</v>
      </c>
      <c r="AS42" s="265">
        <v>776.24900000000002</v>
      </c>
      <c r="AT42" s="201">
        <f>AS42</f>
        <v>776.24900000000002</v>
      </c>
      <c r="AU42" s="265">
        <v>835.16399999999999</v>
      </c>
      <c r="AV42" s="265">
        <v>894.59900000000005</v>
      </c>
      <c r="AW42" s="265">
        <v>954.31100000000004</v>
      </c>
      <c r="AX42" s="265">
        <v>1019.399</v>
      </c>
      <c r="AY42" s="201">
        <f>AX42</f>
        <v>1019.399</v>
      </c>
      <c r="AZ42" s="265">
        <v>1089.4059999999999</v>
      </c>
      <c r="BA42" s="265">
        <v>1159.471</v>
      </c>
      <c r="BB42" s="265">
        <v>1229.8720000000001</v>
      </c>
      <c r="BC42" s="265">
        <v>1299.3820000000001</v>
      </c>
      <c r="BD42" s="201">
        <f>BC42</f>
        <v>1299.3820000000001</v>
      </c>
      <c r="BE42" s="265">
        <v>1360.7059999999999</v>
      </c>
      <c r="BF42" s="265">
        <v>1396.095</v>
      </c>
      <c r="BG42" s="265">
        <v>1470.3989999999999</v>
      </c>
      <c r="BH42" s="265">
        <v>1501.33</v>
      </c>
      <c r="BI42" s="201">
        <f>BH42</f>
        <v>1501.33</v>
      </c>
      <c r="BJ42" s="265">
        <v>1576.8040000000001</v>
      </c>
      <c r="BK42" s="265">
        <v>1660.163</v>
      </c>
      <c r="BL42" s="265">
        <v>1704.396</v>
      </c>
      <c r="BM42" s="265">
        <v>1743.992</v>
      </c>
      <c r="BN42" s="201">
        <f>BM42</f>
        <v>1743.992</v>
      </c>
      <c r="BO42" s="267">
        <v>1823.1659999999999</v>
      </c>
      <c r="BP42" s="267">
        <v>1852.9190000000001</v>
      </c>
      <c r="BQ42" s="267">
        <v>1857.0139999999999</v>
      </c>
      <c r="BR42" s="267">
        <v>1885.1949999999999</v>
      </c>
      <c r="BS42" s="221">
        <f>BR42</f>
        <v>1885.1949999999999</v>
      </c>
      <c r="BT42" s="267">
        <v>1774</v>
      </c>
      <c r="BU42" s="267">
        <v>1815</v>
      </c>
      <c r="BV42" s="267">
        <f>BU42+BV100</f>
        <v>1909.0000000000005</v>
      </c>
      <c r="BW42" s="267">
        <v>1977</v>
      </c>
      <c r="BX42" s="221">
        <f>BW42</f>
        <v>1977</v>
      </c>
      <c r="BY42" s="267">
        <v>2056</v>
      </c>
      <c r="BZ42" s="267">
        <v>2166</v>
      </c>
      <c r="CA42" s="267">
        <v>2218</v>
      </c>
      <c r="CB42" s="267">
        <v>2135</v>
      </c>
      <c r="CC42" s="221">
        <f>CB42</f>
        <v>2135</v>
      </c>
      <c r="CD42" s="267">
        <v>2146</v>
      </c>
      <c r="CE42" s="267">
        <v>19</v>
      </c>
      <c r="CF42" s="267">
        <v>-60</v>
      </c>
      <c r="CG42" s="267">
        <v>-299</v>
      </c>
      <c r="CH42" s="221">
        <f>CG42</f>
        <v>-299</v>
      </c>
      <c r="CI42" s="267">
        <v>-498</v>
      </c>
      <c r="CJ42" s="267">
        <v>-634</v>
      </c>
      <c r="CK42" s="267">
        <v>-745</v>
      </c>
      <c r="CL42" s="267">
        <v>-2761</v>
      </c>
      <c r="CM42" s="221">
        <f>CL42</f>
        <v>-2761</v>
      </c>
      <c r="CN42" s="266">
        <f t="shared" ref="CN42:CQ42" ca="1" si="178">CM42+CN100+CN136</f>
        <v>-2789.9228601593491</v>
      </c>
      <c r="CO42" s="266">
        <f t="shared" ca="1" si="178"/>
        <v>-2834.6807678395144</v>
      </c>
      <c r="CP42" s="266">
        <f t="shared" ca="1" si="178"/>
        <v>-2894.3675970854551</v>
      </c>
      <c r="CQ42" s="266">
        <f t="shared" ca="1" si="178"/>
        <v>-2926.1565590978848</v>
      </c>
      <c r="CR42" s="221">
        <f ca="1">CQ42</f>
        <v>-2926.1565590978848</v>
      </c>
      <c r="CS42" s="266">
        <f t="shared" ref="CS42:CV42" ca="1" si="179">CR42+CS100+CS136</f>
        <v>-2956.8536999292969</v>
      </c>
      <c r="CT42" s="266">
        <f t="shared" ca="1" si="179"/>
        <v>-2981.3745314203829</v>
      </c>
      <c r="CU42" s="266">
        <f t="shared" ca="1" si="179"/>
        <v>-2990.4002146528037</v>
      </c>
      <c r="CV42" s="266">
        <f t="shared" ca="1" si="179"/>
        <v>-2971.5690321782859</v>
      </c>
      <c r="CW42" s="221">
        <f ca="1">CV42</f>
        <v>-2971.5690321782859</v>
      </c>
      <c r="CX42" s="266">
        <f t="shared" ref="CX42" ca="1" si="180">CW42+CX100+CX136</f>
        <v>-2997.3946579070125</v>
      </c>
      <c r="CY42" s="266">
        <f t="shared" ref="CY42" ca="1" si="181">CX42+CY100+CY136</f>
        <v>-3014.1601906968954</v>
      </c>
      <c r="CZ42" s="266">
        <f t="shared" ref="CZ42" ca="1" si="182">CY42+CZ100+CZ136</f>
        <v>-3033.3676300117554</v>
      </c>
      <c r="DA42" s="266">
        <f t="shared" ref="DA42" ca="1" si="183">CZ42+DA100+DA136</f>
        <v>-3033.5832824881932</v>
      </c>
      <c r="DB42" s="221">
        <f ca="1">DA42</f>
        <v>-3033.5832824881932</v>
      </c>
      <c r="DC42" s="9"/>
      <c r="DJ42" s="1281"/>
    </row>
    <row r="43" spans="1:114" collapsed="1">
      <c r="A43" s="1"/>
      <c r="B43" s="9" t="s">
        <v>432</v>
      </c>
      <c r="C43" s="166"/>
      <c r="D43" s="874"/>
      <c r="E43" s="201">
        <f>SUM(E38:E42)</f>
        <v>229.708</v>
      </c>
      <c r="F43" s="201">
        <f t="shared" ref="F43:Z43" si="184">SUM(F38:F42)</f>
        <v>756.17399999999998</v>
      </c>
      <c r="G43" s="708">
        <f t="shared" si="184"/>
        <v>766.97600000000011</v>
      </c>
      <c r="H43" s="708">
        <f t="shared" si="184"/>
        <v>779.84100000000001</v>
      </c>
      <c r="I43" s="708">
        <f t="shared" si="184"/>
        <v>793.61999999999989</v>
      </c>
      <c r="J43" s="708">
        <f t="shared" si="184"/>
        <v>1115.665</v>
      </c>
      <c r="K43" s="201">
        <f t="shared" si="184"/>
        <v>1115.665</v>
      </c>
      <c r="L43" s="708">
        <f t="shared" si="184"/>
        <v>1143.7289999999998</v>
      </c>
      <c r="M43" s="708">
        <f t="shared" si="184"/>
        <v>1169.6379999999999</v>
      </c>
      <c r="N43" s="708">
        <f t="shared" si="184"/>
        <v>1186.6369999999997</v>
      </c>
      <c r="O43" s="708">
        <f t="shared" si="184"/>
        <v>1214.3049999999998</v>
      </c>
      <c r="P43" s="201">
        <f t="shared" si="184"/>
        <v>1214.3049999999998</v>
      </c>
      <c r="Q43" s="708">
        <f t="shared" si="184"/>
        <v>1237.4759999999997</v>
      </c>
      <c r="R43" s="708">
        <f t="shared" si="184"/>
        <v>1271.3729999999998</v>
      </c>
      <c r="S43" s="708">
        <f t="shared" si="184"/>
        <v>1307.0109999999997</v>
      </c>
      <c r="T43" s="708">
        <f t="shared" si="184"/>
        <v>1350.5889999999999</v>
      </c>
      <c r="U43" s="201">
        <f t="shared" si="184"/>
        <v>1350.5889999999999</v>
      </c>
      <c r="V43" s="708">
        <f t="shared" si="184"/>
        <v>1387.875</v>
      </c>
      <c r="W43" s="708">
        <f t="shared" si="184"/>
        <v>1445.1009999999999</v>
      </c>
      <c r="X43" s="708">
        <f t="shared" si="184"/>
        <v>1185.7619999999997</v>
      </c>
      <c r="Y43" s="708">
        <f t="shared" si="184"/>
        <v>1239.9909999999998</v>
      </c>
      <c r="Z43" s="201">
        <f t="shared" si="184"/>
        <v>1239.9909999999998</v>
      </c>
      <c r="AA43" s="708">
        <f t="shared" ref="AA43:BQ43" si="185">SUM(AA38:AA42)</f>
        <v>1301.4100000000001</v>
      </c>
      <c r="AB43" s="708">
        <f t="shared" si="185"/>
        <v>1363.1219999999998</v>
      </c>
      <c r="AC43" s="708">
        <f t="shared" si="185"/>
        <v>1350.8389999999999</v>
      </c>
      <c r="AD43" s="708">
        <f t="shared" si="185"/>
        <v>1564.577</v>
      </c>
      <c r="AE43" s="201">
        <f t="shared" si="185"/>
        <v>1564.577</v>
      </c>
      <c r="AF43" s="708">
        <f t="shared" si="185"/>
        <v>1763.0269999999998</v>
      </c>
      <c r="AG43" s="708">
        <f t="shared" si="185"/>
        <v>1698.2989999999998</v>
      </c>
      <c r="AH43" s="708">
        <f t="shared" si="185"/>
        <v>1708.6399999999999</v>
      </c>
      <c r="AI43" s="708">
        <f t="shared" si="185"/>
        <v>1723.6729999999998</v>
      </c>
      <c r="AJ43" s="201">
        <f t="shared" si="185"/>
        <v>1723.6729999999998</v>
      </c>
      <c r="AK43" s="708">
        <f t="shared" si="185"/>
        <v>1780.45</v>
      </c>
      <c r="AL43" s="708">
        <f t="shared" si="185"/>
        <v>1860.9670000000001</v>
      </c>
      <c r="AM43" s="708">
        <f t="shared" si="185"/>
        <v>1846.9129999999998</v>
      </c>
      <c r="AN43" s="708">
        <f t="shared" si="185"/>
        <v>1710.8039999999996</v>
      </c>
      <c r="AO43" s="201">
        <f t="shared" si="185"/>
        <v>1710.8039999999996</v>
      </c>
      <c r="AP43" s="708">
        <f t="shared" si="185"/>
        <v>1671.5699999999997</v>
      </c>
      <c r="AQ43" s="708">
        <f t="shared" si="185"/>
        <v>1834.1089999999999</v>
      </c>
      <c r="AR43" s="708">
        <f t="shared" si="185"/>
        <v>1875.9079999999999</v>
      </c>
      <c r="AS43" s="708">
        <f t="shared" si="185"/>
        <v>1672.8649999999998</v>
      </c>
      <c r="AT43" s="201">
        <f t="shared" si="185"/>
        <v>1672.8649999999998</v>
      </c>
      <c r="AU43" s="708">
        <f t="shared" si="185"/>
        <v>1699.4429999999998</v>
      </c>
      <c r="AV43" s="708">
        <f t="shared" si="185"/>
        <v>1836.4179999999997</v>
      </c>
      <c r="AW43" s="708">
        <f t="shared" si="185"/>
        <v>1870.5680000000002</v>
      </c>
      <c r="AX43" s="708">
        <f t="shared" si="185"/>
        <v>1950.6349999999998</v>
      </c>
      <c r="AY43" s="201">
        <f t="shared" si="185"/>
        <v>1950.6349999999998</v>
      </c>
      <c r="AZ43" s="708">
        <f t="shared" si="185"/>
        <v>2038.8789999999999</v>
      </c>
      <c r="BA43" s="708">
        <f t="shared" si="185"/>
        <v>2101.9669999999996</v>
      </c>
      <c r="BB43" s="708">
        <f t="shared" si="185"/>
        <v>2061.9690000000001</v>
      </c>
      <c r="BC43" s="708">
        <f t="shared" si="185"/>
        <v>2189.4639999999999</v>
      </c>
      <c r="BD43" s="201">
        <f t="shared" si="185"/>
        <v>2189.4639999999999</v>
      </c>
      <c r="BE43" s="708">
        <f t="shared" si="185"/>
        <v>2311.3389999999999</v>
      </c>
      <c r="BF43" s="708">
        <f t="shared" si="185"/>
        <v>2309.0209999999997</v>
      </c>
      <c r="BG43" s="708">
        <f t="shared" si="185"/>
        <v>2348.0029999999997</v>
      </c>
      <c r="BH43" s="708">
        <f t="shared" si="185"/>
        <v>2397.0959999999995</v>
      </c>
      <c r="BI43" s="201">
        <f t="shared" si="185"/>
        <v>2397.0959999999995</v>
      </c>
      <c r="BJ43" s="708">
        <f t="shared" si="185"/>
        <v>2490.3559999999998</v>
      </c>
      <c r="BK43" s="708">
        <f t="shared" si="185"/>
        <v>2596.0819999999999</v>
      </c>
      <c r="BL43" s="708">
        <f t="shared" si="185"/>
        <v>2654.4889999999996</v>
      </c>
      <c r="BM43" s="708">
        <f t="shared" si="185"/>
        <v>2731.2069999999999</v>
      </c>
      <c r="BN43" s="201">
        <f t="shared" si="185"/>
        <v>2731.2069999999999</v>
      </c>
      <c r="BO43" s="266">
        <f t="shared" si="185"/>
        <v>2877.9749999999999</v>
      </c>
      <c r="BP43" s="266">
        <f t="shared" si="185"/>
        <v>2962.4549999999999</v>
      </c>
      <c r="BQ43" s="266">
        <f t="shared" si="185"/>
        <v>2989.9659999999994</v>
      </c>
      <c r="BR43" s="266">
        <f t="shared" ref="BR43:CC43" si="186">SUM(BR38:BR42)</f>
        <v>3067.8270000000002</v>
      </c>
      <c r="BS43" s="221">
        <f t="shared" si="186"/>
        <v>3067.8270000000002</v>
      </c>
      <c r="BT43" s="266">
        <f t="shared" si="186"/>
        <v>3705</v>
      </c>
      <c r="BU43" s="266">
        <v>3775</v>
      </c>
      <c r="BV43" s="266">
        <v>3882</v>
      </c>
      <c r="BW43" s="266">
        <f t="shared" si="186"/>
        <v>4003</v>
      </c>
      <c r="BX43" s="221">
        <f t="shared" si="186"/>
        <v>4003</v>
      </c>
      <c r="BY43" s="266">
        <f t="shared" si="186"/>
        <v>4081</v>
      </c>
      <c r="BZ43" s="266">
        <f t="shared" si="186"/>
        <v>4201</v>
      </c>
      <c r="CA43" s="266">
        <f t="shared" si="186"/>
        <v>4241</v>
      </c>
      <c r="CB43" s="266">
        <f t="shared" si="186"/>
        <v>4019</v>
      </c>
      <c r="CC43" s="221">
        <f t="shared" si="186"/>
        <v>4019</v>
      </c>
      <c r="CD43" s="266">
        <f t="shared" ref="CD43:CM43" si="187">SUM(CD38:CD42)</f>
        <v>4003</v>
      </c>
      <c r="CE43" s="266">
        <f t="shared" si="187"/>
        <v>1895</v>
      </c>
      <c r="CF43" s="266">
        <f t="shared" si="187"/>
        <v>1821</v>
      </c>
      <c r="CG43" s="266">
        <f t="shared" si="187"/>
        <v>1615</v>
      </c>
      <c r="CH43" s="221">
        <f t="shared" si="187"/>
        <v>1615</v>
      </c>
      <c r="CI43" s="266">
        <f t="shared" si="187"/>
        <v>1429</v>
      </c>
      <c r="CJ43" s="266">
        <f t="shared" ref="CJ43:CL43" si="188">SUM(CJ38:CJ42)</f>
        <v>1298</v>
      </c>
      <c r="CK43" s="266">
        <f t="shared" si="188"/>
        <v>1213</v>
      </c>
      <c r="CL43" s="266">
        <f t="shared" si="188"/>
        <v>-767</v>
      </c>
      <c r="CM43" s="221">
        <f t="shared" si="187"/>
        <v>-767</v>
      </c>
      <c r="CN43" s="266">
        <f t="shared" ref="CN43:CQ43" ca="1" si="189">SUM(CN38:CN42)</f>
        <v>-786.92286015934906</v>
      </c>
      <c r="CO43" s="266">
        <f t="shared" ca="1" si="189"/>
        <v>-822.68076783951437</v>
      </c>
      <c r="CP43" s="266">
        <f t="shared" ca="1" si="189"/>
        <v>-873.36759708545515</v>
      </c>
      <c r="CQ43" s="266">
        <f t="shared" ca="1" si="189"/>
        <v>-896.15655909788484</v>
      </c>
      <c r="CR43" s="221">
        <f t="shared" ref="CR43:CW43" ca="1" si="190">SUM(CR38:CR42)</f>
        <v>-896.15655909788484</v>
      </c>
      <c r="CS43" s="266">
        <f t="shared" ca="1" si="190"/>
        <v>-917.85369992929691</v>
      </c>
      <c r="CT43" s="266">
        <f t="shared" ca="1" si="190"/>
        <v>-933.37453142038294</v>
      </c>
      <c r="CU43" s="266">
        <f t="shared" ca="1" si="190"/>
        <v>-933.4002146528037</v>
      </c>
      <c r="CV43" s="266">
        <f t="shared" ca="1" si="190"/>
        <v>-905.56903217828585</v>
      </c>
      <c r="CW43" s="221">
        <f t="shared" ca="1" si="190"/>
        <v>-905.56903217828585</v>
      </c>
      <c r="CX43" s="266">
        <f t="shared" ref="CX43:DA43" ca="1" si="191">SUM(CX38:CX42)</f>
        <v>-922.39465790701252</v>
      </c>
      <c r="CY43" s="266">
        <f t="shared" ca="1" si="191"/>
        <v>-930.16019069689537</v>
      </c>
      <c r="CZ43" s="266">
        <f t="shared" ca="1" si="191"/>
        <v>-940.36763001175541</v>
      </c>
      <c r="DA43" s="266">
        <f t="shared" ca="1" si="191"/>
        <v>-931.58328248819316</v>
      </c>
      <c r="DB43" s="221">
        <f t="shared" ref="DB43" ca="1" si="192">SUM(DB38:DB42)</f>
        <v>-931.58328248819316</v>
      </c>
      <c r="DC43" s="9"/>
      <c r="DJ43" s="1281"/>
    </row>
    <row r="44" spans="1:114">
      <c r="A44" s="1"/>
      <c r="B44" s="264" t="s">
        <v>431</v>
      </c>
      <c r="C44" s="353"/>
      <c r="D44" s="406"/>
      <c r="E44" s="352">
        <v>0</v>
      </c>
      <c r="F44" s="352">
        <v>0</v>
      </c>
      <c r="G44" s="353">
        <v>0</v>
      </c>
      <c r="H44" s="353">
        <v>0</v>
      </c>
      <c r="I44" s="353">
        <v>0</v>
      </c>
      <c r="J44" s="353">
        <v>0</v>
      </c>
      <c r="K44" s="354">
        <f>J44</f>
        <v>0</v>
      </c>
      <c r="L44" s="353">
        <v>0</v>
      </c>
      <c r="M44" s="353">
        <v>0</v>
      </c>
      <c r="N44" s="353">
        <v>0</v>
      </c>
      <c r="O44" s="353">
        <v>0</v>
      </c>
      <c r="P44" s="354">
        <f>O44</f>
        <v>0</v>
      </c>
      <c r="Q44" s="353">
        <v>0</v>
      </c>
      <c r="R44" s="353">
        <v>0</v>
      </c>
      <c r="S44" s="353">
        <v>0</v>
      </c>
      <c r="T44" s="353">
        <v>0</v>
      </c>
      <c r="U44" s="354">
        <f>T44</f>
        <v>0</v>
      </c>
      <c r="V44" s="353">
        <v>0</v>
      </c>
      <c r="W44" s="353">
        <v>0</v>
      </c>
      <c r="X44" s="353">
        <v>0</v>
      </c>
      <c r="Y44" s="353">
        <v>0</v>
      </c>
      <c r="Z44" s="354">
        <f>Y44</f>
        <v>0</v>
      </c>
      <c r="AA44" s="353">
        <v>0</v>
      </c>
      <c r="AB44" s="353">
        <v>0</v>
      </c>
      <c r="AC44" s="353">
        <v>0</v>
      </c>
      <c r="AD44" s="353">
        <v>0</v>
      </c>
      <c r="AE44" s="354">
        <f>AD44</f>
        <v>0</v>
      </c>
      <c r="AF44" s="353">
        <v>0</v>
      </c>
      <c r="AG44" s="353">
        <v>0</v>
      </c>
      <c r="AH44" s="353">
        <v>0</v>
      </c>
      <c r="AI44" s="353">
        <v>0</v>
      </c>
      <c r="AJ44" s="354">
        <f>AI44</f>
        <v>0</v>
      </c>
      <c r="AK44" s="353">
        <v>0</v>
      </c>
      <c r="AL44" s="353">
        <v>0</v>
      </c>
      <c r="AM44" s="353">
        <v>0</v>
      </c>
      <c r="AN44" s="353">
        <v>0</v>
      </c>
      <c r="AO44" s="354">
        <f>AN44</f>
        <v>0</v>
      </c>
      <c r="AP44" s="353">
        <v>0</v>
      </c>
      <c r="AQ44" s="353">
        <v>0</v>
      </c>
      <c r="AR44" s="353">
        <v>0</v>
      </c>
      <c r="AS44" s="353">
        <v>0</v>
      </c>
      <c r="AT44" s="354">
        <f>AS44</f>
        <v>0</v>
      </c>
      <c r="AU44" s="353">
        <v>78.686000000000007</v>
      </c>
      <c r="AV44" s="353">
        <v>80.974999999999994</v>
      </c>
      <c r="AW44" s="353">
        <v>78.614999999999995</v>
      </c>
      <c r="AX44" s="353">
        <v>64.781999999999996</v>
      </c>
      <c r="AY44" s="354">
        <f>AX44</f>
        <v>64.781999999999996</v>
      </c>
      <c r="AZ44" s="353">
        <v>61.981000000000002</v>
      </c>
      <c r="BA44" s="353">
        <v>61.633000000000003</v>
      </c>
      <c r="BB44" s="353">
        <v>64.263999999999996</v>
      </c>
      <c r="BC44" s="353">
        <v>60.912999999999997</v>
      </c>
      <c r="BD44" s="354">
        <f>BC44</f>
        <v>60.912999999999997</v>
      </c>
      <c r="BE44" s="353">
        <v>60.944000000000003</v>
      </c>
      <c r="BF44" s="353">
        <v>61.305</v>
      </c>
      <c r="BG44" s="353">
        <v>60.997</v>
      </c>
      <c r="BH44" s="353">
        <v>67.349000000000004</v>
      </c>
      <c r="BI44" s="354">
        <f>BH44</f>
        <v>67.349000000000004</v>
      </c>
      <c r="BJ44" s="353">
        <v>61.747999999999998</v>
      </c>
      <c r="BK44" s="353">
        <v>64.691999999999993</v>
      </c>
      <c r="BL44" s="353">
        <v>58.255000000000003</v>
      </c>
      <c r="BM44" s="353">
        <v>65.313999999999993</v>
      </c>
      <c r="BN44" s="354">
        <f>BM44</f>
        <v>65.313999999999993</v>
      </c>
      <c r="BO44" s="355">
        <v>62.564</v>
      </c>
      <c r="BP44" s="355">
        <v>59.904000000000003</v>
      </c>
      <c r="BQ44" s="355">
        <v>62.997999999999998</v>
      </c>
      <c r="BR44" s="355">
        <v>63.643000000000001</v>
      </c>
      <c r="BS44" s="357">
        <f>BR44</f>
        <v>63.643000000000001</v>
      </c>
      <c r="BT44" s="355">
        <v>81</v>
      </c>
      <c r="BU44" s="355">
        <v>90</v>
      </c>
      <c r="BV44" s="355">
        <v>88</v>
      </c>
      <c r="BW44" s="355">
        <v>80</v>
      </c>
      <c r="BX44" s="357">
        <f>BW44</f>
        <v>80</v>
      </c>
      <c r="BY44" s="355">
        <v>79</v>
      </c>
      <c r="BZ44" s="355">
        <v>83</v>
      </c>
      <c r="CA44" s="355">
        <v>82</v>
      </c>
      <c r="CB44" s="355">
        <v>86</v>
      </c>
      <c r="CC44" s="357">
        <f>CB44</f>
        <v>86</v>
      </c>
      <c r="CD44" s="355">
        <v>115</v>
      </c>
      <c r="CE44" s="355">
        <v>107</v>
      </c>
      <c r="CF44" s="355">
        <v>106</v>
      </c>
      <c r="CG44" s="355">
        <v>113</v>
      </c>
      <c r="CH44" s="357">
        <f t="shared" ref="CH44:CN44" si="193">CG44</f>
        <v>113</v>
      </c>
      <c r="CI44" s="355">
        <v>112</v>
      </c>
      <c r="CJ44" s="355">
        <v>95</v>
      </c>
      <c r="CK44" s="355">
        <v>96</v>
      </c>
      <c r="CL44" s="355">
        <v>75</v>
      </c>
      <c r="CM44" s="357">
        <f t="shared" si="193"/>
        <v>75</v>
      </c>
      <c r="CN44" s="356">
        <f t="shared" si="193"/>
        <v>75</v>
      </c>
      <c r="CO44" s="356">
        <f t="shared" ref="CO44" si="194">CN44</f>
        <v>75</v>
      </c>
      <c r="CP44" s="356">
        <f t="shared" ref="CP44" si="195">CO44</f>
        <v>75</v>
      </c>
      <c r="CQ44" s="356">
        <f t="shared" ref="CQ44" si="196">CP44</f>
        <v>75</v>
      </c>
      <c r="CR44" s="357">
        <f t="shared" ref="CR44:CW44" si="197">CQ44</f>
        <v>75</v>
      </c>
      <c r="CS44" s="356">
        <f t="shared" ref="CS44" si="198">CR44</f>
        <v>75</v>
      </c>
      <c r="CT44" s="356">
        <f t="shared" ref="CT44" si="199">CS44</f>
        <v>75</v>
      </c>
      <c r="CU44" s="356">
        <f t="shared" ref="CU44" si="200">CT44</f>
        <v>75</v>
      </c>
      <c r="CV44" s="356">
        <f t="shared" ref="CV44" si="201">CU44</f>
        <v>75</v>
      </c>
      <c r="CW44" s="357">
        <f t="shared" si="197"/>
        <v>75</v>
      </c>
      <c r="CX44" s="356">
        <f t="shared" ref="CX44" si="202">CW44</f>
        <v>75</v>
      </c>
      <c r="CY44" s="356">
        <f t="shared" ref="CY44" si="203">CX44</f>
        <v>75</v>
      </c>
      <c r="CZ44" s="356">
        <f t="shared" ref="CZ44" si="204">CY44</f>
        <v>75</v>
      </c>
      <c r="DA44" s="356">
        <f t="shared" ref="DA44" si="205">CZ44</f>
        <v>75</v>
      </c>
      <c r="DB44" s="357">
        <f t="shared" ref="DB44" si="206">DA44</f>
        <v>75</v>
      </c>
      <c r="DC44" s="9"/>
      <c r="DJ44" s="1281"/>
    </row>
    <row r="45" spans="1:114">
      <c r="A45" s="1"/>
      <c r="B45" s="25" t="s">
        <v>433</v>
      </c>
      <c r="C45" s="158"/>
      <c r="D45" s="873"/>
      <c r="E45" s="168">
        <f>E43+E34+E36+E44</f>
        <v>1895.0840000000001</v>
      </c>
      <c r="F45" s="168">
        <f t="shared" ref="F45:Z45" si="207">F43+F34+F36+F44</f>
        <v>2213.837</v>
      </c>
      <c r="G45" s="872">
        <f t="shared" si="207"/>
        <v>2221.94</v>
      </c>
      <c r="H45" s="872">
        <f t="shared" si="207"/>
        <v>2280.0860000000002</v>
      </c>
      <c r="I45" s="872">
        <f t="shared" si="207"/>
        <v>2298.6030000000001</v>
      </c>
      <c r="J45" s="872">
        <f t="shared" si="207"/>
        <v>2460.6639999999998</v>
      </c>
      <c r="K45" s="168">
        <f t="shared" si="207"/>
        <v>2460.6639999999998</v>
      </c>
      <c r="L45" s="872">
        <f t="shared" si="207"/>
        <v>2594.0609999999997</v>
      </c>
      <c r="M45" s="872">
        <f t="shared" si="207"/>
        <v>2578.2669999999998</v>
      </c>
      <c r="N45" s="872">
        <f t="shared" si="207"/>
        <v>2768.4949999999999</v>
      </c>
      <c r="O45" s="872">
        <f t="shared" si="207"/>
        <v>2809.4960000000001</v>
      </c>
      <c r="P45" s="168">
        <f t="shared" si="207"/>
        <v>2809.4960000000001</v>
      </c>
      <c r="Q45" s="872">
        <f t="shared" si="207"/>
        <v>2921.72</v>
      </c>
      <c r="R45" s="872">
        <f t="shared" si="207"/>
        <v>2887.0359999999996</v>
      </c>
      <c r="S45" s="872">
        <f t="shared" si="207"/>
        <v>3187.7249999999999</v>
      </c>
      <c r="T45" s="872">
        <f t="shared" si="207"/>
        <v>3350.2110000000002</v>
      </c>
      <c r="U45" s="168">
        <f t="shared" si="207"/>
        <v>3350.2110000000002</v>
      </c>
      <c r="V45" s="872">
        <f t="shared" si="207"/>
        <v>3380.2629999999999</v>
      </c>
      <c r="W45" s="872">
        <f t="shared" si="207"/>
        <v>3381.2639999999997</v>
      </c>
      <c r="X45" s="872">
        <f t="shared" si="207"/>
        <v>3534.6949999999993</v>
      </c>
      <c r="Y45" s="872">
        <f t="shared" si="207"/>
        <v>3632.6080000000002</v>
      </c>
      <c r="Z45" s="168">
        <f t="shared" si="207"/>
        <v>3632.6080000000002</v>
      </c>
      <c r="AA45" s="872">
        <f t="shared" ref="AA45:BQ45" si="208">AA43+AA34+AA36+AA44</f>
        <v>3761.1150000000007</v>
      </c>
      <c r="AB45" s="872">
        <f t="shared" si="208"/>
        <v>3848.1709999999998</v>
      </c>
      <c r="AC45" s="872">
        <f t="shared" si="208"/>
        <v>3844.0829999999996</v>
      </c>
      <c r="AD45" s="872">
        <f t="shared" si="208"/>
        <v>3934.2179999999998</v>
      </c>
      <c r="AE45" s="168">
        <f t="shared" si="208"/>
        <v>3934.2179999999998</v>
      </c>
      <c r="AF45" s="872">
        <f t="shared" si="208"/>
        <v>4049.2889999999998</v>
      </c>
      <c r="AG45" s="872">
        <f t="shared" si="208"/>
        <v>4178.66</v>
      </c>
      <c r="AH45" s="872">
        <f t="shared" si="208"/>
        <v>4343.6129999999994</v>
      </c>
      <c r="AI45" s="872">
        <f t="shared" si="208"/>
        <v>4506.5789999999997</v>
      </c>
      <c r="AJ45" s="168">
        <f t="shared" si="208"/>
        <v>4506.5789999999997</v>
      </c>
      <c r="AK45" s="872">
        <f t="shared" si="208"/>
        <v>4608.9160000000002</v>
      </c>
      <c r="AL45" s="872">
        <f t="shared" si="208"/>
        <v>4793.1110000000008</v>
      </c>
      <c r="AM45" s="872">
        <f t="shared" si="208"/>
        <v>13438.697</v>
      </c>
      <c r="AN45" s="872">
        <f t="shared" si="208"/>
        <v>13493.643</v>
      </c>
      <c r="AO45" s="168">
        <f t="shared" si="208"/>
        <v>13493.643</v>
      </c>
      <c r="AP45" s="872">
        <f t="shared" si="208"/>
        <v>13332.349</v>
      </c>
      <c r="AQ45" s="872">
        <f t="shared" si="208"/>
        <v>13359.508000000002</v>
      </c>
      <c r="AR45" s="872">
        <f t="shared" si="208"/>
        <v>13587.403999999999</v>
      </c>
      <c r="AS45" s="872">
        <f t="shared" si="208"/>
        <v>13818.253999999999</v>
      </c>
      <c r="AT45" s="168">
        <f t="shared" si="208"/>
        <v>13818.253999999999</v>
      </c>
      <c r="AU45" s="872">
        <f t="shared" si="208"/>
        <v>13914.365999999996</v>
      </c>
      <c r="AV45" s="872">
        <f t="shared" si="208"/>
        <v>13872.022000000001</v>
      </c>
      <c r="AW45" s="872">
        <f t="shared" si="208"/>
        <v>14043.682999999999</v>
      </c>
      <c r="AX45" s="872">
        <f t="shared" si="208"/>
        <v>14021.472</v>
      </c>
      <c r="AY45" s="168">
        <f t="shared" si="208"/>
        <v>14021.472</v>
      </c>
      <c r="AZ45" s="872">
        <f t="shared" si="208"/>
        <v>14200.612000000001</v>
      </c>
      <c r="BA45" s="872">
        <f t="shared" si="208"/>
        <v>14313.431</v>
      </c>
      <c r="BB45" s="872">
        <f t="shared" si="208"/>
        <v>14419.492999999999</v>
      </c>
      <c r="BC45" s="872">
        <f t="shared" si="208"/>
        <v>14698.122999999998</v>
      </c>
      <c r="BD45" s="168">
        <f t="shared" si="208"/>
        <v>14698.122999999998</v>
      </c>
      <c r="BE45" s="872">
        <f t="shared" si="208"/>
        <v>14718.279</v>
      </c>
      <c r="BF45" s="872">
        <f t="shared" si="208"/>
        <v>14825.414999999997</v>
      </c>
      <c r="BG45" s="872">
        <f t="shared" si="208"/>
        <v>14847.922</v>
      </c>
      <c r="BH45" s="872">
        <f t="shared" si="208"/>
        <v>15208.840000000002</v>
      </c>
      <c r="BI45" s="168">
        <f t="shared" si="208"/>
        <v>15208.840000000002</v>
      </c>
      <c r="BJ45" s="872">
        <f t="shared" si="208"/>
        <v>15846.416000000001</v>
      </c>
      <c r="BK45" s="872">
        <f t="shared" si="208"/>
        <v>15873.005999999999</v>
      </c>
      <c r="BL45" s="872">
        <f t="shared" si="208"/>
        <v>16241.154999999999</v>
      </c>
      <c r="BM45" s="872">
        <f t="shared" si="208"/>
        <v>16606.334999999999</v>
      </c>
      <c r="BN45" s="168">
        <f t="shared" si="208"/>
        <v>16606.334999999999</v>
      </c>
      <c r="BO45" s="653">
        <f t="shared" si="208"/>
        <v>16597.201999999997</v>
      </c>
      <c r="BP45" s="653">
        <f t="shared" si="208"/>
        <v>16596.821999999996</v>
      </c>
      <c r="BQ45" s="653">
        <f t="shared" si="208"/>
        <v>16722.242999999999</v>
      </c>
      <c r="BR45" s="653">
        <f t="shared" ref="BR45:CC45" si="209">BR43+BR34+BR36+BR44</f>
        <v>17117.295000000002</v>
      </c>
      <c r="BS45" s="235">
        <f t="shared" si="209"/>
        <v>17117.295000000002</v>
      </c>
      <c r="BT45" s="653">
        <f t="shared" si="209"/>
        <v>26962</v>
      </c>
      <c r="BU45" s="653">
        <f t="shared" si="209"/>
        <v>27270</v>
      </c>
      <c r="BV45" s="653">
        <f t="shared" si="209"/>
        <v>27224</v>
      </c>
      <c r="BW45" s="653">
        <f t="shared" si="209"/>
        <v>27421</v>
      </c>
      <c r="BX45" s="235">
        <f t="shared" si="209"/>
        <v>27421</v>
      </c>
      <c r="BY45" s="653">
        <f t="shared" si="209"/>
        <v>27119</v>
      </c>
      <c r="BZ45" s="653">
        <f t="shared" si="209"/>
        <v>27186</v>
      </c>
      <c r="CA45" s="653">
        <f t="shared" si="209"/>
        <v>27189</v>
      </c>
      <c r="CB45" s="653">
        <f t="shared" si="209"/>
        <v>26861</v>
      </c>
      <c r="CC45" s="235">
        <f t="shared" si="209"/>
        <v>26861</v>
      </c>
      <c r="CD45" s="653">
        <f t="shared" ref="CD45:CM45" si="210">CD43+CD34+CD36+CD44</f>
        <v>26724</v>
      </c>
      <c r="CE45" s="653">
        <f t="shared" si="210"/>
        <v>22432</v>
      </c>
      <c r="CF45" s="653">
        <f t="shared" si="210"/>
        <v>22227</v>
      </c>
      <c r="CG45" s="653">
        <f t="shared" si="210"/>
        <v>21944</v>
      </c>
      <c r="CH45" s="235">
        <f t="shared" si="210"/>
        <v>21944</v>
      </c>
      <c r="CI45" s="653">
        <f t="shared" si="210"/>
        <v>21660</v>
      </c>
      <c r="CJ45" s="653">
        <f t="shared" ref="CJ45:CL45" si="211">CJ43+CJ34+CJ36+CJ44</f>
        <v>20873</v>
      </c>
      <c r="CK45" s="653">
        <f t="shared" si="211"/>
        <v>19735</v>
      </c>
      <c r="CL45" s="653">
        <f t="shared" si="211"/>
        <v>17450</v>
      </c>
      <c r="CM45" s="235">
        <f t="shared" si="210"/>
        <v>17450</v>
      </c>
      <c r="CN45" s="653">
        <f t="shared" ref="CN45:CQ45" ca="1" si="212">CN43+CN34+CN36+CN44</f>
        <v>16999.998122785655</v>
      </c>
      <c r="CO45" s="653">
        <f t="shared" ca="1" si="212"/>
        <v>16603.534589123716</v>
      </c>
      <c r="CP45" s="653">
        <f t="shared" ca="1" si="212"/>
        <v>16101.100965982803</v>
      </c>
      <c r="CQ45" s="653">
        <f t="shared" ca="1" si="212"/>
        <v>15819.152540155163</v>
      </c>
      <c r="CR45" s="235">
        <f t="shared" ref="CR45:CW45" ca="1" si="213">CR43+CR34+CR36+CR44</f>
        <v>15819.152540155163</v>
      </c>
      <c r="CS45" s="653">
        <f t="shared" ca="1" si="213"/>
        <v>15392.809663933856</v>
      </c>
      <c r="CT45" s="653">
        <f t="shared" ca="1" si="213"/>
        <v>15202.708341033489</v>
      </c>
      <c r="CU45" s="653">
        <f t="shared" ca="1" si="213"/>
        <v>14996.23634588287</v>
      </c>
      <c r="CV45" s="653">
        <f t="shared" ca="1" si="213"/>
        <v>15250.196627252968</v>
      </c>
      <c r="CW45" s="235">
        <f t="shared" ca="1" si="213"/>
        <v>15250.196627252968</v>
      </c>
      <c r="CX45" s="653">
        <f t="shared" ref="CX45:DA45" ca="1" si="214">CX43+CX34+CX36+CX44</f>
        <v>14961.029733394284</v>
      </c>
      <c r="CY45" s="653">
        <f t="shared" ca="1" si="214"/>
        <v>14877.724690959178</v>
      </c>
      <c r="CZ45" s="653">
        <f t="shared" ca="1" si="214"/>
        <v>14792.999356561153</v>
      </c>
      <c r="DA45" s="653">
        <f t="shared" ca="1" si="214"/>
        <v>14920.993253125238</v>
      </c>
      <c r="DB45" s="235">
        <f t="shared" ref="DB45" ca="1" si="215">DB43+DB34+DB36+DB44</f>
        <v>14920.993253125238</v>
      </c>
      <c r="DC45" s="9"/>
    </row>
    <row r="46" spans="1:114" ht="3" customHeight="1">
      <c r="A46" s="1"/>
      <c r="B46" s="25"/>
      <c r="C46" s="166"/>
      <c r="D46" s="874"/>
      <c r="E46" s="201"/>
      <c r="F46" s="201"/>
      <c r="G46" s="166"/>
      <c r="H46" s="166"/>
      <c r="I46" s="166"/>
      <c r="J46" s="166"/>
      <c r="K46" s="201"/>
      <c r="L46" s="166"/>
      <c r="M46" s="166"/>
      <c r="N46" s="166"/>
      <c r="O46" s="166"/>
      <c r="P46" s="201"/>
      <c r="Q46" s="166"/>
      <c r="R46" s="166"/>
      <c r="S46" s="166"/>
      <c r="T46" s="166"/>
      <c r="U46" s="201"/>
      <c r="V46" s="166"/>
      <c r="W46" s="166"/>
      <c r="X46" s="166"/>
      <c r="Y46" s="166"/>
      <c r="Z46" s="201"/>
      <c r="AA46" s="166"/>
      <c r="AB46" s="166"/>
      <c r="AC46" s="166"/>
      <c r="AD46" s="166"/>
      <c r="AE46" s="201"/>
      <c r="AF46" s="166"/>
      <c r="AG46" s="166"/>
      <c r="AH46" s="166"/>
      <c r="AI46" s="166"/>
      <c r="AJ46" s="201"/>
      <c r="AK46" s="166"/>
      <c r="AL46" s="166"/>
      <c r="AM46" s="166"/>
      <c r="AN46" s="166"/>
      <c r="AO46" s="201"/>
      <c r="AP46" s="166"/>
      <c r="AQ46" s="166"/>
      <c r="AR46" s="166"/>
      <c r="AS46" s="166"/>
      <c r="AT46" s="201"/>
      <c r="AU46" s="166"/>
      <c r="AV46" s="166"/>
      <c r="AW46" s="166"/>
      <c r="AX46" s="166"/>
      <c r="AY46" s="201"/>
      <c r="AZ46" s="265"/>
      <c r="BA46" s="265"/>
      <c r="BB46" s="265"/>
      <c r="BC46" s="166"/>
      <c r="BD46" s="201"/>
      <c r="BE46" s="265"/>
      <c r="BF46" s="265"/>
      <c r="BG46" s="265"/>
      <c r="BH46" s="265"/>
      <c r="BI46" s="213"/>
      <c r="BJ46" s="265"/>
      <c r="BK46" s="265"/>
      <c r="BL46" s="265"/>
      <c r="BM46" s="265"/>
      <c r="BN46" s="213"/>
      <c r="BO46" s="265"/>
      <c r="BP46" s="265"/>
      <c r="BQ46" s="265"/>
      <c r="BR46" s="265"/>
      <c r="BS46" s="213"/>
      <c r="BT46" s="265"/>
      <c r="BU46" s="265"/>
      <c r="BV46" s="265"/>
      <c r="BW46" s="265"/>
      <c r="BX46" s="213"/>
      <c r="BY46" s="265"/>
      <c r="BZ46" s="265"/>
      <c r="CA46" s="265"/>
      <c r="CB46" s="265"/>
      <c r="CC46" s="213"/>
      <c r="CD46" s="265"/>
      <c r="CE46" s="265"/>
      <c r="CF46" s="265"/>
      <c r="CG46" s="265"/>
      <c r="CH46" s="213"/>
      <c r="CI46" s="265"/>
      <c r="CJ46" s="265"/>
      <c r="CK46" s="265"/>
      <c r="CL46" s="265"/>
      <c r="CM46" s="213"/>
      <c r="CN46" s="265"/>
      <c r="CO46" s="265"/>
      <c r="CP46" s="265"/>
      <c r="CQ46" s="265"/>
      <c r="CR46" s="213"/>
      <c r="CS46" s="265"/>
      <c r="CT46" s="265"/>
      <c r="CU46" s="265"/>
      <c r="CV46" s="265"/>
      <c r="CW46" s="213"/>
      <c r="CX46" s="265"/>
      <c r="CY46" s="265"/>
      <c r="CZ46" s="265"/>
      <c r="DA46" s="265"/>
      <c r="DB46" s="213"/>
      <c r="DC46" s="9"/>
    </row>
    <row r="47" spans="1:114" hidden="1" outlineLevel="1">
      <c r="A47" s="1"/>
      <c r="B47" s="868" t="s">
        <v>434</v>
      </c>
      <c r="C47" s="5"/>
      <c r="D47" s="876"/>
      <c r="E47" s="200"/>
      <c r="F47" s="200"/>
      <c r="G47" s="9"/>
      <c r="H47" s="9"/>
      <c r="I47" s="9"/>
      <c r="J47" s="9"/>
      <c r="K47" s="200"/>
      <c r="L47" s="9"/>
      <c r="M47" s="9"/>
      <c r="N47" s="9"/>
      <c r="O47" s="9"/>
      <c r="P47" s="200"/>
      <c r="Q47" s="9"/>
      <c r="R47" s="9"/>
      <c r="S47" s="9"/>
      <c r="T47" s="9"/>
      <c r="U47" s="200"/>
      <c r="V47" s="9"/>
      <c r="W47" s="9"/>
      <c r="X47" s="9"/>
      <c r="Y47" s="9"/>
      <c r="Z47" s="200"/>
      <c r="AA47" s="9"/>
      <c r="AB47" s="9"/>
      <c r="AC47" s="9"/>
      <c r="AD47" s="9"/>
      <c r="AE47" s="200"/>
      <c r="AF47" s="9"/>
      <c r="AG47" s="9"/>
      <c r="AH47" s="9"/>
      <c r="AI47" s="9"/>
      <c r="AJ47" s="200"/>
      <c r="AK47" s="9"/>
      <c r="AL47" s="9"/>
      <c r="AM47" s="9"/>
      <c r="AN47" s="9"/>
      <c r="AO47" s="200"/>
      <c r="AP47" s="9"/>
      <c r="AQ47" s="9"/>
      <c r="AR47" s="9"/>
      <c r="AS47" s="9"/>
      <c r="AT47" s="200"/>
      <c r="AU47" s="9"/>
      <c r="AV47" s="9"/>
      <c r="AW47" s="9"/>
      <c r="AX47" s="9"/>
      <c r="AY47" s="200"/>
      <c r="AZ47" s="9"/>
      <c r="BA47" s="9"/>
      <c r="BB47" s="9"/>
      <c r="BC47" s="9"/>
      <c r="BD47" s="200"/>
      <c r="BE47" s="9"/>
      <c r="BF47" s="9"/>
      <c r="BG47" s="9"/>
      <c r="BH47" s="9"/>
      <c r="BI47" s="200"/>
      <c r="BJ47" s="9"/>
      <c r="BK47" s="9"/>
      <c r="BL47" s="9"/>
      <c r="BM47" s="9"/>
      <c r="BN47" s="200"/>
      <c r="BO47" s="9"/>
      <c r="BP47" s="9"/>
      <c r="BQ47" s="9"/>
      <c r="BR47" s="9"/>
      <c r="BS47" s="200"/>
      <c r="BT47" s="9"/>
      <c r="BU47" s="9"/>
      <c r="BV47" s="9"/>
      <c r="BW47" s="9"/>
      <c r="BX47" s="194"/>
      <c r="BY47" s="9"/>
      <c r="BZ47" s="9"/>
      <c r="CA47" s="9"/>
      <c r="CB47" s="9"/>
      <c r="CC47" s="200"/>
      <c r="CD47" s="9"/>
      <c r="CE47" s="9"/>
      <c r="CF47" s="9"/>
      <c r="CG47" s="9"/>
      <c r="CH47" s="200"/>
      <c r="CI47" s="9"/>
      <c r="CJ47" s="9"/>
      <c r="CK47" s="9"/>
      <c r="CL47" s="9"/>
      <c r="CM47" s="200"/>
      <c r="CN47" s="9"/>
      <c r="CO47" s="9"/>
      <c r="CP47" s="9"/>
      <c r="CQ47" s="9"/>
      <c r="CR47" s="200"/>
      <c r="CS47" s="9"/>
      <c r="CT47" s="9"/>
      <c r="CU47" s="9"/>
      <c r="CV47" s="9"/>
      <c r="CW47" s="200"/>
      <c r="CX47" s="9"/>
      <c r="CY47" s="9"/>
      <c r="CZ47" s="9"/>
      <c r="DA47" s="9"/>
      <c r="DB47" s="200"/>
      <c r="DC47" s="9"/>
    </row>
    <row r="48" spans="1:114" hidden="1" outlineLevel="1">
      <c r="A48" s="1"/>
      <c r="B48" s="867" t="s">
        <v>435</v>
      </c>
      <c r="C48" s="5"/>
      <c r="D48" s="876"/>
      <c r="E48" s="200"/>
      <c r="F48" s="200"/>
      <c r="G48" s="268"/>
      <c r="H48" s="268"/>
      <c r="I48" s="268"/>
      <c r="J48" s="268"/>
      <c r="K48" s="866"/>
      <c r="L48" s="268"/>
      <c r="M48" s="268"/>
      <c r="N48" s="268"/>
      <c r="O48" s="268"/>
      <c r="P48" s="866"/>
      <c r="Q48" s="268"/>
      <c r="R48" s="268"/>
      <c r="S48" s="268"/>
      <c r="T48" s="268"/>
      <c r="U48" s="866"/>
      <c r="V48" s="268"/>
      <c r="W48" s="268"/>
      <c r="X48" s="268"/>
      <c r="Y48" s="268"/>
      <c r="Z48" s="866"/>
      <c r="AA48" s="268"/>
      <c r="AB48" s="268"/>
      <c r="AC48" s="268"/>
      <c r="AD48" s="268"/>
      <c r="AE48" s="866"/>
      <c r="AF48" s="268"/>
      <c r="AG48" s="268"/>
      <c r="AH48" s="268"/>
      <c r="AI48" s="268"/>
      <c r="AJ48" s="866"/>
      <c r="AK48" s="268"/>
      <c r="AL48" s="268"/>
      <c r="AM48" s="268"/>
      <c r="AN48" s="268"/>
      <c r="AO48" s="866"/>
      <c r="AP48" s="865"/>
      <c r="AQ48" s="268"/>
      <c r="AR48" s="268"/>
      <c r="AS48" s="268"/>
      <c r="AT48" s="866"/>
      <c r="AU48" s="268"/>
      <c r="AV48" s="268"/>
      <c r="AW48" s="268"/>
      <c r="AX48" s="268"/>
      <c r="AY48" s="866"/>
      <c r="AZ48" s="268"/>
      <c r="BA48" s="268"/>
      <c r="BB48" s="268"/>
      <c r="BC48" s="268"/>
      <c r="BD48" s="866"/>
      <c r="BE48" s="268"/>
      <c r="BF48" s="268"/>
      <c r="BG48" s="268"/>
      <c r="BH48" s="268"/>
      <c r="BI48" s="866"/>
      <c r="BJ48" s="268"/>
      <c r="BK48" s="268"/>
      <c r="BL48" s="268"/>
      <c r="BM48" s="268"/>
      <c r="BN48" s="866"/>
      <c r="BO48" s="268"/>
      <c r="BP48" s="268"/>
      <c r="BQ48" s="268"/>
      <c r="BR48" s="268"/>
      <c r="BS48" s="866"/>
      <c r="BT48" s="268"/>
      <c r="BU48" s="268"/>
      <c r="BV48" s="268"/>
      <c r="BW48" s="268"/>
      <c r="BX48" s="866"/>
      <c r="BY48" s="268"/>
      <c r="BZ48" s="268"/>
      <c r="CA48" s="268"/>
      <c r="CB48" s="268"/>
      <c r="CC48" s="866"/>
      <c r="CD48" s="268"/>
      <c r="CE48" s="268"/>
      <c r="CF48" s="268"/>
      <c r="CG48" s="268"/>
      <c r="CH48" s="866"/>
      <c r="CI48" s="268"/>
      <c r="CJ48" s="268"/>
      <c r="CK48" s="268"/>
      <c r="CL48" s="268"/>
      <c r="CM48" s="866"/>
      <c r="CN48" s="268"/>
      <c r="CO48" s="268"/>
      <c r="CP48" s="268"/>
      <c r="CQ48" s="268"/>
      <c r="CR48" s="866"/>
      <c r="CS48" s="268"/>
      <c r="CT48" s="268"/>
      <c r="CU48" s="268"/>
      <c r="CV48" s="268"/>
      <c r="CW48" s="866"/>
      <c r="CX48" s="268"/>
      <c r="CY48" s="268"/>
      <c r="CZ48" s="268"/>
      <c r="DA48" s="268"/>
      <c r="DB48" s="866"/>
      <c r="DC48" s="9"/>
    </row>
    <row r="49" spans="1:113" hidden="1" outlineLevel="1">
      <c r="A49" s="1"/>
      <c r="B49" s="264" t="s">
        <v>436</v>
      </c>
      <c r="C49" s="864"/>
      <c r="D49" s="863"/>
      <c r="E49" s="862">
        <f t="shared" ref="E49:Z49" si="216">(E24+E31)/(E24+E31+E43)</f>
        <v>0.86198261053474012</v>
      </c>
      <c r="F49" s="862">
        <f t="shared" si="216"/>
        <v>0.61716527515989539</v>
      </c>
      <c r="G49" s="861">
        <f t="shared" si="216"/>
        <v>0.61433879913311507</v>
      </c>
      <c r="H49" s="861">
        <f t="shared" si="216"/>
        <v>0.61600209173807774</v>
      </c>
      <c r="I49" s="861">
        <f t="shared" si="216"/>
        <v>0.61237440094403217</v>
      </c>
      <c r="J49" s="861">
        <f t="shared" si="216"/>
        <v>0.48215521534840389</v>
      </c>
      <c r="K49" s="862">
        <f t="shared" si="216"/>
        <v>0.48215521534840389</v>
      </c>
      <c r="L49" s="861">
        <f t="shared" si="216"/>
        <v>0.48956301775438416</v>
      </c>
      <c r="M49" s="861">
        <f t="shared" si="216"/>
        <v>0.47473218768552855</v>
      </c>
      <c r="N49" s="861">
        <f t="shared" si="216"/>
        <v>0.50153303427368123</v>
      </c>
      <c r="O49" s="861">
        <f t="shared" si="216"/>
        <v>0.49546133125696218</v>
      </c>
      <c r="P49" s="862">
        <f t="shared" si="216"/>
        <v>0.49546133125696218</v>
      </c>
      <c r="Q49" s="861">
        <f t="shared" si="216"/>
        <v>0.50685396616653722</v>
      </c>
      <c r="R49" s="861">
        <f t="shared" si="216"/>
        <v>0.48262437178261142</v>
      </c>
      <c r="S49" s="861">
        <f t="shared" si="216"/>
        <v>0.51512288211204327</v>
      </c>
      <c r="T49" s="861">
        <f t="shared" si="216"/>
        <v>0.52195719524699968</v>
      </c>
      <c r="U49" s="862">
        <f t="shared" si="216"/>
        <v>0.52195719524699968</v>
      </c>
      <c r="V49" s="861">
        <f t="shared" si="216"/>
        <v>0.51325380558980849</v>
      </c>
      <c r="W49" s="861">
        <f t="shared" si="216"/>
        <v>0.48737378126757042</v>
      </c>
      <c r="X49" s="861">
        <f t="shared" si="216"/>
        <v>0.60034540323502084</v>
      </c>
      <c r="Y49" s="861">
        <f t="shared" si="216"/>
        <v>0.59632109113898835</v>
      </c>
      <c r="Z49" s="862">
        <f t="shared" si="216"/>
        <v>0.59632109113898835</v>
      </c>
      <c r="AA49" s="861">
        <f t="shared" ref="AA49:AJ49" si="217">(AA24+AA31)/(AA24+AA31+AA43)</f>
        <v>0.58306341910999104</v>
      </c>
      <c r="AB49" s="861">
        <f t="shared" si="217"/>
        <v>0.57096400763697552</v>
      </c>
      <c r="AC49" s="861">
        <f t="shared" si="217"/>
        <v>0.57264399437885527</v>
      </c>
      <c r="AD49" s="861">
        <f t="shared" si="217"/>
        <v>0.51594068561948958</v>
      </c>
      <c r="AE49" s="862">
        <f t="shared" si="217"/>
        <v>0.51594068561948958</v>
      </c>
      <c r="AF49" s="861">
        <f t="shared" si="217"/>
        <v>0.46551940531986497</v>
      </c>
      <c r="AG49" s="861">
        <f t="shared" si="217"/>
        <v>0.49693489416016995</v>
      </c>
      <c r="AH49" s="861">
        <f t="shared" si="217"/>
        <v>0.51505684027448628</v>
      </c>
      <c r="AI49" s="861">
        <f t="shared" si="217"/>
        <v>0.52967433864960367</v>
      </c>
      <c r="AJ49" s="862">
        <f t="shared" si="217"/>
        <v>0.52967433864960367</v>
      </c>
      <c r="AK49" s="861">
        <f t="shared" ref="AK49:BP49" si="218">(AK24+AK31)/(AK24+AK31+AK43)</f>
        <v>0.51936327951112704</v>
      </c>
      <c r="AL49" s="861">
        <f t="shared" si="218"/>
        <v>0.51800457087918983</v>
      </c>
      <c r="AM49" s="861">
        <f t="shared" si="218"/>
        <v>0.83224586230869269</v>
      </c>
      <c r="AN49" s="861">
        <f t="shared" si="218"/>
        <v>0.84172237625707969</v>
      </c>
      <c r="AO49" s="862">
        <f t="shared" si="218"/>
        <v>0.84172237625707969</v>
      </c>
      <c r="AP49" s="861">
        <f t="shared" si="218"/>
        <v>0.84196779530245669</v>
      </c>
      <c r="AQ49" s="861">
        <f t="shared" si="218"/>
        <v>0.82935827171973098</v>
      </c>
      <c r="AR49" s="861">
        <f t="shared" si="218"/>
        <v>0.82605254268296702</v>
      </c>
      <c r="AS49" s="861">
        <f t="shared" si="218"/>
        <v>0.84278044128597374</v>
      </c>
      <c r="AT49" s="862">
        <f t="shared" si="218"/>
        <v>0.84278044128597374</v>
      </c>
      <c r="AU49" s="861">
        <f t="shared" si="218"/>
        <v>0.84274706541562117</v>
      </c>
      <c r="AV49" s="861">
        <f t="shared" si="218"/>
        <v>0.82959780316567877</v>
      </c>
      <c r="AW49" s="861">
        <f t="shared" si="218"/>
        <v>0.82675965459140621</v>
      </c>
      <c r="AX49" s="861">
        <f t="shared" si="218"/>
        <v>0.82041234081859604</v>
      </c>
      <c r="AY49" s="862">
        <f t="shared" si="218"/>
        <v>0.82041234081859604</v>
      </c>
      <c r="AZ49" s="861">
        <f t="shared" si="218"/>
        <v>0.8136394750920638</v>
      </c>
      <c r="BA49" s="861">
        <f t="shared" si="218"/>
        <v>0.80865506247300933</v>
      </c>
      <c r="BB49" s="861">
        <f t="shared" si="218"/>
        <v>0.81150031730952232</v>
      </c>
      <c r="BC49" s="861">
        <f t="shared" si="218"/>
        <v>0.80205524191561595</v>
      </c>
      <c r="BD49" s="862">
        <f t="shared" si="218"/>
        <v>0.80205524191561595</v>
      </c>
      <c r="BE49" s="861">
        <f t="shared" si="218"/>
        <v>0.79310280315773163</v>
      </c>
      <c r="BF49" s="861">
        <f t="shared" si="218"/>
        <v>0.79310915493967338</v>
      </c>
      <c r="BG49" s="861">
        <f t="shared" si="218"/>
        <v>0.78993949227330817</v>
      </c>
      <c r="BH49" s="861">
        <f t="shared" si="218"/>
        <v>0.78680351488846989</v>
      </c>
      <c r="BI49" s="862">
        <f t="shared" si="218"/>
        <v>0.78680351488846989</v>
      </c>
      <c r="BJ49" s="861">
        <f t="shared" si="218"/>
        <v>0.78912015553764137</v>
      </c>
      <c r="BK49" s="861">
        <f t="shared" si="218"/>
        <v>0.78223433931851227</v>
      </c>
      <c r="BL49" s="861">
        <f>(BL24+BL31)/(BL24+BL31+BL43)</f>
        <v>0.78289144805501998</v>
      </c>
      <c r="BM49" s="861">
        <f t="shared" si="218"/>
        <v>0.77745330377350619</v>
      </c>
      <c r="BN49" s="862">
        <f t="shared" si="218"/>
        <v>0.77745330377350619</v>
      </c>
      <c r="BO49" s="861">
        <f t="shared" si="218"/>
        <v>0.76820730146899696</v>
      </c>
      <c r="BP49" s="861">
        <f t="shared" si="218"/>
        <v>0.76242751523313856</v>
      </c>
      <c r="BQ49" s="861">
        <f t="shared" ref="BQ49:CC49" si="219">(BQ24+BQ31)/(BQ24+BQ31+BQ43)</f>
        <v>0.76153994311187534</v>
      </c>
      <c r="BR49" s="861">
        <f t="shared" si="219"/>
        <v>0.75498984763789856</v>
      </c>
      <c r="BS49" s="862">
        <f t="shared" si="219"/>
        <v>0.75498984763789856</v>
      </c>
      <c r="BT49" s="861">
        <f t="shared" si="219"/>
        <v>0.82104042892334439</v>
      </c>
      <c r="BU49" s="861">
        <f t="shared" si="219"/>
        <v>0.81768569496764221</v>
      </c>
      <c r="BV49" s="861">
        <f t="shared" si="219"/>
        <v>0.8142050349382598</v>
      </c>
      <c r="BW49" s="861">
        <f t="shared" si="219"/>
        <v>0.80864286055738799</v>
      </c>
      <c r="BX49" s="862">
        <f t="shared" si="219"/>
        <v>0.80864286055738799</v>
      </c>
      <c r="BY49" s="861">
        <f t="shared" si="219"/>
        <v>0.80612826603325416</v>
      </c>
      <c r="BZ49" s="861">
        <f t="shared" si="219"/>
        <v>0.80059806341370798</v>
      </c>
      <c r="CA49" s="861">
        <f>(CA24+CA31)/(CA24+CA31+CA43)</f>
        <v>0.79927110942824686</v>
      </c>
      <c r="CB49" s="861">
        <f t="shared" si="219"/>
        <v>0.80925486473659236</v>
      </c>
      <c r="CC49" s="862">
        <f t="shared" si="219"/>
        <v>0.80925486473659236</v>
      </c>
      <c r="CD49" s="861">
        <f t="shared" ref="CD49:CM49" si="220">(CD24+CD31)/(CD24+CD31+CD43)</f>
        <v>0.80862456375197211</v>
      </c>
      <c r="CE49" s="861">
        <f t="shared" ref="CE49:CF49" si="221">(CE24+CE31)/(CE24+CE31+CE43)</f>
        <v>0.89019585119944378</v>
      </c>
      <c r="CF49" s="861">
        <f t="shared" si="221"/>
        <v>0.89377588520095663</v>
      </c>
      <c r="CG49" s="861">
        <f t="shared" ref="CG49" si="222">(CG24+CG31)/(CG24+CG31+CG43)</f>
        <v>0.90420546888902065</v>
      </c>
      <c r="CH49" s="862">
        <f t="shared" si="220"/>
        <v>0.90420546888902065</v>
      </c>
      <c r="CI49" s="861">
        <f t="shared" si="220"/>
        <v>0.91429770900803642</v>
      </c>
      <c r="CJ49" s="861">
        <f t="shared" ref="CJ49" si="223">(CJ24+CJ31)/(CJ24+CJ31+CJ43)</f>
        <v>0.91910756574847319</v>
      </c>
      <c r="CK49" s="861">
        <f t="shared" si="220"/>
        <v>0.91995512735911311</v>
      </c>
      <c r="CL49" s="861">
        <f t="shared" si="220"/>
        <v>1.058344743648258</v>
      </c>
      <c r="CM49" s="862">
        <f t="shared" si="220"/>
        <v>1.058344743648258</v>
      </c>
      <c r="CN49" s="861">
        <f t="shared" ref="CN49:DA49" ca="1" si="224">(CN24+CN31)/(CN24+CN31+CN43)</f>
        <v>1.0613533546991536</v>
      </c>
      <c r="CO49" s="861">
        <f t="shared" ca="1" si="224"/>
        <v>1.0658707454383165</v>
      </c>
      <c r="CP49" s="861">
        <f t="shared" ca="1" si="224"/>
        <v>1.0722298658994549</v>
      </c>
      <c r="CQ49" s="861">
        <f t="shared" ca="1" si="224"/>
        <v>1.0764844698674993</v>
      </c>
      <c r="CR49" s="862">
        <f t="shared" ca="1" si="224"/>
        <v>1.0764844698674993</v>
      </c>
      <c r="CS49" s="861">
        <f t="shared" ref="CS49:CV49" ca="1" si="225">(CS24+CS31)/(CS24+CS31+CS43)</f>
        <v>1.0814310366558644</v>
      </c>
      <c r="CT49" s="861">
        <f t="shared" ca="1" si="225"/>
        <v>1.0848378426446019</v>
      </c>
      <c r="CU49" s="861">
        <f t="shared" ca="1" si="225"/>
        <v>1.0860328728741635</v>
      </c>
      <c r="CV49" s="861">
        <f t="shared" ca="1" si="225"/>
        <v>1.0839603301022205</v>
      </c>
      <c r="CW49" s="862">
        <f t="shared" ca="1" si="224"/>
        <v>1.0839603301022205</v>
      </c>
      <c r="CX49" s="861">
        <f t="shared" ca="1" si="224"/>
        <v>1.0860928400778116</v>
      </c>
      <c r="CY49" s="861">
        <f t="shared" ca="1" si="224"/>
        <v>1.0871487429096802</v>
      </c>
      <c r="CZ49" s="861">
        <f t="shared" ca="1" si="224"/>
        <v>1.0883531996463536</v>
      </c>
      <c r="DA49" s="861">
        <f t="shared" ca="1" si="224"/>
        <v>1.0874556764449297</v>
      </c>
      <c r="DB49" s="862">
        <f t="shared" ref="DB49" ca="1" si="226">(DB24+DB31)/(DB24+DB31+DB43)</f>
        <v>1.0874556764449297</v>
      </c>
      <c r="DC49" s="9"/>
    </row>
    <row r="50" spans="1:113" hidden="1" outlineLevel="1">
      <c r="A50" s="1"/>
      <c r="B50" s="264" t="s">
        <v>437</v>
      </c>
      <c r="C50" s="864"/>
      <c r="D50" s="863"/>
      <c r="E50" s="862">
        <f t="shared" ref="E50:Z50" si="227">(E24+E31-E8)/(E24+E31+E43)</f>
        <v>0.85940982046347469</v>
      </c>
      <c r="F50" s="862">
        <f t="shared" si="227"/>
        <v>0.61020900700031433</v>
      </c>
      <c r="G50" s="861">
        <f t="shared" si="227"/>
        <v>0.60266501737289624</v>
      </c>
      <c r="H50" s="861">
        <f t="shared" si="227"/>
        <v>0.59840352325901458</v>
      </c>
      <c r="I50" s="861">
        <f t="shared" si="227"/>
        <v>0.60372972782882384</v>
      </c>
      <c r="J50" s="861">
        <f t="shared" si="227"/>
        <v>0.47826278673937855</v>
      </c>
      <c r="K50" s="862">
        <f t="shared" si="227"/>
        <v>0.47826278673937855</v>
      </c>
      <c r="L50" s="861">
        <f t="shared" si="227"/>
        <v>0.47898679243767306</v>
      </c>
      <c r="M50" s="861">
        <f t="shared" si="227"/>
        <v>0.46573969370552359</v>
      </c>
      <c r="N50" s="861">
        <f t="shared" si="227"/>
        <v>0.45216256758351886</v>
      </c>
      <c r="O50" s="861">
        <f t="shared" si="227"/>
        <v>0.44026520268094532</v>
      </c>
      <c r="P50" s="862">
        <f t="shared" si="227"/>
        <v>0.44026520268094532</v>
      </c>
      <c r="Q50" s="861">
        <f t="shared" si="227"/>
        <v>0.49905792336660898</v>
      </c>
      <c r="R50" s="861">
        <f t="shared" si="227"/>
        <v>0.47232628644678215</v>
      </c>
      <c r="S50" s="861">
        <f t="shared" si="227"/>
        <v>0.49188384860831796</v>
      </c>
      <c r="T50" s="861">
        <f t="shared" si="227"/>
        <v>0.51617681569080509</v>
      </c>
      <c r="U50" s="862">
        <f t="shared" si="227"/>
        <v>0.51617681569080509</v>
      </c>
      <c r="V50" s="861">
        <f t="shared" si="227"/>
        <v>0.50760732177101786</v>
      </c>
      <c r="W50" s="861">
        <f t="shared" si="227"/>
        <v>0.48077395827975378</v>
      </c>
      <c r="X50" s="861">
        <f t="shared" si="227"/>
        <v>0.59362069075928381</v>
      </c>
      <c r="Y50" s="861">
        <f t="shared" si="227"/>
        <v>0.56946387796307352</v>
      </c>
      <c r="Z50" s="862">
        <f t="shared" si="227"/>
        <v>0.56946387796307352</v>
      </c>
      <c r="AA50" s="861">
        <f t="shared" ref="AA50:AJ50" si="228">(AA24+AA31-AA8)/(AA24+AA31+AA43)</f>
        <v>0.51307890593913807</v>
      </c>
      <c r="AB50" s="861">
        <f t="shared" si="228"/>
        <v>0.48523876879264399</v>
      </c>
      <c r="AC50" s="861">
        <f t="shared" si="228"/>
        <v>0.51434454883733294</v>
      </c>
      <c r="AD50" s="861">
        <f t="shared" si="228"/>
        <v>0.48373105509218023</v>
      </c>
      <c r="AE50" s="862">
        <f t="shared" si="228"/>
        <v>0.48373105509218023</v>
      </c>
      <c r="AF50" s="861">
        <f t="shared" si="228"/>
        <v>0.43158025574641212</v>
      </c>
      <c r="AG50" s="861">
        <f t="shared" si="228"/>
        <v>0.48977917908186347</v>
      </c>
      <c r="AH50" s="861">
        <f t="shared" si="228"/>
        <v>0.51124118815388175</v>
      </c>
      <c r="AI50" s="861">
        <f t="shared" si="228"/>
        <v>0.51860539994815613</v>
      </c>
      <c r="AJ50" s="862">
        <f t="shared" si="228"/>
        <v>0.51860539994815613</v>
      </c>
      <c r="AK50" s="861">
        <f t="shared" ref="AK50:BP50" si="229">(AK24+AK31-AK8)/(AK24+AK31+AK43)</f>
        <v>0.50238921356661903</v>
      </c>
      <c r="AL50" s="861">
        <f t="shared" si="229"/>
        <v>0.51247305077177618</v>
      </c>
      <c r="AM50" s="861">
        <f t="shared" si="229"/>
        <v>0.82145032508777305</v>
      </c>
      <c r="AN50" s="861">
        <f t="shared" si="229"/>
        <v>0.8294293368573491</v>
      </c>
      <c r="AO50" s="862">
        <f t="shared" si="229"/>
        <v>0.8294293368573491</v>
      </c>
      <c r="AP50" s="861">
        <f t="shared" si="229"/>
        <v>0.82642966830887865</v>
      </c>
      <c r="AQ50" s="861">
        <f t="shared" si="229"/>
        <v>0.80478955608155067</v>
      </c>
      <c r="AR50" s="861">
        <f t="shared" si="229"/>
        <v>0.79435064019234569</v>
      </c>
      <c r="AS50" s="861">
        <f t="shared" si="229"/>
        <v>0.82204279555362614</v>
      </c>
      <c r="AT50" s="862">
        <f t="shared" si="229"/>
        <v>0.82204279555362614</v>
      </c>
      <c r="AU50" s="861">
        <f t="shared" si="229"/>
        <v>0.79350780373620344</v>
      </c>
      <c r="AV50" s="861">
        <f t="shared" si="229"/>
        <v>0.80465338933179864</v>
      </c>
      <c r="AW50" s="861">
        <f t="shared" si="229"/>
        <v>0.78667502783738241</v>
      </c>
      <c r="AX50" s="861">
        <f t="shared" si="229"/>
        <v>0.7886917412794614</v>
      </c>
      <c r="AY50" s="862">
        <f t="shared" si="229"/>
        <v>0.7886917412794614</v>
      </c>
      <c r="AZ50" s="861">
        <f t="shared" si="229"/>
        <v>0.76975979819586082</v>
      </c>
      <c r="BA50" s="861">
        <f t="shared" si="229"/>
        <v>0.75870123358431285</v>
      </c>
      <c r="BB50" s="861">
        <f t="shared" si="229"/>
        <v>0.75959822452935155</v>
      </c>
      <c r="BC50" s="861">
        <f t="shared" si="229"/>
        <v>0.77500801239672601</v>
      </c>
      <c r="BD50" s="862">
        <f t="shared" si="229"/>
        <v>0.77500801239672601</v>
      </c>
      <c r="BE50" s="861">
        <f t="shared" si="229"/>
        <v>0.76886993141526916</v>
      </c>
      <c r="BF50" s="861">
        <f t="shared" si="229"/>
        <v>0.77595663521309288</v>
      </c>
      <c r="BG50" s="861">
        <f t="shared" si="229"/>
        <v>0.76611429531499475</v>
      </c>
      <c r="BH50" s="861">
        <f t="shared" si="229"/>
        <v>0.77525338859440041</v>
      </c>
      <c r="BI50" s="862">
        <f t="shared" si="229"/>
        <v>0.77525338859440041</v>
      </c>
      <c r="BJ50" s="861">
        <f t="shared" si="229"/>
        <v>0.77817138269982455</v>
      </c>
      <c r="BK50" s="861">
        <f t="shared" si="229"/>
        <v>0.772578716947807</v>
      </c>
      <c r="BL50" s="861">
        <f>(BL24+BL31-BL8)/(BL24+BL31+BL43)</f>
        <v>0.76320887524136005</v>
      </c>
      <c r="BM50" s="861">
        <f t="shared" si="229"/>
        <v>0.7458531717060044</v>
      </c>
      <c r="BN50" s="862">
        <f t="shared" si="229"/>
        <v>0.7458531717060044</v>
      </c>
      <c r="BO50" s="861">
        <f t="shared" si="229"/>
        <v>0.7452494769114989</v>
      </c>
      <c r="BP50" s="861">
        <f t="shared" si="229"/>
        <v>0.74228050114160826</v>
      </c>
      <c r="BQ50" s="861">
        <f t="shared" ref="BQ50:CC50" si="230">(BQ24+BQ31-BQ8)/(BQ24+BQ31+BQ43)</f>
        <v>0.75008695118172664</v>
      </c>
      <c r="BR50" s="861">
        <f t="shared" si="230"/>
        <v>0.72516824233796939</v>
      </c>
      <c r="BS50" s="862">
        <f t="shared" si="230"/>
        <v>0.72516824233796939</v>
      </c>
      <c r="BT50" s="861">
        <f t="shared" si="230"/>
        <v>0.791431193546829</v>
      </c>
      <c r="BU50" s="861">
        <f t="shared" si="230"/>
        <v>0.79889886989278469</v>
      </c>
      <c r="BV50" s="861">
        <f t="shared" si="230"/>
        <v>0.80362783574231833</v>
      </c>
      <c r="BW50" s="861">
        <f t="shared" si="230"/>
        <v>0.78431091352359095</v>
      </c>
      <c r="BX50" s="862">
        <f t="shared" si="230"/>
        <v>0.78431091352359095</v>
      </c>
      <c r="BY50" s="861">
        <f t="shared" si="230"/>
        <v>0.79558194774346791</v>
      </c>
      <c r="BZ50" s="861">
        <f t="shared" si="230"/>
        <v>0.78327321055629395</v>
      </c>
      <c r="CA50" s="861">
        <f>(CA24+CA31-CA8)/(CA24+CA31+CA43)</f>
        <v>0.79046762589928055</v>
      </c>
      <c r="CB50" s="861">
        <f t="shared" si="230"/>
        <v>0.80052206929283343</v>
      </c>
      <c r="CC50" s="862">
        <f t="shared" si="230"/>
        <v>0.80052206929283343</v>
      </c>
      <c r="CD50" s="861">
        <f t="shared" ref="CD50:CM50" si="231">(CD24+CD31-CD8)/(CD24+CD31+CD43)</f>
        <v>0.79997131519816422</v>
      </c>
      <c r="CE50" s="861">
        <f t="shared" ref="CE50:CF50" si="232">(CE24+CE31-CE8)/(CE24+CE31+CE43)</f>
        <v>0.86348360180785722</v>
      </c>
      <c r="CF50" s="861">
        <f t="shared" si="232"/>
        <v>0.88601761651986233</v>
      </c>
      <c r="CG50" s="861">
        <f t="shared" ref="CG50" si="233">(CG24+CG31-CG8)/(CG24+CG31+CG43)</f>
        <v>0.89008838009371849</v>
      </c>
      <c r="CH50" s="862">
        <f t="shared" si="231"/>
        <v>0.89008838009371849</v>
      </c>
      <c r="CI50" s="861">
        <f t="shared" si="231"/>
        <v>0.89948422694014629</v>
      </c>
      <c r="CJ50" s="861">
        <f t="shared" ref="CJ50" si="234">(CJ24+CJ31-CJ8)/(CJ24+CJ31+CJ43)</f>
        <v>0.87124517013585945</v>
      </c>
      <c r="CK50" s="861">
        <f t="shared" si="231"/>
        <v>0.88102151247195459</v>
      </c>
      <c r="CL50" s="861">
        <f t="shared" si="231"/>
        <v>1.0155180282975811</v>
      </c>
      <c r="CM50" s="862">
        <f t="shared" si="231"/>
        <v>1.0155180282975811</v>
      </c>
      <c r="CN50" s="861">
        <f t="shared" ref="CN50:DA50" ca="1" si="235">(CN24+CN31-CN8)/(CN24+CN31+CN43)</f>
        <v>1.0217444927756225</v>
      </c>
      <c r="CO50" s="861">
        <f t="shared" ca="1" si="235"/>
        <v>1.0088391324157411</v>
      </c>
      <c r="CP50" s="861">
        <f t="shared" ca="1" si="235"/>
        <v>1.0109491850971182</v>
      </c>
      <c r="CQ50" s="861">
        <f t="shared" ca="1" si="235"/>
        <v>1.0274375091972558</v>
      </c>
      <c r="CR50" s="862">
        <f t="shared" ca="1" si="235"/>
        <v>1.0274375091972558</v>
      </c>
      <c r="CS50" s="861">
        <f t="shared" ref="CS50:CV50" ca="1" si="236">(CS24+CS31-CS8)/(CS24+CS31+CS43)</f>
        <v>1.0538496435905007</v>
      </c>
      <c r="CT50" s="861">
        <f t="shared" ca="1" si="236"/>
        <v>1.041698569182844</v>
      </c>
      <c r="CU50" s="861">
        <f t="shared" ca="1" si="236"/>
        <v>1.0399323116482231</v>
      </c>
      <c r="CV50" s="861">
        <f t="shared" ca="1" si="236"/>
        <v>1.0177393855608396</v>
      </c>
      <c r="CW50" s="862">
        <f t="shared" ca="1" si="235"/>
        <v>1.0177393855608396</v>
      </c>
      <c r="CX50" s="861">
        <f t="shared" ca="1" si="235"/>
        <v>1.0596721388828718</v>
      </c>
      <c r="CY50" s="861">
        <f t="shared" ca="1" si="235"/>
        <v>1.055593657378374</v>
      </c>
      <c r="CZ50" s="861">
        <f t="shared" ca="1" si="235"/>
        <v>1.0457542319031026</v>
      </c>
      <c r="DA50" s="861">
        <f t="shared" ca="1" si="235"/>
        <v>1.0634661715005274</v>
      </c>
      <c r="DB50" s="862">
        <f t="shared" ref="DB50" ca="1" si="237">(DB24+DB31-DB8)/(DB24+DB31+DB43)</f>
        <v>1.0634661715005274</v>
      </c>
      <c r="DC50" s="9"/>
    </row>
    <row r="51" spans="1:113" ht="3" hidden="1" customHeight="1" outlineLevel="1">
      <c r="A51" s="1"/>
      <c r="B51" s="264"/>
      <c r="C51" s="5"/>
      <c r="D51" s="876"/>
      <c r="E51" s="200"/>
      <c r="F51" s="200"/>
      <c r="G51" s="268"/>
      <c r="H51" s="268"/>
      <c r="I51" s="268"/>
      <c r="J51" s="268"/>
      <c r="K51" s="866"/>
      <c r="L51" s="268"/>
      <c r="M51" s="268"/>
      <c r="N51" s="268"/>
      <c r="O51" s="268"/>
      <c r="P51" s="866"/>
      <c r="Q51" s="268"/>
      <c r="R51" s="268"/>
      <c r="S51" s="268"/>
      <c r="T51" s="268"/>
      <c r="U51" s="866"/>
      <c r="V51" s="268"/>
      <c r="W51" s="268"/>
      <c r="X51" s="268"/>
      <c r="Y51" s="268"/>
      <c r="Z51" s="866"/>
      <c r="AA51" s="268"/>
      <c r="AB51" s="268"/>
      <c r="AC51" s="268"/>
      <c r="AD51" s="268"/>
      <c r="AE51" s="866"/>
      <c r="AF51" s="268"/>
      <c r="AG51" s="268"/>
      <c r="AH51" s="268"/>
      <c r="AI51" s="268"/>
      <c r="AJ51" s="866"/>
      <c r="AK51" s="268"/>
      <c r="AL51" s="268"/>
      <c r="AM51" s="268"/>
      <c r="AN51" s="268"/>
      <c r="AO51" s="866"/>
      <c r="AP51" s="268"/>
      <c r="AQ51" s="268"/>
      <c r="AR51" s="268"/>
      <c r="AS51" s="268"/>
      <c r="AT51" s="866"/>
      <c r="AU51" s="268"/>
      <c r="AV51" s="268"/>
      <c r="AW51" s="268"/>
      <c r="AX51" s="268"/>
      <c r="AY51" s="866"/>
      <c r="AZ51" s="268"/>
      <c r="BA51" s="268"/>
      <c r="BB51" s="268"/>
      <c r="BC51" s="268"/>
      <c r="BD51" s="866"/>
      <c r="BE51" s="268"/>
      <c r="BF51" s="268"/>
      <c r="BG51" s="268"/>
      <c r="BH51" s="268"/>
      <c r="BI51" s="866"/>
      <c r="BJ51" s="268"/>
      <c r="BK51" s="268"/>
      <c r="BL51" s="268"/>
      <c r="BM51" s="268"/>
      <c r="BN51" s="866"/>
      <c r="BO51" s="268"/>
      <c r="BP51" s="268"/>
      <c r="BQ51" s="268"/>
      <c r="BR51" s="268"/>
      <c r="BS51" s="866"/>
      <c r="BT51" s="268"/>
      <c r="BU51" s="268"/>
      <c r="BV51" s="268"/>
      <c r="BW51" s="268"/>
      <c r="BX51" s="866"/>
      <c r="BY51" s="268"/>
      <c r="BZ51" s="268"/>
      <c r="CA51" s="268"/>
      <c r="CB51" s="268"/>
      <c r="CC51" s="866"/>
      <c r="CD51" s="268"/>
      <c r="CE51" s="268"/>
      <c r="CF51" s="268"/>
      <c r="CG51" s="268"/>
      <c r="CH51" s="866"/>
      <c r="CI51" s="268"/>
      <c r="CJ51" s="268"/>
      <c r="CK51" s="268"/>
      <c r="CL51" s="268"/>
      <c r="CM51" s="866"/>
      <c r="CN51" s="268"/>
      <c r="CO51" s="268"/>
      <c r="CP51" s="268"/>
      <c r="CQ51" s="268"/>
      <c r="CR51" s="866"/>
      <c r="CS51" s="268"/>
      <c r="CT51" s="268"/>
      <c r="CU51" s="268"/>
      <c r="CV51" s="268"/>
      <c r="CW51" s="866"/>
      <c r="CX51" s="268"/>
      <c r="CY51" s="268"/>
      <c r="CZ51" s="268"/>
      <c r="DA51" s="268"/>
      <c r="DB51" s="866"/>
      <c r="DC51" s="9"/>
    </row>
    <row r="52" spans="1:113" hidden="1" outlineLevel="1">
      <c r="A52" s="1"/>
      <c r="B52" s="264" t="s">
        <v>438</v>
      </c>
      <c r="C52" s="860"/>
      <c r="D52" s="890"/>
      <c r="E52" s="859">
        <f t="shared" ref="E52:Z52" si="238">(E24+E31)/(E43)</f>
        <v>6.2454638062235537</v>
      </c>
      <c r="F52" s="859">
        <f t="shared" si="238"/>
        <v>1.6120932483793411</v>
      </c>
      <c r="G52" s="865">
        <f t="shared" si="238"/>
        <v>1.5929494534379169</v>
      </c>
      <c r="H52" s="865">
        <f t="shared" si="238"/>
        <v>1.6041808522506511</v>
      </c>
      <c r="I52" s="865">
        <f t="shared" si="238"/>
        <v>1.5798089765882919</v>
      </c>
      <c r="J52" s="865">
        <f t="shared" si="238"/>
        <v>0.93108056629902336</v>
      </c>
      <c r="K52" s="859">
        <f t="shared" si="238"/>
        <v>0.93108056629902336</v>
      </c>
      <c r="L52" s="865">
        <f t="shared" si="238"/>
        <v>0.95910569724121719</v>
      </c>
      <c r="M52" s="865">
        <f t="shared" si="238"/>
        <v>0.90379074551271421</v>
      </c>
      <c r="N52" s="865">
        <f t="shared" si="238"/>
        <v>1.0061509964715412</v>
      </c>
      <c r="O52" s="865">
        <f t="shared" si="238"/>
        <v>0.98200863868632693</v>
      </c>
      <c r="P52" s="859">
        <f t="shared" si="238"/>
        <v>0.98200863868632693</v>
      </c>
      <c r="Q52" s="865">
        <f t="shared" si="238"/>
        <v>1.0277969027278109</v>
      </c>
      <c r="R52" s="865">
        <f t="shared" si="238"/>
        <v>0.93283167095730368</v>
      </c>
      <c r="S52" s="865">
        <f t="shared" si="238"/>
        <v>1.0623782049271202</v>
      </c>
      <c r="T52" s="865">
        <f t="shared" si="238"/>
        <v>1.0918628835271129</v>
      </c>
      <c r="U52" s="859">
        <f t="shared" si="238"/>
        <v>1.0918628835271129</v>
      </c>
      <c r="V52" s="865">
        <f t="shared" si="238"/>
        <v>1.0544587949202919</v>
      </c>
      <c r="W52" s="865">
        <f t="shared" si="238"/>
        <v>0.95073908328898815</v>
      </c>
      <c r="X52" s="865">
        <f t="shared" si="238"/>
        <v>1.5021606359454935</v>
      </c>
      <c r="Y52" s="865">
        <f t="shared" si="238"/>
        <v>1.4772163668929856</v>
      </c>
      <c r="Z52" s="859">
        <f t="shared" si="238"/>
        <v>1.4772163668929856</v>
      </c>
      <c r="AA52" s="865">
        <f t="shared" ref="AA52:AJ52" si="239">(AA24+AA31)/(AA43)</f>
        <v>1.3984463005509409</v>
      </c>
      <c r="AB52" s="865">
        <f t="shared" si="239"/>
        <v>1.3308067803175359</v>
      </c>
      <c r="AC52" s="865">
        <f t="shared" si="239"/>
        <v>1.3399694560195552</v>
      </c>
      <c r="AD52" s="865">
        <f t="shared" si="239"/>
        <v>1.0658625302557816</v>
      </c>
      <c r="AE52" s="859">
        <f t="shared" si="239"/>
        <v>1.0658625302557816</v>
      </c>
      <c r="AF52" s="865">
        <f t="shared" si="239"/>
        <v>0.87097531688397301</v>
      </c>
      <c r="AG52" s="865">
        <f t="shared" si="239"/>
        <v>0.98781427769786134</v>
      </c>
      <c r="AH52" s="865">
        <f t="shared" si="239"/>
        <v>1.0620973405749603</v>
      </c>
      <c r="AI52" s="865">
        <f t="shared" si="239"/>
        <v>1.1261863474104428</v>
      </c>
      <c r="AJ52" s="859">
        <f t="shared" si="239"/>
        <v>1.1261863474104428</v>
      </c>
      <c r="AK52" s="865">
        <f t="shared" ref="AK52:BP52" si="240">(AK24+AK31)/(AK43)</f>
        <v>1.0805734505321687</v>
      </c>
      <c r="AL52" s="865">
        <f t="shared" si="240"/>
        <v>1.0747084714559689</v>
      </c>
      <c r="AM52" s="865">
        <f t="shared" si="240"/>
        <v>4.961104827352453</v>
      </c>
      <c r="AN52" s="865">
        <f t="shared" si="240"/>
        <v>5.3180124666531068</v>
      </c>
      <c r="AO52" s="859">
        <f t="shared" si="240"/>
        <v>5.3180124666531068</v>
      </c>
      <c r="AP52" s="865">
        <f t="shared" si="240"/>
        <v>5.3278241413760723</v>
      </c>
      <c r="AQ52" s="865">
        <f t="shared" si="240"/>
        <v>4.8602313166774724</v>
      </c>
      <c r="AR52" s="865">
        <f t="shared" si="240"/>
        <v>4.7488624175599234</v>
      </c>
      <c r="AS52" s="865">
        <f t="shared" si="240"/>
        <v>5.3605317823016208</v>
      </c>
      <c r="AT52" s="859">
        <f t="shared" si="240"/>
        <v>5.3605317823016208</v>
      </c>
      <c r="AU52" s="865">
        <f t="shared" si="240"/>
        <v>5.3591818025082345</v>
      </c>
      <c r="AV52" s="865">
        <f t="shared" si="240"/>
        <v>4.8684689433451434</v>
      </c>
      <c r="AW52" s="865">
        <f t="shared" si="240"/>
        <v>4.7723274427874305</v>
      </c>
      <c r="AX52" s="865">
        <f t="shared" si="240"/>
        <v>4.5683113447672179</v>
      </c>
      <c r="AY52" s="859">
        <f t="shared" si="240"/>
        <v>4.5683113447672179</v>
      </c>
      <c r="AZ52" s="865">
        <f t="shared" si="240"/>
        <v>4.3659432462642469</v>
      </c>
      <c r="BA52" s="865">
        <f t="shared" si="240"/>
        <v>4.2261638741236194</v>
      </c>
      <c r="BB52" s="865">
        <f t="shared" si="240"/>
        <v>4.3050487179972157</v>
      </c>
      <c r="BC52" s="865">
        <f t="shared" si="240"/>
        <v>4.0519145325065855</v>
      </c>
      <c r="BD52" s="859">
        <f t="shared" si="240"/>
        <v>4.0519145325065855</v>
      </c>
      <c r="BE52" s="865">
        <f t="shared" si="240"/>
        <v>3.8333182627039997</v>
      </c>
      <c r="BF52" s="865">
        <f t="shared" si="240"/>
        <v>3.8334666510178987</v>
      </c>
      <c r="BG52" s="865">
        <f t="shared" si="240"/>
        <v>3.7605330998299413</v>
      </c>
      <c r="BH52" s="865">
        <f t="shared" si="240"/>
        <v>3.6905088490406737</v>
      </c>
      <c r="BI52" s="859">
        <f t="shared" si="240"/>
        <v>3.6905088490406737</v>
      </c>
      <c r="BJ52" s="865">
        <f t="shared" si="240"/>
        <v>3.7420368814739748</v>
      </c>
      <c r="BK52" s="865">
        <f t="shared" si="240"/>
        <v>3.5920922374562902</v>
      </c>
      <c r="BL52" s="865">
        <f>(BL24+BL31)/(BL43)</f>
        <v>3.6059908328872341</v>
      </c>
      <c r="BM52" s="865">
        <f t="shared" si="240"/>
        <v>3.493438981373437</v>
      </c>
      <c r="BN52" s="859">
        <f t="shared" si="240"/>
        <v>3.493438981373437</v>
      </c>
      <c r="BO52" s="865">
        <f t="shared" si="240"/>
        <v>3.3141997411374318</v>
      </c>
      <c r="BP52" s="865">
        <f t="shared" si="240"/>
        <v>3.2092416593669779</v>
      </c>
      <c r="BQ52" s="865">
        <f t="shared" ref="BQ52:CC52" si="241">(BQ24+BQ31)/(BQ43)</f>
        <v>3.1935744419836221</v>
      </c>
      <c r="BR52" s="865">
        <f t="shared" si="241"/>
        <v>3.081463524507738</v>
      </c>
      <c r="BS52" s="859">
        <f t="shared" si="241"/>
        <v>3.081463524507738</v>
      </c>
      <c r="BT52" s="865">
        <f t="shared" si="241"/>
        <v>4.5878542510121454</v>
      </c>
      <c r="BU52" s="865">
        <f t="shared" si="241"/>
        <v>4.4850331125827818</v>
      </c>
      <c r="BV52" s="865">
        <f t="shared" si="241"/>
        <v>4.3822771767130346</v>
      </c>
      <c r="BW52" s="865">
        <f t="shared" si="241"/>
        <v>4.2258306270297279</v>
      </c>
      <c r="BX52" s="859">
        <f t="shared" si="241"/>
        <v>4.2258306270297279</v>
      </c>
      <c r="BY52" s="865">
        <f t="shared" si="241"/>
        <v>4.1580494976721392</v>
      </c>
      <c r="BZ52" s="865">
        <f t="shared" si="241"/>
        <v>4.0149964294215659</v>
      </c>
      <c r="CA52" s="865">
        <f>(CA24+CA31)/(CA43)</f>
        <v>3.9818439047394483</v>
      </c>
      <c r="CB52" s="865">
        <f t="shared" si="241"/>
        <v>4.2425976611097287</v>
      </c>
      <c r="CC52" s="859">
        <f t="shared" si="241"/>
        <v>4.2425976611097287</v>
      </c>
      <c r="CD52" s="865">
        <f t="shared" ref="CD52:CM52" si="242">(CD24+CD31)/(CD43)</f>
        <v>4.2253310017486889</v>
      </c>
      <c r="CE52" s="865">
        <f t="shared" ref="CE52:CF52" si="243">(CE24+CE31)/(CE43)</f>
        <v>8.1071240105540898</v>
      </c>
      <c r="CF52" s="865">
        <f t="shared" si="243"/>
        <v>8.4140582097748489</v>
      </c>
      <c r="CG52" s="865">
        <f t="shared" ref="CG52" si="244">(CG24+CG31)/(CG43)</f>
        <v>9.4390092879256962</v>
      </c>
      <c r="CH52" s="859">
        <f t="shared" si="242"/>
        <v>9.4390092879256962</v>
      </c>
      <c r="CI52" s="865">
        <f t="shared" si="242"/>
        <v>10.668299510146955</v>
      </c>
      <c r="CJ52" s="865">
        <f t="shared" ref="CJ52" si="245">(CJ24+CJ31)/(CJ43)</f>
        <v>11.362095531587057</v>
      </c>
      <c r="CK52" s="865">
        <f t="shared" si="242"/>
        <v>11.492992580379225</v>
      </c>
      <c r="CL52" s="865">
        <f t="shared" si="242"/>
        <v>-18.139504563233377</v>
      </c>
      <c r="CM52" s="859">
        <f t="shared" si="242"/>
        <v>-18.139504563233377</v>
      </c>
      <c r="CN52" s="865">
        <f t="shared" ref="CN52:DA52" ca="1" si="246">(CN24+CN31)/(CN43)</f>
        <v>-17.29902724803727</v>
      </c>
      <c r="CO52" s="865">
        <f t="shared" ca="1" si="246"/>
        <v>-16.181246141148225</v>
      </c>
      <c r="CP52" s="865">
        <f t="shared" ca="1" si="246"/>
        <v>-14.844688586186972</v>
      </c>
      <c r="CQ52" s="865">
        <f t="shared" ca="1" si="246"/>
        <v>-14.074549666519056</v>
      </c>
      <c r="CR52" s="859">
        <f t="shared" ca="1" si="246"/>
        <v>-14.074549666519056</v>
      </c>
      <c r="CS52" s="865">
        <f t="shared" ref="CS52:CV52" ca="1" si="247">(CS24+CS31)/(CS43)</f>
        <v>-13.280329970820578</v>
      </c>
      <c r="CT52" s="865">
        <f t="shared" ca="1" si="247"/>
        <v>-12.787192705844083</v>
      </c>
      <c r="CU52" s="865">
        <f t="shared" ca="1" si="247"/>
        <v>-12.623463992219069</v>
      </c>
      <c r="CV52" s="865">
        <f t="shared" ca="1" si="247"/>
        <v>-12.910386712183184</v>
      </c>
      <c r="CW52" s="859">
        <f t="shared" ca="1" si="246"/>
        <v>-12.910386712183184</v>
      </c>
      <c r="CX52" s="865">
        <f t="shared" ca="1" si="246"/>
        <v>-12.615367771538144</v>
      </c>
      <c r="CY52" s="865">
        <f t="shared" ca="1" si="246"/>
        <v>-12.474634821025324</v>
      </c>
      <c r="CZ52" s="865">
        <f t="shared" ca="1" si="246"/>
        <v>-12.318209232972238</v>
      </c>
      <c r="DA52" s="865">
        <f t="shared" ca="1" si="246"/>
        <v>-12.434363561634477</v>
      </c>
      <c r="DB52" s="859">
        <f t="shared" ref="DB52" ca="1" si="248">(DB24+DB31)/(DB43)</f>
        <v>-12.434363561634477</v>
      </c>
      <c r="DC52" s="9"/>
    </row>
    <row r="53" spans="1:113" hidden="1" outlineLevel="1">
      <c r="A53" s="1"/>
      <c r="B53" s="264" t="s">
        <v>439</v>
      </c>
      <c r="C53" s="860"/>
      <c r="D53" s="890"/>
      <c r="E53" s="859">
        <f t="shared" ref="E53:Z53" si="249">(E24+E31-E8)/E43</f>
        <v>6.2268227488811885</v>
      </c>
      <c r="F53" s="859">
        <f t="shared" si="249"/>
        <v>1.5939228272857833</v>
      </c>
      <c r="G53" s="865">
        <f t="shared" si="249"/>
        <v>1.5626799274032042</v>
      </c>
      <c r="H53" s="865">
        <f t="shared" si="249"/>
        <v>1.558350997190453</v>
      </c>
      <c r="I53" s="865">
        <f t="shared" si="249"/>
        <v>1.5575073712860061</v>
      </c>
      <c r="J53" s="865">
        <f t="shared" si="249"/>
        <v>0.92356397305642823</v>
      </c>
      <c r="K53" s="859">
        <f t="shared" si="249"/>
        <v>0.92356397305642823</v>
      </c>
      <c r="L53" s="865">
        <f t="shared" si="249"/>
        <v>0.93838575396794166</v>
      </c>
      <c r="M53" s="865">
        <f t="shared" si="249"/>
        <v>0.88667091869450199</v>
      </c>
      <c r="N53" s="865">
        <f t="shared" si="249"/>
        <v>0.90710638552480682</v>
      </c>
      <c r="O53" s="865">
        <f t="shared" si="249"/>
        <v>0.87260943502662036</v>
      </c>
      <c r="P53" s="859">
        <f t="shared" si="249"/>
        <v>0.87260943502662036</v>
      </c>
      <c r="Q53" s="865">
        <f t="shared" si="249"/>
        <v>1.0119881112845828</v>
      </c>
      <c r="R53" s="865">
        <f t="shared" si="249"/>
        <v>0.91292720546999184</v>
      </c>
      <c r="S53" s="865">
        <f t="shared" si="249"/>
        <v>1.0144505287254661</v>
      </c>
      <c r="T53" s="865">
        <f t="shared" si="249"/>
        <v>1.0797711220808106</v>
      </c>
      <c r="U53" s="859">
        <f t="shared" si="249"/>
        <v>1.0797711220808106</v>
      </c>
      <c r="V53" s="865">
        <f t="shared" si="249"/>
        <v>1.0428583265784024</v>
      </c>
      <c r="W53" s="865">
        <f t="shared" si="249"/>
        <v>0.93786455064386509</v>
      </c>
      <c r="X53" s="865">
        <f t="shared" si="249"/>
        <v>1.4853343251006528</v>
      </c>
      <c r="Y53" s="865">
        <f t="shared" si="249"/>
        <v>1.4106852388444757</v>
      </c>
      <c r="Z53" s="859">
        <f t="shared" si="249"/>
        <v>1.4106852388444757</v>
      </c>
      <c r="AA53" s="865">
        <f t="shared" ref="AA53:AJ53" si="250">(AA24+AA31-AA8)/AA43</f>
        <v>1.23059220384045</v>
      </c>
      <c r="AB53" s="865">
        <f t="shared" si="250"/>
        <v>1.1309978123748279</v>
      </c>
      <c r="AC53" s="865">
        <f t="shared" si="250"/>
        <v>1.2035505341495174</v>
      </c>
      <c r="AD53" s="865">
        <f t="shared" si="250"/>
        <v>0.99932186143603041</v>
      </c>
      <c r="AE53" s="859">
        <f t="shared" si="250"/>
        <v>0.99932186143603041</v>
      </c>
      <c r="AF53" s="865">
        <f t="shared" si="250"/>
        <v>0.80747600575600953</v>
      </c>
      <c r="AG53" s="865">
        <f t="shared" si="250"/>
        <v>0.97359004509806601</v>
      </c>
      <c r="AH53" s="865">
        <f t="shared" si="250"/>
        <v>1.0542290944845023</v>
      </c>
      <c r="AI53" s="865">
        <f t="shared" si="250"/>
        <v>1.1026517210631019</v>
      </c>
      <c r="AJ53" s="859">
        <f t="shared" si="250"/>
        <v>1.1026517210631019</v>
      </c>
      <c r="AK53" s="865">
        <f t="shared" ref="AK53:BP53" si="251">(AK24+AK31-AK8)/AK43</f>
        <v>1.045257659580443</v>
      </c>
      <c r="AL53" s="865">
        <f t="shared" si="251"/>
        <v>1.0632321798290889</v>
      </c>
      <c r="AM53" s="865">
        <f t="shared" si="251"/>
        <v>4.8967514983109659</v>
      </c>
      <c r="AN53" s="865">
        <f t="shared" si="251"/>
        <v>5.2403448904725503</v>
      </c>
      <c r="AO53" s="859">
        <f t="shared" si="251"/>
        <v>5.2403448904725503</v>
      </c>
      <c r="AP53" s="865">
        <f t="shared" si="251"/>
        <v>5.2295016062743427</v>
      </c>
      <c r="AQ53" s="865">
        <f t="shared" si="251"/>
        <v>4.7162529598840646</v>
      </c>
      <c r="AR53" s="865">
        <f t="shared" si="251"/>
        <v>4.5666125417664407</v>
      </c>
      <c r="AS53" s="865">
        <f t="shared" si="251"/>
        <v>5.2286293275309124</v>
      </c>
      <c r="AT53" s="859">
        <f t="shared" si="251"/>
        <v>5.2286293275309124</v>
      </c>
      <c r="AU53" s="865">
        <f t="shared" si="251"/>
        <v>5.0460603856675403</v>
      </c>
      <c r="AV53" s="865">
        <f t="shared" si="251"/>
        <v>4.7220834254510686</v>
      </c>
      <c r="AW53" s="865">
        <f t="shared" si="251"/>
        <v>4.540945851741288</v>
      </c>
      <c r="AX53" s="865">
        <f t="shared" si="251"/>
        <v>4.391681170490636</v>
      </c>
      <c r="AY53" s="859">
        <f t="shared" si="251"/>
        <v>4.391681170490636</v>
      </c>
      <c r="AZ53" s="865">
        <f t="shared" si="251"/>
        <v>4.1304873903748094</v>
      </c>
      <c r="BA53" s="865">
        <f t="shared" si="251"/>
        <v>3.9650969782113612</v>
      </c>
      <c r="BB53" s="865">
        <f t="shared" si="251"/>
        <v>4.0297055872323977</v>
      </c>
      <c r="BC53" s="865">
        <f t="shared" si="251"/>
        <v>3.9152742406360641</v>
      </c>
      <c r="BD53" s="859">
        <f t="shared" si="251"/>
        <v>3.9152742406360641</v>
      </c>
      <c r="BE53" s="865">
        <f t="shared" si="251"/>
        <v>3.7161930811533921</v>
      </c>
      <c r="BF53" s="865">
        <f t="shared" si="251"/>
        <v>3.7505605189385451</v>
      </c>
      <c r="BG53" s="865">
        <f t="shared" si="251"/>
        <v>3.6471124610999226</v>
      </c>
      <c r="BH53" s="865">
        <f t="shared" si="251"/>
        <v>3.6363328794508032</v>
      </c>
      <c r="BI53" s="859">
        <f t="shared" si="251"/>
        <v>3.6363328794508032</v>
      </c>
      <c r="BJ53" s="865">
        <f t="shared" si="251"/>
        <v>3.6901173968701668</v>
      </c>
      <c r="BK53" s="865">
        <f t="shared" si="251"/>
        <v>3.5477527289199648</v>
      </c>
      <c r="BL53" s="865">
        <f>(BL24+BL31-BL8)/BL43</f>
        <v>3.5153330829398812</v>
      </c>
      <c r="BM53" s="865">
        <f t="shared" si="251"/>
        <v>3.3514457161247759</v>
      </c>
      <c r="BN53" s="859">
        <f t="shared" si="251"/>
        <v>3.3514457161247759</v>
      </c>
      <c r="BO53" s="865">
        <f t="shared" si="251"/>
        <v>3.2151551003743948</v>
      </c>
      <c r="BP53" s="865">
        <f t="shared" si="251"/>
        <v>3.124438008341055</v>
      </c>
      <c r="BQ53" s="865">
        <f t="shared" ref="BQ53:CC53" si="252">(BQ24+BQ31-BQ8)/BQ43</f>
        <v>3.1455454677411057</v>
      </c>
      <c r="BR53" s="865">
        <f t="shared" si="252"/>
        <v>2.9597477302338104</v>
      </c>
      <c r="BS53" s="859">
        <f t="shared" si="252"/>
        <v>2.9597477302338104</v>
      </c>
      <c r="BT53" s="865">
        <f t="shared" si="252"/>
        <v>4.4224021592442648</v>
      </c>
      <c r="BU53" s="865">
        <f t="shared" si="252"/>
        <v>4.3819867549668876</v>
      </c>
      <c r="BV53" s="865">
        <f t="shared" si="252"/>
        <v>4.3253477588871716</v>
      </c>
      <c r="BW53" s="865">
        <f t="shared" si="252"/>
        <v>4.0986759930052461</v>
      </c>
      <c r="BX53" s="859">
        <f t="shared" si="252"/>
        <v>4.0986759930052461</v>
      </c>
      <c r="BY53" s="865">
        <f t="shared" si="252"/>
        <v>4.1036510659152166</v>
      </c>
      <c r="BZ53" s="865">
        <f t="shared" si="252"/>
        <v>3.9281123542013807</v>
      </c>
      <c r="CA53" s="865">
        <f>(CA24+CA31-CA8)/CA43</f>
        <v>3.9379863239801933</v>
      </c>
      <c r="CB53" s="865">
        <f t="shared" si="252"/>
        <v>4.1968151281413286</v>
      </c>
      <c r="CC53" s="859">
        <f t="shared" si="252"/>
        <v>4.1968151281413286</v>
      </c>
      <c r="CD53" s="865">
        <f t="shared" ref="CD53:CM53" si="253">(CD24+CD31-CD8)/CD43</f>
        <v>4.1801149138146387</v>
      </c>
      <c r="CE53" s="865">
        <f t="shared" ref="CE53:CF53" si="254">(CE24+CE31-CE8)/CE43</f>
        <v>7.8638522427440636</v>
      </c>
      <c r="CF53" s="865">
        <f t="shared" si="254"/>
        <v>8.3410214168039545</v>
      </c>
      <c r="CG53" s="865">
        <f t="shared" ref="CG53" si="255">(CG24+CG31-CG8)/CG43</f>
        <v>9.291640866873065</v>
      </c>
      <c r="CH53" s="859">
        <f t="shared" si="253"/>
        <v>9.291640866873065</v>
      </c>
      <c r="CI53" s="865">
        <f t="shared" si="253"/>
        <v>10.495451364590624</v>
      </c>
      <c r="CJ53" s="865">
        <f t="shared" ref="CJ53" si="256">(CJ24+CJ31-CJ8)/CJ43</f>
        <v>10.770416024653313</v>
      </c>
      <c r="CK53" s="865">
        <f t="shared" si="253"/>
        <v>11.006595218466611</v>
      </c>
      <c r="CL53" s="865">
        <f t="shared" si="253"/>
        <v>-17.405475880052151</v>
      </c>
      <c r="CM53" s="859">
        <f t="shared" si="253"/>
        <v>-17.405475880052151</v>
      </c>
      <c r="CN53" s="865">
        <f t="shared" ref="CN53:DA53" ca="1" si="257">(CN24+CN31-CN8)/CN43</f>
        <v>-16.65344132828189</v>
      </c>
      <c r="CO53" s="865">
        <f t="shared" ca="1" si="257"/>
        <v>-15.315435186025791</v>
      </c>
      <c r="CP53" s="865">
        <f t="shared" ca="1" si="257"/>
        <v>-13.996276644129095</v>
      </c>
      <c r="CQ53" s="865">
        <f t="shared" ca="1" si="257"/>
        <v>-13.433282743244153</v>
      </c>
      <c r="CR53" s="859">
        <f t="shared" ca="1" si="257"/>
        <v>-13.433282743244153</v>
      </c>
      <c r="CS53" s="865">
        <f t="shared" ref="CS53:CV53" ca="1" si="258">(CS24+CS31-CS8)/CS43</f>
        <v>-12.94162136292301</v>
      </c>
      <c r="CT53" s="865">
        <f t="shared" ca="1" si="258"/>
        <v>-12.278701776360236</v>
      </c>
      <c r="CU53" s="865">
        <f t="shared" ca="1" si="258"/>
        <v>-12.08761577878826</v>
      </c>
      <c r="CV53" s="865">
        <f t="shared" ca="1" si="258"/>
        <v>-12.121669654249304</v>
      </c>
      <c r="CW53" s="859">
        <f t="shared" ca="1" si="257"/>
        <v>-12.121669654249304</v>
      </c>
      <c r="CX53" s="865">
        <f t="shared" ca="1" si="257"/>
        <v>-12.308481610377001</v>
      </c>
      <c r="CY53" s="865">
        <f t="shared" ca="1" si="257"/>
        <v>-12.112551737807363</v>
      </c>
      <c r="CZ53" s="865">
        <f t="shared" ca="1" si="257"/>
        <v>-11.836065202945488</v>
      </c>
      <c r="DA53" s="865">
        <f t="shared" ca="1" si="257"/>
        <v>-12.160058840436552</v>
      </c>
      <c r="DB53" s="859">
        <f t="shared" ref="DB53" ca="1" si="259">(DB24+DB31-DB8)/DB43</f>
        <v>-12.160058840436552</v>
      </c>
      <c r="DC53" s="9"/>
    </row>
    <row r="54" spans="1:113" ht="3" hidden="1" customHeight="1" outlineLevel="1">
      <c r="A54" s="1"/>
      <c r="B54" s="264"/>
      <c r="C54" s="5"/>
      <c r="D54" s="876"/>
      <c r="E54" s="200"/>
      <c r="F54" s="200"/>
      <c r="G54" s="268"/>
      <c r="H54" s="268"/>
      <c r="I54" s="268"/>
      <c r="J54" s="268"/>
      <c r="K54" s="866"/>
      <c r="L54" s="268"/>
      <c r="M54" s="268"/>
      <c r="N54" s="268"/>
      <c r="O54" s="268"/>
      <c r="P54" s="866"/>
      <c r="Q54" s="268"/>
      <c r="R54" s="268"/>
      <c r="S54" s="268"/>
      <c r="T54" s="268"/>
      <c r="U54" s="866"/>
      <c r="V54" s="268"/>
      <c r="W54" s="268"/>
      <c r="X54" s="268"/>
      <c r="Y54" s="268"/>
      <c r="Z54" s="866"/>
      <c r="AA54" s="268"/>
      <c r="AB54" s="268"/>
      <c r="AC54" s="268"/>
      <c r="AD54" s="268"/>
      <c r="AE54" s="866"/>
      <c r="AF54" s="268"/>
      <c r="AG54" s="268"/>
      <c r="AH54" s="268"/>
      <c r="AI54" s="268"/>
      <c r="AJ54" s="866"/>
      <c r="AK54" s="268"/>
      <c r="AL54" s="268"/>
      <c r="AM54" s="268"/>
      <c r="AN54" s="268"/>
      <c r="AO54" s="866"/>
      <c r="AP54" s="268"/>
      <c r="AQ54" s="268"/>
      <c r="AR54" s="268"/>
      <c r="AS54" s="268"/>
      <c r="AT54" s="866"/>
      <c r="AU54" s="268"/>
      <c r="AV54" s="268"/>
      <c r="AW54" s="268"/>
      <c r="AX54" s="268"/>
      <c r="AY54" s="866"/>
      <c r="AZ54" s="268"/>
      <c r="BA54" s="268"/>
      <c r="BB54" s="268"/>
      <c r="BC54" s="268"/>
      <c r="BD54" s="866"/>
      <c r="BE54" s="268"/>
      <c r="BF54" s="268"/>
      <c r="BG54" s="268"/>
      <c r="BH54" s="268"/>
      <c r="BI54" s="866"/>
      <c r="BJ54" s="268"/>
      <c r="BK54" s="268"/>
      <c r="BL54" s="268"/>
      <c r="BM54" s="268"/>
      <c r="BN54" s="866"/>
      <c r="BO54" s="268"/>
      <c r="BP54" s="268"/>
      <c r="BQ54" s="268"/>
      <c r="BR54" s="268"/>
      <c r="BS54" s="866"/>
      <c r="BT54" s="268"/>
      <c r="BU54" s="268"/>
      <c r="BV54" s="268"/>
      <c r="BW54" s="268"/>
      <c r="BX54" s="866"/>
      <c r="BY54" s="268"/>
      <c r="BZ54" s="268"/>
      <c r="CA54" s="268"/>
      <c r="CB54" s="268"/>
      <c r="CC54" s="866"/>
      <c r="CD54" s="268"/>
      <c r="CE54" s="268"/>
      <c r="CF54" s="268"/>
      <c r="CG54" s="268"/>
      <c r="CH54" s="866"/>
      <c r="CI54" s="268"/>
      <c r="CJ54" s="268"/>
      <c r="CK54" s="268"/>
      <c r="CL54" s="268"/>
      <c r="CM54" s="866"/>
      <c r="CN54" s="268"/>
      <c r="CO54" s="268"/>
      <c r="CP54" s="268"/>
      <c r="CQ54" s="268"/>
      <c r="CR54" s="866"/>
      <c r="CS54" s="268"/>
      <c r="CT54" s="268"/>
      <c r="CU54" s="268"/>
      <c r="CV54" s="268"/>
      <c r="CW54" s="866"/>
      <c r="CX54" s="268"/>
      <c r="CY54" s="268"/>
      <c r="CZ54" s="268"/>
      <c r="DA54" s="268"/>
      <c r="DB54" s="866"/>
      <c r="DC54" s="9"/>
    </row>
    <row r="55" spans="1:113" hidden="1" outlineLevel="1">
      <c r="A55" s="1"/>
      <c r="B55" s="264" t="s">
        <v>440</v>
      </c>
      <c r="C55" s="860"/>
      <c r="D55" s="890"/>
      <c r="E55" s="859">
        <f>(E24+E31)/(IS!E17)</f>
        <v>7.6756925941382326</v>
      </c>
      <c r="F55" s="859">
        <f>(F24+F31)/(IS!F17)</f>
        <v>4.8233057419599916</v>
      </c>
      <c r="G55" s="865">
        <f>(G24+G31)/(IS!G17*(IS!$K$6/IS!G6))</f>
        <v>3.8998344417836597</v>
      </c>
      <c r="H55" s="865">
        <f>(H24+H31)/(IS!H17*(IS!$K$6/IS!H6))</f>
        <v>4.2244974478578134</v>
      </c>
      <c r="I55" s="865">
        <f>(I24+I31)/(IS!I17*(IS!$K$6/IS!I6))</f>
        <v>4.2690167727074044</v>
      </c>
      <c r="J55" s="865">
        <f>(J24+J31)/(IS!J17*(IS!$K$6/IS!J6))</f>
        <v>3.1316512627326367</v>
      </c>
      <c r="K55" s="859">
        <f>(K24+K31)/(IS!K17)</f>
        <v>3.3648752393014822</v>
      </c>
      <c r="L55" s="865">
        <f>(L24+L31)/(IS!L17*(IS!$P$6/IS!L6))</f>
        <v>2.9273003024372874</v>
      </c>
      <c r="M55" s="865">
        <f>(M24+M31)/(IS!M17*(IS!$P$6/IS!M6))</f>
        <v>3.0113454458941682</v>
      </c>
      <c r="N55" s="865">
        <f>(N24+N31)/(IS!N17*(IS!$P$6/IS!N6))</f>
        <v>3.4466098581062012</v>
      </c>
      <c r="O55" s="865">
        <f>(O24+O31)/(IS!O17*(IS!$P$6/IS!O6))</f>
        <v>3.1728571325280641</v>
      </c>
      <c r="P55" s="859">
        <f>(P24+P31)/(IS!P17)</f>
        <v>3.2944104938612688</v>
      </c>
      <c r="Q55" s="865">
        <f>(Q24+Q31)/(IS!Q17*(IS!$U$6/IS!Q6))</f>
        <v>2.9426761416789038</v>
      </c>
      <c r="R55" s="865">
        <f>(R24+R31)/(IS!R17*(IS!$U$6/IS!R6))</f>
        <v>2.8781592768273208</v>
      </c>
      <c r="S55" s="865">
        <f>(S24+S31)/(IS!S17*(IS!$U$6/IS!S6))</f>
        <v>3.2318632264648799</v>
      </c>
      <c r="T55" s="865">
        <f>(T24+T31)/(IS!T17*(IS!$U$6/IS!T6))</f>
        <v>3.125506581385284</v>
      </c>
      <c r="U55" s="859">
        <f>(U24+U31)/(IS!U17)</f>
        <v>3.3781908398870115</v>
      </c>
      <c r="V55" s="865">
        <f>(V24+V31)/(IS!V17*(IS!$Z$6/IS!V6))</f>
        <v>2.9103844236922698</v>
      </c>
      <c r="W55" s="865">
        <f>(W24+W31)/(IS!W17*(IS!$Z$6/IS!W6))</f>
        <v>2.8122299193711275</v>
      </c>
      <c r="X55" s="865">
        <f>(X24+X31)/(IS!X17*(IS!$Z$6/IS!X6))</f>
        <v>3.6997660672792598</v>
      </c>
      <c r="Y55" s="865">
        <f>(Y24+Y31)/(IS!Y17*(IS!$Z$6/IS!Y6))</f>
        <v>3.5423340351172805</v>
      </c>
      <c r="Z55" s="859">
        <f>(Z24+Z31)/(IS!Z17)</f>
        <v>3.681946005053351</v>
      </c>
      <c r="AA55" s="865">
        <f>(AA24+AA31)/(IS!AA17*(IS!$AE$6/IS!AA6))</f>
        <v>3.1580912170646345</v>
      </c>
      <c r="AB55" s="865">
        <f>(AB24+AB31)/(IS!AB17*(IS!$AE$6/IS!AB6))</f>
        <v>3.2269999616854332</v>
      </c>
      <c r="AC55" s="865">
        <f>(AC24+AC31)/(IS!AC17*(IS!$AE$6/IS!AC6))</f>
        <v>3.3181822049218286</v>
      </c>
      <c r="AD55" s="865">
        <f>(AD24+AD31)/(IS!AD17*(IS!$AE$6/IS!AD6))</f>
        <v>2.7695552099409926</v>
      </c>
      <c r="AE55" s="859">
        <f>(AE24+AE31)/(IS!AE17)</f>
        <v>2.9179006675240355</v>
      </c>
      <c r="AF55" s="865">
        <f>(AF24+AF31)/(IS!AF17*(IS!$AJ$6/IS!AF6))</f>
        <v>2.3894628661810415</v>
      </c>
      <c r="AG55" s="865">
        <f>(AG24+AG31)/(IS!AG17*(IS!$AJ$6/IS!AG6))</f>
        <v>2.6683761813172002</v>
      </c>
      <c r="AH55" s="865">
        <f>(AH24+AH31)/(IS!AH17*(IS!$AJ$6/IS!AH6))</f>
        <v>5.0067252836887928</v>
      </c>
      <c r="AI55" s="865">
        <f>(AI24+AI31)/(IS!AI17*(IS!$AJ$6/IS!AI6))</f>
        <v>2.9570357894346415</v>
      </c>
      <c r="AJ55" s="859">
        <f>(AJ24+AJ31)/(IS!AJ17)</f>
        <v>3.3935118333782013</v>
      </c>
      <c r="AK55" s="865">
        <f>(AK24+AK31)/(IS!AK17*(IS!$AO$6/IS!AK6))</f>
        <v>2.7872550802135172</v>
      </c>
      <c r="AL55" s="865">
        <f>(AL24+AL31)/(IS!AL17*(IS!$AO$6/IS!AL6))</f>
        <v>2.8897842876000226</v>
      </c>
      <c r="AM55" s="865">
        <f>(AM24+AM31)/(IS!AM17*(IS!$AO$6/IS!AM6))</f>
        <v>7.9833723092483746</v>
      </c>
      <c r="AN55" s="865">
        <f>(AN24+AN31)/(IS!AN17*(IS!$AO$6/IS!AN6))</f>
        <v>12.940657574443444</v>
      </c>
      <c r="AO55" s="859">
        <f>(AO24+AO31)/(IS!AO17)</f>
        <v>11.242631430661545</v>
      </c>
      <c r="AP55" s="865">
        <f>(AP24+AP31)/(IS!AP17*(IS!$AT$6/IS!AP6))</f>
        <v>5.9801910336149717</v>
      </c>
      <c r="AQ55" s="865">
        <f>(AQ24+AQ31)/(IS!AQ17*(IS!$AT$6/IS!AQ6))</f>
        <v>6.1907027600561522</v>
      </c>
      <c r="AR55" s="865">
        <f>(AR24+AR31)/(IS!AR17*(IS!$AT$6/IS!AR6))</f>
        <v>5.8379275836544702</v>
      </c>
      <c r="AS55" s="865">
        <f>(AS24+AS31)/(IS!AS17*(IS!$AT$6/IS!AS6))</f>
        <v>5.9050216627798244</v>
      </c>
      <c r="AT55" s="859">
        <f>(AT24+AT31)/(IS!AT17)</f>
        <v>6.0039582508976705</v>
      </c>
      <c r="AU55" s="865">
        <f>(AU24+AU31)/(IS!AU17*(IS!$AY$6/IS!AU6))</f>
        <v>5.7483106294488957</v>
      </c>
      <c r="AV55" s="865">
        <f>(AV24+AV31)/(IS!AV17*(IS!$AY$6/IS!AV6))</f>
        <v>5.5194065611638674</v>
      </c>
      <c r="AW55" s="865">
        <f>(AW24+AW31)/(IS!AW17*(IS!$AY$6/IS!AW6))</f>
        <v>5.4769752271217778</v>
      </c>
      <c r="AX55" s="865">
        <f>(AX24+AX31)/(IS!AX17*(IS!$AY$6/IS!AX6))</f>
        <v>5.2283106787237648</v>
      </c>
      <c r="AY55" s="859">
        <f>(AY24+AY31)/(IS!AY17)</f>
        <v>5.4503823050354381</v>
      </c>
      <c r="AZ55" s="865">
        <f>(AZ24+AZ31)/(IS!AZ17*(IS!$BD$6/IS!AZ6))</f>
        <v>5.2174219694583996</v>
      </c>
      <c r="BA55" s="865">
        <f>(BA24+BA31)/(IS!BA17*(IS!$BD$6/IS!BA6))</f>
        <v>5.124874355603823</v>
      </c>
      <c r="BB55" s="865">
        <f>(BB24+BB31)/(IS!BB17*(IS!$BD$6/IS!BB6))</f>
        <v>5.1800476184525959</v>
      </c>
      <c r="BC55" s="865">
        <f>(BC24+BC31)/(IS!BC17*(IS!$BD$6/IS!BC6))</f>
        <v>5.0822400825931053</v>
      </c>
      <c r="BD55" s="859">
        <f>(BD24+BD31)/(IS!BD17)</f>
        <v>5.1436054841030696</v>
      </c>
      <c r="BE55" s="865">
        <f>(BE24+BE31)/(IS!BE17*(IS!$BI$6/IS!BE6))</f>
        <v>4.9467253989207043</v>
      </c>
      <c r="BF55" s="865">
        <f>(BF24+BF31)/(IS!BF17*(IS!$BI$6/IS!BF6))</f>
        <v>4.9009648157515908</v>
      </c>
      <c r="BG55" s="865">
        <f>(BG24+BG31)/(IS!BG17*(IS!$BI$6/IS!BG6))</f>
        <v>4.9977298414486802</v>
      </c>
      <c r="BH55" s="865">
        <f>(BH24+BH31)/(IS!BH17*(IS!$BI$6/IS!BH6))</f>
        <v>4.92642574680628</v>
      </c>
      <c r="BI55" s="859">
        <f>(BI24+BI31)/(IS!BI17)</f>
        <v>4.9425537680216065</v>
      </c>
      <c r="BJ55" s="865">
        <f>(BJ24+BJ31)/(IS!BJ17*(IS!$BN$6/IS!BJ6))</f>
        <v>4.4261696108339539</v>
      </c>
      <c r="BK55" s="865">
        <f>(BK24+BK31)/(IS!BK17*(IS!$BN$6/IS!BK6))</f>
        <v>4.9341089285926349</v>
      </c>
      <c r="BL55" s="865">
        <f>(BL24+BL31)/(IS!BL17*(IS!$BN$6/IS!BL6))</f>
        <v>5.1211432498596672</v>
      </c>
      <c r="BM55" s="865">
        <f>(BM24+BM31)/(IS!BM17*(IS!$BN$6/IS!BM6))</f>
        <v>5.076411613607589</v>
      </c>
      <c r="BN55" s="859">
        <f>(BN24+BN31)/(IS!BN17)</f>
        <v>4.9291696673317196</v>
      </c>
      <c r="BO55" s="865">
        <f>(BO24+BO31)/(IS!BO17*(IS!$BS$6/IS!BO6))</f>
        <v>4.918719868286602</v>
      </c>
      <c r="BP55" s="865">
        <f>(BP24+BP31)/(IS!BP17*(IS!$BS$6/IS!BP6))</f>
        <v>5.8500277555004674</v>
      </c>
      <c r="BQ55" s="865">
        <f>(BQ24+BQ31)/(IS!BQ17*(IS!$BS$6/IS!BQ6))</f>
        <v>5.167347597817094</v>
      </c>
      <c r="BR55" s="865">
        <f>(BR24+BR31)/(IS!BR17*(IS!$BS$6/IS!BR6))</f>
        <v>5.3205566199676291</v>
      </c>
      <c r="BS55" s="859">
        <f>(BS24+BS31)/(IS!BS17)</f>
        <v>5.2608364896284732</v>
      </c>
      <c r="BT55" s="865">
        <f>(BT24+BT31)/(IS!BT17*(IS!$BX$6/IS!BT6))</f>
        <v>7.9080899457224092</v>
      </c>
      <c r="BU55" s="865">
        <f>(BU24+BU31)/(IS!BU17*(IS!$BX$6/IS!BU6))</f>
        <v>6.1353974195603698</v>
      </c>
      <c r="BV55" s="865">
        <f>(BV24+BV31)/(IS!BV17*(IS!$BX$6/IS!BV6))</f>
        <v>5.8002572326532373</v>
      </c>
      <c r="BW55" s="865">
        <f>(BW24+BW31)/(IS!BW17*(IS!$BX$6/IS!BW6))</f>
        <v>5.5517694063926939</v>
      </c>
      <c r="BX55" s="859">
        <f>(BX24+BX31)/(IS!BX17)</f>
        <v>6.2070914074568746</v>
      </c>
      <c r="BY55" s="865">
        <f>(BY24+BY31)/(IS!BY17*(IS!$CC$6/IS!BY6))</f>
        <v>5.9518307059763451</v>
      </c>
      <c r="BZ55" s="865">
        <f>(BZ24+BZ31)/(IS!BZ17*(IS!$CC$6/IS!BZ6))</f>
        <v>5.7448050003742797</v>
      </c>
      <c r="CA55" s="865">
        <f>(CA24+CA31)/(IS!CA17*(IS!$CC$6/IS!CA6))</f>
        <v>6.6611100392308185</v>
      </c>
      <c r="CB55" s="865">
        <f>(CB24+CB31)/(IS!CB17*(IS!$CC$6/IS!CB6))</f>
        <v>8.4602092546650844</v>
      </c>
      <c r="CC55" s="859">
        <f>(CC24+CC31)/(IS!CC17)</f>
        <v>6.6037955073586367</v>
      </c>
      <c r="CD55" s="865">
        <f>(CD24+CD31)/(IS!CD17*(IS!$CC$6/IS!CD6))</f>
        <v>7.1231673454276194</v>
      </c>
      <c r="CE55" s="865">
        <f>(CE24+CE31)/(IS!CE17*(IS!$CC$6/IS!CE6))</f>
        <v>7.0930136986301369</v>
      </c>
      <c r="CF55" s="865">
        <f>(CF24+CF31)/(IS!CF17*(IS!$CC$6/IS!CF6))</f>
        <v>8.3956164383561642</v>
      </c>
      <c r="CG55" s="865">
        <f>(CG24+CG31)/(IS!CG17*(IS!$CC$6/IS!CG6))</f>
        <v>11.435485975212003</v>
      </c>
      <c r="CH55" s="859">
        <f>(CH24+CH31)/(IS!CH17)</f>
        <v>7.9066390041493779</v>
      </c>
      <c r="CI55" s="865">
        <f>(CI24+CI31)/CI60</f>
        <v>9.2787583688374919</v>
      </c>
      <c r="CJ55" s="865">
        <f>(CJ24+CJ31)/CJ60</f>
        <v>9.7090190915075709</v>
      </c>
      <c r="CK55" s="865">
        <f t="shared" ref="CK55:CW55" si="260">(CK24+CK31)/CK60</f>
        <v>10.043948126801153</v>
      </c>
      <c r="CL55" s="865">
        <f t="shared" si="260"/>
        <v>16.234539089848308</v>
      </c>
      <c r="CM55" s="859">
        <f t="shared" si="260"/>
        <v>16.234539089848308</v>
      </c>
      <c r="CN55" s="865">
        <f t="shared" ca="1" si="260"/>
        <v>14.001527651637286</v>
      </c>
      <c r="CO55" s="865">
        <f t="shared" ca="1" si="260"/>
        <v>14.151606189019379</v>
      </c>
      <c r="CP55" s="865">
        <f t="shared" ca="1" si="260"/>
        <v>13.550287684980358</v>
      </c>
      <c r="CQ55" s="865">
        <f t="shared" ca="1" si="260"/>
        <v>8.1319598935546189</v>
      </c>
      <c r="CR55" s="859">
        <f t="shared" ca="1" si="260"/>
        <v>8.1319598935546189</v>
      </c>
      <c r="CS55" s="865">
        <f t="shared" ca="1" si="260"/>
        <v>8.1053898904865296</v>
      </c>
      <c r="CT55" s="865">
        <f t="shared" ca="1" si="260"/>
        <v>7.9857016114410531</v>
      </c>
      <c r="CU55" s="865">
        <f t="shared" ca="1" si="260"/>
        <v>7.6985275089294616</v>
      </c>
      <c r="CV55" s="865">
        <f t="shared" ca="1" si="260"/>
        <v>7.6153765704313976</v>
      </c>
      <c r="CW55" s="859">
        <f t="shared" ca="1" si="260"/>
        <v>7.6153765704313976</v>
      </c>
      <c r="CX55" s="865">
        <f t="shared" ref="CX55:DA55" ca="1" si="261">(CX24+CX31)/CX60</f>
        <v>7.5841736265186652</v>
      </c>
      <c r="CY55" s="865">
        <f t="shared" ca="1" si="261"/>
        <v>7.5371882447891432</v>
      </c>
      <c r="CZ55" s="865">
        <f t="shared" ca="1" si="261"/>
        <v>7.6185838775008934</v>
      </c>
      <c r="DA55" s="865">
        <f t="shared" ca="1" si="261"/>
        <v>7.5966295183692729</v>
      </c>
      <c r="DB55" s="859">
        <f t="shared" ref="DB55" ca="1" si="262">(DB24+DB31)/DB60</f>
        <v>7.5966295183692729</v>
      </c>
      <c r="DC55" s="9"/>
    </row>
    <row r="56" spans="1:113" ht="12.75" hidden="1" customHeight="1" outlineLevel="1">
      <c r="A56" s="1"/>
      <c r="B56" s="264" t="s">
        <v>441</v>
      </c>
      <c r="C56" s="860"/>
      <c r="D56" s="890"/>
      <c r="E56" s="859">
        <f>(E24+E31)/(IS!E54)</f>
        <v>7.6756925941382326</v>
      </c>
      <c r="F56" s="859">
        <f>(F24+F31)/(IS!F54)</f>
        <v>4.8233057419599916</v>
      </c>
      <c r="G56" s="865">
        <f>(G24+G31)/(IS!G54*(IS!$K$6/IS!G6))</f>
        <v>3.8998344417836597</v>
      </c>
      <c r="H56" s="865">
        <f>(H24+H31)/(IS!H54*(IS!$K$6/IS!H6))</f>
        <v>4.2244974478578134</v>
      </c>
      <c r="I56" s="865">
        <f>(I24+I31)/(IS!I54*(IS!$K$6/IS!I6))</f>
        <v>4.2690167727074044</v>
      </c>
      <c r="J56" s="865">
        <f>(J24+J31)/(IS!J54*(IS!$K$6/IS!J6))</f>
        <v>3.1316512627326367</v>
      </c>
      <c r="K56" s="859">
        <f>(K24+K31)/(IS!K54)</f>
        <v>3.3648752393014814</v>
      </c>
      <c r="L56" s="865">
        <f>(L24+L31)/(IS!L54*(IS!$P$6/IS!L6))</f>
        <v>2.9273003024372874</v>
      </c>
      <c r="M56" s="865">
        <f>(M24+M31)/(IS!M54*(IS!$P$6/IS!M6))</f>
        <v>3.0113454458941682</v>
      </c>
      <c r="N56" s="865">
        <f>(N24+N31)/(IS!N54*(IS!$P$6/IS!N6))</f>
        <v>3.4466098581062012</v>
      </c>
      <c r="O56" s="865">
        <f>(O24+O31)/(IS!O54*(IS!$P$6/IS!O6))</f>
        <v>3.1728571325280641</v>
      </c>
      <c r="P56" s="859">
        <f>(P24+P31)/(IS!P54)</f>
        <v>3.2944104938612675</v>
      </c>
      <c r="Q56" s="865">
        <f>(Q24+Q31)/(IS!Q54*(IS!$U$6/IS!Q6))</f>
        <v>2.9426761416789038</v>
      </c>
      <c r="R56" s="865">
        <f>(R24+R31)/(IS!R54*(IS!$U$6/IS!R6))</f>
        <v>2.8781592768273208</v>
      </c>
      <c r="S56" s="865">
        <f>(S24+S31)/(IS!S54*(IS!$U$6/IS!S6))</f>
        <v>3.2318632264648799</v>
      </c>
      <c r="T56" s="865">
        <f>(T24+T31)/(IS!T54*(IS!$U$6/IS!T6))</f>
        <v>3.125506581385284</v>
      </c>
      <c r="U56" s="859">
        <f>(U24+U31)/(IS!U54)</f>
        <v>3.3781908398870142</v>
      </c>
      <c r="V56" s="865">
        <f>(V24+V31)/(IS!V54*(IS!$Z$6/IS!V6))</f>
        <v>2.9103844236922698</v>
      </c>
      <c r="W56" s="865">
        <f>(W24+W31)/(IS!W54*(IS!$Z$6/IS!W6))</f>
        <v>2.8122299193711275</v>
      </c>
      <c r="X56" s="865">
        <f>(X24+X31)/(IS!X54*(IS!$Z$6/IS!X6))</f>
        <v>3.6997660672792598</v>
      </c>
      <c r="Y56" s="865">
        <f>(Y24+Y31)/(IS!Y54*(IS!$Z$6/IS!Y6))</f>
        <v>3.5423340351172805</v>
      </c>
      <c r="Z56" s="859">
        <f>(Z24+Z31)/(IS!Z54)</f>
        <v>3.6819460050533568</v>
      </c>
      <c r="AA56" s="865">
        <f>(AA24+AA31)/(IS!AA54*(IS!$AE$6/IS!AA6))</f>
        <v>3.1580912170646345</v>
      </c>
      <c r="AB56" s="865">
        <f>(AB24+AB31)/(IS!AB54*(IS!$AE$6/IS!AB6))</f>
        <v>3.2269999616854332</v>
      </c>
      <c r="AC56" s="865">
        <f>(AC24+AC31)/(IS!AC54*(IS!$AE$6/IS!AC6))</f>
        <v>3.3181822049218286</v>
      </c>
      <c r="AD56" s="865">
        <f>(AD24+AD31)/(IS!AD54*(IS!$AE$6/IS!AD6))</f>
        <v>2.7695552099409926</v>
      </c>
      <c r="AE56" s="859">
        <f>(AE24+AE31)/(IS!AE54)</f>
        <v>2.9179006675240378</v>
      </c>
      <c r="AF56" s="865">
        <f>(AF24+AF31)/(IS!AF54*(IS!$AJ$6/IS!AF6))</f>
        <v>2.3894628661810415</v>
      </c>
      <c r="AG56" s="865">
        <f>(AG24+AG31)/(IS!AG54*(IS!$AJ$6/IS!AG6))</f>
        <v>2.6683761813172002</v>
      </c>
      <c r="AH56" s="865">
        <f>(AH24+AH31)/(IS!AH54*(IS!$AJ$6/IS!AH6))</f>
        <v>5.0067252836887928</v>
      </c>
      <c r="AI56" s="865">
        <f>(AI24+AI31)/(IS!AI54*(IS!$AJ$6/IS!AI6))</f>
        <v>2.9570357894346415</v>
      </c>
      <c r="AJ56" s="859">
        <f>(AJ24+AJ31)/(IS!AJ54)</f>
        <v>3.3935118333782026</v>
      </c>
      <c r="AK56" s="865">
        <f>(AK24+AK31)/(IS!AK54*(IS!$AO$6/IS!AK6))</f>
        <v>2.7872550802135172</v>
      </c>
      <c r="AL56" s="865">
        <f>(AL24+AL31)/(IS!AL54*(IS!$AO$6/IS!AL6))</f>
        <v>2.8897842876000226</v>
      </c>
      <c r="AM56" s="865">
        <f>(AM24+AM31)/(IS!AM54*(IS!$AO$6/IS!AM6))</f>
        <v>7.6072312869900678</v>
      </c>
      <c r="AN56" s="865">
        <f>(AN24+AN31)/(IS!AN54*(IS!$AO$6/IS!AN6))</f>
        <v>12.194184394001438</v>
      </c>
      <c r="AO56" s="859">
        <f>(AO24+AO31)/(IS!AO54)</f>
        <v>10.903735618408433</v>
      </c>
      <c r="AP56" s="865">
        <f>(AP24+AP31)/(IS!AP54*(IS!$AT$6/IS!AP6))</f>
        <v>5.7791006621540868</v>
      </c>
      <c r="AQ56" s="865">
        <f>(AQ24+AQ31)/(IS!AQ54*(IS!$AT$6/IS!AQ6))</f>
        <v>6.0141826294739662</v>
      </c>
      <c r="AR56" s="865">
        <f>(AR24+AR31)/(IS!AR54*(IS!$AT$6/IS!AR6))</f>
        <v>5.7085828074711733</v>
      </c>
      <c r="AS56" s="865">
        <f>(AS24+AS31)/(IS!AS54*(IS!$AT$6/IS!AS6))</f>
        <v>5.7545578715056767</v>
      </c>
      <c r="AT56" s="859">
        <f>(AT24+AT31)/(IS!AT54)</f>
        <v>5.8395001995893612</v>
      </c>
      <c r="AU56" s="865">
        <f>(AU24+AU31)/(IS!AU54*(IS!$AY$6/IS!AU6))</f>
        <v>5.5643073761173207</v>
      </c>
      <c r="AV56" s="865">
        <f>(AV24+AV31)/(IS!AV54*(IS!$AY$6/IS!AV6))</f>
        <v>5.3629339819649253</v>
      </c>
      <c r="AW56" s="865">
        <f>(AW24+AW31)/(IS!AW54*(IS!$AY$6/IS!AW6))</f>
        <v>5.3852044617928758</v>
      </c>
      <c r="AX56" s="865">
        <f>(AX24+AX31)/(IS!AX54*(IS!$AY$6/IS!AX6))</f>
        <v>5.1703013802058555</v>
      </c>
      <c r="AY56" s="859">
        <f>(AY24+AY31)/(IS!AY54)</f>
        <v>5.3312872350990794</v>
      </c>
      <c r="AZ56" s="865">
        <f>(AZ24+AZ31)/(IS!AZ54*(IS!$BD$6/IS!AZ6))</f>
        <v>5.065840868709131</v>
      </c>
      <c r="BA56" s="865">
        <f>(BA24+BA31)/(IS!BA54*(IS!$BD$6/IS!BA6))</f>
        <v>4.9979234703072661</v>
      </c>
      <c r="BB56" s="865">
        <f>(BB24+BB31)/(IS!BB54*(IS!$BD$6/IS!BB6))</f>
        <v>5.0681681738615438</v>
      </c>
      <c r="BC56" s="865">
        <f>(BC24+BC31)/(IS!BC54*(IS!$BD$6/IS!BC6))</f>
        <v>4.9436775596312481</v>
      </c>
      <c r="BD56" s="859">
        <f>(BD24+BD31)/(IS!BD54)</f>
        <v>5.0115953065163845</v>
      </c>
      <c r="BE56" s="865">
        <f>(BE24+BE31)/(IS!BE54*(IS!$BI$6/IS!BE6))</f>
        <v>4.751663212701378</v>
      </c>
      <c r="BF56" s="865">
        <f>(BF24+BF31)/(IS!BF54*(IS!$BI$6/IS!BF6))</f>
        <v>4.7735696896521738</v>
      </c>
      <c r="BG56" s="865">
        <f>(BG24+BG31)/(IS!BG54*(IS!$BI$6/IS!BG6))</f>
        <v>4.9074314627490416</v>
      </c>
      <c r="BH56" s="865">
        <f>(BH24+BH31)/(IS!BH54*(IS!$BI$6/IS!BH6))</f>
        <v>4.8080259008191728</v>
      </c>
      <c r="BI56" s="859">
        <f>(BI24+BI31)/(IS!BI54)</f>
        <v>4.8095764160421695</v>
      </c>
      <c r="BJ56" s="865">
        <f>(BJ24+BJ31)/(IS!BJ54*(IS!$BN$6/IS!BJ6))</f>
        <v>4.3268753587215185</v>
      </c>
      <c r="BK56" s="865">
        <f>(BK24+BK31)/(IS!BK54*(IS!$BN$6/IS!BK6))</f>
        <v>4.7994840113140524</v>
      </c>
      <c r="BL56" s="865">
        <f>(BL24+BL31)/(IS!BL54*(IS!$BN$6/IS!BL6))</f>
        <v>5.0415341491067993</v>
      </c>
      <c r="BM56" s="865">
        <f>(BM24+BM31)/(IS!BM54*(IS!$BN$6/IS!BM6))</f>
        <v>4.9771740621412581</v>
      </c>
      <c r="BN56" s="859">
        <f>(BN24+BN31)/(IS!BN54)</f>
        <v>4.824408471392494</v>
      </c>
      <c r="BO56" s="865">
        <f>(BO24+BO31)/(IS!BO54*(IS!$BS$6/IS!BO6))</f>
        <v>4.7625412567940932</v>
      </c>
      <c r="BP56" s="865">
        <f>(BP24+BP31)/(IS!BP54*(IS!$BS$6/IS!BP6))</f>
        <v>5.72216153762131</v>
      </c>
      <c r="BQ56" s="865">
        <f>(BQ24+BQ31)/(IS!BQ54*(IS!$BS$6/IS!BQ6))</f>
        <v>5.0413487846665754</v>
      </c>
      <c r="BR56" s="865">
        <f>(BR24+BR31)/(IS!BR54*(IS!$BS$6/IS!BR6))</f>
        <v>5.2471411893535755</v>
      </c>
      <c r="BS56" s="859">
        <f>(BS24+BS31)/(IS!BS54)</f>
        <v>5.1388915616018664</v>
      </c>
      <c r="BT56" s="865">
        <f>(BT24+BT31)/(IS!BT54*(IS!$BX$6/IS!BT6))</f>
        <v>7.7472969893398824</v>
      </c>
      <c r="BU56" s="865">
        <f>(BU24+BU31)/(IS!BU54*(IS!$BX$6/IS!BU6))</f>
        <v>6.03884610108374</v>
      </c>
      <c r="BV56" s="865">
        <f>(BV24+BV31)/(IS!BV54*(IS!$BX$6/IS!BV6))</f>
        <v>5.7076099995787919</v>
      </c>
      <c r="BW56" s="865">
        <f>(BW24+BW31)/(IS!BW54*(IS!$BX$6/IS!BW6))</f>
        <v>5.4523771152296536</v>
      </c>
      <c r="BX56" s="859">
        <f>(BX24+BX31)/(IS!BX54)</f>
        <v>6.0996585258557579</v>
      </c>
      <c r="BY56" s="865">
        <f>(BY24+BY31)/(IS!BY54*(IS!$CC$6/IS!BY6))</f>
        <v>5.8519398409809371</v>
      </c>
      <c r="BZ56" s="865">
        <f>(BZ24+BZ31)/(IS!BZ54*(IS!$CC$6/IS!BZ6))</f>
        <v>5.4683969574433977</v>
      </c>
      <c r="CA56" s="865">
        <f>(CA24+CA31)/(IS!CA54*(IS!$CC$6/IS!CA6))</f>
        <v>6.4394089486664043</v>
      </c>
      <c r="CB56" s="865">
        <f>(CB24+CB31)/(IS!CB54*(IS!$CC$6/IS!CB6))</f>
        <v>8.1551922227132128</v>
      </c>
      <c r="CC56" s="859">
        <f>(CC24+CC31)/(IS!CC54)</f>
        <v>6.381362275449102</v>
      </c>
      <c r="CD56" s="865">
        <f>(CD24+CD31)/(IS!CD54*(IS!$CC$6/IS!CD6))</f>
        <v>6.6617931571771729</v>
      </c>
      <c r="CE56" s="865">
        <f>(CE24+CE31)/(IS!CE54*(IS!$CC$6/IS!CE6))</f>
        <v>6.8032458210662057</v>
      </c>
      <c r="CF56" s="865">
        <f>(CF24+CF31)/(IS!CF54*(IS!$CC$6/IS!CF6))</f>
        <v>8.3053409927824422</v>
      </c>
      <c r="CG56" s="865">
        <f>(CG24+CG31)/(IS!CG54*(IS!$CC$6/IS!CG6))</f>
        <v>6.8126299426794903</v>
      </c>
      <c r="CH56" s="859">
        <f>(CH24+CH31)/(IS!CH54)</f>
        <v>6.8512359550561799</v>
      </c>
      <c r="CI56" s="865">
        <f>(CI24+CI31)/CI61</f>
        <v>7.1944313355356302</v>
      </c>
      <c r="CJ56" s="865">
        <f>(CJ24+CJ31)/CJ61</f>
        <v>7.4073329984932199</v>
      </c>
      <c r="CK56" s="865">
        <f t="shared" ref="CK56:CW56" si="263">(CK24+CK31)/CK61</f>
        <v>7.5072697899838445</v>
      </c>
      <c r="CL56" s="865">
        <f t="shared" si="263"/>
        <v>8.1745005875440651</v>
      </c>
      <c r="CM56" s="859">
        <f t="shared" si="263"/>
        <v>8.1745005875440651</v>
      </c>
      <c r="CN56" s="865">
        <f t="shared" ca="1" si="263"/>
        <v>8.5227678993886578</v>
      </c>
      <c r="CO56" s="865">
        <f t="shared" ca="1" si="263"/>
        <v>8.6068746182474065</v>
      </c>
      <c r="CP56" s="865">
        <f t="shared" ca="1" si="263"/>
        <v>8.290636711940218</v>
      </c>
      <c r="CQ56" s="865">
        <f t="shared" ca="1" si="263"/>
        <v>8.1006236784436005</v>
      </c>
      <c r="CR56" s="859">
        <f t="shared" ca="1" si="263"/>
        <v>8.1006236784436005</v>
      </c>
      <c r="CS56" s="865">
        <f t="shared" ca="1" si="263"/>
        <v>8.0306299014920643</v>
      </c>
      <c r="CT56" s="865">
        <f t="shared" ca="1" si="263"/>
        <v>7.9115921176294917</v>
      </c>
      <c r="CU56" s="865">
        <f t="shared" ca="1" si="263"/>
        <v>7.6435922192687578</v>
      </c>
      <c r="CV56" s="865">
        <f t="shared" ca="1" si="263"/>
        <v>7.5758986097086849</v>
      </c>
      <c r="CW56" s="859">
        <f t="shared" ca="1" si="263"/>
        <v>7.5758986097086849</v>
      </c>
      <c r="CX56" s="865">
        <f t="shared" ref="CX56:DA56" ca="1" si="264">(CX24+CX31)/CX61</f>
        <v>7.5448339085025813</v>
      </c>
      <c r="CY56" s="865">
        <f t="shared" ca="1" si="264"/>
        <v>7.4982234727931614</v>
      </c>
      <c r="CZ56" s="865">
        <f t="shared" ca="1" si="264"/>
        <v>7.5787076425168154</v>
      </c>
      <c r="DA56" s="865">
        <f t="shared" ca="1" si="264"/>
        <v>7.55698217574861</v>
      </c>
      <c r="DB56" s="859">
        <f t="shared" ref="DB56" ca="1" si="265">(DB24+DB31)/DB61</f>
        <v>7.55698217574861</v>
      </c>
      <c r="DC56" s="9"/>
    </row>
    <row r="57" spans="1:113" ht="3" hidden="1" customHeight="1" outlineLevel="1">
      <c r="A57" s="1"/>
      <c r="B57" s="264"/>
      <c r="C57" s="860"/>
      <c r="D57" s="890"/>
      <c r="E57" s="859"/>
      <c r="F57" s="859"/>
      <c r="G57" s="865"/>
      <c r="H57" s="865"/>
      <c r="I57" s="865"/>
      <c r="J57" s="865"/>
      <c r="K57" s="859"/>
      <c r="L57" s="865"/>
      <c r="M57" s="865"/>
      <c r="N57" s="865"/>
      <c r="O57" s="865"/>
      <c r="P57" s="859"/>
      <c r="Q57" s="865"/>
      <c r="R57" s="865"/>
      <c r="S57" s="865"/>
      <c r="T57" s="865"/>
      <c r="U57" s="859"/>
      <c r="V57" s="865"/>
      <c r="W57" s="865"/>
      <c r="X57" s="865"/>
      <c r="Y57" s="865"/>
      <c r="Z57" s="859"/>
      <c r="AA57" s="865"/>
      <c r="AB57" s="865"/>
      <c r="AC57" s="865"/>
      <c r="AD57" s="865"/>
      <c r="AE57" s="859"/>
      <c r="AF57" s="865"/>
      <c r="AG57" s="865"/>
      <c r="AH57" s="865"/>
      <c r="AI57" s="865"/>
      <c r="AJ57" s="859"/>
      <c r="AK57" s="865"/>
      <c r="AL57" s="865"/>
      <c r="AM57" s="865"/>
      <c r="AN57" s="865"/>
      <c r="AO57" s="859"/>
      <c r="AP57" s="865"/>
      <c r="AQ57" s="865"/>
      <c r="AR57" s="865"/>
      <c r="AS57" s="865"/>
      <c r="AT57" s="859"/>
      <c r="AU57" s="865"/>
      <c r="AV57" s="865"/>
      <c r="AW57" s="865"/>
      <c r="AX57" s="865"/>
      <c r="AY57" s="859"/>
      <c r="AZ57" s="865"/>
      <c r="BA57" s="865"/>
      <c r="BB57" s="865"/>
      <c r="BC57" s="865"/>
      <c r="BD57" s="859"/>
      <c r="BE57" s="865"/>
      <c r="BF57" s="865"/>
      <c r="BG57" s="865"/>
      <c r="BH57" s="865"/>
      <c r="BI57" s="859"/>
      <c r="BJ57" s="865"/>
      <c r="BK57" s="865"/>
      <c r="BL57" s="865"/>
      <c r="BM57" s="865"/>
      <c r="BN57" s="859"/>
      <c r="BO57" s="865"/>
      <c r="BP57" s="865"/>
      <c r="BQ57" s="865"/>
      <c r="BR57" s="865"/>
      <c r="BS57" s="859"/>
      <c r="BT57" s="865"/>
      <c r="BU57" s="865"/>
      <c r="BV57" s="865"/>
      <c r="BW57" s="865"/>
      <c r="BX57" s="859"/>
      <c r="BY57" s="865"/>
      <c r="BZ57" s="865"/>
      <c r="CA57" s="865"/>
      <c r="CB57" s="865"/>
      <c r="CC57" s="859"/>
      <c r="CD57" s="865"/>
      <c r="CE57" s="865"/>
      <c r="CF57" s="865"/>
      <c r="CG57" s="865"/>
      <c r="CH57" s="859"/>
      <c r="CI57" s="865"/>
      <c r="CJ57" s="865"/>
      <c r="CK57" s="865"/>
      <c r="CL57" s="865"/>
      <c r="CM57" s="859"/>
      <c r="CN57" s="865"/>
      <c r="CO57" s="865"/>
      <c r="CP57" s="865"/>
      <c r="CQ57" s="865"/>
      <c r="CR57" s="859"/>
      <c r="CS57" s="865"/>
      <c r="CT57" s="865"/>
      <c r="CU57" s="865"/>
      <c r="CV57" s="865"/>
      <c r="CW57" s="859"/>
      <c r="CX57" s="865"/>
      <c r="CY57" s="865"/>
      <c r="CZ57" s="865"/>
      <c r="DA57" s="865"/>
      <c r="DB57" s="859"/>
      <c r="DC57" s="9"/>
    </row>
    <row r="58" spans="1:113" hidden="1" outlineLevel="1">
      <c r="A58" s="1"/>
      <c r="B58" s="264" t="s">
        <v>442</v>
      </c>
      <c r="C58" s="860"/>
      <c r="D58" s="890"/>
      <c r="E58" s="859">
        <f>(E24+E31-E8)/(IS!E17)</f>
        <v>7.6527826822038909</v>
      </c>
      <c r="F58" s="859">
        <f>(F24+F31-F8)/(IS!F17)</f>
        <v>4.7689407128386954</v>
      </c>
      <c r="G58" s="865">
        <f>(G24+G31-G8)/(IS!G17*(IS!$K$6/IS!G6))</f>
        <v>3.8257290519912392</v>
      </c>
      <c r="H58" s="865">
        <f>(H24+H31-H8)/(IS!H17*(IS!$K$6/IS!H6))</f>
        <v>4.1038077478991895</v>
      </c>
      <c r="I58" s="865">
        <f>(I24+I31-I8)/(IS!I17*(IS!$K$6/IS!I6))</f>
        <v>4.2087525708294269</v>
      </c>
      <c r="J58" s="865">
        <f>(J24+J31-J8)/(IS!J17*(IS!$K$6/IS!J6))</f>
        <v>3.1063695099266595</v>
      </c>
      <c r="K58" s="859">
        <f>(K24+K31-K8)/(IS!K17)</f>
        <v>3.33771067438478</v>
      </c>
      <c r="L58" s="865">
        <f>(L24+L31-L8)/(IS!L17*(IS!$P$6/IS!L6))</f>
        <v>2.8640606653620337</v>
      </c>
      <c r="M58" s="865">
        <f>(M24+M31-M8)/(IS!M17*(IS!$P$6/IS!M6))</f>
        <v>2.9543037990533674</v>
      </c>
      <c r="N58" s="865">
        <f>(N24+N31-N8)/(IS!N17*(IS!$P$6/IS!N6))</f>
        <v>3.1073286431807596</v>
      </c>
      <c r="O58" s="865">
        <f>(O24+O31-O8)/(IS!O17*(IS!$P$6/IS!O6))</f>
        <v>2.8193897291364491</v>
      </c>
      <c r="P58" s="859">
        <f>(P24+P31-P8)/(IS!P17)</f>
        <v>2.9274016200506132</v>
      </c>
      <c r="Q58" s="865">
        <f>(Q24+Q31-Q8)/(IS!Q17*(IS!$U$6/IS!Q6))</f>
        <v>2.897414131951789</v>
      </c>
      <c r="R58" s="865">
        <f>(R24+R31-R8)/(IS!R17*(IS!$U$6/IS!R6))</f>
        <v>2.8167460296400719</v>
      </c>
      <c r="S58" s="865">
        <f>(S24+S31-S8)/(IS!S17*(IS!$U$6/IS!S6))</f>
        <v>3.0860623303925929</v>
      </c>
      <c r="T58" s="865">
        <f>(T24+T31-T8)/(IS!T17*(IS!$U$6/IS!T6))</f>
        <v>3.0908933707421364</v>
      </c>
      <c r="U58" s="859">
        <f>(U24+U31-U8)/(IS!U17)</f>
        <v>3.340779294561794</v>
      </c>
      <c r="V58" s="865">
        <f>(V24+V31-V8)/(IS!V17*(IS!$Z$6/IS!V6))</f>
        <v>2.8783662713164602</v>
      </c>
      <c r="W58" s="865">
        <f>(W24+W31-W8)/(IS!W17*(IS!$Z$6/IS!W6))</f>
        <v>2.7741478140501976</v>
      </c>
      <c r="X58" s="865">
        <f>(X24+X31-X8)/(IS!X17*(IS!$Z$6/IS!X6))</f>
        <v>3.6583234862319602</v>
      </c>
      <c r="Y58" s="865">
        <f>(Y24+Y31-Y8)/(IS!Y17*(IS!$Z$6/IS!Y6))</f>
        <v>3.3827937778043475</v>
      </c>
      <c r="Z58" s="859">
        <f>(Z24+Z31-Z8)/(IS!Z17)</f>
        <v>3.5161178795194217</v>
      </c>
      <c r="AA58" s="865">
        <f>(AA24+AA31-AA8)/(IS!AA17*(IS!$AE$6/IS!AA6))</f>
        <v>2.7790287186613152</v>
      </c>
      <c r="AB58" s="865">
        <f>(AB24+AB31-AB8)/(IS!AB17*(IS!$AE$6/IS!AB6))</f>
        <v>2.7424942156734713</v>
      </c>
      <c r="AC58" s="865">
        <f>(AC24+AC31-AC8)/(IS!AC17*(IS!$AE$6/IS!AC6))</f>
        <v>2.9803664159646401</v>
      </c>
      <c r="AD58" s="865">
        <f>(AD24+AD31-AD8)/(IS!AD17*(IS!$AE$6/IS!AD6))</f>
        <v>2.596654811651848</v>
      </c>
      <c r="AE58" s="859">
        <f>(AE24+AE31-AE8)/(IS!AE17)</f>
        <v>2.7357392194430576</v>
      </c>
      <c r="AF58" s="865">
        <f>(AF24+AF31-AF8)/(IS!AF17*(IS!$AJ$6/IS!AF6))</f>
        <v>2.2152567285017599</v>
      </c>
      <c r="AG58" s="865">
        <f>(AG24+AG31-AG8)/(IS!AG17*(IS!$AJ$6/IS!AG6))</f>
        <v>2.6299523557826405</v>
      </c>
      <c r="AH58" s="865">
        <f>(AH24+AH31-AH8)/(IS!AH17*(IS!$AJ$6/IS!AH6))</f>
        <v>4.9696343833217371</v>
      </c>
      <c r="AI58" s="865">
        <f>(AI24+AI31-AI8)/(IS!AI17*(IS!$AJ$6/IS!AI6))</f>
        <v>2.8952407476459712</v>
      </c>
      <c r="AJ58" s="859">
        <f>(AJ24+AJ31-AJ8)/(IS!AJ17)</f>
        <v>3.3225954764293912</v>
      </c>
      <c r="AK58" s="865">
        <f>(AK24+AK31-AK8)/(IS!AK17*(IS!$AO$6/IS!AK6))</f>
        <v>2.6961607472059108</v>
      </c>
      <c r="AL58" s="865">
        <f>(AL24+AL31-AL8)/(IS!AL17*(IS!$AO$6/IS!AL6))</f>
        <v>2.858925679796974</v>
      </c>
      <c r="AM58" s="865">
        <f>(AM24+AM31-AM8)/(IS!AM17*(IS!$AO$6/IS!AM6))</f>
        <v>7.8798154196125783</v>
      </c>
      <c r="AN58" s="865">
        <f>(AN24+AN31-AN8)/(IS!AN17*(IS!$AO$6/IS!AN6))</f>
        <v>12.751664127306581</v>
      </c>
      <c r="AO58" s="859">
        <f>(AO24+AO31-AO8)/(IS!AO17)</f>
        <v>11.07843701807109</v>
      </c>
      <c r="AP58" s="865">
        <f>(AP24+AP31-AP8)/(IS!AP17*(IS!$AT$6/IS!AP6))</f>
        <v>5.8698293686622334</v>
      </c>
      <c r="AQ58" s="865">
        <f>(AQ24+AQ31-AQ8)/(IS!AQ17*(IS!$AT$6/IS!AQ6))</f>
        <v>6.0073108281267427</v>
      </c>
      <c r="AR58" s="865">
        <f>(AR24+AR31-AR8)/(IS!AR17*(IS!$AT$6/IS!AR6))</f>
        <v>5.6138820157984402</v>
      </c>
      <c r="AS58" s="865">
        <f>(AS24+AS31-AS8)/(IS!AS17*(IS!$AT$6/IS!AS6))</f>
        <v>5.759721367132582</v>
      </c>
      <c r="AT58" s="859">
        <f>(AT24+AT31-AT8)/(IS!AT17)</f>
        <v>5.8562234992357336</v>
      </c>
      <c r="AU58" s="865">
        <f>(AU24+AU31-AU8)/(IS!AU17*(IS!$AY$6/IS!AU6))</f>
        <v>5.4124535462107319</v>
      </c>
      <c r="AV58" s="865">
        <f>(AV24+AV31-AV8)/(IS!AV17*(IS!$AY$6/IS!AV6))</f>
        <v>5.3534485983368985</v>
      </c>
      <c r="AW58" s="865">
        <f>(AW24+AW31-AW8)/(IS!AW17*(IS!$AY$6/IS!AW6))</f>
        <v>5.2114294829614503</v>
      </c>
      <c r="AX58" s="865">
        <f>(AX24+AX31-AX8)/(IS!AX17*(IS!$AY$6/IS!AX6))</f>
        <v>5.0261621479733618</v>
      </c>
      <c r="AY58" s="859">
        <f>(AY24+AY31-AY8)/(IS!AY17)</f>
        <v>5.2396475490702752</v>
      </c>
      <c r="AZ58" s="865">
        <f>(AZ24+AZ31-AZ8)/(IS!AZ17*(IS!$BD$6/IS!AZ6))</f>
        <v>4.9360457613717887</v>
      </c>
      <c r="BA58" s="865">
        <f>(BA24+BA31-BA8)/(IS!BA17*(IS!$BD$6/IS!BA6))</f>
        <v>4.8082905505720621</v>
      </c>
      <c r="BB58" s="865">
        <f>(BB24+BB31-BB8)/(IS!BB17*(IS!$BD$6/IS!BB6))</f>
        <v>4.8487411403602625</v>
      </c>
      <c r="BC58" s="865">
        <f>(BC24+BC31-BC8)/(IS!BC17*(IS!$BD$6/IS!BC6))</f>
        <v>4.91085473804291</v>
      </c>
      <c r="BD58" s="859">
        <f>(BD24+BD31-BD8)/(IS!BD17)</f>
        <v>4.9701507507970639</v>
      </c>
      <c r="BE58" s="865">
        <f>(BE24+BE31-BE8)/(IS!BE17*(IS!$BI$6/IS!BE6))</f>
        <v>4.7955806019789309</v>
      </c>
      <c r="BF58" s="865">
        <f>(BF24+BF31-BF8)/(IS!BF17*(IS!$BI$6/IS!BF6))</f>
        <v>4.7949719708097742</v>
      </c>
      <c r="BG58" s="865">
        <f>(BG24+BG31-BG8)/(IS!BG17*(IS!$BI$6/IS!BG6))</f>
        <v>4.8469943750216418</v>
      </c>
      <c r="BH58" s="865">
        <f>(BH24+BH31-BH8)/(IS!BH17*(IS!$BI$6/IS!BH6))</f>
        <v>4.8541067516858352</v>
      </c>
      <c r="BI58" s="859">
        <f>(BI24+BI31-BI8)/(IS!BI17)</f>
        <v>4.8699980166101877</v>
      </c>
      <c r="BJ58" s="865">
        <f>(BJ24+BJ31-BJ8)/(IS!BJ17*(IS!$BN$6/IS!BJ6))</f>
        <v>4.3647580180991925</v>
      </c>
      <c r="BK58" s="865">
        <f>(BK24+BK31-BK8)/(IS!BK17*(IS!$BN$6/IS!BK6))</f>
        <v>4.8732040435016506</v>
      </c>
      <c r="BL58" s="865">
        <f>(BL24+BL31-BL8)/(IS!BL17*(IS!$BN$6/IS!BL6))</f>
        <v>4.9923932486239115</v>
      </c>
      <c r="BM58" s="865">
        <f>(BM24+BM31-BM8)/(IS!BM17*(IS!$BN$6/IS!BM6))</f>
        <v>4.8700773210650068</v>
      </c>
      <c r="BN58" s="859">
        <f>(BN24+BN31-BN8)/(IS!BN17)</f>
        <v>4.7288201264463883</v>
      </c>
      <c r="BO58" s="865">
        <f>(BO24+BO31-BO8)/(IS!BO17*(IS!$BS$6/IS!BO6))</f>
        <v>4.771724249307626</v>
      </c>
      <c r="BP58" s="865">
        <f>(BP24+BP31-BP8)/(IS!BP17*(IS!$BS$6/IS!BP6))</f>
        <v>5.6954417925451937</v>
      </c>
      <c r="BQ58" s="865">
        <f>(BQ24+BQ31-BQ8)/(IS!BQ17*(IS!$BS$6/IS!BQ6))</f>
        <v>5.0896345495740309</v>
      </c>
      <c r="BR58" s="865">
        <f>(BR24+BR31-BR8)/(IS!BR17*(IS!$BS$6/IS!BR6))</f>
        <v>5.1103981125479399</v>
      </c>
      <c r="BS58" s="859">
        <f>(BS24+BS31-BS8)/(IS!BS17)</f>
        <v>5.0530368883066688</v>
      </c>
      <c r="BT58" s="865">
        <f>(BT24+BT31-BT8)/(IS!BT17*(IS!$BX$6/IS!BT6))</f>
        <v>7.6228999741535288</v>
      </c>
      <c r="BU58" s="865">
        <f>(BU24+BU31-BU8)/(IS!BU17*(IS!$BX$6/IS!BU6))</f>
        <v>5.9944329404268872</v>
      </c>
      <c r="BV58" s="865">
        <f>(BV24+BV31-BV8)/(IS!BV17*(IS!$BX$6/IS!BV6))</f>
        <v>5.7249070769739303</v>
      </c>
      <c r="BW58" s="865">
        <f>(BW24+BW31-BW8)/(IS!BW17*(IS!$BX$6/IS!BW6))</f>
        <v>5.3847174657534245</v>
      </c>
      <c r="BX58" s="859">
        <f>(BX24+BX31-BX8)/(IS!BX17)</f>
        <v>6.0203209223306304</v>
      </c>
      <c r="BY58" s="865">
        <f>(BY24+BY31-BY8)/(IS!BY17*(IS!$CC$6/IS!BY6))</f>
        <v>5.8739648083555807</v>
      </c>
      <c r="BZ58" s="865">
        <f>(BZ24+BZ31-BZ8)/(IS!BZ17*(IS!$CC$6/IS!BZ6))</f>
        <v>5.6204880604835692</v>
      </c>
      <c r="CA58" s="865">
        <f>(CA24+CA31-CA8)/(IS!CA17*(IS!$CC$6/IS!CA6))</f>
        <v>6.5877419769760106</v>
      </c>
      <c r="CB58" s="865">
        <f>(CB24+CB31-CB8)/(IS!CB17*(IS!$CC$6/IS!CB6))</f>
        <v>8.3689138172796884</v>
      </c>
      <c r="CC58" s="859">
        <f>(CC24+CC31-CC8)/(IS!CC17)</f>
        <v>6.5325329202168865</v>
      </c>
      <c r="CD58" s="865">
        <f>(CD24+CD31-CD8)/(IS!CD17*(IS!$CC$6/IS!CD6))</f>
        <v>7.0469409477971121</v>
      </c>
      <c r="CE58" s="865">
        <f>(CE24+CE31-CE8)/(IS!CE17*(IS!$CC$6/IS!CE6))</f>
        <v>6.8801725012683912</v>
      </c>
      <c r="CF58" s="865">
        <f>(CF24+CF31-CF8)/(IS!CF17*(IS!$CC$6/IS!CF6))</f>
        <v>8.3227397260273968</v>
      </c>
      <c r="CG58" s="865">
        <f>(CG24+CG31-CG8)/(IS!CG17*(IS!$CC$6/IS!CG6))</f>
        <v>11.256947162426615</v>
      </c>
      <c r="CH58" s="859">
        <f>(CH24+CH31-CH8)/(IS!CH17)</f>
        <v>7.7831950207468878</v>
      </c>
      <c r="CI58" s="865">
        <f>(CI24+CI31-CI8)/CI60</f>
        <v>9.1284236153377964</v>
      </c>
      <c r="CJ58" s="865">
        <f t="shared" ref="CJ58:CL58" si="266">(CJ24+CJ31-CJ8)/CJ60</f>
        <v>9.2034233048057938</v>
      </c>
      <c r="CK58" s="865">
        <f t="shared" si="266"/>
        <v>9.618876080691642</v>
      </c>
      <c r="CL58" s="865">
        <f t="shared" si="266"/>
        <v>15.57759626604434</v>
      </c>
      <c r="CM58" s="859">
        <f>(CM24+CM31-CM8)/(IS!CM17)</f>
        <v>15.57759626604434</v>
      </c>
      <c r="CN58" s="865">
        <f ca="1">(CN24+CN31-CN8)/(IS!CN17*(IS!$CC$6/IS!CN6))</f>
        <v>7.6527064933675311</v>
      </c>
      <c r="CO58" s="865">
        <f ca="1">(CO24+CO31-CO8)/(IS!CO17*(IS!$CC$6/IS!CO6))</f>
        <v>8.1715368270577464</v>
      </c>
      <c r="CP58" s="865">
        <f ca="1">(CP24+CP31-CP8)/(IS!CP17*(IS!$CC$6/IS!CP6))</f>
        <v>8.9274373795092483</v>
      </c>
      <c r="CQ58" s="865">
        <f ca="1">(CQ24+CQ31-CQ8)/(IS!CQ17*(IS!$CC$6/IS!CQ6))</f>
        <v>7.6001588136030209</v>
      </c>
      <c r="CR58" s="859">
        <f ca="1">(CR24+CR31-CR8)/(IS!CR17)</f>
        <v>7.7614502129827692</v>
      </c>
      <c r="CS58" s="865">
        <f ca="1">(CS24+CS31-CS8)/(IS!CS17*(IS!$CC$6/IS!CS6))</f>
        <v>7.8089905997279381</v>
      </c>
      <c r="CT58" s="865">
        <f ca="1">(CT24+CT31-CT8)/(IS!CT17*(IS!$CC$6/IS!CT6))</f>
        <v>7.6167982713016489</v>
      </c>
      <c r="CU58" s="865">
        <f ca="1">(CU24+CU31-CU8)/(IS!CU17*(IS!$CC$6/IS!CU6))</f>
        <v>7.4627675178848367</v>
      </c>
      <c r="CV58" s="865">
        <f ca="1">(CV24+CV31-CV8)/(IS!CV17*(IS!$CC$6/IS!CV6))</f>
        <v>6.8495415350584077</v>
      </c>
      <c r="CW58" s="859">
        <f ca="1">(CW24+CW31-CW8)/(IS!CW17)</f>
        <v>7.1501405137901735</v>
      </c>
      <c r="CX58" s="865">
        <f ca="1">(CX24+CX31-CX8)/(IS!CX17*(IS!$CC$6/IS!CX6))</f>
        <v>7.565230993275124</v>
      </c>
      <c r="CY58" s="865">
        <f ca="1">(CY24+CY31-CY8)/(IS!CY17*(IS!$CC$6/IS!CY6))</f>
        <v>7.3855907222969321</v>
      </c>
      <c r="CZ58" s="865">
        <f ca="1">(CZ24+CZ31-CZ8)/(IS!CZ17*(IS!$CC$6/IS!CZ6))</f>
        <v>7.7492332300690716</v>
      </c>
      <c r="DA58" s="865">
        <f ca="1">(DA24+DA31-DA8)/(IS!DA17*(IS!$CC$6/IS!DA6))</f>
        <v>6.9925578575435123</v>
      </c>
      <c r="DB58" s="859">
        <f ca="1">(DB24+DB31-DB8)/(IS!DB17)</f>
        <v>7.4290462454698334</v>
      </c>
      <c r="DC58" s="9"/>
    </row>
    <row r="59" spans="1:113" hidden="1" outlineLevel="1">
      <c r="A59" s="1"/>
      <c r="B59" s="264" t="s">
        <v>443</v>
      </c>
      <c r="C59" s="860"/>
      <c r="D59" s="890"/>
      <c r="E59" s="859">
        <f>(E24+E31-E8)/(IS!E54)</f>
        <v>7.6527826822038909</v>
      </c>
      <c r="F59" s="859">
        <f>(F24+F31-F8)/(IS!F54)</f>
        <v>4.7689407128386954</v>
      </c>
      <c r="G59" s="865">
        <f>(G24+G31-G8)/(IS!G54*(IS!$K$6/IS!G6))</f>
        <v>3.8257290519912392</v>
      </c>
      <c r="H59" s="865">
        <f>(H24+H31-H8)/(IS!H54*(IS!$K$6/IS!H6))</f>
        <v>4.1038077478991895</v>
      </c>
      <c r="I59" s="865">
        <f>(I24+I31-I8)/(IS!I54*(IS!$K$6/IS!I6))</f>
        <v>4.2087525708294269</v>
      </c>
      <c r="J59" s="865">
        <f>(J24+J31-J8)/(IS!J54*(IS!$K$6/IS!J6))</f>
        <v>3.1063695099266595</v>
      </c>
      <c r="K59" s="859">
        <f>(K24+K31-K8)/(IS!K54)</f>
        <v>3.3377106743847795</v>
      </c>
      <c r="L59" s="865">
        <f>(L24+L31-L8)/(IS!L54*(IS!$P$6/IS!L6))</f>
        <v>2.8640606653620337</v>
      </c>
      <c r="M59" s="865">
        <f>(M24+M31-M8)/(IS!M54*(IS!$P$6/IS!M6))</f>
        <v>2.9543037990533674</v>
      </c>
      <c r="N59" s="865">
        <f>(N24+N31-N8)/(IS!N54*(IS!$P$6/IS!N6))</f>
        <v>3.1073286431807596</v>
      </c>
      <c r="O59" s="865">
        <f>(O24+O31-O8)/(IS!O54*(IS!$P$6/IS!O6))</f>
        <v>2.8193897291364491</v>
      </c>
      <c r="P59" s="859">
        <f>(P24+P31-P8)/(IS!P54)</f>
        <v>2.9274016200506123</v>
      </c>
      <c r="Q59" s="865">
        <f>(Q24+Q31-Q8)/(IS!Q54*(IS!$U$6/IS!Q6))</f>
        <v>2.897414131951789</v>
      </c>
      <c r="R59" s="865">
        <f>(R24+R31-R8)/(IS!R54*(IS!$U$6/IS!R6))</f>
        <v>2.8167460296400719</v>
      </c>
      <c r="S59" s="865">
        <f>(S24+S31-S8)/(IS!S54*(IS!$U$6/IS!S6))</f>
        <v>3.0860623303925929</v>
      </c>
      <c r="T59" s="865">
        <f>(T24+T31-T8)/(IS!T54*(IS!$U$6/IS!T6))</f>
        <v>3.0908933707421364</v>
      </c>
      <c r="U59" s="859">
        <f>(U24+U31-U8)/(IS!U54)</f>
        <v>3.3407792945617967</v>
      </c>
      <c r="V59" s="865">
        <f>(V24+V31-V8)/(IS!V54*(IS!$Z$6/IS!V6))</f>
        <v>2.8783662713164602</v>
      </c>
      <c r="W59" s="865">
        <f>(W24+W31-W8)/(IS!W54*(IS!$Z$6/IS!W6))</f>
        <v>2.7741478140501976</v>
      </c>
      <c r="X59" s="865">
        <f>(X24+X31-X8)/(IS!X54*(IS!$Z$6/IS!X6))</f>
        <v>3.6583234862319602</v>
      </c>
      <c r="Y59" s="865">
        <f>(Y24+Y31-Y8)/(IS!Y54*(IS!$Z$6/IS!Y6))</f>
        <v>3.3827937778043475</v>
      </c>
      <c r="Z59" s="859">
        <f>(Z24+Z31-Z8)/(IS!Z54)</f>
        <v>3.5161178795194274</v>
      </c>
      <c r="AA59" s="865">
        <f>(AA24+AA31-AA8)/(IS!AA54*(IS!$AE$6/IS!AA6))</f>
        <v>2.7790287186613152</v>
      </c>
      <c r="AB59" s="865">
        <f>(AB24+AB31-AB8)/(IS!AB54*(IS!$AE$6/IS!AB6))</f>
        <v>2.7424942156734713</v>
      </c>
      <c r="AC59" s="865">
        <f>(AC24+AC31-AC8)/(IS!AC54*(IS!$AE$6/IS!AC6))</f>
        <v>2.9803664159646401</v>
      </c>
      <c r="AD59" s="865">
        <f>(AD24+AD31-AD8)/(IS!AD54*(IS!$AE$6/IS!AD6))</f>
        <v>2.596654811651848</v>
      </c>
      <c r="AE59" s="859">
        <f>(AE24+AE31-AE8)/(IS!AE54)</f>
        <v>2.7357392194430599</v>
      </c>
      <c r="AF59" s="865">
        <f>(AF24+AF31-AF8)/(IS!AF54*(IS!$AJ$6/IS!AF6))</f>
        <v>2.2152567285017599</v>
      </c>
      <c r="AG59" s="865">
        <f>(AG24+AG31-AG8)/(IS!AG54*(IS!$AJ$6/IS!AG6))</f>
        <v>2.6299523557826405</v>
      </c>
      <c r="AH59" s="865">
        <f>(AH24+AH31-AH8)/(IS!AH54*(IS!$AJ$6/IS!AH6))</f>
        <v>4.9696343833217371</v>
      </c>
      <c r="AI59" s="865">
        <f>(AI24+AI31-AI8)/(IS!AI54*(IS!$AJ$6/IS!AI6))</f>
        <v>2.8952407476459712</v>
      </c>
      <c r="AJ59" s="859">
        <f>(AJ24+AJ31-AJ8)/(IS!AJ54)</f>
        <v>3.3225954764293926</v>
      </c>
      <c r="AK59" s="865">
        <f>(AK24+AK31-AK8)/(IS!AK54*(IS!$AO$6/IS!AK6))</f>
        <v>2.6961607472059108</v>
      </c>
      <c r="AL59" s="865">
        <f>(AL24+AL31-AL8)/(IS!AL54*(IS!$AO$6/IS!AL6))</f>
        <v>2.858925679796974</v>
      </c>
      <c r="AM59" s="865">
        <f>(AM24+AM31-AM8)/(IS!AM54*(IS!$AO$6/IS!AM6))</f>
        <v>7.5085535377501635</v>
      </c>
      <c r="AN59" s="865">
        <f>(AN24+AN31-AN8)/(IS!AN54*(IS!$AO$6/IS!AN6))</f>
        <v>12.016092907507254</v>
      </c>
      <c r="AO59" s="859">
        <f>(AO24+AO31-AO8)/(IS!AO54)</f>
        <v>10.74449065196548</v>
      </c>
      <c r="AP59" s="865">
        <f>(AP24+AP31-AP8)/(IS!AP54*(IS!$AT$6/IS!AP6))</f>
        <v>5.672450027179428</v>
      </c>
      <c r="AQ59" s="865">
        <f>(AQ24+AQ31-AQ8)/(IS!AQ54*(IS!$AT$6/IS!AQ6))</f>
        <v>5.8360198886439534</v>
      </c>
      <c r="AR59" s="865">
        <f>(AR24+AR31-AR8)/(IS!AR54*(IS!$AT$6/IS!AR6))</f>
        <v>5.4895011798857176</v>
      </c>
      <c r="AS59" s="865">
        <f>(AS24+AS31-AS8)/(IS!AS54*(IS!$AT$6/IS!AS6))</f>
        <v>5.6129599218623678</v>
      </c>
      <c r="AT59" s="859">
        <f>(AT24+AT31-AT8)/(IS!AT54)</f>
        <v>5.695812139851907</v>
      </c>
      <c r="AU59" s="865">
        <f>(AU24+AU31-AU8)/(IS!AU54*(IS!$AY$6/IS!AU6))</f>
        <v>5.2392010681858494</v>
      </c>
      <c r="AV59" s="865">
        <f>(AV24+AV31-AV8)/(IS!AV54*(IS!$AY$6/IS!AV6))</f>
        <v>5.2016808493030062</v>
      </c>
      <c r="AW59" s="865">
        <f>(AW24+AW31-AW8)/(IS!AW54*(IS!$AY$6/IS!AW6))</f>
        <v>5.1241081327131104</v>
      </c>
      <c r="AX59" s="865">
        <f>(AX24+AX31-AX8)/(IS!AX54*(IS!$AY$6/IS!AX6))</f>
        <v>4.9703957334739899</v>
      </c>
      <c r="AY59" s="859">
        <f>(AY24+AY31-AY8)/(IS!AY54)</f>
        <v>5.1251571965821778</v>
      </c>
      <c r="AZ59" s="865">
        <f>(AZ24+AZ31-AZ8)/(IS!AZ54*(IS!$BD$6/IS!AZ6))</f>
        <v>4.7926394480167724</v>
      </c>
      <c r="BA59" s="865">
        <f>(BA24+BA31-BA8)/(IS!BA54*(IS!$BD$6/IS!BA6))</f>
        <v>4.6891819247204394</v>
      </c>
      <c r="BB59" s="865">
        <f>(BB24+BB31-BB8)/(IS!BB54*(IS!$BD$6/IS!BB6))</f>
        <v>4.7440173027227734</v>
      </c>
      <c r="BC59" s="865">
        <f>(BC24+BC31-BC8)/(IS!BC54*(IS!$BD$6/IS!BC6))</f>
        <v>4.7769648762213439</v>
      </c>
      <c r="BD59" s="859">
        <f>(BD24+BD31-BD8)/(IS!BD54)</f>
        <v>4.8425922735240485</v>
      </c>
      <c r="BE59" s="865">
        <f>(BE24+BE31-BE8)/(IS!BE54*(IS!$BI$6/IS!BE6))</f>
        <v>4.6064784463150845</v>
      </c>
      <c r="BF59" s="865">
        <f>(BF24+BF31-BF8)/(IS!BF54*(IS!$BI$6/IS!BF6))</f>
        <v>4.670332010755132</v>
      </c>
      <c r="BG59" s="865">
        <f>(BG24+BG31-BG8)/(IS!BG54*(IS!$BI$6/IS!BG6))</f>
        <v>4.7594194665100087</v>
      </c>
      <c r="BH59" s="865">
        <f>(BH24+BH31-BH8)/(IS!BH54*(IS!$BI$6/IS!BH6))</f>
        <v>4.7374449929701647</v>
      </c>
      <c r="BI59" s="859">
        <f>(BI24+BI31-BI8)/(IS!BI54)</f>
        <v>4.7389727469239151</v>
      </c>
      <c r="BJ59" s="865">
        <f>(BJ24+BJ31-BJ8)/(IS!BJ54*(IS!$BN$6/IS!BJ6))</f>
        <v>4.2668414398465</v>
      </c>
      <c r="BK59" s="865">
        <f>(BK24+BK31-BK8)/(IS!BK54*(IS!$BN$6/IS!BK6))</f>
        <v>4.7402408883032932</v>
      </c>
      <c r="BL59" s="865">
        <f>(BL24+BL31-BL8)/(IS!BL54*(IS!$BN$6/IS!BL6))</f>
        <v>4.9147855899944588</v>
      </c>
      <c r="BM59" s="865">
        <f>(BM24+BM31-BM8)/(IS!BM54*(IS!$BN$6/IS!BM6))</f>
        <v>4.7748733491296536</v>
      </c>
      <c r="BN59" s="859">
        <f>(BN24+BN31-BN8)/(IS!BN54)</f>
        <v>4.628317022422344</v>
      </c>
      <c r="BO59" s="865">
        <f>(BO24+BO31-BO8)/(IS!BO54*(IS!$BS$6/IS!BO6))</f>
        <v>4.6202130253229194</v>
      </c>
      <c r="BP59" s="865">
        <f>(BP24+BP31-BP8)/(IS!BP54*(IS!$BS$6/IS!BP6))</f>
        <v>5.5709544171684016</v>
      </c>
      <c r="BQ59" s="865">
        <f>(BQ24+BQ31-BQ8)/(IS!BQ54*(IS!$BS$6/IS!BQ6))</f>
        <v>4.9655306644614621</v>
      </c>
      <c r="BR59" s="865">
        <f>(BR24+BR31-BR8)/(IS!BR54*(IS!$BS$6/IS!BR6))</f>
        <v>5.0398825434373826</v>
      </c>
      <c r="BS59" s="859">
        <f>(BS24+BS31-BS8)/(IS!BS54)</f>
        <v>4.935908705198309</v>
      </c>
      <c r="BT59" s="865">
        <f>(BT24+BT31-BT8)/(IS!BT54*(IS!$BX$6/IS!BT6))</f>
        <v>7.4679057048084463</v>
      </c>
      <c r="BU59" s="865">
        <f>(BU24+BU31-BU8)/(IS!BU54*(IS!$BX$6/IS!BU6))</f>
        <v>5.9000999470868365</v>
      </c>
      <c r="BV59" s="865">
        <f>(BV24+BV31-BV8)/(IS!BV54*(IS!$BX$6/IS!BV6))</f>
        <v>5.6334634083545438</v>
      </c>
      <c r="BW59" s="865">
        <f>(BW24+BW31-BW8)/(IS!BW54*(IS!$BX$6/IS!BW6))</f>
        <v>5.2883158742949234</v>
      </c>
      <c r="BX59" s="859">
        <f>(BX24+BX31-BX8)/(IS!BX54)</f>
        <v>5.9161206806405424</v>
      </c>
      <c r="BY59" s="865">
        <f>(BY24+BY31-BY8)/(IS!BY54*(IS!$CC$6/IS!BY6))</f>
        <v>5.775380783599962</v>
      </c>
      <c r="BZ59" s="865">
        <f>(BZ24+BZ31-BZ8)/(IS!BZ54*(IS!$CC$6/IS!BZ6))</f>
        <v>5.3500614567932026</v>
      </c>
      <c r="CA59" s="865">
        <f>(CA24+CA31-CA8)/(IS!CA54*(IS!$CC$6/IS!CA6))</f>
        <v>6.3684827886349034</v>
      </c>
      <c r="CB59" s="865">
        <f>(CB24+CB31-CB8)/(IS!CB54*(IS!$CC$6/IS!CB6))</f>
        <v>8.0671882716851648</v>
      </c>
      <c r="CC59" s="859">
        <f>(CC24+CC31-CC8)/(IS!CC54)</f>
        <v>6.3125</v>
      </c>
      <c r="CD59" s="865">
        <f>(CD24+CD31-CD8)/(IS!CD54*(IS!$CC$6/IS!CD6))</f>
        <v>6.5905040143694951</v>
      </c>
      <c r="CE59" s="865">
        <f>(CE24+CE31-CE8)/(IS!CE54*(IS!$CC$6/IS!CE6))</f>
        <v>6.5990997347867344</v>
      </c>
      <c r="CF59" s="865">
        <f>(CF24+CF31-CF8)/(IS!CF54*(IS!$CC$6/IS!CF6))</f>
        <v>8.23324790101635</v>
      </c>
      <c r="CG59" s="865">
        <f>(CG24+CG31-CG8)/(IS!CG54*(IS!$CC$6/IS!CG6))</f>
        <v>6.7062663946371321</v>
      </c>
      <c r="CH59" s="859">
        <f>(CH24+CH31-CH8)/(IS!CH54)</f>
        <v>6.7442696629213481</v>
      </c>
      <c r="CI59" s="865">
        <f>(CI24+CI31-CI8)/CI61</f>
        <v>7.0778669183577163</v>
      </c>
      <c r="CJ59" s="865">
        <f t="shared" ref="CJ59:CL59" si="267">(CJ24+CJ31-CJ8)/CJ61</f>
        <v>7.0215971873430441</v>
      </c>
      <c r="CK59" s="865">
        <f t="shared" si="267"/>
        <v>7.1895530425417338</v>
      </c>
      <c r="CL59" s="865">
        <f t="shared" si="267"/>
        <v>7.843713278495887</v>
      </c>
      <c r="CM59" s="859">
        <f>(CM24+CM31-CM8)/(IS!CM54)</f>
        <v>7.843713278495887</v>
      </c>
      <c r="CN59" s="865">
        <f ca="1">(CN24+CN31-CN8)/(IS!CN54*(IS!$CC$6/IS!CN6))</f>
        <v>7.6527064933675311</v>
      </c>
      <c r="CO59" s="865">
        <f ca="1">(CO24+CO31-CO8)/(IS!CO54*(IS!$CC$6/IS!CO6))</f>
        <v>8.1715368270577464</v>
      </c>
      <c r="CP59" s="865">
        <f ca="1">(CP24+CP31-CP8)/(IS!CP54*(IS!$CC$6/IS!CP6))</f>
        <v>8.8505045789043795</v>
      </c>
      <c r="CQ59" s="865">
        <f ca="1">(CQ24+CQ31-CQ8)/(IS!CQ54*(IS!$CC$6/IS!CQ6))</f>
        <v>7.5434756076021952</v>
      </c>
      <c r="CR59" s="859">
        <f ca="1">(CR24+CR31-CR8)/(IS!CR54)</f>
        <v>7.7315417436062415</v>
      </c>
      <c r="CS59" s="865">
        <f ca="1">(CS24+CS31-CS8)/(IS!CS54*(IS!$CC$6/IS!CS6))</f>
        <v>7.6459100104887519</v>
      </c>
      <c r="CT59" s="865">
        <f ca="1">(CT24+CT31-CT8)/(IS!CT54*(IS!$CC$6/IS!CT6))</f>
        <v>7.6167982713016489</v>
      </c>
      <c r="CU59" s="865">
        <f ca="1">(CU24+CU31-CU8)/(IS!CU54*(IS!$CC$6/IS!CU6))</f>
        <v>7.4627675178848367</v>
      </c>
      <c r="CV59" s="865">
        <f ca="1">(CV24+CV31-CV8)/(IS!CV54*(IS!$CC$6/IS!CV6))</f>
        <v>6.8495415350584077</v>
      </c>
      <c r="CW59" s="859">
        <f ca="1">(CW24+CW31-CW8)/(IS!CW54)</f>
        <v>7.1130743275346946</v>
      </c>
      <c r="CX59" s="865">
        <f ca="1">(CX24+CX31-CX8)/(IS!CX54*(IS!$CC$6/IS!CX6))</f>
        <v>7.4068596831504241</v>
      </c>
      <c r="CY59" s="865">
        <f ca="1">(CY24+CY31-CY8)/(IS!CY54*(IS!$CC$6/IS!CY6))</f>
        <v>7.3855907222969321</v>
      </c>
      <c r="CZ59" s="865">
        <f ca="1">(CZ24+CZ31-CZ8)/(IS!CZ54*(IS!$CC$6/IS!CZ6))</f>
        <v>7.7492332300690716</v>
      </c>
      <c r="DA59" s="865">
        <f ca="1">(DA24+DA31-DA8)/(IS!DA54*(IS!$CC$6/IS!DA6))</f>
        <v>6.9925578575435123</v>
      </c>
      <c r="DB59" s="859">
        <f ca="1">(DB24+DB31-DB8)/(IS!DB54)</f>
        <v>7.3902735317121531</v>
      </c>
      <c r="DC59" s="9"/>
    </row>
    <row r="60" spans="1:113" s="725" customFormat="1" ht="12.75" hidden="1" customHeight="1" outlineLevel="1">
      <c r="A60" s="1107"/>
      <c r="B60" s="1108" t="s">
        <v>646</v>
      </c>
      <c r="C60" s="1109"/>
      <c r="D60" s="1110"/>
      <c r="E60" s="1111"/>
      <c r="F60" s="1111"/>
      <c r="G60" s="1112"/>
      <c r="H60" s="1112"/>
      <c r="I60" s="1112"/>
      <c r="J60" s="1112"/>
      <c r="K60" s="1111"/>
      <c r="L60" s="1112"/>
      <c r="M60" s="1112"/>
      <c r="N60" s="1112"/>
      <c r="O60" s="1112"/>
      <c r="P60" s="1111"/>
      <c r="Q60" s="1112"/>
      <c r="R60" s="1112"/>
      <c r="S60" s="1112"/>
      <c r="T60" s="1112"/>
      <c r="U60" s="1111"/>
      <c r="V60" s="1112"/>
      <c r="W60" s="1112"/>
      <c r="X60" s="1112"/>
      <c r="Y60" s="1112"/>
      <c r="Z60" s="1111"/>
      <c r="AA60" s="1112"/>
      <c r="AB60" s="1112"/>
      <c r="AC60" s="1112"/>
      <c r="AD60" s="1112"/>
      <c r="AE60" s="1111"/>
      <c r="AF60" s="1112"/>
      <c r="AG60" s="1112"/>
      <c r="AH60" s="1112"/>
      <c r="AI60" s="1112"/>
      <c r="AJ60" s="1111"/>
      <c r="AK60" s="1112"/>
      <c r="AL60" s="1112"/>
      <c r="AM60" s="1112"/>
      <c r="AN60" s="1112"/>
      <c r="AO60" s="1111"/>
      <c r="AP60" s="1112"/>
      <c r="AQ60" s="1112"/>
      <c r="AR60" s="1112"/>
      <c r="AS60" s="1112"/>
      <c r="AT60" s="1111"/>
      <c r="AU60" s="1112"/>
      <c r="AV60" s="1112"/>
      <c r="AW60" s="1112"/>
      <c r="AX60" s="1112"/>
      <c r="AY60" s="1111"/>
      <c r="AZ60" s="1112"/>
      <c r="BA60" s="1112"/>
      <c r="BB60" s="1112"/>
      <c r="BC60" s="1112"/>
      <c r="BD60" s="1111"/>
      <c r="BE60" s="1112"/>
      <c r="BF60" s="1112"/>
      <c r="BG60" s="1112"/>
      <c r="BH60" s="1112"/>
      <c r="BI60" s="1111"/>
      <c r="BJ60" s="1112"/>
      <c r="BK60" s="1112"/>
      <c r="BL60" s="1112"/>
      <c r="BM60" s="1112"/>
      <c r="BN60" s="1111"/>
      <c r="BO60" s="1112"/>
      <c r="BP60" s="1112"/>
      <c r="BQ60" s="1112"/>
      <c r="BR60" s="1112"/>
      <c r="BS60" s="1111"/>
      <c r="BT60" s="1112"/>
      <c r="BU60" s="1112"/>
      <c r="BV60" s="1112"/>
      <c r="BW60" s="1112"/>
      <c r="BX60" s="1111"/>
      <c r="BY60" s="1112"/>
      <c r="BZ60" s="1112"/>
      <c r="CA60" s="1112"/>
      <c r="CB60" s="1112"/>
      <c r="CC60" s="1111"/>
      <c r="CD60" s="1112"/>
      <c r="CE60" s="1112"/>
      <c r="CF60" s="1112"/>
      <c r="CG60" s="1112"/>
      <c r="CH60" s="1111"/>
      <c r="CI60" s="1113">
        <f>IS!CI17+IS!CG17+IS!CF17+IS!CE17</f>
        <v>1643</v>
      </c>
      <c r="CJ60" s="1113">
        <f>IS!CJ17+IS!CI17+IS!CG17+IS!CF17</f>
        <v>1519</v>
      </c>
      <c r="CK60" s="1113">
        <f>IS!CK17+IS!CJ17+IS!CI17+IS!CG17</f>
        <v>1388</v>
      </c>
      <c r="CL60" s="1113">
        <f>IS!CL17+IS!CK17+IS!CJ17+IS!CI17</f>
        <v>857</v>
      </c>
      <c r="CM60" s="1114">
        <f>CL60</f>
        <v>857</v>
      </c>
      <c r="CN60" s="1113">
        <f ca="1">IS!CN17+IS!CL17+IS!CK17+IS!CJ17</f>
        <v>972.2510527919535</v>
      </c>
      <c r="CO60" s="1113">
        <f ca="1">IS!CO17+IS!CN17+IS!CL17+IS!CK17</f>
        <v>940.67060814122624</v>
      </c>
      <c r="CP60" s="1113">
        <f ca="1">IS!CP17+IS!CO17+IS!CN17+IS!CL17</f>
        <v>956.79666007170772</v>
      </c>
      <c r="CQ60" s="1113">
        <f ca="1">IS!CQ17+IS!CP17+IS!CO17+IS!CN17</f>
        <v>1551.0406058442377</v>
      </c>
      <c r="CR60" s="1114">
        <f ca="1">CQ60</f>
        <v>1551.0406058442377</v>
      </c>
      <c r="CS60" s="1113">
        <f ca="1">IS!CS17+IS!CQ17+IS!CP17+IS!CO17</f>
        <v>1503.8634988190465</v>
      </c>
      <c r="CT60" s="1113">
        <f ca="1">IS!CT17+IS!CS17+IS!CQ17+IS!CP17</f>
        <v>1494.5762540012556</v>
      </c>
      <c r="CU60" s="1113">
        <f ca="1">IS!CU17+IS!CT17+IS!CS17+IS!CQ17</f>
        <v>1530.5191786783257</v>
      </c>
      <c r="CV60" s="1113">
        <f ca="1">IS!CV17+IS!CU17+IS!CT17+IS!CS17</f>
        <v>1535.2157955515049</v>
      </c>
      <c r="CW60" s="1114">
        <f ca="1">CV60</f>
        <v>1535.2157955515049</v>
      </c>
      <c r="CX60" s="1113">
        <f ca="1">IS!CX17+IS!CV17+IS!CU17+IS!CT17</f>
        <v>1534.2934396058213</v>
      </c>
      <c r="CY60" s="1113">
        <f ca="1">IS!CY17+IS!CX17+IS!CV17+IS!CU17</f>
        <v>1539.4877144034576</v>
      </c>
      <c r="CZ60" s="1113">
        <f ca="1">IS!CZ17+IS!CY17+IS!CX17+IS!CV17</f>
        <v>1520.4459790234382</v>
      </c>
      <c r="DA60" s="1113">
        <f ca="1">IS!DA17+IS!CZ17+IS!CY17+IS!CX17</f>
        <v>1524.8400878822408</v>
      </c>
      <c r="DB60" s="1114">
        <f ca="1">DA60</f>
        <v>1524.8400878822408</v>
      </c>
      <c r="DC60" s="1107"/>
      <c r="DD60"/>
      <c r="DE60"/>
      <c r="DF60"/>
      <c r="DG60"/>
      <c r="DH60"/>
      <c r="DI60"/>
    </row>
    <row r="61" spans="1:113" s="725" customFormat="1" ht="12.75" hidden="1" customHeight="1" outlineLevel="1">
      <c r="A61" s="1107"/>
      <c r="B61" s="1108" t="s">
        <v>647</v>
      </c>
      <c r="C61" s="1115"/>
      <c r="D61" s="1116"/>
      <c r="E61" s="1117"/>
      <c r="F61" s="1117"/>
      <c r="G61" s="1118"/>
      <c r="H61" s="1118"/>
      <c r="I61" s="1118"/>
      <c r="J61" s="1118"/>
      <c r="K61" s="1119"/>
      <c r="L61" s="1118"/>
      <c r="M61" s="1118"/>
      <c r="N61" s="1118"/>
      <c r="O61" s="1118"/>
      <c r="P61" s="1119"/>
      <c r="Q61" s="1118"/>
      <c r="R61" s="1118"/>
      <c r="S61" s="1118"/>
      <c r="T61" s="1118"/>
      <c r="U61" s="1119"/>
      <c r="V61" s="1118"/>
      <c r="W61" s="1118"/>
      <c r="X61" s="1118"/>
      <c r="Y61" s="1118"/>
      <c r="Z61" s="1119"/>
      <c r="AA61" s="1118"/>
      <c r="AB61" s="1118"/>
      <c r="AC61" s="1118"/>
      <c r="AD61" s="1118"/>
      <c r="AE61" s="1119"/>
      <c r="AF61" s="1118"/>
      <c r="AG61" s="1118"/>
      <c r="AH61" s="1118"/>
      <c r="AI61" s="1118"/>
      <c r="AJ61" s="1119"/>
      <c r="AK61" s="1118"/>
      <c r="AL61" s="1118"/>
      <c r="AM61" s="1118"/>
      <c r="AN61" s="1118"/>
      <c r="AO61" s="1119"/>
      <c r="AP61" s="1118"/>
      <c r="AQ61" s="1118"/>
      <c r="AR61" s="1118"/>
      <c r="AS61" s="1118"/>
      <c r="AT61" s="1119"/>
      <c r="AU61" s="1118"/>
      <c r="AV61" s="1118"/>
      <c r="AW61" s="1118"/>
      <c r="AX61" s="1118"/>
      <c r="AY61" s="1119"/>
      <c r="AZ61" s="1118"/>
      <c r="BA61" s="1118"/>
      <c r="BB61" s="1118"/>
      <c r="BC61" s="1118"/>
      <c r="BD61" s="1119"/>
      <c r="BE61" s="1118"/>
      <c r="BF61" s="1118"/>
      <c r="BG61" s="1118"/>
      <c r="BH61" s="1118"/>
      <c r="BI61" s="1119"/>
      <c r="BJ61" s="1118"/>
      <c r="BK61" s="1118"/>
      <c r="BL61" s="1118"/>
      <c r="BM61" s="1118"/>
      <c r="BN61" s="1119"/>
      <c r="BO61" s="1118"/>
      <c r="BP61" s="1118"/>
      <c r="BQ61" s="1118"/>
      <c r="BR61" s="1118"/>
      <c r="BS61" s="1119"/>
      <c r="BT61" s="1118"/>
      <c r="BU61" s="1118"/>
      <c r="BV61" s="1118"/>
      <c r="BW61" s="1118"/>
      <c r="BX61" s="1119"/>
      <c r="BY61" s="1118"/>
      <c r="BZ61" s="1118"/>
      <c r="CA61" s="1118"/>
      <c r="CB61" s="1118"/>
      <c r="CC61" s="1119"/>
      <c r="CD61" s="1118"/>
      <c r="CE61" s="1118"/>
      <c r="CF61" s="1118"/>
      <c r="CG61" s="1118"/>
      <c r="CH61" s="1119"/>
      <c r="CI61" s="1113">
        <f>IS!CI54+IS!CG54+IS!CF54+IS!CE54</f>
        <v>2119</v>
      </c>
      <c r="CJ61" s="1113">
        <f>IS!CJ54+IS!CI54+IS!CG54+IS!CF54</f>
        <v>1991</v>
      </c>
      <c r="CK61" s="1113">
        <f>IS!CK54+IS!CJ54+IS!CI54+IS!CG54</f>
        <v>1857</v>
      </c>
      <c r="CL61" s="1113">
        <f>IS!CL54+IS!CK54+IS!CJ54+IS!CI54</f>
        <v>1702</v>
      </c>
      <c r="CM61" s="1114">
        <f>CL61</f>
        <v>1702</v>
      </c>
      <c r="CN61" s="1113">
        <f ca="1">IS!CN54+IS!CL54+IS!CK54+IS!CJ54</f>
        <v>1597.2510527919535</v>
      </c>
      <c r="CO61" s="1113">
        <f ca="1">IS!CO54+IS!CN54+IS!CL54+IS!CK54</f>
        <v>1546.6706081412262</v>
      </c>
      <c r="CP61" s="1113">
        <f ca="1">IS!CP54+IS!CO54+IS!CN54+IS!CL54</f>
        <v>1563.7966600717077</v>
      </c>
      <c r="CQ61" s="1113">
        <f ca="1">IS!CQ54+IS!CP54+IS!CO54+IS!CN54</f>
        <v>1557.0406058442377</v>
      </c>
      <c r="CR61" s="1114">
        <f ca="1">CQ61</f>
        <v>1557.0406058442377</v>
      </c>
      <c r="CS61" s="1113">
        <f ca="1">IS!CS54+IS!CQ54+IS!CP54+IS!CO54</f>
        <v>1517.8634988190465</v>
      </c>
      <c r="CT61" s="1113">
        <f ca="1">IS!CT54+IS!CS54+IS!CQ54+IS!CP54</f>
        <v>1508.5762540012556</v>
      </c>
      <c r="CU61" s="1113">
        <f ca="1">IS!CU54+IS!CT54+IS!CS54+IS!CQ54</f>
        <v>1541.5191786783257</v>
      </c>
      <c r="CV61" s="1113">
        <f ca="1">IS!CV54+IS!CU54+IS!CT54+IS!CS54</f>
        <v>1543.2157955515049</v>
      </c>
      <c r="CW61" s="1119">
        <f ca="1">CV61</f>
        <v>1543.2157955515049</v>
      </c>
      <c r="CX61" s="1113">
        <f ca="1">IS!CX54+IS!CV54+IS!CU54+IS!CT54</f>
        <v>1542.2934396058213</v>
      </c>
      <c r="CY61" s="1113">
        <f ca="1">IS!CY54+IS!CX54+IS!CV54+IS!CU54</f>
        <v>1547.4877144034576</v>
      </c>
      <c r="CZ61" s="1113">
        <f ca="1">IS!CZ54+IS!CY54+IS!CX54+IS!CV54</f>
        <v>1528.4459790234382</v>
      </c>
      <c r="DA61" s="1113">
        <f ca="1">IS!DA54+IS!CZ54+IS!CY54+IS!CX54</f>
        <v>1532.8400878822408</v>
      </c>
      <c r="DB61" s="1119">
        <f ca="1">DA61</f>
        <v>1532.8400878822408</v>
      </c>
      <c r="DC61" s="1107"/>
      <c r="DD61"/>
      <c r="DE61"/>
      <c r="DF61"/>
      <c r="DG61"/>
      <c r="DH61"/>
      <c r="DI61"/>
    </row>
    <row r="62" spans="1:113" hidden="1" outlineLevel="1">
      <c r="A62" s="1"/>
      <c r="B62" s="867" t="s">
        <v>444</v>
      </c>
      <c r="C62" s="5"/>
      <c r="D62" s="876"/>
      <c r="E62" s="200"/>
      <c r="F62" s="200"/>
      <c r="G62" s="268"/>
      <c r="H62" s="268"/>
      <c r="I62" s="268"/>
      <c r="J62" s="268"/>
      <c r="K62" s="866"/>
      <c r="L62" s="268"/>
      <c r="M62" s="268"/>
      <c r="N62" s="268"/>
      <c r="O62" s="268"/>
      <c r="P62" s="866"/>
      <c r="Q62" s="268"/>
      <c r="R62" s="268"/>
      <c r="S62" s="268"/>
      <c r="T62" s="268"/>
      <c r="U62" s="866"/>
      <c r="V62" s="268"/>
      <c r="W62" s="268"/>
      <c r="X62" s="268"/>
      <c r="Y62" s="268"/>
      <c r="Z62" s="866"/>
      <c r="AA62" s="268"/>
      <c r="AB62" s="268"/>
      <c r="AC62" s="268"/>
      <c r="AD62" s="268"/>
      <c r="AE62" s="866"/>
      <c r="AF62" s="268"/>
      <c r="AG62" s="268"/>
      <c r="AH62" s="268"/>
      <c r="AI62" s="268"/>
      <c r="AJ62" s="866"/>
      <c r="AK62" s="268"/>
      <c r="AL62" s="268"/>
      <c r="AM62" s="268"/>
      <c r="AN62" s="268"/>
      <c r="AO62" s="866"/>
      <c r="AP62" s="268"/>
      <c r="AQ62" s="268"/>
      <c r="AR62" s="268"/>
      <c r="AS62" s="268"/>
      <c r="AT62" s="866"/>
      <c r="AU62" s="268"/>
      <c r="AV62" s="268"/>
      <c r="AW62" s="268"/>
      <c r="AX62" s="268"/>
      <c r="AY62" s="866"/>
      <c r="AZ62" s="268"/>
      <c r="BA62" s="268"/>
      <c r="BB62" s="268"/>
      <c r="BC62" s="268"/>
      <c r="BD62" s="866"/>
      <c r="BE62" s="268"/>
      <c r="BF62" s="268"/>
      <c r="BG62" s="268"/>
      <c r="BH62" s="268"/>
      <c r="BI62" s="866"/>
      <c r="BJ62" s="268"/>
      <c r="BK62" s="268"/>
      <c r="BL62" s="268"/>
      <c r="BM62" s="268"/>
      <c r="BN62" s="866"/>
      <c r="BO62" s="268"/>
      <c r="BP62" s="268"/>
      <c r="BQ62" s="268"/>
      <c r="BR62" s="268"/>
      <c r="BS62" s="866"/>
      <c r="BT62" s="268"/>
      <c r="BU62" s="268"/>
      <c r="BV62" s="268"/>
      <c r="BW62" s="268"/>
      <c r="BX62" s="866"/>
      <c r="BY62" s="268"/>
      <c r="BZ62" s="268"/>
      <c r="CA62" s="268"/>
      <c r="CB62" s="268"/>
      <c r="CC62" s="866"/>
      <c r="CD62" s="268"/>
      <c r="CE62" s="268"/>
      <c r="CF62" s="268"/>
      <c r="CG62" s="268"/>
      <c r="CH62" s="866"/>
      <c r="CI62" s="268"/>
      <c r="CJ62" s="268"/>
      <c r="CK62" s="268"/>
      <c r="CL62" s="268"/>
      <c r="CM62" s="866"/>
      <c r="CN62" s="268"/>
      <c r="CO62" s="268"/>
      <c r="CP62" s="268"/>
      <c r="CQ62" s="268"/>
      <c r="CR62" s="866"/>
      <c r="CS62" s="268"/>
      <c r="CT62" s="268"/>
      <c r="CU62" s="268"/>
      <c r="CV62" s="268"/>
      <c r="CW62" s="866"/>
      <c r="CX62" s="268"/>
      <c r="CY62" s="268"/>
      <c r="CZ62" s="268"/>
      <c r="DA62" s="268"/>
      <c r="DB62" s="866"/>
      <c r="DC62" s="9"/>
    </row>
    <row r="63" spans="1:113" hidden="1" outlineLevel="1">
      <c r="A63" s="1"/>
      <c r="B63" s="264" t="s">
        <v>445</v>
      </c>
      <c r="C63" s="5"/>
      <c r="D63" s="876"/>
      <c r="E63" s="200"/>
      <c r="F63" s="859">
        <f>IS!F19/IS!F20</f>
        <v>1.2178063908298649</v>
      </c>
      <c r="G63" s="865">
        <f>IS!G19/IS!G20</f>
        <v>1.7689906725220481</v>
      </c>
      <c r="H63" s="865">
        <f>IS!H19/IS!H20</f>
        <v>1.7629678779126514</v>
      </c>
      <c r="I63" s="865">
        <f>IS!I19/IS!I20</f>
        <v>1.8433796355295022</v>
      </c>
      <c r="J63" s="865">
        <f>IS!J19/IS!J20</f>
        <v>2.9012504906633789</v>
      </c>
      <c r="K63" s="859">
        <f>IS!K19/IS!K20</f>
        <v>1.9994394381689724</v>
      </c>
      <c r="L63" s="865">
        <f>IS!L19/IS!L20</f>
        <v>3.8206706916133681</v>
      </c>
      <c r="M63" s="865">
        <f>IS!M19/IS!M20</f>
        <v>3.5449098172134117</v>
      </c>
      <c r="N63" s="865">
        <f>IS!N19/IS!N20</f>
        <v>3.9445496348390603</v>
      </c>
      <c r="O63" s="865">
        <f>IS!O19/IS!O20</f>
        <v>4.2459348222117281</v>
      </c>
      <c r="P63" s="859">
        <f>IS!P19/IS!P20</f>
        <v>3.8776010181355383</v>
      </c>
      <c r="Q63" s="865">
        <f>IS!Q19/IS!Q20</f>
        <v>4.3095909732016979</v>
      </c>
      <c r="R63" s="865">
        <f>IS!R19/IS!R20</f>
        <v>4.1024179516409705</v>
      </c>
      <c r="S63" s="865">
        <f>IS!S19/IS!S20</f>
        <v>3.8942495126705721</v>
      </c>
      <c r="T63" s="865">
        <f>IS!T19/IS!T20</f>
        <v>4.1777625257378173</v>
      </c>
      <c r="U63" s="859">
        <f>IS!U19/IS!U20</f>
        <v>4.1180020255443743</v>
      </c>
      <c r="V63" s="865">
        <f>IS!V19/IS!V20</f>
        <v>4.611762199019819</v>
      </c>
      <c r="W63" s="865">
        <f>IS!W19/IS!W20</f>
        <v>4.476633491994809</v>
      </c>
      <c r="X63" s="865">
        <f>IS!X19/IS!X20</f>
        <v>4.2645753953755445</v>
      </c>
      <c r="Y63" s="865">
        <f>IS!Y19/IS!Y20</f>
        <v>4.0939917542965674</v>
      </c>
      <c r="Z63" s="859">
        <f>IS!Z19/IS!Z20</f>
        <v>4.351178114504024</v>
      </c>
      <c r="AA63" s="865">
        <f>IS!AA19/IS!AA20</f>
        <v>4.4708748518502199</v>
      </c>
      <c r="AB63" s="865">
        <f>IS!AB19/IS!AB20</f>
        <v>4.3311750391100308</v>
      </c>
      <c r="AC63" s="865">
        <f>IS!AC19/IS!AC20</f>
        <v>4.0135291683905692</v>
      </c>
      <c r="AD63" s="865">
        <f>IS!AD19/IS!AD20</f>
        <v>4.3803651115618614</v>
      </c>
      <c r="AE63" s="859">
        <f>IS!AE19/IS!AE20</f>
        <v>4.2964814560367</v>
      </c>
      <c r="AF63" s="865">
        <f>IS!AF19/IS!AF20</f>
        <v>5.3220727957038534</v>
      </c>
      <c r="AG63" s="865">
        <f>IS!AG19/IS!AG20</f>
        <v>4.5899036447423605</v>
      </c>
      <c r="AH63" s="865">
        <f>IS!AH19/IS!AH20</f>
        <v>1.5061104240925298</v>
      </c>
      <c r="AI63" s="865">
        <f>IS!AI19/IS!AI20</f>
        <v>3.9911143131604248</v>
      </c>
      <c r="AJ63" s="859">
        <f>IS!AJ19/IS!AJ20</f>
        <v>3.7464198086002827</v>
      </c>
      <c r="AK63" s="865">
        <f>IS!AK19/IS!AK20</f>
        <v>3.9116234705959725</v>
      </c>
      <c r="AL63" s="865">
        <f>IS!AL19/IS!AL20</f>
        <v>3.8260311346493299</v>
      </c>
      <c r="AM63" s="865">
        <f>IS!AM19/IS!AM20</f>
        <v>1.3107227594314292</v>
      </c>
      <c r="AN63" s="865">
        <f>IS!AN19/IS!AN20</f>
        <v>0.3615943547823659</v>
      </c>
      <c r="AO63" s="859">
        <f>IS!AO19/IS!AO20</f>
        <v>1.295765807811772</v>
      </c>
      <c r="AP63" s="865">
        <f>IS!AP19/IS!AP20</f>
        <v>1.4939831746146708</v>
      </c>
      <c r="AQ63" s="865">
        <f>IS!AQ19/IS!AQ20</f>
        <v>1.5099280258614538</v>
      </c>
      <c r="AR63" s="865">
        <f>IS!AR19/IS!AR20</f>
        <v>1.5082814315940019</v>
      </c>
      <c r="AS63" s="865">
        <f>IS!AS19/IS!AS20</f>
        <v>1.5269667211569442</v>
      </c>
      <c r="AT63" s="859">
        <f>IS!AT19/IS!AT20</f>
        <v>1.5098327591835987</v>
      </c>
      <c r="AU63" s="865">
        <f>IS!AU19/IS!AU20</f>
        <v>1.5575483792198248</v>
      </c>
      <c r="AV63" s="865">
        <f>IS!AV19/IS!AV20</f>
        <v>1.6188650734178462</v>
      </c>
      <c r="AW63" s="865">
        <f>IS!AW19/IS!AW20</f>
        <v>1.6516070027128436</v>
      </c>
      <c r="AX63" s="865">
        <f>IS!AX19/IS!AX20</f>
        <v>1.7616518809310413</v>
      </c>
      <c r="AY63" s="859">
        <f>IS!AY19/IS!AY20</f>
        <v>1.6471463071443666</v>
      </c>
      <c r="AZ63" s="865">
        <f>IS!AZ19/IS!AZ20</f>
        <v>1.7014757939871386</v>
      </c>
      <c r="BA63" s="865">
        <f>IS!BA19/IS!BA20</f>
        <v>1.7225054219882494</v>
      </c>
      <c r="BB63" s="865">
        <f>IS!BB19/IS!BB20</f>
        <v>1.7121961331861892</v>
      </c>
      <c r="BC63" s="865">
        <f>IS!BC19/IS!BC20</f>
        <v>1.704675820261081</v>
      </c>
      <c r="BD63" s="859">
        <f>IS!BD19/IS!BD20</f>
        <v>1.7102063731159671</v>
      </c>
      <c r="BE63" s="865">
        <f>IS!BE19/IS!BE20</f>
        <v>1.7114063299466402</v>
      </c>
      <c r="BF63" s="865">
        <f>IS!BF19/IS!BF20</f>
        <v>1.7699442504441594</v>
      </c>
      <c r="BG63" s="865">
        <f>IS!BG19/IS!BG20</f>
        <v>1.7795522949586198</v>
      </c>
      <c r="BH63" s="865">
        <f>IS!BH19/IS!BH20</f>
        <v>1.7730278517434164</v>
      </c>
      <c r="BI63" s="859">
        <f>IS!BI19/IS!BI20</f>
        <v>1.758184528421173</v>
      </c>
      <c r="BJ63" s="865">
        <f>IS!BJ19/IS!BJ20</f>
        <v>2.2942533267619512</v>
      </c>
      <c r="BK63" s="865">
        <f>IS!BK19/IS!BK20</f>
        <v>1.913579188296052</v>
      </c>
      <c r="BL63" s="865">
        <f>IS!BL19/IS!BL20</f>
        <v>1.8139438085327757</v>
      </c>
      <c r="BM63" s="865">
        <f>IS!BM19/IS!BM20</f>
        <v>1.7638897537767908</v>
      </c>
      <c r="BN63" s="859">
        <f>IS!BN19/IS!BN20</f>
        <v>1.9426230429275713</v>
      </c>
      <c r="BO63" s="865">
        <f>IS!BO19/IS!BO20</f>
        <v>1.8291717300927399</v>
      </c>
      <c r="BP63" s="865">
        <f>IS!BP19/IS!BP20</f>
        <v>1.35803838613146</v>
      </c>
      <c r="BQ63" s="865">
        <f>IS!BQ19/IS!BQ20</f>
        <v>1.749042629706667</v>
      </c>
      <c r="BR63" s="865">
        <f>IS!BR19/IS!BR20</f>
        <v>1.6583139239150824</v>
      </c>
      <c r="BS63" s="859">
        <f>IS!BS19/IS!BS20</f>
        <v>1.6488140233147495</v>
      </c>
      <c r="BT63" s="865">
        <f>IS!BT19/IS!BT20</f>
        <v>1.21875</v>
      </c>
      <c r="BU63" s="865">
        <f>IS!BU19/IS!BU20</f>
        <v>1.5921568627450979</v>
      </c>
      <c r="BV63" s="865">
        <f>IS!BV19/IS!BV20</f>
        <v>1.8370800000000018</v>
      </c>
      <c r="BW63" s="865">
        <f>IS!BW19/IS!BW20</f>
        <v>1.9549180327868851</v>
      </c>
      <c r="BX63" s="859">
        <f>IS!BX19/IS!BX20</f>
        <v>1.6600924974306275</v>
      </c>
      <c r="BY63" s="865">
        <f>IS!BY19/IS!BY20</f>
        <v>1.6887966804979253</v>
      </c>
      <c r="BZ63" s="865">
        <f>IS!BZ19/IS!BZ20</f>
        <v>1.8451882845188285</v>
      </c>
      <c r="CA63" s="865">
        <f>IS!CA19/IS!CA20</f>
        <v>1.4504132231404958</v>
      </c>
      <c r="CB63" s="865">
        <f>IS!CB19/IS!CB20</f>
        <v>0.84738955823293172</v>
      </c>
      <c r="CC63" s="859">
        <f>IS!CC19/IS!CC20</f>
        <v>1.4521112255406796</v>
      </c>
      <c r="CD63" s="865">
        <f>IS!CD19/IS!CD20</f>
        <v>1.1713147410358566</v>
      </c>
      <c r="CE63" s="865">
        <f>IS!CE19/IS!CE20</f>
        <v>1.0731707317073171</v>
      </c>
      <c r="CF63" s="865">
        <f>IS!CF19/IS!CF20</f>
        <v>0.83690987124463523</v>
      </c>
      <c r="CG63" s="865">
        <f>IS!CG19/IS!CG20</f>
        <v>0.32327586206896552</v>
      </c>
      <c r="CH63" s="859">
        <f>IS!CH19/IS!CH20</f>
        <v>0.86070686070686075</v>
      </c>
      <c r="CI63" s="865">
        <f>IS!CI19/IS!CI20</f>
        <v>0.31441048034934499</v>
      </c>
      <c r="CJ63" s="865">
        <f>IS!CJ19/IS!CJ20</f>
        <v>0.80753138075313813</v>
      </c>
      <c r="CK63" s="865">
        <f>IS!CK19/IS!CK20</f>
        <v>0.51680672268907568</v>
      </c>
      <c r="CL63" s="865">
        <f>IS!CL19/IS!CL20</f>
        <v>-1.7377777777777779</v>
      </c>
      <c r="CM63" s="859">
        <f>IS!CM19/IS!CM20</f>
        <v>-3.22234156820623E-3</v>
      </c>
      <c r="CN63" s="865">
        <f ca="1">IS!CN19/IS!CN20</f>
        <v>0.99870369090443678</v>
      </c>
      <c r="CO63" s="865">
        <f ca="1">IS!CO19/IS!CO20</f>
        <v>0.90502206802628937</v>
      </c>
      <c r="CP63" s="865">
        <f ca="1">IS!CP19/IS!CP20</f>
        <v>0.81332936267668365</v>
      </c>
      <c r="CQ63" s="865">
        <f ca="1">IS!CQ19/IS!CQ20</f>
        <v>0.98094746274633582</v>
      </c>
      <c r="CR63" s="859">
        <f ca="1">IS!CR19/IS!CR20</f>
        <v>0.92474153240518719</v>
      </c>
      <c r="CS63" s="865">
        <f ca="1">IS!CS19/IS!CS20</f>
        <v>0.92685711042324148</v>
      </c>
      <c r="CT63" s="865">
        <f ca="1">IS!CT19/IS!CT20</f>
        <v>0.97007821415832063</v>
      </c>
      <c r="CU63" s="865">
        <f ca="1">IS!CU19/IS!CU20</f>
        <v>1.0407146494950466</v>
      </c>
      <c r="CV63" s="865">
        <f ca="1">IS!CV19/IS!CV20</f>
        <v>1.0544949709801437</v>
      </c>
      <c r="CW63" s="859">
        <f ca="1">IS!CW19/IS!CW20</f>
        <v>0.99762136894304776</v>
      </c>
      <c r="CX63" s="865">
        <f ca="1">IS!CX19/IS!CX20</f>
        <v>0.9565012998374135</v>
      </c>
      <c r="CY63" s="865">
        <f ca="1">IS!CY19/IS!CY20</f>
        <v>1.0197249402524013</v>
      </c>
      <c r="CZ63" s="865">
        <f ca="1">IS!CZ19/IS!CZ20</f>
        <v>0.97526199397092828</v>
      </c>
      <c r="DA63" s="865">
        <f ca="1">IS!DA19/IS!DA20</f>
        <v>1.093259631349949</v>
      </c>
      <c r="DB63" s="859">
        <f ca="1">IS!DB19/IS!DB20</f>
        <v>1.0111505850920506</v>
      </c>
      <c r="DC63" s="9"/>
    </row>
    <row r="64" spans="1:113" hidden="1" outlineLevel="1">
      <c r="A64" s="1"/>
      <c r="B64" s="264" t="s">
        <v>446</v>
      </c>
      <c r="C64" s="5"/>
      <c r="D64" s="876"/>
      <c r="E64" s="200"/>
      <c r="F64" s="859">
        <f>IS!F17/IS!F20</f>
        <v>1.9842663107482128</v>
      </c>
      <c r="G64" s="865">
        <f>IS!G17/IS!G20</f>
        <v>2.8036148513773451</v>
      </c>
      <c r="H64" s="865">
        <f>IS!H17/IS!H20</f>
        <v>2.8816205456461512</v>
      </c>
      <c r="I64" s="865">
        <f>IS!I17/IS!I20</f>
        <v>3.144556306019286</v>
      </c>
      <c r="J64" s="865">
        <f>IS!J17/IS!J20</f>
        <v>4.688330623002301</v>
      </c>
      <c r="K64" s="859">
        <f>IS!K17/IS!K20</f>
        <v>3.2651245927994248</v>
      </c>
      <c r="L64" s="865">
        <f>IS!L17/IS!L20</f>
        <v>5.5233426983083289</v>
      </c>
      <c r="M64" s="865">
        <f>IS!M17/IS!M20</f>
        <v>5.2971795182181332</v>
      </c>
      <c r="N64" s="865">
        <f>IS!N17/IS!N20</f>
        <v>5.9043819312956467</v>
      </c>
      <c r="O64" s="865">
        <f>IS!O17/IS!O20</f>
        <v>6.3916065042844625</v>
      </c>
      <c r="P64" s="859">
        <f>IS!P17/IS!P20</f>
        <v>5.7582564428889587</v>
      </c>
      <c r="Q64" s="865">
        <f>IS!Q17/IS!Q20</f>
        <v>6.2631640808650726</v>
      </c>
      <c r="R64" s="865">
        <f>IS!R17/IS!R20</f>
        <v>6.1638567228655461</v>
      </c>
      <c r="S64" s="865">
        <f>IS!S17/IS!S20</f>
        <v>5.8638184968594391</v>
      </c>
      <c r="T64" s="865">
        <f>IS!T17/IS!T20</f>
        <v>6.2786019745525588</v>
      </c>
      <c r="U64" s="859">
        <f>IS!U17/IS!U20</f>
        <v>6.1402548809992767</v>
      </c>
      <c r="V64" s="865">
        <f>IS!V17/IS!V20</f>
        <v>6.660078840826765</v>
      </c>
      <c r="W64" s="865">
        <f>IS!W17/IS!W20</f>
        <v>6.5702077022933807</v>
      </c>
      <c r="X64" s="865">
        <f>IS!X17/IS!X20</f>
        <v>6.3164570175896477</v>
      </c>
      <c r="Y64" s="865">
        <f>IS!Y17/IS!Y20</f>
        <v>6.0212627970537822</v>
      </c>
      <c r="Z64" s="859">
        <f>IS!Z17/IS!Z20</f>
        <v>6.3775991590390602</v>
      </c>
      <c r="AA64" s="865">
        <f>IS!AA17/IS!AA20</f>
        <v>6.237522496817518</v>
      </c>
      <c r="AB64" s="865">
        <f>IS!AB17/IS!AB20</f>
        <v>6.0903876238484287</v>
      </c>
      <c r="AC64" s="865">
        <f>IS!AC17/IS!AC20</f>
        <v>5.6887463798096842</v>
      </c>
      <c r="AD64" s="865">
        <f>IS!AD17/IS!AD20</f>
        <v>6.1569574036511119</v>
      </c>
      <c r="AE64" s="859">
        <f>IS!AE17/IS!AE20</f>
        <v>6.0405546806464265</v>
      </c>
      <c r="AF64" s="865">
        <f>IS!AF17/IS!AF20</f>
        <v>7.2730527378712013</v>
      </c>
      <c r="AG64" s="865">
        <f>IS!AG17/IS!AG20</f>
        <v>6.5665689149560178</v>
      </c>
      <c r="AH64" s="865">
        <f>IS!AH17/IS!AH20</f>
        <v>3.3229068160325896</v>
      </c>
      <c r="AI64" s="865">
        <f>IS!AI17/IS!AI20</f>
        <v>5.6766845066556906</v>
      </c>
      <c r="AJ64" s="859">
        <f>IS!AJ17/IS!AJ20</f>
        <v>5.5917066637992576</v>
      </c>
      <c r="AK64" s="865">
        <f>IS!AK17/IS!AK20</f>
        <v>5.5979147480594644</v>
      </c>
      <c r="AL64" s="865">
        <f>IS!AL17/IS!AL20</f>
        <v>5.5384047504413374</v>
      </c>
      <c r="AM64" s="865">
        <f>IS!AM17/IS!AM20</f>
        <v>2.0736593862673587</v>
      </c>
      <c r="AN64" s="865">
        <f>IS!AN17/IS!AN20</f>
        <v>1.0317543491930414</v>
      </c>
      <c r="AO64" s="859">
        <f>IS!AO17/IS!AO20</f>
        <v>2.1706015202965503</v>
      </c>
      <c r="AP64" s="865">
        <f>IS!AP17/IS!AP20</f>
        <v>2.2345596311450686</v>
      </c>
      <c r="AQ64" s="865">
        <f>IS!AQ17/IS!AQ20</f>
        <v>2.3193423209230302</v>
      </c>
      <c r="AR64" s="865">
        <f>IS!AR17/IS!AR20</f>
        <v>2.2861042405459346</v>
      </c>
      <c r="AS64" s="865">
        <f>IS!AS17/IS!AS20</f>
        <v>2.2774231269464367</v>
      </c>
      <c r="AT64" s="859">
        <f>IS!AT17/IS!AT20</f>
        <v>2.2786812965511349</v>
      </c>
      <c r="AU64" s="865">
        <f>IS!AU17/IS!AU20</f>
        <v>2.3849215554605916</v>
      </c>
      <c r="AV64" s="865">
        <f>IS!AV17/IS!AV20</f>
        <v>2.5010373251255622</v>
      </c>
      <c r="AW64" s="865">
        <f>IS!AW17/IS!AW20</f>
        <v>2.5387367679501707</v>
      </c>
      <c r="AX64" s="865">
        <f>IS!AX17/IS!AX20</f>
        <v>2.6558746252047887</v>
      </c>
      <c r="AY64" s="859">
        <f>IS!AY17/IS!AY20</f>
        <v>2.5197245635043575</v>
      </c>
      <c r="AZ64" s="865">
        <f>IS!AZ17/IS!AZ20</f>
        <v>2.6218464875105965</v>
      </c>
      <c r="BA64" s="865">
        <f>IS!BA17/IS!BA20</f>
        <v>2.6702318942665966</v>
      </c>
      <c r="BB64" s="865">
        <f>IS!BB17/IS!BB20</f>
        <v>2.6335916493405938</v>
      </c>
      <c r="BC64" s="865">
        <f>IS!BC17/IS!BC20</f>
        <v>2.6566254875677746</v>
      </c>
      <c r="BD64" s="859">
        <f>IS!BD17/IS!BD20</f>
        <v>2.6456484324908041</v>
      </c>
      <c r="BE64" s="865">
        <f>IS!BE17/IS!BE20</f>
        <v>2.6901176814560328</v>
      </c>
      <c r="BF64" s="865">
        <f>IS!BF17/IS!BF20</f>
        <v>2.7585860442320662</v>
      </c>
      <c r="BG64" s="865">
        <f>IS!BG17/IS!BG20</f>
        <v>2.7923125156759512</v>
      </c>
      <c r="BH64" s="865">
        <f>IS!BH17/IS!BH20</f>
        <v>2.8559773349654858</v>
      </c>
      <c r="BI64" s="859">
        <f>IS!BI17/IS!BI20</f>
        <v>2.7734193416428585</v>
      </c>
      <c r="BJ64" s="865">
        <f>IS!BJ17/IS!BJ20</f>
        <v>3.4399999999999995</v>
      </c>
      <c r="BK64" s="865">
        <f>IS!BK17/IS!BK20</f>
        <v>3.0995468546966798</v>
      </c>
      <c r="BL64" s="865">
        <f>IS!BL17/IS!BL20</f>
        <v>2.9630435468104537</v>
      </c>
      <c r="BM64" s="865">
        <f>IS!BM17/IS!BM20</f>
        <v>2.9420497428169314</v>
      </c>
      <c r="BN64" s="859">
        <f>IS!BN17/IS!BN20</f>
        <v>3.1073678870761392</v>
      </c>
      <c r="BO64" s="865">
        <f>IS!BO17/IS!BO20</f>
        <v>3.058196354333226</v>
      </c>
      <c r="BP64" s="865">
        <f>IS!BP17/IS!BP20</f>
        <v>2.6131010731606623</v>
      </c>
      <c r="BQ64" s="865">
        <f>IS!BQ17/IS!BQ20</f>
        <v>3.0180264240680637</v>
      </c>
      <c r="BR64" s="865">
        <f>IS!BR17/IS!BR20</f>
        <v>2.9973696891815935</v>
      </c>
      <c r="BS64" s="859">
        <f>IS!BS17/IS!BS20</f>
        <v>2.9211521798854552</v>
      </c>
      <c r="BT64" s="865">
        <f>IS!BT17/IS!BT20</f>
        <v>2.3660714285714284</v>
      </c>
      <c r="BU64" s="865">
        <f>IS!BU17/IS!BU20</f>
        <v>2.6980392156862747</v>
      </c>
      <c r="BV64" s="865">
        <f>IS!BV17/IS!BV20</f>
        <v>2.9570800000000017</v>
      </c>
      <c r="BW64" s="865">
        <f>IS!BW17/IS!BW20</f>
        <v>3.1475409836065573</v>
      </c>
      <c r="BX64" s="859">
        <f>IS!BX17/IS!BX20</f>
        <v>2.800894141829394</v>
      </c>
      <c r="BY64" s="865">
        <f>IS!BY17/IS!BY20</f>
        <v>2.9170124481327799</v>
      </c>
      <c r="BZ64" s="865">
        <f>IS!BZ17/IS!BZ20</f>
        <v>3.0627615062761508</v>
      </c>
      <c r="CA64" s="865">
        <f>IS!CA17/IS!CA20</f>
        <v>2.6404958677685952</v>
      </c>
      <c r="CB64" s="865">
        <f>IS!CB17/IS!CB20</f>
        <v>2.0401606425702812</v>
      </c>
      <c r="CC64" s="859">
        <f>IS!CC17/IS!CC20</f>
        <v>2.659114315139032</v>
      </c>
      <c r="CD64" s="865">
        <f>IS!CD17/IS!CD20</f>
        <v>2.358565737051793</v>
      </c>
      <c r="CE64" s="865">
        <f>IS!CE17/IS!CE20</f>
        <v>2.1951219512195124</v>
      </c>
      <c r="CF64" s="865">
        <f>IS!CF17/IS!CF20</f>
        <v>1.9742489270386265</v>
      </c>
      <c r="CG64" s="865">
        <f>IS!CG17/IS!CG20</f>
        <v>1.4482758620689655</v>
      </c>
      <c r="CH64" s="859">
        <f>IS!CH17/IS!CH20</f>
        <v>2.004158004158004</v>
      </c>
      <c r="CI64" s="865">
        <f>IS!CI17/IS!CI20</f>
        <v>1.3406113537117903</v>
      </c>
      <c r="CJ64" s="865">
        <f>IS!CJ17/IS!CJ20</f>
        <v>1.7405857740585775</v>
      </c>
      <c r="CK64" s="865">
        <f>IS!CK17/IS!CK20</f>
        <v>1.3823529411764706</v>
      </c>
      <c r="CL64" s="865">
        <f>IS!CL17/IS!CL20</f>
        <v>-0.8666666666666667</v>
      </c>
      <c r="CM64" s="859">
        <f>IS!CM17/IS!CM20</f>
        <v>0.92051557465091305</v>
      </c>
      <c r="CN64" s="865">
        <f ca="1">IS!CN17/IS!CN20</f>
        <v>1.8175174631413353</v>
      </c>
      <c r="CO64" s="865">
        <f ca="1">IS!CO17/IS!CO20</f>
        <v>1.6825614879200659</v>
      </c>
      <c r="CP64" s="865">
        <f ca="1">IS!CP17/IS!CP20</f>
        <v>1.538538379450189</v>
      </c>
      <c r="CQ64" s="865">
        <f ca="1">IS!CQ17/IS!CQ20</f>
        <v>1.8222598686701084</v>
      </c>
      <c r="CR64" s="859">
        <f ca="1">IS!CR17/IS!CR20</f>
        <v>1.7153557855340096</v>
      </c>
      <c r="CS64" s="865">
        <f ca="1">IS!CS17/IS!CS20</f>
        <v>1.7475172696431773</v>
      </c>
      <c r="CT64" s="865">
        <f ca="1">IS!CT17/IS!CT20</f>
        <v>1.7669693590768774</v>
      </c>
      <c r="CU64" s="865">
        <f ca="1">IS!CU17/IS!CU20</f>
        <v>1.8068294175116049</v>
      </c>
      <c r="CV64" s="865">
        <f ca="1">IS!CV17/IS!CV20</f>
        <v>1.9229215857313635</v>
      </c>
      <c r="CW64" s="859">
        <f ca="1">IS!CW17/IS!CW20</f>
        <v>1.8105967160149039</v>
      </c>
      <c r="CX64" s="865">
        <f ca="1">IS!CX17/IS!CX20</f>
        <v>1.7853910477479027</v>
      </c>
      <c r="CY64" s="865">
        <f ca="1">IS!CY17/IS!CY20</f>
        <v>1.8174757839614382</v>
      </c>
      <c r="CZ64" s="865">
        <f ca="1">IS!CZ17/IS!CZ20</f>
        <v>1.7315273192285348</v>
      </c>
      <c r="DA64" s="865">
        <f ca="1">IS!DA17/IS!DA20</f>
        <v>1.9536442978500865</v>
      </c>
      <c r="DB64" s="859">
        <f ca="1">IS!DB17/IS!DB20</f>
        <v>1.821976807284019</v>
      </c>
      <c r="DC64" s="9"/>
    </row>
    <row r="65" spans="1:107" hidden="1" outlineLevel="1">
      <c r="A65" s="1"/>
      <c r="B65" s="264" t="s">
        <v>447</v>
      </c>
      <c r="C65" s="5"/>
      <c r="D65" s="876"/>
      <c r="E65" s="200"/>
      <c r="F65" s="859"/>
      <c r="G65" s="865"/>
      <c r="H65" s="865"/>
      <c r="I65" s="865"/>
      <c r="J65" s="865"/>
      <c r="K65" s="859">
        <f>F118/IS!F20</f>
        <v>0.1804585067127267</v>
      </c>
      <c r="L65" s="865">
        <f>G118/IS!G20</f>
        <v>1.1452473414873152</v>
      </c>
      <c r="M65" s="865">
        <f>H118/IS!H20</f>
        <v>2.4968970766168375</v>
      </c>
      <c r="N65" s="865">
        <f>I118/IS!I20</f>
        <v>0.78747716749500896</v>
      </c>
      <c r="O65" s="865">
        <f>J118/IS!J20</f>
        <v>2.2610329165031127</v>
      </c>
      <c r="P65" s="859">
        <f>K118/IS!K20</f>
        <v>1.6328954605068322</v>
      </c>
      <c r="Q65" s="865">
        <f>L118/IS!L20</f>
        <v>2.92061689282085</v>
      </c>
      <c r="R65" s="865">
        <f>M118/IS!M20</f>
        <v>5.2594116934995769</v>
      </c>
      <c r="S65" s="865">
        <f>N118/IS!N20</f>
        <v>4.1317960508520413</v>
      </c>
      <c r="T65" s="865">
        <f>O118/IS!O20</f>
        <v>5.9809054719654542</v>
      </c>
      <c r="U65" s="859">
        <f>P118/IS!P20</f>
        <v>4.5418230989500472</v>
      </c>
      <c r="V65" s="865">
        <f>Q118/IS!Q20</f>
        <v>0.50011753643629475</v>
      </c>
      <c r="W65" s="865">
        <f>R118/IS!R20</f>
        <v>8.5666886662266748</v>
      </c>
      <c r="X65" s="865">
        <f>S118/IS!S20</f>
        <v>2.5484622048949541</v>
      </c>
      <c r="Y65" s="865">
        <f>T118/IS!T20</f>
        <v>2.3941713742674624</v>
      </c>
      <c r="Z65" s="859">
        <f>U118/IS!U20</f>
        <v>3.4280087773589152</v>
      </c>
      <c r="AA65" s="865">
        <f>V118/IS!V20</f>
        <v>3.2884615384615383</v>
      </c>
      <c r="AB65" s="865">
        <f>W118/IS!W20</f>
        <v>7.8025746430116847</v>
      </c>
      <c r="AC65" s="865">
        <f>X118/IS!X20</f>
        <v>2.984967900203559</v>
      </c>
      <c r="AD65" s="865">
        <f>Y118/IS!Y20</f>
        <v>2.8987816741557415</v>
      </c>
      <c r="AE65" s="859">
        <f>Z118/IS!Z20</f>
        <v>4.1759608235263954</v>
      </c>
      <c r="AF65" s="865">
        <f>AA118/IS!AA20</f>
        <v>6.5277643650410431</v>
      </c>
      <c r="AG65" s="865">
        <f>AB118/IS!AB20</f>
        <v>5.5487137145836956</v>
      </c>
      <c r="AH65" s="865">
        <f>AC118/IS!AC20</f>
        <v>2.4562267273479521</v>
      </c>
      <c r="AI65" s="865">
        <f>AD118/IS!AD20</f>
        <v>3.0541987829614614</v>
      </c>
      <c r="AJ65" s="859">
        <f>AE118/IS!AE20</f>
        <v>4.3445298214833059</v>
      </c>
      <c r="AK65" s="865">
        <f>AF118/IS!AF20</f>
        <v>4.1682654794143295</v>
      </c>
      <c r="AL65" s="865">
        <f>AG118/IS!AG20</f>
        <v>4.8693757855048174</v>
      </c>
      <c r="AM65" s="865">
        <f>AH118/IS!AH20</f>
        <v>2.218847748599694</v>
      </c>
      <c r="AN65" s="865">
        <f>AI118/IS!AI20</f>
        <v>2.8202278029367371</v>
      </c>
      <c r="AO65" s="859">
        <f>AJ118/IS!AJ20</f>
        <v>3.4238360101271761</v>
      </c>
      <c r="AP65" s="865">
        <f>AK118/IS!AK20</f>
        <v>3.9582620707801603</v>
      </c>
      <c r="AQ65" s="865">
        <f>AL118/IS!AL20</f>
        <v>3.06984432675333</v>
      </c>
      <c r="AR65" s="865">
        <f>AM118/IS!AM20</f>
        <v>1.3523479108575194</v>
      </c>
      <c r="AS65" s="865">
        <f>AN118/IS!AN20</f>
        <v>1.6481986073266728</v>
      </c>
      <c r="AT65" s="859">
        <f>AO118/IS!AO20</f>
        <v>1.8446819125480791</v>
      </c>
      <c r="AU65" s="865">
        <f>AP118/IS!AP20</f>
        <v>0.33272380538557189</v>
      </c>
      <c r="AV65" s="865">
        <f>AQ118/IS!AQ20</f>
        <v>2.3428845368972731</v>
      </c>
      <c r="AW65" s="865">
        <f>AR118/IS!AR20</f>
        <v>1.5989093184730463</v>
      </c>
      <c r="AX65" s="865">
        <f>AS118/IS!AS20</f>
        <v>2.2207273855405876</v>
      </c>
      <c r="AY65" s="859">
        <f>AT118/IS!AT20</f>
        <v>1.6130317241884353</v>
      </c>
      <c r="AZ65" s="865">
        <f>AU118/IS!AU20</f>
        <v>1.5837067334106587</v>
      </c>
      <c r="BA65" s="865">
        <f>AV118/IS!AV20</f>
        <v>1.7648771001963173</v>
      </c>
      <c r="BB65" s="865">
        <f>AW118/IS!AW20</f>
        <v>2.2021158920548998</v>
      </c>
      <c r="BC65" s="865">
        <f>AX118/IS!AX20</f>
        <v>1.0860189793205774</v>
      </c>
      <c r="BD65" s="859">
        <f>AY118/IS!AY20</f>
        <v>1.6589516090503202</v>
      </c>
      <c r="BE65" s="865">
        <f>AZ118/IS!AZ20</f>
        <v>1.8656828040085758</v>
      </c>
      <c r="BF65" s="865">
        <f>BA118/IS!BA20</f>
        <v>1.4979640511366095</v>
      </c>
      <c r="BG65" s="865">
        <f>BB118/IS!BB20</f>
        <v>2.1741529531555814</v>
      </c>
      <c r="BH65" s="865">
        <f>BC118/IS!BC20</f>
        <v>1.753148812327163</v>
      </c>
      <c r="BI65" s="859">
        <f>BD118/IS!BD20</f>
        <v>1.8234124731948107</v>
      </c>
      <c r="BJ65" s="865">
        <f>BE118/IS!BE20</f>
        <v>1.1421618790049461</v>
      </c>
      <c r="BK65" s="865">
        <f>BF118/IS!BF20</f>
        <v>2.4332169331617965</v>
      </c>
      <c r="BL65" s="865">
        <f>BG118/IS!BG20</f>
        <v>1.4769877100576869</v>
      </c>
      <c r="BM65" s="865">
        <f>BH118/IS!BH20</f>
        <v>2.7868969346676602</v>
      </c>
      <c r="BN65" s="859">
        <f>BI118/IS!BI20</f>
        <v>1.9553430312195912</v>
      </c>
      <c r="BO65" s="865">
        <f>BJ118/IS!BJ20</f>
        <v>1.2308854936750446</v>
      </c>
      <c r="BP65" s="865">
        <f>BK118/IS!BK20</f>
        <v>1.9498901765749601</v>
      </c>
      <c r="BQ65" s="865">
        <f>BL118/IS!BL20</f>
        <v>1.8600447765900419</v>
      </c>
      <c r="BR65" s="865">
        <f>BM118/IS!BM20</f>
        <v>3.127638772993909</v>
      </c>
      <c r="BS65" s="859">
        <f>BN118/IS!BN20</f>
        <v>2.0549882571640929</v>
      </c>
      <c r="BT65" s="865">
        <f>BO118/IS!BO20</f>
        <v>0.36555164694595432</v>
      </c>
      <c r="BU65" s="865">
        <f>BP118/IS!BP20</f>
        <v>1.6253353627076665</v>
      </c>
      <c r="BV65" s="865">
        <f>BQ118/IS!BQ20</f>
        <v>0.85484905623700191</v>
      </c>
      <c r="BW65" s="865">
        <f>BR118/IS!BR20</f>
        <v>4.3344510481085852</v>
      </c>
      <c r="BX65" s="859">
        <f>BS118/IS!BS20</f>
        <v>1.7698517590104474</v>
      </c>
      <c r="BY65" s="865">
        <f>BT118/IS!BT20</f>
        <v>0.29017857142857145</v>
      </c>
      <c r="BZ65" s="865">
        <f>BU118/IS!BU20</f>
        <v>1.7607843137254902</v>
      </c>
      <c r="CA65" s="865">
        <f>BV118/IS!BV20</f>
        <v>0.50000000000000178</v>
      </c>
      <c r="CB65" s="865">
        <f>BW118/IS!BW20</f>
        <v>4</v>
      </c>
      <c r="CC65" s="859">
        <f>BX118/IS!BX20</f>
        <v>1.6598150051387466</v>
      </c>
      <c r="CD65" s="865">
        <f>BY118/IS!BY20</f>
        <v>-0.25311203319502074</v>
      </c>
      <c r="CE65" s="865">
        <f>BZ118/IS!BZ20</f>
        <v>2.3640167364016738</v>
      </c>
      <c r="CF65" s="865">
        <f>CA118/IS!CA20</f>
        <v>0.45867768595041325</v>
      </c>
      <c r="CG65" s="865">
        <f>CB118/IS!CB20</f>
        <v>1.2289156626506024</v>
      </c>
      <c r="CH65" s="859">
        <f>CC118/IS!CC20</f>
        <v>0.94850669412976318</v>
      </c>
      <c r="CI65" s="865">
        <f>CD118/IS!CD20</f>
        <v>1.1713147410358566</v>
      </c>
      <c r="CJ65" s="865">
        <f>CE118/IS!CE20</f>
        <v>1.3739837398373984</v>
      </c>
      <c r="CK65" s="865">
        <f>CF118/IS!CF20</f>
        <v>0.76394849785407726</v>
      </c>
      <c r="CL65" s="865">
        <f>CG118/IS!CG20</f>
        <v>1.4094827586206897</v>
      </c>
      <c r="CM65" s="859">
        <f>CH118/IS!CH20</f>
        <v>1.181912681912682</v>
      </c>
      <c r="CN65" s="865">
        <f>CI118/IS!CI20</f>
        <v>1.0567685589519651</v>
      </c>
      <c r="CO65" s="865">
        <f>CJ118/IS!CJ20</f>
        <v>1.0920502092050208</v>
      </c>
      <c r="CP65" s="865">
        <f>CK118/IS!CK20</f>
        <v>0.47899159663865548</v>
      </c>
      <c r="CQ65" s="865">
        <f>CL118/IS!CL20</f>
        <v>0.69333333333333336</v>
      </c>
      <c r="CR65" s="859">
        <f>CM118/IS!CM20</f>
        <v>0.83029001074113851</v>
      </c>
      <c r="CS65" s="865">
        <f ca="1">CN118/IS!CN20</f>
        <v>0.54202097750062572</v>
      </c>
      <c r="CT65" s="865">
        <f ca="1">CO118/IS!CO20</f>
        <v>1.6454061390991892</v>
      </c>
      <c r="CU65" s="865">
        <f ca="1">CP118/IS!CP20</f>
        <v>0.82052838894996782</v>
      </c>
      <c r="CV65" s="865">
        <f ca="1">CQ118/IS!CQ20</f>
        <v>5.3804885623256804E-2</v>
      </c>
      <c r="CW65" s="859">
        <f ca="1">CR118/IS!CR20</f>
        <v>0.77161814250962935</v>
      </c>
      <c r="CX65" s="865">
        <f ca="1">CS118/IS!CS20</f>
        <v>1.5517727151461942</v>
      </c>
      <c r="CY65" s="865">
        <f ca="1">CT118/IS!CT20</f>
        <v>2.7568304863085169</v>
      </c>
      <c r="CZ65" s="865">
        <f ca="1">CU118/IS!CU20</f>
        <v>1.6075431439475807</v>
      </c>
      <c r="DA65" s="865">
        <f ca="1">CV118/IS!CV20</f>
        <v>2.0473015265953078</v>
      </c>
      <c r="DB65" s="859">
        <f ca="1">CW118/IS!CW20</f>
        <v>1.9901385510154312</v>
      </c>
      <c r="DC65" s="9"/>
    </row>
    <row r="66" spans="1:107" hidden="1" outlineLevel="1" collapsed="1">
      <c r="A66" s="1"/>
      <c r="B66" s="264"/>
      <c r="C66" s="5"/>
      <c r="D66" s="876"/>
      <c r="E66" s="200"/>
      <c r="F66" s="859"/>
      <c r="G66" s="865"/>
      <c r="H66" s="865"/>
      <c r="I66" s="865"/>
      <c r="J66" s="865"/>
      <c r="K66" s="859"/>
      <c r="L66" s="865"/>
      <c r="M66" s="865"/>
      <c r="N66" s="865"/>
      <c r="O66" s="865"/>
      <c r="P66" s="859"/>
      <c r="Q66" s="865"/>
      <c r="R66" s="865"/>
      <c r="S66" s="865"/>
      <c r="T66" s="865"/>
      <c r="U66" s="859"/>
      <c r="V66" s="865"/>
      <c r="W66" s="865"/>
      <c r="X66" s="865"/>
      <c r="Y66" s="865"/>
      <c r="Z66" s="859"/>
      <c r="AA66" s="865"/>
      <c r="AB66" s="865"/>
      <c r="AC66" s="865"/>
      <c r="AD66" s="865"/>
      <c r="AE66" s="859"/>
      <c r="AF66" s="865"/>
      <c r="AG66" s="865"/>
      <c r="AH66" s="865"/>
      <c r="AI66" s="865"/>
      <c r="AJ66" s="859"/>
      <c r="AK66" s="865"/>
      <c r="AL66" s="865"/>
      <c r="AM66" s="865"/>
      <c r="AN66" s="865"/>
      <c r="AO66" s="859"/>
      <c r="AP66" s="865"/>
      <c r="AQ66" s="865"/>
      <c r="AR66" s="865"/>
      <c r="AS66" s="865"/>
      <c r="AT66" s="859"/>
      <c r="AU66" s="865"/>
      <c r="AV66" s="865"/>
      <c r="AW66" s="865"/>
      <c r="AX66" s="865"/>
      <c r="AY66" s="859"/>
      <c r="AZ66" s="865"/>
      <c r="BA66" s="865"/>
      <c r="BB66" s="865"/>
      <c r="BC66" s="865"/>
      <c r="BD66" s="859"/>
      <c r="BE66" s="865"/>
      <c r="BF66" s="865"/>
      <c r="BG66" s="865"/>
      <c r="BH66" s="865"/>
      <c r="BI66" s="859"/>
      <c r="BJ66" s="865"/>
      <c r="BK66" s="865"/>
      <c r="BL66" s="865"/>
      <c r="BM66" s="865"/>
      <c r="BN66" s="859"/>
      <c r="BO66" s="865"/>
      <c r="BP66" s="865"/>
      <c r="BQ66" s="865"/>
      <c r="BR66" s="865"/>
      <c r="BS66" s="859"/>
      <c r="BT66" s="865"/>
      <c r="BU66" s="865"/>
      <c r="BV66" s="865"/>
      <c r="BW66" s="865"/>
      <c r="BX66" s="859"/>
      <c r="BY66" s="865"/>
      <c r="BZ66" s="865"/>
      <c r="CA66" s="865"/>
      <c r="CB66" s="865"/>
      <c r="CC66" s="859"/>
      <c r="CD66" s="865"/>
      <c r="CE66" s="865"/>
      <c r="CF66" s="865"/>
      <c r="CG66" s="865"/>
      <c r="CH66" s="859"/>
      <c r="CI66" s="865"/>
      <c r="CJ66" s="865"/>
      <c r="CK66" s="865"/>
      <c r="CL66" s="865"/>
      <c r="CM66" s="859"/>
      <c r="CN66" s="865"/>
      <c r="CO66" s="865"/>
      <c r="CP66" s="865"/>
      <c r="CQ66" s="865"/>
      <c r="CR66" s="859"/>
      <c r="CS66" s="865"/>
      <c r="CT66" s="865"/>
      <c r="CU66" s="865"/>
      <c r="CV66" s="865"/>
      <c r="CW66" s="859"/>
      <c r="CX66" s="865"/>
      <c r="CY66" s="865"/>
      <c r="CZ66" s="865"/>
      <c r="DA66" s="865"/>
      <c r="DB66" s="859"/>
      <c r="DC66" s="9"/>
    </row>
    <row r="67" spans="1:107" hidden="1" outlineLevel="1">
      <c r="A67" s="1"/>
      <c r="B67" s="858" t="s">
        <v>448</v>
      </c>
      <c r="C67" s="830"/>
      <c r="D67" s="857"/>
      <c r="E67" s="856" t="str">
        <f t="shared" ref="E67:AJ67" si="268">IF(ABS(E45-E22)&lt;0.01,"ok",E45-E22)</f>
        <v>ok</v>
      </c>
      <c r="F67" s="856" t="str">
        <f t="shared" si="268"/>
        <v>ok</v>
      </c>
      <c r="G67" s="855" t="str">
        <f t="shared" si="268"/>
        <v>ok</v>
      </c>
      <c r="H67" s="855" t="str">
        <f t="shared" si="268"/>
        <v>ok</v>
      </c>
      <c r="I67" s="855" t="str">
        <f t="shared" si="268"/>
        <v>ok</v>
      </c>
      <c r="J67" s="855" t="str">
        <f t="shared" si="268"/>
        <v>ok</v>
      </c>
      <c r="K67" s="856" t="str">
        <f t="shared" si="268"/>
        <v>ok</v>
      </c>
      <c r="L67" s="855" t="str">
        <f t="shared" si="268"/>
        <v>ok</v>
      </c>
      <c r="M67" s="855" t="str">
        <f t="shared" si="268"/>
        <v>ok</v>
      </c>
      <c r="N67" s="855" t="str">
        <f t="shared" si="268"/>
        <v>ok</v>
      </c>
      <c r="O67" s="855" t="str">
        <f t="shared" si="268"/>
        <v>ok</v>
      </c>
      <c r="P67" s="856" t="str">
        <f t="shared" si="268"/>
        <v>ok</v>
      </c>
      <c r="Q67" s="855" t="str">
        <f t="shared" si="268"/>
        <v>ok</v>
      </c>
      <c r="R67" s="855" t="str">
        <f t="shared" si="268"/>
        <v>ok</v>
      </c>
      <c r="S67" s="855" t="str">
        <f t="shared" si="268"/>
        <v>ok</v>
      </c>
      <c r="T67" s="855" t="str">
        <f t="shared" si="268"/>
        <v>ok</v>
      </c>
      <c r="U67" s="856" t="str">
        <f t="shared" si="268"/>
        <v>ok</v>
      </c>
      <c r="V67" s="855" t="str">
        <f t="shared" si="268"/>
        <v>ok</v>
      </c>
      <c r="W67" s="855" t="str">
        <f t="shared" si="268"/>
        <v>ok</v>
      </c>
      <c r="X67" s="855" t="str">
        <f t="shared" si="268"/>
        <v>ok</v>
      </c>
      <c r="Y67" s="855" t="str">
        <f t="shared" si="268"/>
        <v>ok</v>
      </c>
      <c r="Z67" s="856" t="str">
        <f t="shared" si="268"/>
        <v>ok</v>
      </c>
      <c r="AA67" s="855" t="str">
        <f t="shared" si="268"/>
        <v>ok</v>
      </c>
      <c r="AB67" s="855" t="str">
        <f t="shared" si="268"/>
        <v>ok</v>
      </c>
      <c r="AC67" s="855" t="str">
        <f t="shared" si="268"/>
        <v>ok</v>
      </c>
      <c r="AD67" s="855" t="str">
        <f t="shared" si="268"/>
        <v>ok</v>
      </c>
      <c r="AE67" s="856" t="str">
        <f t="shared" si="268"/>
        <v>ok</v>
      </c>
      <c r="AF67" s="855" t="str">
        <f t="shared" si="268"/>
        <v>ok</v>
      </c>
      <c r="AG67" s="855" t="str">
        <f t="shared" si="268"/>
        <v>ok</v>
      </c>
      <c r="AH67" s="855" t="str">
        <f t="shared" si="268"/>
        <v>ok</v>
      </c>
      <c r="AI67" s="855" t="str">
        <f t="shared" si="268"/>
        <v>ok</v>
      </c>
      <c r="AJ67" s="856" t="str">
        <f t="shared" si="268"/>
        <v>ok</v>
      </c>
      <c r="AK67" s="855" t="str">
        <f t="shared" ref="AK67:BP67" si="269">IF(ABS(AK45-AK22)&lt;0.01,"ok",AK45-AK22)</f>
        <v>ok</v>
      </c>
      <c r="AL67" s="855" t="str">
        <f t="shared" si="269"/>
        <v>ok</v>
      </c>
      <c r="AM67" s="855" t="str">
        <f t="shared" si="269"/>
        <v>ok</v>
      </c>
      <c r="AN67" s="855" t="str">
        <f t="shared" si="269"/>
        <v>ok</v>
      </c>
      <c r="AO67" s="854" t="str">
        <f t="shared" si="269"/>
        <v>ok</v>
      </c>
      <c r="AP67" s="853" t="str">
        <f t="shared" si="269"/>
        <v>ok</v>
      </c>
      <c r="AQ67" s="853" t="str">
        <f t="shared" si="269"/>
        <v>ok</v>
      </c>
      <c r="AR67" s="853" t="str">
        <f t="shared" si="269"/>
        <v>ok</v>
      </c>
      <c r="AS67" s="853" t="str">
        <f t="shared" si="269"/>
        <v>ok</v>
      </c>
      <c r="AT67" s="854" t="str">
        <f t="shared" si="269"/>
        <v>ok</v>
      </c>
      <c r="AU67" s="853" t="str">
        <f t="shared" si="269"/>
        <v>ok</v>
      </c>
      <c r="AV67" s="853" t="str">
        <f t="shared" si="269"/>
        <v>ok</v>
      </c>
      <c r="AW67" s="853" t="str">
        <f t="shared" si="269"/>
        <v>ok</v>
      </c>
      <c r="AX67" s="853" t="str">
        <f t="shared" si="269"/>
        <v>ok</v>
      </c>
      <c r="AY67" s="854" t="str">
        <f t="shared" si="269"/>
        <v>ok</v>
      </c>
      <c r="AZ67" s="853" t="str">
        <f t="shared" si="269"/>
        <v>ok</v>
      </c>
      <c r="BA67" s="853" t="str">
        <f t="shared" si="269"/>
        <v>ok</v>
      </c>
      <c r="BB67" s="853" t="str">
        <f t="shared" si="269"/>
        <v>ok</v>
      </c>
      <c r="BC67" s="853" t="str">
        <f t="shared" si="269"/>
        <v>ok</v>
      </c>
      <c r="BD67" s="854" t="str">
        <f t="shared" si="269"/>
        <v>ok</v>
      </c>
      <c r="BE67" s="853" t="str">
        <f t="shared" si="269"/>
        <v>ok</v>
      </c>
      <c r="BF67" s="853" t="str">
        <f t="shared" si="269"/>
        <v>ok</v>
      </c>
      <c r="BG67" s="853" t="str">
        <f t="shared" si="269"/>
        <v>ok</v>
      </c>
      <c r="BH67" s="853" t="str">
        <f t="shared" si="269"/>
        <v>ok</v>
      </c>
      <c r="BI67" s="854" t="str">
        <f t="shared" si="269"/>
        <v>ok</v>
      </c>
      <c r="BJ67" s="853" t="str">
        <f t="shared" si="269"/>
        <v>ok</v>
      </c>
      <c r="BK67" s="853" t="str">
        <f t="shared" si="269"/>
        <v>ok</v>
      </c>
      <c r="BL67" s="853" t="str">
        <f t="shared" si="269"/>
        <v>ok</v>
      </c>
      <c r="BM67" s="853" t="str">
        <f t="shared" si="269"/>
        <v>ok</v>
      </c>
      <c r="BN67" s="854" t="str">
        <f t="shared" si="269"/>
        <v>ok</v>
      </c>
      <c r="BO67" s="853" t="str">
        <f t="shared" si="269"/>
        <v>ok</v>
      </c>
      <c r="BP67" s="853" t="str">
        <f t="shared" si="269"/>
        <v>ok</v>
      </c>
      <c r="BQ67" s="853" t="str">
        <f t="shared" ref="BQ67:CW67" si="270">IF(ABS(BQ45-BQ22)&lt;0.01,"ok",BQ45-BQ22)</f>
        <v>ok</v>
      </c>
      <c r="BR67" s="853" t="str">
        <f t="shared" si="270"/>
        <v>ok</v>
      </c>
      <c r="BS67" s="854" t="str">
        <f t="shared" si="270"/>
        <v>ok</v>
      </c>
      <c r="BT67" s="852" t="str">
        <f t="shared" si="270"/>
        <v>ok</v>
      </c>
      <c r="BU67" s="852" t="str">
        <f t="shared" si="270"/>
        <v>ok</v>
      </c>
      <c r="BV67" s="852" t="str">
        <f t="shared" si="270"/>
        <v>ok</v>
      </c>
      <c r="BW67" s="852" t="str">
        <f t="shared" si="270"/>
        <v>ok</v>
      </c>
      <c r="BX67" s="851" t="str">
        <f t="shared" si="270"/>
        <v>ok</v>
      </c>
      <c r="BY67" s="852" t="str">
        <f t="shared" si="270"/>
        <v>ok</v>
      </c>
      <c r="BZ67" s="852" t="str">
        <f t="shared" si="270"/>
        <v>ok</v>
      </c>
      <c r="CA67" s="852" t="str">
        <f t="shared" si="270"/>
        <v>ok</v>
      </c>
      <c r="CB67" s="852" t="str">
        <f t="shared" si="270"/>
        <v>ok</v>
      </c>
      <c r="CC67" s="851" t="str">
        <f t="shared" si="270"/>
        <v>ok</v>
      </c>
      <c r="CD67" s="852" t="str">
        <f t="shared" si="270"/>
        <v>ok</v>
      </c>
      <c r="CE67" s="852" t="str">
        <f t="shared" si="270"/>
        <v>ok</v>
      </c>
      <c r="CF67" s="852" t="str">
        <f t="shared" si="270"/>
        <v>ok</v>
      </c>
      <c r="CG67" s="852" t="str">
        <f t="shared" si="270"/>
        <v>ok</v>
      </c>
      <c r="CH67" s="851" t="str">
        <f t="shared" si="270"/>
        <v>ok</v>
      </c>
      <c r="CI67" s="852" t="str">
        <f>IF(ABS(CI45-CI22)&lt;0.01,"ok",CI45-CI22)</f>
        <v>ok</v>
      </c>
      <c r="CJ67" s="852" t="str">
        <f>IF(ABS(CJ45-CJ22)&lt;0.01,"ok",CJ45-CJ22)</f>
        <v>ok</v>
      </c>
      <c r="CK67" s="852" t="str">
        <f t="shared" si="270"/>
        <v>ok</v>
      </c>
      <c r="CL67" s="852" t="str">
        <f t="shared" si="270"/>
        <v>ok</v>
      </c>
      <c r="CM67" s="851" t="str">
        <f t="shared" si="270"/>
        <v>ok</v>
      </c>
      <c r="CN67" s="852" t="str">
        <f t="shared" ca="1" si="270"/>
        <v>ok</v>
      </c>
      <c r="CO67" s="852" t="str">
        <f t="shared" ca="1" si="270"/>
        <v>ok</v>
      </c>
      <c r="CP67" s="852" t="str">
        <f t="shared" ca="1" si="270"/>
        <v>ok</v>
      </c>
      <c r="CQ67" s="852" t="str">
        <f t="shared" ca="1" si="270"/>
        <v>ok</v>
      </c>
      <c r="CR67" s="851" t="str">
        <f t="shared" ca="1" si="270"/>
        <v>ok</v>
      </c>
      <c r="CS67" s="852" t="str">
        <f t="shared" ca="1" si="270"/>
        <v>ok</v>
      </c>
      <c r="CT67" s="852" t="str">
        <f t="shared" ca="1" si="270"/>
        <v>ok</v>
      </c>
      <c r="CU67" s="852" t="str">
        <f t="shared" ca="1" si="270"/>
        <v>ok</v>
      </c>
      <c r="CV67" s="852" t="str">
        <f t="shared" ca="1" si="270"/>
        <v>ok</v>
      </c>
      <c r="CW67" s="854" t="str">
        <f t="shared" ca="1" si="270"/>
        <v>ok</v>
      </c>
      <c r="CX67" s="852" t="str">
        <f t="shared" ref="CX67:DB67" ca="1" si="271">IF(ABS(CX45-CX22)&lt;0.01,"ok",CX45-CX22)</f>
        <v>ok</v>
      </c>
      <c r="CY67" s="852" t="str">
        <f t="shared" ca="1" si="271"/>
        <v>ok</v>
      </c>
      <c r="CZ67" s="852" t="str">
        <f t="shared" ca="1" si="271"/>
        <v>ok</v>
      </c>
      <c r="DA67" s="852" t="str">
        <f t="shared" ca="1" si="271"/>
        <v>ok</v>
      </c>
      <c r="DB67" s="854" t="str">
        <f t="shared" ca="1" si="271"/>
        <v>ok</v>
      </c>
      <c r="DC67" s="9"/>
    </row>
    <row r="68" spans="1:107" ht="3" hidden="1" customHeight="1" outlineLevel="1">
      <c r="A68" s="1"/>
      <c r="B68" s="9"/>
      <c r="C68" s="5"/>
      <c r="D68" s="876"/>
      <c r="E68" s="200"/>
      <c r="F68" s="200"/>
      <c r="G68" s="9"/>
      <c r="H68" s="9"/>
      <c r="I68" s="9"/>
      <c r="J68" s="9"/>
      <c r="K68" s="200"/>
      <c r="L68" s="9"/>
      <c r="M68" s="9"/>
      <c r="N68" s="9"/>
      <c r="O68" s="9"/>
      <c r="P68" s="200"/>
      <c r="Q68" s="9"/>
      <c r="R68" s="9"/>
      <c r="S68" s="9"/>
      <c r="T68" s="9"/>
      <c r="U68" s="850"/>
      <c r="V68" s="9"/>
      <c r="W68" s="9"/>
      <c r="X68" s="9"/>
      <c r="Y68" s="9"/>
      <c r="Z68" s="200"/>
      <c r="AA68" s="9"/>
      <c r="AB68" s="9"/>
      <c r="AC68" s="9"/>
      <c r="AD68" s="9"/>
      <c r="AE68" s="200"/>
      <c r="AF68" s="9"/>
      <c r="AG68" s="9"/>
      <c r="AH68" s="9"/>
      <c r="AI68" s="9"/>
      <c r="AJ68" s="200"/>
      <c r="AK68" s="9"/>
      <c r="AL68" s="9"/>
      <c r="AM68" s="9"/>
      <c r="AN68" s="9"/>
      <c r="AO68" s="200"/>
      <c r="AP68" s="9"/>
      <c r="AQ68" s="9"/>
      <c r="AR68" s="9"/>
      <c r="AS68" s="9"/>
      <c r="AT68" s="200"/>
      <c r="AU68" s="9"/>
      <c r="AV68" s="9"/>
      <c r="AW68" s="9"/>
      <c r="AX68" s="9"/>
      <c r="AY68" s="200"/>
      <c r="AZ68" s="9"/>
      <c r="BA68" s="9"/>
      <c r="BB68" s="9"/>
      <c r="BC68" s="9"/>
      <c r="BD68" s="200"/>
      <c r="BE68" s="9"/>
      <c r="BF68" s="9"/>
      <c r="BG68" s="9"/>
      <c r="BH68" s="9"/>
      <c r="BI68" s="200"/>
      <c r="BJ68" s="9"/>
      <c r="BK68" s="9"/>
      <c r="BL68" s="9"/>
      <c r="BM68" s="9"/>
      <c r="BN68" s="200"/>
      <c r="BO68" s="9"/>
      <c r="BP68" s="9"/>
      <c r="BQ68" s="9"/>
      <c r="BR68" s="9"/>
      <c r="BS68" s="200"/>
      <c r="BT68" s="9"/>
      <c r="BU68" s="9"/>
      <c r="BV68" s="9"/>
      <c r="BW68" s="9"/>
      <c r="BX68" s="200"/>
      <c r="BY68" s="9"/>
      <c r="BZ68" s="9"/>
      <c r="CA68" s="9"/>
      <c r="CB68" s="9"/>
      <c r="CC68" s="200"/>
      <c r="CD68" s="9"/>
      <c r="CE68" s="9"/>
      <c r="CF68" s="9"/>
      <c r="CG68" s="9"/>
      <c r="CH68" s="200"/>
      <c r="CI68" s="9"/>
      <c r="CJ68" s="9"/>
      <c r="CK68" s="9"/>
      <c r="CL68" s="9"/>
      <c r="CM68" s="200"/>
      <c r="CN68" s="9"/>
      <c r="CO68" s="9"/>
      <c r="CP68" s="9"/>
      <c r="CQ68" s="9"/>
      <c r="CR68" s="200"/>
      <c r="CS68" s="9"/>
      <c r="CT68" s="9"/>
      <c r="CU68" s="9"/>
      <c r="CV68" s="9"/>
      <c r="CW68" s="200"/>
      <c r="CX68" s="9"/>
      <c r="CY68" s="9"/>
      <c r="CZ68" s="9"/>
      <c r="DA68" s="9"/>
      <c r="DB68" s="200"/>
      <c r="DC68" s="9"/>
    </row>
    <row r="69" spans="1:107" hidden="1" outlineLevel="1">
      <c r="A69" s="1"/>
      <c r="B69" s="9" t="s">
        <v>449</v>
      </c>
      <c r="C69" s="849"/>
      <c r="D69" s="848">
        <f t="shared" ref="D69:Z69" si="272">D105+D132+D133+D128+D104</f>
        <v>0</v>
      </c>
      <c r="E69" s="866">
        <f t="shared" si="272"/>
        <v>0</v>
      </c>
      <c r="F69" s="866">
        <f t="shared" si="272"/>
        <v>515.23399999999992</v>
      </c>
      <c r="G69" s="268">
        <f t="shared" si="272"/>
        <v>-7.1000000000000008E-2</v>
      </c>
      <c r="H69" s="268">
        <f t="shared" si="272"/>
        <v>2.2910000000000004</v>
      </c>
      <c r="I69" s="268">
        <f t="shared" si="272"/>
        <v>3.4379999999999997</v>
      </c>
      <c r="J69" s="268">
        <f t="shared" si="272"/>
        <v>303.46300000000002</v>
      </c>
      <c r="K69" s="866">
        <f t="shared" si="272"/>
        <v>309.12099999999998</v>
      </c>
      <c r="L69" s="268">
        <f t="shared" si="272"/>
        <v>0.81</v>
      </c>
      <c r="M69" s="268">
        <f t="shared" si="272"/>
        <v>6.0819999999999999</v>
      </c>
      <c r="N69" s="268">
        <f t="shared" si="272"/>
        <v>-2.6440000000000001</v>
      </c>
      <c r="O69" s="268">
        <f t="shared" si="272"/>
        <v>0.55500000000000016</v>
      </c>
      <c r="P69" s="866">
        <f t="shared" si="272"/>
        <v>4.8029999999999999</v>
      </c>
      <c r="Q69" s="268">
        <f t="shared" si="272"/>
        <v>-9.7809999999999988</v>
      </c>
      <c r="R69" s="268">
        <f t="shared" si="272"/>
        <v>-0.92600000000000049</v>
      </c>
      <c r="S69" s="268">
        <f t="shared" si="272"/>
        <v>-0.16100000000000092</v>
      </c>
      <c r="T69" s="268">
        <f t="shared" si="272"/>
        <v>2.4240000000000004</v>
      </c>
      <c r="U69" s="866">
        <f t="shared" si="272"/>
        <v>-8.4440000000000008</v>
      </c>
      <c r="V69" s="268">
        <f t="shared" si="272"/>
        <v>1.387</v>
      </c>
      <c r="W69" s="268">
        <f t="shared" si="272"/>
        <v>1.526</v>
      </c>
      <c r="X69" s="268">
        <f t="shared" si="272"/>
        <v>-288.233</v>
      </c>
      <c r="Y69" s="268">
        <f t="shared" si="272"/>
        <v>6.2800000000000136</v>
      </c>
      <c r="Z69" s="866">
        <f t="shared" si="272"/>
        <v>-279.04000000000002</v>
      </c>
      <c r="AA69" s="268">
        <f t="shared" ref="AA69:BN69" si="273">AA105+AA132+AA133+AA128+AA104</f>
        <v>12.951000000000001</v>
      </c>
      <c r="AB69" s="268">
        <f t="shared" si="273"/>
        <v>15.722999999999999</v>
      </c>
      <c r="AC69" s="268">
        <f t="shared" si="273"/>
        <v>-62.192999999999998</v>
      </c>
      <c r="AD69" s="268">
        <f t="shared" si="273"/>
        <v>11.306999999999997</v>
      </c>
      <c r="AE69" s="866">
        <f t="shared" si="273"/>
        <v>-22.212000000000003</v>
      </c>
      <c r="AF69" s="268">
        <f t="shared" si="273"/>
        <v>-1.9290000000000003</v>
      </c>
      <c r="AG69" s="268">
        <f t="shared" si="273"/>
        <v>-117.024</v>
      </c>
      <c r="AH69" s="268">
        <f t="shared" si="273"/>
        <v>10.100000000000001</v>
      </c>
      <c r="AI69" s="268">
        <f t="shared" si="273"/>
        <v>-30.022000000000002</v>
      </c>
      <c r="AJ69" s="866">
        <f t="shared" si="273"/>
        <v>-138.875</v>
      </c>
      <c r="AK69" s="268">
        <f t="shared" si="273"/>
        <v>9.8339999999999996</v>
      </c>
      <c r="AL69" s="268">
        <f t="shared" si="273"/>
        <v>11.972</v>
      </c>
      <c r="AM69" s="268">
        <f t="shared" si="273"/>
        <v>16.841000000000001</v>
      </c>
      <c r="AN69" s="268">
        <f t="shared" si="273"/>
        <v>24.334000000000003</v>
      </c>
      <c r="AO69" s="866">
        <f t="shared" si="273"/>
        <v>62.981000000000002</v>
      </c>
      <c r="AP69" s="268">
        <f t="shared" si="273"/>
        <v>23.021999999999998</v>
      </c>
      <c r="AQ69" s="268">
        <f t="shared" si="273"/>
        <v>12.820999999999998</v>
      </c>
      <c r="AR69" s="268">
        <f t="shared" si="273"/>
        <v>16.920000000000002</v>
      </c>
      <c r="AS69" s="268">
        <f t="shared" si="273"/>
        <v>-48.939</v>
      </c>
      <c r="AT69" s="866">
        <f t="shared" si="273"/>
        <v>3.823999999999991</v>
      </c>
      <c r="AU69" s="268">
        <f t="shared" si="273"/>
        <v>26.271999999999998</v>
      </c>
      <c r="AV69" s="268">
        <f t="shared" si="273"/>
        <v>30.518000000000001</v>
      </c>
      <c r="AW69" s="268">
        <f t="shared" si="273"/>
        <v>32.472000000000001</v>
      </c>
      <c r="AX69" s="268">
        <f t="shared" si="273"/>
        <v>-32.002000000000002</v>
      </c>
      <c r="AY69" s="866">
        <f t="shared" si="273"/>
        <v>57.26</v>
      </c>
      <c r="AZ69" s="268">
        <f t="shared" si="273"/>
        <v>33.730000000000004</v>
      </c>
      <c r="BA69" s="268">
        <f t="shared" si="273"/>
        <v>28.061</v>
      </c>
      <c r="BB69" s="268">
        <f t="shared" si="273"/>
        <v>-85.985000000000014</v>
      </c>
      <c r="BC69" s="268">
        <f t="shared" si="273"/>
        <v>5.9280000000000044</v>
      </c>
      <c r="BD69" s="866">
        <f t="shared" si="273"/>
        <v>-18.265999999999991</v>
      </c>
      <c r="BE69" s="268">
        <f t="shared" si="273"/>
        <v>28.042999999999999</v>
      </c>
      <c r="BF69" s="268">
        <f t="shared" si="273"/>
        <v>-38.481999999999999</v>
      </c>
      <c r="BG69" s="268">
        <f t="shared" si="273"/>
        <v>-24.883000000000003</v>
      </c>
      <c r="BH69" s="268">
        <f t="shared" si="273"/>
        <v>10.984000000000002</v>
      </c>
      <c r="BI69" s="866">
        <f t="shared" si="273"/>
        <v>-24.338000000000005</v>
      </c>
      <c r="BJ69" s="268">
        <f t="shared" si="273"/>
        <v>10.802999999999999</v>
      </c>
      <c r="BK69" s="268">
        <f t="shared" si="273"/>
        <v>11.09</v>
      </c>
      <c r="BL69" s="268">
        <f>BL105+BL132+BL133+BL128+BL104</f>
        <v>14.565000000000001</v>
      </c>
      <c r="BM69" s="268">
        <f t="shared" si="273"/>
        <v>25.296000000000003</v>
      </c>
      <c r="BN69" s="866">
        <f t="shared" si="273"/>
        <v>61.754000000000005</v>
      </c>
      <c r="BO69" s="268">
        <f>BO105+BO132+BO133+BO128+BO104</f>
        <v>64.661000000000001</v>
      </c>
      <c r="BP69" s="268">
        <f t="shared" ref="BP69:CB69" si="274">BP105+BP132+BP133+BP128+BP104</f>
        <v>31.261000000000003</v>
      </c>
      <c r="BQ69" s="268">
        <f>BQ105+BQ132+BQ133+BQ128+BQ104</f>
        <v>14.434000000000001</v>
      </c>
      <c r="BR69" s="268">
        <f t="shared" si="274"/>
        <v>11.573999999999991</v>
      </c>
      <c r="BS69" s="866">
        <f t="shared" si="274"/>
        <v>121.92999999999999</v>
      </c>
      <c r="BT69" s="268">
        <f t="shared" si="274"/>
        <v>17</v>
      </c>
      <c r="BU69" s="268">
        <f t="shared" si="274"/>
        <v>19</v>
      </c>
      <c r="BV69" s="268">
        <f t="shared" si="274"/>
        <v>42</v>
      </c>
      <c r="BW69" s="268">
        <f t="shared" si="274"/>
        <v>32</v>
      </c>
      <c r="BX69" s="866">
        <f t="shared" si="274"/>
        <v>110</v>
      </c>
      <c r="BY69" s="268">
        <f t="shared" si="274"/>
        <v>31</v>
      </c>
      <c r="BZ69" s="268">
        <f t="shared" si="274"/>
        <v>21</v>
      </c>
      <c r="CA69" s="268">
        <f>CA105+CA132+CA133+CA128+CA104</f>
        <v>16</v>
      </c>
      <c r="CB69" s="268">
        <f t="shared" si="274"/>
        <v>-143</v>
      </c>
      <c r="CC69" s="866">
        <f t="shared" ref="CC69:CH69" si="275">CC105+CC132+CC133+CC128+CC104</f>
        <v>-75</v>
      </c>
      <c r="CD69" s="268">
        <f t="shared" si="275"/>
        <v>14</v>
      </c>
      <c r="CE69" s="268">
        <f t="shared" ref="CE69:CF69" si="276">CE105+CE132+CE133+CE128+CE104</f>
        <v>12</v>
      </c>
      <c r="CF69" s="268">
        <f t="shared" si="276"/>
        <v>10</v>
      </c>
      <c r="CG69" s="268">
        <f t="shared" si="275"/>
        <v>10</v>
      </c>
      <c r="CH69" s="866">
        <f t="shared" si="275"/>
        <v>46</v>
      </c>
      <c r="CI69" s="268">
        <f t="shared" ref="CI69" si="277">CI105+CI132+CI133+CI128+CI104</f>
        <v>9</v>
      </c>
      <c r="CJ69" s="268">
        <f t="shared" ref="CJ69:DA69" si="278">CJ105+CJ132+CJ133+CJ128+CJ104</f>
        <v>6</v>
      </c>
      <c r="CK69" s="268">
        <f t="shared" si="278"/>
        <v>5</v>
      </c>
      <c r="CL69" s="268">
        <f t="shared" si="278"/>
        <v>4</v>
      </c>
      <c r="CM69" s="866">
        <f t="shared" si="278"/>
        <v>24</v>
      </c>
      <c r="CN69" s="268">
        <f t="shared" si="278"/>
        <v>9</v>
      </c>
      <c r="CO69" s="268">
        <f t="shared" si="278"/>
        <v>9</v>
      </c>
      <c r="CP69" s="268">
        <f t="shared" si="278"/>
        <v>9</v>
      </c>
      <c r="CQ69" s="268">
        <f t="shared" si="278"/>
        <v>9</v>
      </c>
      <c r="CR69" s="866">
        <f t="shared" si="278"/>
        <v>36</v>
      </c>
      <c r="CS69" s="268">
        <f t="shared" ref="CS69:CV69" si="279">CS105+CS132+CS133+CS128+CS104</f>
        <v>9</v>
      </c>
      <c r="CT69" s="268">
        <f t="shared" si="279"/>
        <v>9</v>
      </c>
      <c r="CU69" s="268">
        <f t="shared" si="279"/>
        <v>9</v>
      </c>
      <c r="CV69" s="268">
        <f t="shared" si="279"/>
        <v>9</v>
      </c>
      <c r="CW69" s="866">
        <f t="shared" si="278"/>
        <v>36</v>
      </c>
      <c r="CX69" s="268">
        <f t="shared" si="278"/>
        <v>9</v>
      </c>
      <c r="CY69" s="268">
        <f t="shared" si="278"/>
        <v>9</v>
      </c>
      <c r="CZ69" s="268">
        <f t="shared" si="278"/>
        <v>9</v>
      </c>
      <c r="DA69" s="268">
        <f t="shared" si="278"/>
        <v>9</v>
      </c>
      <c r="DB69" s="866">
        <f t="shared" ref="DB69" si="280">DB105+DB132+DB133+DB128+DB104</f>
        <v>36</v>
      </c>
      <c r="DC69" s="9"/>
    </row>
    <row r="70" spans="1:107" hidden="1" outlineLevel="1">
      <c r="A70" s="1"/>
      <c r="B70" s="9" t="s">
        <v>450</v>
      </c>
      <c r="C70" s="849"/>
      <c r="D70" s="848">
        <v>0</v>
      </c>
      <c r="E70" s="866">
        <v>0</v>
      </c>
      <c r="F70" s="866">
        <v>0</v>
      </c>
      <c r="G70" s="268">
        <v>0</v>
      </c>
      <c r="H70" s="268">
        <v>0</v>
      </c>
      <c r="I70" s="268">
        <v>0</v>
      </c>
      <c r="J70" s="268">
        <v>0</v>
      </c>
      <c r="K70" s="866">
        <v>0</v>
      </c>
      <c r="L70" s="268">
        <v>0</v>
      </c>
      <c r="M70" s="268">
        <v>0</v>
      </c>
      <c r="N70" s="268">
        <v>0</v>
      </c>
      <c r="O70" s="268">
        <v>0</v>
      </c>
      <c r="P70" s="866">
        <v>0</v>
      </c>
      <c r="Q70" s="268">
        <v>0</v>
      </c>
      <c r="R70" s="268">
        <v>0</v>
      </c>
      <c r="S70" s="268">
        <v>0</v>
      </c>
      <c r="T70" s="268">
        <v>0</v>
      </c>
      <c r="U70" s="866">
        <v>0</v>
      </c>
      <c r="V70" s="268">
        <v>0</v>
      </c>
      <c r="W70" s="268">
        <v>0</v>
      </c>
      <c r="X70" s="268">
        <v>0</v>
      </c>
      <c r="Y70" s="268">
        <v>0</v>
      </c>
      <c r="Z70" s="866">
        <v>0</v>
      </c>
      <c r="AA70" s="268">
        <v>0</v>
      </c>
      <c r="AB70" s="268">
        <v>0</v>
      </c>
      <c r="AC70" s="268">
        <v>0</v>
      </c>
      <c r="AD70" s="268">
        <v>0</v>
      </c>
      <c r="AE70" s="866">
        <v>0</v>
      </c>
      <c r="AF70" s="268">
        <v>0</v>
      </c>
      <c r="AG70" s="268">
        <v>0</v>
      </c>
      <c r="AH70" s="268">
        <v>0</v>
      </c>
      <c r="AI70" s="268">
        <v>0</v>
      </c>
      <c r="AJ70" s="866">
        <v>0</v>
      </c>
      <c r="AK70" s="268">
        <v>0</v>
      </c>
      <c r="AL70" s="268">
        <v>0</v>
      </c>
      <c r="AM70" s="268">
        <v>0</v>
      </c>
      <c r="AN70" s="268">
        <v>0</v>
      </c>
      <c r="AO70" s="866">
        <v>0</v>
      </c>
      <c r="AP70" s="268">
        <v>0</v>
      </c>
      <c r="AQ70" s="268">
        <v>0</v>
      </c>
      <c r="AR70" s="268">
        <v>0</v>
      </c>
      <c r="AS70" s="268">
        <v>0</v>
      </c>
      <c r="AT70" s="866">
        <v>0</v>
      </c>
      <c r="AU70" s="268">
        <v>0</v>
      </c>
      <c r="AV70" s="268">
        <v>0</v>
      </c>
      <c r="AW70" s="268">
        <v>0</v>
      </c>
      <c r="AX70" s="268">
        <v>0</v>
      </c>
      <c r="AY70" s="866">
        <v>0</v>
      </c>
      <c r="AZ70" s="268">
        <v>0</v>
      </c>
      <c r="BA70" s="268">
        <v>0</v>
      </c>
      <c r="BB70" s="268">
        <v>0</v>
      </c>
      <c r="BC70" s="268">
        <v>0</v>
      </c>
      <c r="BD70" s="866">
        <v>0</v>
      </c>
      <c r="BE70" s="268">
        <v>0</v>
      </c>
      <c r="BF70" s="268">
        <v>0</v>
      </c>
      <c r="BG70" s="268">
        <v>0</v>
      </c>
      <c r="BH70" s="268">
        <v>0</v>
      </c>
      <c r="BI70" s="866">
        <v>0</v>
      </c>
      <c r="BJ70" s="268">
        <v>0</v>
      </c>
      <c r="BK70" s="268">
        <v>0</v>
      </c>
      <c r="BL70" s="268">
        <v>0</v>
      </c>
      <c r="BM70" s="268">
        <v>0</v>
      </c>
      <c r="BN70" s="866">
        <v>0</v>
      </c>
      <c r="BO70" s="268">
        <v>0</v>
      </c>
      <c r="BP70" s="268">
        <v>0</v>
      </c>
      <c r="BQ70" s="268">
        <v>1</v>
      </c>
      <c r="BR70" s="268">
        <v>0</v>
      </c>
      <c r="BS70" s="866">
        <v>0</v>
      </c>
      <c r="BT70" s="268">
        <v>0</v>
      </c>
      <c r="BU70" s="268">
        <v>0</v>
      </c>
      <c r="BV70" s="268">
        <v>0</v>
      </c>
      <c r="BW70" s="268">
        <v>0</v>
      </c>
      <c r="BX70" s="866">
        <v>0</v>
      </c>
      <c r="BY70" s="268">
        <v>0</v>
      </c>
      <c r="BZ70" s="268">
        <v>0</v>
      </c>
      <c r="CA70" s="268">
        <v>1</v>
      </c>
      <c r="CB70" s="268">
        <v>0</v>
      </c>
      <c r="CC70" s="866">
        <v>0</v>
      </c>
      <c r="CD70" s="268">
        <v>0</v>
      </c>
      <c r="CE70" s="268">
        <v>1</v>
      </c>
      <c r="CF70" s="268">
        <v>2</v>
      </c>
      <c r="CG70" s="268">
        <v>0</v>
      </c>
      <c r="CH70" s="866">
        <v>0</v>
      </c>
      <c r="CI70" s="268">
        <v>0</v>
      </c>
      <c r="CJ70" s="268">
        <v>0</v>
      </c>
      <c r="CK70" s="268">
        <v>0</v>
      </c>
      <c r="CL70" s="268">
        <v>0</v>
      </c>
      <c r="CM70" s="866">
        <v>0</v>
      </c>
      <c r="CN70" s="268">
        <v>0</v>
      </c>
      <c r="CO70" s="268">
        <v>0</v>
      </c>
      <c r="CP70" s="268">
        <v>0</v>
      </c>
      <c r="CQ70" s="268">
        <v>0</v>
      </c>
      <c r="CR70" s="866">
        <v>0</v>
      </c>
      <c r="CS70" s="268">
        <v>0</v>
      </c>
      <c r="CT70" s="268">
        <v>0</v>
      </c>
      <c r="CU70" s="268">
        <v>0</v>
      </c>
      <c r="CV70" s="268">
        <v>0</v>
      </c>
      <c r="CW70" s="866">
        <v>0</v>
      </c>
      <c r="CX70" s="268">
        <v>0</v>
      </c>
      <c r="CY70" s="268">
        <v>0</v>
      </c>
      <c r="CZ70" s="268">
        <v>0</v>
      </c>
      <c r="DA70" s="268">
        <v>0</v>
      </c>
      <c r="DB70" s="866">
        <v>0</v>
      </c>
      <c r="DC70" s="9"/>
    </row>
    <row r="71" spans="1:107" hidden="1" outlineLevel="1">
      <c r="A71" s="1"/>
      <c r="B71" s="9"/>
      <c r="C71" s="5"/>
      <c r="D71" s="876"/>
      <c r="E71" s="200"/>
      <c r="F71" s="200"/>
      <c r="G71" s="268"/>
      <c r="H71" s="268"/>
      <c r="I71" s="268"/>
      <c r="J71" s="268"/>
      <c r="K71" s="866"/>
      <c r="L71" s="268"/>
      <c r="M71" s="268"/>
      <c r="N71" s="268"/>
      <c r="O71" s="268"/>
      <c r="P71" s="866"/>
      <c r="Q71" s="268"/>
      <c r="R71" s="268"/>
      <c r="S71" s="268"/>
      <c r="T71" s="268"/>
      <c r="U71" s="866"/>
      <c r="V71" s="268"/>
      <c r="W71" s="268"/>
      <c r="X71" s="268"/>
      <c r="Y71" s="268"/>
      <c r="Z71" s="866"/>
      <c r="AA71" s="268"/>
      <c r="AB71" s="268"/>
      <c r="AC71" s="268"/>
      <c r="AD71" s="268"/>
      <c r="AE71" s="866"/>
      <c r="AF71" s="268"/>
      <c r="AG71" s="268"/>
      <c r="AH71" s="268"/>
      <c r="AI71" s="268"/>
      <c r="AJ71" s="866"/>
      <c r="AK71" s="268"/>
      <c r="AL71" s="268"/>
      <c r="AM71" s="268"/>
      <c r="AN71" s="268"/>
      <c r="AO71" s="866"/>
      <c r="AP71" s="9"/>
      <c r="AQ71" s="9"/>
      <c r="AR71" s="9"/>
      <c r="AS71" s="9"/>
      <c r="AT71" s="200"/>
      <c r="AU71" s="9"/>
      <c r="AV71" s="9"/>
      <c r="AW71" s="9"/>
      <c r="AX71" s="9"/>
      <c r="AY71" s="200"/>
      <c r="AZ71" s="9"/>
      <c r="BA71" s="9"/>
      <c r="BB71" s="9"/>
      <c r="BC71" s="9"/>
      <c r="BD71" s="200"/>
      <c r="BE71" s="9"/>
      <c r="BF71" s="9"/>
      <c r="BG71" s="9"/>
      <c r="BH71" s="9"/>
      <c r="BI71" s="200"/>
      <c r="BJ71" s="9"/>
      <c r="BK71" s="9"/>
      <c r="BL71" s="9"/>
      <c r="BM71" s="9"/>
      <c r="BN71" s="200"/>
      <c r="BO71" s="9"/>
      <c r="BP71" s="9"/>
      <c r="BQ71" s="9"/>
      <c r="BR71" s="9"/>
      <c r="BS71" s="200"/>
      <c r="BT71" s="9"/>
      <c r="BU71" s="9"/>
      <c r="BV71" s="9"/>
      <c r="BW71" s="9"/>
      <c r="BX71" s="200"/>
      <c r="BY71" s="9"/>
      <c r="BZ71" s="9"/>
      <c r="CA71" s="9"/>
      <c r="CB71" s="9"/>
      <c r="CC71" s="200"/>
      <c r="CD71" s="9"/>
      <c r="CE71" s="9"/>
      <c r="CF71" s="9"/>
      <c r="CG71" s="9"/>
      <c r="CH71" s="200"/>
      <c r="CI71" s="9"/>
      <c r="CJ71" s="9"/>
      <c r="CK71" s="9"/>
      <c r="CL71" s="9"/>
      <c r="CM71" s="200"/>
      <c r="CN71" s="9"/>
      <c r="CO71" s="9"/>
      <c r="CP71" s="9"/>
      <c r="CQ71" s="9"/>
      <c r="CR71" s="200"/>
      <c r="CS71" s="9"/>
      <c r="CT71" s="9"/>
      <c r="CU71" s="9"/>
      <c r="CV71" s="9"/>
      <c r="CW71" s="200"/>
      <c r="CX71" s="9"/>
      <c r="CY71" s="9"/>
      <c r="CZ71" s="9"/>
      <c r="DA71" s="9"/>
      <c r="DB71" s="200"/>
      <c r="DC71" s="9"/>
    </row>
    <row r="72" spans="1:107" hidden="1" outlineLevel="1">
      <c r="A72" s="1"/>
      <c r="B72" s="847" t="s">
        <v>466</v>
      </c>
      <c r="C72" s="5"/>
      <c r="D72" s="876"/>
      <c r="E72" s="200"/>
      <c r="F72" s="201"/>
      <c r="G72" s="708">
        <f>IS!G6*G11/IS!G8</f>
        <v>70.690790051298791</v>
      </c>
      <c r="H72" s="708">
        <f>IS!H6*H11/IS!H8</f>
        <v>71.840265496658859</v>
      </c>
      <c r="I72" s="708">
        <f>IS!I6*I11/IS!I8</f>
        <v>73.883308647546983</v>
      </c>
      <c r="J72" s="708">
        <f>IS!J6*J11/IS!J8</f>
        <v>71.297678334331579</v>
      </c>
      <c r="K72" s="201">
        <f>AVERAGE(G72:J72)</f>
        <v>71.928010632459049</v>
      </c>
      <c r="L72" s="708">
        <f>IS!L6*L11/IS!L8</f>
        <v>68.967234531478738</v>
      </c>
      <c r="M72" s="708">
        <f>IS!M6*M11/IS!M8</f>
        <v>64.460577252903406</v>
      </c>
      <c r="N72" s="708">
        <f>IS!N6*N11/IS!N8</f>
        <v>65.030090025884462</v>
      </c>
      <c r="O72" s="708">
        <f>IS!O6*O11/IS!O8</f>
        <v>63.140089978148168</v>
      </c>
      <c r="P72" s="201">
        <f>AVERAGE(L72:O72)</f>
        <v>65.399497947103697</v>
      </c>
      <c r="Q72" s="708">
        <f>IS!Q6*Q11/IS!Q8</f>
        <v>63.450780172825681</v>
      </c>
      <c r="R72" s="708">
        <f>IS!R6*R11/IS!R8</f>
        <v>56.913332410355807</v>
      </c>
      <c r="S72" s="708">
        <f>IS!S6*S11/IS!S8</f>
        <v>62.619427901225684</v>
      </c>
      <c r="T72" s="708">
        <f>IS!T6*T11/IS!T8</f>
        <v>64.697929139959143</v>
      </c>
      <c r="U72" s="201">
        <f>AVERAGE(Q72:T72)</f>
        <v>61.920367406091579</v>
      </c>
      <c r="V72" s="708">
        <f>IS!V6*V11/IS!V8</f>
        <v>64.60867656643677</v>
      </c>
      <c r="W72" s="708">
        <f>IS!W6*W11/IS!W8</f>
        <v>61.777452502184552</v>
      </c>
      <c r="X72" s="708">
        <f>IS!X6*X11/IS!X8</f>
        <v>62.992391301772194</v>
      </c>
      <c r="Y72" s="708">
        <f>IS!Y6*Y11/IS!Y8</f>
        <v>63.03741425970518</v>
      </c>
      <c r="Z72" s="201">
        <f>AVERAGE(V72:Y72)</f>
        <v>63.103983657524672</v>
      </c>
      <c r="AA72" s="708">
        <f>IS!AA6*AA11/IS!AA8</f>
        <v>59.717987371295301</v>
      </c>
      <c r="AB72" s="708">
        <f>IS!AB6*AB11/IS!AB8</f>
        <v>60.881145248052178</v>
      </c>
      <c r="AC72" s="708">
        <f>IS!AC6*AC11/IS!AC8</f>
        <v>62.357943717050709</v>
      </c>
      <c r="AD72" s="708">
        <f>IS!AD6*AD11/IS!AD8</f>
        <v>61.456584561181991</v>
      </c>
      <c r="AE72" s="201">
        <f>AVERAGE(AA72:AD72)</f>
        <v>61.103415224395043</v>
      </c>
      <c r="AF72" s="708">
        <f>IS!AF6*AF11/IS!AF8</f>
        <v>61.288095604551899</v>
      </c>
      <c r="AG72" s="708">
        <f>IS!AG6*AG11/IS!AG8</f>
        <v>62.40927228962898</v>
      </c>
      <c r="AH72" s="708">
        <f>IS!AH6*AH11/IS!AH8</f>
        <v>61.050764453044685</v>
      </c>
      <c r="AI72" s="708">
        <f>IS!AI6*AI11/IS!AI8</f>
        <v>61.678602518716268</v>
      </c>
      <c r="AJ72" s="201">
        <f>AVERAGE(AF72:AI72)</f>
        <v>61.606683716485456</v>
      </c>
      <c r="AK72" s="708">
        <f>IS!AK6*AK11/IS!AK8</f>
        <v>61.108731998501653</v>
      </c>
      <c r="AL72" s="708">
        <f>IS!AL6*AL11/IS!AL8</f>
        <v>63.855419940950817</v>
      </c>
      <c r="AM72" s="708">
        <f>IS!AM6*AM11/IS!AM8</f>
        <v>71.563534852239741</v>
      </c>
      <c r="AN72" s="708">
        <f>IS!AN6*AN11/IS!AN8</f>
        <v>55.811047714272831</v>
      </c>
      <c r="AO72" s="201">
        <f>AVERAGE(AK72:AN72)</f>
        <v>63.084683626491262</v>
      </c>
      <c r="AP72" s="708">
        <f>IS!AP6*AP11/IS!AP8</f>
        <v>54.237194937295463</v>
      </c>
      <c r="AQ72" s="708">
        <f>IS!AQ6*AQ11/IS!AQ8</f>
        <v>54.239530959637264</v>
      </c>
      <c r="AR72" s="708">
        <f>IS!AR6*AR11/IS!AR8</f>
        <v>54.506697056468774</v>
      </c>
      <c r="AS72" s="708">
        <f>IS!AS6*AS11/IS!AS8</f>
        <v>53.768670936268123</v>
      </c>
      <c r="AT72" s="201">
        <f>AVERAGE(AP72:AS72)</f>
        <v>54.188023472417399</v>
      </c>
      <c r="AU72" s="708">
        <f>IS!AU6*AU11/IS!AU8</f>
        <v>51.152406833103427</v>
      </c>
      <c r="AV72" s="708">
        <f>IS!AV6*AV11/IS!AV8</f>
        <v>50.007604672383899</v>
      </c>
      <c r="AW72" s="708">
        <f>IS!AW6*AW11/IS!AW8</f>
        <v>49.963032399375784</v>
      </c>
      <c r="AX72" s="708">
        <f>IS!AX6*AX11/IS!AX8</f>
        <v>48.152716177107131</v>
      </c>
      <c r="AY72" s="201">
        <f>AVERAGE(AU72:AX72)</f>
        <v>49.818940020492555</v>
      </c>
      <c r="AZ72" s="708">
        <f>IS!AZ6*AZ11/IS!AZ8</f>
        <v>48.751402369458624</v>
      </c>
      <c r="BA72" s="708">
        <f>IS!BA6*BA11/IS!BA8</f>
        <v>48.263182177113769</v>
      </c>
      <c r="BB72" s="708">
        <f>IS!BB6*BB11/IS!BB8</f>
        <v>46.717952802151252</v>
      </c>
      <c r="BC72" s="708">
        <f>IS!BC6*BC11/IS!BC8</f>
        <v>46.356690380195253</v>
      </c>
      <c r="BD72" s="201">
        <f>AVERAGE(AZ72:BC72)</f>
        <v>47.522306932229725</v>
      </c>
      <c r="BE72" s="708">
        <f>IS!BE6*BE11/IS!BE8</f>
        <v>46.676950508935668</v>
      </c>
      <c r="BF72" s="708">
        <f>IS!BF6*BF11/IS!BF8</f>
        <v>47.500549386705039</v>
      </c>
      <c r="BG72" s="708">
        <f>IS!BG6*BG11/IS!BG8</f>
        <v>47.475989522700814</v>
      </c>
      <c r="BH72" s="708">
        <f>IS!BH6*BH11/IS!BH8</f>
        <v>49.017480829417103</v>
      </c>
      <c r="BI72" s="201">
        <f>AVERAGE(BE72:BH72)</f>
        <v>47.667742561939654</v>
      </c>
      <c r="BJ72" s="708">
        <f>IS!BJ6*BJ11/IS!BJ8</f>
        <v>48.573623407588386</v>
      </c>
      <c r="BK72" s="708">
        <f>IS!BK6*BK11/IS!BK8</f>
        <v>49.922638844253775</v>
      </c>
      <c r="BL72" s="708">
        <f>IS!BL6*BL11/IS!BL8</f>
        <v>52.044795019072616</v>
      </c>
      <c r="BM72" s="708">
        <f>IS!BM6*BM11/IS!BM8</f>
        <v>50.563302467913239</v>
      </c>
      <c r="BN72" s="201">
        <f>AVERAGE(BJ72:BM72)</f>
        <v>50.276089934707002</v>
      </c>
      <c r="BO72" s="708">
        <f>IS!BO6*BO11/IS!BO8</f>
        <v>52.467093559137901</v>
      </c>
      <c r="BP72" s="708">
        <f>IS!BP6*BP11/IS!BP8</f>
        <v>52.479912613459462</v>
      </c>
      <c r="BQ72" s="708">
        <f>IS!BQ6*BQ11/IS!BQ8</f>
        <v>56.140781393812787</v>
      </c>
      <c r="BR72" s="708">
        <f>IS!BR6*BR11/IS!BR8</f>
        <v>57.83796557628034</v>
      </c>
      <c r="BS72" s="201">
        <f>AVERAGE(BO72:BR72)</f>
        <v>54.731438285672624</v>
      </c>
      <c r="BT72" s="708">
        <f>IS!BT6*BT11/IS!BT8</f>
        <v>57.471428571428568</v>
      </c>
      <c r="BU72" s="708">
        <f>IS!BU6*BU11/IS!BU8</f>
        <v>51.348942325076841</v>
      </c>
      <c r="BV72" s="708">
        <f>IS!BV6*BV11/IS!BV8</f>
        <v>54.01258313859428</v>
      </c>
      <c r="BW72" s="708">
        <f>IS!BW6*BW11/IS!BW8</f>
        <v>55.597943627016484</v>
      </c>
      <c r="BX72" s="201">
        <f>AVERAGE(BT72:BW72)</f>
        <v>54.607724415529049</v>
      </c>
      <c r="BY72" s="708">
        <f>IS!BY6*BY11/IS!BY8</f>
        <v>57.481402763018068</v>
      </c>
      <c r="BZ72" s="708">
        <f>IS!BZ6*BZ11/IS!BZ8</f>
        <v>56.587281795511224</v>
      </c>
      <c r="CA72" s="708">
        <f>IS!CA6*CA11/IS!CA8</f>
        <v>60.772759856630827</v>
      </c>
      <c r="CB72" s="708">
        <f>IS!CB6*CB11/IS!CB8</f>
        <v>58.038434661076174</v>
      </c>
      <c r="CC72" s="201">
        <f>AVERAGE(BY72:CB72)</f>
        <v>58.219969769059077</v>
      </c>
      <c r="CD72" s="708">
        <f>IS!CD6*CD11/IS!CD8</f>
        <v>58.879562043795623</v>
      </c>
      <c r="CE72" s="708">
        <f>IS!CE6*CE11/IS!CE8</f>
        <v>54.686011342155012</v>
      </c>
      <c r="CF72" s="708">
        <f>IS!CF6*CF11/IS!CF8</f>
        <v>57.527143981117227</v>
      </c>
      <c r="CG72" s="708">
        <f>IS!CG6*CG11/IS!CG8</f>
        <v>56.769380221488248</v>
      </c>
      <c r="CH72" s="201">
        <f>AVERAGE(CD72:CG72)</f>
        <v>56.965524397139035</v>
      </c>
      <c r="CI72" s="708">
        <f>IS!CI6*CI11/IS!CI8</f>
        <v>55.100619195046441</v>
      </c>
      <c r="CJ72" s="708">
        <f>IS!CJ6*CJ11/IS!CJ8</f>
        <v>55.452830188679243</v>
      </c>
      <c r="CK72" s="708">
        <f>IS!CK6*CK11/IS!CK8</f>
        <v>61.31917839833833</v>
      </c>
      <c r="CL72" s="708">
        <f>IS!CL6*CL11/IS!CL8</f>
        <v>53.80961727183513</v>
      </c>
      <c r="CM72" s="201">
        <f>AVERAGE(CI72:CL72)</f>
        <v>56.420561263474781</v>
      </c>
      <c r="CN72" s="265">
        <v>53</v>
      </c>
      <c r="CO72" s="265">
        <v>53</v>
      </c>
      <c r="CP72" s="265">
        <v>58</v>
      </c>
      <c r="CQ72" s="265">
        <v>58</v>
      </c>
      <c r="CR72" s="201">
        <f>AVERAGE(CN72:CQ72)</f>
        <v>55.5</v>
      </c>
      <c r="CS72" s="265">
        <v>57</v>
      </c>
      <c r="CT72" s="265">
        <v>53</v>
      </c>
      <c r="CU72" s="265">
        <v>53</v>
      </c>
      <c r="CV72" s="265">
        <v>50</v>
      </c>
      <c r="CW72" s="201">
        <f>AVERAGE(CS72:CV72)</f>
        <v>53.25</v>
      </c>
      <c r="CX72" s="265">
        <v>53</v>
      </c>
      <c r="CY72" s="265">
        <v>53</v>
      </c>
      <c r="CZ72" s="265">
        <v>53</v>
      </c>
      <c r="DA72" s="265">
        <v>53</v>
      </c>
      <c r="DB72" s="201">
        <f>AVERAGE(CX72:DA72)</f>
        <v>53</v>
      </c>
      <c r="DC72" s="9"/>
    </row>
    <row r="73" spans="1:107" hidden="1" outlineLevel="1">
      <c r="A73" s="1"/>
      <c r="B73" s="9" t="s">
        <v>467</v>
      </c>
      <c r="C73" s="166"/>
      <c r="D73" s="874"/>
      <c r="E73" s="201"/>
      <c r="F73" s="201"/>
      <c r="G73" s="708">
        <f>(IS!G12+IS!G13)/G12</f>
        <v>3.0026834298208565</v>
      </c>
      <c r="H73" s="708">
        <f>(IS!H12+IS!H13)/H12</f>
        <v>2.9670329670329667</v>
      </c>
      <c r="I73" s="708">
        <f>(IS!I12+IS!I13)/I12</f>
        <v>3.043966345590476</v>
      </c>
      <c r="J73" s="708">
        <f>(IS!J12+IS!J13)/J12</f>
        <v>3.0524375342350312</v>
      </c>
      <c r="K73" s="201">
        <f>AVERAGE(G73:J73)</f>
        <v>3.0165300691698325</v>
      </c>
      <c r="L73" s="708">
        <f>(IS!L12+IS!L13)/L12</f>
        <v>3.2384390751260099</v>
      </c>
      <c r="M73" s="708">
        <f>(IS!M12+IS!M13)/M12</f>
        <v>3.1160551652354931</v>
      </c>
      <c r="N73" s="708">
        <f>(IS!N12+IS!N13)/N12</f>
        <v>3.1467677107495087</v>
      </c>
      <c r="O73" s="708">
        <f>(IS!O12+IS!O13)/O12</f>
        <v>3.1215429403202331</v>
      </c>
      <c r="P73" s="201">
        <f>AVERAGE(L73:O73)</f>
        <v>3.155701222857811</v>
      </c>
      <c r="Q73" s="708">
        <f>(IS!Q12+IS!Q13)/Q12</f>
        <v>3.2214974519796158</v>
      </c>
      <c r="R73" s="708">
        <f>(IS!R12+IS!R13)/R12</f>
        <v>3.3074358015457488</v>
      </c>
      <c r="S73" s="708">
        <f>(IS!S12+IS!S13)/S12</f>
        <v>3.3700096404672788</v>
      </c>
      <c r="T73" s="708">
        <f>(IS!T12+IS!T13)/T12</f>
        <v>3.3245756800744011</v>
      </c>
      <c r="U73" s="201">
        <f>AVERAGE(Q73:T73)</f>
        <v>3.3058796435167612</v>
      </c>
      <c r="V73" s="708">
        <f>(IS!V12+IS!V13)/V12</f>
        <v>3.2957956252287728</v>
      </c>
      <c r="W73" s="708">
        <f>(IS!W12+IS!W13)/W12</f>
        <v>3.1755989759443528</v>
      </c>
      <c r="X73" s="708">
        <f>(IS!X12+IS!X13)/X12</f>
        <v>3.2132324612097642</v>
      </c>
      <c r="Y73" s="708">
        <f>(IS!Y12+IS!Y13)/Y12</f>
        <v>3.2082431712871178</v>
      </c>
      <c r="Z73" s="201">
        <f>AVERAGE(V73:Y73)</f>
        <v>3.223217558417502</v>
      </c>
      <c r="AA73" s="708">
        <f>(IS!AA12+IS!AA13)/AA12</f>
        <v>3.410814004680585</v>
      </c>
      <c r="AB73" s="708">
        <f>(IS!AB12+IS!AB13)/AB12</f>
        <v>3.3832571783155636</v>
      </c>
      <c r="AC73" s="708">
        <f>(IS!AC12+IS!AC13)/AC12</f>
        <v>3.3762276365087458</v>
      </c>
      <c r="AD73" s="708">
        <f>(IS!AD12+IS!AD13)/AD12</f>
        <v>3.3516806722689081</v>
      </c>
      <c r="AE73" s="201">
        <f>AVERAGE(AA73:AD73)</f>
        <v>3.3804948729434505</v>
      </c>
      <c r="AF73" s="708">
        <f>(IS!AF12+IS!AF13)/AF12</f>
        <v>3.4772200202395007</v>
      </c>
      <c r="AG73" s="708">
        <f>(IS!AG12+IS!AG13)/AG12</f>
        <v>3.3517992884499486</v>
      </c>
      <c r="AH73" s="708">
        <f>(IS!AH12+IS!AH13)/AH12</f>
        <v>3.4207631327423678</v>
      </c>
      <c r="AI73" s="708">
        <f>(IS!AI12+IS!AI13)/AI12</f>
        <v>3.2448729262266145</v>
      </c>
      <c r="AJ73" s="201">
        <f>AVERAGE(AF73:AI73)</f>
        <v>3.3736638419146079</v>
      </c>
      <c r="AK73" s="708">
        <f>(IS!AK12+IS!AK13)/AK12</f>
        <v>3.404377178661254</v>
      </c>
      <c r="AL73" s="708">
        <f>(IS!AL12+IS!AL13)/AL12</f>
        <v>3.317282148830802</v>
      </c>
      <c r="AM73" s="708">
        <f>(IS!AM12+IS!AM13)/AM12</f>
        <v>2.8515895137636411</v>
      </c>
      <c r="AN73" s="708">
        <f>(IS!AN12+IS!AN13)/AN12</f>
        <v>3.3375769770599799</v>
      </c>
      <c r="AO73" s="201">
        <f>AVERAGE(AK73:AN73)</f>
        <v>3.2277064545789194</v>
      </c>
      <c r="AP73" s="708">
        <f>(IS!AP12+IS!AP13)/AP12</f>
        <v>3.455928743737243</v>
      </c>
      <c r="AQ73" s="708">
        <f>(IS!AQ12+IS!AQ13)/AQ12</f>
        <v>3.3921690071057755</v>
      </c>
      <c r="AR73" s="708">
        <f>(IS!AR12+IS!AR13)/AR12</f>
        <v>3.4135306000299273</v>
      </c>
      <c r="AS73" s="708">
        <f>(IS!AS12+IS!AS13)/AS12</f>
        <v>3.3171391200167069</v>
      </c>
      <c r="AT73" s="201">
        <f>AVERAGE(AP73:AS73)</f>
        <v>3.3946918677224134</v>
      </c>
      <c r="AU73" s="708">
        <f>(IS!AU12+IS!AU13)/AU12</f>
        <v>3.4213741012419208</v>
      </c>
      <c r="AV73" s="708">
        <f>(IS!AV12+IS!AV13)/AV12</f>
        <v>3.446579481775613</v>
      </c>
      <c r="AW73" s="708">
        <f>(IS!AW12+IS!AW13)/AW12</f>
        <v>3.4437531342406063</v>
      </c>
      <c r="AX73" s="708">
        <f>(IS!AX12+IS!AX13)/AX12</f>
        <v>3.2677184089038995</v>
      </c>
      <c r="AY73" s="201">
        <f>AVERAGE(AU73:AX73)</f>
        <v>3.3948562815405099</v>
      </c>
      <c r="AZ73" s="708">
        <f>(IS!AZ12+IS!AZ13)/AZ12</f>
        <v>3.3430028563804028</v>
      </c>
      <c r="BA73" s="708">
        <f>(IS!BA12+IS!BA13)/BA12</f>
        <v>3.3393596704980597</v>
      </c>
      <c r="BB73" s="708">
        <f>(IS!BB12+IS!BB13)/BB12</f>
        <v>3.3438059725276474</v>
      </c>
      <c r="BC73" s="708">
        <f>(IS!BC12+IS!BC13)/BC12</f>
        <v>3.3040375067605754</v>
      </c>
      <c r="BD73" s="201">
        <f>AVERAGE(AZ73:BC73)</f>
        <v>3.3325515015416713</v>
      </c>
      <c r="BE73" s="708">
        <f>(IS!BE12+IS!BE13)/BE12</f>
        <v>3.3071171513172883</v>
      </c>
      <c r="BF73" s="708">
        <f>(IS!BF12+IS!BF13)/BF12</f>
        <v>3.2255893042878685</v>
      </c>
      <c r="BG73" s="708">
        <f>(IS!BG12+IS!BG13)/BG12</f>
        <v>3.2180573140503235</v>
      </c>
      <c r="BH73" s="708">
        <f>(IS!BH12+IS!BH13)/BH12</f>
        <v>3.145788794931494</v>
      </c>
      <c r="BI73" s="201">
        <f>AVERAGE(BE73:BH73)</f>
        <v>3.2241381411467436</v>
      </c>
      <c r="BJ73" s="708">
        <f>(IS!BJ12+IS!BJ13)/BJ12</f>
        <v>3.410366194637279</v>
      </c>
      <c r="BK73" s="708">
        <f>(IS!BK12+IS!BK13)/BK12</f>
        <v>3.4187514117519111</v>
      </c>
      <c r="BL73" s="708">
        <f>(IS!BL12+IS!BL13)/BL12</f>
        <v>3.2305738522407199</v>
      </c>
      <c r="BM73" s="708">
        <f>(IS!BM12+IS!BM13)/BM12</f>
        <v>3.3428180307030408</v>
      </c>
      <c r="BN73" s="201">
        <f>AVERAGE(BJ73:BM73)</f>
        <v>3.3506273723332378</v>
      </c>
      <c r="BO73" s="708">
        <f>(IS!BO12+IS!BO13)/BO12</f>
        <v>3.2496934416730676</v>
      </c>
      <c r="BP73" s="708">
        <f>(IS!BP12+IS!BP13)/BP12</f>
        <v>3.2703681014276582</v>
      </c>
      <c r="BQ73" s="708">
        <f>(IS!BQ12+IS!BQ13)/BQ12</f>
        <v>3.186298817969405</v>
      </c>
      <c r="BR73" s="708">
        <f>(IS!BR12+IS!BR13)/BR12</f>
        <v>3.2458455458150426</v>
      </c>
      <c r="BS73" s="201">
        <f>AVERAGE(BO73:BR73)</f>
        <v>3.2380514767212931</v>
      </c>
      <c r="BT73" s="708">
        <f>(IS!BT12+IS!BT13)/BT12</f>
        <v>3.0283553875236295</v>
      </c>
      <c r="BU73" s="708">
        <f>(IS!BU12+IS!BU13)/BU12</f>
        <v>3.3381818181818184</v>
      </c>
      <c r="BV73" s="708">
        <f>(IS!BV12+IS!BV13)/BV12</f>
        <v>3.3322423146473779</v>
      </c>
      <c r="BW73" s="708">
        <f>(IS!BW12+IS!BW13)/BW12</f>
        <v>3.3411131059245962</v>
      </c>
      <c r="BX73" s="201">
        <f>AVERAGE(BT73:BW73)</f>
        <v>3.2599731565693553</v>
      </c>
      <c r="BY73" s="708">
        <f>(IS!BY12+IS!BY13)/BY12</f>
        <v>3.3172905525846703</v>
      </c>
      <c r="BZ73" s="708">
        <f>(IS!BZ12+IS!BZ13)/BZ12</f>
        <v>3.301056338028169</v>
      </c>
      <c r="CA73" s="708">
        <f>(IS!CA12+IS!CA13)/CA12</f>
        <v>3.3321678321678321</v>
      </c>
      <c r="CB73" s="708">
        <f>(IS!CB12+IS!CB13)/CB12</f>
        <v>3.317241379310345</v>
      </c>
      <c r="CC73" s="201">
        <f>AVERAGE(BY73:CB73)</f>
        <v>3.3169390255227542</v>
      </c>
      <c r="CD73" s="708">
        <f>(IS!CD12+IS!CD13)/CD12</f>
        <v>3.3884156729131174</v>
      </c>
      <c r="CE73" s="708">
        <f>(IS!CE12+IS!CE13)/CE12</f>
        <v>3.4440227703984818</v>
      </c>
      <c r="CF73" s="708">
        <f>(IS!CF12+IS!CF13)/CF12</f>
        <v>3.3187855787476281</v>
      </c>
      <c r="CG73" s="708">
        <f>(IS!CG12+IS!CG13)/CG12</f>
        <v>4.0645833333333332</v>
      </c>
      <c r="CH73" s="201">
        <f>AVERAGE(CD73:CG73)</f>
        <v>3.5539518388481399</v>
      </c>
      <c r="CI73" s="708">
        <f>(IS!CI12+IS!CI13)/CI12</f>
        <v>4.3995633187772922</v>
      </c>
      <c r="CJ73" s="708">
        <f>(IS!CJ12+IS!CJ13)/CJ12</f>
        <v>3.91324200913242</v>
      </c>
      <c r="CK73" s="708">
        <f>(IS!CK12+IS!CK13)/CK12</f>
        <v>3.4179775280898879</v>
      </c>
      <c r="CL73" s="708">
        <f>(IS!CL12+IS!CL13)/CL12</f>
        <v>3.3716216216216215</v>
      </c>
      <c r="CM73" s="201">
        <f>AVERAGE(CI73:CL73)</f>
        <v>3.7756011194053052</v>
      </c>
      <c r="CN73" s="708">
        <f ca="1">(IS!CN12+IS!CN13)/CN12</f>
        <v>3.9130434782608696</v>
      </c>
      <c r="CO73" s="708">
        <f ca="1">(IS!CO12+IS!CO13)/CO12</f>
        <v>3.3703703703703702</v>
      </c>
      <c r="CP73" s="166">
        <f ca="1">(IS!CP12+IS!CP13)/CP12</f>
        <v>3.3454545454545452</v>
      </c>
      <c r="CQ73" s="166">
        <f ca="1">(IS!CQ12+IS!CQ13)/CQ12</f>
        <v>3.3454545454545457</v>
      </c>
      <c r="CR73" s="201">
        <f ca="1">AVERAGE(CN73:CQ73)</f>
        <v>3.4935807348850827</v>
      </c>
      <c r="CS73" s="708">
        <f ca="1">(IS!CS12+IS!CS13)/CS12</f>
        <v>3.4615384615384617</v>
      </c>
      <c r="CT73" s="708">
        <f ca="1">(IS!CT12+IS!CT13)/CT12</f>
        <v>3.5</v>
      </c>
      <c r="CU73" s="166">
        <f ca="1">(IS!CU12+IS!CU13)/CU12</f>
        <v>4</v>
      </c>
      <c r="CV73" s="166">
        <f ca="1">(IS!CV12+IS!CV13)/CV12</f>
        <v>4.5999999999999996</v>
      </c>
      <c r="CW73" s="201">
        <f ca="1">AVERAGE(CS73:CV73)</f>
        <v>3.8903846153846153</v>
      </c>
      <c r="CX73" s="708">
        <f ca="1">(IS!CX12+IS!CX13)/CX12</f>
        <v>4.333333333333333</v>
      </c>
      <c r="CY73" s="708">
        <f ca="1">(IS!CY12+IS!CY13)/CY12</f>
        <v>4.333333333333333</v>
      </c>
      <c r="CZ73" s="166">
        <f ca="1">(IS!CZ12+IS!CZ13)/CZ12</f>
        <v>4.3809523809523805</v>
      </c>
      <c r="DA73" s="166">
        <f ca="1">(IS!DA12+IS!DA13)/DA12</f>
        <v>4.3809523809523814</v>
      </c>
      <c r="DB73" s="201">
        <f ca="1">AVERAGE(CX73:DA73)</f>
        <v>4.3571428571428577</v>
      </c>
      <c r="DC73" s="9"/>
    </row>
    <row r="74" spans="1:107" hidden="1" outlineLevel="1">
      <c r="A74" s="1"/>
      <c r="B74" s="847" t="s">
        <v>468</v>
      </c>
      <c r="C74" s="166"/>
      <c r="D74" s="874"/>
      <c r="E74" s="201">
        <f>IS!E6*E12/(IS!E12+IS!E13)</f>
        <v>33.221103734251791</v>
      </c>
      <c r="F74" s="201">
        <f>IS!F6*F12/(IS!F12+IS!F13)</f>
        <v>35.105246745712321</v>
      </c>
      <c r="G74" s="708">
        <f>IS!G6*G12/(IS!G12+IS!G13)</f>
        <v>29.973189682992825</v>
      </c>
      <c r="H74" s="708">
        <f>IS!H6*H12/(IS!H12+IS!H13)</f>
        <v>30.670370370370371</v>
      </c>
      <c r="I74" s="708">
        <f>IS!I6*I12/(IS!I12+IS!I13)</f>
        <v>30.22372442890909</v>
      </c>
      <c r="J74" s="708">
        <f>IS!J6*J12/(IS!J12+IS!J13)</f>
        <v>30.139846915182179</v>
      </c>
      <c r="K74" s="201">
        <f>AVERAGE(G74:J74)</f>
        <v>30.251782849363615</v>
      </c>
      <c r="L74" s="708">
        <f>IS!L6*L12/(IS!L12+IS!L13)</f>
        <v>27.79116664299082</v>
      </c>
      <c r="M74" s="708">
        <f>IS!M6*M12/(IS!M12+IS!M13)</f>
        <v>29.203590814196239</v>
      </c>
      <c r="N74" s="708">
        <f>IS!N6*N12/(IS!N12+IS!N13)</f>
        <v>29.236349313526897</v>
      </c>
      <c r="O74" s="708">
        <f>IS!O6*O12/(IS!O12+IS!O13)</f>
        <v>29.472604336675214</v>
      </c>
      <c r="P74" s="201">
        <f>AVERAGE(L74:O74)</f>
        <v>28.925927776847296</v>
      </c>
      <c r="Q74" s="708">
        <f>IS!Q6*Q12/(IS!Q12+IS!Q13)</f>
        <v>27.937318387352704</v>
      </c>
      <c r="R74" s="708">
        <f>IS!R6*R12/(IS!R12+IS!R13)</f>
        <v>27.513761554334824</v>
      </c>
      <c r="S74" s="708">
        <f>IS!S6*S12/(IS!S12+IS!S13)</f>
        <v>27.299625168800247</v>
      </c>
      <c r="T74" s="708">
        <f>IS!T6*T12/(IS!T12+IS!T13)</f>
        <v>27.672704384922021</v>
      </c>
      <c r="U74" s="201">
        <f>AVERAGE(Q74:T74)</f>
        <v>27.60585237385245</v>
      </c>
      <c r="V74" s="708">
        <f>IS!V6*V12/(IS!V12+IS!V13)</f>
        <v>27.610935369720739</v>
      </c>
      <c r="W74" s="708">
        <f>IS!W6*W12/(IS!W12+IS!W13)</f>
        <v>28.656011256250835</v>
      </c>
      <c r="X74" s="708">
        <f>IS!X6*X12/(IS!X12+IS!X13)</f>
        <v>28.631604190056798</v>
      </c>
      <c r="Y74" s="708">
        <f>IS!Y6*Y12/(IS!Y12+IS!Y13)</f>
        <v>28.676130545020513</v>
      </c>
      <c r="Z74" s="201">
        <f>AVERAGE(V74:Y74)</f>
        <v>28.393670340262222</v>
      </c>
      <c r="AA74" s="708">
        <f>IS!AA6*AA12/(IS!AA12+IS!AA13)</f>
        <v>26.386663088780267</v>
      </c>
      <c r="AB74" s="708">
        <f>IS!AB6*AB12/(IS!AB12+IS!AB13)</f>
        <v>26.897157148812006</v>
      </c>
      <c r="AC74" s="708">
        <f>IS!AC6*AC12/(IS!AC12+IS!AC13)</f>
        <v>27.249347468506123</v>
      </c>
      <c r="AD74" s="708">
        <f>IS!AD6*AD12/(IS!AD12+IS!AD13)</f>
        <v>27.448915632443271</v>
      </c>
      <c r="AE74" s="201">
        <f>AVERAGE(AA74:AD74)</f>
        <v>26.995520834635418</v>
      </c>
      <c r="AF74" s="708">
        <f>IS!AF6*AF12/(IS!AF12+IS!AF13)</f>
        <v>25.882745260911349</v>
      </c>
      <c r="AG74" s="708">
        <f>IS!AG6*AG12/(IS!AG12+IS!AG13)</f>
        <v>27.149597027954282</v>
      </c>
      <c r="AH74" s="708">
        <f>IS!AH6*AH12/(IS!AH12+IS!AH13)</f>
        <v>26.894583585577045</v>
      </c>
      <c r="AI74" s="708">
        <f>IS!AI6*AI12/(IS!AI12+IS!AI13)</f>
        <v>28.352419984281049</v>
      </c>
      <c r="AJ74" s="201">
        <f>AVERAGE(AF74:AI74)</f>
        <v>27.069836464680932</v>
      </c>
      <c r="AK74" s="708">
        <f>IS!AK6*AK12/(IS!AK12+IS!AK13)</f>
        <v>26.436553670998297</v>
      </c>
      <c r="AL74" s="708">
        <f>IS!AL6*AL12/(IS!AL12+IS!AL13)</f>
        <v>27.432095286821941</v>
      </c>
      <c r="AM74" s="708">
        <f>IS!AM6*AM12/(IS!AM12+IS!AM13)</f>
        <v>32.262708063677351</v>
      </c>
      <c r="AN74" s="708">
        <f>IS!AN6*AN12/(IS!AN12+IS!AN13)</f>
        <v>27.564907306210323</v>
      </c>
      <c r="AO74" s="201">
        <f>AVERAGE(AK74:AN74)</f>
        <v>28.424066081926981</v>
      </c>
      <c r="AP74" s="708">
        <f>IS!AP6*AP12/(IS!AP12+IS!AP13)</f>
        <v>26.331561426116838</v>
      </c>
      <c r="AQ74" s="708">
        <f>IS!AQ6*AQ12/(IS!AQ12+IS!AQ13)</f>
        <v>26.82649355305616</v>
      </c>
      <c r="AR74" s="708">
        <f>IS!AR6*AR12/(IS!AR12+IS!AR13)</f>
        <v>26.951567388671837</v>
      </c>
      <c r="AS74" s="708">
        <f>IS!AS6*AS12/(IS!AS12+IS!AS13)</f>
        <v>27.73474270187879</v>
      </c>
      <c r="AT74" s="201">
        <f>AVERAGE(AP74:AS74)</f>
        <v>26.961091267430906</v>
      </c>
      <c r="AU74" s="708">
        <f>IS!AU6*AU12/(IS!AU12+IS!AU13)</f>
        <v>26.305220457280893</v>
      </c>
      <c r="AV74" s="708">
        <f>IS!AV6*AV12/(IS!AV12+IS!AV13)</f>
        <v>26.402988957944622</v>
      </c>
      <c r="AW74" s="708">
        <f>IS!AW6*AW12/(IS!AW12+IS!AW13)</f>
        <v>26.715039206864411</v>
      </c>
      <c r="AX74" s="708">
        <f>IS!AX6*AX12/(IS!AX12+IS!AX13)</f>
        <v>28.154200725900321</v>
      </c>
      <c r="AY74" s="201">
        <f>AVERAGE(AU74:AX74)</f>
        <v>26.89436233699756</v>
      </c>
      <c r="AZ74" s="708">
        <f>IS!AZ6*AZ12/(IS!AZ12+IS!AZ13)</f>
        <v>26.92190341035079</v>
      </c>
      <c r="BA74" s="708">
        <f>IS!BA6*BA12/(IS!BA12+IS!BA13)</f>
        <v>27.250733367821834</v>
      </c>
      <c r="BB74" s="708">
        <f>IS!BB6*BB12/(IS!BB12+IS!BB13)</f>
        <v>27.513558129826361</v>
      </c>
      <c r="BC74" s="708">
        <f>IS!BC6*BC12/(IS!BC12+IS!BC13)</f>
        <v>27.844720228433747</v>
      </c>
      <c r="BD74" s="201">
        <f>AVERAGE(AZ74:BC74)</f>
        <v>27.382728784108181</v>
      </c>
      <c r="BE74" s="708">
        <f>IS!BE6*BE12/(IS!BE12+IS!BE13)</f>
        <v>27.214034423954793</v>
      </c>
      <c r="BF74" s="708">
        <f>IS!BF6*BF12/(IS!BF12+IS!BF13)</f>
        <v>28.211899102911548</v>
      </c>
      <c r="BG74" s="708">
        <f>IS!BG6*BG12/(IS!BG12+IS!BG13)</f>
        <v>28.58867665231438</v>
      </c>
      <c r="BH74" s="708">
        <f>IS!BH6*BH12/(IS!BH12+IS!BH13)</f>
        <v>29.245447166774429</v>
      </c>
      <c r="BI74" s="201">
        <f>AVERAGE(BE74:BH74)</f>
        <v>28.315014336488787</v>
      </c>
      <c r="BJ74" s="708">
        <f>IS!BJ6*BJ12/(IS!BJ12+IS!BJ13)</f>
        <v>26.683351524858349</v>
      </c>
      <c r="BK74" s="708">
        <f>IS!BK6*BK12/(IS!BK12+IS!BK13)</f>
        <v>26.617904913234916</v>
      </c>
      <c r="BL74" s="708">
        <f>IS!BL6*BL12/(IS!BL12+IS!BL13)</f>
        <v>28.477912658207451</v>
      </c>
      <c r="BM74" s="708">
        <f>IS!BM6*BM12/(IS!BM12+IS!BM13)</f>
        <v>27.521689531108319</v>
      </c>
      <c r="BN74" s="201">
        <f>AVERAGE(BJ74:BM74)</f>
        <v>27.325214656852257</v>
      </c>
      <c r="BO74" s="708">
        <f>IS!BO6*BO12/(IS!BO12+IS!BO13)</f>
        <v>27.694920033338445</v>
      </c>
      <c r="BP74" s="708">
        <f>IS!BP6*BP12/(IS!BP12+IS!BP13)</f>
        <v>27.825613869054845</v>
      </c>
      <c r="BQ74" s="708">
        <f>IS!BQ6*BQ12/(IS!BQ12+IS!BQ13)</f>
        <v>28.87362587625433</v>
      </c>
      <c r="BR74" s="708">
        <f>IS!BR6*BR12/(IS!BR12+IS!BR13)</f>
        <v>28.343924164419381</v>
      </c>
      <c r="BS74" s="201">
        <f>AVERAGE(BO74:BR74)</f>
        <v>28.184520985766749</v>
      </c>
      <c r="BT74" s="708">
        <f>IS!BT6*BT12/(IS!BT12+IS!BT13)</f>
        <v>29.719101123595507</v>
      </c>
      <c r="BU74" s="708">
        <f>IS!BU6*BU12/(IS!BU12+IS!BU13)</f>
        <v>27.260348583877995</v>
      </c>
      <c r="BV74" s="708">
        <f>IS!BV6*BV12/(IS!BV12+IS!BV13)</f>
        <v>27.609036592447076</v>
      </c>
      <c r="BW74" s="708">
        <f>IS!BW6*BW12/(IS!BW12+IS!BW13)</f>
        <v>27.53573347662547</v>
      </c>
      <c r="BX74" s="201">
        <f>AVERAGE(BT74:BW74)</f>
        <v>28.031054944136514</v>
      </c>
      <c r="BY74" s="708">
        <f>IS!BY6*BY12/(IS!BY12+IS!BY13)</f>
        <v>27.130574959699086</v>
      </c>
      <c r="BZ74" s="708">
        <f>IS!BZ6*BZ12/(IS!BZ12+IS!BZ13)</f>
        <v>27.566933333333335</v>
      </c>
      <c r="CA74" s="708">
        <f>IS!CA6*CA12/(IS!CA12+IS!CA13)</f>
        <v>27.609653725078697</v>
      </c>
      <c r="CB74" s="708">
        <f>IS!CB6*CB12/(IS!CB12+IS!CB13)</f>
        <v>27.733887733887734</v>
      </c>
      <c r="CC74" s="201">
        <f>AVERAGE(BY74:CB74)</f>
        <v>27.510262437999714</v>
      </c>
      <c r="CD74" s="708">
        <f>IS!CD6*CD12/(IS!CD12+IS!CD13)</f>
        <v>26.856209150326798</v>
      </c>
      <c r="CE74" s="708">
        <f>IS!CE6*CE12/(IS!CE12+IS!CE13)</f>
        <v>26.42258953168044</v>
      </c>
      <c r="CF74" s="708">
        <f>IS!CF6*CF12/(IS!CF12+IS!CF13)</f>
        <v>27.720983419096626</v>
      </c>
      <c r="CG74" s="708">
        <f>IS!CG6*CG12/(IS!CG12+IS!CG13)</f>
        <v>22.634546386468479</v>
      </c>
      <c r="CH74" s="201">
        <f>AVERAGE(CD74:CG74)</f>
        <v>25.908582121893083</v>
      </c>
      <c r="CI74" s="708">
        <f>IS!CI6*CI12/(IS!CI12+IS!CI13)</f>
        <v>20.456575682382134</v>
      </c>
      <c r="CJ74" s="708">
        <f>IS!CJ6*CJ12/(IS!CJ12+IS!CJ13)</f>
        <v>23.254375729288213</v>
      </c>
      <c r="CK74" s="708">
        <f>IS!CK6*CK12/(IS!CK12+IS!CK13)</f>
        <v>26.916502301117685</v>
      </c>
      <c r="CL74" s="708">
        <f>IS!CL6*CL12/(IS!CL12+IS!CL13)</f>
        <v>27.286573146292586</v>
      </c>
      <c r="CM74" s="201">
        <f>AVERAGE(CI74:CL74)</f>
        <v>24.478506714770155</v>
      </c>
      <c r="CN74" s="265">
        <v>23</v>
      </c>
      <c r="CO74" s="265">
        <v>27</v>
      </c>
      <c r="CP74" s="265">
        <v>27.5</v>
      </c>
      <c r="CQ74" s="265">
        <v>27.5</v>
      </c>
      <c r="CR74" s="201">
        <f>AVERAGE(CN74:CQ74)</f>
        <v>26.25</v>
      </c>
      <c r="CS74" s="265">
        <v>26</v>
      </c>
      <c r="CT74" s="265">
        <f>+CS74</f>
        <v>26</v>
      </c>
      <c r="CU74" s="265">
        <v>23</v>
      </c>
      <c r="CV74" s="265">
        <v>20</v>
      </c>
      <c r="CW74" s="201">
        <f>AVERAGE(CS74:CV74)</f>
        <v>23.75</v>
      </c>
      <c r="CX74" s="265">
        <v>21</v>
      </c>
      <c r="CY74" s="265">
        <v>21</v>
      </c>
      <c r="CZ74" s="265">
        <v>21</v>
      </c>
      <c r="DA74" s="265">
        <v>21</v>
      </c>
      <c r="DB74" s="201">
        <f>AVERAGE(CX74:DA74)</f>
        <v>21</v>
      </c>
      <c r="DC74" s="9"/>
    </row>
    <row r="75" spans="1:107" hidden="1" outlineLevel="1">
      <c r="A75" s="1"/>
      <c r="B75" s="847" t="s">
        <v>469</v>
      </c>
      <c r="C75" s="166"/>
      <c r="D75" s="874"/>
      <c r="E75" s="201">
        <f>IS!E6*E25/(IS!E12+IS!E13+IS!E11)</f>
        <v>27.121609164448408</v>
      </c>
      <c r="F75" s="201">
        <f>IS!F6*F25/(IS!F12+IS!F13+IS!F11)</f>
        <v>32.701813061647968</v>
      </c>
      <c r="G75" s="708">
        <f>IS!G6*G25/(IS!G12+IS!G13+IS!G11)</f>
        <v>27.857806200675206</v>
      </c>
      <c r="H75" s="708">
        <f>IS!H6*H25/(IS!H12+IS!H13+IS!H11)</f>
        <v>28.074734073870552</v>
      </c>
      <c r="I75" s="708">
        <f>IS!I6*I25/(IS!I12+IS!I13+IS!I11)</f>
        <v>28.807754354491603</v>
      </c>
      <c r="J75" s="708">
        <f>IS!J6*J25/(IS!J12+IS!J13+IS!J11)</f>
        <v>24.807544533705904</v>
      </c>
      <c r="K75" s="201">
        <f>AVERAGE(G75:J75)</f>
        <v>27.386959790685818</v>
      </c>
      <c r="L75" s="708">
        <f>IS!L6*L25/(IS!L12+IS!L13+IS!L11)</f>
        <v>24.365359706441769</v>
      </c>
      <c r="M75" s="708">
        <f>IS!M6*M25/(IS!M12+IS!M13+IS!M11)</f>
        <v>24.865604336611106</v>
      </c>
      <c r="N75" s="708">
        <f>IS!N6*N25/(IS!N12+IS!N13+IS!N11)</f>
        <v>27.267727009687384</v>
      </c>
      <c r="O75" s="708">
        <f>IS!O6*O25/(IS!O12+IS!O13+IS!O11)</f>
        <v>24.311387277218824</v>
      </c>
      <c r="P75" s="201">
        <f>AVERAGE(L75:O75)</f>
        <v>25.202519582489774</v>
      </c>
      <c r="Q75" s="708">
        <f>IS!Q6*Q25/(IS!Q12+IS!Q13+IS!Q11)</f>
        <v>21.661201586595336</v>
      </c>
      <c r="R75" s="708">
        <f>IS!R6*R25/(IS!R12+IS!R13+IS!R11)</f>
        <v>20.80658795327663</v>
      </c>
      <c r="S75" s="708">
        <f>IS!S6*S25/(IS!S12+IS!S13+IS!S11)</f>
        <v>21.897866111570522</v>
      </c>
      <c r="T75" s="708">
        <f>IS!T6*T25/(IS!T12+IS!T13+IS!T11)</f>
        <v>24.72722661074986</v>
      </c>
      <c r="U75" s="201">
        <f>AVERAGE(Q75:T75)</f>
        <v>22.273220565548087</v>
      </c>
      <c r="V75" s="708">
        <f>IS!V6*V25/(IS!V12+IS!V13+IS!V11)</f>
        <v>21.497170117522955</v>
      </c>
      <c r="W75" s="708">
        <f>IS!W6*W25/(IS!W12+IS!W13+IS!W11)</f>
        <v>21.711088676893059</v>
      </c>
      <c r="X75" s="708">
        <f>IS!X6*X25/(IS!X12+IS!X13+IS!X11)</f>
        <v>22.039731775480107</v>
      </c>
      <c r="Y75" s="708">
        <f>IS!Y6*Y25/(IS!Y12+IS!Y13+IS!Y11)</f>
        <v>23.709402982473097</v>
      </c>
      <c r="Z75" s="201">
        <f>AVERAGE(V75:Y75)</f>
        <v>22.239348388092303</v>
      </c>
      <c r="AA75" s="708">
        <f>IS!AA6*AA25/(IS!AA12+IS!AA13+IS!AA11)</f>
        <v>20.775256433080894</v>
      </c>
      <c r="AB75" s="708">
        <f>IS!AB6*AB25/(IS!AB12+IS!AB13+IS!AB11)</f>
        <v>20.170828245399804</v>
      </c>
      <c r="AC75" s="708">
        <f>IS!AC6*AC25/(IS!AC12+IS!AC13+IS!AC11)</f>
        <v>21.042804938622012</v>
      </c>
      <c r="AD75" s="708">
        <f>IS!AD6*AD25/(IS!AD12+IS!AD13+IS!AD11)</f>
        <v>24.671851086299689</v>
      </c>
      <c r="AE75" s="201">
        <f>AVERAGE(AA75:AD75)</f>
        <v>21.665185175850603</v>
      </c>
      <c r="AF75" s="708">
        <f>IS!AF6*AF25/(IS!AF12+IS!AF13+IS!AF11)</f>
        <v>19.303730961817202</v>
      </c>
      <c r="AG75" s="708">
        <f>IS!AG6*AG25/(IS!AG12+IS!AG13+IS!AG11)</f>
        <v>23.436401903367496</v>
      </c>
      <c r="AH75" s="708">
        <f>IS!AH6*AH25/(IS!AH12+IS!AH13+IS!AH11)</f>
        <v>23.794566692100286</v>
      </c>
      <c r="AI75" s="708">
        <f>IS!AI6*AI25/(IS!AI12+IS!AI13+IS!AI11)</f>
        <v>27.428727526534935</v>
      </c>
      <c r="AJ75" s="201">
        <f>AVERAGE(AF75:AI75)</f>
        <v>23.490856770954977</v>
      </c>
      <c r="AK75" s="708">
        <f>IS!AK6*AK25/(IS!AK12+IS!AK13+IS!AK11)</f>
        <v>24.75626158836743</v>
      </c>
      <c r="AL75" s="708">
        <f>IS!AL6*AL25/(IS!AL12+IS!AL13+IS!AL11)</f>
        <v>26.068809368726896</v>
      </c>
      <c r="AM75" s="708">
        <f>IS!AM6*AM25/(IS!AM12+IS!AM13+IS!AM11)</f>
        <v>26.828622718096018</v>
      </c>
      <c r="AN75" s="708">
        <f>IS!AN6*AN25/(IS!AN12+IS!AN13+IS!AN11)</f>
        <v>23.444570474516151</v>
      </c>
      <c r="AO75" s="201">
        <f>AVERAGE(AK75:AN75)</f>
        <v>25.274566037426624</v>
      </c>
      <c r="AP75" s="708">
        <f>IS!AP6*AP25/(IS!AP12+IS!AP13+IS!AP11)</f>
        <v>20.991751926916642</v>
      </c>
      <c r="AQ75" s="708">
        <f>IS!AQ6*AQ25/(IS!AQ12+IS!AQ13+IS!AQ11)</f>
        <v>20.123010902342845</v>
      </c>
      <c r="AR75" s="708">
        <f>IS!AR6*AR25/(IS!AR12+IS!AR13+IS!AR11)</f>
        <v>21.898617474732202</v>
      </c>
      <c r="AS75" s="708">
        <f>IS!AS6*AS25/(IS!AS12+IS!AS13+IS!AS11)</f>
        <v>24.254569193850941</v>
      </c>
      <c r="AT75" s="201">
        <f>AVERAGE(AP75:AS75)</f>
        <v>21.816987374460659</v>
      </c>
      <c r="AU75" s="708">
        <f>IS!AU6*AU25/(IS!AU12+IS!AU13+IS!AU11)</f>
        <v>19.885549312973037</v>
      </c>
      <c r="AV75" s="708">
        <f>IS!AV6*AV25/(IS!AV12+IS!AV13+IS!AV11)</f>
        <v>21.029448961816421</v>
      </c>
      <c r="AW75" s="708">
        <f>IS!AW6*AW25/(IS!AW12+IS!AW13+IS!AW11)</f>
        <v>20.392352020747321</v>
      </c>
      <c r="AX75" s="708">
        <f>IS!AX6*AX25/(IS!AX12+IS!AX13+IS!AX11)</f>
        <v>17.785154431585671</v>
      </c>
      <c r="AY75" s="201">
        <f>AVERAGE(AU75:AX75)</f>
        <v>19.773126181780611</v>
      </c>
      <c r="AZ75" s="708">
        <f>IS!AZ6*AZ25/(IS!AZ12+IS!AZ13+IS!AZ11)</f>
        <v>19.581303622663583</v>
      </c>
      <c r="BA75" s="708">
        <f>IS!BA6*BA25/(IS!BA12+IS!BA13+IS!BA11)</f>
        <v>20.411853677396522</v>
      </c>
      <c r="BB75" s="708">
        <f>IS!BB6*BB25/(IS!BB12+IS!BB13+IS!BB11)</f>
        <v>20.184684441516215</v>
      </c>
      <c r="BC75" s="708">
        <f>IS!BC6*BC25/(IS!BC12+IS!BC13+IS!BC11)</f>
        <v>19.593434312780559</v>
      </c>
      <c r="BD75" s="201">
        <f>AVERAGE(AZ75:BC75)</f>
        <v>19.942819013589219</v>
      </c>
      <c r="BE75" s="708">
        <f>IS!BE6*BE25/(IS!BE12+IS!BE13+IS!BE11)</f>
        <v>19.787252235182283</v>
      </c>
      <c r="BF75" s="708">
        <f>IS!BF6*BF25/(IS!BF12+IS!BF13+IS!BF11)</f>
        <v>21.356387493810566</v>
      </c>
      <c r="BG75" s="708">
        <f>IS!BG6*BG25/(IS!BG12+IS!BG13+IS!BG11)</f>
        <v>23.644721425095071</v>
      </c>
      <c r="BH75" s="708">
        <f>IS!BH6*BH25/(IS!BH12+IS!BH13+IS!BH11)</f>
        <v>27.434968298048116</v>
      </c>
      <c r="BI75" s="201">
        <f>AVERAGE(BE75:BH75)</f>
        <v>23.055832363034011</v>
      </c>
      <c r="BJ75" s="708">
        <f>IS!BJ6*BJ25/(IS!BJ12+IS!BJ13+IS!BJ11)</f>
        <v>27.38318724595123</v>
      </c>
      <c r="BK75" s="708">
        <f>IS!BK6*BK25/(IS!BK12+IS!BK13+IS!BK11)</f>
        <v>25.743904677976062</v>
      </c>
      <c r="BL75" s="708">
        <f>IS!BL6*BL25/(IS!BL12+IS!BL13+IS!BL11)</f>
        <v>27.531991213602645</v>
      </c>
      <c r="BM75" s="708">
        <f>IS!BM6*BM25/(IS!BM12+IS!BM13+IS!BM11)</f>
        <v>27.262474566139879</v>
      </c>
      <c r="BN75" s="201">
        <f>AVERAGE(BJ75:BM75)</f>
        <v>26.980389425917451</v>
      </c>
      <c r="BO75" s="708">
        <f>IS!BO6*BO25/(IS!BO12+IS!BO13+IS!BO11)</f>
        <v>23.969326936793628</v>
      </c>
      <c r="BP75" s="708">
        <f>IS!BP6*BP25/(IS!BP12+IS!BP13+IS!BP11)</f>
        <v>24.615403598993883</v>
      </c>
      <c r="BQ75" s="708">
        <f>IS!BQ6*BQ25/(IS!BQ12+IS!BQ13+IS!BQ11)</f>
        <v>24.920540034809235</v>
      </c>
      <c r="BR75" s="708">
        <f>IS!BR6*BR25/(IS!BR12+IS!BR13+IS!BR11)</f>
        <v>31.876227474611948</v>
      </c>
      <c r="BS75" s="201">
        <f>AVERAGE(BO75:BR75)</f>
        <v>26.345374511302175</v>
      </c>
      <c r="BT75" s="708">
        <f>IS!BT6*BT25/(IS!BT12+IS!BT13+IS!BT11)</f>
        <v>25.35773710482529</v>
      </c>
      <c r="BU75" s="708">
        <f>IS!BU6*BU25/(IS!BU12+IS!BU13+IS!BU11)</f>
        <v>22.391732283464567</v>
      </c>
      <c r="BV75" s="708">
        <f>IS!BV6*BV25/(IS!BV12+IS!BV13+IS!BV11)</f>
        <v>24.176134743773133</v>
      </c>
      <c r="BW75" s="708">
        <f>IS!BW6*BW25/(IS!BW12+IS!BW13+IS!BW11)</f>
        <v>29.141597256246939</v>
      </c>
      <c r="BX75" s="201">
        <f>AVERAGE(BT75:BW75)</f>
        <v>25.266800347077481</v>
      </c>
      <c r="BY75" s="708">
        <f>IS!BY6*BY25/(IS!BY12+IS!BY13+IS!BY11)</f>
        <v>26.05148130160272</v>
      </c>
      <c r="BZ75" s="708">
        <f>IS!BZ6*BZ25/(IS!BZ12+IS!BZ13+IS!BZ11)</f>
        <v>25.440860215053764</v>
      </c>
      <c r="CA75" s="708">
        <f>IS!CA6*CA25/(IS!CA12+IS!CA13+IS!CA11)</f>
        <v>26.938736131210806</v>
      </c>
      <c r="CB75" s="708">
        <f>IS!CB6*CB25/(IS!CB12+IS!CB13+IS!CB11)</f>
        <v>27.5430747263208</v>
      </c>
      <c r="CC75" s="201">
        <f>AVERAGE(BY75:CB75)</f>
        <v>26.49353809354702</v>
      </c>
      <c r="CD75" s="708">
        <f>IS!CD6*CD25/(IS!CD12+IS!CD13+IS!CD11)</f>
        <v>24.916163492800742</v>
      </c>
      <c r="CE75" s="708">
        <f>IS!CE6*CE25/(IS!CE12+IS!CE13+IS!CE11)</f>
        <v>22.446208112874778</v>
      </c>
      <c r="CF75" s="708">
        <f>IS!CF6*CF25/(IS!CF12+IS!CF13+IS!CF11)</f>
        <v>24.542976939203353</v>
      </c>
      <c r="CG75" s="708">
        <f>IS!CG6*CG25/(IS!CG12+IS!CG13+IS!CG11)</f>
        <v>22.669638434868748</v>
      </c>
      <c r="CH75" s="201">
        <f>AVERAGE(CD75:CG75)</f>
        <v>23.643746744936905</v>
      </c>
      <c r="CI75" s="708">
        <f>IS!CI6*CI25/(IS!CI12+IS!CI13+IS!CI11)</f>
        <v>21.815505397448479</v>
      </c>
      <c r="CJ75" s="708">
        <f>IS!CJ6*CJ25/(IS!CJ12+IS!CJ13+IS!CJ11)</f>
        <v>22.962850853054487</v>
      </c>
      <c r="CK75" s="708">
        <f>IS!CK6*CK25/(IS!CK12+IS!CK13+IS!CK11)</f>
        <v>24.098613251155623</v>
      </c>
      <c r="CL75" s="708">
        <f>IS!CL6*CL25/(IS!CL12+IS!CL13+IS!CL11)</f>
        <v>28.082070707070706</v>
      </c>
      <c r="CM75" s="201">
        <f>AVERAGE(CI75:CL75)</f>
        <v>24.239760052182326</v>
      </c>
      <c r="CN75" s="265">
        <v>24</v>
      </c>
      <c r="CO75" s="265">
        <v>24</v>
      </c>
      <c r="CP75" s="265">
        <v>23</v>
      </c>
      <c r="CQ75" s="265">
        <v>23</v>
      </c>
      <c r="CR75" s="201">
        <f>AVERAGE(CN75:CQ75)</f>
        <v>23.5</v>
      </c>
      <c r="CS75" s="265">
        <v>24</v>
      </c>
      <c r="CT75" s="265">
        <v>28</v>
      </c>
      <c r="CU75" s="265">
        <v>28</v>
      </c>
      <c r="CV75" s="265">
        <v>34</v>
      </c>
      <c r="CW75" s="201">
        <f>AVERAGE(CS75:CV75)</f>
        <v>28.5</v>
      </c>
      <c r="CX75" s="265">
        <v>28</v>
      </c>
      <c r="CY75" s="265">
        <v>28</v>
      </c>
      <c r="CZ75" s="265">
        <v>28</v>
      </c>
      <c r="DA75" s="265">
        <v>28</v>
      </c>
      <c r="DB75" s="201">
        <f>AVERAGE(CX75:DA75)</f>
        <v>28</v>
      </c>
      <c r="DC75" s="9"/>
    </row>
    <row r="76" spans="1:107" collapsed="1">
      <c r="A76" s="1"/>
      <c r="B76" s="9" t="s">
        <v>470</v>
      </c>
      <c r="C76" s="864"/>
      <c r="D76" s="863"/>
      <c r="E76" s="862">
        <f>E15/(IS!E11+IS!E13+IS!E14)</f>
        <v>1.4669139830603169E-2</v>
      </c>
      <c r="F76" s="862">
        <f>F15/(IS!F11+IS!F13+IS!F14)</f>
        <v>2.4731178804604018E-2</v>
      </c>
      <c r="G76" s="861">
        <f>G15/(IS!G11+IS!G13+IS!G14)*IS!G6/IS!K$6</f>
        <v>1.8397831182316308E-2</v>
      </c>
      <c r="H76" s="861">
        <f>H15/(IS!H11+IS!H13+IS!H14)*IS!H6/IS!$K$6</f>
        <v>1.4479780645830748E-2</v>
      </c>
      <c r="I76" s="861">
        <f>I15/(IS!I11+IS!I13+IS!I14)*IS!I6/IS!$K$6</f>
        <v>1.2977006396353921E-2</v>
      </c>
      <c r="J76" s="861">
        <f>J15/(IS!J11+IS!J13+IS!J14)*IS!J6/IS!$K$6</f>
        <v>1.2683302532765901E-2</v>
      </c>
      <c r="K76" s="862">
        <f>AVERAGE(G76:J76)</f>
        <v>1.4634480189316719E-2</v>
      </c>
      <c r="L76" s="861">
        <f>L15/(IS!L11+IS!L13+IS!L14)*IS!L6/IS!$P$6</f>
        <v>1.2895354944399945E-2</v>
      </c>
      <c r="M76" s="861">
        <f>M15/(IS!M11+IS!M13+IS!M14)*IS!M6/IS!$P$6</f>
        <v>1.2341819306755273E-2</v>
      </c>
      <c r="N76" s="861">
        <f>N15/(IS!N11+IS!N13+IS!N14)*IS!N6/IS!$P$6</f>
        <v>1.8035992503726075E-2</v>
      </c>
      <c r="O76" s="861">
        <f>O15/(IS!O11+IS!O13+IS!O14)*IS!O6/IS!$P$6</f>
        <v>1.4996744372941455E-2</v>
      </c>
      <c r="P76" s="862">
        <f>AVERAGE(L76:O76)</f>
        <v>1.4567477781955687E-2</v>
      </c>
      <c r="Q76" s="861">
        <f>Q15/(IS!Q11+IS!Q13+IS!Q14)*IS!Q6/IS!$U$6</f>
        <v>1.2270871031104953E-2</v>
      </c>
      <c r="R76" s="861">
        <f>R15/(IS!R11+IS!R13+IS!R14)*IS!R6/IS!$U$6</f>
        <v>1.5324316294141006E-2</v>
      </c>
      <c r="S76" s="861">
        <f>S15/(IS!S11+IS!S13+IS!S14)*IS!S6/IS!$U$6</f>
        <v>1.3932330000509443E-2</v>
      </c>
      <c r="T76" s="861">
        <f>T15/(IS!T11+IS!T13+IS!T14)*IS!T6/IS!$U$6</f>
        <v>1.2268624816019688E-2</v>
      </c>
      <c r="U76" s="862">
        <f>AVERAGE(Q76:T76)</f>
        <v>1.3449035535443772E-2</v>
      </c>
      <c r="V76" s="861">
        <f>V15/(IS!V11+IS!V13+IS!V14)*IS!V6/IS!$Z$6</f>
        <v>1.1700875053579883E-2</v>
      </c>
      <c r="W76" s="861">
        <f>W15/(IS!W11+IS!W13+IS!W14)*IS!W6/IS!$Z$6</f>
        <v>1.5639024730866879E-2</v>
      </c>
      <c r="X76" s="861">
        <f>X15/(IS!X11+IS!X13+IS!X14)*IS!X6/IS!$Z$6</f>
        <v>1.6589083221647906E-2</v>
      </c>
      <c r="Y76" s="861">
        <f>Y15/(IS!Y11+IS!Y13+IS!Y14)*IS!Y6/IS!$Z$6</f>
        <v>1.4048508027924974E-2</v>
      </c>
      <c r="Z76" s="862">
        <f>AVERAGE(V76:Y76)</f>
        <v>1.4494372758504912E-2</v>
      </c>
      <c r="AA76" s="861">
        <f>AA15/(IS!AA11+IS!AA13+IS!AA14)*IS!AA6/IS!$AE$6</f>
        <v>1.300045742350194E-2</v>
      </c>
      <c r="AB76" s="861">
        <f>AB15/(IS!AB11+IS!AB13+IS!AB14)*IS!AB6/IS!$AE$6</f>
        <v>1.2822609683425513E-2</v>
      </c>
      <c r="AC76" s="861">
        <f>AC15/(IS!AC11+IS!AC13+IS!AC14)*IS!AC6/IS!$AE$6</f>
        <v>1.5651697407365592E-2</v>
      </c>
      <c r="AD76" s="861">
        <f>AD15/(IS!AD11+IS!AD13+IS!AD14)*IS!AD6/IS!$AE$6</f>
        <v>1.3664427727518667E-2</v>
      </c>
      <c r="AE76" s="862">
        <f>AVERAGE(AA76:AD76)</f>
        <v>1.3784798060452928E-2</v>
      </c>
      <c r="AF76" s="861">
        <f>AF15/(IS!AF11+IS!AF13+IS!AF14)*IS!AF6/IS!$AJ$6</f>
        <v>1.2545436418937279E-2</v>
      </c>
      <c r="AG76" s="861">
        <f>AG15/(IS!AG11+IS!AG13+IS!AG14)*IS!AG6/IS!$AJ$6</f>
        <v>1.1729624345177722E-2</v>
      </c>
      <c r="AH76" s="861">
        <f>AH15/(IS!AH11+IS!AH13+IS!AH14)*IS!AH6/IS!$AJ$6</f>
        <v>1.3086711868573698E-2</v>
      </c>
      <c r="AI76" s="861">
        <f>AI15/(IS!AI11+IS!AI13+IS!AI14)*IS!AI6/IS!$AJ$6</f>
        <v>1.1256371973710952E-2</v>
      </c>
      <c r="AJ76" s="862">
        <f>AVERAGE(AF76:AI76)</f>
        <v>1.2154536151599914E-2</v>
      </c>
      <c r="AK76" s="861">
        <f>AK15/(IS!AK11+IS!AK13+IS!AK14)*IS!AK6/IS!$AO$6</f>
        <v>1.1623288331219598E-2</v>
      </c>
      <c r="AL76" s="861">
        <f>AL15/(IS!AL11+IS!AL13+IS!AL14)*IS!AL6/IS!$AO$6</f>
        <v>1.1570622138052218E-2</v>
      </c>
      <c r="AM76" s="861">
        <f>AM15/(IS!AM11+IS!AM13+IS!AM14)*IS!AM6/IS!$AO$6</f>
        <v>3.4481925078368475E-2</v>
      </c>
      <c r="AN76" s="861">
        <f>AN15/(IS!AN11+IS!AN13+IS!AN14)*IS!AN6/IS!$AO$6</f>
        <v>1.0911643614725726E-2</v>
      </c>
      <c r="AO76" s="862">
        <f>AVERAGE(AK76:AN76)</f>
        <v>1.7146869790591504E-2</v>
      </c>
      <c r="AP76" s="861">
        <f>AP15/(IS!AP11+IS!AP13+IS!AP14)*IS!AP6/IS!$AT$6</f>
        <v>1.2455802857120828E-2</v>
      </c>
      <c r="AQ76" s="861">
        <f>AQ15/(IS!AQ11+IS!AQ13+IS!AQ14)*IS!AQ6/IS!$AT$6</f>
        <v>1.3406884827581185E-2</v>
      </c>
      <c r="AR76" s="861">
        <f>AR15/(IS!AR11+IS!AR13+IS!AR14)*IS!AR6/IS!$AT$6</f>
        <v>1.3651985374770123E-2</v>
      </c>
      <c r="AS76" s="861">
        <f>AS15/(IS!AS11+IS!AS13+IS!AS14)*IS!AS6/IS!$AT$6</f>
        <v>1.0940648216669936E-2</v>
      </c>
      <c r="AT76" s="862">
        <f>AVERAGE(AP76:AS76)</f>
        <v>1.2613830319035518E-2</v>
      </c>
      <c r="AU76" s="861">
        <f>AU15/(IS!AU11+IS!AU13+IS!AU14)*IS!AU6/IS!$AY$6</f>
        <v>1.2402363210987031E-2</v>
      </c>
      <c r="AV76" s="861">
        <f>AV15/(IS!AV11+IS!AV13+IS!AV14)*IS!AV6/IS!$AY$6</f>
        <v>1.2882939329158448E-2</v>
      </c>
      <c r="AW76" s="861">
        <f>AW15/(IS!AW11+IS!AW13+IS!AW14)*IS!AW6/IS!$AY$6</f>
        <v>1.2295237444685886E-2</v>
      </c>
      <c r="AX76" s="861">
        <f>AX15/(IS!AX11+IS!AX13+IS!AX14)*IS!AX6/IS!$AY$6</f>
        <v>1.2203492198364229E-2</v>
      </c>
      <c r="AY76" s="862">
        <f>AVERAGE(AU76:AX76)</f>
        <v>1.2446008045798899E-2</v>
      </c>
      <c r="AZ76" s="861">
        <f>AZ15/(IS!AZ11+IS!AZ13+IS!AZ14)*IS!AZ6/IS!$BD$6</f>
        <v>1.2523926884610846E-2</v>
      </c>
      <c r="BA76" s="861">
        <f>BA15/(IS!BA11+IS!BA13+IS!BA14)*IS!BA6/IS!$BD$6</f>
        <v>1.2834635505356901E-2</v>
      </c>
      <c r="BB76" s="861">
        <f>BB15/(IS!BB11+IS!BB13+IS!BB14)*IS!BB6/IS!$BD$6</f>
        <v>1.2724513254022365E-2</v>
      </c>
      <c r="BC76" s="861">
        <f>BC15/(IS!BC11+IS!BC13+IS!BC14)*IS!BC6/IS!$BD$6</f>
        <v>1.2222098637729181E-2</v>
      </c>
      <c r="BD76" s="862">
        <f>AVERAGE(AZ76:BC76)</f>
        <v>1.2576293570429824E-2</v>
      </c>
      <c r="BE76" s="861">
        <f>BE15/(IS!BE11+IS!BE13+IS!BE14)*IS!BE6/IS!$BI$6</f>
        <v>1.3260329875942721E-2</v>
      </c>
      <c r="BF76" s="861">
        <f>BF15/(IS!BF11+IS!BF13+IS!BF14)*IS!BF6/IS!$BI$6</f>
        <v>1.3936397004407105E-2</v>
      </c>
      <c r="BG76" s="861">
        <f>BG15/(IS!BG11+IS!BG13+IS!BG14)*IS!BG6/IS!$BI$6</f>
        <v>1.4420691774108324E-2</v>
      </c>
      <c r="BH76" s="861">
        <f>BH15/(IS!BH11+IS!BH13+IS!BH14)*IS!BH6/IS!$BI$6</f>
        <v>1.3461945437936017E-2</v>
      </c>
      <c r="BI76" s="862">
        <f>AVERAGE(BE76:BH76)</f>
        <v>1.3769841023098542E-2</v>
      </c>
      <c r="BJ76" s="861">
        <f>BJ15/(IS!BJ11+IS!BJ13+IS!BJ14)*IS!BJ6/IS!$BN$6</f>
        <v>1.395483638527723E-2</v>
      </c>
      <c r="BK76" s="861">
        <f>BK15/(IS!BK11+IS!BK13+IS!BK14)*IS!BK6/IS!$BN$6</f>
        <v>1.3715467258997086E-2</v>
      </c>
      <c r="BL76" s="861">
        <f>BL15/(IS!BL11+IS!BL13+IS!BL14)*IS!BL6/IS!$BN$6</f>
        <v>1.4586693784147483E-2</v>
      </c>
      <c r="BM76" s="861">
        <f>BM15/(IS!BM11+IS!BM13+IS!BM14)*IS!BM6/IS!$BN$6</f>
        <v>1.3499223496332152E-2</v>
      </c>
      <c r="BN76" s="862">
        <f>AVERAGE(BJ76:BM76)</f>
        <v>1.3939055231188487E-2</v>
      </c>
      <c r="BO76" s="861">
        <f>BO15/(IS!BO11+IS!BO13+IS!BO14)*IS!BO6/IS!$BN$6</f>
        <v>1.4854834855060794E-2</v>
      </c>
      <c r="BP76" s="861">
        <f>BP15/(IS!BP11+IS!BP13+IS!BP14)*IS!BP6/IS!$BN$6</f>
        <v>1.4081710544058294E-2</v>
      </c>
      <c r="BQ76" s="861">
        <f>BQ15/(IS!BQ11+IS!BQ13+IS!BQ14)*IS!BQ6/IS!$BN$6</f>
        <v>1.6041271066154009E-2</v>
      </c>
      <c r="BR76" s="861">
        <f>BR15/(IS!BR11+IS!BR13+IS!BR14)*IS!BR6/IS!$BN$6</f>
        <v>1.3877119643758162E-2</v>
      </c>
      <c r="BS76" s="862">
        <f>AVERAGE(BO76:BR76)</f>
        <v>1.4713734027257813E-2</v>
      </c>
      <c r="BT76" s="861">
        <f>BT15/(IS!BT11+IS!BT13+IS!BT14)*IS!BT6/IS!$BN$6</f>
        <v>1.6340043787045441E-2</v>
      </c>
      <c r="BU76" s="861">
        <f>BU15/(IS!BU11+IS!BU13+IS!BU14)*IS!BU6/IS!$BN$6</f>
        <v>1.4685096769167417E-2</v>
      </c>
      <c r="BV76" s="861">
        <f>BV15/(IS!BV11+IS!BV13+IS!BV14)*IS!BV6/IS!$BN$6</f>
        <v>1.5697807685321728E-2</v>
      </c>
      <c r="BW76" s="861">
        <f>BW15/(IS!BW11+IS!BW13+IS!BW14)*IS!BW6/IS!$BN$6</f>
        <v>1.4058344037858203E-2</v>
      </c>
      <c r="BX76" s="862">
        <f>AVERAGE(BT76:BW76)</f>
        <v>1.5195323069848197E-2</v>
      </c>
      <c r="BY76" s="861">
        <f>BY15/(IS!BY11+IS!BY13+IS!BY14)*IS!BY6/IS!$BN$6</f>
        <v>1.3385774722369117E-2</v>
      </c>
      <c r="BZ76" s="861">
        <f>BZ15/(IS!BZ11+IS!BZ13+IS!BZ14)*IS!BZ6/IS!$BN$6</f>
        <v>1.5544115204858723E-2</v>
      </c>
      <c r="CA76" s="861">
        <f>CA15/(IS!CA11+IS!CA13+IS!CA14)*IS!CA6/IS!$BN$6</f>
        <v>1.544547466333082E-2</v>
      </c>
      <c r="CB76" s="861">
        <f>CB15/(IS!CB11+IS!CB13+IS!CB14)*IS!CB6/IS!$BN$6</f>
        <v>1.3980554964161522E-2</v>
      </c>
      <c r="CC76" s="862">
        <f>AVERAGE(BY76:CB76)</f>
        <v>1.4588979888680045E-2</v>
      </c>
      <c r="CD76" s="861">
        <f>CD15/(IS!CD11+IS!CD13+IS!CD14)*IS!CD6/IS!$BN$6</f>
        <v>1.4948203472793638E-2</v>
      </c>
      <c r="CE76" s="861">
        <f>CE15/(IS!CE11+IS!CE13+IS!CE14)*IS!CE6/IS!$BN$6</f>
        <v>1.6241285945986849E-2</v>
      </c>
      <c r="CF76" s="861">
        <f>CF15/(IS!CF11+IS!CF13+IS!CF14)*IS!CF6/IS!$BN$6</f>
        <v>1.6328592443930194E-2</v>
      </c>
      <c r="CG76" s="861">
        <f>CG15/(IS!CG11+IS!CG13+IS!CG14)*IS!CG6/IS!$BN$6</f>
        <v>1.3752330158242926E-2</v>
      </c>
      <c r="CH76" s="862">
        <f>AVERAGE(CD76:CG76)</f>
        <v>1.5317603005238403E-2</v>
      </c>
      <c r="CI76" s="861">
        <f>CI15/(IS!CI11+IS!CI13+IS!CI14)*IS!CI6/IS!$BN$6</f>
        <v>1.5601442775625489E-2</v>
      </c>
      <c r="CJ76" s="861">
        <f>CJ15/(IS!CJ11+IS!CJ13+IS!CJ14)*IS!CJ6/IS!$BN$6</f>
        <v>1.7169718761623928E-2</v>
      </c>
      <c r="CK76" s="861">
        <f>CK15/(IS!CK11+IS!CK13+IS!CK14)*IS!CK6/IS!$BN$6</f>
        <v>1.9073602230661988E-2</v>
      </c>
      <c r="CL76" s="861">
        <f>CL15/(IS!CL11+IS!CL13+IS!CL14)*IS!CL6/IS!$BN$6</f>
        <v>1.8852459016393441E-2</v>
      </c>
      <c r="CM76" s="862">
        <f>AVERAGE(CI76:CL76)</f>
        <v>1.7674305696076212E-2</v>
      </c>
      <c r="CN76" s="846">
        <v>1.7000000000000001E-2</v>
      </c>
      <c r="CO76" s="846">
        <v>1.7000000000000001E-2</v>
      </c>
      <c r="CP76" s="846">
        <v>1.9E-2</v>
      </c>
      <c r="CQ76" s="846">
        <v>1.9400000000000001E-2</v>
      </c>
      <c r="CR76" s="862">
        <f>AVERAGE(CN76:CQ76)</f>
        <v>1.8100000000000002E-2</v>
      </c>
      <c r="CS76" s="846">
        <v>1.7000000000000001E-2</v>
      </c>
      <c r="CT76" s="846">
        <f>+CS76</f>
        <v>1.7000000000000001E-2</v>
      </c>
      <c r="CU76" s="846">
        <v>1.6E-2</v>
      </c>
      <c r="CV76" s="846">
        <v>0.01</v>
      </c>
      <c r="CW76" s="862">
        <f>AVERAGE(CS76:CV76)</f>
        <v>1.5000000000000001E-2</v>
      </c>
      <c r="CX76" s="846">
        <v>1.7000000000000001E-2</v>
      </c>
      <c r="CY76" s="846">
        <f>+CX76</f>
        <v>1.7000000000000001E-2</v>
      </c>
      <c r="CZ76" s="846">
        <v>1.6E-2</v>
      </c>
      <c r="DA76" s="846">
        <v>1.6E-2</v>
      </c>
      <c r="DB76" s="862">
        <f>AVERAGE(CX76:DA76)</f>
        <v>1.6500000000000001E-2</v>
      </c>
      <c r="DC76" s="9"/>
    </row>
    <row r="77" spans="1:107" collapsed="1">
      <c r="A77" s="1"/>
      <c r="B77" s="845" t="s">
        <v>451</v>
      </c>
      <c r="C77" s="399"/>
      <c r="D77" s="844"/>
      <c r="E77" s="172"/>
      <c r="F77" s="172"/>
      <c r="G77" s="399"/>
      <c r="H77" s="399"/>
      <c r="I77" s="399"/>
      <c r="J77" s="196"/>
      <c r="K77" s="172"/>
      <c r="L77" s="399"/>
      <c r="M77" s="399"/>
      <c r="N77" s="399"/>
      <c r="O77" s="399"/>
      <c r="P77" s="172"/>
      <c r="Q77" s="399"/>
      <c r="R77" s="399"/>
      <c r="S77" s="399"/>
      <c r="T77" s="399"/>
      <c r="U77" s="172"/>
      <c r="V77" s="399"/>
      <c r="W77" s="399"/>
      <c r="X77" s="399"/>
      <c r="Y77" s="399"/>
      <c r="Z77" s="172"/>
      <c r="AA77" s="399"/>
      <c r="AB77" s="399"/>
      <c r="AC77" s="399"/>
      <c r="AD77" s="399"/>
      <c r="AE77" s="172"/>
      <c r="AF77" s="399"/>
      <c r="AG77" s="399"/>
      <c r="AH77" s="399"/>
      <c r="AI77" s="399"/>
      <c r="AJ77" s="172"/>
      <c r="AK77" s="399"/>
      <c r="AL77" s="399"/>
      <c r="AM77" s="399"/>
      <c r="AN77" s="399"/>
      <c r="AO77" s="172"/>
      <c r="AP77" s="843"/>
      <c r="AQ77" s="843"/>
      <c r="AR77" s="843"/>
      <c r="AS77" s="843"/>
      <c r="AT77" s="172"/>
      <c r="AU77" s="399"/>
      <c r="AV77" s="843"/>
      <c r="AW77" s="843"/>
      <c r="AX77" s="843"/>
      <c r="AY77" s="172"/>
      <c r="AZ77" s="399"/>
      <c r="BA77" s="843"/>
      <c r="BB77" s="843"/>
      <c r="BC77" s="843"/>
      <c r="BD77" s="172"/>
      <c r="BE77" s="399"/>
      <c r="BF77" s="843"/>
      <c r="BG77" s="843"/>
      <c r="BH77" s="843"/>
      <c r="BI77" s="172"/>
      <c r="BJ77" s="399"/>
      <c r="BK77" s="843"/>
      <c r="BL77" s="843"/>
      <c r="BM77" s="843"/>
      <c r="BN77" s="172"/>
      <c r="BO77" s="399"/>
      <c r="BP77" s="843"/>
      <c r="BQ77" s="843"/>
      <c r="BR77" s="843"/>
      <c r="BS77" s="172"/>
      <c r="BT77" s="399"/>
      <c r="BU77" s="399"/>
      <c r="BV77" s="843"/>
      <c r="BW77" s="843"/>
      <c r="BX77" s="172"/>
      <c r="BY77" s="399"/>
      <c r="BZ77" s="399"/>
      <c r="CA77" s="399"/>
      <c r="CB77" s="399"/>
      <c r="CC77" s="172"/>
      <c r="CD77" s="399"/>
      <c r="CE77" s="399"/>
      <c r="CF77" s="399"/>
      <c r="CG77" s="843"/>
      <c r="CH77" s="172"/>
      <c r="CI77" s="399"/>
      <c r="CJ77" s="843"/>
      <c r="CK77" s="843"/>
      <c r="CL77" s="843"/>
      <c r="CM77" s="172"/>
      <c r="CN77" s="399"/>
      <c r="CO77" s="843"/>
      <c r="CP77" s="843"/>
      <c r="CQ77" s="843"/>
      <c r="CR77" s="172"/>
      <c r="CS77" s="399"/>
      <c r="CT77" s="843"/>
      <c r="CU77" s="843"/>
      <c r="CV77" s="843"/>
      <c r="CW77" s="172"/>
      <c r="CX77" s="399"/>
      <c r="CY77" s="843"/>
      <c r="CZ77" s="843"/>
      <c r="DA77" s="843"/>
      <c r="DB77" s="172"/>
      <c r="DC77" s="9"/>
    </row>
    <row r="78" spans="1:107">
      <c r="A78" s="1"/>
      <c r="B78" s="868" t="s">
        <v>452</v>
      </c>
      <c r="C78" s="5"/>
      <c r="D78" s="876"/>
      <c r="E78" s="200"/>
      <c r="F78" s="866"/>
      <c r="G78" s="268"/>
      <c r="H78" s="268"/>
      <c r="I78" s="268"/>
      <c r="J78" s="268"/>
      <c r="K78" s="862"/>
      <c r="L78" s="268"/>
      <c r="M78" s="268"/>
      <c r="N78" s="268"/>
      <c r="O78" s="268"/>
      <c r="P78" s="862"/>
      <c r="Q78" s="268"/>
      <c r="R78" s="268"/>
      <c r="S78" s="268"/>
      <c r="T78" s="268"/>
      <c r="U78" s="862"/>
      <c r="V78" s="268"/>
      <c r="W78" s="268"/>
      <c r="X78" s="268"/>
      <c r="Y78" s="268"/>
      <c r="Z78" s="862"/>
      <c r="AA78" s="268"/>
      <c r="AB78" s="268"/>
      <c r="AC78" s="268"/>
      <c r="AD78" s="268"/>
      <c r="AE78" s="862"/>
      <c r="AF78" s="268"/>
      <c r="AG78" s="268"/>
      <c r="AH78" s="268"/>
      <c r="AI78" s="268"/>
      <c r="AJ78" s="862"/>
      <c r="AK78" s="268"/>
      <c r="AL78" s="268"/>
      <c r="AM78" s="268"/>
      <c r="AN78" s="268"/>
      <c r="AO78" s="862"/>
      <c r="AP78" s="861"/>
      <c r="AQ78" s="268"/>
      <c r="AR78" s="268"/>
      <c r="AS78" s="268"/>
      <c r="AT78" s="866"/>
      <c r="AU78" s="268"/>
      <c r="AV78" s="268"/>
      <c r="AW78" s="268"/>
      <c r="AX78" s="268"/>
      <c r="AY78" s="866"/>
      <c r="AZ78" s="268"/>
      <c r="BA78" s="268"/>
      <c r="BB78" s="268"/>
      <c r="BC78" s="268"/>
      <c r="BD78" s="866"/>
      <c r="BE78" s="268"/>
      <c r="BF78" s="268"/>
      <c r="BG78" s="268"/>
      <c r="BH78" s="268"/>
      <c r="BI78" s="866"/>
      <c r="BJ78" s="268"/>
      <c r="BK78" s="268"/>
      <c r="BL78" s="268"/>
      <c r="BM78" s="268"/>
      <c r="BN78" s="866"/>
      <c r="BO78" s="268"/>
      <c r="BP78" s="268"/>
      <c r="BQ78" s="268"/>
      <c r="BR78" s="268"/>
      <c r="BS78" s="866"/>
      <c r="BT78" s="268"/>
      <c r="BU78" s="268"/>
      <c r="BV78" s="268"/>
      <c r="BW78" s="268"/>
      <c r="BX78" s="866"/>
      <c r="BY78" s="268"/>
      <c r="BZ78" s="268"/>
      <c r="CA78" s="268"/>
      <c r="CB78" s="268"/>
      <c r="CC78" s="866"/>
      <c r="CD78" s="268"/>
      <c r="CE78" s="268"/>
      <c r="CF78" s="268"/>
      <c r="CG78" s="268"/>
      <c r="CH78" s="866"/>
      <c r="CI78" s="268"/>
      <c r="CJ78" s="268"/>
      <c r="CK78" s="268"/>
      <c r="CL78" s="268"/>
      <c r="CM78" s="866"/>
      <c r="CN78" s="268"/>
      <c r="CO78" s="268"/>
      <c r="CP78" s="268"/>
      <c r="CQ78" s="268"/>
      <c r="CR78" s="866"/>
      <c r="CS78" s="268"/>
      <c r="CT78" s="268"/>
      <c r="CU78" s="268"/>
      <c r="CV78" s="268"/>
      <c r="CW78" s="866"/>
      <c r="CX78" s="268"/>
      <c r="CY78" s="268"/>
      <c r="CZ78" s="268"/>
      <c r="DA78" s="268"/>
      <c r="DB78" s="866"/>
      <c r="DC78" s="9"/>
    </row>
    <row r="79" spans="1:107">
      <c r="A79" s="1"/>
      <c r="B79" s="9" t="s">
        <v>453</v>
      </c>
      <c r="C79" s="193"/>
      <c r="D79" s="842"/>
      <c r="E79" s="194">
        <f t="shared" ref="E79:Z79" si="281">E81-E80</f>
        <v>260.84899999999999</v>
      </c>
      <c r="F79" s="194">
        <f t="shared" si="281"/>
        <v>362.76100000000002</v>
      </c>
      <c r="G79" s="710"/>
      <c r="H79" s="710"/>
      <c r="I79" s="710"/>
      <c r="J79" s="710">
        <f t="shared" si="281"/>
        <v>433.93200000000002</v>
      </c>
      <c r="K79" s="194">
        <f t="shared" si="281"/>
        <v>433.93200000000002</v>
      </c>
      <c r="L79" s="710"/>
      <c r="M79" s="710"/>
      <c r="N79" s="710"/>
      <c r="O79" s="710">
        <f t="shared" si="281"/>
        <v>473.55200000000002</v>
      </c>
      <c r="P79" s="194">
        <f t="shared" si="281"/>
        <v>473.55200000000002</v>
      </c>
      <c r="Q79" s="710"/>
      <c r="R79" s="710">
        <f t="shared" si="281"/>
        <v>496.56700000000001</v>
      </c>
      <c r="S79" s="710">
        <f t="shared" si="281"/>
        <v>590.84300000000007</v>
      </c>
      <c r="T79" s="710">
        <f t="shared" si="281"/>
        <v>662.774</v>
      </c>
      <c r="U79" s="194">
        <f t="shared" si="281"/>
        <v>662.774</v>
      </c>
      <c r="V79" s="710">
        <f t="shared" si="281"/>
        <v>787.77499999999998</v>
      </c>
      <c r="W79" s="710">
        <f t="shared" si="281"/>
        <v>755.82900000000006</v>
      </c>
      <c r="X79" s="710">
        <f t="shared" si="281"/>
        <v>860.23</v>
      </c>
      <c r="Y79" s="710">
        <f t="shared" si="281"/>
        <v>883.35500000000002</v>
      </c>
      <c r="Z79" s="194">
        <f t="shared" si="281"/>
        <v>883.35500000000002</v>
      </c>
      <c r="AA79" s="710">
        <f t="shared" ref="AA79:AT79" si="282">AA81-AA80</f>
        <v>902.89900000000011</v>
      </c>
      <c r="AB79" s="710">
        <f t="shared" si="282"/>
        <v>914.95699999999999</v>
      </c>
      <c r="AC79" s="710">
        <f t="shared" si="282"/>
        <v>962.14799999999991</v>
      </c>
      <c r="AD79" s="710">
        <f t="shared" si="282"/>
        <v>1002.053</v>
      </c>
      <c r="AE79" s="194">
        <f t="shared" si="282"/>
        <v>1002.053</v>
      </c>
      <c r="AF79" s="710">
        <f t="shared" si="282"/>
        <v>1039.914</v>
      </c>
      <c r="AG79" s="710">
        <f t="shared" si="282"/>
        <v>1078.4639999999999</v>
      </c>
      <c r="AH79" s="710">
        <f t="shared" si="282"/>
        <v>1206.4639999999999</v>
      </c>
      <c r="AI79" s="710">
        <f t="shared" si="282"/>
        <v>1252.549</v>
      </c>
      <c r="AJ79" s="194">
        <f t="shared" si="282"/>
        <v>1252.549</v>
      </c>
      <c r="AK79" s="710">
        <f t="shared" si="282"/>
        <v>1314.8509999999999</v>
      </c>
      <c r="AL79" s="710">
        <f t="shared" si="282"/>
        <v>1374.9960000000001</v>
      </c>
      <c r="AM79" s="710">
        <f t="shared" si="282"/>
        <v>2831.1750000000002</v>
      </c>
      <c r="AN79" s="710">
        <f t="shared" si="282"/>
        <v>2567.3140000000003</v>
      </c>
      <c r="AO79" s="194">
        <f t="shared" si="282"/>
        <v>2567.3140000000003</v>
      </c>
      <c r="AP79" s="710">
        <f t="shared" si="282"/>
        <v>2662.424</v>
      </c>
      <c r="AQ79" s="710">
        <f t="shared" si="282"/>
        <v>2656.5129999999999</v>
      </c>
      <c r="AR79" s="710">
        <f t="shared" si="282"/>
        <v>2752.1030000000001</v>
      </c>
      <c r="AS79" s="710">
        <f t="shared" si="282"/>
        <v>2716.8590000000004</v>
      </c>
      <c r="AT79" s="194">
        <f t="shared" si="282"/>
        <v>2716.8590000000004</v>
      </c>
      <c r="AU79" s="710">
        <f t="shared" ref="AU79:CC79" si="283">AU81-AU80</f>
        <v>2838.7530000000002</v>
      </c>
      <c r="AV79" s="710">
        <f t="shared" si="283"/>
        <v>2932.6210000000001</v>
      </c>
      <c r="AW79" s="710">
        <f t="shared" si="283"/>
        <v>3043.6350000000002</v>
      </c>
      <c r="AX79" s="710">
        <f t="shared" si="283"/>
        <v>3035.0910000000003</v>
      </c>
      <c r="AY79" s="194">
        <f t="shared" si="283"/>
        <v>3035.0910000000003</v>
      </c>
      <c r="AZ79" s="710">
        <f t="shared" si="283"/>
        <v>3159.3360000000002</v>
      </c>
      <c r="BA79" s="710">
        <f t="shared" si="283"/>
        <v>3175.0060000000003</v>
      </c>
      <c r="BB79" s="710">
        <f t="shared" si="283"/>
        <v>3205.5549999999998</v>
      </c>
      <c r="BC79" s="710">
        <f t="shared" si="283"/>
        <v>3353.74</v>
      </c>
      <c r="BD79" s="194">
        <f t="shared" si="283"/>
        <v>3353.74</v>
      </c>
      <c r="BE79" s="710">
        <f t="shared" si="283"/>
        <v>3466.0569999999998</v>
      </c>
      <c r="BF79" s="710">
        <f t="shared" si="283"/>
        <v>3585.808</v>
      </c>
      <c r="BG79" s="710">
        <f t="shared" si="283"/>
        <v>3613.1279999999997</v>
      </c>
      <c r="BH79" s="710">
        <f t="shared" si="283"/>
        <v>3725.5010000000002</v>
      </c>
      <c r="BI79" s="194">
        <f t="shared" si="283"/>
        <v>3725.5010000000002</v>
      </c>
      <c r="BJ79" s="710">
        <f t="shared" si="283"/>
        <v>4015.627</v>
      </c>
      <c r="BK79" s="710">
        <f t="shared" si="283"/>
        <v>4160.3429999999998</v>
      </c>
      <c r="BL79" s="710">
        <f>BL81-BL80</f>
        <v>4290.3050000000003</v>
      </c>
      <c r="BM79" s="710">
        <f t="shared" si="283"/>
        <v>4269.2539999999999</v>
      </c>
      <c r="BN79" s="194">
        <f t="shared" si="283"/>
        <v>4269.2539999999999</v>
      </c>
      <c r="BO79" s="710">
        <f t="shared" si="283"/>
        <v>4473.4269999999997</v>
      </c>
      <c r="BP79" s="710">
        <f t="shared" si="283"/>
        <v>4477.8770000000004</v>
      </c>
      <c r="BQ79" s="710">
        <f t="shared" si="283"/>
        <v>4689.1859999999997</v>
      </c>
      <c r="BR79" s="710">
        <f t="shared" si="283"/>
        <v>4801.74</v>
      </c>
      <c r="BS79" s="194">
        <f t="shared" si="283"/>
        <v>4801.74</v>
      </c>
      <c r="BT79" s="710">
        <f>BT81-BT80</f>
        <v>6566</v>
      </c>
      <c r="BU79" s="710">
        <f>BU81-BU80</f>
        <v>6616</v>
      </c>
      <c r="BV79" s="710">
        <f>BV81-BV80</f>
        <v>6783</v>
      </c>
      <c r="BW79" s="710">
        <f>BW81-BW80</f>
        <v>6913</v>
      </c>
      <c r="BX79" s="194">
        <f t="shared" si="283"/>
        <v>6913</v>
      </c>
      <c r="BY79" s="710">
        <f t="shared" si="283"/>
        <v>7234</v>
      </c>
      <c r="BZ79" s="710">
        <f t="shared" si="283"/>
        <v>7264</v>
      </c>
      <c r="CA79" s="710">
        <f>CA81-CA80</f>
        <v>7511</v>
      </c>
      <c r="CB79" s="710">
        <f t="shared" si="283"/>
        <v>7722</v>
      </c>
      <c r="CC79" s="194">
        <f t="shared" si="283"/>
        <v>7722</v>
      </c>
      <c r="CD79" s="710">
        <f t="shared" ref="CD79:CM79" si="284">CD81-CD80</f>
        <v>7774</v>
      </c>
      <c r="CE79" s="710">
        <f t="shared" ref="CE79:CF79" si="285">CE81-CE80</f>
        <v>6911</v>
      </c>
      <c r="CF79" s="710">
        <f t="shared" si="285"/>
        <v>6933</v>
      </c>
      <c r="CG79" s="710">
        <f t="shared" ref="CG79" si="286">CG81-CG80</f>
        <v>6949</v>
      </c>
      <c r="CH79" s="194">
        <f t="shared" si="284"/>
        <v>3176</v>
      </c>
      <c r="CI79" s="710">
        <f t="shared" ref="CI79:CJ79" si="287">CI81-CI80</f>
        <v>6893</v>
      </c>
      <c r="CJ79" s="710">
        <f t="shared" si="287"/>
        <v>6559</v>
      </c>
      <c r="CK79" s="710">
        <f t="shared" ref="CK79:CL79" si="288">CK81-CK80</f>
        <v>6426</v>
      </c>
      <c r="CL79" s="710">
        <f t="shared" si="288"/>
        <v>6254</v>
      </c>
      <c r="CM79" s="194">
        <f t="shared" si="284"/>
        <v>2384</v>
      </c>
      <c r="CN79" s="710">
        <f t="shared" ref="CN79:DA79" ca="1" si="289">CN81-CN80</f>
        <v>2515.2429286929196</v>
      </c>
      <c r="CO79" s="710">
        <f t="shared" ca="1" si="289"/>
        <v>2324.4184452335594</v>
      </c>
      <c r="CP79" s="710">
        <f t="shared" ca="1" si="289"/>
        <v>2301.3814322434705</v>
      </c>
      <c r="CQ79" s="710">
        <f t="shared" ca="1" si="289"/>
        <v>2611.8688624498654</v>
      </c>
      <c r="CR79" s="194">
        <f t="shared" ca="1" si="289"/>
        <v>2611.8688624498654</v>
      </c>
      <c r="CS79" s="710">
        <f t="shared" ref="CS79:CV79" ca="1" si="290">CS81-CS80</f>
        <v>2537.6369062342519</v>
      </c>
      <c r="CT79" s="710">
        <f t="shared" ca="1" si="290"/>
        <v>2241.440920399938</v>
      </c>
      <c r="CU79" s="710">
        <f t="shared" ca="1" si="290"/>
        <v>2117.4183952462631</v>
      </c>
      <c r="CV79" s="710">
        <f t="shared" ca="1" si="290"/>
        <v>2255.3272007459482</v>
      </c>
      <c r="CW79" s="194">
        <f t="shared" ca="1" si="289"/>
        <v>2255.3272007459482</v>
      </c>
      <c r="CX79" s="710">
        <f t="shared" ca="1" si="289"/>
        <v>2346.9276576010861</v>
      </c>
      <c r="CY79" s="710">
        <f t="shared" ca="1" si="289"/>
        <v>2255.5061526600466</v>
      </c>
      <c r="CZ79" s="710">
        <f t="shared" ca="1" si="289"/>
        <v>2113.1403797692146</v>
      </c>
      <c r="DA79" s="710">
        <f t="shared" ca="1" si="289"/>
        <v>2403.2872518666509</v>
      </c>
      <c r="DB79" s="194">
        <f t="shared" ref="DB79" ca="1" si="291">DB81-DB80</f>
        <v>2403.2872518666509</v>
      </c>
      <c r="DC79" s="9"/>
    </row>
    <row r="80" spans="1:107">
      <c r="A80" s="1"/>
      <c r="B80" s="9" t="s">
        <v>454</v>
      </c>
      <c r="C80" s="841"/>
      <c r="D80" s="840">
        <f>D10</f>
        <v>0</v>
      </c>
      <c r="E80" s="839">
        <f>E10</f>
        <v>-34.499000000000002</v>
      </c>
      <c r="F80" s="839">
        <f>F10</f>
        <v>-52.935000000000002</v>
      </c>
      <c r="G80" s="841"/>
      <c r="H80" s="841"/>
      <c r="I80" s="841"/>
      <c r="J80" s="841">
        <f>J10</f>
        <v>-63.88</v>
      </c>
      <c r="K80" s="839">
        <f>K10</f>
        <v>-63.88</v>
      </c>
      <c r="L80" s="841"/>
      <c r="M80" s="841"/>
      <c r="N80" s="841"/>
      <c r="O80" s="841">
        <f>O10</f>
        <v>-73.11</v>
      </c>
      <c r="P80" s="839">
        <f>P10</f>
        <v>-73.11</v>
      </c>
      <c r="Q80" s="841"/>
      <c r="R80" s="841">
        <f t="shared" ref="R80:AW80" si="292">R10</f>
        <v>-85.481999999999999</v>
      </c>
      <c r="S80" s="841">
        <f t="shared" si="292"/>
        <v>-98.721000000000004</v>
      </c>
      <c r="T80" s="841">
        <f t="shared" si="292"/>
        <v>-103.67700000000001</v>
      </c>
      <c r="U80" s="839">
        <f t="shared" si="292"/>
        <v>-103.67700000000001</v>
      </c>
      <c r="V80" s="841">
        <f t="shared" si="292"/>
        <v>-203.9</v>
      </c>
      <c r="W80" s="841">
        <f t="shared" si="292"/>
        <v>-203.45099999999999</v>
      </c>
      <c r="X80" s="841">
        <f t="shared" si="292"/>
        <v>-282.32</v>
      </c>
      <c r="Y80" s="841">
        <f t="shared" si="292"/>
        <v>-286.09399999999999</v>
      </c>
      <c r="Z80" s="839">
        <f t="shared" si="292"/>
        <v>-286.09399999999999</v>
      </c>
      <c r="AA80" s="841">
        <f t="shared" si="292"/>
        <v>-296.358</v>
      </c>
      <c r="AB80" s="841">
        <f t="shared" si="292"/>
        <v>-300.31299999999999</v>
      </c>
      <c r="AC80" s="841">
        <f t="shared" si="292"/>
        <v>-332.286</v>
      </c>
      <c r="AD80" s="841">
        <f t="shared" si="292"/>
        <v>-346.024</v>
      </c>
      <c r="AE80" s="839">
        <f t="shared" si="292"/>
        <v>-346.024</v>
      </c>
      <c r="AF80" s="841">
        <f t="shared" si="292"/>
        <v>-340.84699999999998</v>
      </c>
      <c r="AG80" s="841">
        <f t="shared" si="292"/>
        <v>-350.77600000000001</v>
      </c>
      <c r="AH80" s="841">
        <f t="shared" si="292"/>
        <v>-460.92599999999999</v>
      </c>
      <c r="AI80" s="841">
        <f t="shared" si="292"/>
        <v>-478.565</v>
      </c>
      <c r="AJ80" s="839">
        <f t="shared" si="292"/>
        <v>-478.565</v>
      </c>
      <c r="AK80" s="841">
        <f t="shared" si="292"/>
        <v>-497.35399999999998</v>
      </c>
      <c r="AL80" s="841">
        <f t="shared" si="292"/>
        <v>-498.47300000000001</v>
      </c>
      <c r="AM80" s="841">
        <f t="shared" si="292"/>
        <v>-1001.57</v>
      </c>
      <c r="AN80" s="841">
        <f t="shared" si="292"/>
        <v>-1033.5160000000001</v>
      </c>
      <c r="AO80" s="839">
        <f t="shared" si="292"/>
        <v>-1033.5160000000001</v>
      </c>
      <c r="AP80" s="841">
        <f t="shared" si="292"/>
        <v>-1036.7660000000001</v>
      </c>
      <c r="AQ80" s="841">
        <f t="shared" si="292"/>
        <v>-1052.8109999999999</v>
      </c>
      <c r="AR80" s="841">
        <f t="shared" si="292"/>
        <v>-1109.2829999999999</v>
      </c>
      <c r="AS80" s="841">
        <f t="shared" si="292"/>
        <v>-1102.9000000000001</v>
      </c>
      <c r="AT80" s="839">
        <f t="shared" si="292"/>
        <v>-1102.9000000000001</v>
      </c>
      <c r="AU80" s="841">
        <f t="shared" si="292"/>
        <v>-1194.8340000000001</v>
      </c>
      <c r="AV80" s="841">
        <f t="shared" si="292"/>
        <v>-1274.6980000000001</v>
      </c>
      <c r="AW80" s="841">
        <f t="shared" si="292"/>
        <v>-1367.29</v>
      </c>
      <c r="AX80" s="841">
        <f t="shared" ref="AX80:CC80" si="293">AX10</f>
        <v>-1417.1880000000001</v>
      </c>
      <c r="AY80" s="839">
        <f t="shared" si="293"/>
        <v>-1417.1880000000001</v>
      </c>
      <c r="AZ80" s="841">
        <f t="shared" si="293"/>
        <v>-1447.229</v>
      </c>
      <c r="BA80" s="841">
        <f t="shared" si="293"/>
        <v>-1493.2070000000001</v>
      </c>
      <c r="BB80" s="841">
        <f t="shared" si="293"/>
        <v>-1554.1489999999999</v>
      </c>
      <c r="BC80" s="841">
        <f t="shared" si="293"/>
        <v>-1639.1980000000001</v>
      </c>
      <c r="BD80" s="839">
        <f t="shared" si="293"/>
        <v>-1639.1980000000001</v>
      </c>
      <c r="BE80" s="841">
        <f t="shared" si="293"/>
        <v>-1699.9349999999999</v>
      </c>
      <c r="BF80" s="841">
        <f t="shared" si="293"/>
        <v>-1793.404</v>
      </c>
      <c r="BG80" s="841">
        <f t="shared" si="293"/>
        <v>-1840.0029999999999</v>
      </c>
      <c r="BH80" s="841">
        <f t="shared" si="293"/>
        <v>-1891.3340000000001</v>
      </c>
      <c r="BI80" s="839">
        <f t="shared" si="293"/>
        <v>-1891.3340000000001</v>
      </c>
      <c r="BJ80" s="841">
        <f t="shared" si="293"/>
        <v>-1996.09</v>
      </c>
      <c r="BK80" s="841">
        <f t="shared" si="293"/>
        <v>-2105.0509999999999</v>
      </c>
      <c r="BL80" s="841">
        <f t="shared" si="293"/>
        <v>-2199.0880000000002</v>
      </c>
      <c r="BM80" s="841">
        <f t="shared" si="293"/>
        <v>-2201.875</v>
      </c>
      <c r="BN80" s="839">
        <f t="shared" si="293"/>
        <v>-2201.875</v>
      </c>
      <c r="BO80" s="841">
        <f t="shared" si="293"/>
        <v>-2258.2289999999998</v>
      </c>
      <c r="BP80" s="841">
        <f t="shared" si="293"/>
        <v>-2304.8130000000001</v>
      </c>
      <c r="BQ80" s="841">
        <f t="shared" si="293"/>
        <v>-2390.567</v>
      </c>
      <c r="BR80" s="841">
        <f t="shared" si="293"/>
        <v>-2448.4319999999998</v>
      </c>
      <c r="BS80" s="839">
        <f t="shared" si="293"/>
        <v>-2448.4319999999998</v>
      </c>
      <c r="BT80" s="841">
        <f t="shared" si="293"/>
        <v>-3437</v>
      </c>
      <c r="BU80" s="841">
        <f t="shared" si="293"/>
        <v>-3495</v>
      </c>
      <c r="BV80" s="841">
        <f t="shared" si="293"/>
        <v>-3517</v>
      </c>
      <c r="BW80" s="841">
        <f t="shared" si="293"/>
        <v>-3504</v>
      </c>
      <c r="BX80" s="839">
        <f t="shared" si="293"/>
        <v>-3504</v>
      </c>
      <c r="BY80" s="841">
        <f t="shared" si="293"/>
        <v>-3628</v>
      </c>
      <c r="BZ80" s="841">
        <f t="shared" si="293"/>
        <v>-3773</v>
      </c>
      <c r="CA80" s="841">
        <f t="shared" si="293"/>
        <v>-3825</v>
      </c>
      <c r="CB80" s="841">
        <f t="shared" si="293"/>
        <v>-4111</v>
      </c>
      <c r="CC80" s="839">
        <f t="shared" si="293"/>
        <v>-4111</v>
      </c>
      <c r="CD80" s="841">
        <f t="shared" ref="CD80:CW80" si="294">CD10</f>
        <v>-4051</v>
      </c>
      <c r="CE80" s="841">
        <f t="shared" si="294"/>
        <v>-3732</v>
      </c>
      <c r="CF80" s="841">
        <f t="shared" si="294"/>
        <v>-3754</v>
      </c>
      <c r="CG80" s="841">
        <f t="shared" si="294"/>
        <v>-3773</v>
      </c>
      <c r="CH80" s="839">
        <f t="shared" si="294"/>
        <v>0</v>
      </c>
      <c r="CI80" s="841">
        <f t="shared" si="294"/>
        <v>-3729</v>
      </c>
      <c r="CJ80" s="841">
        <f t="shared" ref="CJ80" si="295">CJ10</f>
        <v>-3620</v>
      </c>
      <c r="CK80" s="841">
        <f t="shared" ref="CK80:CL80" si="296">CK10</f>
        <v>-3538</v>
      </c>
      <c r="CL80" s="841">
        <f t="shared" si="296"/>
        <v>-3870</v>
      </c>
      <c r="CM80" s="839">
        <f t="shared" si="294"/>
        <v>0</v>
      </c>
      <c r="CN80" s="841">
        <f t="shared" si="294"/>
        <v>0</v>
      </c>
      <c r="CO80" s="841">
        <f t="shared" si="294"/>
        <v>0</v>
      </c>
      <c r="CP80" s="841">
        <f t="shared" si="294"/>
        <v>0</v>
      </c>
      <c r="CQ80" s="841">
        <f t="shared" si="294"/>
        <v>0</v>
      </c>
      <c r="CR80" s="839">
        <f t="shared" si="294"/>
        <v>0</v>
      </c>
      <c r="CS80" s="841">
        <f t="shared" si="294"/>
        <v>0</v>
      </c>
      <c r="CT80" s="841">
        <f t="shared" si="294"/>
        <v>0</v>
      </c>
      <c r="CU80" s="841">
        <f t="shared" si="294"/>
        <v>0</v>
      </c>
      <c r="CV80" s="841">
        <f t="shared" si="294"/>
        <v>0</v>
      </c>
      <c r="CW80" s="839">
        <f t="shared" si="294"/>
        <v>0</v>
      </c>
      <c r="CX80" s="841">
        <f t="shared" ref="CX80:DB80" si="297">CX10</f>
        <v>0</v>
      </c>
      <c r="CY80" s="841">
        <f t="shared" si="297"/>
        <v>0</v>
      </c>
      <c r="CZ80" s="841">
        <f t="shared" si="297"/>
        <v>0</v>
      </c>
      <c r="DA80" s="841">
        <f t="shared" si="297"/>
        <v>0</v>
      </c>
      <c r="DB80" s="839">
        <f t="shared" si="297"/>
        <v>0</v>
      </c>
      <c r="DC80" s="9"/>
    </row>
    <row r="81" spans="1:107">
      <c r="A81" s="1"/>
      <c r="B81" s="9" t="s">
        <v>455</v>
      </c>
      <c r="C81" s="193"/>
      <c r="D81" s="842">
        <v>148.797</v>
      </c>
      <c r="E81" s="194">
        <f>E11</f>
        <v>226.35</v>
      </c>
      <c r="F81" s="194">
        <f>F11</f>
        <v>309.82600000000002</v>
      </c>
      <c r="G81" s="710">
        <f>G11</f>
        <v>313.11700000000002</v>
      </c>
      <c r="H81" s="710">
        <f>H11</f>
        <v>316.49900000000002</v>
      </c>
      <c r="I81" s="710">
        <f>I11</f>
        <v>334.53800000000001</v>
      </c>
      <c r="J81" s="710">
        <f>J11</f>
        <v>370.05200000000002</v>
      </c>
      <c r="K81" s="194">
        <f>K11</f>
        <v>370.05200000000002</v>
      </c>
      <c r="L81" s="710">
        <f>L11</f>
        <v>408.83699999999999</v>
      </c>
      <c r="M81" s="710">
        <f>M11</f>
        <v>375.84199999999998</v>
      </c>
      <c r="N81" s="710">
        <f>N11</f>
        <v>390.77499999999998</v>
      </c>
      <c r="O81" s="710">
        <f>O11</f>
        <v>400.44200000000001</v>
      </c>
      <c r="P81" s="194">
        <f>P11</f>
        <v>400.44200000000001</v>
      </c>
      <c r="Q81" s="710">
        <f>Q11</f>
        <v>464.79599999999999</v>
      </c>
      <c r="R81" s="710">
        <f t="shared" ref="R81:AW81" si="298">R11</f>
        <v>411.08499999999998</v>
      </c>
      <c r="S81" s="710">
        <f t="shared" si="298"/>
        <v>492.12200000000001</v>
      </c>
      <c r="T81" s="710">
        <f t="shared" si="298"/>
        <v>559.09699999999998</v>
      </c>
      <c r="U81" s="194">
        <f t="shared" si="298"/>
        <v>559.09699999999998</v>
      </c>
      <c r="V81" s="710">
        <f t="shared" si="298"/>
        <v>583.875</v>
      </c>
      <c r="W81" s="710">
        <f t="shared" si="298"/>
        <v>552.37800000000004</v>
      </c>
      <c r="X81" s="710">
        <f t="shared" si="298"/>
        <v>577.91</v>
      </c>
      <c r="Y81" s="710">
        <f t="shared" si="298"/>
        <v>597.26099999999997</v>
      </c>
      <c r="Z81" s="194">
        <f t="shared" si="298"/>
        <v>597.26099999999997</v>
      </c>
      <c r="AA81" s="710">
        <f t="shared" si="298"/>
        <v>606.54100000000005</v>
      </c>
      <c r="AB81" s="710">
        <f t="shared" si="298"/>
        <v>614.64400000000001</v>
      </c>
      <c r="AC81" s="710">
        <f t="shared" si="298"/>
        <v>629.86199999999997</v>
      </c>
      <c r="AD81" s="710">
        <f t="shared" si="298"/>
        <v>656.029</v>
      </c>
      <c r="AE81" s="194">
        <f t="shared" si="298"/>
        <v>656.029</v>
      </c>
      <c r="AF81" s="710">
        <f t="shared" si="298"/>
        <v>699.06700000000001</v>
      </c>
      <c r="AG81" s="710">
        <f t="shared" si="298"/>
        <v>727.68799999999999</v>
      </c>
      <c r="AH81" s="710">
        <f t="shared" si="298"/>
        <v>745.53800000000001</v>
      </c>
      <c r="AI81" s="710">
        <f t="shared" si="298"/>
        <v>773.98400000000004</v>
      </c>
      <c r="AJ81" s="194">
        <f t="shared" si="298"/>
        <v>773.98400000000004</v>
      </c>
      <c r="AK81" s="710">
        <f t="shared" si="298"/>
        <v>817.49699999999996</v>
      </c>
      <c r="AL81" s="710">
        <f t="shared" si="298"/>
        <v>876.52300000000002</v>
      </c>
      <c r="AM81" s="710">
        <f t="shared" si="298"/>
        <v>1829.605</v>
      </c>
      <c r="AN81" s="710">
        <f t="shared" si="298"/>
        <v>1533.798</v>
      </c>
      <c r="AO81" s="194">
        <f t="shared" si="298"/>
        <v>1533.798</v>
      </c>
      <c r="AP81" s="710">
        <f t="shared" si="298"/>
        <v>1625.6579999999999</v>
      </c>
      <c r="AQ81" s="710">
        <f t="shared" si="298"/>
        <v>1603.702</v>
      </c>
      <c r="AR81" s="710">
        <f t="shared" si="298"/>
        <v>1642.82</v>
      </c>
      <c r="AS81" s="710">
        <f t="shared" si="298"/>
        <v>1613.9590000000001</v>
      </c>
      <c r="AT81" s="194">
        <f t="shared" si="298"/>
        <v>1613.9590000000001</v>
      </c>
      <c r="AU81" s="710">
        <f t="shared" si="298"/>
        <v>1643.9190000000001</v>
      </c>
      <c r="AV81" s="710">
        <f t="shared" si="298"/>
        <v>1657.923</v>
      </c>
      <c r="AW81" s="710">
        <f t="shared" si="298"/>
        <v>1676.345</v>
      </c>
      <c r="AX81" s="710">
        <f t="shared" ref="AX81:CC81" si="299">AX11</f>
        <v>1617.903</v>
      </c>
      <c r="AY81" s="194">
        <f t="shared" si="299"/>
        <v>1617.903</v>
      </c>
      <c r="AZ81" s="710">
        <f t="shared" si="299"/>
        <v>1712.107</v>
      </c>
      <c r="BA81" s="710">
        <f t="shared" si="299"/>
        <v>1681.799</v>
      </c>
      <c r="BB81" s="710">
        <f t="shared" si="299"/>
        <v>1651.4059999999999</v>
      </c>
      <c r="BC81" s="710">
        <f t="shared" si="299"/>
        <v>1714.5419999999999</v>
      </c>
      <c r="BD81" s="194">
        <f t="shared" si="299"/>
        <v>1714.5419999999999</v>
      </c>
      <c r="BE81" s="710">
        <f t="shared" si="299"/>
        <v>1766.1220000000001</v>
      </c>
      <c r="BF81" s="710">
        <f t="shared" si="299"/>
        <v>1792.404</v>
      </c>
      <c r="BG81" s="710">
        <f t="shared" si="299"/>
        <v>1773.125</v>
      </c>
      <c r="BH81" s="710">
        <f t="shared" si="299"/>
        <v>1834.1669999999999</v>
      </c>
      <c r="BI81" s="194">
        <f t="shared" si="299"/>
        <v>1834.1669999999999</v>
      </c>
      <c r="BJ81" s="710">
        <f t="shared" si="299"/>
        <v>2019.537</v>
      </c>
      <c r="BK81" s="710">
        <f t="shared" si="299"/>
        <v>2055.2919999999999</v>
      </c>
      <c r="BL81" s="710">
        <f t="shared" si="299"/>
        <v>2091.2170000000001</v>
      </c>
      <c r="BM81" s="710">
        <f t="shared" si="299"/>
        <v>2067.3789999999999</v>
      </c>
      <c r="BN81" s="194">
        <f t="shared" si="299"/>
        <v>2067.3789999999999</v>
      </c>
      <c r="BO81" s="710">
        <f t="shared" si="299"/>
        <v>2215.1979999999999</v>
      </c>
      <c r="BP81" s="710">
        <f t="shared" si="299"/>
        <v>2173.0639999999999</v>
      </c>
      <c r="BQ81" s="710">
        <f t="shared" si="299"/>
        <v>2298.6190000000001</v>
      </c>
      <c r="BR81" s="710">
        <f t="shared" si="299"/>
        <v>2353.308</v>
      </c>
      <c r="BS81" s="194">
        <f t="shared" si="299"/>
        <v>2353.308</v>
      </c>
      <c r="BT81" s="710">
        <f t="shared" si="299"/>
        <v>3129</v>
      </c>
      <c r="BU81" s="710">
        <f t="shared" si="299"/>
        <v>3121</v>
      </c>
      <c r="BV81" s="710">
        <f t="shared" si="299"/>
        <v>3266</v>
      </c>
      <c r="BW81" s="710">
        <f t="shared" si="299"/>
        <v>3409</v>
      </c>
      <c r="BX81" s="194">
        <f t="shared" si="299"/>
        <v>3409</v>
      </c>
      <c r="BY81" s="710">
        <f t="shared" si="299"/>
        <v>3606</v>
      </c>
      <c r="BZ81" s="710">
        <f t="shared" si="299"/>
        <v>3491</v>
      </c>
      <c r="CA81" s="710">
        <f t="shared" si="299"/>
        <v>3686</v>
      </c>
      <c r="CB81" s="710">
        <f t="shared" si="299"/>
        <v>3611</v>
      </c>
      <c r="CC81" s="194">
        <f t="shared" si="299"/>
        <v>3611</v>
      </c>
      <c r="CD81" s="710">
        <f t="shared" ref="CD81:CW81" si="300">CD11</f>
        <v>3723</v>
      </c>
      <c r="CE81" s="710">
        <f t="shared" si="300"/>
        <v>3179</v>
      </c>
      <c r="CF81" s="710">
        <f t="shared" si="300"/>
        <v>3179</v>
      </c>
      <c r="CG81" s="710">
        <f t="shared" si="300"/>
        <v>3176</v>
      </c>
      <c r="CH81" s="194">
        <f t="shared" si="300"/>
        <v>3176</v>
      </c>
      <c r="CI81" s="710">
        <f t="shared" si="300"/>
        <v>3164</v>
      </c>
      <c r="CJ81" s="710">
        <f t="shared" ref="CJ81" si="301">CJ11</f>
        <v>2939</v>
      </c>
      <c r="CK81" s="710">
        <f t="shared" ref="CK81:CL81" si="302">CK11</f>
        <v>2888</v>
      </c>
      <c r="CL81" s="710">
        <f t="shared" si="302"/>
        <v>2384</v>
      </c>
      <c r="CM81" s="194">
        <f t="shared" si="300"/>
        <v>2384</v>
      </c>
      <c r="CN81" s="710">
        <f t="shared" ca="1" si="300"/>
        <v>2515.2429286929196</v>
      </c>
      <c r="CO81" s="710">
        <f t="shared" ca="1" si="300"/>
        <v>2324.4184452335594</v>
      </c>
      <c r="CP81" s="710">
        <f t="shared" ca="1" si="300"/>
        <v>2301.3814322434705</v>
      </c>
      <c r="CQ81" s="710">
        <f t="shared" ca="1" si="300"/>
        <v>2611.8688624498654</v>
      </c>
      <c r="CR81" s="194">
        <f t="shared" ca="1" si="300"/>
        <v>2611.8688624498654</v>
      </c>
      <c r="CS81" s="710">
        <f t="shared" ca="1" si="300"/>
        <v>2537.6369062342519</v>
      </c>
      <c r="CT81" s="710">
        <f t="shared" ca="1" si="300"/>
        <v>2241.440920399938</v>
      </c>
      <c r="CU81" s="710">
        <f t="shared" ca="1" si="300"/>
        <v>2117.4183952462631</v>
      </c>
      <c r="CV81" s="710">
        <f t="shared" ca="1" si="300"/>
        <v>2255.3272007459482</v>
      </c>
      <c r="CW81" s="194">
        <f t="shared" ca="1" si="300"/>
        <v>2255.3272007459482</v>
      </c>
      <c r="CX81" s="710">
        <f t="shared" ref="CX81:DB81" ca="1" si="303">CX11</f>
        <v>2346.9276576010861</v>
      </c>
      <c r="CY81" s="710">
        <f t="shared" ca="1" si="303"/>
        <v>2255.5061526600466</v>
      </c>
      <c r="CZ81" s="710">
        <f t="shared" ca="1" si="303"/>
        <v>2113.1403797692146</v>
      </c>
      <c r="DA81" s="710">
        <f t="shared" ca="1" si="303"/>
        <v>2403.2872518666509</v>
      </c>
      <c r="DB81" s="194">
        <f t="shared" ca="1" si="303"/>
        <v>2403.2872518666509</v>
      </c>
      <c r="DC81" s="9"/>
    </row>
    <row r="82" spans="1:107">
      <c r="A82" s="1"/>
      <c r="B82" s="9"/>
      <c r="C82" s="5"/>
      <c r="D82" s="876"/>
      <c r="E82" s="200"/>
      <c r="F82" s="200"/>
      <c r="G82" s="9"/>
      <c r="H82" s="9"/>
      <c r="I82" s="9"/>
      <c r="J82" s="9"/>
      <c r="K82" s="200"/>
      <c r="L82" s="9"/>
      <c r="M82" s="9"/>
      <c r="N82" s="9"/>
      <c r="O82" s="9"/>
      <c r="P82" s="200"/>
      <c r="Q82" s="9"/>
      <c r="R82" s="9"/>
      <c r="S82" s="9"/>
      <c r="T82" s="9"/>
      <c r="U82" s="200"/>
      <c r="V82" s="9"/>
      <c r="W82" s="9"/>
      <c r="X82" s="9"/>
      <c r="Y82" s="9"/>
      <c r="Z82" s="200"/>
      <c r="AA82" s="9"/>
      <c r="AB82" s="9"/>
      <c r="AC82" s="9"/>
      <c r="AD82" s="9"/>
      <c r="AE82" s="200"/>
      <c r="AF82" s="9"/>
      <c r="AG82" s="9"/>
      <c r="AH82" s="9"/>
      <c r="AI82" s="9"/>
      <c r="AJ82" s="200"/>
      <c r="AK82" s="9"/>
      <c r="AL82" s="9"/>
      <c r="AM82" s="9"/>
      <c r="AN82" s="9"/>
      <c r="AO82" s="200"/>
      <c r="AP82" s="9"/>
      <c r="AQ82" s="9"/>
      <c r="AR82" s="9"/>
      <c r="AS82" s="9"/>
      <c r="AT82" s="200"/>
      <c r="AU82" s="9"/>
      <c r="AV82" s="9"/>
      <c r="AW82" s="9"/>
      <c r="AX82" s="9"/>
      <c r="AY82" s="200"/>
      <c r="AZ82" s="9"/>
      <c r="BA82" s="9"/>
      <c r="BB82" s="9"/>
      <c r="BC82" s="9"/>
      <c r="BD82" s="200"/>
      <c r="BE82" s="9"/>
      <c r="BF82" s="9"/>
      <c r="BG82" s="9"/>
      <c r="BH82" s="9"/>
      <c r="BI82" s="200"/>
      <c r="BJ82" s="9"/>
      <c r="BK82" s="9"/>
      <c r="BL82" s="9"/>
      <c r="BM82" s="9"/>
      <c r="BN82" s="200"/>
      <c r="BO82" s="9"/>
      <c r="BP82" s="9"/>
      <c r="BQ82" s="9"/>
      <c r="BR82" s="9"/>
      <c r="BS82" s="200"/>
      <c r="BT82" s="9"/>
      <c r="BU82" s="9"/>
      <c r="BV82" s="9"/>
      <c r="BW82" s="9"/>
      <c r="BX82" s="200"/>
      <c r="BY82" s="9"/>
      <c r="BZ82" s="9"/>
      <c r="CA82" s="9"/>
      <c r="CB82" s="9"/>
      <c r="CC82" s="200"/>
      <c r="CD82" s="9"/>
      <c r="CE82" s="9"/>
      <c r="CF82" s="9"/>
      <c r="CG82" s="9"/>
      <c r="CH82" s="200"/>
      <c r="CI82" s="9"/>
      <c r="CJ82" s="9"/>
      <c r="CK82" s="9"/>
      <c r="CL82" s="9"/>
      <c r="CM82" s="200"/>
      <c r="CN82" s="9"/>
      <c r="CO82" s="9"/>
      <c r="CP82" s="9"/>
      <c r="CQ82" s="9"/>
      <c r="CR82" s="200"/>
      <c r="CS82" s="9"/>
      <c r="CT82" s="9"/>
      <c r="CU82" s="9"/>
      <c r="CV82" s="9"/>
      <c r="CW82" s="200"/>
      <c r="CX82" s="9"/>
      <c r="CY82" s="9"/>
      <c r="CZ82" s="9"/>
      <c r="DA82" s="9"/>
      <c r="DB82" s="200"/>
      <c r="DC82" s="9"/>
    </row>
    <row r="83" spans="1:107">
      <c r="A83" s="1"/>
      <c r="B83" s="9" t="s">
        <v>456</v>
      </c>
      <c r="C83" s="849"/>
      <c r="D83" s="848"/>
      <c r="E83" s="866">
        <f>D88</f>
        <v>28.771000000000001</v>
      </c>
      <c r="F83" s="866">
        <f>E88</f>
        <v>34.499000000000002</v>
      </c>
      <c r="G83" s="268"/>
      <c r="H83" s="268"/>
      <c r="I83" s="268"/>
      <c r="J83" s="268"/>
      <c r="K83" s="866">
        <f>F88</f>
        <v>52.935000000000002</v>
      </c>
      <c r="L83" s="268"/>
      <c r="M83" s="268"/>
      <c r="N83" s="268"/>
      <c r="O83" s="268"/>
      <c r="P83" s="866">
        <f>K88</f>
        <v>63.88</v>
      </c>
      <c r="Q83" s="268"/>
      <c r="R83" s="268"/>
      <c r="S83" s="268">
        <f>R88</f>
        <v>85.481999999999999</v>
      </c>
      <c r="T83" s="268">
        <f>S88</f>
        <v>98.721000000000004</v>
      </c>
      <c r="U83" s="866">
        <f>P88</f>
        <v>73.11</v>
      </c>
      <c r="V83" s="268">
        <f>U88</f>
        <v>103.67700000000001</v>
      </c>
      <c r="W83" s="268">
        <f>V88</f>
        <v>203.9</v>
      </c>
      <c r="X83" s="268">
        <f>W88</f>
        <v>203.45099999999999</v>
      </c>
      <c r="Y83" s="268">
        <f>X88</f>
        <v>282.32</v>
      </c>
      <c r="Z83" s="866">
        <f>U88</f>
        <v>103.67700000000001</v>
      </c>
      <c r="AA83" s="268">
        <f>Z88</f>
        <v>286.09399999999999</v>
      </c>
      <c r="AB83" s="268">
        <f>AA88</f>
        <v>296.358</v>
      </c>
      <c r="AC83" s="268">
        <f>AB88</f>
        <v>300.31299999999999</v>
      </c>
      <c r="AD83" s="268">
        <f>AC88</f>
        <v>332.286</v>
      </c>
      <c r="AE83" s="866">
        <f>Z88</f>
        <v>286.09399999999999</v>
      </c>
      <c r="AF83" s="268">
        <f>AE88</f>
        <v>346.024</v>
      </c>
      <c r="AG83" s="268">
        <f>AF88</f>
        <v>340.84699999999998</v>
      </c>
      <c r="AH83" s="268">
        <f>AG88</f>
        <v>350.77600000000001</v>
      </c>
      <c r="AI83" s="268">
        <f>AH88</f>
        <v>460.92599999999999</v>
      </c>
      <c r="AJ83" s="866">
        <f>AE88</f>
        <v>346.024</v>
      </c>
      <c r="AK83" s="268">
        <f>AJ88</f>
        <v>478.565</v>
      </c>
      <c r="AL83" s="268">
        <f>AK88</f>
        <v>497.35399999999998</v>
      </c>
      <c r="AM83" s="268">
        <f>AL88</f>
        <v>498.47300000000001</v>
      </c>
      <c r="AN83" s="268">
        <f>AM88</f>
        <v>1001.57</v>
      </c>
      <c r="AO83" s="866">
        <f>AJ88</f>
        <v>478.565</v>
      </c>
      <c r="AP83" s="268">
        <f>AO88</f>
        <v>1033.5160000000001</v>
      </c>
      <c r="AQ83" s="268">
        <f>AP88</f>
        <v>1036.7660000000001</v>
      </c>
      <c r="AR83" s="268">
        <f>AQ88</f>
        <v>1052.8109999999999</v>
      </c>
      <c r="AS83" s="268">
        <f>AR88</f>
        <v>1109.2829999999999</v>
      </c>
      <c r="AT83" s="866">
        <f>AO88</f>
        <v>1033.5160000000001</v>
      </c>
      <c r="AU83" s="268">
        <f>AT88</f>
        <v>1102.9000000000001</v>
      </c>
      <c r="AV83" s="268">
        <f>AU88</f>
        <v>1194.8340000000001</v>
      </c>
      <c r="AW83" s="268">
        <f>AV88</f>
        <v>1274.6980000000001</v>
      </c>
      <c r="AX83" s="268">
        <f>AW88</f>
        <v>1367.29</v>
      </c>
      <c r="AY83" s="866">
        <f>AT88</f>
        <v>1102.9000000000001</v>
      </c>
      <c r="AZ83" s="268">
        <f>AY88</f>
        <v>1417.1880000000001</v>
      </c>
      <c r="BA83" s="268">
        <f>AZ88</f>
        <v>1447.229</v>
      </c>
      <c r="BB83" s="268">
        <f>BA88</f>
        <v>1493.2070000000001</v>
      </c>
      <c r="BC83" s="268">
        <f>BB88</f>
        <v>1554.1489999999999</v>
      </c>
      <c r="BD83" s="866">
        <f>AY88</f>
        <v>1417.1880000000001</v>
      </c>
      <c r="BE83" s="268">
        <f>BD88</f>
        <v>1639.1980000000001</v>
      </c>
      <c r="BF83" s="268">
        <f>BE88</f>
        <v>1699.9349999999999</v>
      </c>
      <c r="BG83" s="268">
        <f>BF88</f>
        <v>1793.404</v>
      </c>
      <c r="BH83" s="268">
        <f>BG88</f>
        <v>1840.0029999999999</v>
      </c>
      <c r="BI83" s="866">
        <f>BD88</f>
        <v>1639.1980000000001</v>
      </c>
      <c r="BJ83" s="268">
        <f>BI88</f>
        <v>1891.3340000000001</v>
      </c>
      <c r="BK83" s="268">
        <f>BJ88</f>
        <v>1996.09</v>
      </c>
      <c r="BL83" s="268">
        <f>BK88</f>
        <v>2105.0509999999999</v>
      </c>
      <c r="BM83" s="268">
        <f>BL88</f>
        <v>2199.0880000000002</v>
      </c>
      <c r="BN83" s="866">
        <f>BI88</f>
        <v>1891.3340000000001</v>
      </c>
      <c r="BO83" s="268">
        <f>BN88</f>
        <v>2201.875</v>
      </c>
      <c r="BP83" s="268">
        <f>BO88</f>
        <v>2258.2289999999998</v>
      </c>
      <c r="BQ83" s="268">
        <f>BP88</f>
        <v>2304.8130000000001</v>
      </c>
      <c r="BR83" s="268">
        <f>BQ88</f>
        <v>2390.567</v>
      </c>
      <c r="BS83" s="866">
        <f>BN88</f>
        <v>2201.875</v>
      </c>
      <c r="BT83" s="268">
        <f>BS88</f>
        <v>2448.4319999999998</v>
      </c>
      <c r="BU83" s="268">
        <f>BT88</f>
        <v>3437</v>
      </c>
      <c r="BV83" s="268">
        <f>BU88</f>
        <v>3495</v>
      </c>
      <c r="BW83" s="268">
        <f>BV88</f>
        <v>3517</v>
      </c>
      <c r="BX83" s="866">
        <f>BS88</f>
        <v>2448.4319999999998</v>
      </c>
      <c r="BY83" s="268">
        <f>BX88</f>
        <v>3504</v>
      </c>
      <c r="BZ83" s="268">
        <f>BY88</f>
        <v>3628</v>
      </c>
      <c r="CA83" s="268">
        <f>BZ88</f>
        <v>3773</v>
      </c>
      <c r="CB83" s="268">
        <f>CA88</f>
        <v>3825</v>
      </c>
      <c r="CC83" s="866">
        <f>BX88</f>
        <v>3504</v>
      </c>
      <c r="CD83" s="268">
        <f>CC88</f>
        <v>4111</v>
      </c>
      <c r="CE83" s="268">
        <f t="shared" ref="CE83:CG83" si="304">CD88</f>
        <v>4051</v>
      </c>
      <c r="CF83" s="268">
        <f t="shared" si="304"/>
        <v>3732</v>
      </c>
      <c r="CG83" s="268">
        <f t="shared" si="304"/>
        <v>3754</v>
      </c>
      <c r="CH83" s="866">
        <f>CC88</f>
        <v>4111</v>
      </c>
      <c r="CI83" s="268">
        <f>CH88</f>
        <v>0</v>
      </c>
      <c r="CJ83" s="268">
        <f>CI88</f>
        <v>3729</v>
      </c>
      <c r="CK83" s="268">
        <f>CJ88</f>
        <v>3620</v>
      </c>
      <c r="CL83" s="268">
        <f>CK88</f>
        <v>3538</v>
      </c>
      <c r="CM83" s="866">
        <f>CH88</f>
        <v>0</v>
      </c>
      <c r="CN83" s="268">
        <f>CM88</f>
        <v>0</v>
      </c>
      <c r="CO83" s="268">
        <f>CN88</f>
        <v>0</v>
      </c>
      <c r="CP83" s="268">
        <f>CO88</f>
        <v>0</v>
      </c>
      <c r="CQ83" s="268">
        <f>CP88</f>
        <v>0</v>
      </c>
      <c r="CR83" s="866">
        <f>CM88</f>
        <v>0</v>
      </c>
      <c r="CS83" s="268">
        <f>CR88</f>
        <v>0</v>
      </c>
      <c r="CT83" s="268">
        <f>CS88</f>
        <v>0</v>
      </c>
      <c r="CU83" s="268">
        <f>CT88</f>
        <v>0</v>
      </c>
      <c r="CV83" s="268">
        <f>CU88</f>
        <v>0</v>
      </c>
      <c r="CW83" s="866">
        <f>CR88</f>
        <v>0</v>
      </c>
      <c r="CX83" s="268">
        <f>CW88</f>
        <v>0</v>
      </c>
      <c r="CY83" s="268">
        <f>CX88</f>
        <v>0</v>
      </c>
      <c r="CZ83" s="268">
        <f>CY88</f>
        <v>0</v>
      </c>
      <c r="DA83" s="268">
        <f>CZ88</f>
        <v>0</v>
      </c>
      <c r="DB83" s="866">
        <f>CW88</f>
        <v>0</v>
      </c>
      <c r="DC83" s="9"/>
    </row>
    <row r="84" spans="1:107">
      <c r="A84" s="1"/>
      <c r="B84" s="264" t="s">
        <v>234</v>
      </c>
      <c r="C84" s="849"/>
      <c r="D84" s="848">
        <f>IS!D9</f>
        <v>122.303</v>
      </c>
      <c r="E84" s="866">
        <f>IS!E9</f>
        <v>95.149000000000001</v>
      </c>
      <c r="F84" s="866">
        <f>IS!F9</f>
        <v>122.303</v>
      </c>
      <c r="G84" s="268">
        <f>IS!G9</f>
        <v>36.972999999999999</v>
      </c>
      <c r="H84" s="268">
        <f>IS!H9</f>
        <v>36.985999999999997</v>
      </c>
      <c r="I84" s="268">
        <f>IS!I9</f>
        <v>38.384</v>
      </c>
      <c r="J84" s="268">
        <f>IS!J9</f>
        <v>43.883000000000003</v>
      </c>
      <c r="K84" s="866">
        <f>SUM(G84:J84)</f>
        <v>156.226</v>
      </c>
      <c r="L84" s="268">
        <f>IS!L9</f>
        <v>49.896999999999998</v>
      </c>
      <c r="M84" s="268">
        <f>IS!M9</f>
        <v>47.722000000000001</v>
      </c>
      <c r="N84" s="268">
        <f>IS!N9</f>
        <v>52.350999999999999</v>
      </c>
      <c r="O84" s="268">
        <f>IS!O9</f>
        <v>51.363999999999997</v>
      </c>
      <c r="P84" s="866">
        <f>SUM(L84:O84)</f>
        <v>201.334</v>
      </c>
      <c r="Q84" s="268">
        <f>IS!Q9</f>
        <v>62.341000000000001</v>
      </c>
      <c r="R84" s="268">
        <f>IS!R9</f>
        <v>62.078000000000003</v>
      </c>
      <c r="S84" s="268">
        <f>IS!S9</f>
        <v>70.69</v>
      </c>
      <c r="T84" s="268">
        <f>IS!T9</f>
        <v>81.409000000000006</v>
      </c>
      <c r="U84" s="866">
        <f>SUM(Q84:T84)</f>
        <v>276.51800000000003</v>
      </c>
      <c r="V84" s="268">
        <f>IS!V9</f>
        <v>86.111000000000004</v>
      </c>
      <c r="W84" s="268">
        <f>IS!W9</f>
        <v>81.721000000000004</v>
      </c>
      <c r="X84" s="268">
        <f>IS!X9</f>
        <v>88.400999999999996</v>
      </c>
      <c r="Y84" s="268">
        <f>IS!Y9</f>
        <v>89.975999999999999</v>
      </c>
      <c r="Z84" s="866">
        <f>SUM(V84:Y84)</f>
        <v>346.209</v>
      </c>
      <c r="AA84" s="268">
        <f>IS!AA9</f>
        <v>93.994</v>
      </c>
      <c r="AB84" s="268">
        <f>IS!AB9</f>
        <v>91.581999999999994</v>
      </c>
      <c r="AC84" s="268">
        <f>IS!AC9</f>
        <v>92.98</v>
      </c>
      <c r="AD84" s="268">
        <f>IS!AD9</f>
        <v>99.983000000000004</v>
      </c>
      <c r="AE84" s="866">
        <f>SUM(AA84:AD84)</f>
        <v>378.53899999999999</v>
      </c>
      <c r="AF84" s="268">
        <f>IS!AF9</f>
        <v>107.59099999999999</v>
      </c>
      <c r="AG84" s="268">
        <f>IS!AG9</f>
        <v>115.70399999999999</v>
      </c>
      <c r="AH84" s="268">
        <f>IS!AH9</f>
        <v>192.43899999999999</v>
      </c>
      <c r="AI84" s="268">
        <f>IS!AI9</f>
        <v>132.047</v>
      </c>
      <c r="AJ84" s="866">
        <f>SUM(AF84:AI84)</f>
        <v>547.78099999999995</v>
      </c>
      <c r="AK84" s="268">
        <f>IS!AK9</f>
        <v>135.69900000000001</v>
      </c>
      <c r="AL84" s="268">
        <f>IS!AL9</f>
        <v>148.661</v>
      </c>
      <c r="AM84" s="268">
        <f>IS!AM9</f>
        <v>279.60399999999998</v>
      </c>
      <c r="AN84" s="268">
        <f>IS!AN9</f>
        <v>361.13</v>
      </c>
      <c r="AO84" s="866">
        <f>SUM(AK84:AN84)</f>
        <v>925.09399999999994</v>
      </c>
      <c r="AP84" s="268">
        <f>IS!AP9</f>
        <v>297.08</v>
      </c>
      <c r="AQ84" s="268">
        <f>IS!AQ9</f>
        <v>291.04500000000002</v>
      </c>
      <c r="AR84" s="268">
        <f>IS!AR9</f>
        <v>326.21300000000002</v>
      </c>
      <c r="AS84" s="268">
        <f>IS!AS9</f>
        <v>316.35399999999998</v>
      </c>
      <c r="AT84" s="866">
        <f>SUM(AP84:AS84)</f>
        <v>1230.692</v>
      </c>
      <c r="AU84" s="268">
        <f>IS!AU9</f>
        <v>335.45100000000002</v>
      </c>
      <c r="AV84" s="268">
        <f>IS!AV9</f>
        <v>362.46199999999999</v>
      </c>
      <c r="AW84" s="268">
        <f>IS!AW9</f>
        <v>378.35700000000003</v>
      </c>
      <c r="AX84" s="268">
        <f>IS!AX9</f>
        <v>381.72</v>
      </c>
      <c r="AY84" s="866">
        <f>SUM(AU84:AX84)</f>
        <v>1457.99</v>
      </c>
      <c r="AZ84" s="268">
        <f>IS!AZ9</f>
        <v>378.07400000000001</v>
      </c>
      <c r="BA84" s="268">
        <f>IS!BA9</f>
        <v>381.45</v>
      </c>
      <c r="BB84" s="268">
        <f>IS!BB9</f>
        <v>403.077</v>
      </c>
      <c r="BC84" s="268">
        <f>IS!BC9</f>
        <v>425.91500000000002</v>
      </c>
      <c r="BD84" s="866">
        <f>SUM(AZ84:BC84)</f>
        <v>1588.5160000000001</v>
      </c>
      <c r="BE84" s="268">
        <f>IS!BE9</f>
        <v>407.87099999999998</v>
      </c>
      <c r="BF84" s="268">
        <f>IS!BF9</f>
        <v>433.00200000000001</v>
      </c>
      <c r="BG84" s="268">
        <f>IS!BG9</f>
        <v>450.29599999999999</v>
      </c>
      <c r="BH84" s="268">
        <f>IS!BH9</f>
        <v>436.68900000000002</v>
      </c>
      <c r="BI84" s="866">
        <f>SUM(BE84:BH84)</f>
        <v>1727.8580000000002</v>
      </c>
      <c r="BJ84" s="268">
        <f>IS!BJ9</f>
        <v>486.45600000000002</v>
      </c>
      <c r="BK84" s="268">
        <f>IS!BK9</f>
        <v>503.45400000000001</v>
      </c>
      <c r="BL84" s="268">
        <f>IS!BL9</f>
        <v>484.63099999999997</v>
      </c>
      <c r="BM84" s="268">
        <f>IS!BM9</f>
        <v>484.65300000000002</v>
      </c>
      <c r="BN84" s="866">
        <f>SUM(BJ84:BM84)</f>
        <v>1959.1940000000002</v>
      </c>
      <c r="BO84" s="268">
        <f>IS!BO9</f>
        <v>488.11399999999998</v>
      </c>
      <c r="BP84" s="268">
        <f>IS!BP9</f>
        <v>531.69500000000005</v>
      </c>
      <c r="BQ84" s="268">
        <f>IS!BQ9</f>
        <v>548.60199999999998</v>
      </c>
      <c r="BR84" s="268">
        <f>IS!BR9</f>
        <v>511.97</v>
      </c>
      <c r="BS84" s="866">
        <f>SUM(BO84:BR84)</f>
        <v>2080.3810000000003</v>
      </c>
      <c r="BT84" s="268">
        <f>IS!BT9</f>
        <v>705</v>
      </c>
      <c r="BU84" s="268">
        <f>IS!BU9</f>
        <v>752</v>
      </c>
      <c r="BV84" s="268">
        <f>IS!BV9</f>
        <v>768</v>
      </c>
      <c r="BW84" s="268">
        <f>IS!BW9</f>
        <v>723</v>
      </c>
      <c r="BX84" s="866">
        <f>SUM(BT84:BW84)</f>
        <v>2948</v>
      </c>
      <c r="BY84" s="268">
        <f>IS!BY9</f>
        <v>735</v>
      </c>
      <c r="BZ84" s="268">
        <f>IS!BZ9</f>
        <v>732</v>
      </c>
      <c r="CA84" s="268">
        <f>IS!CA9</f>
        <v>734</v>
      </c>
      <c r="CB84" s="268">
        <f>IS!CB9</f>
        <v>926</v>
      </c>
      <c r="CC84" s="866">
        <f>SUM(BY84:CB84)</f>
        <v>3127</v>
      </c>
      <c r="CD84" s="268">
        <f>IS!CD9</f>
        <v>755</v>
      </c>
      <c r="CE84" s="268">
        <f>IS!CE9</f>
        <v>700</v>
      </c>
      <c r="CF84" s="268">
        <f>IS!CF9</f>
        <v>704</v>
      </c>
      <c r="CG84" s="268">
        <f>IS!CG9</f>
        <v>678</v>
      </c>
      <c r="CH84" s="866">
        <f>SUM(CD84:CG84)</f>
        <v>2837</v>
      </c>
      <c r="CI84" s="268">
        <f>IS!CI9</f>
        <v>682</v>
      </c>
      <c r="CJ84" s="268">
        <f>IS!CJ9</f>
        <v>679</v>
      </c>
      <c r="CK84" s="268">
        <f>IS!CK9</f>
        <v>667</v>
      </c>
      <c r="CL84" s="268">
        <f>IS!CL9</f>
        <v>1017</v>
      </c>
      <c r="CM84" s="866">
        <f>SUM(CI84:CL84)</f>
        <v>3045</v>
      </c>
      <c r="CN84" s="268">
        <f ca="1">IS!CN9</f>
        <v>612.91249856734066</v>
      </c>
      <c r="CO84" s="268">
        <f ca="1">IS!CO9</f>
        <v>574.70149634604832</v>
      </c>
      <c r="CP84" s="268">
        <f ca="1">IS!CP9</f>
        <v>522.01679521715675</v>
      </c>
      <c r="CQ84" s="268">
        <f ca="1">IS!CQ9</f>
        <v>598.24405972196507</v>
      </c>
      <c r="CR84" s="866">
        <f ca="1">SUM(CN84:CQ84)</f>
        <v>2307.874849852511</v>
      </c>
      <c r="CS84" s="268">
        <f ca="1">IS!CS9</f>
        <v>586.59480485162294</v>
      </c>
      <c r="CT84" s="268">
        <f ca="1">IS!CT9</f>
        <v>563.42212297992705</v>
      </c>
      <c r="CU84" s="268">
        <f ca="1">IS!CU9</f>
        <v>538.09594116778999</v>
      </c>
      <c r="CV84" s="268">
        <f ca="1">IS!CV9</f>
        <v>607.53102002814046</v>
      </c>
      <c r="CW84" s="866">
        <f ca="1">SUM(CS84:CV84)</f>
        <v>2295.6438890274803</v>
      </c>
      <c r="CX84" s="268">
        <f ca="1">IS!CX9</f>
        <v>589.93790614386251</v>
      </c>
      <c r="CY84" s="268">
        <f ca="1">IS!CY9</f>
        <v>566.95764468298512</v>
      </c>
      <c r="CZ84" s="268">
        <f ca="1">IS!CZ9</f>
        <v>537.00877635916231</v>
      </c>
      <c r="DA84" s="268">
        <f ca="1">IS!DA9</f>
        <v>610.74330826304799</v>
      </c>
      <c r="DB84" s="866">
        <f ca="1">SUM(CX84:DA84)</f>
        <v>2304.6476354490578</v>
      </c>
      <c r="DC84" s="9"/>
    </row>
    <row r="85" spans="1:107">
      <c r="A85" s="1"/>
      <c r="B85" s="838" t="s">
        <v>457</v>
      </c>
      <c r="C85" s="237"/>
      <c r="D85" s="422">
        <f>D84/IS!D8</f>
        <v>0.14306954436450839</v>
      </c>
      <c r="E85" s="67">
        <f>E84/IS!E8</f>
        <v>8.8104760114560546E-2</v>
      </c>
      <c r="F85" s="67">
        <f>F84/IS!F8</f>
        <v>9.1441426959680772E-2</v>
      </c>
      <c r="G85" s="68">
        <f>G84/IS!G8</f>
        <v>9.2746679376387517E-2</v>
      </c>
      <c r="H85" s="68">
        <f>H84/IS!H8</f>
        <v>9.2255349717766374E-2</v>
      </c>
      <c r="I85" s="68">
        <f>I84/IS!I8</f>
        <v>9.2143198365696913E-2</v>
      </c>
      <c r="J85" s="68">
        <f>J84/IS!J8</f>
        <v>9.1901185754195799E-2</v>
      </c>
      <c r="K85" s="67">
        <f>K84/IS!K8</f>
        <v>9.2243560410362385E-2</v>
      </c>
      <c r="L85" s="68">
        <f>L84/IS!L8</f>
        <v>9.3524316847197572E-2</v>
      </c>
      <c r="M85" s="68">
        <f>M84/IS!M8</f>
        <v>8.9942742120916283E-2</v>
      </c>
      <c r="N85" s="68">
        <f>N84/IS!N8</f>
        <v>9.4694496247564847E-2</v>
      </c>
      <c r="O85" s="68">
        <f>O84/IS!O8</f>
        <v>8.8031192424696855E-2</v>
      </c>
      <c r="P85" s="67">
        <f>P84/IS!P8</f>
        <v>9.1498111494321313E-2</v>
      </c>
      <c r="Q85" s="68">
        <f>Q84/IS!Q8</f>
        <v>9.4559646400526637E-2</v>
      </c>
      <c r="R85" s="68">
        <f>R84/IS!R8</f>
        <v>9.4444943122777819E-2</v>
      </c>
      <c r="S85" s="68">
        <f>S84/IS!S8</f>
        <v>9.7770192331630285E-2</v>
      </c>
      <c r="T85" s="68">
        <f>T84/IS!T8</f>
        <v>0.10239713621590074</v>
      </c>
      <c r="U85" s="67">
        <f>U84/IS!U8</f>
        <v>9.7550151272267502E-2</v>
      </c>
      <c r="V85" s="68">
        <f>V84/IS!V8</f>
        <v>0.1047100109925387</v>
      </c>
      <c r="W85" s="68">
        <f>W84/IS!W8</f>
        <v>0.10043518924771622</v>
      </c>
      <c r="X85" s="68">
        <f>X84/IS!X8</f>
        <v>0.10473630209209581</v>
      </c>
      <c r="Y85" s="68">
        <f>Y84/IS!Y8</f>
        <v>0.10322219456149268</v>
      </c>
      <c r="Z85" s="67">
        <f>Z84/IS!Z8</f>
        <v>0.10329195000107405</v>
      </c>
      <c r="AA85" s="68">
        <f>AA84/IS!AA8</f>
        <v>0.10282592428903368</v>
      </c>
      <c r="AB85" s="68">
        <f>AB84/IS!AB8</f>
        <v>9.9684560441833076E-2</v>
      </c>
      <c r="AC85" s="68">
        <f>AC84/IS!AC8</f>
        <v>0.10005714168878979</v>
      </c>
      <c r="AD85" s="68">
        <f>AD84/IS!AD8</f>
        <v>0.10180842506135</v>
      </c>
      <c r="AE85" s="67">
        <f>AE84/IS!AE8</f>
        <v>0.10110104656178345</v>
      </c>
      <c r="AF85" s="68">
        <f>AF84/IS!AF8</f>
        <v>0.10480711345247536</v>
      </c>
      <c r="AG85" s="68">
        <f>AG84/IS!AG8</f>
        <v>0.10904628793633499</v>
      </c>
      <c r="AH85" s="68">
        <f>AH84/IS!AH8</f>
        <v>0.17128786105352728</v>
      </c>
      <c r="AI85" s="68">
        <f>AI84/IS!AI8</f>
        <v>0.11437819895935561</v>
      </c>
      <c r="AJ85" s="67">
        <f>AJ84/IS!AJ8</f>
        <v>0.12547737114186078</v>
      </c>
      <c r="AK85" s="68">
        <f>AK84/IS!AK8</f>
        <v>0.11270709146285249</v>
      </c>
      <c r="AL85" s="68">
        <f>AL84/IS!AL8</f>
        <v>0.11901182264747889</v>
      </c>
      <c r="AM85" s="68">
        <f>AM84/IS!AM8</f>
        <v>0.11887485454407086</v>
      </c>
      <c r="AN85" s="68">
        <f>AN84/IS!AN8</f>
        <v>0.14283273386274484</v>
      </c>
      <c r="AO85" s="67">
        <f>AO84/IS!AO8</f>
        <v>0.12614538598883979</v>
      </c>
      <c r="AP85" s="68">
        <f>AP84/IS!AP8</f>
        <v>0.10891810024659455</v>
      </c>
      <c r="AQ85" s="68">
        <f>AQ84/IS!AQ8</f>
        <v>0.1081710399167472</v>
      </c>
      <c r="AR85" s="68">
        <f>AR84/IS!AR8</f>
        <v>0.117644958634767</v>
      </c>
      <c r="AS85" s="68">
        <f>AS84/IS!AS8</f>
        <v>0.11455717792041971</v>
      </c>
      <c r="AT85" s="67">
        <f>AT84/IS!AT8</f>
        <v>0.11236577557449623</v>
      </c>
      <c r="AU85" s="68">
        <f>AU84/IS!AU8</f>
        <v>0.11597709852405798</v>
      </c>
      <c r="AV85" s="68">
        <f>AV84/IS!AV8</f>
        <v>0.12014142708507004</v>
      </c>
      <c r="AW85" s="68">
        <f>AW84/IS!AW8</f>
        <v>0.12257427455416803</v>
      </c>
      <c r="AX85" s="68">
        <f>AX84/IS!AX8</f>
        <v>0.12348818205286971</v>
      </c>
      <c r="AY85" s="67">
        <f>AY84/IS!AY8</f>
        <v>0.12062210325025022</v>
      </c>
      <c r="AZ85" s="68">
        <f>AZ84/IS!AZ8</f>
        <v>0.11961634082339415</v>
      </c>
      <c r="BA85" s="68">
        <f>BA84/IS!BA8</f>
        <v>0.12029237243237516</v>
      </c>
      <c r="BB85" s="68">
        <f>BB84/IS!BB8</f>
        <v>0.12394532072797047</v>
      </c>
      <c r="BC85" s="68">
        <f>BC84/IS!BC8</f>
        <v>0.1251697549504085</v>
      </c>
      <c r="BD85" s="67">
        <f>BD84/IS!BD8</f>
        <v>0.12232056366226467</v>
      </c>
      <c r="BE85" s="68">
        <f>BE84/IS!BE8</f>
        <v>0.1197738729325865</v>
      </c>
      <c r="BF85" s="68">
        <f>BF84/IS!BF8</f>
        <v>0.12609888261762597</v>
      </c>
      <c r="BG85" s="68">
        <f>BG84/IS!BG8</f>
        <v>0.13105238649592549</v>
      </c>
      <c r="BH85" s="68">
        <f>BH84/IS!BH8</f>
        <v>0.1268517716994034</v>
      </c>
      <c r="BI85" s="67">
        <f>BI84/IS!BI8</f>
        <v>0.12595842520075362</v>
      </c>
      <c r="BJ85" s="68">
        <f>BJ84/IS!BJ8</f>
        <v>0.12857332024841608</v>
      </c>
      <c r="BK85" s="68">
        <f>BK84/IS!BK8</f>
        <v>0.13438240371895577</v>
      </c>
      <c r="BL85" s="68">
        <f>BL84/IS!BL8</f>
        <v>0.13109965993635878</v>
      </c>
      <c r="BM85" s="68">
        <f>BM84/IS!BM8</f>
        <v>0.12884228223157226</v>
      </c>
      <c r="BN85" s="67">
        <f>BN84/IS!BN8</f>
        <v>0.13071594621334587</v>
      </c>
      <c r="BO85" s="68">
        <f>BO84/IS!BO8</f>
        <v>0.12845564999168391</v>
      </c>
      <c r="BP85" s="68">
        <f>BP84/IS!BP8</f>
        <v>0.14110479431732717</v>
      </c>
      <c r="BQ85" s="68">
        <f>BQ84/IS!BQ8</f>
        <v>0.14564011730809409</v>
      </c>
      <c r="BR85" s="68">
        <f>BR84/IS!BR8</f>
        <v>0.13677002402431443</v>
      </c>
      <c r="BS85" s="67">
        <f>BS84/IS!BS8</f>
        <v>0.13797392160298458</v>
      </c>
      <c r="BT85" s="68">
        <f>BT84/IS!BT8</f>
        <v>0.14387755102040817</v>
      </c>
      <c r="BU85" s="68">
        <f>BU84/IS!BU8</f>
        <v>0.13596094738745254</v>
      </c>
      <c r="BV85" s="68">
        <f>BV84/IS!BV8</f>
        <v>0.1380550062915693</v>
      </c>
      <c r="BW85" s="68">
        <f>BW84/IS!BW8</f>
        <v>0.12816876440347455</v>
      </c>
      <c r="BX85" s="67">
        <f>BX84/IS!BX8</f>
        <v>0.13626068869886757</v>
      </c>
      <c r="BY85" s="68">
        <f>BY84/IS!BY8</f>
        <v>0.1301806588735388</v>
      </c>
      <c r="BZ85" s="68">
        <f>BZ84/IS!BZ8</f>
        <v>0.13038831492696829</v>
      </c>
      <c r="CA85" s="68">
        <f>CA84/IS!CA8</f>
        <v>0.13154121863799284</v>
      </c>
      <c r="CB85" s="68">
        <f>CB84/IS!CB8</f>
        <v>0.16177498252969952</v>
      </c>
      <c r="CC85" s="67">
        <f>CC84/IS!CC8</f>
        <v>0.13858358447083852</v>
      </c>
      <c r="CD85" s="68">
        <f>CD84/IS!CD8</f>
        <v>0.13121306916927356</v>
      </c>
      <c r="CE85" s="68">
        <f>CE84/IS!CE8</f>
        <v>0.1323251417769376</v>
      </c>
      <c r="CF85" s="68">
        <f>CF84/IS!CF8</f>
        <v>0.13847364280094415</v>
      </c>
      <c r="CG85" s="68">
        <f>CG84/IS!CG8</f>
        <v>0.13172721973965418</v>
      </c>
      <c r="CH85" s="67">
        <f>CH84/IS!CH8</f>
        <v>0.13334900117508813</v>
      </c>
      <c r="CI85" s="68">
        <f>CI84/IS!CI8</f>
        <v>0.13196594427244582</v>
      </c>
      <c r="CJ85" s="68">
        <f>CJ84/IS!CJ8</f>
        <v>0.14078374455732948</v>
      </c>
      <c r="CK85" s="68">
        <f>CK84/IS!CK8</f>
        <v>0.15393491807062082</v>
      </c>
      <c r="CL85" s="68">
        <f>CL84/IS!CL8</f>
        <v>0.24950932286555447</v>
      </c>
      <c r="CM85" s="67">
        <f>CM84/IS!CM8</f>
        <v>0.16548913043478261</v>
      </c>
      <c r="CN85" s="68">
        <f ca="1">CN84/IS!CN8</f>
        <v>0.14349999999999999</v>
      </c>
      <c r="CO85" s="68">
        <f ca="1">CO84/IS!CO8</f>
        <v>0.14399999999999999</v>
      </c>
      <c r="CP85" s="68">
        <f ca="1">CP84/IS!CP8</f>
        <v>0.14299999999999999</v>
      </c>
      <c r="CQ85" s="68">
        <f ca="1">CQ84/IS!CQ8</f>
        <v>0.1444</v>
      </c>
      <c r="CR85" s="67">
        <f ca="1">CR84/IS!CR8</f>
        <v>0.14374283927399564</v>
      </c>
      <c r="CS85" s="68">
        <f ca="1">CS84/IS!CS8</f>
        <v>0.1464</v>
      </c>
      <c r="CT85" s="68">
        <f ca="1">CT84/IS!CT8</f>
        <v>0.1464</v>
      </c>
      <c r="CU85" s="68">
        <f ca="1">CU84/IS!CU8</f>
        <v>0.1464</v>
      </c>
      <c r="CV85" s="68">
        <f ca="1">CV84/IS!CV8</f>
        <v>0.1464</v>
      </c>
      <c r="CW85" s="67">
        <f ca="1">CW84/IS!CW8</f>
        <v>0.14639999999999997</v>
      </c>
      <c r="CX85" s="68">
        <f ca="1">CX84/IS!CX8</f>
        <v>0.1464</v>
      </c>
      <c r="CY85" s="68">
        <f ca="1">CY84/IS!CY8</f>
        <v>0.1464</v>
      </c>
      <c r="CZ85" s="68">
        <f ca="1">CZ84/IS!CZ8</f>
        <v>0.1464</v>
      </c>
      <c r="DA85" s="68">
        <f ca="1">DA84/IS!DA8</f>
        <v>0.1464</v>
      </c>
      <c r="DB85" s="67">
        <f ca="1">DB84/IS!DB8</f>
        <v>0.1464</v>
      </c>
      <c r="DC85" s="9"/>
    </row>
    <row r="86" spans="1:107">
      <c r="A86" s="1"/>
      <c r="B86" s="264" t="s">
        <v>458</v>
      </c>
      <c r="C86" s="837"/>
      <c r="D86" s="836"/>
      <c r="E86" s="835">
        <v>0</v>
      </c>
      <c r="F86" s="835">
        <v>0</v>
      </c>
      <c r="G86" s="834">
        <f>$K$86/4</f>
        <v>0</v>
      </c>
      <c r="H86" s="834">
        <f>$K$86/4</f>
        <v>0</v>
      </c>
      <c r="I86" s="834">
        <f>$K$86/4</f>
        <v>0</v>
      </c>
      <c r="J86" s="834">
        <f>$K$86/4</f>
        <v>0</v>
      </c>
      <c r="K86" s="835">
        <v>0</v>
      </c>
      <c r="L86" s="834">
        <f>$P$86/4</f>
        <v>0</v>
      </c>
      <c r="M86" s="834">
        <f>$P$86/4</f>
        <v>0</v>
      </c>
      <c r="N86" s="834">
        <f>$P$86/4</f>
        <v>0</v>
      </c>
      <c r="O86" s="834">
        <f>$P$86/4</f>
        <v>0</v>
      </c>
      <c r="P86" s="835">
        <v>0</v>
      </c>
      <c r="Q86" s="834">
        <f>$U$86/4</f>
        <v>-3.1027499999999999</v>
      </c>
      <c r="R86" s="834">
        <f>$U$86/4</f>
        <v>-3.1027499999999999</v>
      </c>
      <c r="S86" s="834">
        <f>$U$86/4</f>
        <v>-3.1027499999999999</v>
      </c>
      <c r="T86" s="834">
        <f>$U$86/4</f>
        <v>-3.1027499999999999</v>
      </c>
      <c r="U86" s="272">
        <v>-12.411</v>
      </c>
      <c r="V86" s="834">
        <f>$Z$86/4</f>
        <v>-0.55825000000000002</v>
      </c>
      <c r="W86" s="834">
        <f>$Z$86/4</f>
        <v>-0.55825000000000002</v>
      </c>
      <c r="X86" s="834">
        <f>$Z$86/4</f>
        <v>-0.55825000000000002</v>
      </c>
      <c r="Y86" s="834">
        <f>$Z$86/4</f>
        <v>-0.55825000000000002</v>
      </c>
      <c r="Z86" s="272">
        <v>-2.2330000000000001</v>
      </c>
      <c r="AA86" s="833">
        <f>$AE$86/4</f>
        <v>0</v>
      </c>
      <c r="AB86" s="833">
        <f>$AE$86/4</f>
        <v>0</v>
      </c>
      <c r="AC86" s="833">
        <f>$AE$86/4</f>
        <v>0</v>
      </c>
      <c r="AD86" s="833">
        <f>$AE$86/4</f>
        <v>0</v>
      </c>
      <c r="AE86" s="835">
        <v>0</v>
      </c>
      <c r="AF86" s="796">
        <f>$AJ$86/4</f>
        <v>-7.8102499999999999</v>
      </c>
      <c r="AG86" s="796">
        <f>$AJ$86/4</f>
        <v>-7.8102499999999999</v>
      </c>
      <c r="AH86" s="796">
        <f>$AJ$86/4</f>
        <v>-7.8102499999999999</v>
      </c>
      <c r="AI86" s="796">
        <f>$AJ$86/4</f>
        <v>-7.8102499999999999</v>
      </c>
      <c r="AJ86" s="213">
        <v>-31.241</v>
      </c>
      <c r="AK86" s="796">
        <f>$AO$86/4</f>
        <v>-105.28925</v>
      </c>
      <c r="AL86" s="796">
        <f>$AO$86/4</f>
        <v>-105.28925</v>
      </c>
      <c r="AM86" s="796">
        <f>$AO$86/4</f>
        <v>-105.28925</v>
      </c>
      <c r="AN86" s="796">
        <f>$AO$86/4</f>
        <v>-105.28925</v>
      </c>
      <c r="AO86" s="213">
        <v>-421.15699999999998</v>
      </c>
      <c r="AP86" s="796">
        <f>$AT$86/4</f>
        <v>3.0880000000000001</v>
      </c>
      <c r="AQ86" s="796">
        <f>$AT$86/4</f>
        <v>3.0880000000000001</v>
      </c>
      <c r="AR86" s="796">
        <f>$AT$86/4</f>
        <v>3.0880000000000001</v>
      </c>
      <c r="AS86" s="796">
        <f>$AT$86/4</f>
        <v>3.0880000000000001</v>
      </c>
      <c r="AT86" s="213">
        <v>12.352</v>
      </c>
      <c r="AU86" s="796">
        <f>$AY$86/4</f>
        <v>0</v>
      </c>
      <c r="AV86" s="796">
        <f>$AY$86/4</f>
        <v>0</v>
      </c>
      <c r="AW86" s="796">
        <f>$AY$86/4</f>
        <v>0</v>
      </c>
      <c r="AX86" s="796">
        <f>$AY$86/4</f>
        <v>0</v>
      </c>
      <c r="AY86" s="213">
        <v>0</v>
      </c>
      <c r="AZ86" s="796">
        <f>$BD$86/4</f>
        <v>0</v>
      </c>
      <c r="BA86" s="796">
        <f>$BD$86/4</f>
        <v>0</v>
      </c>
      <c r="BB86" s="796">
        <f>$BD$86/4</f>
        <v>0</v>
      </c>
      <c r="BC86" s="796">
        <f>$BD$86/4</f>
        <v>0</v>
      </c>
      <c r="BD86" s="213">
        <v>0</v>
      </c>
      <c r="BE86" s="796">
        <f>$BI$86/4</f>
        <v>7.2385000000000002</v>
      </c>
      <c r="BF86" s="796">
        <f>$BI$86/4</f>
        <v>7.2385000000000002</v>
      </c>
      <c r="BG86" s="796">
        <f>$BI$86/4</f>
        <v>7.2385000000000002</v>
      </c>
      <c r="BH86" s="796">
        <f>$BI$86/4</f>
        <v>7.2385000000000002</v>
      </c>
      <c r="BI86" s="213">
        <v>28.954000000000001</v>
      </c>
      <c r="BJ86" s="9"/>
      <c r="BK86" s="9"/>
      <c r="BL86" s="9"/>
      <c r="BM86" s="9"/>
      <c r="BN86" s="866">
        <v>0</v>
      </c>
      <c r="BO86" s="9"/>
      <c r="BP86" s="9"/>
      <c r="BQ86" s="9"/>
      <c r="BR86" s="9"/>
      <c r="BS86" s="866">
        <v>0</v>
      </c>
      <c r="BT86" s="9"/>
      <c r="BU86" s="9"/>
      <c r="BV86" s="9"/>
      <c r="BW86" s="9"/>
      <c r="BX86" s="866">
        <v>0</v>
      </c>
      <c r="BY86" s="9"/>
      <c r="BZ86" s="9"/>
      <c r="CA86" s="9"/>
      <c r="CB86" s="9"/>
      <c r="CC86" s="866">
        <v>0</v>
      </c>
      <c r="CD86" s="9"/>
      <c r="CE86" s="9"/>
      <c r="CF86" s="9"/>
      <c r="CG86" s="9"/>
      <c r="CH86" s="866">
        <v>0</v>
      </c>
      <c r="CI86" s="9"/>
      <c r="CJ86" s="9"/>
      <c r="CK86" s="9"/>
      <c r="CL86" s="9"/>
      <c r="CM86" s="866">
        <v>0</v>
      </c>
      <c r="CN86" s="9"/>
      <c r="CO86" s="9"/>
      <c r="CP86" s="9"/>
      <c r="CQ86" s="9"/>
      <c r="CR86" s="866">
        <v>0</v>
      </c>
      <c r="CS86" s="9"/>
      <c r="CT86" s="9"/>
      <c r="CU86" s="9"/>
      <c r="CV86" s="9"/>
      <c r="CW86" s="866">
        <v>0</v>
      </c>
      <c r="CX86" s="9"/>
      <c r="CY86" s="9"/>
      <c r="CZ86" s="9"/>
      <c r="DA86" s="9"/>
      <c r="DB86" s="866">
        <v>0</v>
      </c>
      <c r="DC86" s="9"/>
    </row>
    <row r="87" spans="1:107">
      <c r="A87" s="1"/>
      <c r="B87" s="264" t="s">
        <v>459</v>
      </c>
      <c r="C87" s="797"/>
      <c r="D87" s="798"/>
      <c r="E87" s="799">
        <f t="shared" ref="E87:Z87" si="305">E88-E83-E84-E86</f>
        <v>-89.420999999999992</v>
      </c>
      <c r="F87" s="799">
        <f t="shared" si="305"/>
        <v>-103.86699999999999</v>
      </c>
      <c r="G87" s="797"/>
      <c r="H87" s="797"/>
      <c r="I87" s="797"/>
      <c r="J87" s="797">
        <f t="shared" si="305"/>
        <v>19.997</v>
      </c>
      <c r="K87" s="799">
        <f t="shared" si="305"/>
        <v>-145.28100000000001</v>
      </c>
      <c r="L87" s="797"/>
      <c r="M87" s="797"/>
      <c r="N87" s="797"/>
      <c r="O87" s="797"/>
      <c r="P87" s="799">
        <f t="shared" si="305"/>
        <v>-192.10400000000001</v>
      </c>
      <c r="Q87" s="797"/>
      <c r="R87" s="797"/>
      <c r="S87" s="797">
        <f t="shared" si="305"/>
        <v>-54.348249999999993</v>
      </c>
      <c r="T87" s="797">
        <f t="shared" si="305"/>
        <v>-73.350250000000003</v>
      </c>
      <c r="U87" s="799">
        <f t="shared" si="305"/>
        <v>-233.54000000000002</v>
      </c>
      <c r="V87" s="797">
        <f t="shared" si="305"/>
        <v>14.670249999999994</v>
      </c>
      <c r="W87" s="797">
        <f t="shared" si="305"/>
        <v>-81.611750000000015</v>
      </c>
      <c r="X87" s="797">
        <f t="shared" si="305"/>
        <v>-8.9737499999999972</v>
      </c>
      <c r="Y87" s="797">
        <f t="shared" si="305"/>
        <v>-85.643749999999997</v>
      </c>
      <c r="Z87" s="799">
        <f t="shared" si="305"/>
        <v>-161.55900000000003</v>
      </c>
      <c r="AA87" s="797">
        <f t="shared" ref="AA87:AT87" si="306">AA88-AA83-AA84-AA86</f>
        <v>-83.72999999999999</v>
      </c>
      <c r="AB87" s="797">
        <f t="shared" si="306"/>
        <v>-87.62700000000001</v>
      </c>
      <c r="AC87" s="797">
        <f t="shared" si="306"/>
        <v>-61.006999999999991</v>
      </c>
      <c r="AD87" s="797">
        <f t="shared" si="306"/>
        <v>-86.245000000000005</v>
      </c>
      <c r="AE87" s="799">
        <f t="shared" si="306"/>
        <v>-318.60899999999998</v>
      </c>
      <c r="AF87" s="797">
        <f t="shared" si="306"/>
        <v>-104.95775000000002</v>
      </c>
      <c r="AG87" s="797">
        <f t="shared" si="306"/>
        <v>-97.964749999999967</v>
      </c>
      <c r="AH87" s="797">
        <f t="shared" si="306"/>
        <v>-74.478750000000019</v>
      </c>
      <c r="AI87" s="797">
        <f t="shared" si="306"/>
        <v>-106.59774999999999</v>
      </c>
      <c r="AJ87" s="799">
        <f t="shared" si="306"/>
        <v>-383.99899999999997</v>
      </c>
      <c r="AK87" s="797">
        <f t="shared" si="306"/>
        <v>-11.620750000000029</v>
      </c>
      <c r="AL87" s="797">
        <f t="shared" si="306"/>
        <v>-42.252749999999978</v>
      </c>
      <c r="AM87" s="797">
        <f t="shared" si="306"/>
        <v>328.78225000000003</v>
      </c>
      <c r="AN87" s="797">
        <f t="shared" si="306"/>
        <v>-223.89474999999999</v>
      </c>
      <c r="AO87" s="799">
        <f t="shared" si="306"/>
        <v>51.014000000000067</v>
      </c>
      <c r="AP87" s="797">
        <f t="shared" si="306"/>
        <v>-296.91800000000001</v>
      </c>
      <c r="AQ87" s="797">
        <f t="shared" si="306"/>
        <v>-278.08800000000019</v>
      </c>
      <c r="AR87" s="797">
        <f t="shared" si="306"/>
        <v>-272.82900000000006</v>
      </c>
      <c r="AS87" s="797">
        <f t="shared" si="306"/>
        <v>-325.82499999999982</v>
      </c>
      <c r="AT87" s="799">
        <f t="shared" si="306"/>
        <v>-1173.6600000000001</v>
      </c>
      <c r="AU87" s="797">
        <f t="shared" ref="AU87:CC87" si="307">AU88-AU83-AU84-AU86</f>
        <v>-243.51700000000005</v>
      </c>
      <c r="AV87" s="797">
        <f t="shared" si="307"/>
        <v>-282.59799999999996</v>
      </c>
      <c r="AW87" s="797">
        <f t="shared" si="307"/>
        <v>-285.76500000000016</v>
      </c>
      <c r="AX87" s="797">
        <f t="shared" si="307"/>
        <v>-331.82199999999989</v>
      </c>
      <c r="AY87" s="799">
        <f t="shared" si="307"/>
        <v>-1143.702</v>
      </c>
      <c r="AZ87" s="797">
        <f t="shared" si="307"/>
        <v>-348.03300000000007</v>
      </c>
      <c r="BA87" s="797">
        <f t="shared" si="307"/>
        <v>-335.47199999999992</v>
      </c>
      <c r="BB87" s="797">
        <f t="shared" si="307"/>
        <v>-342.13500000000022</v>
      </c>
      <c r="BC87" s="797">
        <f t="shared" si="307"/>
        <v>-340.86599999999981</v>
      </c>
      <c r="BD87" s="799">
        <f t="shared" si="307"/>
        <v>-1366.5060000000001</v>
      </c>
      <c r="BE87" s="797">
        <f t="shared" si="307"/>
        <v>-354.37250000000012</v>
      </c>
      <c r="BF87" s="797">
        <f t="shared" si="307"/>
        <v>-346.77149999999995</v>
      </c>
      <c r="BG87" s="797">
        <f t="shared" si="307"/>
        <v>-410.93550000000005</v>
      </c>
      <c r="BH87" s="797">
        <f t="shared" si="307"/>
        <v>-392.59649999999988</v>
      </c>
      <c r="BI87" s="799">
        <f t="shared" si="307"/>
        <v>-1504.6760000000002</v>
      </c>
      <c r="BJ87" s="797">
        <f t="shared" si="307"/>
        <v>-381.70000000000016</v>
      </c>
      <c r="BK87" s="797">
        <f t="shared" si="307"/>
        <v>-394.49299999999999</v>
      </c>
      <c r="BL87" s="797">
        <f t="shared" si="307"/>
        <v>-390.59399999999971</v>
      </c>
      <c r="BM87" s="797">
        <f t="shared" si="307"/>
        <v>-481.86600000000021</v>
      </c>
      <c r="BN87" s="799">
        <f t="shared" si="307"/>
        <v>-1648.6530000000002</v>
      </c>
      <c r="BO87" s="797">
        <f t="shared" si="307"/>
        <v>-431.76000000000016</v>
      </c>
      <c r="BP87" s="797">
        <f t="shared" si="307"/>
        <v>-485.11099999999976</v>
      </c>
      <c r="BQ87" s="797">
        <f t="shared" si="307"/>
        <v>-462.84800000000007</v>
      </c>
      <c r="BR87" s="797">
        <f t="shared" si="307"/>
        <v>-454.10500000000025</v>
      </c>
      <c r="BS87" s="799">
        <f t="shared" si="307"/>
        <v>-1833.8240000000005</v>
      </c>
      <c r="BT87" s="797">
        <f>BT88-BT83-BT84-BT86</f>
        <v>283.56800000000021</v>
      </c>
      <c r="BU87" s="797">
        <f>BU88-BU83-BU84-BU86</f>
        <v>-694</v>
      </c>
      <c r="BV87" s="797">
        <f>BV88-BV83-BV84-BV86</f>
        <v>-746</v>
      </c>
      <c r="BW87" s="797">
        <f>BW88-BW83-BW84-BW86</f>
        <v>-736</v>
      </c>
      <c r="BX87" s="799">
        <f t="shared" si="307"/>
        <v>-1892.4319999999998</v>
      </c>
      <c r="BY87" s="797">
        <f t="shared" si="307"/>
        <v>-611</v>
      </c>
      <c r="BZ87" s="797">
        <f t="shared" si="307"/>
        <v>-587</v>
      </c>
      <c r="CA87" s="797">
        <f>CA88-CA83-CA84-CA86</f>
        <v>-682</v>
      </c>
      <c r="CB87" s="797">
        <f t="shared" si="307"/>
        <v>-640</v>
      </c>
      <c r="CC87" s="800">
        <f t="shared" si="307"/>
        <v>-2520</v>
      </c>
      <c r="CD87" s="801">
        <f t="shared" ref="CD87:CM87" si="308">CD88-CD83-CD84-CD86</f>
        <v>-815</v>
      </c>
      <c r="CE87" s="801">
        <f t="shared" ref="CE87:CF87" si="309">CE88-CE83-CE84-CE86</f>
        <v>-1019</v>
      </c>
      <c r="CF87" s="801">
        <f t="shared" si="309"/>
        <v>-682</v>
      </c>
      <c r="CG87" s="801">
        <f t="shared" ref="CG87" si="310">CG88-CG83-CG84-CG86</f>
        <v>-659</v>
      </c>
      <c r="CH87" s="800">
        <f t="shared" si="308"/>
        <v>-6948</v>
      </c>
      <c r="CI87" s="801">
        <f t="shared" si="308"/>
        <v>3047</v>
      </c>
      <c r="CJ87" s="801">
        <f t="shared" ref="CJ87:CK87" si="311">CJ88-CJ83-CJ84-CJ86</f>
        <v>-788</v>
      </c>
      <c r="CK87" s="801">
        <f t="shared" si="311"/>
        <v>-749</v>
      </c>
      <c r="CL87" s="801">
        <f t="shared" ref="CL87" si="312">CL88-CL83-CL84-CL86</f>
        <v>-685</v>
      </c>
      <c r="CM87" s="800">
        <f t="shared" si="308"/>
        <v>-3045</v>
      </c>
      <c r="CN87" s="801">
        <f t="shared" ref="CN87:DA87" ca="1" si="313">CN88-CN83-CN84-CN86</f>
        <v>-612.91249856734066</v>
      </c>
      <c r="CO87" s="801">
        <f t="shared" ca="1" si="313"/>
        <v>-574.70149634604832</v>
      </c>
      <c r="CP87" s="801">
        <f t="shared" ca="1" si="313"/>
        <v>-522.01679521715675</v>
      </c>
      <c r="CQ87" s="801">
        <f t="shared" ca="1" si="313"/>
        <v>-598.24405972196507</v>
      </c>
      <c r="CR87" s="800">
        <f t="shared" ca="1" si="313"/>
        <v>-2307.874849852511</v>
      </c>
      <c r="CS87" s="801">
        <f t="shared" ref="CS87:CV87" ca="1" si="314">CS88-CS83-CS84-CS86</f>
        <v>-586.59480485162294</v>
      </c>
      <c r="CT87" s="801">
        <f t="shared" ca="1" si="314"/>
        <v>-563.42212297992705</v>
      </c>
      <c r="CU87" s="801">
        <f t="shared" ca="1" si="314"/>
        <v>-538.09594116778999</v>
      </c>
      <c r="CV87" s="801">
        <f t="shared" ca="1" si="314"/>
        <v>-607.53102002814046</v>
      </c>
      <c r="CW87" s="800">
        <f t="shared" ca="1" si="313"/>
        <v>-2295.6438890274803</v>
      </c>
      <c r="CX87" s="801">
        <f t="shared" ca="1" si="313"/>
        <v>-589.93790614386251</v>
      </c>
      <c r="CY87" s="801">
        <f t="shared" ca="1" si="313"/>
        <v>-566.95764468298512</v>
      </c>
      <c r="CZ87" s="801">
        <f t="shared" ca="1" si="313"/>
        <v>-537.00877635916231</v>
      </c>
      <c r="DA87" s="801">
        <f t="shared" ca="1" si="313"/>
        <v>-610.74330826304799</v>
      </c>
      <c r="DB87" s="800">
        <f t="shared" ref="DB87" ca="1" si="315">DB88-DB83-DB84-DB86</f>
        <v>-2304.6476354490578</v>
      </c>
      <c r="DC87" s="9"/>
    </row>
    <row r="88" spans="1:107">
      <c r="A88" s="1"/>
      <c r="B88" s="9" t="s">
        <v>460</v>
      </c>
      <c r="C88" s="849"/>
      <c r="D88" s="848">
        <v>28.771000000000001</v>
      </c>
      <c r="E88" s="866">
        <f t="shared" ref="E88:Z88" si="316">-E80</f>
        <v>34.499000000000002</v>
      </c>
      <c r="F88" s="866">
        <f t="shared" si="316"/>
        <v>52.935000000000002</v>
      </c>
      <c r="G88" s="268"/>
      <c r="H88" s="268"/>
      <c r="I88" s="268"/>
      <c r="J88" s="268">
        <f t="shared" si="316"/>
        <v>63.88</v>
      </c>
      <c r="K88" s="866">
        <f t="shared" si="316"/>
        <v>63.88</v>
      </c>
      <c r="L88" s="268"/>
      <c r="M88" s="268"/>
      <c r="N88" s="268"/>
      <c r="O88" s="268"/>
      <c r="P88" s="866">
        <f t="shared" si="316"/>
        <v>73.11</v>
      </c>
      <c r="Q88" s="268"/>
      <c r="R88" s="268">
        <f t="shared" si="316"/>
        <v>85.481999999999999</v>
      </c>
      <c r="S88" s="268">
        <f t="shared" si="316"/>
        <v>98.721000000000004</v>
      </c>
      <c r="T88" s="268">
        <f t="shared" si="316"/>
        <v>103.67700000000001</v>
      </c>
      <c r="U88" s="866">
        <f t="shared" si="316"/>
        <v>103.67700000000001</v>
      </c>
      <c r="V88" s="268">
        <f t="shared" si="316"/>
        <v>203.9</v>
      </c>
      <c r="W88" s="268">
        <f t="shared" si="316"/>
        <v>203.45099999999999</v>
      </c>
      <c r="X88" s="268">
        <f t="shared" si="316"/>
        <v>282.32</v>
      </c>
      <c r="Y88" s="268">
        <f t="shared" si="316"/>
        <v>286.09399999999999</v>
      </c>
      <c r="Z88" s="866">
        <f t="shared" si="316"/>
        <v>286.09399999999999</v>
      </c>
      <c r="AA88" s="268">
        <f t="shared" ref="AA88:AT88" si="317">-AA80</f>
        <v>296.358</v>
      </c>
      <c r="AB88" s="268">
        <f t="shared" si="317"/>
        <v>300.31299999999999</v>
      </c>
      <c r="AC88" s="268">
        <f t="shared" si="317"/>
        <v>332.286</v>
      </c>
      <c r="AD88" s="268">
        <f t="shared" si="317"/>
        <v>346.024</v>
      </c>
      <c r="AE88" s="866">
        <f t="shared" si="317"/>
        <v>346.024</v>
      </c>
      <c r="AF88" s="268">
        <f t="shared" si="317"/>
        <v>340.84699999999998</v>
      </c>
      <c r="AG88" s="268">
        <f t="shared" si="317"/>
        <v>350.77600000000001</v>
      </c>
      <c r="AH88" s="268">
        <f t="shared" si="317"/>
        <v>460.92599999999999</v>
      </c>
      <c r="AI88" s="268">
        <f t="shared" si="317"/>
        <v>478.565</v>
      </c>
      <c r="AJ88" s="866">
        <f t="shared" si="317"/>
        <v>478.565</v>
      </c>
      <c r="AK88" s="268">
        <f t="shared" si="317"/>
        <v>497.35399999999998</v>
      </c>
      <c r="AL88" s="268">
        <f t="shared" si="317"/>
        <v>498.47300000000001</v>
      </c>
      <c r="AM88" s="268">
        <f t="shared" si="317"/>
        <v>1001.57</v>
      </c>
      <c r="AN88" s="268">
        <f t="shared" si="317"/>
        <v>1033.5160000000001</v>
      </c>
      <c r="AO88" s="866">
        <f t="shared" si="317"/>
        <v>1033.5160000000001</v>
      </c>
      <c r="AP88" s="268">
        <f t="shared" si="317"/>
        <v>1036.7660000000001</v>
      </c>
      <c r="AQ88" s="268">
        <f t="shared" si="317"/>
        <v>1052.8109999999999</v>
      </c>
      <c r="AR88" s="268">
        <f t="shared" si="317"/>
        <v>1109.2829999999999</v>
      </c>
      <c r="AS88" s="268">
        <f t="shared" si="317"/>
        <v>1102.9000000000001</v>
      </c>
      <c r="AT88" s="866">
        <f t="shared" si="317"/>
        <v>1102.9000000000001</v>
      </c>
      <c r="AU88" s="268">
        <f t="shared" ref="AU88:CC88" si="318">-AU80</f>
        <v>1194.8340000000001</v>
      </c>
      <c r="AV88" s="268">
        <f t="shared" si="318"/>
        <v>1274.6980000000001</v>
      </c>
      <c r="AW88" s="268">
        <f t="shared" si="318"/>
        <v>1367.29</v>
      </c>
      <c r="AX88" s="268">
        <f t="shared" si="318"/>
        <v>1417.1880000000001</v>
      </c>
      <c r="AY88" s="866">
        <f t="shared" si="318"/>
        <v>1417.1880000000001</v>
      </c>
      <c r="AZ88" s="268">
        <f t="shared" si="318"/>
        <v>1447.229</v>
      </c>
      <c r="BA88" s="268">
        <f t="shared" si="318"/>
        <v>1493.2070000000001</v>
      </c>
      <c r="BB88" s="268">
        <f t="shared" si="318"/>
        <v>1554.1489999999999</v>
      </c>
      <c r="BC88" s="268">
        <f t="shared" si="318"/>
        <v>1639.1980000000001</v>
      </c>
      <c r="BD88" s="866">
        <f t="shared" si="318"/>
        <v>1639.1980000000001</v>
      </c>
      <c r="BE88" s="268">
        <f t="shared" si="318"/>
        <v>1699.9349999999999</v>
      </c>
      <c r="BF88" s="268">
        <f t="shared" si="318"/>
        <v>1793.404</v>
      </c>
      <c r="BG88" s="268">
        <f t="shared" si="318"/>
        <v>1840.0029999999999</v>
      </c>
      <c r="BH88" s="268">
        <f t="shared" si="318"/>
        <v>1891.3340000000001</v>
      </c>
      <c r="BI88" s="866">
        <f t="shared" si="318"/>
        <v>1891.3340000000001</v>
      </c>
      <c r="BJ88" s="268">
        <f t="shared" si="318"/>
        <v>1996.09</v>
      </c>
      <c r="BK88" s="268">
        <f t="shared" si="318"/>
        <v>2105.0509999999999</v>
      </c>
      <c r="BL88" s="268">
        <f t="shared" si="318"/>
        <v>2199.0880000000002</v>
      </c>
      <c r="BM88" s="268">
        <f t="shared" si="318"/>
        <v>2201.875</v>
      </c>
      <c r="BN88" s="866">
        <f t="shared" si="318"/>
        <v>2201.875</v>
      </c>
      <c r="BO88" s="268">
        <f t="shared" si="318"/>
        <v>2258.2289999999998</v>
      </c>
      <c r="BP88" s="268">
        <f t="shared" si="318"/>
        <v>2304.8130000000001</v>
      </c>
      <c r="BQ88" s="268">
        <f t="shared" si="318"/>
        <v>2390.567</v>
      </c>
      <c r="BR88" s="268">
        <f t="shared" si="318"/>
        <v>2448.4319999999998</v>
      </c>
      <c r="BS88" s="866">
        <f t="shared" si="318"/>
        <v>2448.4319999999998</v>
      </c>
      <c r="BT88" s="268">
        <f>-BT80</f>
        <v>3437</v>
      </c>
      <c r="BU88" s="268">
        <f>-BU80</f>
        <v>3495</v>
      </c>
      <c r="BV88" s="268">
        <f>-BV80</f>
        <v>3517</v>
      </c>
      <c r="BW88" s="268">
        <f>-BW80</f>
        <v>3504</v>
      </c>
      <c r="BX88" s="866">
        <f t="shared" si="318"/>
        <v>3504</v>
      </c>
      <c r="BY88" s="268">
        <f t="shared" si="318"/>
        <v>3628</v>
      </c>
      <c r="BZ88" s="268">
        <f t="shared" si="318"/>
        <v>3773</v>
      </c>
      <c r="CA88" s="268">
        <f>-CA80</f>
        <v>3825</v>
      </c>
      <c r="CB88" s="268">
        <f t="shared" si="318"/>
        <v>4111</v>
      </c>
      <c r="CC88" s="866">
        <f t="shared" si="318"/>
        <v>4111</v>
      </c>
      <c r="CD88" s="268">
        <f t="shared" ref="CD88:CM88" si="319">-CD80</f>
        <v>4051</v>
      </c>
      <c r="CE88" s="268">
        <f t="shared" ref="CE88:CF88" si="320">-CE80</f>
        <v>3732</v>
      </c>
      <c r="CF88" s="268">
        <f t="shared" si="320"/>
        <v>3754</v>
      </c>
      <c r="CG88" s="268">
        <f t="shared" ref="CG88" si="321">-CG80</f>
        <v>3773</v>
      </c>
      <c r="CH88" s="866">
        <f t="shared" si="319"/>
        <v>0</v>
      </c>
      <c r="CI88" s="268">
        <f t="shared" si="319"/>
        <v>3729</v>
      </c>
      <c r="CJ88" s="268">
        <f t="shared" ref="CJ88:CK88" si="322">-CJ80</f>
        <v>3620</v>
      </c>
      <c r="CK88" s="268">
        <f t="shared" si="322"/>
        <v>3538</v>
      </c>
      <c r="CL88" s="268">
        <f t="shared" ref="CL88" si="323">-CL80</f>
        <v>3870</v>
      </c>
      <c r="CM88" s="866">
        <f t="shared" si="319"/>
        <v>0</v>
      </c>
      <c r="CN88" s="268">
        <f t="shared" ref="CN88:DA88" si="324">-CN80</f>
        <v>0</v>
      </c>
      <c r="CO88" s="268">
        <f t="shared" si="324"/>
        <v>0</v>
      </c>
      <c r="CP88" s="268">
        <f t="shared" si="324"/>
        <v>0</v>
      </c>
      <c r="CQ88" s="268">
        <f t="shared" si="324"/>
        <v>0</v>
      </c>
      <c r="CR88" s="866">
        <f t="shared" si="324"/>
        <v>0</v>
      </c>
      <c r="CS88" s="268">
        <f t="shared" ref="CS88:CV88" si="325">-CS80</f>
        <v>0</v>
      </c>
      <c r="CT88" s="268">
        <f t="shared" si="325"/>
        <v>0</v>
      </c>
      <c r="CU88" s="268">
        <f t="shared" si="325"/>
        <v>0</v>
      </c>
      <c r="CV88" s="268">
        <f t="shared" si="325"/>
        <v>0</v>
      </c>
      <c r="CW88" s="866">
        <f t="shared" si="324"/>
        <v>0</v>
      </c>
      <c r="CX88" s="268">
        <f t="shared" si="324"/>
        <v>0</v>
      </c>
      <c r="CY88" s="268">
        <f t="shared" si="324"/>
        <v>0</v>
      </c>
      <c r="CZ88" s="268">
        <f t="shared" si="324"/>
        <v>0</v>
      </c>
      <c r="DA88" s="268">
        <f t="shared" si="324"/>
        <v>0</v>
      </c>
      <c r="DB88" s="866">
        <f t="shared" ref="DB88" si="326">-DB80</f>
        <v>0</v>
      </c>
      <c r="DC88" s="9"/>
    </row>
    <row r="89" spans="1:107">
      <c r="A89" s="1"/>
      <c r="B89" s="802" t="s">
        <v>461</v>
      </c>
      <c r="C89" s="237"/>
      <c r="D89" s="422"/>
      <c r="E89" s="67">
        <f>E88/E79</f>
        <v>0.13225659289473987</v>
      </c>
      <c r="F89" s="67">
        <f>F88/F79</f>
        <v>0.14592252199106298</v>
      </c>
      <c r="G89" s="237"/>
      <c r="H89" s="237"/>
      <c r="I89" s="237"/>
      <c r="J89" s="237"/>
      <c r="K89" s="67">
        <f>K88/K79</f>
        <v>0.14721200556769262</v>
      </c>
      <c r="L89" s="237"/>
      <c r="M89" s="237"/>
      <c r="N89" s="237"/>
      <c r="O89" s="237"/>
      <c r="P89" s="67">
        <f>P88/P79</f>
        <v>0.1543864242997601</v>
      </c>
      <c r="Q89" s="237"/>
      <c r="R89" s="237"/>
      <c r="S89" s="237"/>
      <c r="T89" s="237"/>
      <c r="U89" s="67">
        <f t="shared" ref="U89:Z89" si="327">U88/U79</f>
        <v>0.15642888827865911</v>
      </c>
      <c r="V89" s="68">
        <f t="shared" si="327"/>
        <v>0.25883024975405416</v>
      </c>
      <c r="W89" s="68">
        <f t="shared" si="327"/>
        <v>0.26917596440464703</v>
      </c>
      <c r="X89" s="68">
        <f t="shared" si="327"/>
        <v>0.32819129767620286</v>
      </c>
      <c r="Y89" s="68">
        <f t="shared" si="327"/>
        <v>0.32387205596843849</v>
      </c>
      <c r="Z89" s="67">
        <f t="shared" si="327"/>
        <v>0.32387205596843849</v>
      </c>
      <c r="AA89" s="68">
        <f t="shared" ref="AA89:AT89" si="328">AA88/AA79</f>
        <v>0.3282294032887399</v>
      </c>
      <c r="AB89" s="68">
        <f t="shared" si="328"/>
        <v>0.32822635380679088</v>
      </c>
      <c r="AC89" s="68">
        <f t="shared" si="328"/>
        <v>0.34535851033312964</v>
      </c>
      <c r="AD89" s="68">
        <f t="shared" si="328"/>
        <v>0.34531506816505714</v>
      </c>
      <c r="AE89" s="67">
        <f t="shared" si="328"/>
        <v>0.34531506816505714</v>
      </c>
      <c r="AF89" s="68">
        <f t="shared" si="328"/>
        <v>0.32776460361145249</v>
      </c>
      <c r="AG89" s="68">
        <f t="shared" si="328"/>
        <v>0.3252551777342591</v>
      </c>
      <c r="AH89" s="68">
        <f t="shared" si="328"/>
        <v>0.38204703994483052</v>
      </c>
      <c r="AI89" s="68">
        <f t="shared" si="328"/>
        <v>0.38207287698924353</v>
      </c>
      <c r="AJ89" s="67">
        <f t="shared" si="328"/>
        <v>0.38207287698924353</v>
      </c>
      <c r="AK89" s="68">
        <f t="shared" si="328"/>
        <v>0.37825882932742949</v>
      </c>
      <c r="AL89" s="68">
        <f t="shared" si="328"/>
        <v>0.36252687280544815</v>
      </c>
      <c r="AM89" s="68">
        <f t="shared" si="328"/>
        <v>0.35376477964096181</v>
      </c>
      <c r="AN89" s="68">
        <f t="shared" si="328"/>
        <v>0.40256704088397444</v>
      </c>
      <c r="AO89" s="67">
        <f t="shared" si="328"/>
        <v>0.40256704088397444</v>
      </c>
      <c r="AP89" s="68">
        <f t="shared" si="328"/>
        <v>0.38940679621277458</v>
      </c>
      <c r="AQ89" s="68">
        <f t="shared" si="328"/>
        <v>0.39631313680753677</v>
      </c>
      <c r="AR89" s="68">
        <f t="shared" si="328"/>
        <v>0.4030673997303153</v>
      </c>
      <c r="AS89" s="68">
        <f t="shared" si="328"/>
        <v>0.40594672009110516</v>
      </c>
      <c r="AT89" s="67">
        <f t="shared" si="328"/>
        <v>0.40594672009110516</v>
      </c>
      <c r="AU89" s="68">
        <f t="shared" ref="AU89:CC89" si="329">AU88/AU79</f>
        <v>0.42090100829483934</v>
      </c>
      <c r="AV89" s="68">
        <f t="shared" si="329"/>
        <v>0.43466169000358384</v>
      </c>
      <c r="AW89" s="68">
        <f t="shared" si="329"/>
        <v>0.44922929326282551</v>
      </c>
      <c r="AX89" s="68">
        <f t="shared" si="329"/>
        <v>0.46693426984561581</v>
      </c>
      <c r="AY89" s="67">
        <f t="shared" si="329"/>
        <v>0.46693426984561581</v>
      </c>
      <c r="AZ89" s="68">
        <f t="shared" si="329"/>
        <v>0.4580801155685878</v>
      </c>
      <c r="BA89" s="68">
        <f t="shared" si="329"/>
        <v>0.47030052856593024</v>
      </c>
      <c r="BB89" s="68">
        <f t="shared" si="329"/>
        <v>0.48482992804678127</v>
      </c>
      <c r="BC89" s="68">
        <f t="shared" si="329"/>
        <v>0.4887671674011701</v>
      </c>
      <c r="BD89" s="67">
        <f t="shared" si="329"/>
        <v>0.4887671674011701</v>
      </c>
      <c r="BE89" s="68">
        <f t="shared" si="329"/>
        <v>0.49045211893514734</v>
      </c>
      <c r="BF89" s="68">
        <f t="shared" si="329"/>
        <v>0.50013943858678434</v>
      </c>
      <c r="BG89" s="68">
        <f t="shared" si="329"/>
        <v>0.50925486171538903</v>
      </c>
      <c r="BH89" s="68">
        <f t="shared" si="329"/>
        <v>0.50767239090796112</v>
      </c>
      <c r="BI89" s="67">
        <f t="shared" si="329"/>
        <v>0.50767239090796112</v>
      </c>
      <c r="BJ89" s="68">
        <f t="shared" si="329"/>
        <v>0.49708053063693414</v>
      </c>
      <c r="BK89" s="68">
        <f t="shared" si="329"/>
        <v>0.50598015596310209</v>
      </c>
      <c r="BL89" s="68">
        <f t="shared" si="329"/>
        <v>0.51257148384555407</v>
      </c>
      <c r="BM89" s="68">
        <f t="shared" si="329"/>
        <v>0.51575169807184118</v>
      </c>
      <c r="BN89" s="67">
        <f t="shared" si="329"/>
        <v>0.51575169807184118</v>
      </c>
      <c r="BO89" s="68">
        <f t="shared" si="329"/>
        <v>0.5048096235838877</v>
      </c>
      <c r="BP89" s="68">
        <f t="shared" si="329"/>
        <v>0.51471110081853522</v>
      </c>
      <c r="BQ89" s="68">
        <f t="shared" si="329"/>
        <v>0.50980426027033265</v>
      </c>
      <c r="BR89" s="68">
        <f t="shared" si="329"/>
        <v>0.5099051593797248</v>
      </c>
      <c r="BS89" s="67">
        <f t="shared" si="329"/>
        <v>0.5099051593797248</v>
      </c>
      <c r="BT89" s="68">
        <f t="shared" si="329"/>
        <v>0.52345415778251603</v>
      </c>
      <c r="BU89" s="68">
        <f t="shared" si="329"/>
        <v>0.52826481257557434</v>
      </c>
      <c r="BV89" s="68">
        <f t="shared" si="329"/>
        <v>0.51850213769718412</v>
      </c>
      <c r="BW89" s="68">
        <f t="shared" si="329"/>
        <v>0.50687111239693328</v>
      </c>
      <c r="BX89" s="67">
        <f t="shared" si="329"/>
        <v>0.50687111239693328</v>
      </c>
      <c r="BY89" s="68">
        <f t="shared" si="329"/>
        <v>0.50152059717998343</v>
      </c>
      <c r="BZ89" s="68">
        <f t="shared" si="329"/>
        <v>0.5194107929515418</v>
      </c>
      <c r="CA89" s="68">
        <f>CA88/CA79</f>
        <v>0.50925309545999198</v>
      </c>
      <c r="CB89" s="68">
        <f t="shared" si="329"/>
        <v>0.53237503237503236</v>
      </c>
      <c r="CC89" s="67">
        <f t="shared" si="329"/>
        <v>0.53237503237503236</v>
      </c>
      <c r="CD89" s="68">
        <f t="shared" ref="CD89:CM89" si="330">CD88/CD79</f>
        <v>0.52109596089529198</v>
      </c>
      <c r="CE89" s="68">
        <f t="shared" ref="CE89:CF89" si="331">CE88/CE79</f>
        <v>0.54000868181160466</v>
      </c>
      <c r="CF89" s="68">
        <f t="shared" si="331"/>
        <v>0.54146833982402998</v>
      </c>
      <c r="CG89" s="68">
        <f t="shared" ref="CG89" si="332">CG88/CG79</f>
        <v>0.54295582098143613</v>
      </c>
      <c r="CH89" s="67">
        <f t="shared" si="330"/>
        <v>0</v>
      </c>
      <c r="CI89" s="68">
        <f t="shared" si="330"/>
        <v>0.54098360655737709</v>
      </c>
      <c r="CJ89" s="68">
        <f t="shared" ref="CJ89:CK89" si="333">CJ88/CJ79</f>
        <v>0.55191340143314527</v>
      </c>
      <c r="CK89" s="68">
        <f t="shared" si="333"/>
        <v>0.55057578586990352</v>
      </c>
      <c r="CL89" s="68">
        <f t="shared" ref="CL89" si="334">CL88/CL79</f>
        <v>0.61880396546210426</v>
      </c>
      <c r="CM89" s="67">
        <f t="shared" si="330"/>
        <v>0</v>
      </c>
      <c r="CN89" s="68">
        <f t="shared" ref="CN89:DA89" ca="1" si="335">CN88/CN79</f>
        <v>0</v>
      </c>
      <c r="CO89" s="68">
        <f t="shared" ca="1" si="335"/>
        <v>0</v>
      </c>
      <c r="CP89" s="68">
        <f t="shared" ca="1" si="335"/>
        <v>0</v>
      </c>
      <c r="CQ89" s="68">
        <f t="shared" ca="1" si="335"/>
        <v>0</v>
      </c>
      <c r="CR89" s="67">
        <f t="shared" ca="1" si="335"/>
        <v>0</v>
      </c>
      <c r="CS89" s="68">
        <f t="shared" ref="CS89:CV89" ca="1" si="336">CS88/CS79</f>
        <v>0</v>
      </c>
      <c r="CT89" s="68">
        <f t="shared" ca="1" si="336"/>
        <v>0</v>
      </c>
      <c r="CU89" s="68">
        <f t="shared" ca="1" si="336"/>
        <v>0</v>
      </c>
      <c r="CV89" s="68">
        <f t="shared" ca="1" si="336"/>
        <v>0</v>
      </c>
      <c r="CW89" s="67">
        <f t="shared" ca="1" si="335"/>
        <v>0</v>
      </c>
      <c r="CX89" s="68">
        <f t="shared" ca="1" si="335"/>
        <v>0</v>
      </c>
      <c r="CY89" s="68">
        <f t="shared" ca="1" si="335"/>
        <v>0</v>
      </c>
      <c r="CZ89" s="68">
        <f t="shared" ca="1" si="335"/>
        <v>0</v>
      </c>
      <c r="DA89" s="68">
        <f t="shared" ca="1" si="335"/>
        <v>0</v>
      </c>
      <c r="DB89" s="67">
        <f t="shared" ref="DB89" ca="1" si="337">DB88/DB79</f>
        <v>0</v>
      </c>
      <c r="DC89" s="9"/>
    </row>
    <row r="90" spans="1:107">
      <c r="A90" s="1"/>
      <c r="B90" s="9"/>
      <c r="C90" s="5"/>
      <c r="D90" s="876"/>
      <c r="E90" s="200"/>
      <c r="F90" s="200"/>
      <c r="G90" s="9"/>
      <c r="H90" s="9"/>
      <c r="I90" s="9"/>
      <c r="J90" s="9"/>
      <c r="K90" s="200"/>
      <c r="L90" s="9"/>
      <c r="M90" s="9"/>
      <c r="N90" s="9"/>
      <c r="O90" s="9"/>
      <c r="P90" s="200"/>
      <c r="Q90" s="9"/>
      <c r="R90" s="9"/>
      <c r="S90" s="9"/>
      <c r="T90" s="9"/>
      <c r="U90" s="200"/>
      <c r="V90" s="9"/>
      <c r="W90" s="9"/>
      <c r="X90" s="9"/>
      <c r="Y90" s="9"/>
      <c r="Z90" s="200"/>
      <c r="AA90" s="9"/>
      <c r="AB90" s="9"/>
      <c r="AC90" s="9"/>
      <c r="AD90" s="9"/>
      <c r="AE90" s="200"/>
      <c r="AF90" s="9"/>
      <c r="AG90" s="9"/>
      <c r="AH90" s="9"/>
      <c r="AI90" s="9"/>
      <c r="AJ90" s="200"/>
      <c r="AK90" s="9"/>
      <c r="AL90" s="9"/>
      <c r="AM90" s="9"/>
      <c r="AN90" s="9"/>
      <c r="AO90" s="200"/>
      <c r="AP90" s="9"/>
      <c r="AQ90" s="9"/>
      <c r="AR90" s="9"/>
      <c r="AS90" s="9"/>
      <c r="AT90" s="200"/>
      <c r="AU90" s="9"/>
      <c r="AV90" s="9"/>
      <c r="AW90" s="9"/>
      <c r="AX90" s="9"/>
      <c r="AY90" s="200"/>
      <c r="AZ90" s="9"/>
      <c r="BA90" s="9"/>
      <c r="BB90" s="9"/>
      <c r="BC90" s="9"/>
      <c r="BD90" s="200"/>
      <c r="BE90" s="9"/>
      <c r="BF90" s="9"/>
      <c r="BG90" s="9"/>
      <c r="BH90" s="9"/>
      <c r="BI90" s="200"/>
      <c r="BJ90" s="9"/>
      <c r="BK90" s="9"/>
      <c r="BL90" s="9"/>
      <c r="BM90" s="9"/>
      <c r="BN90" s="200"/>
      <c r="BO90" s="9"/>
      <c r="BP90" s="9"/>
      <c r="BQ90" s="9"/>
      <c r="BR90" s="9"/>
      <c r="BS90" s="200"/>
      <c r="BT90" s="9"/>
      <c r="BU90" s="9"/>
      <c r="BV90" s="9"/>
      <c r="BW90" s="9"/>
      <c r="BX90" s="200"/>
      <c r="BY90" s="9"/>
      <c r="BZ90" s="9"/>
      <c r="CA90" s="9"/>
      <c r="CB90" s="9"/>
      <c r="CC90" s="200"/>
      <c r="CD90" s="9"/>
      <c r="CE90" s="9"/>
      <c r="CF90" s="9"/>
      <c r="CG90" s="9"/>
      <c r="CH90" s="200"/>
      <c r="CI90" s="9"/>
      <c r="CJ90" s="9"/>
      <c r="CK90" s="9"/>
      <c r="CL90" s="9"/>
      <c r="CM90" s="200"/>
      <c r="CN90" s="9"/>
      <c r="CO90" s="9"/>
      <c r="CP90" s="9"/>
      <c r="CQ90" s="9"/>
      <c r="CR90" s="200"/>
      <c r="CS90" s="9"/>
      <c r="CT90" s="9"/>
      <c r="CU90" s="9"/>
      <c r="CV90" s="9"/>
      <c r="CW90" s="200"/>
      <c r="CX90" s="9"/>
      <c r="CY90" s="9"/>
      <c r="CZ90" s="9"/>
      <c r="DA90" s="9"/>
      <c r="DB90" s="200"/>
      <c r="DC90" s="9"/>
    </row>
    <row r="91" spans="1:107">
      <c r="A91" s="1"/>
      <c r="B91" s="9" t="s">
        <v>462</v>
      </c>
      <c r="C91" s="5"/>
      <c r="D91" s="876"/>
      <c r="E91" s="200"/>
      <c r="F91" s="866"/>
      <c r="G91" s="268"/>
      <c r="H91" s="268"/>
      <c r="I91" s="268"/>
      <c r="J91" s="268">
        <f>J84+I84+H84+G84</f>
        <v>156.226</v>
      </c>
      <c r="K91" s="866">
        <f>J91</f>
        <v>156.226</v>
      </c>
      <c r="L91" s="268">
        <f>L84+J84+I84+H84</f>
        <v>169.14999999999998</v>
      </c>
      <c r="M91" s="268">
        <f>M84+L84+J84+I84</f>
        <v>179.88600000000002</v>
      </c>
      <c r="N91" s="268">
        <f>N84+M84+L84+J84</f>
        <v>193.85300000000001</v>
      </c>
      <c r="O91" s="268">
        <f>O84+N84+M84+L84</f>
        <v>201.334</v>
      </c>
      <c r="P91" s="866">
        <f>O91</f>
        <v>201.334</v>
      </c>
      <c r="Q91" s="268">
        <f>Q84+O84+N84+M84</f>
        <v>213.77799999999999</v>
      </c>
      <c r="R91" s="268">
        <f>R84+Q84+O84+N84</f>
        <v>228.13400000000001</v>
      </c>
      <c r="S91" s="268">
        <f>S84+R84+Q84+O84</f>
        <v>246.47300000000001</v>
      </c>
      <c r="T91" s="268">
        <f>T84+S84+R84+Q84</f>
        <v>276.51799999999997</v>
      </c>
      <c r="U91" s="866">
        <f>T91</f>
        <v>276.51799999999997</v>
      </c>
      <c r="V91" s="268">
        <f>V84+T84+S84+R84</f>
        <v>300.28800000000001</v>
      </c>
      <c r="W91" s="268">
        <f>W84+V84+T84+S84</f>
        <v>319.93099999999998</v>
      </c>
      <c r="X91" s="268">
        <f>X84+W84+V84+T84</f>
        <v>337.642</v>
      </c>
      <c r="Y91" s="268">
        <f>Y84+X84+W84+V84</f>
        <v>346.209</v>
      </c>
      <c r="Z91" s="866">
        <f>Y91</f>
        <v>346.209</v>
      </c>
      <c r="AA91" s="268">
        <f>AA84+Y84+X84+W84</f>
        <v>354.09199999999998</v>
      </c>
      <c r="AB91" s="268">
        <f>AB84+AA84+Y84+X84</f>
        <v>363.95300000000003</v>
      </c>
      <c r="AC91" s="268">
        <f>AC84+AB84+AA84+Y84</f>
        <v>368.53200000000004</v>
      </c>
      <c r="AD91" s="268">
        <f>AD84+AC84+AB84+AA84</f>
        <v>378.53899999999999</v>
      </c>
      <c r="AE91" s="866">
        <f>AD91</f>
        <v>378.53899999999999</v>
      </c>
      <c r="AF91" s="268">
        <f>AF84+AD84+AC84+AB84</f>
        <v>392.13600000000002</v>
      </c>
      <c r="AG91" s="268">
        <f>AG84+AF84+AD84+AC84</f>
        <v>416.25800000000004</v>
      </c>
      <c r="AH91" s="268">
        <f>AH84+AG84+AF84+AD84</f>
        <v>515.71699999999998</v>
      </c>
      <c r="AI91" s="268">
        <f>AI84+AH84+AG84+AF84</f>
        <v>547.78099999999995</v>
      </c>
      <c r="AJ91" s="866">
        <f>AI91</f>
        <v>547.78099999999995</v>
      </c>
      <c r="AK91" s="268">
        <f>AK84+AI84+AH84+AG84</f>
        <v>575.8889999999999</v>
      </c>
      <c r="AL91" s="268">
        <f>AL84+AK84+AI84+AH84</f>
        <v>608.846</v>
      </c>
      <c r="AM91" s="268">
        <f>AM84+AL84+AK84+AI84</f>
        <v>696.01099999999997</v>
      </c>
      <c r="AN91" s="268">
        <f>AN84+AM84+AL84+AK84</f>
        <v>925.09400000000005</v>
      </c>
      <c r="AO91" s="866">
        <f>AN91</f>
        <v>925.09400000000005</v>
      </c>
      <c r="AP91" s="268">
        <f>AP84+AN84+AM84+AL84</f>
        <v>1086.4750000000001</v>
      </c>
      <c r="AQ91" s="268">
        <f>AQ84+AP84+AN84+AM84</f>
        <v>1228.8589999999999</v>
      </c>
      <c r="AR91" s="268">
        <f>AR84+AQ84+AP84+AN84</f>
        <v>1275.4679999999998</v>
      </c>
      <c r="AS91" s="268">
        <f>AS84+AR84+AQ84+AP84</f>
        <v>1230.692</v>
      </c>
      <c r="AT91" s="866">
        <f>AS91</f>
        <v>1230.692</v>
      </c>
      <c r="AU91" s="268">
        <f>AU84+AS84+AR84+AQ84</f>
        <v>1269.0630000000001</v>
      </c>
      <c r="AV91" s="268">
        <f>AV84+AU84+AS84+AR84</f>
        <v>1340.48</v>
      </c>
      <c r="AW91" s="268">
        <f>AW84+AV84+AU84+AS84</f>
        <v>1392.624</v>
      </c>
      <c r="AX91" s="268">
        <f>AX84+AW84+AV84+AU84</f>
        <v>1457.99</v>
      </c>
      <c r="AY91" s="866">
        <f>AX91</f>
        <v>1457.99</v>
      </c>
      <c r="AZ91" s="268">
        <f>AZ84+AX84+AW84+AV84</f>
        <v>1500.6130000000001</v>
      </c>
      <c r="BA91" s="268">
        <f>BA84+AZ84+AX84+AW84</f>
        <v>1519.6010000000001</v>
      </c>
      <c r="BB91" s="268">
        <f>BB84+BA84+AZ84+AX84</f>
        <v>1544.3210000000001</v>
      </c>
      <c r="BC91" s="268">
        <f>BC84+BB84+BA84+AZ84</f>
        <v>1588.5160000000001</v>
      </c>
      <c r="BD91" s="866">
        <f>BC91</f>
        <v>1588.5160000000001</v>
      </c>
      <c r="BE91" s="268">
        <f>BE84+BC84+BB84+BA84</f>
        <v>1618.3130000000001</v>
      </c>
      <c r="BF91" s="268">
        <f>BF84+BE84+BC84+BB84</f>
        <v>1669.865</v>
      </c>
      <c r="BG91" s="268">
        <f>BG84+BF84+BE84+BC84</f>
        <v>1717.0839999999998</v>
      </c>
      <c r="BH91" s="268">
        <f>BH84+BG84+BF84+BE84</f>
        <v>1727.8580000000002</v>
      </c>
      <c r="BI91" s="866">
        <f>BH91</f>
        <v>1727.8580000000002</v>
      </c>
      <c r="BJ91" s="268">
        <f>BJ84+BH84+BG84+BF84</f>
        <v>1806.443</v>
      </c>
      <c r="BK91" s="268">
        <f>BK84+BJ84+BH84+BG84</f>
        <v>1876.8950000000002</v>
      </c>
      <c r="BL91" s="268">
        <f>BL84+BK84+BJ84+BH84</f>
        <v>1911.2300000000002</v>
      </c>
      <c r="BM91" s="268">
        <f>BM84+BL84+BK84+BJ84</f>
        <v>1959.194</v>
      </c>
      <c r="BN91" s="866">
        <f>BM91</f>
        <v>1959.194</v>
      </c>
      <c r="BO91" s="268">
        <f>BO84+BM84+BL84+BK84</f>
        <v>1960.8520000000001</v>
      </c>
      <c r="BP91" s="268">
        <f>BP84+BO84+BM84+BL84</f>
        <v>1989.0929999999998</v>
      </c>
      <c r="BQ91" s="268">
        <f>BQ84+BP84+BO84+BM84</f>
        <v>2053.0640000000003</v>
      </c>
      <c r="BR91" s="268">
        <f>BR84+BQ84+BP84+BO84</f>
        <v>2080.3810000000003</v>
      </c>
      <c r="BS91" s="866">
        <f>BR91</f>
        <v>2080.3810000000003</v>
      </c>
      <c r="BT91" s="268">
        <f>BT84+BR84+BQ84+BP84</f>
        <v>2297.2670000000003</v>
      </c>
      <c r="BU91" s="268">
        <f>BU84+BT84+BR84+BQ84</f>
        <v>2517.5720000000001</v>
      </c>
      <c r="BV91" s="268">
        <f>BV84+BU84+BT84+BR84</f>
        <v>2736.9700000000003</v>
      </c>
      <c r="BW91" s="268">
        <f>BW84+BV84+BU84+BT84</f>
        <v>2948</v>
      </c>
      <c r="BX91" s="866">
        <f>BW91</f>
        <v>2948</v>
      </c>
      <c r="BY91" s="268">
        <f>BY84+BW84+BV84+BU84</f>
        <v>2978</v>
      </c>
      <c r="BZ91" s="268">
        <f>BZ84+BY84+BW84+BV84</f>
        <v>2958</v>
      </c>
      <c r="CA91" s="268">
        <f>CA84+BZ84+BX84+BW84</f>
        <v>5137</v>
      </c>
      <c r="CB91" s="268">
        <f>CB84+CA84+BZ84+BY84</f>
        <v>3127</v>
      </c>
      <c r="CC91" s="866">
        <f>CB91</f>
        <v>3127</v>
      </c>
      <c r="CD91" s="268">
        <f>CD84+CB84+CA84+BZ84</f>
        <v>3147</v>
      </c>
      <c r="CE91" s="268">
        <f t="shared" ref="CE91:CG91" si="338">CE84+CC84+CB84+CA84</f>
        <v>5487</v>
      </c>
      <c r="CF91" s="268">
        <f t="shared" si="338"/>
        <v>5512</v>
      </c>
      <c r="CG91" s="268">
        <f t="shared" si="338"/>
        <v>5260</v>
      </c>
      <c r="CH91" s="866">
        <f>CG91</f>
        <v>5260</v>
      </c>
      <c r="CI91" s="268">
        <f>CI84+CG84+CF84+CE84</f>
        <v>2764</v>
      </c>
      <c r="CJ91" s="268">
        <f>CJ84+CI84+CG84+CF84</f>
        <v>2743</v>
      </c>
      <c r="CK91" s="268">
        <f>CK84+CJ84+CI84+CG84</f>
        <v>2706</v>
      </c>
      <c r="CL91" s="268">
        <f>CL84+CK84+CJ84+CH84</f>
        <v>5200</v>
      </c>
      <c r="CM91" s="866">
        <f>CL91</f>
        <v>5200</v>
      </c>
      <c r="CN91" s="268">
        <f ca="1">CN84+CL84+CK84+CJ84</f>
        <v>2975.9124985673407</v>
      </c>
      <c r="CO91" s="268">
        <f ca="1">CO84+CN84+CL84+CK84</f>
        <v>2871.613994913389</v>
      </c>
      <c r="CP91" s="268">
        <f ca="1">CP84+CO84+CN84+CL84</f>
        <v>2726.6307901305458</v>
      </c>
      <c r="CQ91" s="268">
        <f ca="1">CQ84+CP84+CO84+CN84</f>
        <v>2307.874849852511</v>
      </c>
      <c r="CR91" s="866">
        <f ca="1">CQ91</f>
        <v>2307.874849852511</v>
      </c>
      <c r="CS91" s="268">
        <f ca="1">CS84+CQ84+CP84+CO84</f>
        <v>2281.5571561367933</v>
      </c>
      <c r="CT91" s="268">
        <f ca="1">CT84+CS84+CQ84+CP84</f>
        <v>2270.2777827706718</v>
      </c>
      <c r="CU91" s="268">
        <f ca="1">CU84+CT84+CS84+CQ84</f>
        <v>2286.3569287213049</v>
      </c>
      <c r="CV91" s="268">
        <f ca="1">CV84+CU84+CT84+CS84</f>
        <v>2295.6438890274803</v>
      </c>
      <c r="CW91" s="866">
        <f ca="1">CV91</f>
        <v>2295.6438890274803</v>
      </c>
      <c r="CX91" s="268">
        <f ca="1">CX84+CV84+CU84+CT84</f>
        <v>2298.98699031972</v>
      </c>
      <c r="CY91" s="268">
        <f ca="1">CY84+CX84+CV84+CU84</f>
        <v>2302.5225120227783</v>
      </c>
      <c r="CZ91" s="268">
        <f ca="1">CZ84+CY84+CX84+CV84</f>
        <v>2301.4353472141506</v>
      </c>
      <c r="DA91" s="268">
        <f ca="1">DA84+CZ84+CY84+CX84</f>
        <v>2304.6476354490578</v>
      </c>
      <c r="DB91" s="866">
        <f ca="1">DA91</f>
        <v>2304.6476354490578</v>
      </c>
      <c r="DC91" s="9"/>
    </row>
    <row r="92" spans="1:107">
      <c r="A92" s="1"/>
      <c r="B92" s="9" t="s">
        <v>463</v>
      </c>
      <c r="C92" s="5"/>
      <c r="D92" s="876"/>
      <c r="E92" s="200"/>
      <c r="F92" s="866"/>
      <c r="G92" s="268"/>
      <c r="H92" s="268"/>
      <c r="I92" s="268"/>
      <c r="J92" s="268"/>
      <c r="K92" s="866"/>
      <c r="L92" s="268"/>
      <c r="M92" s="268"/>
      <c r="N92" s="268"/>
      <c r="O92" s="268"/>
      <c r="P92" s="866"/>
      <c r="Q92" s="268"/>
      <c r="R92" s="268"/>
      <c r="S92" s="268"/>
      <c r="T92" s="268"/>
      <c r="U92" s="866"/>
      <c r="V92" s="268"/>
      <c r="W92" s="268">
        <f>W87+V87+T87+S87</f>
        <v>-194.64000000000004</v>
      </c>
      <c r="X92" s="268">
        <f>X87+W87+V87+T87</f>
        <v>-149.26550000000003</v>
      </c>
      <c r="Y92" s="268">
        <f>Y87+X87+W87+V87</f>
        <v>-161.55900000000003</v>
      </c>
      <c r="Z92" s="866">
        <f>Y92</f>
        <v>-161.55900000000003</v>
      </c>
      <c r="AA92" s="268">
        <f>AA87+Y87+X87+W87</f>
        <v>-259.95925</v>
      </c>
      <c r="AB92" s="268">
        <f>AB87+AA87+Y87+X87</f>
        <v>-265.97449999999998</v>
      </c>
      <c r="AC92" s="268">
        <f>AC87+AB87+AA87+Y87</f>
        <v>-318.00774999999999</v>
      </c>
      <c r="AD92" s="268">
        <f>AD87+AC87+AB87+AA87</f>
        <v>-318.60900000000004</v>
      </c>
      <c r="AE92" s="866">
        <f>AD92</f>
        <v>-318.60900000000004</v>
      </c>
      <c r="AF92" s="268">
        <f>AF87+AD87+AC87+AB87</f>
        <v>-339.83675000000005</v>
      </c>
      <c r="AG92" s="268">
        <f>AG87+AF87+AD87+AC87</f>
        <v>-350.17450000000002</v>
      </c>
      <c r="AH92" s="268">
        <f>AH87+AG87+AF87+AD87</f>
        <v>-363.64625000000001</v>
      </c>
      <c r="AI92" s="268">
        <f>AI87+AH87+AG87+AF87</f>
        <v>-383.99900000000002</v>
      </c>
      <c r="AJ92" s="866">
        <f>AI92</f>
        <v>-383.99900000000002</v>
      </c>
      <c r="AK92" s="268">
        <f>AK87+AI87+AH87+AG87</f>
        <v>-290.66200000000003</v>
      </c>
      <c r="AL92" s="268">
        <f>AL87+AK87+AI87+AH87</f>
        <v>-234.95000000000002</v>
      </c>
      <c r="AM92" s="268">
        <f>AM87+AL87+AK87+AI87</f>
        <v>168.31100000000001</v>
      </c>
      <c r="AN92" s="268">
        <f>AN87+AM87+AL87+AK87</f>
        <v>51.014000000000038</v>
      </c>
      <c r="AO92" s="866">
        <f>AN92</f>
        <v>51.014000000000038</v>
      </c>
      <c r="AP92" s="268">
        <f>AP87+AN87+AM87+AL87</f>
        <v>-234.28325000000001</v>
      </c>
      <c r="AQ92" s="268">
        <f>AQ87+AP87+AN87+AM87</f>
        <v>-470.11850000000021</v>
      </c>
      <c r="AR92" s="268">
        <f>AR87+AQ87+AP87+AN87</f>
        <v>-1071.7297500000002</v>
      </c>
      <c r="AS92" s="268">
        <f>AS87+AR87+AQ87+AP87</f>
        <v>-1173.6600000000001</v>
      </c>
      <c r="AT92" s="866">
        <f>AS92</f>
        <v>-1173.6600000000001</v>
      </c>
      <c r="AU92" s="268">
        <f>AU87+AS87+AR87+AQ87</f>
        <v>-1120.259</v>
      </c>
      <c r="AV92" s="268">
        <f>AV87+AU87+AS87+AR87</f>
        <v>-1124.7689999999998</v>
      </c>
      <c r="AW92" s="268">
        <f>AW87+AV87+AU87+AS87</f>
        <v>-1137.7049999999999</v>
      </c>
      <c r="AX92" s="268">
        <f>AX87+AW87+AV87+AU87</f>
        <v>-1143.702</v>
      </c>
      <c r="AY92" s="866">
        <f>AX92</f>
        <v>-1143.702</v>
      </c>
      <c r="AZ92" s="268">
        <f>AZ87+AX87+AW87+AV87</f>
        <v>-1248.2180000000001</v>
      </c>
      <c r="BA92" s="268">
        <f>BA87+AZ87+AX87+AW87</f>
        <v>-1301.0920000000001</v>
      </c>
      <c r="BB92" s="268">
        <f>BB87+BA87+AZ87+AX87</f>
        <v>-1357.4620000000002</v>
      </c>
      <c r="BC92" s="268">
        <f>BC87+BB87+BA87+AZ87</f>
        <v>-1366.5060000000001</v>
      </c>
      <c r="BD92" s="866">
        <f>BC92</f>
        <v>-1366.5060000000001</v>
      </c>
      <c r="BE92" s="268">
        <f>BE87+BC87+BB87+BA87</f>
        <v>-1372.8455000000001</v>
      </c>
      <c r="BF92" s="268">
        <f>BF87+BE87+BC87+BB87</f>
        <v>-1384.145</v>
      </c>
      <c r="BG92" s="268">
        <f>BG87+BF87+BE87+BC87</f>
        <v>-1452.9454999999998</v>
      </c>
      <c r="BH92" s="268">
        <f>BH87+BG87+BF87+BE87</f>
        <v>-1504.6760000000002</v>
      </c>
      <c r="BI92" s="866">
        <f>BH92</f>
        <v>-1504.6760000000002</v>
      </c>
      <c r="BJ92" s="268">
        <f>BJ87+BH87+BG87+BF87</f>
        <v>-1532.0034999999998</v>
      </c>
      <c r="BK92" s="268">
        <f>BK87+BJ87+BH87+BG87</f>
        <v>-1579.7250000000001</v>
      </c>
      <c r="BL92" s="268">
        <f>BL87+BK87+BJ87+BH87</f>
        <v>-1559.3834999999997</v>
      </c>
      <c r="BM92" s="268">
        <f>BM87+BL87+BK87+BJ87</f>
        <v>-1648.6530000000002</v>
      </c>
      <c r="BN92" s="866">
        <f>BM92</f>
        <v>-1648.6530000000002</v>
      </c>
      <c r="BO92" s="268">
        <f>BO87+BM87+BL87+BK87</f>
        <v>-1698.7130000000002</v>
      </c>
      <c r="BP92" s="268">
        <f>BP87+BO87+BM87+BL87</f>
        <v>-1789.3309999999997</v>
      </c>
      <c r="BQ92" s="268">
        <f>BQ87+BP87+BO87+BM87</f>
        <v>-1861.5850000000003</v>
      </c>
      <c r="BR92" s="268">
        <f>BR87+BQ87+BP87+BO87</f>
        <v>-1833.8240000000003</v>
      </c>
      <c r="BS92" s="866">
        <f>BR92</f>
        <v>-1833.8240000000003</v>
      </c>
      <c r="BT92" s="268">
        <f>BT87+BR87+BQ87+BP87</f>
        <v>-1118.4959999999999</v>
      </c>
      <c r="BU92" s="268">
        <f>BU87+BT87+BR87+BQ87</f>
        <v>-1327.3850000000002</v>
      </c>
      <c r="BV92" s="268">
        <f>BV87+BU87+BT87+BR87</f>
        <v>-1610.537</v>
      </c>
      <c r="BW92" s="268">
        <f>BW87+BV87+BU87+BT87</f>
        <v>-1892.4319999999998</v>
      </c>
      <c r="BX92" s="866">
        <f>BW92</f>
        <v>-1892.4319999999998</v>
      </c>
      <c r="BY92" s="268">
        <f>BY87+BW87+BV87+BU87</f>
        <v>-2787</v>
      </c>
      <c r="BZ92" s="268">
        <f>BZ87+BY87+BW87+BV87</f>
        <v>-2680</v>
      </c>
      <c r="CA92" s="268">
        <f>CA87+BZ87+BX87+BW87</f>
        <v>-3897.4319999999998</v>
      </c>
      <c r="CB92" s="268">
        <f>CB87+CA87+BZ87+BY87</f>
        <v>-2520</v>
      </c>
      <c r="CC92" s="866">
        <f>CB92</f>
        <v>-2520</v>
      </c>
      <c r="CD92" s="268">
        <f>CD87+CB87+CA87+BZ87</f>
        <v>-2724</v>
      </c>
      <c r="CE92" s="268">
        <f t="shared" ref="CE92:CG92" si="339">CE87+CC87+CB87+CA87</f>
        <v>-4861</v>
      </c>
      <c r="CF92" s="268">
        <f t="shared" si="339"/>
        <v>-4657</v>
      </c>
      <c r="CG92" s="268">
        <f t="shared" si="339"/>
        <v>-5013</v>
      </c>
      <c r="CH92" s="866">
        <f>CG92</f>
        <v>-5013</v>
      </c>
      <c r="CI92" s="268">
        <f>CI87+CG87+CF87+CE87</f>
        <v>687</v>
      </c>
      <c r="CJ92" s="268">
        <f>CJ87+CI87+CG87+CF87</f>
        <v>918</v>
      </c>
      <c r="CK92" s="268">
        <f>CK87+CJ87+CI87+CG87</f>
        <v>851</v>
      </c>
      <c r="CL92" s="268">
        <f>CL87+CK87+CJ87+CH87</f>
        <v>-9170</v>
      </c>
      <c r="CM92" s="866">
        <f>CL92</f>
        <v>-9170</v>
      </c>
      <c r="CN92" s="268">
        <f ca="1">CN87+CL87+CK87+CJ87</f>
        <v>-2834.9124985673407</v>
      </c>
      <c r="CO92" s="268">
        <f ca="1">CO87+CN87+CL87+CK87</f>
        <v>-2621.613994913389</v>
      </c>
      <c r="CP92" s="268">
        <f ca="1">CP87+CO87+CN87+CL87</f>
        <v>-2394.6307901305458</v>
      </c>
      <c r="CQ92" s="268">
        <f ca="1">CQ87+CP87+CO87+CN87</f>
        <v>-2307.874849852511</v>
      </c>
      <c r="CR92" s="866">
        <f ca="1">CQ92</f>
        <v>-2307.874849852511</v>
      </c>
      <c r="CS92" s="268">
        <f ca="1">CS87+CQ87+CP87+CO87</f>
        <v>-2281.5571561367933</v>
      </c>
      <c r="CT92" s="268">
        <f ca="1">CT87+CS87+CQ87+CP87</f>
        <v>-2270.2777827706718</v>
      </c>
      <c r="CU92" s="268">
        <f ca="1">CU87+CT87+CS87+CQ87</f>
        <v>-2286.3569287213049</v>
      </c>
      <c r="CV92" s="268">
        <f ca="1">CV87+CU87+CT87+CS87</f>
        <v>-2295.6438890274803</v>
      </c>
      <c r="CW92" s="866">
        <f ca="1">CV92</f>
        <v>-2295.6438890274803</v>
      </c>
      <c r="CX92" s="268">
        <f ca="1">CX87+CV87+CU87+CT87</f>
        <v>-2298.98699031972</v>
      </c>
      <c r="CY92" s="268">
        <f ca="1">CY87+CX87+CV87+CU87</f>
        <v>-2302.5225120227783</v>
      </c>
      <c r="CZ92" s="268">
        <f ca="1">CZ87+CY87+CX87+CV87</f>
        <v>-2301.4353472141506</v>
      </c>
      <c r="DA92" s="268">
        <f ca="1">DA87+CZ87+CY87+CX87</f>
        <v>-2304.6476354490578</v>
      </c>
      <c r="DB92" s="866">
        <f ca="1">DA92</f>
        <v>-2304.6476354490578</v>
      </c>
      <c r="DC92" s="9"/>
    </row>
    <row r="93" spans="1:107" ht="3.75" customHeight="1">
      <c r="A93" s="1"/>
      <c r="B93" s="9"/>
      <c r="C93" s="5"/>
      <c r="D93" s="876"/>
      <c r="E93" s="200"/>
      <c r="F93" s="200"/>
      <c r="G93" s="9"/>
      <c r="H93" s="9"/>
      <c r="I93" s="9"/>
      <c r="J93" s="9"/>
      <c r="K93" s="200"/>
      <c r="L93" s="9"/>
      <c r="M93" s="9"/>
      <c r="N93" s="9"/>
      <c r="O93" s="9"/>
      <c r="P93" s="200"/>
      <c r="Q93" s="9"/>
      <c r="R93" s="9"/>
      <c r="S93" s="9"/>
      <c r="T93" s="9"/>
      <c r="U93" s="200"/>
      <c r="V93" s="9"/>
      <c r="W93" s="9"/>
      <c r="X93" s="9"/>
      <c r="Y93" s="9"/>
      <c r="Z93" s="200"/>
      <c r="AA93" s="9"/>
      <c r="AB93" s="9"/>
      <c r="AC93" s="9"/>
      <c r="AD93" s="9"/>
      <c r="AE93" s="200"/>
      <c r="AF93" s="9"/>
      <c r="AG93" s="9"/>
      <c r="AH93" s="9"/>
      <c r="AI93" s="9"/>
      <c r="AJ93" s="200"/>
      <c r="AK93" s="9"/>
      <c r="AL93" s="9"/>
      <c r="AM93" s="9"/>
      <c r="AN93" s="9"/>
      <c r="AO93" s="200"/>
      <c r="AP93" s="9"/>
      <c r="AQ93" s="9"/>
      <c r="AR93" s="9"/>
      <c r="AS93" s="9"/>
      <c r="AT93" s="200"/>
      <c r="AU93" s="9"/>
      <c r="AV93" s="9"/>
      <c r="AW93" s="9"/>
      <c r="AX93" s="9"/>
      <c r="AY93" s="200"/>
      <c r="AZ93" s="9"/>
      <c r="BA93" s="9"/>
      <c r="BB93" s="9"/>
      <c r="BC93" s="9"/>
      <c r="BD93" s="200"/>
      <c r="BE93" s="9"/>
      <c r="BF93" s="9"/>
      <c r="BG93" s="9"/>
      <c r="BH93" s="9"/>
      <c r="BI93" s="200"/>
      <c r="BJ93" s="9"/>
      <c r="BK93" s="9"/>
      <c r="BL93" s="9"/>
      <c r="BM93" s="9"/>
      <c r="BN93" s="200"/>
      <c r="BO93" s="9"/>
      <c r="BP93" s="9"/>
      <c r="BQ93" s="9"/>
      <c r="BR93" s="9"/>
      <c r="BS93" s="200"/>
      <c r="BT93" s="9"/>
      <c r="BU93" s="9"/>
      <c r="BV93" s="9"/>
      <c r="BW93" s="9"/>
      <c r="BX93" s="200"/>
      <c r="BY93" s="9"/>
      <c r="BZ93" s="9"/>
      <c r="CA93" s="9"/>
      <c r="CB93" s="9"/>
      <c r="CC93" s="200"/>
      <c r="CD93" s="9"/>
      <c r="CE93" s="9"/>
      <c r="CF93" s="9"/>
      <c r="CG93" s="9"/>
      <c r="CH93" s="200"/>
      <c r="CI93" s="9"/>
      <c r="CJ93" s="9"/>
      <c r="CK93" s="9"/>
      <c r="CL93" s="9"/>
      <c r="CM93" s="200"/>
      <c r="CN93" s="9"/>
      <c r="CO93" s="9"/>
      <c r="CP93" s="9"/>
      <c r="CQ93" s="9"/>
      <c r="CR93" s="200"/>
      <c r="CS93" s="9"/>
      <c r="CT93" s="9"/>
      <c r="CU93" s="9"/>
      <c r="CV93" s="9"/>
      <c r="CW93" s="200"/>
      <c r="CX93" s="9"/>
      <c r="CY93" s="9"/>
      <c r="CZ93" s="9"/>
      <c r="DA93" s="9"/>
      <c r="DB93" s="200"/>
      <c r="DC93" s="9"/>
    </row>
    <row r="94" spans="1:107">
      <c r="A94" s="1"/>
      <c r="B94" s="9" t="s">
        <v>464</v>
      </c>
      <c r="C94" s="5"/>
      <c r="D94" s="876"/>
      <c r="E94" s="200"/>
      <c r="F94" s="866">
        <f>(E11+IS!F8)-F11-IS!F9</f>
        <v>1131.7219999999998</v>
      </c>
      <c r="G94" s="268"/>
      <c r="H94" s="268"/>
      <c r="I94" s="268"/>
      <c r="J94" s="268"/>
      <c r="K94" s="866">
        <f>(F11+IS!K8)-K11-IS!K9</f>
        <v>1477.1729999999998</v>
      </c>
      <c r="L94" s="268"/>
      <c r="M94" s="268"/>
      <c r="N94" s="268"/>
      <c r="O94" s="268"/>
      <c r="P94" s="866">
        <f>(K11+IS!P8)-P11-IS!P9</f>
        <v>1968.693</v>
      </c>
      <c r="Q94" s="268"/>
      <c r="R94" s="268"/>
      <c r="S94" s="268"/>
      <c r="T94" s="268"/>
      <c r="U94" s="866">
        <f>(P11+IS!U8)-U11-IS!U9</f>
        <v>2399.451</v>
      </c>
      <c r="V94" s="268"/>
      <c r="W94" s="268"/>
      <c r="X94" s="268"/>
      <c r="Y94" s="268"/>
      <c r="Z94" s="866">
        <f>(U11+IS!Z8)-Z11-IS!Z9</f>
        <v>2967.3790000000004</v>
      </c>
      <c r="AA94" s="268">
        <f>(Z11+IS!AA8)-AA11-IS!AA9</f>
        <v>810.83399999999983</v>
      </c>
      <c r="AB94" s="268">
        <f>(AA11+IS!AB8)-AB11-IS!AB9</f>
        <v>819.03300000000002</v>
      </c>
      <c r="AC94" s="268">
        <f>(AB11+IS!AC8)-AC11-IS!AC9</f>
        <v>821.07100000000003</v>
      </c>
      <c r="AD94" s="268">
        <f>(AC11+IS!AD8)-AD11-IS!AD9</f>
        <v>855.92000000000007</v>
      </c>
      <c r="AE94" s="866">
        <f>(Z11+IS!AE8)-AE11-IS!AE9</f>
        <v>3306.8580000000002</v>
      </c>
      <c r="AF94" s="268">
        <f>(AE11+IS!AF8)-AF11-IS!AF9</f>
        <v>875.93299999999988</v>
      </c>
      <c r="AG94" s="268">
        <f>(AF11+IS!AG8)-AG11-IS!AG9</f>
        <v>916.72900000000004</v>
      </c>
      <c r="AH94" s="268">
        <f>(AG11+IS!AH8)-AH11-IS!AH9</f>
        <v>913.19399999999985</v>
      </c>
      <c r="AI94" s="268">
        <f>(AH11+IS!AI8)-AI11-IS!AI9</f>
        <v>993.98399999999992</v>
      </c>
      <c r="AJ94" s="866">
        <f>(AE11+IS!AJ8)-AJ11-IS!AJ9</f>
        <v>3699.8399999999992</v>
      </c>
      <c r="AK94" s="268">
        <f>(AJ11+IS!AK8)-AK11-IS!AK9</f>
        <v>1024.7850000000003</v>
      </c>
      <c r="AL94" s="268">
        <f>(AK11+IS!AL8)-AL11-IS!AL9</f>
        <v>1041.4409999999998</v>
      </c>
      <c r="AM94" s="268">
        <f>(AL11+IS!AM8)-AM11-IS!AM9</f>
        <v>1119.4010000000001</v>
      </c>
      <c r="AN94" s="268">
        <f>(AM11+IS!AN8)-AN11-IS!AN9</f>
        <v>2463.0190000000002</v>
      </c>
      <c r="AO94" s="866">
        <f>(AJ11+IS!AO8)-AO11-IS!AO9</f>
        <v>5648.6460000000006</v>
      </c>
      <c r="AP94" s="268">
        <f>(AO11+IS!AP8)-AP11-IS!AP9</f>
        <v>2338.614</v>
      </c>
      <c r="AQ94" s="268">
        <f>(AP11+IS!AQ8)-AQ11-IS!AQ9</f>
        <v>2421.5109999999995</v>
      </c>
      <c r="AR94" s="268">
        <f>(AQ11+IS!AR8)-AR11-IS!AR9</f>
        <v>2407.529</v>
      </c>
      <c r="AS94" s="268">
        <f>(AR11+IS!AS8)-AS11-IS!AS9</f>
        <v>2474.0450000000005</v>
      </c>
      <c r="AT94" s="866">
        <f>(AO11+IS!AT8)-AT11-IS!AT9</f>
        <v>9641.6990000000005</v>
      </c>
      <c r="AU94" s="268">
        <f>(AT11+IS!AU8)-AU11-IS!AU9</f>
        <v>2526.9790000000003</v>
      </c>
      <c r="AV94" s="268">
        <f>(AU11+IS!AV8)-AV11-IS!AV9</f>
        <v>2640.4950000000003</v>
      </c>
      <c r="AW94" s="268">
        <f>(AV11+IS!AW8)-AW11-IS!AW9</f>
        <v>2689.9780000000001</v>
      </c>
      <c r="AX94" s="268">
        <f>(AW11+IS!AX8)-AX11-IS!AX9</f>
        <v>2767.8679999999995</v>
      </c>
      <c r="AY94" s="866">
        <f>(AT11+IS!AY8)-AY11-IS!AY9</f>
        <v>10625.320000000002</v>
      </c>
      <c r="AZ94" s="268">
        <f>(AY11+IS!AZ8)-AZ11-IS!AZ9</f>
        <v>2688.444</v>
      </c>
      <c r="BA94" s="268">
        <f>(AZ11+IS!BA8)-BA11-IS!BA9</f>
        <v>2819.8819999999996</v>
      </c>
      <c r="BB94" s="268">
        <f>(BA11+IS!BB8)-BB11-IS!BB9</f>
        <v>2879.3709999999992</v>
      </c>
      <c r="BC94" s="268">
        <f>(BB11+IS!BC8)-BC11-IS!BC9</f>
        <v>2913.6479999999997</v>
      </c>
      <c r="BD94" s="866">
        <f>(AY11+IS!BD8)-BD11-IS!BD9</f>
        <v>11301.345000000001</v>
      </c>
      <c r="BE94" s="268">
        <f>(BD11+IS!BE8)-BE11-IS!BE9</f>
        <v>2945.8909999999996</v>
      </c>
      <c r="BF94" s="268">
        <f>(BE11+IS!BF8)-BF11-IS!BF9</f>
        <v>2974.5450000000001</v>
      </c>
      <c r="BG94" s="268">
        <f>(BF11+IS!BG8)-BG11-IS!BG9</f>
        <v>3004.9830000000006</v>
      </c>
      <c r="BH94" s="268">
        <f>(BG11+IS!BH8)-BH11-IS!BH9</f>
        <v>2944.7830000000004</v>
      </c>
      <c r="BI94" s="866">
        <f>(BD11+IS!BI8)-BI11-IS!BI9</f>
        <v>11870.202000000001</v>
      </c>
      <c r="BJ94" s="268">
        <f>(BI11+IS!BJ8)-BJ11-IS!BJ9</f>
        <v>3111.6649999999991</v>
      </c>
      <c r="BK94" s="268">
        <f>(BJ11+IS!BK8)-BK11-IS!BK9</f>
        <v>3207.2190000000001</v>
      </c>
      <c r="BL94" s="268">
        <f>(BK11+IS!BL8)-BL11-IS!BL9</f>
        <v>3176.1049999999996</v>
      </c>
      <c r="BM94" s="268">
        <f>(BL11+IS!BM8)-BM11-IS!BM9</f>
        <v>3300.7840000000006</v>
      </c>
      <c r="BN94" s="866">
        <f>(BI11+IS!BN8)-BN11-IS!BN9</f>
        <v>12795.773000000001</v>
      </c>
      <c r="BO94" s="268">
        <f>(BN11+IS!BO8)-BO11-IS!BO9</f>
        <v>3163.9310000000005</v>
      </c>
      <c r="BP94" s="268">
        <f>(BO11+IS!BP8)-BP11-IS!BP9</f>
        <v>3278.5249999999996</v>
      </c>
      <c r="BQ94" s="268">
        <f>(BP11+IS!BQ8)-BQ11-IS!BQ9</f>
        <v>3092.6759999999999</v>
      </c>
      <c r="BR94" s="268">
        <f>(BQ11+IS!BR8)-BR11-IS!BR9</f>
        <v>3176.6319999999996</v>
      </c>
      <c r="BS94" s="866">
        <f>(BN11+IS!BS8)-BS11-IS!BS9</f>
        <v>12711.763999999999</v>
      </c>
      <c r="BT94" s="268">
        <f>(BS11+IS!BT8)-BT11-IS!BT9</f>
        <v>3419.308</v>
      </c>
      <c r="BU94" s="268">
        <f>(BT11+IS!BU8)-BU11-IS!BU9</f>
        <v>4787</v>
      </c>
      <c r="BV94" s="268">
        <f>(BU11+IS!BV8)-BV11-IS!BV9</f>
        <v>4650</v>
      </c>
      <c r="BW94" s="268">
        <f>(BV11+IS!BW8)-BW11-IS!BW9</f>
        <v>4775</v>
      </c>
      <c r="BX94" s="866">
        <f>(BS11+IS!BX8)-BX11-IS!BX9</f>
        <v>17631.308000000001</v>
      </c>
      <c r="BY94" s="268">
        <f>(BX11+IS!BY8)-BY11-IS!BY9</f>
        <v>4714</v>
      </c>
      <c r="BZ94" s="268">
        <f>(BY11+IS!BZ8)-BZ11-IS!BZ9</f>
        <v>4997</v>
      </c>
      <c r="CA94" s="268">
        <f>(BZ11+IS!CA8)-CA11-IS!CA9</f>
        <v>4651</v>
      </c>
      <c r="CB94" s="268">
        <f>(CA11+IS!CB8)-CB11-IS!CB9</f>
        <v>4873</v>
      </c>
      <c r="CC94" s="866">
        <f>(BX11+IS!CC8)-CC11-IS!CC9</f>
        <v>19235</v>
      </c>
      <c r="CD94" s="268">
        <f>(CC11+IS!CD8)-CD11-IS!CD9</f>
        <v>4887</v>
      </c>
      <c r="CE94" s="268">
        <f>(CD11+IS!CE8)-CE11-IS!CE9</f>
        <v>5134</v>
      </c>
      <c r="CF94" s="268">
        <f>(CE11+IS!CF8)-CF11-IS!CF9</f>
        <v>4380</v>
      </c>
      <c r="CG94" s="268">
        <f>(CF11+IS!CG8)-CG11-IS!CG9</f>
        <v>4472</v>
      </c>
      <c r="CH94" s="866">
        <f>(CC11+IS!CH8)-CH11-IS!CH9</f>
        <v>18873</v>
      </c>
      <c r="CI94" s="268">
        <f>(CH11+IS!CI8)-CI11-IS!CI9</f>
        <v>4498</v>
      </c>
      <c r="CJ94" s="268">
        <f>(CI11+IS!CJ8)-CJ11-IS!CJ9</f>
        <v>4369</v>
      </c>
      <c r="CK94" s="268">
        <f>(CJ11+IS!CK8)-CK11-IS!CK9</f>
        <v>3717</v>
      </c>
      <c r="CL94" s="268">
        <f>(CK11+IS!CL8)-CL11-IS!CL9</f>
        <v>3563</v>
      </c>
      <c r="CM94" s="866">
        <f>(CH11+IS!CM8)-CM11-IS!CM9</f>
        <v>16147</v>
      </c>
      <c r="CN94" s="268">
        <f ca="1">(CM11+IS!CN8)-CN11-IS!CN9</f>
        <v>3527.0118101428106</v>
      </c>
      <c r="CO94" s="268">
        <f ca="1">(CN11+IS!CO8)-CO11-IS!CO9</f>
        <v>3607.1056006275371</v>
      </c>
      <c r="CP94" s="268">
        <f ca="1">(CO11+IS!CP8)-CP11-IS!CP9</f>
        <v>3151.4873171936092</v>
      </c>
      <c r="CQ94" s="268">
        <f ca="1">(CP11+IS!CQ8)-CQ11-IS!CQ9</f>
        <v>3234.232912578324</v>
      </c>
      <c r="CR94" s="866">
        <f ca="1">(CM11+IS!CR8)-CR11-IS!CR9</f>
        <v>13519.83764054228</v>
      </c>
      <c r="CS94" s="268">
        <f ca="1">(CR11+IS!CS8)-CS11-IS!CS9</f>
        <v>3494.4322664707042</v>
      </c>
      <c r="CT94" s="268">
        <f ca="1">(CS11+IS!CT8)-CT11-IS!CT9</f>
        <v>3581.2856318429594</v>
      </c>
      <c r="CU94" s="268">
        <f ca="1">(CT11+IS!CU8)-CU11-IS!CU9</f>
        <v>3261.4453078095867</v>
      </c>
      <c r="CV94" s="268">
        <f ca="1">(CU11+IS!CV8)-CV11-IS!CV9</f>
        <v>3404.3622238447192</v>
      </c>
      <c r="CW94" s="866">
        <f ca="1">(CR11+IS!CW8)-CW11-IS!CW9</f>
        <v>13741.525429967969</v>
      </c>
      <c r="CX94" s="268">
        <f ca="1">(CW11+IS!CX8)-CX11-IS!CX9</f>
        <v>3348.0921434481475</v>
      </c>
      <c r="CY94" s="268">
        <f ca="1">(CX11+IS!CY8)-CY11-IS!CY9</f>
        <v>3397.1253676554934</v>
      </c>
      <c r="CZ94" s="268">
        <f ca="1">(CY11+IS!CZ8)-CZ11-IS!CZ9</f>
        <v>3273.4497312254011</v>
      </c>
      <c r="DA94" s="268">
        <f ca="1">(CZ11+IS!DA8)-DA11-IS!DA9</f>
        <v>3270.8537285401171</v>
      </c>
      <c r="DB94" s="866">
        <f ca="1">(CW11+IS!DB8)-DB11-IS!DB9</f>
        <v>13289.520970869158</v>
      </c>
      <c r="DC94" s="9"/>
    </row>
    <row r="95" spans="1:107">
      <c r="A95" s="1"/>
      <c r="B95" s="802" t="s">
        <v>465</v>
      </c>
      <c r="C95" s="442"/>
      <c r="D95" s="415"/>
      <c r="E95" s="803"/>
      <c r="F95" s="804">
        <f>F94/(IS!F8-IS!F9)</f>
        <v>0.93130666771999282</v>
      </c>
      <c r="G95" s="805"/>
      <c r="H95" s="805"/>
      <c r="I95" s="805"/>
      <c r="J95" s="805"/>
      <c r="K95" s="804">
        <f>K94/(IS!K8-IS!K9)</f>
        <v>0.96082604450763909</v>
      </c>
      <c r="L95" s="805"/>
      <c r="M95" s="805"/>
      <c r="N95" s="805"/>
      <c r="O95" s="805"/>
      <c r="P95" s="804">
        <f>P94/(IS!P8-IS!P9)</f>
        <v>0.98479802989670773</v>
      </c>
      <c r="Q95" s="805"/>
      <c r="R95" s="805"/>
      <c r="S95" s="805"/>
      <c r="T95" s="805"/>
      <c r="U95" s="804">
        <f>U94/(IS!U8-IS!U9)</f>
        <v>0.93797950514951289</v>
      </c>
      <c r="V95" s="805"/>
      <c r="W95" s="805"/>
      <c r="X95" s="805"/>
      <c r="Y95" s="805"/>
      <c r="Z95" s="804">
        <f>Z94/(IS!Z8-IS!Z9)</f>
        <v>0.98730212810131146</v>
      </c>
      <c r="AA95" s="806">
        <f>AA94/(IS!AA8-IS!AA9)</f>
        <v>0.9886844999597616</v>
      </c>
      <c r="AB95" s="806">
        <f>AB94/(IS!AB8-IS!AB9)</f>
        <v>0.99020354572887659</v>
      </c>
      <c r="AC95" s="806">
        <f>AC94/(IS!AC8-IS!AC9)</f>
        <v>0.98180294132769896</v>
      </c>
      <c r="AD95" s="806">
        <f>AD94/(IS!AD8-IS!AD9)</f>
        <v>0.97033512567354474</v>
      </c>
      <c r="AE95" s="804">
        <f>AE94/(IS!AE8-IS!AE9)</f>
        <v>0.9825387609912688</v>
      </c>
      <c r="AF95" s="806">
        <f>AF94/(IS!AF8-IS!AF9)</f>
        <v>0.95316718373049858</v>
      </c>
      <c r="AG95" s="806">
        <f>AG94/(IS!AG8-IS!AG9)</f>
        <v>0.96972444068334473</v>
      </c>
      <c r="AH95" s="806">
        <f>AH94/(IS!AH8-IS!AH9)</f>
        <v>0.98082797375849029</v>
      </c>
      <c r="AI95" s="806">
        <f>AI94/(IS!AI8-IS!AI9)</f>
        <v>0.97217804641882566</v>
      </c>
      <c r="AJ95" s="804">
        <f>AJ94/(IS!AJ8-IS!AJ9)</f>
        <v>0.96910389373971084</v>
      </c>
      <c r="AK95" s="806">
        <f>AK94/(IS!AK8-IS!AK9)</f>
        <v>0.95926885569382359</v>
      </c>
      <c r="AL95" s="806">
        <f>AL94/(IS!AL8-IS!AL9)</f>
        <v>0.94636277144157888</v>
      </c>
      <c r="AM95" s="806">
        <f>AM94/(IS!AM8-IS!AM9)</f>
        <v>0.54012554023362314</v>
      </c>
      <c r="AN95" s="806">
        <f>AN94/(IS!AN8-IS!AN9)</f>
        <v>1.1364919537174951</v>
      </c>
      <c r="AO95" s="804">
        <f>AO94/(IS!AO8-IS!AO9)</f>
        <v>0.88143578956566793</v>
      </c>
      <c r="AP95" s="806">
        <f>AP94/(IS!AP8-IS!AP9)</f>
        <v>0.96220490324109609</v>
      </c>
      <c r="AQ95" s="806">
        <f>AQ94/(IS!AQ8-IS!AQ9)</f>
        <v>1.0091500299013774</v>
      </c>
      <c r="AR95" s="806">
        <f>AR94/(IS!AR8-IS!AR9)</f>
        <v>0.9840115881040461</v>
      </c>
      <c r="AS95" s="806">
        <f>AS94/(IS!AS8-IS!AS9)</f>
        <v>1.0118032017222427</v>
      </c>
      <c r="AT95" s="804">
        <f>AT94/(IS!AT8-IS!AT9)</f>
        <v>0.99175456136994355</v>
      </c>
      <c r="AU95" s="806">
        <f>AU94/(IS!AU8-IS!AU9)</f>
        <v>0.98828286478480731</v>
      </c>
      <c r="AV95" s="806">
        <f>AV94/(IS!AV8-IS!AV9)</f>
        <v>0.99472442822543938</v>
      </c>
      <c r="AW95" s="806">
        <f>AW94/(IS!AW8-IS!AW9)</f>
        <v>0.99319819819819821</v>
      </c>
      <c r="AX95" s="806">
        <f>AX94/(IS!AX8-IS!AX9)</f>
        <v>1.0215698823293196</v>
      </c>
      <c r="AY95" s="804">
        <f>AY94/(IS!AY8-IS!AY9)</f>
        <v>0.99962894890935072</v>
      </c>
      <c r="AZ95" s="806">
        <f>AZ94/(IS!AZ8-IS!AZ9)</f>
        <v>0.96614591568894082</v>
      </c>
      <c r="BA95" s="806">
        <f>BA94/(IS!BA8-IS!BA9)</f>
        <v>1.0108647413547731</v>
      </c>
      <c r="BB95" s="806">
        <f>BB94/(IS!BB8-IS!BB9)</f>
        <v>1.01066803604661</v>
      </c>
      <c r="BC95" s="806">
        <f>BC94/(IS!BC8-IS!BC9)</f>
        <v>0.97879053367661195</v>
      </c>
      <c r="BD95" s="804">
        <f>BD94/(IS!BD8-IS!BD9)</f>
        <v>0.99152139536254835</v>
      </c>
      <c r="BE95" s="806">
        <f>BE94/(IS!BE8-IS!BE9)</f>
        <v>0.98279216045793261</v>
      </c>
      <c r="BF95" s="806">
        <f>BF94/(IS!BF8-IS!BF9)</f>
        <v>0.99124174769155293</v>
      </c>
      <c r="BG95" s="806">
        <f>BG94/(IS!BG8-IS!BG9)</f>
        <v>1.0064571035842804</v>
      </c>
      <c r="BH95" s="806">
        <f>BH94/(IS!BH8-IS!BH9)</f>
        <v>0.9796920978433542</v>
      </c>
      <c r="BI95" s="804">
        <f>BI94/(IS!BI8-IS!BI9)</f>
        <v>0.99002279182176689</v>
      </c>
      <c r="BJ95" s="806">
        <f>BJ94/(IS!BJ8-IS!BJ9)</f>
        <v>0.94377675699530006</v>
      </c>
      <c r="BK95" s="806">
        <f>BK94/(IS!BK8-IS!BK9)</f>
        <v>0.98897462637689981</v>
      </c>
      <c r="BL95" s="806">
        <f>BL94/(IS!BL8-IS!BL9)</f>
        <v>0.98881548428875177</v>
      </c>
      <c r="BM95" s="806">
        <f>BM94/(IS!BM8-IS!BM9)</f>
        <v>1.0072744561552129</v>
      </c>
      <c r="BN95" s="804">
        <f>BN94/(IS!BN8-IS!BN9)</f>
        <v>0.98210052433094375</v>
      </c>
      <c r="BO95" s="806">
        <f>BO94/(IS!BO8-IS!BO9)</f>
        <v>0.95536529025439743</v>
      </c>
      <c r="BP95" s="806">
        <f>BP94/(IS!BP8-IS!BP9)</f>
        <v>1.0130188225093939</v>
      </c>
      <c r="BQ95" s="806">
        <f>BQ94/(IS!BQ8-IS!BQ9)</f>
        <v>0.96098633068912698</v>
      </c>
      <c r="BR95" s="806">
        <f>BR94/(IS!BR8-IS!BR9)</f>
        <v>0.98307534287060916</v>
      </c>
      <c r="BS95" s="804">
        <f>BS94/(IS!BS8-IS!BS9)</f>
        <v>0.97800155766104035</v>
      </c>
      <c r="BT95" s="806">
        <f>BT94/(IS!BT8-IS!BT9)</f>
        <v>0.81509129916567347</v>
      </c>
      <c r="BU95" s="806">
        <f>BU94/(IS!BU8-IS!BU9)</f>
        <v>1.0016739903745553</v>
      </c>
      <c r="BV95" s="806">
        <f>BV94/(IS!BV8-IS!BV9)</f>
        <v>0.96976016684045885</v>
      </c>
      <c r="BW95" s="806">
        <f>BW94/(IS!BW8-IS!BW9)</f>
        <v>0.97092313948759656</v>
      </c>
      <c r="BX95" s="804">
        <f>BX94/(IS!BX8-IS!BX9)</f>
        <v>0.94350660887247828</v>
      </c>
      <c r="BY95" s="806">
        <f>BY94/(IS!BY8-IS!BY9)</f>
        <v>0.95988597027082057</v>
      </c>
      <c r="BZ95" s="806">
        <f>BZ94/(IS!BZ8-IS!BZ9)</f>
        <v>1.023555919705039</v>
      </c>
      <c r="CA95" s="806">
        <f>CA94/(IS!CA8-IS!CA9)</f>
        <v>0.95976062732150225</v>
      </c>
      <c r="CB95" s="806">
        <f>CB94/(IS!CB8-IS!CB9)</f>
        <v>1.015631513130471</v>
      </c>
      <c r="CC95" s="804">
        <f>CC94/(IS!CC8-IS!CC9)</f>
        <v>0.98960744970931724</v>
      </c>
      <c r="CD95" s="806">
        <f>CD94/(IS!CD8-IS!CD9)</f>
        <v>0.97759551910382081</v>
      </c>
      <c r="CE95" s="806">
        <f>CE94/(IS!CE8-IS!CE9)</f>
        <v>1.1185185185185185</v>
      </c>
      <c r="CF95" s="806">
        <f>CF94/(IS!CF8-IS!CF9)</f>
        <v>1</v>
      </c>
      <c r="CG95" s="806">
        <f>CG94/(IS!CG8-IS!CG9)</f>
        <v>1.0006712911165809</v>
      </c>
      <c r="CH95" s="804">
        <f>CH94/(IS!CH8-IS!CH9)</f>
        <v>1.0235925805401886</v>
      </c>
      <c r="CI95" s="806">
        <f>CI94/(IS!CI8-IS!CI9)</f>
        <v>1.002674988854213</v>
      </c>
      <c r="CJ95" s="806">
        <f>CJ94/(IS!CJ8-IS!CJ9)</f>
        <v>1.0542953667953667</v>
      </c>
      <c r="CK95" s="806">
        <f>CK94/(IS!CK8-IS!CK9)</f>
        <v>1.013911620294599</v>
      </c>
      <c r="CL95" s="806">
        <f>CL94/(IS!CL8-IS!CL9)</f>
        <v>1.1647597254004576</v>
      </c>
      <c r="CM95" s="804">
        <f>CM94/(IS!CM8-IS!CM9)</f>
        <v>1.051579290133507</v>
      </c>
      <c r="CN95" s="806">
        <f ca="1">CN94/(IS!CN8-IS!CN9)</f>
        <v>0.96412416901981812</v>
      </c>
      <c r="CO95" s="806">
        <f ca="1">CO94/(IS!CO8-IS!CO9)</f>
        <v>1.0558573714851485</v>
      </c>
      <c r="CP95" s="806">
        <f ca="1">CP94/(IS!CP8-IS!CP9)</f>
        <v>1.0073637138998612</v>
      </c>
      <c r="CQ95" s="806">
        <f ca="1">CQ94/(IS!CQ8-IS!CQ9)</f>
        <v>0.91240848355261872</v>
      </c>
      <c r="CR95" s="804">
        <f ca="1">CR94/(IS!CR8-IS!CR9)</f>
        <v>0.98342495438055288</v>
      </c>
      <c r="CS95" s="806">
        <f ca="1">CS94/(IS!CS8-IS!CS9)</f>
        <v>1.0217039791479572</v>
      </c>
      <c r="CT95" s="806">
        <f ca="1">CT94/(IS!CT8-IS!CT9)</f>
        <v>1.0901637452098725</v>
      </c>
      <c r="CU95" s="806">
        <f ca="1">CU94/(IS!CU8-IS!CU9)</f>
        <v>1.0395300645610428</v>
      </c>
      <c r="CV95" s="806">
        <f ca="1">CV94/(IS!CV8-IS!CV9)</f>
        <v>0.96106768670233333</v>
      </c>
      <c r="CW95" s="804">
        <f ca="1">CW94/(IS!CW8-IS!CW9)</f>
        <v>1.0266374369873559</v>
      </c>
      <c r="CX95" s="806">
        <f ca="1">CX94/(IS!CX8-IS!CX9)</f>
        <v>0.97336958051220579</v>
      </c>
      <c r="CY95" s="806">
        <f ca="1">CY94/(IS!CY8-IS!CY9)</f>
        <v>1.0276556850636855</v>
      </c>
      <c r="CZ95" s="806">
        <f ca="1">CZ94/(IS!CZ8-IS!CZ9)</f>
        <v>1.0454685261670711</v>
      </c>
      <c r="DA95" s="806">
        <f ca="1">DA94/(IS!DA8-IS!DA9)</f>
        <v>0.9185209707503309</v>
      </c>
      <c r="DB95" s="804">
        <f ca="1">DB94/(IS!DB8-IS!DB9)</f>
        <v>0.98898900390046529</v>
      </c>
      <c r="DC95" s="9"/>
    </row>
    <row r="96" spans="1:107" ht="13.5" thickBot="1">
      <c r="A96" s="1"/>
      <c r="B96" s="9"/>
      <c r="C96" s="5"/>
      <c r="D96" s="876"/>
      <c r="E96" s="200"/>
      <c r="F96" s="200"/>
      <c r="G96" s="268"/>
      <c r="H96" s="268"/>
      <c r="I96" s="268"/>
      <c r="J96" s="268"/>
      <c r="K96" s="866"/>
      <c r="L96" s="268"/>
      <c r="M96" s="268"/>
      <c r="N96" s="268"/>
      <c r="O96" s="268"/>
      <c r="P96" s="866"/>
      <c r="Q96" s="268"/>
      <c r="R96" s="268"/>
      <c r="S96" s="268"/>
      <c r="T96" s="268"/>
      <c r="U96" s="866"/>
      <c r="V96" s="268"/>
      <c r="W96" s="268"/>
      <c r="X96" s="268"/>
      <c r="Y96" s="268"/>
      <c r="Z96" s="866"/>
      <c r="AA96" s="268"/>
      <c r="AB96" s="268"/>
      <c r="AC96" s="268"/>
      <c r="AD96" s="268"/>
      <c r="AE96" s="866"/>
      <c r="AF96" s="268"/>
      <c r="AG96" s="268"/>
      <c r="AH96" s="268"/>
      <c r="AI96" s="268"/>
      <c r="AJ96" s="866"/>
      <c r="AK96" s="268"/>
      <c r="AL96" s="268"/>
      <c r="AM96" s="268"/>
      <c r="AN96" s="268"/>
      <c r="AO96" s="866"/>
      <c r="AP96" s="268"/>
      <c r="AQ96" s="268"/>
      <c r="AR96" s="268"/>
      <c r="AS96" s="268"/>
      <c r="AT96" s="866"/>
      <c r="AU96" s="268"/>
      <c r="AV96" s="268"/>
      <c r="AW96" s="268"/>
      <c r="AX96" s="268"/>
      <c r="AY96" s="866"/>
      <c r="AZ96" s="268"/>
      <c r="BA96" s="268"/>
      <c r="BB96" s="268"/>
      <c r="BC96" s="268"/>
      <c r="BD96" s="866"/>
      <c r="BE96" s="268"/>
      <c r="BF96" s="268"/>
      <c r="BG96" s="268"/>
      <c r="BH96" s="268"/>
      <c r="BI96" s="866"/>
      <c r="BJ96" s="268"/>
      <c r="BK96" s="268"/>
      <c r="BL96" s="268"/>
      <c r="BM96" s="268"/>
      <c r="BN96" s="866"/>
      <c r="BO96" s="268"/>
      <c r="BP96" s="268"/>
      <c r="BQ96" s="268"/>
      <c r="BR96" s="268"/>
      <c r="BS96" s="866"/>
      <c r="BT96" s="268"/>
      <c r="BU96" s="268"/>
      <c r="BV96" s="268"/>
      <c r="BW96" s="268"/>
      <c r="BX96" s="866"/>
      <c r="BY96" s="268"/>
      <c r="BZ96" s="268"/>
      <c r="CA96" s="268"/>
      <c r="CB96" s="268"/>
      <c r="CC96" s="866"/>
      <c r="CD96" s="268"/>
      <c r="CE96" s="268"/>
      <c r="CF96" s="268"/>
      <c r="CG96" s="268"/>
      <c r="CH96" s="866"/>
      <c r="CI96" s="268"/>
      <c r="CJ96" s="268"/>
      <c r="CK96" s="268"/>
      <c r="CL96" s="268"/>
      <c r="CM96" s="866"/>
      <c r="CN96" s="268"/>
      <c r="CO96" s="268"/>
      <c r="CP96" s="268"/>
      <c r="CQ96" s="268"/>
      <c r="CR96" s="866"/>
      <c r="CS96" s="268"/>
      <c r="CT96" s="268"/>
      <c r="CU96" s="268"/>
      <c r="CV96" s="268"/>
      <c r="CW96" s="866"/>
      <c r="CX96" s="268"/>
      <c r="CY96" s="268"/>
      <c r="CZ96" s="268"/>
      <c r="DA96" s="268"/>
      <c r="DB96" s="866"/>
      <c r="DC96" s="9"/>
    </row>
    <row r="97" spans="1:114" ht="13.5" hidden="1" outlineLevel="1" thickBot="1"/>
    <row r="98" spans="1:114" collapsed="1">
      <c r="A98" s="678"/>
      <c r="B98" s="889" t="s">
        <v>637</v>
      </c>
      <c r="C98" s="888"/>
      <c r="D98" s="887">
        <f t="shared" ref="D98:AI98" si="340">D3</f>
        <v>0</v>
      </c>
      <c r="E98" s="886">
        <f t="shared" si="340"/>
        <v>0</v>
      </c>
      <c r="F98" s="886">
        <f t="shared" si="340"/>
        <v>0</v>
      </c>
      <c r="G98" s="888">
        <f t="shared" si="340"/>
        <v>36981</v>
      </c>
      <c r="H98" s="888">
        <f t="shared" si="340"/>
        <v>0</v>
      </c>
      <c r="I98" s="888">
        <f t="shared" si="340"/>
        <v>0</v>
      </c>
      <c r="J98" s="888">
        <f t="shared" si="340"/>
        <v>0</v>
      </c>
      <c r="K98" s="886">
        <f t="shared" si="340"/>
        <v>0</v>
      </c>
      <c r="L98" s="888" t="str">
        <f t="shared" si="340"/>
        <v>2002A</v>
      </c>
      <c r="M98" s="888">
        <f t="shared" si="340"/>
        <v>0</v>
      </c>
      <c r="N98" s="888">
        <f t="shared" si="340"/>
        <v>0</v>
      </c>
      <c r="O98" s="888">
        <f t="shared" si="340"/>
        <v>0</v>
      </c>
      <c r="P98" s="886">
        <f t="shared" si="340"/>
        <v>0</v>
      </c>
      <c r="Q98" s="888" t="str">
        <f t="shared" si="340"/>
        <v>2003A</v>
      </c>
      <c r="R98" s="888">
        <f t="shared" si="340"/>
        <v>0</v>
      </c>
      <c r="S98" s="888">
        <f t="shared" si="340"/>
        <v>0</v>
      </c>
      <c r="T98" s="888">
        <f t="shared" si="340"/>
        <v>0</v>
      </c>
      <c r="U98" s="886">
        <f t="shared" si="340"/>
        <v>0</v>
      </c>
      <c r="V98" s="888" t="str">
        <f t="shared" si="340"/>
        <v>2004A</v>
      </c>
      <c r="W98" s="888">
        <f t="shared" si="340"/>
        <v>0</v>
      </c>
      <c r="X98" s="888">
        <f t="shared" si="340"/>
        <v>0</v>
      </c>
      <c r="Y98" s="888">
        <f t="shared" si="340"/>
        <v>0</v>
      </c>
      <c r="Z98" s="886">
        <f t="shared" si="340"/>
        <v>0</v>
      </c>
      <c r="AA98" s="888" t="str">
        <f t="shared" si="340"/>
        <v>2005A</v>
      </c>
      <c r="AB98" s="888">
        <f t="shared" si="340"/>
        <v>0</v>
      </c>
      <c r="AC98" s="888">
        <f t="shared" si="340"/>
        <v>0</v>
      </c>
      <c r="AD98" s="888">
        <f t="shared" si="340"/>
        <v>0</v>
      </c>
      <c r="AE98" s="886">
        <f t="shared" si="340"/>
        <v>0</v>
      </c>
      <c r="AF98" s="888" t="str">
        <f t="shared" si="340"/>
        <v>2006A</v>
      </c>
      <c r="AG98" s="888">
        <f t="shared" si="340"/>
        <v>0</v>
      </c>
      <c r="AH98" s="888">
        <f t="shared" si="340"/>
        <v>0</v>
      </c>
      <c r="AI98" s="888">
        <f t="shared" si="340"/>
        <v>0</v>
      </c>
      <c r="AJ98" s="886">
        <f t="shared" ref="AJ98:BO98" si="341">AJ3</f>
        <v>0</v>
      </c>
      <c r="AK98" s="888" t="str">
        <f t="shared" si="341"/>
        <v>2007A</v>
      </c>
      <c r="AL98" s="888">
        <f t="shared" si="341"/>
        <v>0</v>
      </c>
      <c r="AM98" s="888">
        <f t="shared" si="341"/>
        <v>0</v>
      </c>
      <c r="AN98" s="888">
        <f t="shared" si="341"/>
        <v>0</v>
      </c>
      <c r="AO98" s="886">
        <f t="shared" si="341"/>
        <v>0</v>
      </c>
      <c r="AP98" s="888" t="str">
        <f t="shared" si="341"/>
        <v>2008A</v>
      </c>
      <c r="AQ98" s="888">
        <f t="shared" si="341"/>
        <v>0</v>
      </c>
      <c r="AR98" s="888">
        <f t="shared" si="341"/>
        <v>0</v>
      </c>
      <c r="AS98" s="888">
        <f t="shared" si="341"/>
        <v>0</v>
      </c>
      <c r="AT98" s="886">
        <f t="shared" si="341"/>
        <v>0</v>
      </c>
      <c r="AU98" s="888" t="str">
        <f t="shared" si="341"/>
        <v>2009A</v>
      </c>
      <c r="AV98" s="888">
        <f t="shared" si="341"/>
        <v>0</v>
      </c>
      <c r="AW98" s="888">
        <f t="shared" si="341"/>
        <v>0</v>
      </c>
      <c r="AX98" s="888">
        <f t="shared" si="341"/>
        <v>0</v>
      </c>
      <c r="AY98" s="886">
        <f t="shared" si="341"/>
        <v>0</v>
      </c>
      <c r="AZ98" s="888" t="str">
        <f t="shared" si="341"/>
        <v>2010A</v>
      </c>
      <c r="BA98" s="888">
        <f t="shared" si="341"/>
        <v>0</v>
      </c>
      <c r="BB98" s="888">
        <f t="shared" si="341"/>
        <v>0</v>
      </c>
      <c r="BC98" s="888">
        <f t="shared" si="341"/>
        <v>0</v>
      </c>
      <c r="BD98" s="886">
        <f t="shared" si="341"/>
        <v>0</v>
      </c>
      <c r="BE98" s="888" t="str">
        <f t="shared" si="341"/>
        <v>2011A</v>
      </c>
      <c r="BF98" s="888">
        <f t="shared" si="341"/>
        <v>0</v>
      </c>
      <c r="BG98" s="888">
        <f t="shared" si="341"/>
        <v>0</v>
      </c>
      <c r="BH98" s="888">
        <f t="shared" si="341"/>
        <v>0</v>
      </c>
      <c r="BI98" s="886">
        <f t="shared" si="341"/>
        <v>0</v>
      </c>
      <c r="BJ98" s="888" t="str">
        <f t="shared" si="341"/>
        <v>2012A</v>
      </c>
      <c r="BK98" s="888">
        <f t="shared" si="341"/>
        <v>0</v>
      </c>
      <c r="BL98" s="888">
        <f t="shared" si="341"/>
        <v>0</v>
      </c>
      <c r="BM98" s="888">
        <f t="shared" si="341"/>
        <v>0</v>
      </c>
      <c r="BN98" s="886">
        <f t="shared" si="341"/>
        <v>0</v>
      </c>
      <c r="BO98" s="888" t="str">
        <f t="shared" si="341"/>
        <v>2013A</v>
      </c>
      <c r="BP98" s="888">
        <f t="shared" ref="BP98:CB98" si="342">BP3</f>
        <v>0</v>
      </c>
      <c r="BQ98" s="888">
        <f t="shared" si="342"/>
        <v>0</v>
      </c>
      <c r="BR98" s="888">
        <f t="shared" si="342"/>
        <v>0</v>
      </c>
      <c r="BS98" s="886">
        <f t="shared" si="342"/>
        <v>0</v>
      </c>
      <c r="BT98" s="888" t="str">
        <f t="shared" si="342"/>
        <v>2014A</v>
      </c>
      <c r="BU98" s="888">
        <f t="shared" si="342"/>
        <v>0</v>
      </c>
      <c r="BV98" s="888">
        <f t="shared" si="342"/>
        <v>0</v>
      </c>
      <c r="BW98" s="888">
        <f t="shared" si="342"/>
        <v>0</v>
      </c>
      <c r="BX98" s="886">
        <f t="shared" si="342"/>
        <v>0</v>
      </c>
      <c r="BY98" s="888" t="str">
        <f t="shared" si="342"/>
        <v>2015A</v>
      </c>
      <c r="BZ98" s="888">
        <f t="shared" si="342"/>
        <v>0</v>
      </c>
      <c r="CA98" s="888">
        <f t="shared" si="342"/>
        <v>0</v>
      </c>
      <c r="CB98" s="888">
        <f t="shared" si="342"/>
        <v>0</v>
      </c>
      <c r="CC98" s="884"/>
      <c r="CD98" s="883" t="str">
        <f t="shared" ref="CD98" si="343">CH99</f>
        <v>2016A</v>
      </c>
      <c r="CE98" s="885"/>
      <c r="CF98" s="885"/>
      <c r="CG98" s="885"/>
      <c r="CH98" s="884"/>
      <c r="CI98" s="883" t="str">
        <f>CM99</f>
        <v>2017A</v>
      </c>
      <c r="CJ98" s="885"/>
      <c r="CK98" s="885"/>
      <c r="CL98" s="885"/>
      <c r="CM98" s="884"/>
      <c r="CN98" s="883" t="str">
        <f t="shared" ref="CN98" si="344">CR99</f>
        <v>2018E</v>
      </c>
      <c r="CO98" s="885"/>
      <c r="CP98" s="885"/>
      <c r="CQ98" s="885"/>
      <c r="CR98" s="884"/>
      <c r="CS98" s="883" t="str">
        <f t="shared" ref="CS98" si="345">CW99</f>
        <v>2019E</v>
      </c>
      <c r="CT98" s="885"/>
      <c r="CU98" s="885"/>
      <c r="CV98" s="885"/>
      <c r="CW98" s="884"/>
      <c r="CX98" s="883" t="str">
        <f t="shared" ref="CX98" si="346">DB99</f>
        <v>2020E</v>
      </c>
      <c r="CY98" s="885"/>
      <c r="CZ98" s="885"/>
      <c r="DA98" s="885"/>
      <c r="DB98" s="884"/>
      <c r="DC98" s="9"/>
    </row>
    <row r="99" spans="1:114">
      <c r="A99" s="677"/>
      <c r="B99" s="882" t="str">
        <f>B4</f>
        <v>($ Million, except per share data)</v>
      </c>
      <c r="C99" s="881"/>
      <c r="D99" s="880" t="str">
        <f t="shared" ref="D99:AI99" si="347">D4</f>
        <v>1998A</v>
      </c>
      <c r="E99" s="879" t="str">
        <f t="shared" si="347"/>
        <v>1999A</v>
      </c>
      <c r="F99" s="879" t="str">
        <f t="shared" si="347"/>
        <v>2000A</v>
      </c>
      <c r="G99" s="881" t="str">
        <f t="shared" si="347"/>
        <v>1Q01A</v>
      </c>
      <c r="H99" s="881" t="str">
        <f t="shared" si="347"/>
        <v>2Q01A</v>
      </c>
      <c r="I99" s="881" t="str">
        <f t="shared" si="347"/>
        <v>3Q01A</v>
      </c>
      <c r="J99" s="881" t="str">
        <f t="shared" si="347"/>
        <v>4Q01A</v>
      </c>
      <c r="K99" s="879" t="str">
        <f t="shared" si="347"/>
        <v>2001A</v>
      </c>
      <c r="L99" s="881" t="str">
        <f t="shared" si="347"/>
        <v>1Q02A</v>
      </c>
      <c r="M99" s="881" t="str">
        <f t="shared" si="347"/>
        <v>2Q02A</v>
      </c>
      <c r="N99" s="881" t="str">
        <f t="shared" si="347"/>
        <v>3Q02A</v>
      </c>
      <c r="O99" s="881" t="str">
        <f t="shared" si="347"/>
        <v>4Q02A</v>
      </c>
      <c r="P99" s="879" t="str">
        <f t="shared" si="347"/>
        <v>2002A</v>
      </c>
      <c r="Q99" s="881" t="str">
        <f t="shared" si="347"/>
        <v>1Q03A</v>
      </c>
      <c r="R99" s="881" t="str">
        <f t="shared" si="347"/>
        <v>2Q03A</v>
      </c>
      <c r="S99" s="881" t="str">
        <f t="shared" si="347"/>
        <v>3Q03A</v>
      </c>
      <c r="T99" s="881" t="str">
        <f t="shared" si="347"/>
        <v>4Q03A</v>
      </c>
      <c r="U99" s="879" t="str">
        <f t="shared" si="347"/>
        <v>2003A</v>
      </c>
      <c r="V99" s="881" t="str">
        <f t="shared" si="347"/>
        <v>1Q04A</v>
      </c>
      <c r="W99" s="881" t="str">
        <f t="shared" si="347"/>
        <v>2Q04A</v>
      </c>
      <c r="X99" s="881" t="str">
        <f t="shared" si="347"/>
        <v>3Q04A</v>
      </c>
      <c r="Y99" s="881" t="str">
        <f t="shared" si="347"/>
        <v>4Q04A</v>
      </c>
      <c r="Z99" s="879" t="str">
        <f t="shared" si="347"/>
        <v>2004A</v>
      </c>
      <c r="AA99" s="881" t="str">
        <f t="shared" si="347"/>
        <v>1Q05A</v>
      </c>
      <c r="AB99" s="881" t="str">
        <f t="shared" si="347"/>
        <v>2Q05A</v>
      </c>
      <c r="AC99" s="881" t="str">
        <f t="shared" si="347"/>
        <v>3Q05A</v>
      </c>
      <c r="AD99" s="881" t="str">
        <f t="shared" si="347"/>
        <v>4Q05A</v>
      </c>
      <c r="AE99" s="879" t="str">
        <f t="shared" si="347"/>
        <v>2005A</v>
      </c>
      <c r="AF99" s="881" t="str">
        <f t="shared" si="347"/>
        <v>1Q06A</v>
      </c>
      <c r="AG99" s="881" t="str">
        <f t="shared" si="347"/>
        <v>2Q06A</v>
      </c>
      <c r="AH99" s="881" t="str">
        <f t="shared" si="347"/>
        <v>3Q06A</v>
      </c>
      <c r="AI99" s="881" t="str">
        <f t="shared" si="347"/>
        <v>4Q06A</v>
      </c>
      <c r="AJ99" s="879" t="str">
        <f t="shared" ref="AJ99:BO99" si="348">AJ4</f>
        <v>2006A</v>
      </c>
      <c r="AK99" s="881" t="str">
        <f t="shared" si="348"/>
        <v>1Q07A</v>
      </c>
      <c r="AL99" s="881" t="str">
        <f t="shared" si="348"/>
        <v>2Q07A</v>
      </c>
      <c r="AM99" s="881" t="str">
        <f t="shared" si="348"/>
        <v>3Q07A</v>
      </c>
      <c r="AN99" s="881" t="str">
        <f t="shared" si="348"/>
        <v>4Q07A</v>
      </c>
      <c r="AO99" s="879" t="str">
        <f t="shared" si="348"/>
        <v>2007A</v>
      </c>
      <c r="AP99" s="878" t="str">
        <f t="shared" si="348"/>
        <v>1Q08A</v>
      </c>
      <c r="AQ99" s="878" t="str">
        <f t="shared" si="348"/>
        <v>2Q08A</v>
      </c>
      <c r="AR99" s="878" t="str">
        <f t="shared" si="348"/>
        <v>3Q08A</v>
      </c>
      <c r="AS99" s="878" t="str">
        <f t="shared" si="348"/>
        <v>4Q08A</v>
      </c>
      <c r="AT99" s="877" t="str">
        <f t="shared" si="348"/>
        <v>2008A</v>
      </c>
      <c r="AU99" s="878" t="str">
        <f t="shared" si="348"/>
        <v>1Q09</v>
      </c>
      <c r="AV99" s="878" t="str">
        <f t="shared" si="348"/>
        <v>2Q09</v>
      </c>
      <c r="AW99" s="878" t="str">
        <f t="shared" si="348"/>
        <v>3Q09</v>
      </c>
      <c r="AX99" s="878" t="str">
        <f t="shared" si="348"/>
        <v>4Q09</v>
      </c>
      <c r="AY99" s="877" t="str">
        <f t="shared" si="348"/>
        <v>2009A</v>
      </c>
      <c r="AZ99" s="878" t="str">
        <f t="shared" si="348"/>
        <v>1Q10A</v>
      </c>
      <c r="BA99" s="878" t="str">
        <f t="shared" si="348"/>
        <v>2Q10A</v>
      </c>
      <c r="BB99" s="878" t="str">
        <f t="shared" si="348"/>
        <v>3Q10A</v>
      </c>
      <c r="BC99" s="878" t="str">
        <f t="shared" si="348"/>
        <v>4Q10A</v>
      </c>
      <c r="BD99" s="877" t="str">
        <f t="shared" si="348"/>
        <v>2010A</v>
      </c>
      <c r="BE99" s="878" t="str">
        <f t="shared" si="348"/>
        <v>1Q11A</v>
      </c>
      <c r="BF99" s="878" t="str">
        <f t="shared" si="348"/>
        <v>2Q11A</v>
      </c>
      <c r="BG99" s="878" t="str">
        <f t="shared" si="348"/>
        <v>3Q11A</v>
      </c>
      <c r="BH99" s="878" t="str">
        <f t="shared" si="348"/>
        <v>4Q11A</v>
      </c>
      <c r="BI99" s="877" t="str">
        <f t="shared" si="348"/>
        <v>2011A</v>
      </c>
      <c r="BJ99" s="878" t="str">
        <f t="shared" si="348"/>
        <v>1Q12A</v>
      </c>
      <c r="BK99" s="878" t="str">
        <f t="shared" si="348"/>
        <v>2Q12A</v>
      </c>
      <c r="BL99" s="878" t="str">
        <f t="shared" si="348"/>
        <v>3Q12A</v>
      </c>
      <c r="BM99" s="878" t="str">
        <f t="shared" si="348"/>
        <v>4Q12A</v>
      </c>
      <c r="BN99" s="877" t="str">
        <f t="shared" si="348"/>
        <v>2012A</v>
      </c>
      <c r="BO99" s="878" t="str">
        <f t="shared" si="348"/>
        <v>1Q13A</v>
      </c>
      <c r="BP99" s="878" t="str">
        <f t="shared" ref="BP99:CW99" si="349">BP4</f>
        <v>2Q13A</v>
      </c>
      <c r="BQ99" s="878" t="str">
        <f t="shared" si="349"/>
        <v>3Q13A</v>
      </c>
      <c r="BR99" s="878" t="str">
        <f t="shared" si="349"/>
        <v>4Q13A</v>
      </c>
      <c r="BS99" s="877" t="str">
        <f t="shared" si="349"/>
        <v>2013A</v>
      </c>
      <c r="BT99" s="878" t="str">
        <f t="shared" si="349"/>
        <v>1Q14A</v>
      </c>
      <c r="BU99" s="878" t="str">
        <f t="shared" si="349"/>
        <v>2Q14A</v>
      </c>
      <c r="BV99" s="878" t="str">
        <f t="shared" si="349"/>
        <v>3Q14A</v>
      </c>
      <c r="BW99" s="878" t="str">
        <f t="shared" si="349"/>
        <v>4Q14A</v>
      </c>
      <c r="BX99" s="877" t="str">
        <f t="shared" si="349"/>
        <v>2014A</v>
      </c>
      <c r="BY99" s="878" t="str">
        <f t="shared" si="349"/>
        <v>1Q15A</v>
      </c>
      <c r="BZ99" s="878" t="str">
        <f t="shared" si="349"/>
        <v>2Q15A</v>
      </c>
      <c r="CA99" s="878" t="str">
        <f t="shared" si="349"/>
        <v>3Q15A</v>
      </c>
      <c r="CB99" s="878" t="str">
        <f t="shared" si="349"/>
        <v>4Q15A</v>
      </c>
      <c r="CC99" s="877" t="str">
        <f t="shared" si="349"/>
        <v>2015A</v>
      </c>
      <c r="CD99" s="878" t="str">
        <f t="shared" si="349"/>
        <v>1Q16A</v>
      </c>
      <c r="CE99" s="878" t="str">
        <f t="shared" si="349"/>
        <v>2Q16A</v>
      </c>
      <c r="CF99" s="878" t="str">
        <f t="shared" si="349"/>
        <v>3Q16A</v>
      </c>
      <c r="CG99" s="878" t="str">
        <f t="shared" si="349"/>
        <v>4Q16A</v>
      </c>
      <c r="CH99" s="877" t="str">
        <f t="shared" si="349"/>
        <v>2016A</v>
      </c>
      <c r="CI99" s="878" t="str">
        <f t="shared" si="349"/>
        <v>1Q17A</v>
      </c>
      <c r="CJ99" s="878" t="str">
        <f t="shared" si="349"/>
        <v>2Q17A</v>
      </c>
      <c r="CK99" s="878" t="str">
        <f t="shared" si="349"/>
        <v>3Q17A</v>
      </c>
      <c r="CL99" s="878" t="str">
        <f t="shared" si="349"/>
        <v>4Q17A</v>
      </c>
      <c r="CM99" s="877" t="str">
        <f t="shared" si="349"/>
        <v>2017A</v>
      </c>
      <c r="CN99" s="878" t="str">
        <f t="shared" si="349"/>
        <v>1Q18E</v>
      </c>
      <c r="CO99" s="878" t="str">
        <f t="shared" si="349"/>
        <v>2Q18E</v>
      </c>
      <c r="CP99" s="878" t="str">
        <f t="shared" si="349"/>
        <v>3Q18E</v>
      </c>
      <c r="CQ99" s="878" t="str">
        <f t="shared" si="349"/>
        <v>4Q18E</v>
      </c>
      <c r="CR99" s="877" t="str">
        <f t="shared" si="349"/>
        <v>2018E</v>
      </c>
      <c r="CS99" s="878" t="str">
        <f t="shared" si="349"/>
        <v>1Q19E</v>
      </c>
      <c r="CT99" s="878" t="str">
        <f t="shared" si="349"/>
        <v>2Q19E</v>
      </c>
      <c r="CU99" s="878" t="str">
        <f t="shared" si="349"/>
        <v>3Q19E</v>
      </c>
      <c r="CV99" s="878" t="str">
        <f t="shared" si="349"/>
        <v>4Q19E</v>
      </c>
      <c r="CW99" s="877" t="str">
        <f t="shared" si="349"/>
        <v>2019E</v>
      </c>
      <c r="CX99" s="878" t="str">
        <f t="shared" ref="CX99:DB99" si="350">CX4</f>
        <v>1Q20E</v>
      </c>
      <c r="CY99" s="878" t="str">
        <f t="shared" si="350"/>
        <v>2Q20E</v>
      </c>
      <c r="CZ99" s="878" t="str">
        <f t="shared" si="350"/>
        <v>3Q20E</v>
      </c>
      <c r="DA99" s="878" t="str">
        <f t="shared" si="350"/>
        <v>4Q20E</v>
      </c>
      <c r="DB99" s="877" t="str">
        <f t="shared" si="350"/>
        <v>2020E</v>
      </c>
      <c r="DC99" s="9"/>
    </row>
    <row r="100" spans="1:114">
      <c r="A100" s="1"/>
      <c r="B100" s="25" t="s">
        <v>471</v>
      </c>
      <c r="C100" s="807"/>
      <c r="D100" s="808"/>
      <c r="E100" s="809">
        <v>16.879000000000001</v>
      </c>
      <c r="F100" s="809">
        <v>9.5690000000000008</v>
      </c>
      <c r="G100" s="795">
        <v>10.848000000000001</v>
      </c>
      <c r="H100" s="795">
        <f>20.499-G100</f>
        <v>9.650999999999998</v>
      </c>
      <c r="I100" s="795">
        <f>30.54-SUM(G100:H100)</f>
        <v>10.041</v>
      </c>
      <c r="J100" s="795">
        <f>44.743-SUM(G100:I100)</f>
        <v>14.203000000000003</v>
      </c>
      <c r="K100" s="235">
        <f>SUM(G100:J100)</f>
        <v>44.743000000000002</v>
      </c>
      <c r="L100" s="795">
        <v>27.175999999999998</v>
      </c>
      <c r="M100" s="795">
        <f>51.417-L100</f>
        <v>24.241000000000003</v>
      </c>
      <c r="N100" s="795">
        <f>71.573-SUM(L100:M100)</f>
        <v>20.155999999999992</v>
      </c>
      <c r="O100" s="795">
        <f>99.984-SUM(L100:N100)</f>
        <v>28.411000000000001</v>
      </c>
      <c r="P100" s="235">
        <f>SUM(L100:O100)</f>
        <v>99.983999999999995</v>
      </c>
      <c r="Q100" s="795">
        <v>33.539000000000001</v>
      </c>
      <c r="R100" s="795">
        <f>64.155-Q100</f>
        <v>30.616</v>
      </c>
      <c r="S100" s="795">
        <f>95.838-SUM(Q100:R100)</f>
        <v>31.682999999999993</v>
      </c>
      <c r="T100" s="795">
        <f>131.472-SUM(Q100:S100)</f>
        <v>35.634000000000015</v>
      </c>
      <c r="U100" s="235">
        <f>SUM(Q100:T100)</f>
        <v>131.47200000000001</v>
      </c>
      <c r="V100" s="795">
        <v>40.725999999999999</v>
      </c>
      <c r="W100" s="795">
        <f>79.165-V100</f>
        <v>38.439000000000007</v>
      </c>
      <c r="X100" s="795">
        <f>111.204-SUM(V100:W100)</f>
        <v>32.038999999999987</v>
      </c>
      <c r="Y100" s="795">
        <f>151.433-SUM(V100:X100)</f>
        <v>40.228999999999999</v>
      </c>
      <c r="Z100" s="235">
        <f>SUM(V100:Y100)</f>
        <v>151.43299999999999</v>
      </c>
      <c r="AA100" s="795">
        <v>35.988</v>
      </c>
      <c r="AB100" s="795">
        <f>76.516-AA100</f>
        <v>40.528000000000006</v>
      </c>
      <c r="AC100" s="795">
        <f>119.402-SUM(AA100:AB100)</f>
        <v>42.885999999999996</v>
      </c>
      <c r="AD100" s="795">
        <f>167.544-SUM(AA100:AC100)</f>
        <v>48.14200000000001</v>
      </c>
      <c r="AE100" s="235">
        <f>SUM(AA100:AD100)</f>
        <v>167.54400000000001</v>
      </c>
      <c r="AF100" s="795">
        <v>54.037999999999997</v>
      </c>
      <c r="AG100" s="795">
        <f>106.407-AF100</f>
        <v>52.369</v>
      </c>
      <c r="AH100" s="795">
        <f>114.648-SUM(AF100:AG100)</f>
        <v>8.2409999999999997</v>
      </c>
      <c r="AI100" s="795">
        <f>168.263-SUM(AF100:AH100)</f>
        <v>53.615000000000009</v>
      </c>
      <c r="AJ100" s="235">
        <f>SUM(AF100:AI100)</f>
        <v>168.26300000000001</v>
      </c>
      <c r="AK100" s="795">
        <v>54.323999999999998</v>
      </c>
      <c r="AL100" s="795">
        <f>108.087-AK100</f>
        <v>53.763000000000005</v>
      </c>
      <c r="AM100" s="795">
        <f>118.547-SUM(AK100:AL100)</f>
        <v>10.459999999999994</v>
      </c>
      <c r="AN100" s="795">
        <f>30.289-SUM(AK100:AM100)</f>
        <v>-88.257999999999996</v>
      </c>
      <c r="AO100" s="235">
        <f>SUM(AK100:AN100)</f>
        <v>30.289000000000001</v>
      </c>
      <c r="AP100" s="795">
        <v>60.127000000000002</v>
      </c>
      <c r="AQ100" s="795">
        <f>108.02-AP100</f>
        <v>47.892999999999994</v>
      </c>
      <c r="AR100" s="795">
        <f>158.404-SUM(AP100:AQ100)</f>
        <v>50.384</v>
      </c>
      <c r="AS100" s="795">
        <f>218.304-SUM(AP100:AR100)</f>
        <v>59.900000000000006</v>
      </c>
      <c r="AT100" s="235">
        <f>SUM(AP100:AS100)</f>
        <v>218.304</v>
      </c>
      <c r="AU100" s="795">
        <v>58.914999999999999</v>
      </c>
      <c r="AV100" s="795">
        <f>118.35-AU100</f>
        <v>59.434999999999995</v>
      </c>
      <c r="AW100" s="795">
        <f>178.062-SUM(AU100:AV100)</f>
        <v>59.712000000000018</v>
      </c>
      <c r="AX100" s="795">
        <f>306.377-AW100-AV100-AU100</f>
        <v>128.315</v>
      </c>
      <c r="AY100" s="235">
        <f>SUM(AU100:AX100)</f>
        <v>306.37700000000001</v>
      </c>
      <c r="AZ100" s="795">
        <v>84.995999999999995</v>
      </c>
      <c r="BA100" s="795">
        <f>171.338-AZ100</f>
        <v>86.341999999999999</v>
      </c>
      <c r="BB100" s="795">
        <f>256.192-AZ100-BA100</f>
        <v>84.854000000000028</v>
      </c>
      <c r="BC100" s="795">
        <f>348.441-SUM(AZ100:BB100)</f>
        <v>92.248999999999967</v>
      </c>
      <c r="BD100" s="235">
        <f>SUM(AZ100:BC100)</f>
        <v>348.44099999999997</v>
      </c>
      <c r="BE100" s="795">
        <v>78.325000000000003</v>
      </c>
      <c r="BF100" s="795">
        <f>131.872-BE100</f>
        <v>53.547000000000011</v>
      </c>
      <c r="BG100" s="795">
        <f>224.503-BF100-BE100</f>
        <v>92.630999999999958</v>
      </c>
      <c r="BH100" s="795">
        <f>277.623-SUM(BE100:BG100)</f>
        <v>53.120000000000005</v>
      </c>
      <c r="BI100" s="235">
        <f>SUM(BE100:BH100)</f>
        <v>277.62299999999999</v>
      </c>
      <c r="BJ100" s="795">
        <v>99.251999999999995</v>
      </c>
      <c r="BK100" s="795">
        <f>201.419-BJ100</f>
        <v>102.16700000000002</v>
      </c>
      <c r="BL100" s="795">
        <f>260.177-BJ100-BK100</f>
        <v>58.757999999999996</v>
      </c>
      <c r="BM100" s="795">
        <f>345.803-SUM(BJ100:BL100)</f>
        <v>85.625999999999976</v>
      </c>
      <c r="BN100" s="810">
        <f>SUM(BJ100:BM100)</f>
        <v>345.803</v>
      </c>
      <c r="BO100" s="795">
        <v>96.322999999999993</v>
      </c>
      <c r="BP100" s="795">
        <f>143.408-BO100</f>
        <v>47.084999999999994</v>
      </c>
      <c r="BQ100" s="795">
        <f>165.006-SUM(BO100:BP100)</f>
        <v>21.598000000000013</v>
      </c>
      <c r="BR100" s="795">
        <f>217.268-SUM(BO100:BQ100)</f>
        <v>52.262</v>
      </c>
      <c r="BS100" s="235">
        <f>SUM(BO100:BR100)</f>
        <v>217.268</v>
      </c>
      <c r="BT100" s="795">
        <f>IS!BT32</f>
        <v>-98</v>
      </c>
      <c r="BU100" s="795">
        <f>-27-BT100</f>
        <v>71</v>
      </c>
      <c r="BV100" s="795">
        <f>IS!BV32</f>
        <v>94.000000000000455</v>
      </c>
      <c r="BW100" s="795">
        <f>IS!BW32</f>
        <v>136</v>
      </c>
      <c r="BX100" s="235">
        <f>SUM(BT100:BW100)</f>
        <v>203.00000000000045</v>
      </c>
      <c r="BY100" s="795">
        <v>99</v>
      </c>
      <c r="BZ100" s="795">
        <f>232-BY100</f>
        <v>133</v>
      </c>
      <c r="CA100" s="795">
        <f>308-BZ100-BY100</f>
        <v>76</v>
      </c>
      <c r="CB100" s="795">
        <f>259-CA100-BZ100-BY100</f>
        <v>-49</v>
      </c>
      <c r="CC100" s="235">
        <f>SUM(BY100:CB100)</f>
        <v>259</v>
      </c>
      <c r="CD100" s="795">
        <v>36</v>
      </c>
      <c r="CE100" s="795">
        <f>-1371-CD100</f>
        <v>-1407</v>
      </c>
      <c r="CF100" s="795">
        <f>-1427-CE100-CD100</f>
        <v>-56</v>
      </c>
      <c r="CG100" s="795">
        <f>-1626-CF100-CE100-CD100</f>
        <v>-199</v>
      </c>
      <c r="CH100" s="235">
        <f>SUM(CD100:CG100)</f>
        <v>-1626</v>
      </c>
      <c r="CI100" s="795">
        <v>-177</v>
      </c>
      <c r="CJ100" s="795">
        <f>-299-CI100</f>
        <v>-122</v>
      </c>
      <c r="CK100" s="795">
        <f>-390-CJ100-CI100</f>
        <v>-91</v>
      </c>
      <c r="CL100" s="795">
        <f>-2396-CK100-CJ100-CI100</f>
        <v>-2006</v>
      </c>
      <c r="CM100" s="235">
        <f>SUM(CI100:CL100)</f>
        <v>-2396</v>
      </c>
      <c r="CN100" s="653">
        <f ca="1">IS!CN32</f>
        <v>-3.9228601593491526</v>
      </c>
      <c r="CO100" s="653">
        <f ca="1">IS!CO32</f>
        <v>-19.757907680165438</v>
      </c>
      <c r="CP100" s="653">
        <f ca="1">IS!CP32</f>
        <v>-34.686829245940991</v>
      </c>
      <c r="CQ100" s="653">
        <f ca="1">IS!CQ32</f>
        <v>-6.7889620124296126</v>
      </c>
      <c r="CR100" s="235">
        <f ca="1">SUM(CN100:CQ100)</f>
        <v>-65.156559097885193</v>
      </c>
      <c r="CS100" s="653">
        <f ca="1">IS!CS32</f>
        <v>-5.697140831412181</v>
      </c>
      <c r="CT100" s="653">
        <f ca="1">IS!CT32</f>
        <v>0.47916850891387408</v>
      </c>
      <c r="CU100" s="653">
        <f ca="1">IS!CU32</f>
        <v>15.97431676757915</v>
      </c>
      <c r="CV100" s="653">
        <f ca="1">IS!CV32</f>
        <v>18.831182474517945</v>
      </c>
      <c r="CW100" s="235">
        <f ca="1">SUM(CS100:CV100)</f>
        <v>29.587526919598787</v>
      </c>
      <c r="CX100" s="653">
        <f ca="1">IS!CX32</f>
        <v>-0.82562572872682716</v>
      </c>
      <c r="CY100" s="653">
        <f ca="1">IS!CY32</f>
        <v>8.2344672101172485</v>
      </c>
      <c r="CZ100" s="653">
        <f ca="1">IS!CZ32</f>
        <v>5.7925606851400033</v>
      </c>
      <c r="DA100" s="653">
        <f ca="1">IS!DA32</f>
        <v>24.784347523562452</v>
      </c>
      <c r="DB100" s="235">
        <f ca="1">SUM(CX100:DA100)</f>
        <v>37.985749690092874</v>
      </c>
      <c r="DC100" s="25"/>
    </row>
    <row r="101" spans="1:114" ht="3" customHeight="1">
      <c r="A101" s="1"/>
      <c r="B101" s="25"/>
      <c r="C101" s="193"/>
      <c r="D101" s="842"/>
      <c r="E101" s="194"/>
      <c r="F101" s="194"/>
      <c r="G101" s="710"/>
      <c r="H101" s="710"/>
      <c r="I101" s="710"/>
      <c r="J101" s="710"/>
      <c r="K101" s="194"/>
      <c r="L101" s="710"/>
      <c r="M101" s="710"/>
      <c r="N101" s="710"/>
      <c r="O101" s="710"/>
      <c r="P101" s="194"/>
      <c r="Q101" s="710"/>
      <c r="R101" s="710"/>
      <c r="S101" s="710"/>
      <c r="T101" s="710"/>
      <c r="U101" s="194"/>
      <c r="V101" s="710"/>
      <c r="W101" s="710"/>
      <c r="X101" s="710"/>
      <c r="Y101" s="710"/>
      <c r="Z101" s="194"/>
      <c r="AA101" s="710"/>
      <c r="AB101" s="710"/>
      <c r="AC101" s="710"/>
      <c r="AD101" s="710"/>
      <c r="AE101" s="194"/>
      <c r="AF101" s="710"/>
      <c r="AG101" s="710"/>
      <c r="AH101" s="710"/>
      <c r="AI101" s="710"/>
      <c r="AJ101" s="194"/>
      <c r="AK101" s="710"/>
      <c r="AL101" s="710"/>
      <c r="AM101" s="710"/>
      <c r="AN101" s="710"/>
      <c r="AO101" s="194"/>
      <c r="AP101" s="710"/>
      <c r="AQ101" s="710"/>
      <c r="AR101" s="710"/>
      <c r="AS101" s="710"/>
      <c r="AT101" s="194"/>
      <c r="AU101" s="811"/>
      <c r="AV101" s="811"/>
      <c r="AW101" s="710"/>
      <c r="AX101" s="710"/>
      <c r="AY101" s="194"/>
      <c r="AZ101" s="710"/>
      <c r="BA101" s="710"/>
      <c r="BB101" s="710"/>
      <c r="BC101" s="811"/>
      <c r="BD101" s="194"/>
      <c r="BE101" s="710"/>
      <c r="BF101" s="710"/>
      <c r="BG101" s="710"/>
      <c r="BH101" s="811"/>
      <c r="BI101" s="194"/>
      <c r="BJ101" s="811"/>
      <c r="BK101" s="710"/>
      <c r="BL101" s="710"/>
      <c r="BM101" s="710"/>
      <c r="BN101" s="194"/>
      <c r="BO101" s="811"/>
      <c r="BP101" s="710"/>
      <c r="BQ101" s="710"/>
      <c r="BR101" s="710"/>
      <c r="BS101" s="194"/>
      <c r="BT101" s="811"/>
      <c r="BU101" s="811"/>
      <c r="BV101" s="710"/>
      <c r="BW101" s="710"/>
      <c r="BX101" s="194"/>
      <c r="BY101" s="811"/>
      <c r="BZ101" s="811"/>
      <c r="CA101" s="811"/>
      <c r="CB101" s="811"/>
      <c r="CC101" s="194"/>
      <c r="CD101" s="811"/>
      <c r="CE101" s="811"/>
      <c r="CF101" s="811"/>
      <c r="CG101" s="811"/>
      <c r="CH101" s="194"/>
      <c r="CI101" s="811"/>
      <c r="CJ101" s="811"/>
      <c r="CK101" s="811"/>
      <c r="CL101" s="811"/>
      <c r="CM101" s="194"/>
      <c r="CN101" s="811"/>
      <c r="CO101" s="710"/>
      <c r="CP101" s="710"/>
      <c r="CQ101" s="710"/>
      <c r="CR101" s="194"/>
      <c r="CS101" s="811"/>
      <c r="CT101" s="710"/>
      <c r="CU101" s="710"/>
      <c r="CV101" s="710"/>
      <c r="CW101" s="194"/>
      <c r="CX101" s="811"/>
      <c r="CY101" s="710"/>
      <c r="CZ101" s="710"/>
      <c r="DA101" s="710"/>
      <c r="DB101" s="194"/>
      <c r="DC101" s="9"/>
    </row>
    <row r="102" spans="1:114">
      <c r="A102" s="1"/>
      <c r="B102" s="9" t="s">
        <v>472</v>
      </c>
      <c r="C102" s="193"/>
      <c r="D102" s="842"/>
      <c r="E102" s="194"/>
      <c r="F102" s="234">
        <v>97.623999999999995</v>
      </c>
      <c r="G102" s="267">
        <v>28.507000000000001</v>
      </c>
      <c r="H102" s="267">
        <f>57.168-G102</f>
        <v>28.660999999999998</v>
      </c>
      <c r="I102" s="267">
        <f>87.799-SUM(G102:H102)</f>
        <v>30.631000000000007</v>
      </c>
      <c r="J102" s="267">
        <f>119.668-SUM(G102:I102)</f>
        <v>31.869</v>
      </c>
      <c r="K102" s="194">
        <f t="shared" ref="K102:K117" si="351">SUM(G102:J102)</f>
        <v>119.66800000000001</v>
      </c>
      <c r="L102" s="267">
        <v>28.484000000000002</v>
      </c>
      <c r="M102" s="267">
        <f>57.435-L102</f>
        <v>28.951000000000001</v>
      </c>
      <c r="N102" s="267">
        <f>86.417-SUM(L102:M102)</f>
        <v>28.981999999999999</v>
      </c>
      <c r="O102" s="267">
        <f>118.218-SUM(L102:N102)</f>
        <v>31.801000000000002</v>
      </c>
      <c r="P102" s="194">
        <f t="shared" ref="P102:P117" si="352">SUM(L102:O102)</f>
        <v>118.218</v>
      </c>
      <c r="Q102" s="267">
        <v>33.241999999999997</v>
      </c>
      <c r="R102" s="267">
        <f>67.6-Q102</f>
        <v>34.357999999999997</v>
      </c>
      <c r="S102" s="267">
        <f>103.974-SUM(Q102:R102)</f>
        <v>36.374000000000009</v>
      </c>
      <c r="T102" s="267">
        <f>143.766-SUM(Q102:S102)</f>
        <v>39.791999999999987</v>
      </c>
      <c r="U102" s="194">
        <f t="shared" ref="U102:U117" si="353">SUM(Q102:T102)</f>
        <v>143.76599999999999</v>
      </c>
      <c r="V102" s="267">
        <v>38.451000000000001</v>
      </c>
      <c r="W102" s="267">
        <f>77.157-V102</f>
        <v>38.705999999999996</v>
      </c>
      <c r="X102" s="267">
        <f>116.776-SUM(V102:W102)</f>
        <v>39.619</v>
      </c>
      <c r="Y102" s="267">
        <f>158.38-SUM(V102:X102)</f>
        <v>41.603999999999999</v>
      </c>
      <c r="Z102" s="194">
        <f t="shared" ref="Z102:Z117" si="354">SUM(V102:Y102)</f>
        <v>158.38</v>
      </c>
      <c r="AA102" s="267">
        <v>41.137</v>
      </c>
      <c r="AB102" s="267">
        <f>81.88-AA102</f>
        <v>40.742999999999995</v>
      </c>
      <c r="AC102" s="267">
        <f>122.37-SUM(AA102:AB102)</f>
        <v>40.490000000000009</v>
      </c>
      <c r="AD102" s="267">
        <f>166.162-SUM(AA102:AC102)</f>
        <v>43.792000000000002</v>
      </c>
      <c r="AE102" s="194">
        <f t="shared" ref="AE102:AE117" si="355">SUM(AA102:AD102)</f>
        <v>166.16200000000001</v>
      </c>
      <c r="AF102" s="267">
        <v>42.506</v>
      </c>
      <c r="AG102" s="267">
        <f>89.689-AF102</f>
        <v>47.182999999999993</v>
      </c>
      <c r="AH102" s="267">
        <f>139.64-SUM(AF102:AG102)</f>
        <v>49.950999999999993</v>
      </c>
      <c r="AI102" s="267">
        <f>188.771-SUM(AF102:AH102)</f>
        <v>49.131</v>
      </c>
      <c r="AJ102" s="194">
        <f t="shared" ref="AJ102:AJ117" si="356">SUM(AF102:AI102)</f>
        <v>188.77099999999999</v>
      </c>
      <c r="AK102" s="267">
        <v>51.27</v>
      </c>
      <c r="AL102" s="267">
        <f>104.619-AK102</f>
        <v>53.348999999999997</v>
      </c>
      <c r="AM102" s="267">
        <f>210.406-SUM(AK102:AL102)</f>
        <v>105.78700000000001</v>
      </c>
      <c r="AN102" s="267">
        <f>332.58-SUM(AK102:AM102)</f>
        <v>122.17399999999998</v>
      </c>
      <c r="AO102" s="194">
        <f t="shared" ref="AO102:AO117" si="357">SUM(AK102:AN102)</f>
        <v>332.58</v>
      </c>
      <c r="AP102" s="267">
        <v>122.47799999999999</v>
      </c>
      <c r="AQ102" s="267">
        <f>247.426-AP102</f>
        <v>124.94799999999999</v>
      </c>
      <c r="AR102" s="267">
        <f>378.107-SUM(AP102:AQ102)</f>
        <v>130.68100000000004</v>
      </c>
      <c r="AS102" s="267">
        <f>506.694-SUM(AP102:AR102)</f>
        <v>128.58699999999999</v>
      </c>
      <c r="AT102" s="194">
        <f t="shared" ref="AT102:AT117" si="358">SUM(AP102:AS102)</f>
        <v>506.69400000000002</v>
      </c>
      <c r="AU102" s="267">
        <v>135.89400000000001</v>
      </c>
      <c r="AV102" s="267">
        <f>278.34-AU102</f>
        <v>142.44599999999997</v>
      </c>
      <c r="AW102" s="267">
        <f>421.898-SUM(AU102:AV102)</f>
        <v>143.55800000000005</v>
      </c>
      <c r="AX102" s="267">
        <f>566.543-AW102-AV102-AU102</f>
        <v>144.64499999999998</v>
      </c>
      <c r="AY102" s="194">
        <f t="shared" ref="AY102:AY117" si="359">SUM(AU102:AX102)</f>
        <v>566.54300000000001</v>
      </c>
      <c r="AZ102" s="267">
        <f>147.679</f>
        <v>147.679</v>
      </c>
      <c r="BA102" s="267">
        <f>301.06-AZ102</f>
        <v>153.381</v>
      </c>
      <c r="BB102" s="267">
        <f>452.179-SUM(AZ102:BA102)</f>
        <v>151.11899999999997</v>
      </c>
      <c r="BC102" s="267">
        <f>609.839-SUM(AZ102:BB102)</f>
        <v>157.66000000000008</v>
      </c>
      <c r="BD102" s="194">
        <f t="shared" ref="BD102:BD117" si="360">SUM(AZ102:BC102)</f>
        <v>609.83900000000006</v>
      </c>
      <c r="BE102" s="267">
        <v>161.31800000000001</v>
      </c>
      <c r="BF102" s="267">
        <f>324.367-BE102</f>
        <v>163.04900000000001</v>
      </c>
      <c r="BG102" s="267">
        <f>485.917-BF102-BE102</f>
        <v>161.54999999999993</v>
      </c>
      <c r="BH102" s="267">
        <f>657.665-SUM(BE102:BG102)</f>
        <v>171.74800000000005</v>
      </c>
      <c r="BI102" s="194">
        <f t="shared" ref="BI102:BI117" si="361">SUM(BE102:BH102)</f>
        <v>657.66499999999996</v>
      </c>
      <c r="BJ102" s="267">
        <v>174.35400000000001</v>
      </c>
      <c r="BK102" s="267">
        <f>354.155-BJ102</f>
        <v>179.80099999999996</v>
      </c>
      <c r="BL102" s="267">
        <f>536.362-BJ102-BK102</f>
        <v>182.20699999999997</v>
      </c>
      <c r="BM102" s="267">
        <f>725.558-SUM(BJ102:BL102)</f>
        <v>189.19600000000003</v>
      </c>
      <c r="BN102" s="194">
        <f t="shared" ref="BN102:BN110" si="362">SUM(BJ102:BM102)</f>
        <v>725.55799999999999</v>
      </c>
      <c r="BO102" s="267">
        <v>192.15799999999999</v>
      </c>
      <c r="BP102" s="267">
        <f>386.763-BO102</f>
        <v>194.60499999999999</v>
      </c>
      <c r="BQ102" s="267">
        <f>582.604-BP102-BO102</f>
        <v>195.84100000000004</v>
      </c>
      <c r="BR102" s="267">
        <f>782.675-SUM(BO102:BQ102)</f>
        <v>200.07099999999991</v>
      </c>
      <c r="BS102" s="194">
        <f>SUM(BO102:BR102)</f>
        <v>782.67499999999995</v>
      </c>
      <c r="BT102" s="267">
        <v>302</v>
      </c>
      <c r="BU102" s="267">
        <f>617-BT102</f>
        <v>315</v>
      </c>
      <c r="BV102" s="267">
        <f>897-SUM(BT102:BU102)</f>
        <v>280</v>
      </c>
      <c r="BW102" s="267">
        <f>1187-SUM(BT102:BV102)</f>
        <v>290</v>
      </c>
      <c r="BX102" s="194">
        <f>SUM(BT102:BW102)</f>
        <v>1187</v>
      </c>
      <c r="BY102" s="267">
        <v>296</v>
      </c>
      <c r="BZ102" s="267">
        <f>588-BY102</f>
        <v>292</v>
      </c>
      <c r="CA102" s="267">
        <f>876-BZ102-BY102</f>
        <v>288</v>
      </c>
      <c r="CB102" s="267">
        <f>1174-CA102-BZ102-BY102</f>
        <v>298</v>
      </c>
      <c r="CC102" s="194">
        <f>SUM(BY102:CB102)</f>
        <v>1174</v>
      </c>
      <c r="CD102" s="267">
        <v>298</v>
      </c>
      <c r="CE102" s="267">
        <f>574-CD102</f>
        <v>276</v>
      </c>
      <c r="CF102" s="267">
        <f>839-CE102-CD102</f>
        <v>265</v>
      </c>
      <c r="CG102" s="267">
        <f>1100-CF102-CE102-CD102</f>
        <v>261</v>
      </c>
      <c r="CH102" s="194">
        <f>SUM(CD102:CG102)</f>
        <v>1100</v>
      </c>
      <c r="CI102" s="267">
        <v>236</v>
      </c>
      <c r="CJ102" s="267">
        <f>458-CI102</f>
        <v>222</v>
      </c>
      <c r="CK102" s="267">
        <f>665-CJ102-CI102</f>
        <v>207</v>
      </c>
      <c r="CL102" s="267">
        <f>861-CK102-CJ102-CI102</f>
        <v>196</v>
      </c>
      <c r="CM102" s="194">
        <f>SUM(CI102:CL102)</f>
        <v>861</v>
      </c>
      <c r="CN102" s="266">
        <f ca="1">IS!CN18</f>
        <v>190.22924641945798</v>
      </c>
      <c r="CO102" s="266">
        <f ca="1">IS!CO18</f>
        <v>177.64661809274517</v>
      </c>
      <c r="CP102" s="266">
        <f ca="1">IS!CP18</f>
        <v>162.67941581858304</v>
      </c>
      <c r="CQ102" s="266">
        <f ca="1">IS!CQ18</f>
        <v>184.32545782480534</v>
      </c>
      <c r="CR102" s="194">
        <f ca="1">SUM(CN102:CQ102)</f>
        <v>714.88073815559153</v>
      </c>
      <c r="CS102" s="266">
        <f ca="1">IS!CS18</f>
        <v>176.14031597813715</v>
      </c>
      <c r="CT102" s="266">
        <f ca="1">IS!CT18</f>
        <v>169.18211676944526</v>
      </c>
      <c r="CU102" s="266">
        <f ca="1">IS!CU18</f>
        <v>161.57727330677946</v>
      </c>
      <c r="CV102" s="266">
        <f ca="1">IS!CV18</f>
        <v>182.42695801123679</v>
      </c>
      <c r="CW102" s="194">
        <f ca="1">SUM(CS102:CV102)</f>
        <v>689.32666406559872</v>
      </c>
      <c r="CX102" s="266">
        <f ca="1">IS!CX18</f>
        <v>173.70447631531593</v>
      </c>
      <c r="CY102" s="266">
        <f ca="1">IS!CY18</f>
        <v>166.93804506707994</v>
      </c>
      <c r="CZ102" s="266">
        <f ca="1">IS!CZ18</f>
        <v>158.11973989589575</v>
      </c>
      <c r="DA102" s="266">
        <f ca="1">IS!DA18</f>
        <v>179.83053033219645</v>
      </c>
      <c r="DB102" s="194">
        <f ca="1">SUM(CX102:DA102)</f>
        <v>678.59279161048812</v>
      </c>
      <c r="DC102" s="9"/>
    </row>
    <row r="103" spans="1:114">
      <c r="A103" s="1"/>
      <c r="B103" s="9" t="s">
        <v>563</v>
      </c>
      <c r="C103" s="193"/>
      <c r="D103" s="842"/>
      <c r="E103" s="194"/>
      <c r="F103" s="234"/>
      <c r="G103" s="267"/>
      <c r="H103" s="267"/>
      <c r="I103" s="267"/>
      <c r="J103" s="267"/>
      <c r="K103" s="194"/>
      <c r="L103" s="267"/>
      <c r="M103" s="267"/>
      <c r="N103" s="267"/>
      <c r="O103" s="267"/>
      <c r="P103" s="194"/>
      <c r="Q103" s="267"/>
      <c r="R103" s="267"/>
      <c r="S103" s="267"/>
      <c r="T103" s="267"/>
      <c r="U103" s="194"/>
      <c r="V103" s="267"/>
      <c r="W103" s="267"/>
      <c r="X103" s="267"/>
      <c r="Y103" s="267"/>
      <c r="Z103" s="194"/>
      <c r="AA103" s="267"/>
      <c r="AB103" s="267"/>
      <c r="AC103" s="267"/>
      <c r="AD103" s="267"/>
      <c r="AE103" s="194"/>
      <c r="AF103" s="267"/>
      <c r="AG103" s="267"/>
      <c r="AH103" s="267"/>
      <c r="AI103" s="267"/>
      <c r="AJ103" s="194"/>
      <c r="AK103" s="267"/>
      <c r="AL103" s="267"/>
      <c r="AM103" s="267"/>
      <c r="AN103" s="267"/>
      <c r="AO103" s="194"/>
      <c r="AP103" s="267"/>
      <c r="AQ103" s="267"/>
      <c r="AR103" s="267"/>
      <c r="AS103" s="267"/>
      <c r="AT103" s="194"/>
      <c r="AU103" s="267"/>
      <c r="AV103" s="267"/>
      <c r="AW103" s="267"/>
      <c r="AX103" s="267"/>
      <c r="AY103" s="194"/>
      <c r="AZ103" s="267"/>
      <c r="BA103" s="267"/>
      <c r="BB103" s="267"/>
      <c r="BC103" s="267"/>
      <c r="BD103" s="194"/>
      <c r="BE103" s="267"/>
      <c r="BF103" s="267"/>
      <c r="BG103" s="267"/>
      <c r="BH103" s="267"/>
      <c r="BI103" s="194"/>
      <c r="BJ103" s="267"/>
      <c r="BK103" s="267"/>
      <c r="BL103" s="267"/>
      <c r="BM103" s="267"/>
      <c r="BN103" s="194">
        <f t="shared" si="362"/>
        <v>0</v>
      </c>
      <c r="BO103" s="267"/>
      <c r="BP103" s="267"/>
      <c r="BQ103" s="267"/>
      <c r="BR103" s="267"/>
      <c r="BS103" s="194">
        <f>SUM(BO103:BR103)</f>
        <v>0</v>
      </c>
      <c r="BT103" s="267">
        <v>0</v>
      </c>
      <c r="BU103" s="267">
        <f>0-BT103</f>
        <v>0</v>
      </c>
      <c r="BV103" s="267">
        <f>77-SUM(BT103:BU103)</f>
        <v>77</v>
      </c>
      <c r="BW103" s="267">
        <f>101-SUM(BT103:BV103)</f>
        <v>24</v>
      </c>
      <c r="BX103" s="194">
        <f>SUM(BT103:BW103)</f>
        <v>101</v>
      </c>
      <c r="BY103" s="267">
        <v>8</v>
      </c>
      <c r="BZ103" s="267">
        <f>1-BY103</f>
        <v>-7</v>
      </c>
      <c r="CA103" s="267">
        <f>1-BZ103-BY103</f>
        <v>0</v>
      </c>
      <c r="CB103" s="267">
        <f>4-CA103-BZ103-BY103</f>
        <v>3</v>
      </c>
      <c r="CC103" s="221">
        <f>SUM(BY103:CB103)</f>
        <v>4</v>
      </c>
      <c r="CD103" s="267"/>
      <c r="CE103" s="267">
        <f>1-CD103</f>
        <v>1</v>
      </c>
      <c r="CF103" s="267">
        <f>10-CE103-CD103</f>
        <v>9</v>
      </c>
      <c r="CG103" s="267">
        <f>16-CF103-CE103-CD103</f>
        <v>6</v>
      </c>
      <c r="CH103" s="194">
        <f t="shared" ref="CH103:CH104" si="363">SUM(CD103:CG103)</f>
        <v>16</v>
      </c>
      <c r="CI103" s="267">
        <v>-1</v>
      </c>
      <c r="CJ103" s="267">
        <f>6-CI103</f>
        <v>7</v>
      </c>
      <c r="CK103" s="267">
        <f>8-CJ103-CI103</f>
        <v>2</v>
      </c>
      <c r="CL103" s="267">
        <f>9-CK103-CJ103-CI103</f>
        <v>1</v>
      </c>
      <c r="CM103" s="194">
        <f>SUM(CI103:CL103)</f>
        <v>9</v>
      </c>
      <c r="CN103" s="267">
        <v>0</v>
      </c>
      <c r="CO103" s="267">
        <v>0</v>
      </c>
      <c r="CP103" s="267">
        <v>0</v>
      </c>
      <c r="CQ103" s="267">
        <v>0</v>
      </c>
      <c r="CR103" s="234">
        <v>0</v>
      </c>
      <c r="CS103" s="267">
        <v>0</v>
      </c>
      <c r="CT103" s="267">
        <v>0</v>
      </c>
      <c r="CU103" s="267">
        <v>0</v>
      </c>
      <c r="CV103" s="267">
        <v>0</v>
      </c>
      <c r="CW103" s="234">
        <v>0</v>
      </c>
      <c r="CX103" s="267">
        <v>0</v>
      </c>
      <c r="CY103" s="267">
        <v>0</v>
      </c>
      <c r="CZ103" s="267">
        <v>0</v>
      </c>
      <c r="DA103" s="267">
        <v>0</v>
      </c>
      <c r="DB103" s="234">
        <v>0</v>
      </c>
      <c r="DC103" s="9"/>
    </row>
    <row r="104" spans="1:114">
      <c r="A104" s="1"/>
      <c r="B104" s="9" t="s">
        <v>473</v>
      </c>
      <c r="C104" s="193"/>
      <c r="D104" s="842"/>
      <c r="E104" s="194"/>
      <c r="F104" s="234">
        <v>0</v>
      </c>
      <c r="G104" s="267">
        <v>0</v>
      </c>
      <c r="H104" s="267">
        <f>0-G104</f>
        <v>0</v>
      </c>
      <c r="I104" s="267">
        <f>0-SUM(G104:H104)</f>
        <v>0</v>
      </c>
      <c r="J104" s="267">
        <f>0.109-SUM(G104:I104)</f>
        <v>0.109</v>
      </c>
      <c r="K104" s="194">
        <f t="shared" si="351"/>
        <v>0.109</v>
      </c>
      <c r="L104" s="267">
        <v>0.76100000000000001</v>
      </c>
      <c r="M104" s="267">
        <f>1.516-L104</f>
        <v>0.755</v>
      </c>
      <c r="N104" s="267">
        <f>1.861-SUM(L104:M104)</f>
        <v>0.34499999999999997</v>
      </c>
      <c r="O104" s="267">
        <f>2.236-SUM(L104:N104)</f>
        <v>0.37500000000000022</v>
      </c>
      <c r="P104" s="194">
        <f t="shared" si="352"/>
        <v>2.2360000000000002</v>
      </c>
      <c r="Q104" s="267">
        <v>0.372</v>
      </c>
      <c r="R104" s="267">
        <f>1.052-Q104</f>
        <v>0.68</v>
      </c>
      <c r="S104" s="267">
        <f>1.703-SUM(Q104:R104)</f>
        <v>0.65100000000000002</v>
      </c>
      <c r="T104" s="267">
        <f>1.987-SUM(Q104:S104)</f>
        <v>0.28400000000000003</v>
      </c>
      <c r="U104" s="194">
        <f t="shared" si="353"/>
        <v>1.9870000000000001</v>
      </c>
      <c r="V104" s="267">
        <v>0.373</v>
      </c>
      <c r="W104" s="267">
        <f>1.008-V104</f>
        <v>0.63500000000000001</v>
      </c>
      <c r="X104" s="267">
        <f>1.088-SUM(V104:W104)</f>
        <v>8.0000000000000071E-2</v>
      </c>
      <c r="Y104" s="267">
        <f>1.578-SUM(V104:X104)</f>
        <v>0.49</v>
      </c>
      <c r="Z104" s="194">
        <f t="shared" si="354"/>
        <v>1.5780000000000001</v>
      </c>
      <c r="AA104" s="267">
        <v>0.88700000000000001</v>
      </c>
      <c r="AB104" s="267">
        <f>2.004-AA104</f>
        <v>1.117</v>
      </c>
      <c r="AC104" s="267">
        <f>2.719-SUM(AA104:AB104)</f>
        <v>0.71499999999999986</v>
      </c>
      <c r="AD104" s="267">
        <f>3.104-SUM(AA104:AC104)</f>
        <v>0.38500000000000023</v>
      </c>
      <c r="AE104" s="194">
        <f t="shared" si="355"/>
        <v>3.1040000000000001</v>
      </c>
      <c r="AF104" s="267">
        <v>0.61299999999999999</v>
      </c>
      <c r="AG104" s="267">
        <f>1.068-AF104</f>
        <v>0.45500000000000007</v>
      </c>
      <c r="AH104" s="267">
        <f>1.669-SUM(AF104:AG104)</f>
        <v>0.60099999999999998</v>
      </c>
      <c r="AI104" s="267">
        <f>2.795-SUM(AF104:AH104)</f>
        <v>1.1259999999999999</v>
      </c>
      <c r="AJ104" s="194">
        <f t="shared" si="356"/>
        <v>2.7949999999999999</v>
      </c>
      <c r="AK104" s="267">
        <v>0.193</v>
      </c>
      <c r="AL104" s="267">
        <f>0.818-AK104</f>
        <v>0.625</v>
      </c>
      <c r="AM104" s="267">
        <f>5.329-SUM(AK104:AL104)</f>
        <v>4.5109999999999992</v>
      </c>
      <c r="AN104" s="267">
        <f>15.996-SUM(AK104:AM104)</f>
        <v>10.667000000000002</v>
      </c>
      <c r="AO104" s="194">
        <f t="shared" si="357"/>
        <v>15.996</v>
      </c>
      <c r="AP104" s="267">
        <v>9.6820000000000004</v>
      </c>
      <c r="AQ104" s="267">
        <f>17.999-AP104</f>
        <v>8.3169999999999984</v>
      </c>
      <c r="AR104" s="267">
        <f>28.359-SUM(AP104:AQ104)</f>
        <v>10.360000000000003</v>
      </c>
      <c r="AS104" s="267">
        <f>40.101-SUM(AP104:AR104)</f>
        <v>11.741999999999997</v>
      </c>
      <c r="AT104" s="194">
        <f t="shared" si="358"/>
        <v>40.100999999999999</v>
      </c>
      <c r="AU104" s="267">
        <v>13.986000000000001</v>
      </c>
      <c r="AV104" s="267">
        <f>28.54-AU104</f>
        <v>14.553999999999998</v>
      </c>
      <c r="AW104" s="267">
        <f>44.189-SUM(AU104:AV104)</f>
        <v>15.649000000000001</v>
      </c>
      <c r="AX104" s="267">
        <f>0-AU104-AV104-AW104</f>
        <v>-44.189</v>
      </c>
      <c r="AY104" s="194">
        <f t="shared" si="359"/>
        <v>0</v>
      </c>
      <c r="AZ104" s="267">
        <v>0</v>
      </c>
      <c r="BA104" s="267">
        <v>0</v>
      </c>
      <c r="BB104" s="267">
        <v>0</v>
      </c>
      <c r="BC104" s="267">
        <v>0</v>
      </c>
      <c r="BD104" s="194">
        <f t="shared" si="360"/>
        <v>0</v>
      </c>
      <c r="BE104" s="267">
        <v>0</v>
      </c>
      <c r="BF104" s="267">
        <v>0</v>
      </c>
      <c r="BG104" s="267">
        <v>0</v>
      </c>
      <c r="BH104" s="267">
        <v>0</v>
      </c>
      <c r="BI104" s="194">
        <f t="shared" si="361"/>
        <v>0</v>
      </c>
      <c r="BJ104" s="267">
        <v>0</v>
      </c>
      <c r="BK104" s="267">
        <v>0</v>
      </c>
      <c r="BL104" s="267">
        <v>0</v>
      </c>
      <c r="BM104" s="267">
        <f>0-SUM(BJ104:BL104)</f>
        <v>0</v>
      </c>
      <c r="BN104" s="194">
        <f t="shared" si="362"/>
        <v>0</v>
      </c>
      <c r="BO104" s="267">
        <v>0</v>
      </c>
      <c r="BP104" s="267">
        <f>0-BO104</f>
        <v>0</v>
      </c>
      <c r="BQ104" s="267"/>
      <c r="BR104" s="267"/>
      <c r="BS104" s="194"/>
      <c r="BT104" s="267">
        <v>0</v>
      </c>
      <c r="BU104" s="267">
        <f>0-BT104</f>
        <v>0</v>
      </c>
      <c r="BV104" s="267">
        <f>0-SUM(BT104:BU104)</f>
        <v>0</v>
      </c>
      <c r="BW104" s="267">
        <v>0</v>
      </c>
      <c r="BX104" s="194">
        <f>SUM(BT104:BW104)</f>
        <v>0</v>
      </c>
      <c r="BY104" s="267"/>
      <c r="BZ104" s="267"/>
      <c r="CA104" s="267"/>
      <c r="CB104" s="267"/>
      <c r="CC104" s="221">
        <f>SUM(BY104:CB104)</f>
        <v>0</v>
      </c>
      <c r="CD104" s="267"/>
      <c r="CE104" s="267"/>
      <c r="CF104" s="267">
        <f>0-CE104-CD104</f>
        <v>0</v>
      </c>
      <c r="CG104" s="267"/>
      <c r="CH104" s="194">
        <f t="shared" si="363"/>
        <v>0</v>
      </c>
      <c r="CI104" s="267">
        <v>0</v>
      </c>
      <c r="CJ104" s="267"/>
      <c r="CK104" s="267">
        <f>0-CJ104-CI104</f>
        <v>0</v>
      </c>
      <c r="CL104" s="267"/>
      <c r="CM104" s="234">
        <f t="shared" ref="CM104" si="364">SUM(CI104:CL104)</f>
        <v>0</v>
      </c>
      <c r="CN104" s="267">
        <v>0</v>
      </c>
      <c r="CO104" s="267">
        <v>0</v>
      </c>
      <c r="CP104" s="267">
        <v>0</v>
      </c>
      <c r="CQ104" s="267">
        <v>0</v>
      </c>
      <c r="CR104" s="234">
        <v>0</v>
      </c>
      <c r="CS104" s="267">
        <v>0</v>
      </c>
      <c r="CT104" s="267">
        <v>0</v>
      </c>
      <c r="CU104" s="267">
        <v>0</v>
      </c>
      <c r="CV104" s="267">
        <v>0</v>
      </c>
      <c r="CW104" s="234">
        <v>0</v>
      </c>
      <c r="CX104" s="267">
        <v>0</v>
      </c>
      <c r="CY104" s="267">
        <v>0</v>
      </c>
      <c r="CZ104" s="267">
        <v>0</v>
      </c>
      <c r="DA104" s="267">
        <v>0</v>
      </c>
      <c r="DB104" s="234">
        <v>0</v>
      </c>
      <c r="DC104" s="9"/>
    </row>
    <row r="105" spans="1:114">
      <c r="A105" s="1"/>
      <c r="B105" s="9" t="s">
        <v>474</v>
      </c>
      <c r="C105" s="193"/>
      <c r="D105" s="842"/>
      <c r="E105" s="194"/>
      <c r="F105" s="234">
        <v>7.3999999999999996E-2</v>
      </c>
      <c r="G105" s="267">
        <v>1.0999999999999999E-2</v>
      </c>
      <c r="H105" s="267">
        <f>0.022-G105</f>
        <v>1.0999999999999999E-2</v>
      </c>
      <c r="I105" s="267">
        <f>0.033-SUM(G105:H105)</f>
        <v>1.1000000000000003E-2</v>
      </c>
      <c r="J105" s="267">
        <f>0.044-SUM(G105:I105)</f>
        <v>1.0999999999999996E-2</v>
      </c>
      <c r="K105" s="194">
        <f t="shared" si="351"/>
        <v>4.3999999999999997E-2</v>
      </c>
      <c r="L105" s="267">
        <v>0</v>
      </c>
      <c r="M105" s="267">
        <f>0.013-L105</f>
        <v>1.2999999999999999E-2</v>
      </c>
      <c r="N105" s="267">
        <f>0.02-SUM(L105:M105)</f>
        <v>7.000000000000001E-3</v>
      </c>
      <c r="O105" s="267">
        <f>0.026-SUM(L105:N105)</f>
        <v>5.9999999999999984E-3</v>
      </c>
      <c r="P105" s="194">
        <f t="shared" si="352"/>
        <v>2.5999999999999999E-2</v>
      </c>
      <c r="Q105" s="267">
        <v>4.0000000000000001E-3</v>
      </c>
      <c r="R105" s="267">
        <f>0.006-Q105</f>
        <v>2E-3</v>
      </c>
      <c r="S105" s="267">
        <f>0.01-SUM(Q105:R105)</f>
        <v>4.0000000000000001E-3</v>
      </c>
      <c r="T105" s="267">
        <f>0.013-SUM(Q105:S105)</f>
        <v>2.9999999999999992E-3</v>
      </c>
      <c r="U105" s="194">
        <f t="shared" si="353"/>
        <v>1.2999999999999999E-2</v>
      </c>
      <c r="V105" s="267">
        <v>2E-3</v>
      </c>
      <c r="W105" s="267">
        <f>0.002-V105</f>
        <v>0</v>
      </c>
      <c r="X105" s="267">
        <f>0.002-SUM(V105:W105)</f>
        <v>0</v>
      </c>
      <c r="Y105" s="267">
        <f>0.002-SUM(V105:X105)</f>
        <v>0</v>
      </c>
      <c r="Z105" s="194">
        <f t="shared" si="354"/>
        <v>2E-3</v>
      </c>
      <c r="AA105" s="267">
        <v>0.496</v>
      </c>
      <c r="AB105" s="267">
        <f>1.984-AA105</f>
        <v>1.488</v>
      </c>
      <c r="AC105" s="267">
        <f>3.469-SUM(AA105:AB105)</f>
        <v>1.4849999999999999</v>
      </c>
      <c r="AD105" s="267">
        <f>4.957-SUM(AA105:AC105)</f>
        <v>1.488</v>
      </c>
      <c r="AE105" s="194">
        <f t="shared" si="355"/>
        <v>4.9569999999999999</v>
      </c>
      <c r="AF105" s="267">
        <v>3.6509999999999998</v>
      </c>
      <c r="AG105" s="267">
        <f>8.946-AF105</f>
        <v>5.2949999999999999</v>
      </c>
      <c r="AH105" s="267">
        <f>14.559-SUM(AF105:AG105)</f>
        <v>5.6129999999999995</v>
      </c>
      <c r="AI105" s="267">
        <f>20.073-SUM(AF105:AH105)</f>
        <v>5.5140000000000011</v>
      </c>
      <c r="AJ105" s="194">
        <f t="shared" si="356"/>
        <v>20.073</v>
      </c>
      <c r="AK105" s="267">
        <v>6.33</v>
      </c>
      <c r="AL105" s="267">
        <f>14.295-AK105</f>
        <v>7.9649999999999999</v>
      </c>
      <c r="AM105" s="267">
        <f>25.514-SUM(AK105:AL105)</f>
        <v>11.218999999999999</v>
      </c>
      <c r="AN105" s="267">
        <f>38.771-SUM(AK105:AM105)</f>
        <v>13.257000000000001</v>
      </c>
      <c r="AO105" s="194">
        <f t="shared" si="357"/>
        <v>38.771000000000001</v>
      </c>
      <c r="AP105" s="267">
        <v>13.246</v>
      </c>
      <c r="AQ105" s="267">
        <f>26.681-AP105</f>
        <v>13.435</v>
      </c>
      <c r="AR105" s="267">
        <f>39.812-SUM(AP105:AQ105)</f>
        <v>13.130999999999997</v>
      </c>
      <c r="AS105" s="267">
        <f>52.105-SUM(AP105:AR105)</f>
        <v>12.292999999999999</v>
      </c>
      <c r="AT105" s="194">
        <f t="shared" si="358"/>
        <v>52.104999999999997</v>
      </c>
      <c r="AU105" s="267">
        <v>12.286</v>
      </c>
      <c r="AV105" s="267">
        <f>24.805-AU105</f>
        <v>12.519</v>
      </c>
      <c r="AW105" s="267">
        <f>35.121-SUM(AU105:AV105)</f>
        <v>10.316000000000003</v>
      </c>
      <c r="AX105" s="267">
        <f>44.501-AW105-AV105-AU105</f>
        <v>9.3799999999999972</v>
      </c>
      <c r="AY105" s="194">
        <f t="shared" si="359"/>
        <v>44.500999999999998</v>
      </c>
      <c r="AZ105" s="267">
        <v>9.7629999999999999</v>
      </c>
      <c r="BA105" s="267">
        <f>20.418-AZ105</f>
        <v>10.654999999999999</v>
      </c>
      <c r="BB105" s="267">
        <f>29.899-SUM(AZ105:BA105)</f>
        <v>9.4810000000000016</v>
      </c>
      <c r="BC105" s="267">
        <f>38.779-SUM(AZ105:BB105)</f>
        <v>8.8800000000000026</v>
      </c>
      <c r="BD105" s="194">
        <f t="shared" si="360"/>
        <v>38.779000000000003</v>
      </c>
      <c r="BE105" s="267">
        <v>9.9179999999999993</v>
      </c>
      <c r="BF105" s="267">
        <f>20.732-BE105</f>
        <v>10.814</v>
      </c>
      <c r="BG105" s="267">
        <f>31.588-BF105-BE105</f>
        <v>10.856000000000002</v>
      </c>
      <c r="BH105" s="267">
        <f>42.542-SUM(BE105:BG105)</f>
        <v>10.954000000000001</v>
      </c>
      <c r="BI105" s="194">
        <f t="shared" si="361"/>
        <v>42.542000000000002</v>
      </c>
      <c r="BJ105" s="267">
        <v>10.494999999999999</v>
      </c>
      <c r="BK105" s="267">
        <f>20.624-BJ105</f>
        <v>10.129</v>
      </c>
      <c r="BL105" s="267">
        <f>30.708-BJ105-BK105</f>
        <v>10.084000000000001</v>
      </c>
      <c r="BM105" s="267">
        <f>40.896-SUM(BJ105:BL105)</f>
        <v>10.188000000000002</v>
      </c>
      <c r="BN105" s="194">
        <f t="shared" si="362"/>
        <v>40.896000000000001</v>
      </c>
      <c r="BO105" s="267">
        <v>9.9580000000000002</v>
      </c>
      <c r="BP105" s="267">
        <f>19.429-BO105</f>
        <v>9.4709999999999983</v>
      </c>
      <c r="BQ105" s="267">
        <f>28.943-BP105-BO105</f>
        <v>9.5140000000000011</v>
      </c>
      <c r="BR105" s="267">
        <f>38.403-SUM(BO105:BQ105)</f>
        <v>9.4600000000000009</v>
      </c>
      <c r="BS105" s="194">
        <f>SUM(BO105:BR105)</f>
        <v>38.402999999999999</v>
      </c>
      <c r="BT105" s="267">
        <v>11</v>
      </c>
      <c r="BU105" s="267">
        <f>22-BT105</f>
        <v>11</v>
      </c>
      <c r="BV105" s="267">
        <f>36-SUM(BT105:BU105)</f>
        <v>14</v>
      </c>
      <c r="BW105" s="267">
        <f>54-SUM(BT105:BV105)</f>
        <v>18</v>
      </c>
      <c r="BX105" s="194">
        <f t="shared" ref="BX105:BX112" si="365">SUM(BT105:BW105)</f>
        <v>54</v>
      </c>
      <c r="BY105" s="267">
        <v>14</v>
      </c>
      <c r="BZ105" s="267">
        <f>30-BY105</f>
        <v>16</v>
      </c>
      <c r="CA105" s="267">
        <f>44-BZ105-BY105</f>
        <v>14</v>
      </c>
      <c r="CB105" s="267">
        <f>59-CA105-BZ105-BY105</f>
        <v>15</v>
      </c>
      <c r="CC105" s="194">
        <f>SUM(BY105:CB105)</f>
        <v>59</v>
      </c>
      <c r="CD105" s="267">
        <v>14</v>
      </c>
      <c r="CE105" s="267">
        <f>26-CD105</f>
        <v>12</v>
      </c>
      <c r="CF105" s="267">
        <f>36-CE105-CD105</f>
        <v>10</v>
      </c>
      <c r="CG105" s="267">
        <f>46-CF105-CE105-CD105</f>
        <v>10</v>
      </c>
      <c r="CH105" s="194">
        <f>SUM(CD105:CG105)</f>
        <v>46</v>
      </c>
      <c r="CI105" s="267">
        <v>9</v>
      </c>
      <c r="CJ105" s="267">
        <f>15-CI105</f>
        <v>6</v>
      </c>
      <c r="CK105" s="267">
        <f>20-CJ105-CI105</f>
        <v>5</v>
      </c>
      <c r="CL105" s="267">
        <f>24-CK105-CJ105-CI105</f>
        <v>4</v>
      </c>
      <c r="CM105" s="194">
        <f>SUM(CI105:CL105)</f>
        <v>24</v>
      </c>
      <c r="CN105" s="267">
        <v>9</v>
      </c>
      <c r="CO105" s="267">
        <f>CN105</f>
        <v>9</v>
      </c>
      <c r="CP105" s="267">
        <f>CO105</f>
        <v>9</v>
      </c>
      <c r="CQ105" s="267">
        <f>CP105</f>
        <v>9</v>
      </c>
      <c r="CR105" s="194">
        <f>SUM(CN105:CQ105)</f>
        <v>36</v>
      </c>
      <c r="CS105" s="267">
        <f>CQ105</f>
        <v>9</v>
      </c>
      <c r="CT105" s="267">
        <f>CS105</f>
        <v>9</v>
      </c>
      <c r="CU105" s="267">
        <f>CT105</f>
        <v>9</v>
      </c>
      <c r="CV105" s="267">
        <f>CU105</f>
        <v>9</v>
      </c>
      <c r="CW105" s="194">
        <f>SUM(CS105:CV105)</f>
        <v>36</v>
      </c>
      <c r="CX105" s="267">
        <f>CV105</f>
        <v>9</v>
      </c>
      <c r="CY105" s="267">
        <f>CX105</f>
        <v>9</v>
      </c>
      <c r="CZ105" s="267">
        <f>CY105</f>
        <v>9</v>
      </c>
      <c r="DA105" s="267">
        <f>CZ105</f>
        <v>9</v>
      </c>
      <c r="DB105" s="194">
        <f>SUM(CX105:DA105)</f>
        <v>36</v>
      </c>
      <c r="DC105" s="9"/>
    </row>
    <row r="106" spans="1:114">
      <c r="A106" s="1"/>
      <c r="B106" s="9" t="s">
        <v>161</v>
      </c>
      <c r="C106" s="193"/>
      <c r="D106" s="842"/>
      <c r="E106" s="194"/>
      <c r="F106" s="234">
        <v>0</v>
      </c>
      <c r="G106" s="267">
        <v>0</v>
      </c>
      <c r="H106" s="267">
        <f>0-G106</f>
        <v>0</v>
      </c>
      <c r="I106" s="267">
        <f>0-SUM(G106:H106)</f>
        <v>0</v>
      </c>
      <c r="J106" s="267">
        <f>0-SUM(G106:I106)</f>
        <v>0</v>
      </c>
      <c r="K106" s="194">
        <f t="shared" si="351"/>
        <v>0</v>
      </c>
      <c r="L106" s="267">
        <v>0</v>
      </c>
      <c r="M106" s="267">
        <f>0-L106</f>
        <v>0</v>
      </c>
      <c r="N106" s="267">
        <f>0-SUM(L106:M106)</f>
        <v>0</v>
      </c>
      <c r="O106" s="267">
        <f>0-SUM(L106:N106)</f>
        <v>0</v>
      </c>
      <c r="P106" s="194">
        <f t="shared" si="352"/>
        <v>0</v>
      </c>
      <c r="Q106" s="267">
        <v>0</v>
      </c>
      <c r="R106" s="267">
        <f>0-Q106</f>
        <v>0</v>
      </c>
      <c r="S106" s="267">
        <f>0-SUM(Q106:R106)</f>
        <v>0</v>
      </c>
      <c r="T106" s="267">
        <f>0-SUM(Q106:S106)</f>
        <v>0</v>
      </c>
      <c r="U106" s="194">
        <f t="shared" si="353"/>
        <v>0</v>
      </c>
      <c r="V106" s="267">
        <v>0</v>
      </c>
      <c r="W106" s="267">
        <f>0-V106</f>
        <v>0</v>
      </c>
      <c r="X106" s="267">
        <f>2.02-SUM(V106:W106)</f>
        <v>2.02</v>
      </c>
      <c r="Y106" s="267">
        <f>2.02-SUM(V106:X106)</f>
        <v>0</v>
      </c>
      <c r="Z106" s="194">
        <f t="shared" si="354"/>
        <v>2.02</v>
      </c>
      <c r="AA106" s="267">
        <v>6.2949999999999999</v>
      </c>
      <c r="AB106" s="267">
        <f>6.295-AA106</f>
        <v>0</v>
      </c>
      <c r="AC106" s="267">
        <f>6.295-SUM(AA106:AB106)</f>
        <v>0</v>
      </c>
      <c r="AD106" s="267">
        <f>6.295-SUM(AA106:AC106)</f>
        <v>0</v>
      </c>
      <c r="AE106" s="194">
        <f t="shared" si="355"/>
        <v>6.2949999999999999</v>
      </c>
      <c r="AF106" s="267">
        <v>3.9369999999999998</v>
      </c>
      <c r="AG106" s="267">
        <f>3.937-AF106</f>
        <v>0</v>
      </c>
      <c r="AH106" s="267">
        <f>3.937-SUM(AF106:AG106)</f>
        <v>0</v>
      </c>
      <c r="AI106" s="267">
        <f>3.937-SUM(AF106:AH106)</f>
        <v>0</v>
      </c>
      <c r="AJ106" s="194">
        <f t="shared" si="356"/>
        <v>3.9369999999999998</v>
      </c>
      <c r="AK106" s="267">
        <v>0</v>
      </c>
      <c r="AL106" s="267">
        <f>0-AK106</f>
        <v>0</v>
      </c>
      <c r="AM106" s="267">
        <f>3.735-SUM(AK106:AL106)</f>
        <v>3.7349999999999999</v>
      </c>
      <c r="AN106" s="267">
        <f>3.954-SUM(AK106:AM106)</f>
        <v>0.21900000000000031</v>
      </c>
      <c r="AO106" s="194">
        <f t="shared" si="357"/>
        <v>3.9540000000000002</v>
      </c>
      <c r="AP106" s="267">
        <v>-12.885</v>
      </c>
      <c r="AQ106" s="267">
        <f>-13.211-AP106</f>
        <v>-0.32600000000000051</v>
      </c>
      <c r="AR106" s="267">
        <f>-17.687-SUM(AP106:AQ106)</f>
        <v>-4.4760000000000009</v>
      </c>
      <c r="AS106" s="267">
        <f>-17.687-SUM(AP106:AR106)</f>
        <v>0</v>
      </c>
      <c r="AT106" s="194">
        <f t="shared" si="358"/>
        <v>-17.687000000000001</v>
      </c>
      <c r="AU106" s="267">
        <v>0.40500000000000003</v>
      </c>
      <c r="AV106" s="267">
        <f>0.405-AU106</f>
        <v>0</v>
      </c>
      <c r="AW106" s="267">
        <f>0.405-AU106-AV106</f>
        <v>0</v>
      </c>
      <c r="AX106" s="267">
        <f>0.405-AW106-AV106-AU106</f>
        <v>0</v>
      </c>
      <c r="AY106" s="194">
        <f t="shared" si="359"/>
        <v>0.40500000000000003</v>
      </c>
      <c r="AZ106" s="267">
        <v>0</v>
      </c>
      <c r="BA106" s="267">
        <f>0-AZ106</f>
        <v>0</v>
      </c>
      <c r="BB106" s="267">
        <f>0-AZ106-BA106</f>
        <v>0</v>
      </c>
      <c r="BC106" s="267">
        <f>0-AZ106-BA106-BB106</f>
        <v>0</v>
      </c>
      <c r="BD106" s="194">
        <f t="shared" si="360"/>
        <v>0</v>
      </c>
      <c r="BE106" s="267">
        <v>3.234</v>
      </c>
      <c r="BF106" s="267">
        <f>3.234-BE106</f>
        <v>0</v>
      </c>
      <c r="BG106" s="267">
        <f>3.3-BF106-BE106</f>
        <v>6.5999999999999837E-2</v>
      </c>
      <c r="BH106" s="267">
        <f>2.572-SUM(BE106:BG106)</f>
        <v>-0.72799999999999976</v>
      </c>
      <c r="BI106" s="194">
        <f t="shared" si="361"/>
        <v>2.5720000000000001</v>
      </c>
      <c r="BJ106" s="267">
        <v>0</v>
      </c>
      <c r="BK106" s="267">
        <f>0-BJ106</f>
        <v>0</v>
      </c>
      <c r="BL106" s="267">
        <v>0</v>
      </c>
      <c r="BM106" s="267">
        <f>0-SUM(BJ106:BL106)</f>
        <v>0</v>
      </c>
      <c r="BN106" s="194">
        <f t="shared" si="362"/>
        <v>0</v>
      </c>
      <c r="BO106" s="267">
        <v>0</v>
      </c>
      <c r="BP106" s="267">
        <f>0-BO106</f>
        <v>0</v>
      </c>
      <c r="BQ106" s="267">
        <v>0</v>
      </c>
      <c r="BR106" s="267">
        <v>0</v>
      </c>
      <c r="BS106" s="194">
        <f t="shared" ref="BS106:BS111" si="366">SUM(BO106:BR106)</f>
        <v>0</v>
      </c>
      <c r="BT106" s="267">
        <v>0</v>
      </c>
      <c r="BU106" s="267">
        <v>0</v>
      </c>
      <c r="BV106" s="267">
        <f>0-SUM(BT106:BU106)</f>
        <v>0</v>
      </c>
      <c r="BW106" s="267">
        <v>0</v>
      </c>
      <c r="BX106" s="194">
        <f t="shared" si="365"/>
        <v>0</v>
      </c>
      <c r="BY106" s="267">
        <v>1</v>
      </c>
      <c r="BZ106" s="267">
        <f>1-BY106</f>
        <v>0</v>
      </c>
      <c r="CA106" s="267">
        <f>4-BZ106-BY106</f>
        <v>3</v>
      </c>
      <c r="CB106" s="267">
        <f>4-CA106-BZ106-BY106</f>
        <v>0</v>
      </c>
      <c r="CC106" s="221">
        <f t="shared" ref="CC106:CC111" si="367">SUM(BY106:CB106)</f>
        <v>4</v>
      </c>
      <c r="CD106" s="267">
        <v>0</v>
      </c>
      <c r="CE106" s="267">
        <f>0-CD106</f>
        <v>0</v>
      </c>
      <c r="CF106" s="267">
        <v>0</v>
      </c>
      <c r="CG106" s="267">
        <v>0</v>
      </c>
      <c r="CH106" s="221">
        <f t="shared" ref="CH106:CH111" si="368">SUM(CD106:CG106)</f>
        <v>0</v>
      </c>
      <c r="CI106" s="267">
        <v>250</v>
      </c>
      <c r="CJ106" s="267">
        <f>330-CI106</f>
        <v>80</v>
      </c>
      <c r="CK106" s="267">
        <f>363-CJ106-CI106</f>
        <v>33</v>
      </c>
      <c r="CL106" s="267">
        <f>2123-CK106-CJ106-CI106</f>
        <v>1760</v>
      </c>
      <c r="CM106" s="234">
        <f t="shared" ref="CM106:CM111" si="369">SUM(CI106:CL106)</f>
        <v>2123</v>
      </c>
      <c r="CN106" s="267">
        <v>100</v>
      </c>
      <c r="CO106" s="267">
        <v>100</v>
      </c>
      <c r="CP106" s="267">
        <v>100</v>
      </c>
      <c r="CQ106" s="267">
        <v>120</v>
      </c>
      <c r="CR106" s="234">
        <f t="shared" ref="CR106" si="370">SUM(CN106:CQ106)</f>
        <v>420</v>
      </c>
      <c r="CS106" s="267">
        <v>0</v>
      </c>
      <c r="CT106" s="267">
        <v>0</v>
      </c>
      <c r="CU106" s="267">
        <v>0</v>
      </c>
      <c r="CV106" s="267">
        <v>0</v>
      </c>
      <c r="CW106" s="234">
        <v>0</v>
      </c>
      <c r="CX106" s="267">
        <v>0</v>
      </c>
      <c r="CY106" s="267">
        <v>0</v>
      </c>
      <c r="CZ106" s="267">
        <v>0</v>
      </c>
      <c r="DA106" s="267">
        <v>0</v>
      </c>
      <c r="DB106" s="234">
        <v>0</v>
      </c>
      <c r="DC106" s="9"/>
    </row>
    <row r="107" spans="1:114">
      <c r="A107" s="1"/>
      <c r="B107" s="9" t="s">
        <v>354</v>
      </c>
      <c r="C107" s="193"/>
      <c r="D107" s="842"/>
      <c r="E107" s="194"/>
      <c r="F107" s="234">
        <v>0</v>
      </c>
      <c r="G107" s="267">
        <v>0</v>
      </c>
      <c r="H107" s="267">
        <f>0-G107</f>
        <v>0</v>
      </c>
      <c r="I107" s="267">
        <f>0-SUM(G107:H107)</f>
        <v>0</v>
      </c>
      <c r="J107" s="267">
        <f>0-SUM(G107:I107)</f>
        <v>0</v>
      </c>
      <c r="K107" s="194">
        <f t="shared" si="351"/>
        <v>0</v>
      </c>
      <c r="L107" s="267">
        <v>0</v>
      </c>
      <c r="M107" s="267">
        <f>0-L107</f>
        <v>0</v>
      </c>
      <c r="N107" s="267">
        <f>0-SUM(L107:M107)</f>
        <v>0</v>
      </c>
      <c r="O107" s="267">
        <f>0-SUM(L107:N107)</f>
        <v>0</v>
      </c>
      <c r="P107" s="194">
        <f t="shared" si="352"/>
        <v>0</v>
      </c>
      <c r="Q107" s="267">
        <v>0</v>
      </c>
      <c r="R107" s="267">
        <f>0-Q107</f>
        <v>0</v>
      </c>
      <c r="S107" s="267">
        <f>0-SUM(Q107:R107)</f>
        <v>0</v>
      </c>
      <c r="T107" s="267">
        <f>0-SUM(Q107:S107)</f>
        <v>0</v>
      </c>
      <c r="U107" s="194">
        <f t="shared" si="353"/>
        <v>0</v>
      </c>
      <c r="V107" s="267">
        <v>0</v>
      </c>
      <c r="W107" s="267">
        <f>0-V107</f>
        <v>0</v>
      </c>
      <c r="X107" s="267">
        <f>1.625-SUM(V107:W107)</f>
        <v>1.625</v>
      </c>
      <c r="Y107" s="267">
        <f>1.625-SUM(V107:X107)</f>
        <v>0</v>
      </c>
      <c r="Z107" s="194">
        <f t="shared" si="354"/>
        <v>1.625</v>
      </c>
      <c r="AA107" s="267">
        <v>0</v>
      </c>
      <c r="AB107" s="267">
        <f>6.718-AA107</f>
        <v>6.718</v>
      </c>
      <c r="AC107" s="267">
        <f>6.718-SUM(AA107:AB107)</f>
        <v>0</v>
      </c>
      <c r="AD107" s="267">
        <f>6.718-SUM(AA107:AC107)</f>
        <v>0</v>
      </c>
      <c r="AE107" s="194">
        <f t="shared" si="355"/>
        <v>6.718</v>
      </c>
      <c r="AF107" s="267">
        <v>0</v>
      </c>
      <c r="AG107" s="267">
        <f>0-AF107</f>
        <v>0</v>
      </c>
      <c r="AH107" s="267">
        <f>0-SUM(AF107:AG107)</f>
        <v>0</v>
      </c>
      <c r="AI107" s="267">
        <f>0-SUM(AF107:AH107)</f>
        <v>0</v>
      </c>
      <c r="AJ107" s="194">
        <f t="shared" si="356"/>
        <v>0</v>
      </c>
      <c r="AK107" s="267">
        <v>0</v>
      </c>
      <c r="AL107" s="267">
        <f>0-AK107</f>
        <v>0</v>
      </c>
      <c r="AM107" s="267">
        <f>0-SUM(AK107:AL107)</f>
        <v>0</v>
      </c>
      <c r="AN107" s="267">
        <f>19.044-SUM(AK107:AM107)</f>
        <v>19.044</v>
      </c>
      <c r="AO107" s="194">
        <f t="shared" si="357"/>
        <v>19.044</v>
      </c>
      <c r="AP107" s="267">
        <v>0</v>
      </c>
      <c r="AQ107" s="267">
        <f>0-AP107</f>
        <v>0</v>
      </c>
      <c r="AR107" s="267">
        <f>0-SUM(AP107:AQ107)</f>
        <v>0</v>
      </c>
      <c r="AS107" s="267">
        <f>5-SUM(AP107:AR107)</f>
        <v>5</v>
      </c>
      <c r="AT107" s="194">
        <f t="shared" si="358"/>
        <v>5</v>
      </c>
      <c r="AU107" s="267">
        <v>0</v>
      </c>
      <c r="AV107" s="267">
        <f>0-AU107</f>
        <v>0</v>
      </c>
      <c r="AW107" s="267">
        <f>0-AU107-AV107</f>
        <v>0</v>
      </c>
      <c r="AX107" s="267">
        <f>12.477-AW107-AV107-AU107</f>
        <v>12.477</v>
      </c>
      <c r="AY107" s="194">
        <f t="shared" si="359"/>
        <v>12.477</v>
      </c>
      <c r="AZ107" s="267">
        <v>0</v>
      </c>
      <c r="BA107" s="267">
        <f>0-AZ107</f>
        <v>0</v>
      </c>
      <c r="BB107" s="267">
        <f>0-AZ107-BA107</f>
        <v>0</v>
      </c>
      <c r="BC107" s="267">
        <f>0-AZ107-BA107-BB107</f>
        <v>0</v>
      </c>
      <c r="BD107" s="194">
        <f t="shared" si="360"/>
        <v>0</v>
      </c>
      <c r="BE107" s="267">
        <v>8.3680000000000003</v>
      </c>
      <c r="BF107" s="267">
        <f>47.93-BE107</f>
        <v>39.561999999999998</v>
      </c>
      <c r="BG107" s="267">
        <f>47.93-BE107-BF107</f>
        <v>0</v>
      </c>
      <c r="BH107" s="267">
        <f>47.93-BE107-BF107-BG107</f>
        <v>0</v>
      </c>
      <c r="BI107" s="194">
        <f t="shared" si="361"/>
        <v>47.93</v>
      </c>
      <c r="BJ107" s="267">
        <v>0</v>
      </c>
      <c r="BK107" s="267">
        <f>0-BJ107</f>
        <v>0</v>
      </c>
      <c r="BL107" s="267">
        <v>0</v>
      </c>
      <c r="BM107" s="267">
        <f>10-SUM(BJ107:BL107)</f>
        <v>10</v>
      </c>
      <c r="BN107" s="194">
        <f t="shared" si="362"/>
        <v>10</v>
      </c>
      <c r="BO107" s="267">
        <v>0</v>
      </c>
      <c r="BP107" s="267">
        <f>0-BO107</f>
        <v>0</v>
      </c>
      <c r="BQ107" s="267">
        <v>0</v>
      </c>
      <c r="BR107" s="267">
        <f>20.1</f>
        <v>20.100000000000001</v>
      </c>
      <c r="BS107" s="194">
        <f t="shared" si="366"/>
        <v>20.100000000000001</v>
      </c>
      <c r="BT107" s="267">
        <v>42</v>
      </c>
      <c r="BU107" s="267">
        <f>46-BT107</f>
        <v>4</v>
      </c>
      <c r="BV107" s="267">
        <f>46-SUM(BT107:BU107)</f>
        <v>0</v>
      </c>
      <c r="BW107" s="267">
        <f>50+41-SUM(BT107:BV107)</f>
        <v>45</v>
      </c>
      <c r="BX107" s="194">
        <f t="shared" si="365"/>
        <v>91</v>
      </c>
      <c r="BY107" s="267">
        <v>2</v>
      </c>
      <c r="BZ107" s="267">
        <f>8-BY107</f>
        <v>6</v>
      </c>
      <c r="CA107" s="267">
        <f>8-BZ107-BY107</f>
        <v>0</v>
      </c>
      <c r="CB107" s="267">
        <f>68+5-CA107-BZ107-BY107</f>
        <v>65</v>
      </c>
      <c r="CC107" s="221">
        <f t="shared" si="367"/>
        <v>73</v>
      </c>
      <c r="CD107" s="267">
        <v>1</v>
      </c>
      <c r="CE107" s="267">
        <f>1+1656-CD107</f>
        <v>1656</v>
      </c>
      <c r="CF107" s="267">
        <f>1+1695-CE107-CD107</f>
        <v>39</v>
      </c>
      <c r="CG107" s="267">
        <f>8+1919-CF107-CE107-CD107</f>
        <v>231</v>
      </c>
      <c r="CH107" s="221">
        <f t="shared" si="368"/>
        <v>1927</v>
      </c>
      <c r="CI107" s="267">
        <v>0</v>
      </c>
      <c r="CJ107" s="267">
        <f>5-CI107</f>
        <v>5</v>
      </c>
      <c r="CK107" s="267">
        <f>6-CJ107-CI107</f>
        <v>1</v>
      </c>
      <c r="CL107" s="267">
        <f>6-CK107-CJ107-CI107</f>
        <v>0</v>
      </c>
      <c r="CM107" s="234">
        <f t="shared" si="369"/>
        <v>6</v>
      </c>
      <c r="CN107" s="267">
        <v>0</v>
      </c>
      <c r="CO107" s="267">
        <v>0</v>
      </c>
      <c r="CP107" s="267">
        <v>0</v>
      </c>
      <c r="CQ107" s="267">
        <v>0</v>
      </c>
      <c r="CR107" s="234">
        <v>0</v>
      </c>
      <c r="CS107" s="267">
        <v>0</v>
      </c>
      <c r="CT107" s="267">
        <v>0</v>
      </c>
      <c r="CU107" s="267">
        <v>0</v>
      </c>
      <c r="CV107" s="267">
        <v>0</v>
      </c>
      <c r="CW107" s="234">
        <v>0</v>
      </c>
      <c r="CX107" s="267">
        <v>0</v>
      </c>
      <c r="CY107" s="267">
        <v>0</v>
      </c>
      <c r="CZ107" s="267">
        <v>0</v>
      </c>
      <c r="DA107" s="267">
        <v>0</v>
      </c>
      <c r="DB107" s="234">
        <v>0</v>
      </c>
      <c r="DC107" s="16"/>
      <c r="DJ107" s="545"/>
    </row>
    <row r="108" spans="1:114" hidden="1" outlineLevel="1">
      <c r="A108" s="1"/>
      <c r="B108" s="9" t="s">
        <v>357</v>
      </c>
      <c r="C108" s="193"/>
      <c r="D108" s="842"/>
      <c r="E108" s="194"/>
      <c r="F108" s="234">
        <v>0</v>
      </c>
      <c r="G108" s="267">
        <v>0</v>
      </c>
      <c r="H108" s="267">
        <f>0-G108</f>
        <v>0</v>
      </c>
      <c r="I108" s="267">
        <f>0-SUM(G108:H108)</f>
        <v>0</v>
      </c>
      <c r="J108" s="267">
        <f>3.808-SUM(G108:I108)</f>
        <v>3.8079999999999998</v>
      </c>
      <c r="K108" s="194">
        <f t="shared" si="351"/>
        <v>3.8079999999999998</v>
      </c>
      <c r="L108" s="267">
        <v>0</v>
      </c>
      <c r="M108" s="267">
        <f>0-L108</f>
        <v>0</v>
      </c>
      <c r="N108" s="267">
        <f>0-SUM(L108:M108)</f>
        <v>0</v>
      </c>
      <c r="O108" s="267">
        <f>5.274-SUM(L108:N108)</f>
        <v>5.274</v>
      </c>
      <c r="P108" s="194">
        <f t="shared" si="352"/>
        <v>5.274</v>
      </c>
      <c r="Q108" s="267"/>
      <c r="R108" s="267"/>
      <c r="S108" s="267"/>
      <c r="T108" s="267">
        <f>0-SUM(Q108:S108)</f>
        <v>0</v>
      </c>
      <c r="U108" s="194">
        <f t="shared" si="353"/>
        <v>0</v>
      </c>
      <c r="V108" s="267">
        <v>0</v>
      </c>
      <c r="W108" s="267">
        <f>0-V108</f>
        <v>0</v>
      </c>
      <c r="X108" s="267">
        <f>0.788-SUM(V108:W108)</f>
        <v>0.78800000000000003</v>
      </c>
      <c r="Y108" s="267">
        <f>0.788-SUM(V108:X108)</f>
        <v>0</v>
      </c>
      <c r="Z108" s="194">
        <f t="shared" si="354"/>
        <v>0.78800000000000003</v>
      </c>
      <c r="AA108" s="267">
        <v>0</v>
      </c>
      <c r="AB108" s="267">
        <f>0-AA108</f>
        <v>0</v>
      </c>
      <c r="AC108" s="267">
        <f>0-SUM(AA108:AB108)</f>
        <v>0</v>
      </c>
      <c r="AD108" s="267">
        <f>0-SUM(AA108:AC108)</f>
        <v>0</v>
      </c>
      <c r="AE108" s="194">
        <f t="shared" si="355"/>
        <v>0</v>
      </c>
      <c r="AF108" s="267">
        <v>0</v>
      </c>
      <c r="AG108" s="267">
        <f>0-AF108</f>
        <v>0</v>
      </c>
      <c r="AH108" s="267">
        <f>0-SUM(AF108:AG108)</f>
        <v>0</v>
      </c>
      <c r="AI108" s="267">
        <f>0-SUM(AF108:AH108)</f>
        <v>0</v>
      </c>
      <c r="AJ108" s="194">
        <f t="shared" si="356"/>
        <v>0</v>
      </c>
      <c r="AK108" s="267">
        <v>0</v>
      </c>
      <c r="AL108" s="267">
        <f>0-AK108</f>
        <v>0</v>
      </c>
      <c r="AM108" s="267">
        <f>27.291-SUM(AK108:AL108)</f>
        <v>27.291</v>
      </c>
      <c r="AN108" s="267">
        <f>27.388-SUM(AK108:AM108)</f>
        <v>9.7000000000001307E-2</v>
      </c>
      <c r="AO108" s="194">
        <f t="shared" si="357"/>
        <v>27.388000000000002</v>
      </c>
      <c r="AP108" s="267">
        <v>0</v>
      </c>
      <c r="AQ108" s="267">
        <f>1.328-AP108</f>
        <v>1.3280000000000001</v>
      </c>
      <c r="AR108" s="267">
        <f>1.328-SUM(AP108:AQ108)</f>
        <v>0</v>
      </c>
      <c r="AS108" s="267">
        <f>-2.525-SUM(AP108:AR108)</f>
        <v>-3.8529999999999998</v>
      </c>
      <c r="AT108" s="194">
        <f t="shared" si="358"/>
        <v>-2.5249999999999995</v>
      </c>
      <c r="AU108" s="267">
        <v>-2.4119999999999999</v>
      </c>
      <c r="AV108" s="267">
        <f>-2.406-AU108</f>
        <v>5.9999999999997833E-3</v>
      </c>
      <c r="AW108" s="267">
        <f>-2.385-SUM(AU108:AV108)</f>
        <v>2.1000000000000352E-2</v>
      </c>
      <c r="AX108" s="267">
        <f>-2.385-AU108-AV108-AW108</f>
        <v>0</v>
      </c>
      <c r="AY108" s="194">
        <f t="shared" si="359"/>
        <v>-2.3849999999999998</v>
      </c>
      <c r="AZ108" s="267">
        <v>0</v>
      </c>
      <c r="BA108" s="267">
        <f>0-AZ108</f>
        <v>0</v>
      </c>
      <c r="BB108" s="267">
        <f>0-AZ108-BA108</f>
        <v>0</v>
      </c>
      <c r="BC108" s="267">
        <f>0-AZ108-BA108-BB108</f>
        <v>0</v>
      </c>
      <c r="BD108" s="194">
        <f t="shared" si="360"/>
        <v>0</v>
      </c>
      <c r="BE108" s="267">
        <v>0</v>
      </c>
      <c r="BF108" s="267">
        <f>0-BE108</f>
        <v>0</v>
      </c>
      <c r="BG108" s="267">
        <f>0-BE108-BF108</f>
        <v>0</v>
      </c>
      <c r="BH108" s="267">
        <f>66.019-BE108-BF108-BG108</f>
        <v>66.019000000000005</v>
      </c>
      <c r="BI108" s="194">
        <f t="shared" si="361"/>
        <v>66.019000000000005</v>
      </c>
      <c r="BJ108" s="267">
        <v>63.429000000000002</v>
      </c>
      <c r="BK108" s="267">
        <f>63.429-BJ108</f>
        <v>0</v>
      </c>
      <c r="BL108" s="267">
        <f>115.453-BJ108-BK108</f>
        <v>52.024000000000001</v>
      </c>
      <c r="BM108" s="267">
        <f>115.453-SUM(BJ108:BL108)</f>
        <v>0</v>
      </c>
      <c r="BN108" s="194">
        <f t="shared" si="362"/>
        <v>115.453</v>
      </c>
      <c r="BO108" s="267">
        <v>1.2949999999999999</v>
      </c>
      <c r="BP108" s="267">
        <f>1.295-BO108</f>
        <v>0</v>
      </c>
      <c r="BQ108" s="267">
        <v>0</v>
      </c>
      <c r="BR108" s="267">
        <f>1.295-SUM(BO108:BQ108)</f>
        <v>0</v>
      </c>
      <c r="BS108" s="194">
        <f t="shared" si="366"/>
        <v>1.2949999999999999</v>
      </c>
      <c r="BT108" s="267">
        <v>73</v>
      </c>
      <c r="BU108" s="267">
        <f>73-BT108</f>
        <v>0</v>
      </c>
      <c r="BV108" s="267">
        <f>73-SUM(BT108:BU108)</f>
        <v>0</v>
      </c>
      <c r="BW108" s="267">
        <f>73-SUM(BT108:BV108)</f>
        <v>0</v>
      </c>
      <c r="BX108" s="194">
        <f t="shared" si="365"/>
        <v>73</v>
      </c>
      <c r="BY108" s="267">
        <v>8</v>
      </c>
      <c r="BZ108" s="267">
        <f>16-BY108</f>
        <v>8</v>
      </c>
      <c r="CA108" s="267">
        <f>16-BZ108-BY108</f>
        <v>0</v>
      </c>
      <c r="CB108" s="267">
        <f>16-CA108-BZ108-BY108</f>
        <v>0</v>
      </c>
      <c r="CC108" s="221">
        <f t="shared" si="367"/>
        <v>16</v>
      </c>
      <c r="CD108" s="267"/>
      <c r="CE108" s="267">
        <f>30-CD108</f>
        <v>30</v>
      </c>
      <c r="CF108" s="267">
        <f>30-CE108-D108</f>
        <v>0</v>
      </c>
      <c r="CG108" s="267">
        <f>30-CF108-CE108-CD108</f>
        <v>0</v>
      </c>
      <c r="CH108" s="221">
        <f t="shared" si="368"/>
        <v>30</v>
      </c>
      <c r="CI108" s="267">
        <v>21</v>
      </c>
      <c r="CJ108" s="267">
        <f>31-CI108</f>
        <v>10</v>
      </c>
      <c r="CK108" s="267">
        <f>35-CJ108-CI108</f>
        <v>4</v>
      </c>
      <c r="CL108" s="267">
        <f>40-CK108-CJ108-CI108</f>
        <v>5</v>
      </c>
      <c r="CM108" s="234">
        <f t="shared" si="369"/>
        <v>40</v>
      </c>
      <c r="CN108" s="267"/>
      <c r="CO108" s="267"/>
      <c r="CP108" s="267"/>
      <c r="CQ108" s="267"/>
      <c r="CR108" s="234"/>
      <c r="CS108" s="267"/>
      <c r="CT108" s="267"/>
      <c r="CU108" s="267"/>
      <c r="CV108" s="267"/>
      <c r="CW108" s="234"/>
      <c r="CX108" s="267"/>
      <c r="CY108" s="267"/>
      <c r="CZ108" s="267"/>
      <c r="DA108" s="267"/>
      <c r="DB108" s="234"/>
      <c r="DC108" s="16"/>
      <c r="DJ108" s="545"/>
    </row>
    <row r="109" spans="1:114" collapsed="1">
      <c r="A109" s="1"/>
      <c r="B109" s="9" t="s">
        <v>475</v>
      </c>
      <c r="C109" s="193"/>
      <c r="D109" s="842"/>
      <c r="E109" s="194"/>
      <c r="F109" s="234">
        <v>0</v>
      </c>
      <c r="G109" s="267">
        <v>0</v>
      </c>
      <c r="H109" s="267">
        <f>0-G109</f>
        <v>0</v>
      </c>
      <c r="I109" s="267">
        <f>0-SUM(G109:H109)</f>
        <v>0</v>
      </c>
      <c r="J109" s="267">
        <f>0-SUM(G109:I109)</f>
        <v>0</v>
      </c>
      <c r="K109" s="194">
        <f t="shared" si="351"/>
        <v>0</v>
      </c>
      <c r="L109" s="267">
        <v>0</v>
      </c>
      <c r="M109" s="267">
        <f>0-L109</f>
        <v>0</v>
      </c>
      <c r="N109" s="267">
        <f>0-SUM(L109:M109)</f>
        <v>0</v>
      </c>
      <c r="O109" s="267">
        <f>0-SUM(L109:N109)</f>
        <v>0</v>
      </c>
      <c r="P109" s="194">
        <f t="shared" si="352"/>
        <v>0</v>
      </c>
      <c r="Q109" s="267">
        <v>0</v>
      </c>
      <c r="R109" s="267">
        <f>0-Q109</f>
        <v>0</v>
      </c>
      <c r="S109" s="267">
        <f>0-SUM(Q109:R109)</f>
        <v>0</v>
      </c>
      <c r="T109" s="267">
        <f>0-SUM(Q109:S109)</f>
        <v>0</v>
      </c>
      <c r="U109" s="194">
        <f t="shared" si="353"/>
        <v>0</v>
      </c>
      <c r="V109" s="267">
        <v>0</v>
      </c>
      <c r="W109" s="267">
        <f>0-V109</f>
        <v>0</v>
      </c>
      <c r="X109" s="267">
        <f>0-SUM(V109:W109)</f>
        <v>0</v>
      </c>
      <c r="Y109" s="267">
        <f>0-SUM(V109:X109)</f>
        <v>0</v>
      </c>
      <c r="Z109" s="194">
        <f t="shared" si="354"/>
        <v>0</v>
      </c>
      <c r="AA109" s="267">
        <v>0</v>
      </c>
      <c r="AB109" s="267">
        <f>0-AA109</f>
        <v>0</v>
      </c>
      <c r="AC109" s="267">
        <f>0-SUM(AA109:AB109)</f>
        <v>0</v>
      </c>
      <c r="AD109" s="267">
        <f>0-SUM(AA109:AC109)</f>
        <v>0</v>
      </c>
      <c r="AE109" s="194">
        <f t="shared" si="355"/>
        <v>0</v>
      </c>
      <c r="AF109" s="267">
        <v>-4.3600000000000003</v>
      </c>
      <c r="AG109" s="267">
        <f>-4.588-AF109</f>
        <v>-0.22799999999999976</v>
      </c>
      <c r="AH109" s="267">
        <f>-6.589-SUM(AF109:AG109)</f>
        <v>-2.0010000000000003</v>
      </c>
      <c r="AI109" s="267">
        <f>-6.819-SUM(AF109:AH109)</f>
        <v>-0.22999999999999954</v>
      </c>
      <c r="AJ109" s="194">
        <f t="shared" si="356"/>
        <v>-6.819</v>
      </c>
      <c r="AK109" s="267">
        <v>-0.75800000000000001</v>
      </c>
      <c r="AL109" s="267">
        <f>-2.295-AK109</f>
        <v>-1.5369999999999999</v>
      </c>
      <c r="AM109" s="267">
        <f>-2.275-SUM(AK109:AL109)</f>
        <v>2.0000000000000018E-2</v>
      </c>
      <c r="AN109" s="267">
        <f>-1.216-SUM(AK109:AM109)</f>
        <v>1.0589999999999999</v>
      </c>
      <c r="AO109" s="194">
        <f t="shared" si="357"/>
        <v>-1.216</v>
      </c>
      <c r="AP109" s="267">
        <v>0.94699999999999995</v>
      </c>
      <c r="AQ109" s="267">
        <f>0.947-AP109</f>
        <v>0</v>
      </c>
      <c r="AR109" s="267">
        <f>-1.278-SUM(AP109:AQ109)</f>
        <v>-2.2250000000000001</v>
      </c>
      <c r="AS109" s="267">
        <f>-1.278-SUM(AP109:AR109)</f>
        <v>0</v>
      </c>
      <c r="AT109" s="194">
        <f t="shared" si="358"/>
        <v>-1.278</v>
      </c>
      <c r="AU109" s="267">
        <v>0</v>
      </c>
      <c r="AV109" s="267">
        <f>3.389-AU109</f>
        <v>3.3889999999999998</v>
      </c>
      <c r="AW109" s="267">
        <f>3.544-SUM(AU109:AV109)</f>
        <v>0.15500000000000025</v>
      </c>
      <c r="AX109" s="267">
        <f>3.472-AW109-AV109-AU109</f>
        <v>-7.2000000000000064E-2</v>
      </c>
      <c r="AY109" s="194">
        <f t="shared" si="359"/>
        <v>3.472</v>
      </c>
      <c r="AZ109" s="267">
        <v>-4.3490000000000002</v>
      </c>
      <c r="BA109" s="267">
        <f>-10.104-AZ109</f>
        <v>-5.754999999999999</v>
      </c>
      <c r="BB109" s="267">
        <f>-10.109-SUM(AZ109:BA109)</f>
        <v>-5.0000000000007816E-3</v>
      </c>
      <c r="BC109" s="267">
        <f>-10.219-SUM(AZ109:BB109)</f>
        <v>-0.10999999999999943</v>
      </c>
      <c r="BD109" s="194">
        <f t="shared" si="360"/>
        <v>-10.218999999999999</v>
      </c>
      <c r="BE109" s="267">
        <v>-4.6749999999999998</v>
      </c>
      <c r="BF109" s="267">
        <f>-4.659-BE109</f>
        <v>1.6000000000000014E-2</v>
      </c>
      <c r="BG109" s="267">
        <f>+-4.616-BF109-BE109</f>
        <v>4.3000000000000149E-2</v>
      </c>
      <c r="BH109" s="267">
        <f>-5.29-SUM(BE109:BG109)</f>
        <v>-0.67400000000000038</v>
      </c>
      <c r="BI109" s="194">
        <f t="shared" si="361"/>
        <v>-5.29</v>
      </c>
      <c r="BJ109" s="267">
        <v>-1.004</v>
      </c>
      <c r="BK109" s="267">
        <f>-1.037-BJ109</f>
        <v>-3.2999999999999918E-2</v>
      </c>
      <c r="BL109" s="267">
        <f>-1.545-BJ109-BK109</f>
        <v>-0.50800000000000001</v>
      </c>
      <c r="BM109" s="267">
        <f>-3.973-SUM(BJ109:BL109)</f>
        <v>-2.4279999999999999</v>
      </c>
      <c r="BN109" s="194">
        <f t="shared" si="362"/>
        <v>-3.9729999999999999</v>
      </c>
      <c r="BO109" s="267">
        <v>-5.3579999999999997</v>
      </c>
      <c r="BP109" s="267">
        <f>-6.331-BO109</f>
        <v>-0.97300000000000075</v>
      </c>
      <c r="BQ109" s="267">
        <f>-6.573-BP109-BO109</f>
        <v>-0.24199999999999999</v>
      </c>
      <c r="BR109" s="267">
        <f>-6.715-SUM(BO109:BQ109)</f>
        <v>-0.14199999999999946</v>
      </c>
      <c r="BS109" s="194">
        <f t="shared" si="366"/>
        <v>-6.7149999999999999</v>
      </c>
      <c r="BT109" s="267">
        <v>-3</v>
      </c>
      <c r="BU109" s="267">
        <f>-3-BT109</f>
        <v>0</v>
      </c>
      <c r="BV109" s="267">
        <f>-4-SUM(BT109:BU109)</f>
        <v>-1</v>
      </c>
      <c r="BW109" s="267">
        <f>0-SUM(BT109:BV109)</f>
        <v>4</v>
      </c>
      <c r="BX109" s="194">
        <f t="shared" si="365"/>
        <v>0</v>
      </c>
      <c r="BY109" s="267">
        <v>0</v>
      </c>
      <c r="BZ109" s="267">
        <f>0-BY109</f>
        <v>0</v>
      </c>
      <c r="CA109" s="267">
        <v>0</v>
      </c>
      <c r="CB109" s="267">
        <v>0</v>
      </c>
      <c r="CC109" s="221">
        <f t="shared" si="367"/>
        <v>0</v>
      </c>
      <c r="CD109" s="267">
        <v>0</v>
      </c>
      <c r="CE109" s="267">
        <v>0</v>
      </c>
      <c r="CF109" s="267">
        <v>0</v>
      </c>
      <c r="CG109" s="267">
        <v>0</v>
      </c>
      <c r="CH109" s="221">
        <f t="shared" si="368"/>
        <v>0</v>
      </c>
      <c r="CI109" s="267">
        <v>0</v>
      </c>
      <c r="CJ109" s="267">
        <v>0</v>
      </c>
      <c r="CK109" s="267">
        <v>0</v>
      </c>
      <c r="CL109" s="267">
        <v>0</v>
      </c>
      <c r="CM109" s="234">
        <f t="shared" si="369"/>
        <v>0</v>
      </c>
      <c r="CN109" s="267">
        <v>0</v>
      </c>
      <c r="CO109" s="267">
        <v>0</v>
      </c>
      <c r="CP109" s="267">
        <v>0</v>
      </c>
      <c r="CQ109" s="267">
        <v>0</v>
      </c>
      <c r="CR109" s="234">
        <v>0</v>
      </c>
      <c r="CS109" s="267">
        <v>0</v>
      </c>
      <c r="CT109" s="267">
        <v>0</v>
      </c>
      <c r="CU109" s="267">
        <v>0</v>
      </c>
      <c r="CV109" s="267">
        <v>0</v>
      </c>
      <c r="CW109" s="234">
        <v>0</v>
      </c>
      <c r="CX109" s="267">
        <v>0</v>
      </c>
      <c r="CY109" s="267">
        <v>0</v>
      </c>
      <c r="CZ109" s="267">
        <v>0</v>
      </c>
      <c r="DA109" s="267">
        <v>0</v>
      </c>
      <c r="DB109" s="234">
        <v>0</v>
      </c>
      <c r="DC109" s="16"/>
      <c r="DJ109" s="545"/>
    </row>
    <row r="110" spans="1:114">
      <c r="A110" s="1"/>
      <c r="B110" s="9" t="s">
        <v>387</v>
      </c>
      <c r="C110" s="193"/>
      <c r="D110" s="842"/>
      <c r="E110" s="194"/>
      <c r="F110" s="234">
        <v>17.21</v>
      </c>
      <c r="G110" s="267">
        <v>0</v>
      </c>
      <c r="H110" s="267">
        <f>0-G110</f>
        <v>0</v>
      </c>
      <c r="I110" s="267">
        <f>0-SUM(G110:H110)</f>
        <v>0</v>
      </c>
      <c r="J110" s="267">
        <f>25.28-SUM(G110:I110)</f>
        <v>25.28</v>
      </c>
      <c r="K110" s="194">
        <f t="shared" si="351"/>
        <v>25.28</v>
      </c>
      <c r="L110" s="267">
        <v>0</v>
      </c>
      <c r="M110" s="267">
        <f>0-L110</f>
        <v>0</v>
      </c>
      <c r="N110" s="267">
        <f>0-SUM(L110:M110)</f>
        <v>0</v>
      </c>
      <c r="O110" s="267">
        <f>38.172-SUM(L110:N110)</f>
        <v>38.171999999999997</v>
      </c>
      <c r="P110" s="194">
        <f t="shared" si="352"/>
        <v>38.171999999999997</v>
      </c>
      <c r="Q110" s="267">
        <v>0</v>
      </c>
      <c r="R110" s="267">
        <f>0.175-Q110</f>
        <v>0.17499999999999999</v>
      </c>
      <c r="S110" s="267">
        <f>0.175-SUM(Q110:R110)</f>
        <v>0</v>
      </c>
      <c r="T110" s="267">
        <f>61.574-SUM(Q110:S110)</f>
        <v>61.399000000000001</v>
      </c>
      <c r="U110" s="194">
        <f t="shared" si="353"/>
        <v>61.573999999999998</v>
      </c>
      <c r="V110" s="267">
        <v>0</v>
      </c>
      <c r="W110" s="267">
        <f>0-V110</f>
        <v>0</v>
      </c>
      <c r="X110" s="267">
        <f>0-SUM(V110:W110)</f>
        <v>0</v>
      </c>
      <c r="Y110" s="267">
        <f>41.902-SUM(V110:X110)</f>
        <v>41.902000000000001</v>
      </c>
      <c r="Z110" s="194">
        <f t="shared" si="354"/>
        <v>41.902000000000001</v>
      </c>
      <c r="AA110" s="267">
        <v>0</v>
      </c>
      <c r="AB110" s="267">
        <f>0-AA110</f>
        <v>0</v>
      </c>
      <c r="AC110" s="267">
        <f>0-SUM(AA110:AB110)</f>
        <v>0</v>
      </c>
      <c r="AD110" s="267">
        <f>9.889-SUM(AA110:AC110)</f>
        <v>9.8889999999999993</v>
      </c>
      <c r="AE110" s="194">
        <f t="shared" si="355"/>
        <v>9.8889999999999993</v>
      </c>
      <c r="AF110" s="267">
        <v>0</v>
      </c>
      <c r="AG110" s="267">
        <f>0-AF110</f>
        <v>0</v>
      </c>
      <c r="AH110" s="267">
        <f>0-SUM(AF110:AG110)</f>
        <v>0</v>
      </c>
      <c r="AI110" s="267">
        <f>-25.228-SUM(AF110:AH110)</f>
        <v>-25.228000000000002</v>
      </c>
      <c r="AJ110" s="194">
        <f t="shared" si="356"/>
        <v>-25.228000000000002</v>
      </c>
      <c r="AK110" s="267">
        <v>0</v>
      </c>
      <c r="AL110" s="267">
        <f>0-AK110</f>
        <v>0</v>
      </c>
      <c r="AM110" s="267">
        <f>0-SUM(AK110:AL110)</f>
        <v>0</v>
      </c>
      <c r="AN110" s="267">
        <f>-39.894-SUM(AK110:AM110)</f>
        <v>-39.893999999999998</v>
      </c>
      <c r="AO110" s="194">
        <f t="shared" si="357"/>
        <v>-39.893999999999998</v>
      </c>
      <c r="AP110" s="267">
        <v>0</v>
      </c>
      <c r="AQ110" s="267">
        <f>0-AP110</f>
        <v>0</v>
      </c>
      <c r="AR110" s="267">
        <f>0-SUM(AP110:AQ110)</f>
        <v>0</v>
      </c>
      <c r="AS110" s="267">
        <f>159.87-SUM(AP110:AR110)</f>
        <v>159.87</v>
      </c>
      <c r="AT110" s="194">
        <f t="shared" si="358"/>
        <v>159.87</v>
      </c>
      <c r="AU110" s="267">
        <v>0</v>
      </c>
      <c r="AV110" s="267">
        <v>0</v>
      </c>
      <c r="AW110" s="267">
        <f>0-SUM(AU110:AV110)</f>
        <v>0</v>
      </c>
      <c r="AX110" s="267">
        <f>34.268-AW110-AV110-AU110</f>
        <v>34.268000000000001</v>
      </c>
      <c r="AY110" s="194">
        <f t="shared" si="359"/>
        <v>34.268000000000001</v>
      </c>
      <c r="AZ110" s="267">
        <v>0</v>
      </c>
      <c r="BA110" s="267">
        <f>0-AZ110</f>
        <v>0</v>
      </c>
      <c r="BB110" s="267">
        <v>0</v>
      </c>
      <c r="BC110" s="267">
        <v>97.37</v>
      </c>
      <c r="BD110" s="194">
        <f t="shared" si="360"/>
        <v>97.37</v>
      </c>
      <c r="BE110" s="267">
        <v>0</v>
      </c>
      <c r="BF110" s="267">
        <v>0</v>
      </c>
      <c r="BG110" s="267">
        <f>0-BE110-BF110</f>
        <v>0</v>
      </c>
      <c r="BH110" s="267">
        <f>107.032-SUM(BE110:BG110)</f>
        <v>107.032</v>
      </c>
      <c r="BI110" s="194">
        <f t="shared" si="361"/>
        <v>107.032</v>
      </c>
      <c r="BJ110" s="267">
        <v>0</v>
      </c>
      <c r="BK110" s="267">
        <f>0-BJ110</f>
        <v>0</v>
      </c>
      <c r="BL110" s="267">
        <v>0</v>
      </c>
      <c r="BM110" s="267">
        <f>53.407-SUM(BJ110:BL110)</f>
        <v>53.406999999999996</v>
      </c>
      <c r="BN110" s="194">
        <f t="shared" si="362"/>
        <v>53.406999999999996</v>
      </c>
      <c r="BO110" s="267">
        <v>0</v>
      </c>
      <c r="BP110" s="267">
        <v>0</v>
      </c>
      <c r="BQ110" s="267">
        <v>0</v>
      </c>
      <c r="BR110" s="267">
        <f>69.284-SUM(BO110:BQ110)</f>
        <v>69.284000000000006</v>
      </c>
      <c r="BS110" s="194">
        <f t="shared" si="366"/>
        <v>69.284000000000006</v>
      </c>
      <c r="BT110" s="267">
        <v>0</v>
      </c>
      <c r="BU110" s="267">
        <v>0</v>
      </c>
      <c r="BV110" s="267">
        <f>0-SUM(BT110:BU110)</f>
        <v>0</v>
      </c>
      <c r="BW110" s="267">
        <f>107-SUM(BT110:BV110)</f>
        <v>107</v>
      </c>
      <c r="BX110" s="194">
        <f t="shared" si="365"/>
        <v>107</v>
      </c>
      <c r="BY110" s="267">
        <v>0</v>
      </c>
      <c r="BZ110" s="267">
        <v>0</v>
      </c>
      <c r="CA110" s="267">
        <v>0</v>
      </c>
      <c r="CB110" s="267">
        <v>103</v>
      </c>
      <c r="CC110" s="221">
        <f t="shared" si="367"/>
        <v>103</v>
      </c>
      <c r="CD110" s="267">
        <v>0</v>
      </c>
      <c r="CE110" s="267">
        <v>0</v>
      </c>
      <c r="CF110" s="267">
        <v>0</v>
      </c>
      <c r="CG110" s="267">
        <f>-116-CF110-CE110-CD110</f>
        <v>-116</v>
      </c>
      <c r="CH110" s="194">
        <f t="shared" si="368"/>
        <v>-116</v>
      </c>
      <c r="CI110" s="267">
        <v>0</v>
      </c>
      <c r="CJ110" s="267">
        <v>0</v>
      </c>
      <c r="CK110" s="267">
        <v>0</v>
      </c>
      <c r="CL110" s="267">
        <v>-454</v>
      </c>
      <c r="CM110" s="194">
        <f t="shared" si="369"/>
        <v>-454</v>
      </c>
      <c r="CN110" s="267">
        <v>0</v>
      </c>
      <c r="CO110" s="267">
        <v>0</v>
      </c>
      <c r="CP110" s="267">
        <v>0</v>
      </c>
      <c r="CQ110" s="267">
        <v>0</v>
      </c>
      <c r="CR110" s="194">
        <v>0</v>
      </c>
      <c r="CS110" s="267">
        <v>0</v>
      </c>
      <c r="CT110" s="267">
        <v>0</v>
      </c>
      <c r="CU110" s="267">
        <v>0</v>
      </c>
      <c r="CV110" s="267">
        <v>0</v>
      </c>
      <c r="CW110" s="194">
        <v>0</v>
      </c>
      <c r="CX110" s="267">
        <v>0</v>
      </c>
      <c r="CY110" s="267">
        <v>0</v>
      </c>
      <c r="CZ110" s="267">
        <v>0</v>
      </c>
      <c r="DA110" s="267">
        <v>0</v>
      </c>
      <c r="DB110" s="194">
        <v>0</v>
      </c>
      <c r="DC110" s="16"/>
      <c r="DJ110" s="545"/>
    </row>
    <row r="111" spans="1:114">
      <c r="A111" s="1"/>
      <c r="B111" s="9" t="s">
        <v>476</v>
      </c>
      <c r="C111" s="193"/>
      <c r="D111" s="842"/>
      <c r="E111" s="194"/>
      <c r="F111" s="234">
        <v>-5.03</v>
      </c>
      <c r="G111" s="267">
        <v>2.8279999999999998</v>
      </c>
      <c r="H111" s="267">
        <f>0.474-G111</f>
        <v>-2.3540000000000001</v>
      </c>
      <c r="I111" s="267">
        <f>3.021-SUM(G111:H111)</f>
        <v>2.5470000000000002</v>
      </c>
      <c r="J111" s="267">
        <f>-0.104-SUM(G111:I111)</f>
        <v>-3.125</v>
      </c>
      <c r="K111" s="194">
        <f t="shared" si="351"/>
        <v>-0.10400000000000009</v>
      </c>
      <c r="L111" s="267">
        <v>0.51900000000000002</v>
      </c>
      <c r="M111" s="267">
        <f>2.483-L111</f>
        <v>1.964</v>
      </c>
      <c r="N111" s="267">
        <f>3.368-SUM(L111:M111)</f>
        <v>0.88499999999999979</v>
      </c>
      <c r="O111" s="267">
        <f>0.186-SUM(L111:N111)</f>
        <v>-3.1819999999999999</v>
      </c>
      <c r="P111" s="194">
        <f t="shared" si="352"/>
        <v>0.18599999999999994</v>
      </c>
      <c r="Q111" s="267">
        <v>-2.5999999999999999E-2</v>
      </c>
      <c r="R111" s="267">
        <f>-0.059-Q111</f>
        <v>-3.3000000000000002E-2</v>
      </c>
      <c r="S111" s="267">
        <f>-0.043-SUM(Q111:R111)</f>
        <v>1.6E-2</v>
      </c>
      <c r="T111" s="267">
        <f>0.32-SUM(Q111:S111)</f>
        <v>0.36299999999999999</v>
      </c>
      <c r="U111" s="194">
        <f t="shared" si="353"/>
        <v>0.32</v>
      </c>
      <c r="V111" s="267">
        <v>-0.49299999999999999</v>
      </c>
      <c r="W111" s="267">
        <f>-0.091-V111</f>
        <v>0.40200000000000002</v>
      </c>
      <c r="X111" s="267">
        <f>0.932-SUM(V111:W111)</f>
        <v>1.0230000000000001</v>
      </c>
      <c r="Y111" s="267">
        <f>0.669-SUM(V111:X111)</f>
        <v>-0.26300000000000012</v>
      </c>
      <c r="Z111" s="194">
        <f t="shared" si="354"/>
        <v>0.66900000000000004</v>
      </c>
      <c r="AA111" s="267">
        <v>-0.47099999999999997</v>
      </c>
      <c r="AB111" s="267">
        <f>-0.511-AA111</f>
        <v>-4.0000000000000036E-2</v>
      </c>
      <c r="AC111" s="267">
        <f>-0.183-SUM(AA111:AB111)</f>
        <v>0.32800000000000001</v>
      </c>
      <c r="AD111" s="267">
        <f>0.74-SUM(AA111:AC111)</f>
        <v>0.92300000000000004</v>
      </c>
      <c r="AE111" s="194">
        <f t="shared" si="355"/>
        <v>0.74</v>
      </c>
      <c r="AF111" s="267">
        <v>-0.59</v>
      </c>
      <c r="AG111" s="267">
        <f>-0.631-AF111</f>
        <v>-4.1000000000000036E-2</v>
      </c>
      <c r="AH111" s="267">
        <f>0.037-SUM(AF111:AG111)</f>
        <v>0.66800000000000004</v>
      </c>
      <c r="AI111" s="267">
        <f>0.5-SUM(AF111:AH111)</f>
        <v>0.46299999999999997</v>
      </c>
      <c r="AJ111" s="194">
        <f t="shared" si="356"/>
        <v>0.5</v>
      </c>
      <c r="AK111" s="267">
        <v>0.13200000000000001</v>
      </c>
      <c r="AL111" s="267">
        <f>-1.542-AK111</f>
        <v>-1.6739999999999999</v>
      </c>
      <c r="AM111" s="267">
        <f>1.82-SUM(AK111:AL111)</f>
        <v>3.3620000000000001</v>
      </c>
      <c r="AN111" s="267">
        <f>19.017-SUM(AK111:AM111)</f>
        <v>17.196999999999999</v>
      </c>
      <c r="AO111" s="194">
        <f t="shared" si="357"/>
        <v>19.016999999999999</v>
      </c>
      <c r="AP111" s="267">
        <v>2.77</v>
      </c>
      <c r="AQ111" s="267">
        <f>2.041-AP111</f>
        <v>-0.72900000000000009</v>
      </c>
      <c r="AR111" s="267">
        <f>7.578-SUM(AP111:AQ111)</f>
        <v>5.5370000000000008</v>
      </c>
      <c r="AS111" s="267">
        <f>3.577-SUM(AP111:AR111)</f>
        <v>-4.0010000000000012</v>
      </c>
      <c r="AT111" s="194">
        <f t="shared" si="358"/>
        <v>3.577</v>
      </c>
      <c r="AU111" s="267">
        <v>-4.4889999999999999</v>
      </c>
      <c r="AV111" s="267">
        <f>+-6.472-AU111</f>
        <v>-1.9830000000000005</v>
      </c>
      <c r="AW111" s="267">
        <f>13.41-SUM(AU111:AV111)</f>
        <v>19.882000000000001</v>
      </c>
      <c r="AX111" s="267">
        <f>22.87-AU111-AV111-AW111</f>
        <v>9.4600000000000009</v>
      </c>
      <c r="AY111" s="194">
        <f t="shared" si="359"/>
        <v>22.87</v>
      </c>
      <c r="AZ111" s="267">
        <v>-3.9569999999999999</v>
      </c>
      <c r="BA111" s="267">
        <f>-2.342-AZ111</f>
        <v>1.6149999999999998</v>
      </c>
      <c r="BB111" s="267">
        <f>8.237-SUM(AZ111:BA111)</f>
        <v>10.579000000000001</v>
      </c>
      <c r="BC111" s="267">
        <f>12.503-SUM(AZ111:BB111)</f>
        <v>4.266</v>
      </c>
      <c r="BD111" s="194">
        <f t="shared" si="360"/>
        <v>12.503</v>
      </c>
      <c r="BE111" s="267">
        <f>-11.173</f>
        <v>-11.173</v>
      </c>
      <c r="BF111" s="267">
        <f>4.313-BE111</f>
        <v>15.486000000000001</v>
      </c>
      <c r="BG111" s="267">
        <f>14.279-BF111-BE111</f>
        <v>9.9659999999999993</v>
      </c>
      <c r="BH111" s="267">
        <f>28.716-SUM(BE111:BG111)</f>
        <v>14.437000000000001</v>
      </c>
      <c r="BI111" s="194">
        <f t="shared" si="361"/>
        <v>28.716000000000001</v>
      </c>
      <c r="BJ111" s="267">
        <v>2.569</v>
      </c>
      <c r="BK111" s="267">
        <f>16.461-BJ111</f>
        <v>13.891999999999999</v>
      </c>
      <c r="BL111" s="267">
        <f>22.482-BJ111-BK111</f>
        <v>6.0210000000000008</v>
      </c>
      <c r="BM111" s="267">
        <f>33.251-SUM(BJ111:BL111)</f>
        <v>10.768999999999998</v>
      </c>
      <c r="BN111" s="194">
        <f t="shared" ref="BN111:BN117" si="371">SUM(BJ111:BM111)</f>
        <v>33.250999999999998</v>
      </c>
      <c r="BO111" s="267">
        <v>5.2690000000000001</v>
      </c>
      <c r="BP111" s="267">
        <f>26.955-BO111</f>
        <v>21.686</v>
      </c>
      <c r="BQ111" s="267">
        <v>119.432</v>
      </c>
      <c r="BR111" s="267">
        <f>60.839+101.5-SUM(BO111:BQ111)</f>
        <v>15.951999999999998</v>
      </c>
      <c r="BS111" s="194">
        <f t="shared" si="366"/>
        <v>162.339</v>
      </c>
      <c r="BT111" s="267">
        <v>6</v>
      </c>
      <c r="BU111" s="267">
        <f>19-BT111</f>
        <v>13</v>
      </c>
      <c r="BV111" s="267">
        <f>34-SUM(BT111:BU111)</f>
        <v>15</v>
      </c>
      <c r="BW111" s="267">
        <f>13-SUM(BT111:BV111)</f>
        <v>-21</v>
      </c>
      <c r="BX111" s="194">
        <f t="shared" si="365"/>
        <v>13</v>
      </c>
      <c r="BY111" s="267">
        <v>-7</v>
      </c>
      <c r="BZ111" s="267">
        <f>-1-BY111</f>
        <v>6</v>
      </c>
      <c r="CA111" s="267">
        <f>22-BZ111-BY111</f>
        <v>23</v>
      </c>
      <c r="CB111" s="267">
        <f>47-CA111-BZ111-BY111</f>
        <v>25</v>
      </c>
      <c r="CC111" s="221">
        <f t="shared" si="367"/>
        <v>47</v>
      </c>
      <c r="CD111" s="267">
        <f>14+17</f>
        <v>31</v>
      </c>
      <c r="CE111" s="267">
        <f>-94+22-CD111</f>
        <v>-103</v>
      </c>
      <c r="CF111" s="267">
        <f>19-94-CE111-CD111</f>
        <v>-3</v>
      </c>
      <c r="CG111" s="267">
        <f>-94+31-CF111-CE111-CD111</f>
        <v>12</v>
      </c>
      <c r="CH111" s="221">
        <f t="shared" si="368"/>
        <v>-63</v>
      </c>
      <c r="CI111" s="267">
        <v>8</v>
      </c>
      <c r="CJ111" s="267">
        <f>18-CI111</f>
        <v>10</v>
      </c>
      <c r="CK111" s="267">
        <f>24-CJ111-CI111</f>
        <v>6</v>
      </c>
      <c r="CL111" s="267">
        <f>35-CK111-CJ111-CI111</f>
        <v>11</v>
      </c>
      <c r="CM111" s="234">
        <f t="shared" si="369"/>
        <v>35</v>
      </c>
      <c r="CN111" s="267">
        <v>0</v>
      </c>
      <c r="CO111" s="267">
        <v>0</v>
      </c>
      <c r="CP111" s="267">
        <v>0</v>
      </c>
      <c r="CQ111" s="267">
        <v>0</v>
      </c>
      <c r="CR111" s="234">
        <v>0</v>
      </c>
      <c r="CS111" s="267">
        <v>0</v>
      </c>
      <c r="CT111" s="267">
        <v>0</v>
      </c>
      <c r="CU111" s="267">
        <v>0</v>
      </c>
      <c r="CV111" s="267">
        <v>0</v>
      </c>
      <c r="CW111" s="234">
        <v>0</v>
      </c>
      <c r="CX111" s="267">
        <v>0</v>
      </c>
      <c r="CY111" s="267">
        <v>0</v>
      </c>
      <c r="CZ111" s="267">
        <v>0</v>
      </c>
      <c r="DA111" s="267">
        <v>0</v>
      </c>
      <c r="DB111" s="234">
        <v>0</v>
      </c>
      <c r="DC111" s="16"/>
      <c r="DJ111" s="545"/>
    </row>
    <row r="112" spans="1:114" ht="3" customHeight="1">
      <c r="A112" s="1"/>
      <c r="B112" s="9"/>
      <c r="C112" s="193"/>
      <c r="D112" s="842"/>
      <c r="E112" s="194"/>
      <c r="F112" s="221"/>
      <c r="G112" s="192"/>
      <c r="H112" s="192"/>
      <c r="I112" s="192"/>
      <c r="J112" s="222"/>
      <c r="K112" s="194">
        <f t="shared" si="351"/>
        <v>0</v>
      </c>
      <c r="L112" s="192"/>
      <c r="M112" s="192"/>
      <c r="N112" s="192"/>
      <c r="O112" s="222"/>
      <c r="P112" s="194">
        <f t="shared" si="352"/>
        <v>0</v>
      </c>
      <c r="Q112" s="192"/>
      <c r="R112" s="192"/>
      <c r="S112" s="192"/>
      <c r="T112" s="222"/>
      <c r="U112" s="194">
        <f t="shared" si="353"/>
        <v>0</v>
      </c>
      <c r="V112" s="192"/>
      <c r="W112" s="192"/>
      <c r="X112" s="192"/>
      <c r="Y112" s="222"/>
      <c r="Z112" s="194">
        <f t="shared" si="354"/>
        <v>0</v>
      </c>
      <c r="AA112" s="192"/>
      <c r="AB112" s="192"/>
      <c r="AC112" s="192"/>
      <c r="AD112" s="222"/>
      <c r="AE112" s="194">
        <f t="shared" si="355"/>
        <v>0</v>
      </c>
      <c r="AF112" s="192"/>
      <c r="AG112" s="192"/>
      <c r="AH112" s="192"/>
      <c r="AI112" s="222"/>
      <c r="AJ112" s="194">
        <f t="shared" si="356"/>
        <v>0</v>
      </c>
      <c r="AK112" s="192"/>
      <c r="AL112" s="192"/>
      <c r="AM112" s="192"/>
      <c r="AN112" s="222"/>
      <c r="AO112" s="194">
        <f t="shared" si="357"/>
        <v>0</v>
      </c>
      <c r="AP112" s="192"/>
      <c r="AQ112" s="192"/>
      <c r="AR112" s="192"/>
      <c r="AS112" s="222"/>
      <c r="AT112" s="194">
        <f t="shared" si="358"/>
        <v>0</v>
      </c>
      <c r="AU112" s="266"/>
      <c r="AV112" s="267"/>
      <c r="AW112" s="192"/>
      <c r="AX112" s="222"/>
      <c r="AY112" s="194">
        <f t="shared" si="359"/>
        <v>0</v>
      </c>
      <c r="AZ112" s="192"/>
      <c r="BA112" s="192"/>
      <c r="BB112" s="192"/>
      <c r="BC112" s="192"/>
      <c r="BD112" s="194">
        <f t="shared" si="360"/>
        <v>0</v>
      </c>
      <c r="BE112" s="192"/>
      <c r="BF112" s="192"/>
      <c r="BG112" s="192"/>
      <c r="BH112" s="192"/>
      <c r="BI112" s="194">
        <f t="shared" si="361"/>
        <v>0</v>
      </c>
      <c r="BJ112" s="222"/>
      <c r="BK112" s="192"/>
      <c r="BL112" s="192"/>
      <c r="BM112" s="192"/>
      <c r="BN112" s="194">
        <f t="shared" si="371"/>
        <v>0</v>
      </c>
      <c r="BO112" s="192"/>
      <c r="BP112" s="222"/>
      <c r="BQ112" s="222">
        <v>0</v>
      </c>
      <c r="BR112" s="222"/>
      <c r="BS112" s="194"/>
      <c r="BT112" s="192"/>
      <c r="BU112" s="192"/>
      <c r="BV112" s="192"/>
      <c r="BW112" s="222"/>
      <c r="BX112" s="194">
        <f t="shared" si="365"/>
        <v>0</v>
      </c>
      <c r="BY112" s="192"/>
      <c r="BZ112" s="192"/>
      <c r="CA112" s="192"/>
      <c r="CB112" s="192"/>
      <c r="CC112" s="194"/>
      <c r="CD112" s="192"/>
      <c r="CE112" s="192"/>
      <c r="CF112" s="192"/>
      <c r="CG112" s="192"/>
      <c r="CH112" s="194"/>
      <c r="CI112" s="192"/>
      <c r="CJ112" s="192"/>
      <c r="CK112" s="192"/>
      <c r="CL112" s="192"/>
      <c r="CM112" s="194"/>
      <c r="CN112" s="192"/>
      <c r="CO112" s="192"/>
      <c r="CP112" s="192"/>
      <c r="CQ112" s="192"/>
      <c r="CR112" s="194"/>
      <c r="CS112" s="192"/>
      <c r="CT112" s="192"/>
      <c r="CU112" s="192"/>
      <c r="CV112" s="192"/>
      <c r="CW112" s="194"/>
      <c r="CX112" s="192"/>
      <c r="CY112" s="192"/>
      <c r="CZ112" s="192"/>
      <c r="DA112" s="192"/>
      <c r="DB112" s="194"/>
      <c r="DC112" s="16"/>
      <c r="DJ112" s="545"/>
    </row>
    <row r="113" spans="1:114" hidden="1" outlineLevel="1">
      <c r="A113" s="1"/>
      <c r="B113" s="264" t="s">
        <v>477</v>
      </c>
      <c r="C113" s="193"/>
      <c r="D113" s="842"/>
      <c r="E113" s="194"/>
      <c r="F113" s="234">
        <v>-52.988999999999997</v>
      </c>
      <c r="G113" s="267">
        <v>-3.29</v>
      </c>
      <c r="H113" s="267">
        <f>6.277-G113</f>
        <v>9.5670000000000002</v>
      </c>
      <c r="I113" s="267">
        <f>-9.945-SUM(G113:H113)</f>
        <v>-16.222000000000001</v>
      </c>
      <c r="J113" s="267">
        <f>-22.941-SUM(G113:I113)</f>
        <v>-12.995999999999999</v>
      </c>
      <c r="K113" s="194">
        <f t="shared" si="351"/>
        <v>-22.940999999999999</v>
      </c>
      <c r="L113" s="267">
        <v>-27.683</v>
      </c>
      <c r="M113" s="267">
        <f>-4.365-L113</f>
        <v>23.317999999999998</v>
      </c>
      <c r="N113" s="267">
        <f>-10.616-SUM(L113:M113)</f>
        <v>-6.2509999999999977</v>
      </c>
      <c r="O113" s="267">
        <f>-19.099-SUM(L113:N113)</f>
        <v>-8.4830000000000005</v>
      </c>
      <c r="P113" s="194">
        <f t="shared" si="352"/>
        <v>-19.099</v>
      </c>
      <c r="Q113" s="267">
        <v>-63.86</v>
      </c>
      <c r="R113" s="267">
        <f>-10.684-Q113</f>
        <v>53.176000000000002</v>
      </c>
      <c r="S113" s="267">
        <f>-79.493-SUM(Q113:R113)</f>
        <v>-68.808999999999997</v>
      </c>
      <c r="T113" s="267">
        <f>-150.843-SUM(Q113:S113)</f>
        <v>-71.349999999999994</v>
      </c>
      <c r="U113" s="194">
        <f t="shared" si="353"/>
        <v>-150.84299999999999</v>
      </c>
      <c r="V113" s="267">
        <v>-23.161999999999999</v>
      </c>
      <c r="W113" s="267">
        <f>8.335-V113</f>
        <v>31.497</v>
      </c>
      <c r="X113" s="267">
        <f>-11.713-SUM(V113:W113)</f>
        <v>-20.048000000000002</v>
      </c>
      <c r="Y113" s="267">
        <f>-31.814-SUM(V113:X113)</f>
        <v>-20.100999999999999</v>
      </c>
      <c r="Z113" s="194">
        <f t="shared" si="354"/>
        <v>-31.814</v>
      </c>
      <c r="AA113" s="267">
        <v>-11.51</v>
      </c>
      <c r="AB113" s="267">
        <f>-16.717-AA113</f>
        <v>-5.206999999999999</v>
      </c>
      <c r="AC113" s="267">
        <f>-32.384-SUM(AA113:AB113)</f>
        <v>-15.667000000000002</v>
      </c>
      <c r="AD113" s="267">
        <f>-47.455-SUM(AA113:AC113)</f>
        <v>-15.070999999999998</v>
      </c>
      <c r="AE113" s="194">
        <f t="shared" si="355"/>
        <v>-47.454999999999998</v>
      </c>
      <c r="AF113" s="267">
        <v>-42.326000000000001</v>
      </c>
      <c r="AG113" s="267">
        <f>-57.961-AF113</f>
        <v>-15.634999999999998</v>
      </c>
      <c r="AH113" s="267">
        <f>-53.688-SUM(AF113:AG113)</f>
        <v>4.2729999999999961</v>
      </c>
      <c r="AI113" s="267">
        <f>-71.141-SUM(AF113:AH113)</f>
        <v>-17.453000000000003</v>
      </c>
      <c r="AJ113" s="194">
        <f t="shared" si="356"/>
        <v>-71.141000000000005</v>
      </c>
      <c r="AK113" s="267">
        <v>-33.322000000000003</v>
      </c>
      <c r="AL113" s="267">
        <f>-47.415-AK113</f>
        <v>-14.092999999999996</v>
      </c>
      <c r="AM113" s="267">
        <f>-53.585-SUM(AK113:AL113)</f>
        <v>-6.1700000000000017</v>
      </c>
      <c r="AN113" s="267">
        <f>131.3-SUM(AK113:AM113)</f>
        <v>184.88500000000002</v>
      </c>
      <c r="AO113" s="194">
        <f t="shared" si="357"/>
        <v>131.30000000000001</v>
      </c>
      <c r="AP113" s="267">
        <v>-100.057</v>
      </c>
      <c r="AQ113" s="267">
        <f>-74.786-AP113</f>
        <v>25.271000000000001</v>
      </c>
      <c r="AR113" s="267">
        <f>-117.193-SUM(AP113:AQ113)</f>
        <v>-42.406999999999996</v>
      </c>
      <c r="AS113" s="267">
        <f>-57.437-SUM(AP113:AR113)</f>
        <v>59.756</v>
      </c>
      <c r="AT113" s="194">
        <f t="shared" si="358"/>
        <v>-57.436999999999998</v>
      </c>
      <c r="AU113" s="267">
        <v>-18.013000000000002</v>
      </c>
      <c r="AV113" s="267">
        <f>8.937-AU113</f>
        <v>26.950000000000003</v>
      </c>
      <c r="AW113" s="267">
        <f>-10.235-SUM(AU113:AV113)</f>
        <v>-19.172000000000001</v>
      </c>
      <c r="AX113" s="267">
        <f>58.39-AW113-AV113-AU113</f>
        <v>68.625</v>
      </c>
      <c r="AY113" s="194">
        <f t="shared" si="359"/>
        <v>58.39</v>
      </c>
      <c r="AZ113" s="267">
        <v>-94.203999999999994</v>
      </c>
      <c r="BA113" s="267">
        <f>-63.896-AZ113</f>
        <v>30.307999999999993</v>
      </c>
      <c r="BB113" s="267">
        <f>-25.579-SUM(AZ113:BA113)</f>
        <v>38.317</v>
      </c>
      <c r="BC113" s="267">
        <f>-27.049-SUM(AZ113:BB113)</f>
        <v>-1.4699999999999989</v>
      </c>
      <c r="BD113" s="194">
        <f t="shared" si="360"/>
        <v>-27.048999999999999</v>
      </c>
      <c r="BE113" s="267">
        <v>-56.454000000000001</v>
      </c>
      <c r="BF113" s="267">
        <f>-83.082-BE113</f>
        <v>-26.627999999999993</v>
      </c>
      <c r="BG113" s="267">
        <f>+-90.805-BF113-BE113</f>
        <v>-7.7230000000000203</v>
      </c>
      <c r="BH113" s="267">
        <f>-138.332-SUM(BE113:BG113)</f>
        <v>-47.526999999999987</v>
      </c>
      <c r="BI113" s="194">
        <f t="shared" si="361"/>
        <v>-138.33199999999999</v>
      </c>
      <c r="BJ113" s="267">
        <v>-163.48400000000001</v>
      </c>
      <c r="BK113" s="267">
        <f>-199.383-BJ113</f>
        <v>-35.899000000000001</v>
      </c>
      <c r="BL113" s="267">
        <f>-227.814-BJ113-BK113</f>
        <v>-28.430999999999983</v>
      </c>
      <c r="BM113" s="267">
        <f>-204.151-SUM(BJ113:BL113)</f>
        <v>23.662999999999982</v>
      </c>
      <c r="BN113" s="194">
        <f t="shared" si="371"/>
        <v>-204.15100000000001</v>
      </c>
      <c r="BO113" s="267">
        <v>-147.80500000000001</v>
      </c>
      <c r="BP113" s="267">
        <f>-105.579-BO113</f>
        <v>42.226000000000013</v>
      </c>
      <c r="BQ113" s="267">
        <v>-125.55500000000001</v>
      </c>
      <c r="BR113" s="267">
        <f>-285.437-SUM(BO113:BQ113)</f>
        <v>-54.302999999999997</v>
      </c>
      <c r="BS113" s="194">
        <f>SUM(BO113:BR113)</f>
        <v>-285.43700000000001</v>
      </c>
      <c r="BT113" s="267">
        <v>-171</v>
      </c>
      <c r="BU113" s="267">
        <f>-166-BT113</f>
        <v>5</v>
      </c>
      <c r="BV113" s="267">
        <f>-299-SUM(BT113:BU113)</f>
        <v>-133</v>
      </c>
      <c r="BW113" s="267">
        <f>-306-SUM(BT113:BV113)</f>
        <v>-7</v>
      </c>
      <c r="BX113" s="194">
        <f>SUM(BT113:BW113)</f>
        <v>-306</v>
      </c>
      <c r="BY113" s="267">
        <v>-202</v>
      </c>
      <c r="BZ113" s="267">
        <f>-88-BY113</f>
        <v>114</v>
      </c>
      <c r="CA113" s="267">
        <f>-291-BZ113-BY113</f>
        <v>-203</v>
      </c>
      <c r="CB113" s="267">
        <f>-219-CA113-BZ113-BY113</f>
        <v>72</v>
      </c>
      <c r="CC113" s="194">
        <f>SUM(BY113:CB113)</f>
        <v>-219</v>
      </c>
      <c r="CD113" s="267">
        <v>-109</v>
      </c>
      <c r="CE113" s="267">
        <f>-40-CD113</f>
        <v>69</v>
      </c>
      <c r="CF113" s="267">
        <f>-40-CE113-CD113</f>
        <v>0</v>
      </c>
      <c r="CG113" s="267">
        <f>-96-CF113-CE113-CD113</f>
        <v>-56</v>
      </c>
      <c r="CH113" s="194">
        <f>SUM(CD113:CG113)</f>
        <v>-96</v>
      </c>
      <c r="CI113" s="267">
        <v>11</v>
      </c>
      <c r="CJ113" s="267">
        <f>186-CI113</f>
        <v>175</v>
      </c>
      <c r="CK113" s="267">
        <f>229-CJ113-CI113</f>
        <v>43</v>
      </c>
      <c r="CL113" s="267">
        <f>732-CK113-CJ113-CI113</f>
        <v>503</v>
      </c>
      <c r="CM113" s="194">
        <f>SUM(CI113:CL113)</f>
        <v>732</v>
      </c>
      <c r="CN113" s="266">
        <f ca="1">+CM11-CN11</f>
        <v>-131.24292869291958</v>
      </c>
      <c r="CO113" s="266">
        <f ca="1">+CN11-CO11</f>
        <v>190.82448345936018</v>
      </c>
      <c r="CP113" s="266">
        <f ca="1">+CO11-CP11</f>
        <v>23.037012990088897</v>
      </c>
      <c r="CQ113" s="266">
        <f ca="1">+CP11-CQ11</f>
        <v>-310.48743020639495</v>
      </c>
      <c r="CR113" s="194">
        <f ca="1">SUM(CN113:CQ113)</f>
        <v>-227.86886244986545</v>
      </c>
      <c r="CS113" s="266">
        <f ca="1">+CR11-CS11</f>
        <v>74.231956215613536</v>
      </c>
      <c r="CT113" s="266">
        <f ca="1">+CS11-CT11</f>
        <v>296.19598583431389</v>
      </c>
      <c r="CU113" s="266">
        <f ca="1">+CT11-CU11</f>
        <v>124.02252515367491</v>
      </c>
      <c r="CV113" s="266">
        <f ca="1">+CU11-CV11</f>
        <v>-137.90880549968506</v>
      </c>
      <c r="CW113" s="194">
        <f ca="1">SUM(CS113:CV113)</f>
        <v>356.54166170391727</v>
      </c>
      <c r="CX113" s="266">
        <f ca="1">+CW11-CX11</f>
        <v>-91.600456855137963</v>
      </c>
      <c r="CY113" s="266">
        <f ca="1">+CX11-CY11</f>
        <v>91.42150494103953</v>
      </c>
      <c r="CZ113" s="266">
        <f ca="1">+CY11-CZ11</f>
        <v>142.36577289083198</v>
      </c>
      <c r="DA113" s="266">
        <f ca="1">+CZ11-DA11</f>
        <v>-290.14687209743624</v>
      </c>
      <c r="DB113" s="194">
        <f ca="1">SUM(CX113:DA113)</f>
        <v>-147.9600511207027</v>
      </c>
      <c r="DC113" s="16"/>
      <c r="DJ113" s="545"/>
    </row>
    <row r="114" spans="1:114" hidden="1" outlineLevel="1">
      <c r="A114" s="1"/>
      <c r="B114" s="264" t="s">
        <v>478</v>
      </c>
      <c r="C114" s="193"/>
      <c r="D114" s="842"/>
      <c r="E114" s="194"/>
      <c r="F114" s="234">
        <v>-15.603999999999999</v>
      </c>
      <c r="G114" s="267">
        <v>2.976</v>
      </c>
      <c r="H114" s="267">
        <f>6.275-G114</f>
        <v>3.2990000000000004</v>
      </c>
      <c r="I114" s="267">
        <f>10.026-SUM(G114:H114)</f>
        <v>3.7509999999999994</v>
      </c>
      <c r="J114" s="267">
        <f>1.999-SUM(G114:I114)</f>
        <v>-8.0269999999999992</v>
      </c>
      <c r="K114" s="194">
        <f t="shared" si="351"/>
        <v>1.9990000000000006</v>
      </c>
      <c r="L114" s="267">
        <v>-3.4380000000000002</v>
      </c>
      <c r="M114" s="267">
        <f>-2.026-L114</f>
        <v>1.4120000000000004</v>
      </c>
      <c r="N114" s="267">
        <f>-7.644-SUM(L114:M114)</f>
        <v>-5.6180000000000003</v>
      </c>
      <c r="O114" s="267">
        <f>-12.566-SUM(L114:N114)</f>
        <v>-4.9220000000000006</v>
      </c>
      <c r="P114" s="194">
        <f t="shared" si="352"/>
        <v>-12.566000000000001</v>
      </c>
      <c r="Q114" s="267">
        <v>-0.26500000000000001</v>
      </c>
      <c r="R114" s="267">
        <f>-6.325-Q114</f>
        <v>-6.0600000000000005</v>
      </c>
      <c r="S114" s="267">
        <f>-8.899-SUM(Q114:R114)</f>
        <v>-2.573999999999999</v>
      </c>
      <c r="T114" s="267">
        <f>-13.727-SUM(Q114:S114)</f>
        <v>-4.8280000000000012</v>
      </c>
      <c r="U114" s="194">
        <f t="shared" si="353"/>
        <v>-13.727</v>
      </c>
      <c r="V114" s="267">
        <v>0.68799999999999994</v>
      </c>
      <c r="W114" s="267">
        <f>-10.491-V114</f>
        <v>-11.179</v>
      </c>
      <c r="X114" s="267">
        <f>-17.778-SUM(V114:W114)</f>
        <v>-7.286999999999999</v>
      </c>
      <c r="Y114" s="267">
        <f>-13.549-SUM(V114:X114)</f>
        <v>4.2289999999999992</v>
      </c>
      <c r="Z114" s="194">
        <f t="shared" si="354"/>
        <v>-13.548999999999999</v>
      </c>
      <c r="AA114" s="267">
        <v>1.849</v>
      </c>
      <c r="AB114" s="267">
        <f>-0.649-AA114</f>
        <v>-2.4980000000000002</v>
      </c>
      <c r="AC114" s="267">
        <f>-11.311-SUM(AA114:AB114)</f>
        <v>-10.661999999999999</v>
      </c>
      <c r="AD114" s="267">
        <f>-16.838-SUM(AA114:AC114)</f>
        <v>-5.527000000000001</v>
      </c>
      <c r="AE114" s="194">
        <f t="shared" si="355"/>
        <v>-16.838000000000001</v>
      </c>
      <c r="AF114" s="267">
        <v>2.798</v>
      </c>
      <c r="AG114" s="267">
        <f>-0.093-AF114</f>
        <v>-2.891</v>
      </c>
      <c r="AH114" s="267">
        <f>-4.594-SUM(AF114:AG114)</f>
        <v>-4.5010000000000003</v>
      </c>
      <c r="AI114" s="267">
        <f>-4.544-SUM(AF114:AH114)</f>
        <v>5.0000000000000711E-2</v>
      </c>
      <c r="AJ114" s="194">
        <f t="shared" si="356"/>
        <v>-4.5439999999999996</v>
      </c>
      <c r="AK114" s="267">
        <v>-7.867</v>
      </c>
      <c r="AL114" s="267">
        <f>-13.458-AK114</f>
        <v>-5.5910000000000002</v>
      </c>
      <c r="AM114" s="267">
        <f>8.519-SUM(AK114:AL114)</f>
        <v>21.977</v>
      </c>
      <c r="AN114" s="267">
        <f>-31.977-SUM(AK114:AM114)</f>
        <v>-40.496000000000002</v>
      </c>
      <c r="AO114" s="194">
        <f t="shared" si="357"/>
        <v>-31.977000000000004</v>
      </c>
      <c r="AP114" s="267">
        <v>-26.584</v>
      </c>
      <c r="AQ114" s="267">
        <f>13.57-AP114</f>
        <v>40.153999999999996</v>
      </c>
      <c r="AR114" s="267">
        <f>3.099-SUM(AP114:AQ114)</f>
        <v>-10.470999999999997</v>
      </c>
      <c r="AS114" s="267">
        <f>-34.711-SUM(AP114:AR114)</f>
        <v>-37.81</v>
      </c>
      <c r="AT114" s="194">
        <f t="shared" si="358"/>
        <v>-34.710999999999999</v>
      </c>
      <c r="AU114" s="267">
        <v>-7.5919999999999996</v>
      </c>
      <c r="AV114" s="267">
        <f>5.198-AU114</f>
        <v>12.79</v>
      </c>
      <c r="AW114" s="267">
        <f>18.278-SUM(AU114:AV114)</f>
        <v>13.079999999999998</v>
      </c>
      <c r="AX114" s="267">
        <f>+-34.535-AW114-AV114-AU114</f>
        <v>-52.812999999999995</v>
      </c>
      <c r="AY114" s="194">
        <f t="shared" si="359"/>
        <v>-34.534999999999997</v>
      </c>
      <c r="AZ114" s="267">
        <v>-6.9080000000000004</v>
      </c>
      <c r="BA114" s="267">
        <f>-1.147-AZ114</f>
        <v>5.7610000000000001</v>
      </c>
      <c r="BB114" s="267">
        <f>4.755-SUM(AZ114:BA114)</f>
        <v>5.9020000000000001</v>
      </c>
      <c r="BC114" s="267">
        <f>-39.904-SUM(AZ114:BB114)</f>
        <v>-44.659000000000006</v>
      </c>
      <c r="BD114" s="194">
        <f t="shared" si="360"/>
        <v>-39.904000000000003</v>
      </c>
      <c r="BE114" s="267">
        <v>14.336</v>
      </c>
      <c r="BF114" s="267">
        <f>9.374-BE114</f>
        <v>-4.9619999999999997</v>
      </c>
      <c r="BG114" s="267">
        <f>+-31.455-BF114-BE114</f>
        <v>-40.829000000000001</v>
      </c>
      <c r="BH114" s="267">
        <f>-42.858-SUM(BE114:BG114)</f>
        <v>-11.402999999999999</v>
      </c>
      <c r="BI114" s="194">
        <f t="shared" si="361"/>
        <v>-42.857999999999997</v>
      </c>
      <c r="BJ114" s="267">
        <v>-125.111</v>
      </c>
      <c r="BK114" s="267">
        <f>-39.92-BJ114</f>
        <v>85.191000000000003</v>
      </c>
      <c r="BL114" s="267">
        <f>-68.247-BJ114-BK114</f>
        <v>-28.326999999999998</v>
      </c>
      <c r="BM114" s="267">
        <f>-99.799-SUM(BJ114:BL114)</f>
        <v>-31.552000000000007</v>
      </c>
      <c r="BN114" s="194">
        <f t="shared" si="371"/>
        <v>-99.799000000000007</v>
      </c>
      <c r="BO114" s="267">
        <v>-1.752</v>
      </c>
      <c r="BP114" s="267">
        <f>15.141-BO114</f>
        <v>16.893000000000001</v>
      </c>
      <c r="BQ114" s="267">
        <v>-75.203000000000003</v>
      </c>
      <c r="BR114" s="267">
        <f>-8.453-SUM(BO114:BQ114)</f>
        <v>51.609000000000009</v>
      </c>
      <c r="BS114" s="194">
        <f>SUM(BO114:BR114)</f>
        <v>-8.4529999999999959</v>
      </c>
      <c r="BT114" s="267">
        <v>14</v>
      </c>
      <c r="BU114" s="267">
        <f>38-BT114</f>
        <v>24</v>
      </c>
      <c r="BV114" s="267">
        <f>-39-SUM(BT114:BU114)</f>
        <v>-77</v>
      </c>
      <c r="BW114" s="267">
        <f>28-SUM(BT114:BV114)</f>
        <v>67</v>
      </c>
      <c r="BX114" s="194">
        <f>SUM(BT114:BW114)</f>
        <v>28</v>
      </c>
      <c r="BY114" s="267">
        <v>14</v>
      </c>
      <c r="BZ114" s="267">
        <f>-30-BY114</f>
        <v>-44</v>
      </c>
      <c r="CA114" s="267">
        <f>-72-BZ114-BY114</f>
        <v>-42</v>
      </c>
      <c r="CB114" s="267">
        <f>-68-CA114-BZ114-BY114</f>
        <v>4</v>
      </c>
      <c r="CC114" s="194">
        <f>SUM(BY114:CB114)</f>
        <v>-68</v>
      </c>
      <c r="CD114" s="267">
        <v>-14</v>
      </c>
      <c r="CE114" s="267">
        <f>31-CD114</f>
        <v>45</v>
      </c>
      <c r="CF114" s="267">
        <f>64-CE114-CD114</f>
        <v>33</v>
      </c>
      <c r="CG114" s="267">
        <f>25-CF114-CE114-CD114</f>
        <v>-39</v>
      </c>
      <c r="CH114" s="194">
        <f>SUM(CD114:CG114)</f>
        <v>25</v>
      </c>
      <c r="CI114" s="267">
        <v>-67</v>
      </c>
      <c r="CJ114" s="267">
        <f>-55-CI114</f>
        <v>12</v>
      </c>
      <c r="CK114" s="267">
        <f>-37-CJ114-CI114</f>
        <v>18</v>
      </c>
      <c r="CL114" s="267">
        <f>-33-CK114-CJ114-CI114</f>
        <v>4</v>
      </c>
      <c r="CM114" s="194">
        <f>SUM(CI114:CL114)</f>
        <v>-33</v>
      </c>
      <c r="CN114" s="266">
        <f ca="1">+SUM(CM12:CM16)-SUM(CN12:CN16)</f>
        <v>91.939482105522984</v>
      </c>
      <c r="CO114" s="266">
        <f ca="1">+SUM(CN12:CN16)-SUM(CO12:CO16)</f>
        <v>-22.076999585411386</v>
      </c>
      <c r="CP114" s="266">
        <f ca="1">+SUM(CO12:CO16)-SUM(CP12:CP16)</f>
        <v>28.648721270797523</v>
      </c>
      <c r="CQ114" s="266">
        <f ca="1">+SUM(CP12:CP16)-SUM(CQ12:CQ16)</f>
        <v>-76.97134084764275</v>
      </c>
      <c r="CR114" s="194">
        <f ca="1">SUM(CN114:CQ114)</f>
        <v>21.539862943266371</v>
      </c>
      <c r="CS114" s="266">
        <f ca="1">+SUM(CR12:CR16)-SUM(CS12:CS16)</f>
        <v>60.431412817861656</v>
      </c>
      <c r="CT114" s="266">
        <f ca="1">+SUM(CS12:CS16)-SUM(CT12:CT16)</f>
        <v>30.84568983100246</v>
      </c>
      <c r="CU114" s="266">
        <f ca="1">+SUM(CT12:CT16)-SUM(CU12:CU16)</f>
        <v>82.414743870779375</v>
      </c>
      <c r="CV114" s="266">
        <f ca="1">+SUM(CU12:CU16)-SUM(CV12:CV16)</f>
        <v>40.092532977575956</v>
      </c>
      <c r="CW114" s="194">
        <f ca="1">SUM(CS114:CV114)</f>
        <v>213.78437949721945</v>
      </c>
      <c r="CX114" s="266">
        <f ca="1">+SUM(CW12:CW16)-SUM(CX12:CX16)</f>
        <v>-75.008384038005488</v>
      </c>
      <c r="CY114" s="266">
        <f ca="1">+SUM(CX12:CX16)-SUM(CY12:CY16)</f>
        <v>21.959082294198765</v>
      </c>
      <c r="CZ114" s="266">
        <f ca="1">+SUM(CY12:CY16)-SUM(CZ12:CZ16)</f>
        <v>36.556621901399581</v>
      </c>
      <c r="DA114" s="266">
        <f ca="1">+SUM(CZ12:CZ16)-SUM(DA12:DA16)</f>
        <v>-61.177976434524794</v>
      </c>
      <c r="DB114" s="194">
        <f ca="1">SUM(CX114:DA114)</f>
        <v>-77.670656276931936</v>
      </c>
      <c r="DC114" s="16"/>
      <c r="DJ114" s="545"/>
    </row>
    <row r="115" spans="1:114" hidden="1" outlineLevel="1">
      <c r="A115" s="1"/>
      <c r="B115" s="264" t="s">
        <v>479</v>
      </c>
      <c r="C115" s="193"/>
      <c r="D115" s="842"/>
      <c r="E115" s="194"/>
      <c r="F115" s="234">
        <v>17.931000000000001</v>
      </c>
      <c r="G115" s="267">
        <v>-5.3570000000000002</v>
      </c>
      <c r="H115" s="267">
        <f>2.677-G115</f>
        <v>8.0340000000000007</v>
      </c>
      <c r="I115" s="267">
        <f>2.991-SUM(G115:H115)</f>
        <v>0.31399999999999961</v>
      </c>
      <c r="J115" s="267">
        <f>-26.953-SUM(G115:I115)</f>
        <v>-29.943999999999999</v>
      </c>
      <c r="K115" s="194">
        <f t="shared" si="351"/>
        <v>-26.952999999999999</v>
      </c>
      <c r="L115" s="267">
        <v>30.303999999999998</v>
      </c>
      <c r="M115" s="267">
        <f>26.419-L115</f>
        <v>-3.884999999999998</v>
      </c>
      <c r="N115" s="267">
        <f>41.907-SUM(L115:M115)</f>
        <v>15.487999999999996</v>
      </c>
      <c r="O115" s="267">
        <f>26-SUM(L115:N115)</f>
        <v>-15.906999999999996</v>
      </c>
      <c r="P115" s="194">
        <f t="shared" si="352"/>
        <v>26</v>
      </c>
      <c r="Q115" s="267">
        <v>-4.7</v>
      </c>
      <c r="R115" s="267">
        <f>19.72-Q115</f>
        <v>24.419999999999998</v>
      </c>
      <c r="S115" s="267">
        <f>59.097-SUM(Q115:R115)</f>
        <v>39.377000000000002</v>
      </c>
      <c r="T115" s="267">
        <f>34.722-SUM(Q115:S115)</f>
        <v>-24.375</v>
      </c>
      <c r="U115" s="194">
        <f t="shared" si="353"/>
        <v>34.722000000000001</v>
      </c>
      <c r="V115" s="267">
        <v>-3.8010000000000002</v>
      </c>
      <c r="W115" s="267">
        <f>36.411-V115</f>
        <v>40.212000000000003</v>
      </c>
      <c r="X115" s="267">
        <f>36.927-SUM(V115:W115)</f>
        <v>0.51599999999999824</v>
      </c>
      <c r="Y115" s="267">
        <f>-23.291-SUM(V115:X115)</f>
        <v>-60.218000000000004</v>
      </c>
      <c r="Z115" s="194">
        <f t="shared" si="354"/>
        <v>-23.291000000000004</v>
      </c>
      <c r="AA115" s="267">
        <v>66.025000000000006</v>
      </c>
      <c r="AB115" s="267">
        <f>90.867-AA115</f>
        <v>24.841999999999999</v>
      </c>
      <c r="AC115" s="267">
        <f>95.266-SUM(AA115:AB115)</f>
        <v>4.3990000000000009</v>
      </c>
      <c r="AD115" s="267">
        <f>84.956-SUM(AA115:AC115)</f>
        <v>-10.310000000000002</v>
      </c>
      <c r="AE115" s="194">
        <f t="shared" si="355"/>
        <v>84.956000000000003</v>
      </c>
      <c r="AF115" s="267">
        <v>28.370999999999999</v>
      </c>
      <c r="AG115" s="267">
        <f>69.988-AF115</f>
        <v>41.617000000000004</v>
      </c>
      <c r="AH115" s="267">
        <f>55.985-SUM(AF115:AG115)</f>
        <v>-14.003</v>
      </c>
      <c r="AI115" s="267">
        <f>52.151-SUM(AF115:AH115)</f>
        <v>-3.8339999999999961</v>
      </c>
      <c r="AJ115" s="194">
        <f t="shared" si="356"/>
        <v>52.151000000000003</v>
      </c>
      <c r="AK115" s="267">
        <v>45.688000000000002</v>
      </c>
      <c r="AL115" s="267">
        <f>46.353-AK115</f>
        <v>0.66499999999999915</v>
      </c>
      <c r="AM115" s="267">
        <f>45.75-SUM(AK115:AL115)</f>
        <v>-0.60300000000000153</v>
      </c>
      <c r="AN115" s="267">
        <f>125.959-SUM(AK115:AM115)</f>
        <v>80.209000000000003</v>
      </c>
      <c r="AO115" s="194">
        <f t="shared" si="357"/>
        <v>125.959</v>
      </c>
      <c r="AP115" s="267">
        <v>-81.965000000000003</v>
      </c>
      <c r="AQ115" s="267">
        <f>83.868-AP115</f>
        <v>165.833</v>
      </c>
      <c r="AR115" s="267">
        <f>184.995-SUM(AP115:AQ115)</f>
        <v>101.12700000000001</v>
      </c>
      <c r="AS115" s="267">
        <f>119.596-SUM(AP115:AR115)</f>
        <v>-65.399000000000001</v>
      </c>
      <c r="AT115" s="194">
        <f t="shared" si="358"/>
        <v>119.596</v>
      </c>
      <c r="AU115" s="267">
        <v>68.17</v>
      </c>
      <c r="AV115" s="267">
        <f>72.042-AU115</f>
        <v>3.8719999999999999</v>
      </c>
      <c r="AW115" s="267">
        <f>194.955-SUM(AU115:AV115)</f>
        <v>122.91300000000001</v>
      </c>
      <c r="AX115" s="267">
        <f>86.098-AW115-AV115-AU115</f>
        <v>-108.85700000000001</v>
      </c>
      <c r="AY115" s="194">
        <f t="shared" si="359"/>
        <v>86.097999999999999</v>
      </c>
      <c r="AZ115" s="267">
        <v>167.47</v>
      </c>
      <c r="BA115" s="267">
        <f>114.1-AZ115</f>
        <v>-53.370000000000005</v>
      </c>
      <c r="BB115" s="267">
        <f>172.687-SUM(AZ115:BA115)</f>
        <v>58.587000000000018</v>
      </c>
      <c r="BC115" s="267">
        <f>161.952-SUM(AZ115:BB115)</f>
        <v>-10.735000000000014</v>
      </c>
      <c r="BD115" s="194">
        <f t="shared" si="360"/>
        <v>161.952</v>
      </c>
      <c r="BE115" s="267">
        <v>-14.938000000000001</v>
      </c>
      <c r="BF115" s="267">
        <f>129.518-BE115</f>
        <v>144.45599999999999</v>
      </c>
      <c r="BG115" s="267">
        <f>146.166-BF115-BE115</f>
        <v>16.64800000000001</v>
      </c>
      <c r="BH115" s="267">
        <f>246.11-SUM(BE115:BG115)</f>
        <v>99.944000000000017</v>
      </c>
      <c r="BI115" s="194">
        <f t="shared" si="361"/>
        <v>246.11</v>
      </c>
      <c r="BJ115" s="267">
        <v>96.108999999999995</v>
      </c>
      <c r="BK115" s="267">
        <f>51.843-BJ115</f>
        <v>-44.265999999999991</v>
      </c>
      <c r="BL115" s="267">
        <f>103.156-BJ115-BK115</f>
        <v>51.313000000000002</v>
      </c>
      <c r="BM115" s="267">
        <f>246.301-SUM(BJ115:BL115)</f>
        <v>143.14499999999998</v>
      </c>
      <c r="BN115" s="194">
        <f t="shared" si="371"/>
        <v>246.30099999999999</v>
      </c>
      <c r="BO115" s="267">
        <v>-97.677999999999997</v>
      </c>
      <c r="BP115" s="267">
        <f>-179.76-BO115</f>
        <v>-82.081999999999994</v>
      </c>
      <c r="BQ115" s="267">
        <v>-26.15300000000002</v>
      </c>
      <c r="BR115" s="267">
        <f>72.474-SUM(BO115:BQ115)</f>
        <v>278.387</v>
      </c>
      <c r="BS115" s="194">
        <f>SUM(BO115:BR115)</f>
        <v>72.47399999999999</v>
      </c>
      <c r="BT115" s="267">
        <v>-83</v>
      </c>
      <c r="BU115" s="267">
        <f>-55-BT115</f>
        <v>28</v>
      </c>
      <c r="BV115" s="267">
        <f>-189-SUM(BT115:BU115)</f>
        <v>-134</v>
      </c>
      <c r="BW115" s="267">
        <f>147-SUM(BT115:BV115)</f>
        <v>336</v>
      </c>
      <c r="BX115" s="194">
        <f>SUM(BT115:BW115)</f>
        <v>147</v>
      </c>
      <c r="BY115" s="267">
        <v>-284</v>
      </c>
      <c r="BZ115" s="267">
        <f>-238-BY115</f>
        <v>46</v>
      </c>
      <c r="CA115" s="267">
        <f>-239-BZ115-BY115</f>
        <v>-1</v>
      </c>
      <c r="CB115" s="267">
        <f>-478-CA115-BZ115-BY115</f>
        <v>-239</v>
      </c>
      <c r="CC115" s="194">
        <f>SUM(BY115:CB115)</f>
        <v>-478</v>
      </c>
      <c r="CD115" s="267">
        <v>64</v>
      </c>
      <c r="CE115" s="267">
        <f>-212-CD115</f>
        <v>-276</v>
      </c>
      <c r="CF115" s="267">
        <f>-256-CE115-CD115</f>
        <v>-44</v>
      </c>
      <c r="CG115" s="267">
        <f>-137-CF115-CE115-CD115</f>
        <v>119</v>
      </c>
      <c r="CH115" s="194">
        <f>SUM(CD115:CG115)</f>
        <v>-137</v>
      </c>
      <c r="CI115" s="267">
        <v>-14</v>
      </c>
      <c r="CJ115" s="267">
        <f>-126-CI115</f>
        <v>-112</v>
      </c>
      <c r="CK115" s="267">
        <f>-215-CJ115-CI115</f>
        <v>-89</v>
      </c>
      <c r="CL115" s="267">
        <f>-69-CK115-CJ115-CI115</f>
        <v>146</v>
      </c>
      <c r="CM115" s="194">
        <f>SUM(CI115:CL115)</f>
        <v>-69</v>
      </c>
      <c r="CN115" s="266">
        <f ca="1">+CN25-CM25</f>
        <v>-130.07901705499296</v>
      </c>
      <c r="CO115" s="266">
        <f ca="1">+CO25-CN25</f>
        <v>-59.705625981779804</v>
      </c>
      <c r="CP115" s="266">
        <f ca="1">+CP25-CO25</f>
        <v>-104.61679389496749</v>
      </c>
      <c r="CQ115" s="266">
        <f ca="1">+CQ25-CP25</f>
        <v>92.710536184787429</v>
      </c>
      <c r="CR115" s="194">
        <f ca="1">SUM(CN115:CQ115)</f>
        <v>-201.69090074695282</v>
      </c>
      <c r="CS115" s="266">
        <f ca="1">+CS25-CR25</f>
        <v>18.954264610507153</v>
      </c>
      <c r="CT115" s="266">
        <f ca="1">+CT25-CS25</f>
        <v>79.57950859095763</v>
      </c>
      <c r="CU115" s="266">
        <f ca="1">+CU25-CT25</f>
        <v>-53.950311918054467</v>
      </c>
      <c r="CV115" s="266">
        <f ca="1">+CV25-CU25</f>
        <v>317.62669889566882</v>
      </c>
      <c r="CW115" s="194">
        <f ca="1">SUM(CS115:CV115)</f>
        <v>362.21016017907914</v>
      </c>
      <c r="CX115" s="266">
        <f ca="1">+CX25-CW25</f>
        <v>-217.44270812990885</v>
      </c>
      <c r="CY115" s="266">
        <f ca="1">+CY25-CX25</f>
        <v>-42.600373645190984</v>
      </c>
      <c r="CZ115" s="266">
        <f ca="1">+CZ25-CY25</f>
        <v>-54.75441348314564</v>
      </c>
      <c r="DA115" s="266">
        <f ca="1">+DA25-CZ25</f>
        <v>119.20954904052314</v>
      </c>
      <c r="DB115" s="194">
        <f ca="1">SUM(CX115:DA115)</f>
        <v>-195.58794621772233</v>
      </c>
      <c r="DC115" s="16"/>
      <c r="DJ115" s="545"/>
    </row>
    <row r="116" spans="1:114" hidden="1" outlineLevel="1">
      <c r="A116" s="1"/>
      <c r="B116" s="264" t="s">
        <v>370</v>
      </c>
      <c r="C116" s="193"/>
      <c r="D116" s="842"/>
      <c r="E116" s="194"/>
      <c r="F116" s="234">
        <f>-30.9-14.9</f>
        <v>-45.8</v>
      </c>
      <c r="G116" s="267">
        <v>-4.968</v>
      </c>
      <c r="H116" s="267">
        <f>2.136-G116</f>
        <v>7.1040000000000001</v>
      </c>
      <c r="I116" s="267">
        <f>-10.399-SUM(G116:H116)</f>
        <v>-12.535</v>
      </c>
      <c r="J116" s="267">
        <f>8.734-SUM(G116:I116)</f>
        <v>19.133000000000003</v>
      </c>
      <c r="K116" s="194">
        <f t="shared" si="351"/>
        <v>8.7340000000000018</v>
      </c>
      <c r="L116" s="267">
        <v>-7.2640000000000002</v>
      </c>
      <c r="M116" s="267">
        <f>2.863-L116</f>
        <v>10.127000000000001</v>
      </c>
      <c r="N116" s="267">
        <f>9.97-SUM(L116:M116)</f>
        <v>7.1070000000000002</v>
      </c>
      <c r="O116" s="267">
        <f>27.068-SUM(L116:N116)</f>
        <v>17.097999999999999</v>
      </c>
      <c r="P116" s="194">
        <f t="shared" si="352"/>
        <v>27.067999999999998</v>
      </c>
      <c r="Q116" s="267">
        <v>10.204000000000001</v>
      </c>
      <c r="R116" s="267">
        <f>15.651-Q116</f>
        <v>5.4469999999999992</v>
      </c>
      <c r="S116" s="267">
        <f>25.994-SUM(Q116:R116)</f>
        <v>10.343</v>
      </c>
      <c r="T116" s="267">
        <f>34.42-SUM(Q116:S116)</f>
        <v>8.4260000000000019</v>
      </c>
      <c r="U116" s="194">
        <f t="shared" si="353"/>
        <v>34.42</v>
      </c>
      <c r="V116" s="267">
        <v>8.9469999999999992</v>
      </c>
      <c r="W116" s="267">
        <f>14.489-V116</f>
        <v>5.5420000000000016</v>
      </c>
      <c r="X116" s="267">
        <f>21.303-SUM(V116:W116)</f>
        <v>6.8140000000000001</v>
      </c>
      <c r="Y116" s="267">
        <f>36.007-SUM(V116:X116)</f>
        <v>14.703999999999997</v>
      </c>
      <c r="Z116" s="194">
        <f t="shared" si="354"/>
        <v>36.006999999999998</v>
      </c>
      <c r="AA116" s="267">
        <v>8.0129999999999999</v>
      </c>
      <c r="AB116" s="267">
        <f>28.009-AA116</f>
        <v>19.996000000000002</v>
      </c>
      <c r="AC116" s="267">
        <f>23.402-SUM(AA116:AB116)</f>
        <v>-4.6069999999999993</v>
      </c>
      <c r="AD116" s="267">
        <f>24.977-SUM(AA116:AC116)</f>
        <v>1.5749999999999993</v>
      </c>
      <c r="AE116" s="194">
        <f t="shared" si="355"/>
        <v>24.977</v>
      </c>
      <c r="AF116" s="267">
        <v>2.1760000000000002</v>
      </c>
      <c r="AG116" s="267">
        <f>-9.716-AF116</f>
        <v>-11.891999999999999</v>
      </c>
      <c r="AH116" s="267">
        <f>2.447-SUM(AF116:AG116)</f>
        <v>12.163</v>
      </c>
      <c r="AI116" s="267">
        <f>21.497-SUM(AF116:AH116)</f>
        <v>19.049999999999997</v>
      </c>
      <c r="AJ116" s="194">
        <f t="shared" si="356"/>
        <v>21.497</v>
      </c>
      <c r="AK116" s="267">
        <v>4.3570000000000002</v>
      </c>
      <c r="AL116" s="267">
        <f>6.526-AK116</f>
        <v>2.1689999999999996</v>
      </c>
      <c r="AM116" s="267">
        <f>13.599-SUM(AK116:AL116)</f>
        <v>7.0730000000000004</v>
      </c>
      <c r="AN116" s="267">
        <f>16.527-SUM(AK116:AM116)</f>
        <v>2.9280000000000008</v>
      </c>
      <c r="AO116" s="194">
        <f t="shared" si="357"/>
        <v>16.527000000000001</v>
      </c>
      <c r="AP116" s="267">
        <v>67.373999999999995</v>
      </c>
      <c r="AQ116" s="267">
        <f>2.9-AP116</f>
        <v>-64.47399999999999</v>
      </c>
      <c r="AR116" s="267">
        <f>19.532-SUM(AP116:AQ116)</f>
        <v>16.631999999999994</v>
      </c>
      <c r="AS116" s="267">
        <f>65.672-SUM(AP116:AR116)</f>
        <v>46.14</v>
      </c>
      <c r="AT116" s="194">
        <f t="shared" si="358"/>
        <v>65.671999999999997</v>
      </c>
      <c r="AU116" s="267">
        <v>2.2770000000000001</v>
      </c>
      <c r="AV116" s="267">
        <f>13.279-AU116</f>
        <v>11.001999999999999</v>
      </c>
      <c r="AW116" s="267">
        <f>3.518-SUM(AU116:AV116)</f>
        <v>-9.7609999999999992</v>
      </c>
      <c r="AX116" s="267">
        <f>+-22.052-AW116-AV116-AU116</f>
        <v>-25.57</v>
      </c>
      <c r="AY116" s="194">
        <f t="shared" si="359"/>
        <v>-22.052</v>
      </c>
      <c r="AZ116" s="267">
        <v>-1.1299999999999999</v>
      </c>
      <c r="BA116" s="267">
        <f>12.365-AZ116</f>
        <v>13.495000000000001</v>
      </c>
      <c r="BB116" s="267">
        <f>10.116-SUM(AZ116:BA116)</f>
        <v>-2.2490000000000023</v>
      </c>
      <c r="BC116" s="267">
        <f>-2.982-SUM(AZ116:BB116)</f>
        <v>-13.097999999999999</v>
      </c>
      <c r="BD116" s="194">
        <f t="shared" si="360"/>
        <v>-2.9819999999999993</v>
      </c>
      <c r="BE116" s="267">
        <v>-0.748</v>
      </c>
      <c r="BF116" s="267">
        <f>1.086-BE116</f>
        <v>1.8340000000000001</v>
      </c>
      <c r="BG116" s="267">
        <f>+-6.572-BF116-BE116</f>
        <v>-7.6580000000000004</v>
      </c>
      <c r="BH116" s="267">
        <f>-27.821-SUM(BE116:BG116)</f>
        <v>-21.249000000000002</v>
      </c>
      <c r="BI116" s="194">
        <f t="shared" si="361"/>
        <v>-27.821000000000002</v>
      </c>
      <c r="BJ116" s="267">
        <f>30.701</f>
        <v>30.701000000000001</v>
      </c>
      <c r="BK116" s="267">
        <f>15.336-BJ116</f>
        <v>-15.365</v>
      </c>
      <c r="BL116" s="267">
        <f>7.133-BJ116-BK116</f>
        <v>-8.2030000000000012</v>
      </c>
      <c r="BM116" s="267">
        <f>17.374-SUM(BJ116:BL116)</f>
        <v>10.241</v>
      </c>
      <c r="BN116" s="194">
        <f t="shared" si="371"/>
        <v>17.373999999999999</v>
      </c>
      <c r="BO116" s="267">
        <v>4.7439999999999998</v>
      </c>
      <c r="BP116" s="267">
        <f>7.851-BO116</f>
        <v>3.1070000000000002</v>
      </c>
      <c r="BQ116" s="267">
        <v>12.696000000000002</v>
      </c>
      <c r="BR116" s="267">
        <f>25.486-SUM(BO116:BQ116)</f>
        <v>4.9390000000000001</v>
      </c>
      <c r="BS116" s="194">
        <f>SUM(BO116:BR116)</f>
        <v>25.486000000000001</v>
      </c>
      <c r="BT116" s="267">
        <v>-28</v>
      </c>
      <c r="BU116" s="267">
        <f>-50-BT116</f>
        <v>-22</v>
      </c>
      <c r="BV116" s="267">
        <f>-60-SUM(BT116:BU116)</f>
        <v>-10</v>
      </c>
      <c r="BW116" s="267">
        <f>-83-SUM(BT116:BV116)</f>
        <v>-23</v>
      </c>
      <c r="BX116" s="194">
        <f>SUM(BT116:BW116)</f>
        <v>-83</v>
      </c>
      <c r="BY116" s="267">
        <v>-10</v>
      </c>
      <c r="BZ116" s="267">
        <f>-15-BY116</f>
        <v>-5</v>
      </c>
      <c r="CA116" s="267">
        <f>-62-BZ116-BY116</f>
        <v>-47</v>
      </c>
      <c r="CB116" s="267">
        <f>-53-CA116-BZ116-BY116</f>
        <v>9</v>
      </c>
      <c r="CC116" s="221">
        <f>SUM(BY116:CB116)</f>
        <v>-53</v>
      </c>
      <c r="CD116" s="267">
        <v>-27</v>
      </c>
      <c r="CE116" s="267">
        <f>8-CD116</f>
        <v>35</v>
      </c>
      <c r="CF116" s="267">
        <f>-67-CE116-CD116</f>
        <v>-75</v>
      </c>
      <c r="CG116" s="267">
        <f>31-CF116-CE116-CD116</f>
        <v>98</v>
      </c>
      <c r="CH116" s="221">
        <f t="shared" ref="CH116" si="372">SUM(CD116:CG116)</f>
        <v>31</v>
      </c>
      <c r="CI116" s="267">
        <v>-34</v>
      </c>
      <c r="CJ116" s="267">
        <f>-66-CI116</f>
        <v>-32</v>
      </c>
      <c r="CK116" s="267">
        <f>-91-CJ116-CI116</f>
        <v>-25</v>
      </c>
      <c r="CL116" s="267">
        <f>-105-CK116-CJ116-CI116</f>
        <v>-14</v>
      </c>
      <c r="CM116" s="234">
        <f>SUM(CI116:CL116)</f>
        <v>-105</v>
      </c>
      <c r="CN116" s="267">
        <v>0</v>
      </c>
      <c r="CO116" s="267">
        <v>0</v>
      </c>
      <c r="CP116" s="267">
        <v>0</v>
      </c>
      <c r="CQ116" s="267">
        <v>0</v>
      </c>
      <c r="CR116" s="234">
        <v>0</v>
      </c>
      <c r="CS116" s="267">
        <f>CR21-CS21+(CS26-CR26)+(CS27-CR27)-CS125</f>
        <v>0</v>
      </c>
      <c r="CT116" s="267">
        <f>CS21-CT21+(CT26-CS26)+(CT27-CS27)-CT125</f>
        <v>0</v>
      </c>
      <c r="CU116" s="267">
        <f>CT21-CU21+(CU26-CT26)+(CU27-CT27)-CU125</f>
        <v>0</v>
      </c>
      <c r="CV116" s="267">
        <f>CU21-CV21+(CV26-CU26)+(CV27-CU27)-CV125</f>
        <v>0</v>
      </c>
      <c r="CW116" s="234">
        <v>0</v>
      </c>
      <c r="CX116" s="267">
        <f>CW21-CX21+(CX26-CW26)+(CX27-CW27)-CX125</f>
        <v>0</v>
      </c>
      <c r="CY116" s="267">
        <f>CX21-CY21+(CY26-CX26)+(CY27-CX27)-CY125</f>
        <v>0</v>
      </c>
      <c r="CZ116" s="267">
        <f>CY21-CZ21+(CZ26-CY26)+(CZ27-CY27)-CZ125</f>
        <v>0</v>
      </c>
      <c r="DA116" s="267">
        <f>CZ21-DA21+(DA26-CZ26)+(DA27-CZ27)-DA125</f>
        <v>0</v>
      </c>
      <c r="DB116" s="234">
        <v>0</v>
      </c>
      <c r="DC116" s="16"/>
      <c r="DJ116" s="545"/>
    </row>
    <row r="117" spans="1:114" collapsed="1">
      <c r="A117" s="1"/>
      <c r="B117" s="812" t="s">
        <v>480</v>
      </c>
      <c r="C117" s="356"/>
      <c r="D117" s="813"/>
      <c r="E117" s="357"/>
      <c r="F117" s="357">
        <f t="shared" ref="F117:Y117" si="373">SUM(F113:F116)</f>
        <v>-96.461999999999989</v>
      </c>
      <c r="G117" s="356">
        <f t="shared" si="373"/>
        <v>-10.638999999999999</v>
      </c>
      <c r="H117" s="356">
        <f t="shared" si="373"/>
        <v>28.003999999999998</v>
      </c>
      <c r="I117" s="356">
        <f t="shared" si="373"/>
        <v>-24.692</v>
      </c>
      <c r="J117" s="356">
        <f t="shared" si="373"/>
        <v>-31.833999999999996</v>
      </c>
      <c r="K117" s="839">
        <f t="shared" si="351"/>
        <v>-39.161000000000001</v>
      </c>
      <c r="L117" s="356">
        <f t="shared" si="373"/>
        <v>-8.0809999999999995</v>
      </c>
      <c r="M117" s="356">
        <f t="shared" si="373"/>
        <v>30.972000000000001</v>
      </c>
      <c r="N117" s="356">
        <f t="shared" si="373"/>
        <v>10.725999999999999</v>
      </c>
      <c r="O117" s="356">
        <f t="shared" si="373"/>
        <v>-12.213999999999999</v>
      </c>
      <c r="P117" s="839">
        <f t="shared" si="352"/>
        <v>21.403000000000006</v>
      </c>
      <c r="Q117" s="356">
        <f t="shared" si="373"/>
        <v>-58.621000000000002</v>
      </c>
      <c r="R117" s="356">
        <f t="shared" si="373"/>
        <v>76.983000000000004</v>
      </c>
      <c r="S117" s="356">
        <f t="shared" si="373"/>
        <v>-21.662999999999993</v>
      </c>
      <c r="T117" s="356">
        <f t="shared" si="373"/>
        <v>-92.126999999999995</v>
      </c>
      <c r="U117" s="839">
        <f t="shared" si="353"/>
        <v>-95.427999999999983</v>
      </c>
      <c r="V117" s="356">
        <f t="shared" si="373"/>
        <v>-17.327999999999999</v>
      </c>
      <c r="W117" s="356">
        <f t="shared" si="373"/>
        <v>66.072000000000003</v>
      </c>
      <c r="X117" s="356">
        <f t="shared" si="373"/>
        <v>-20.005000000000003</v>
      </c>
      <c r="Y117" s="356">
        <f t="shared" si="373"/>
        <v>-61.38600000000001</v>
      </c>
      <c r="Z117" s="839">
        <f t="shared" si="354"/>
        <v>-32.647000000000013</v>
      </c>
      <c r="AA117" s="356">
        <f>SUM(AA113:AA116)</f>
        <v>64.37700000000001</v>
      </c>
      <c r="AB117" s="356">
        <f>SUM(AB113:AB116)</f>
        <v>37.133000000000003</v>
      </c>
      <c r="AC117" s="356">
        <f>SUM(AC113:AC116)</f>
        <v>-26.536999999999999</v>
      </c>
      <c r="AD117" s="356">
        <f>SUM(AD113:AD116)</f>
        <v>-29.333000000000002</v>
      </c>
      <c r="AE117" s="839">
        <f t="shared" si="355"/>
        <v>45.640000000000015</v>
      </c>
      <c r="AF117" s="356">
        <f>SUM(AF113:AF116)</f>
        <v>-8.9809999999999999</v>
      </c>
      <c r="AG117" s="356">
        <f>SUM(AG113:AG116)</f>
        <v>11.199000000000009</v>
      </c>
      <c r="AH117" s="356">
        <f>SUM(AH113:AH116)</f>
        <v>-2.0680000000000049</v>
      </c>
      <c r="AI117" s="356">
        <f>SUM(AI113:AI116)</f>
        <v>-2.1870000000000012</v>
      </c>
      <c r="AJ117" s="839">
        <f t="shared" si="356"/>
        <v>-2.0369999999999973</v>
      </c>
      <c r="AK117" s="356">
        <f>SUM(AK113:AK116)</f>
        <v>8.8560000000000016</v>
      </c>
      <c r="AL117" s="356">
        <f>SUM(AL113:AL116)</f>
        <v>-16.849999999999998</v>
      </c>
      <c r="AM117" s="356">
        <f>SUM(AM113:AM116)</f>
        <v>22.276999999999997</v>
      </c>
      <c r="AN117" s="356">
        <f>SUM(AN113:AN116)</f>
        <v>227.52600000000001</v>
      </c>
      <c r="AO117" s="839">
        <f t="shared" si="357"/>
        <v>241.80900000000003</v>
      </c>
      <c r="AP117" s="356">
        <f>SUM(AP113:AP116)</f>
        <v>-141.232</v>
      </c>
      <c r="AQ117" s="356">
        <f>SUM(AQ113:AQ116)</f>
        <v>166.78399999999999</v>
      </c>
      <c r="AR117" s="356">
        <f>SUM(AR113:AR116)</f>
        <v>64.881000000000014</v>
      </c>
      <c r="AS117" s="356">
        <f>SUM(AS113:AS116)</f>
        <v>2.6869999999999976</v>
      </c>
      <c r="AT117" s="839">
        <f t="shared" si="358"/>
        <v>93.12</v>
      </c>
      <c r="AU117" s="356">
        <f>SUM(AU113:AU116)</f>
        <v>44.841999999999999</v>
      </c>
      <c r="AV117" s="356">
        <f>SUM(AV113:AV116)</f>
        <v>54.614000000000004</v>
      </c>
      <c r="AW117" s="356">
        <f>SUM(AW113:AW116)</f>
        <v>107.06000000000002</v>
      </c>
      <c r="AX117" s="356">
        <f>SUM(AX113:AX116)</f>
        <v>-118.61500000000001</v>
      </c>
      <c r="AY117" s="839">
        <f t="shared" si="359"/>
        <v>87.90100000000001</v>
      </c>
      <c r="AZ117" s="356">
        <f>SUM(AZ113:AZ116)</f>
        <v>65.228000000000009</v>
      </c>
      <c r="BA117" s="356">
        <f>SUM(BA113:BA116)</f>
        <v>-3.806000000000008</v>
      </c>
      <c r="BB117" s="356">
        <f>SUM(BB113:BB116)</f>
        <v>100.55700000000002</v>
      </c>
      <c r="BC117" s="356">
        <f>SUM(BC113:BC116)</f>
        <v>-69.962000000000018</v>
      </c>
      <c r="BD117" s="839">
        <f t="shared" si="360"/>
        <v>92.016999999999996</v>
      </c>
      <c r="BE117" s="356">
        <f>SUM(BE113:BE116)</f>
        <v>-57.804000000000002</v>
      </c>
      <c r="BF117" s="356">
        <f>SUM(BF113:BF116)</f>
        <v>114.7</v>
      </c>
      <c r="BG117" s="356">
        <f>SUM(BG113:BG116)</f>
        <v>-39.562000000000012</v>
      </c>
      <c r="BH117" s="356">
        <f>SUM(BH113:BH116)</f>
        <v>19.765000000000029</v>
      </c>
      <c r="BI117" s="839">
        <f t="shared" si="361"/>
        <v>37.099000000000018</v>
      </c>
      <c r="BJ117" s="356">
        <f>SUM(BJ113:BJ116)</f>
        <v>-161.78500000000005</v>
      </c>
      <c r="BK117" s="356">
        <f>SUM(BK113:BK116)</f>
        <v>-10.33899999999999</v>
      </c>
      <c r="BL117" s="356">
        <f>SUM(BL113:BL116)</f>
        <v>-13.64799999999998</v>
      </c>
      <c r="BM117" s="356">
        <f>SUM(BM113:BM116)</f>
        <v>145.49699999999996</v>
      </c>
      <c r="BN117" s="839">
        <f t="shared" si="371"/>
        <v>-40.275000000000063</v>
      </c>
      <c r="BO117" s="356">
        <f>SUM(BO113:BO116)</f>
        <v>-242.49100000000001</v>
      </c>
      <c r="BP117" s="356">
        <f>SUM(BP113:BP116)</f>
        <v>-19.85599999999998</v>
      </c>
      <c r="BQ117" s="356">
        <v>-214.215</v>
      </c>
      <c r="BR117" s="356">
        <f>SUM(BR113:BR116)</f>
        <v>280.63200000000001</v>
      </c>
      <c r="BS117" s="839">
        <f>SUM(BO117:BR117)</f>
        <v>-195.93</v>
      </c>
      <c r="BT117" s="356">
        <f>SUM(BT113:BT116)</f>
        <v>-268</v>
      </c>
      <c r="BU117" s="356">
        <f>SUM(BU113:BU116)</f>
        <v>35</v>
      </c>
      <c r="BV117" s="356">
        <f>SUM(BV113:BV116)</f>
        <v>-354</v>
      </c>
      <c r="BW117" s="356">
        <f>SUM(BW113:BW116)</f>
        <v>373</v>
      </c>
      <c r="BX117" s="839">
        <f>SUM(BT117:BW117)</f>
        <v>-214</v>
      </c>
      <c r="BY117" s="356">
        <f>SUM(BY113:BY116)</f>
        <v>-482</v>
      </c>
      <c r="BZ117" s="356">
        <f>SUM(BZ113:BZ116)</f>
        <v>111</v>
      </c>
      <c r="CA117" s="356">
        <f>SUM(CA113:CA116)</f>
        <v>-293</v>
      </c>
      <c r="CB117" s="356">
        <f>SUM(CB113:CB116)</f>
        <v>-154</v>
      </c>
      <c r="CC117" s="839">
        <f>SUM(BY117:CB117)</f>
        <v>-818</v>
      </c>
      <c r="CD117" s="356">
        <f>SUM(CD113:CD116)</f>
        <v>-86</v>
      </c>
      <c r="CE117" s="356">
        <f>SUM(CE113:CE116)</f>
        <v>-127</v>
      </c>
      <c r="CF117" s="356">
        <f>SUM(CF113:CF116)</f>
        <v>-86</v>
      </c>
      <c r="CG117" s="356">
        <f>SUM(CG113:CG116)</f>
        <v>122</v>
      </c>
      <c r="CH117" s="839">
        <f>SUM(CD117:CG117)</f>
        <v>-177</v>
      </c>
      <c r="CI117" s="356">
        <f>SUM(CI113:CI116)</f>
        <v>-104</v>
      </c>
      <c r="CJ117" s="356">
        <f>SUM(CJ113:CJ116)</f>
        <v>43</v>
      </c>
      <c r="CK117" s="356">
        <f>SUM(CK113:CK116)</f>
        <v>-53</v>
      </c>
      <c r="CL117" s="356">
        <f>SUM(CL113:CL116)</f>
        <v>639</v>
      </c>
      <c r="CM117" s="839">
        <f>SUM(CI117:CL117)</f>
        <v>525</v>
      </c>
      <c r="CN117" s="356">
        <f ca="1">SUM(CN113:CN116)</f>
        <v>-169.38246364238955</v>
      </c>
      <c r="CO117" s="356">
        <f ca="1">SUM(CO113:CO116)</f>
        <v>109.04185789216899</v>
      </c>
      <c r="CP117" s="356">
        <f ca="1">SUM(CP113:CP116)</f>
        <v>-52.931059634081066</v>
      </c>
      <c r="CQ117" s="356">
        <f ca="1">SUM(CQ113:CQ116)</f>
        <v>-294.74823486925027</v>
      </c>
      <c r="CR117" s="839">
        <f ca="1">SUM(CN117:CQ117)</f>
        <v>-408.0199002535519</v>
      </c>
      <c r="CS117" s="356">
        <f ca="1">SUM(CS113:CS116)</f>
        <v>153.61763364398234</v>
      </c>
      <c r="CT117" s="356">
        <f ca="1">SUM(CT113:CT116)</f>
        <v>406.62118425627398</v>
      </c>
      <c r="CU117" s="356">
        <f ca="1">SUM(CU113:CU116)</f>
        <v>152.48695710639981</v>
      </c>
      <c r="CV117" s="356">
        <f ca="1">SUM(CV113:CV116)</f>
        <v>219.81042637355972</v>
      </c>
      <c r="CW117" s="839">
        <f ca="1">SUM(CS117:CV117)</f>
        <v>932.53620138021586</v>
      </c>
      <c r="CX117" s="356">
        <f ca="1">SUM(CX113:CX116)</f>
        <v>-384.0515490230523</v>
      </c>
      <c r="CY117" s="356">
        <f ca="1">SUM(CY113:CY116)</f>
        <v>70.78021359004731</v>
      </c>
      <c r="CZ117" s="356">
        <f ca="1">SUM(CZ113:CZ116)</f>
        <v>124.16798130908592</v>
      </c>
      <c r="DA117" s="356">
        <f ca="1">SUM(DA113:DA116)</f>
        <v>-232.1152994914379</v>
      </c>
      <c r="DB117" s="839">
        <f ca="1">SUM(CX117:DA117)</f>
        <v>-421.21865361535697</v>
      </c>
      <c r="DC117" s="16"/>
      <c r="DJ117" s="545"/>
    </row>
    <row r="118" spans="1:114">
      <c r="A118" s="1"/>
      <c r="B118" s="25" t="s">
        <v>369</v>
      </c>
      <c r="C118" s="814"/>
      <c r="D118" s="815"/>
      <c r="E118" s="816">
        <v>-11.746</v>
      </c>
      <c r="F118" s="224">
        <f t="shared" ref="F118:Z118" si="374">SUM(F102:F111,F117,F100)</f>
        <v>22.984999999999999</v>
      </c>
      <c r="G118" s="709">
        <f t="shared" si="374"/>
        <v>31.555</v>
      </c>
      <c r="H118" s="709">
        <f t="shared" si="374"/>
        <v>63.972999999999992</v>
      </c>
      <c r="I118" s="709">
        <f t="shared" si="374"/>
        <v>18.538000000000007</v>
      </c>
      <c r="J118" s="709">
        <f t="shared" si="374"/>
        <v>40.321000000000005</v>
      </c>
      <c r="K118" s="224">
        <f t="shared" si="374"/>
        <v>154.38699999999997</v>
      </c>
      <c r="L118" s="709">
        <f t="shared" si="374"/>
        <v>48.858999999999995</v>
      </c>
      <c r="M118" s="709">
        <f t="shared" si="374"/>
        <v>86.896000000000001</v>
      </c>
      <c r="N118" s="709">
        <f t="shared" si="374"/>
        <v>61.100999999999992</v>
      </c>
      <c r="O118" s="709">
        <f t="shared" si="374"/>
        <v>88.643000000000001</v>
      </c>
      <c r="P118" s="224">
        <f t="shared" si="374"/>
        <v>285.49899999999997</v>
      </c>
      <c r="Q118" s="709">
        <f t="shared" si="374"/>
        <v>8.5099999999999909</v>
      </c>
      <c r="R118" s="709">
        <f t="shared" si="374"/>
        <v>142.78100000000001</v>
      </c>
      <c r="S118" s="709">
        <f t="shared" si="374"/>
        <v>47.065000000000012</v>
      </c>
      <c r="T118" s="709">
        <f t="shared" si="374"/>
        <v>45.347999999999999</v>
      </c>
      <c r="U118" s="224">
        <f t="shared" si="374"/>
        <v>243.70400000000001</v>
      </c>
      <c r="V118" s="709">
        <f t="shared" si="374"/>
        <v>61.730999999999995</v>
      </c>
      <c r="W118" s="709">
        <f t="shared" si="374"/>
        <v>144.25400000000002</v>
      </c>
      <c r="X118" s="709">
        <f t="shared" si="374"/>
        <v>57.188999999999986</v>
      </c>
      <c r="Y118" s="709">
        <f t="shared" si="374"/>
        <v>62.575999999999993</v>
      </c>
      <c r="Z118" s="224">
        <f t="shared" si="374"/>
        <v>325.75</v>
      </c>
      <c r="AA118" s="709">
        <f t="shared" ref="AA118:AY118" si="375">SUM(AA102:AA111,AA117,AA100)</f>
        <v>148.709</v>
      </c>
      <c r="AB118" s="709">
        <f t="shared" si="375"/>
        <v>127.687</v>
      </c>
      <c r="AC118" s="709">
        <f t="shared" si="375"/>
        <v>59.367000000000012</v>
      </c>
      <c r="AD118" s="709">
        <f t="shared" si="375"/>
        <v>75.286000000000016</v>
      </c>
      <c r="AE118" s="224">
        <f t="shared" si="375"/>
        <v>411.04900000000004</v>
      </c>
      <c r="AF118" s="709">
        <f t="shared" si="375"/>
        <v>90.813999999999993</v>
      </c>
      <c r="AG118" s="709">
        <f t="shared" si="375"/>
        <v>116.232</v>
      </c>
      <c r="AH118" s="709">
        <f t="shared" si="375"/>
        <v>61.004999999999988</v>
      </c>
      <c r="AI118" s="709">
        <f t="shared" si="375"/>
        <v>82.204000000000008</v>
      </c>
      <c r="AJ118" s="224">
        <f t="shared" si="375"/>
        <v>350.255</v>
      </c>
      <c r="AK118" s="709">
        <f t="shared" si="375"/>
        <v>120.34699999999999</v>
      </c>
      <c r="AL118" s="709">
        <f t="shared" si="375"/>
        <v>95.641000000000005</v>
      </c>
      <c r="AM118" s="709">
        <f t="shared" si="375"/>
        <v>188.66199999999998</v>
      </c>
      <c r="AN118" s="709">
        <f t="shared" si="375"/>
        <v>283.08800000000002</v>
      </c>
      <c r="AO118" s="224">
        <f t="shared" si="375"/>
        <v>687.73799999999994</v>
      </c>
      <c r="AP118" s="709">
        <f t="shared" si="375"/>
        <v>55.133000000000031</v>
      </c>
      <c r="AQ118" s="709">
        <f t="shared" si="375"/>
        <v>361.64999999999992</v>
      </c>
      <c r="AR118" s="709">
        <f t="shared" si="375"/>
        <v>268.27300000000008</v>
      </c>
      <c r="AS118" s="709">
        <f t="shared" si="375"/>
        <v>372.22500000000002</v>
      </c>
      <c r="AT118" s="224">
        <f t="shared" si="375"/>
        <v>1057.2810000000002</v>
      </c>
      <c r="AU118" s="709">
        <f t="shared" si="375"/>
        <v>259.42700000000002</v>
      </c>
      <c r="AV118" s="709">
        <f t="shared" si="375"/>
        <v>284.97999999999996</v>
      </c>
      <c r="AW118" s="709">
        <f t="shared" si="375"/>
        <v>356.35300000000007</v>
      </c>
      <c r="AX118" s="709">
        <f t="shared" si="375"/>
        <v>175.66899999999998</v>
      </c>
      <c r="AY118" s="224">
        <f t="shared" si="375"/>
        <v>1076.4289999999999</v>
      </c>
      <c r="AZ118" s="709">
        <f t="shared" ref="AZ118:BR118" si="376">SUM(AZ102:AZ111,AZ117,AZ100)</f>
        <v>299.36</v>
      </c>
      <c r="BA118" s="709">
        <f t="shared" si="376"/>
        <v>242.43200000000002</v>
      </c>
      <c r="BB118" s="709">
        <f t="shared" si="376"/>
        <v>356.58500000000004</v>
      </c>
      <c r="BC118" s="709">
        <f t="shared" si="376"/>
        <v>290.35300000000007</v>
      </c>
      <c r="BD118" s="224">
        <f t="shared" si="376"/>
        <v>1188.73</v>
      </c>
      <c r="BE118" s="709">
        <f t="shared" si="376"/>
        <v>187.51100000000002</v>
      </c>
      <c r="BF118" s="709">
        <f t="shared" si="376"/>
        <v>397.17400000000004</v>
      </c>
      <c r="BG118" s="709">
        <f t="shared" si="376"/>
        <v>235.5499999999999</v>
      </c>
      <c r="BH118" s="709">
        <f t="shared" si="376"/>
        <v>441.67300000000012</v>
      </c>
      <c r="BI118" s="224">
        <f t="shared" si="376"/>
        <v>1261.9080000000001</v>
      </c>
      <c r="BJ118" s="709">
        <f t="shared" si="376"/>
        <v>187.30999999999995</v>
      </c>
      <c r="BK118" s="709">
        <f t="shared" si="376"/>
        <v>295.61699999999996</v>
      </c>
      <c r="BL118" s="709">
        <f t="shared" si="376"/>
        <v>294.93799999999999</v>
      </c>
      <c r="BM118" s="709">
        <f t="shared" si="376"/>
        <v>502.25499999999994</v>
      </c>
      <c r="BN118" s="817">
        <f t="shared" si="376"/>
        <v>1280.1199999999999</v>
      </c>
      <c r="BO118" s="709">
        <f t="shared" si="376"/>
        <v>57.153999999999954</v>
      </c>
      <c r="BP118" s="709">
        <f t="shared" si="376"/>
        <v>252.01799999999997</v>
      </c>
      <c r="BQ118" s="709">
        <v>131.92800000000028</v>
      </c>
      <c r="BR118" s="709">
        <f t="shared" si="376"/>
        <v>647.61899999999991</v>
      </c>
      <c r="BS118" s="224">
        <f t="shared" ref="BS118:CC118" si="377">SUM(BS102:BS111,BS117,BS100)</f>
        <v>1088.7189999999998</v>
      </c>
      <c r="BT118" s="709">
        <f t="shared" si="377"/>
        <v>65</v>
      </c>
      <c r="BU118" s="709">
        <f t="shared" si="377"/>
        <v>449</v>
      </c>
      <c r="BV118" s="709">
        <f t="shared" si="377"/>
        <v>125.00000000000045</v>
      </c>
      <c r="BW118" s="709">
        <f t="shared" si="377"/>
        <v>976</v>
      </c>
      <c r="BX118" s="224">
        <f t="shared" si="377"/>
        <v>1615.0000000000005</v>
      </c>
      <c r="BY118" s="709">
        <f t="shared" si="377"/>
        <v>-61</v>
      </c>
      <c r="BZ118" s="709">
        <f t="shared" si="377"/>
        <v>565</v>
      </c>
      <c r="CA118" s="709">
        <f t="shared" si="377"/>
        <v>111</v>
      </c>
      <c r="CB118" s="709">
        <f t="shared" si="377"/>
        <v>306</v>
      </c>
      <c r="CC118" s="224">
        <f t="shared" si="377"/>
        <v>921</v>
      </c>
      <c r="CD118" s="709">
        <f t="shared" ref="CD118:CV118" si="378">SUM(CD102:CD111,CD117,CD100)</f>
        <v>294</v>
      </c>
      <c r="CE118" s="709">
        <f t="shared" si="378"/>
        <v>338</v>
      </c>
      <c r="CF118" s="709">
        <f t="shared" si="378"/>
        <v>178</v>
      </c>
      <c r="CG118" s="709">
        <f t="shared" si="378"/>
        <v>327</v>
      </c>
      <c r="CH118" s="224">
        <f t="shared" si="378"/>
        <v>1137</v>
      </c>
      <c r="CI118" s="709">
        <f t="shared" si="378"/>
        <v>242</v>
      </c>
      <c r="CJ118" s="709">
        <f t="shared" ref="CJ118:CL118" si="379">SUM(CJ102:CJ111,CJ117,CJ100)</f>
        <v>261</v>
      </c>
      <c r="CK118" s="709">
        <f t="shared" si="379"/>
        <v>114</v>
      </c>
      <c r="CL118" s="709">
        <f t="shared" si="379"/>
        <v>156</v>
      </c>
      <c r="CM118" s="224">
        <f t="shared" si="378"/>
        <v>773</v>
      </c>
      <c r="CN118" s="709">
        <f t="shared" ca="1" si="378"/>
        <v>125.92392261771927</v>
      </c>
      <c r="CO118" s="709">
        <f t="shared" ca="1" si="378"/>
        <v>375.9305683047487</v>
      </c>
      <c r="CP118" s="709">
        <f t="shared" ca="1" si="378"/>
        <v>184.06152693856097</v>
      </c>
      <c r="CQ118" s="709">
        <f t="shared" ca="1" si="378"/>
        <v>11.788260943125431</v>
      </c>
      <c r="CR118" s="224">
        <f t="shared" ref="CR118:DA118" ca="1" si="380">SUM(CR102:CR111,CR117,CR100)</f>
        <v>697.70427880415457</v>
      </c>
      <c r="CS118" s="709">
        <f t="shared" ca="1" si="378"/>
        <v>333.06080879070731</v>
      </c>
      <c r="CT118" s="709">
        <f t="shared" ca="1" si="378"/>
        <v>585.28246953463315</v>
      </c>
      <c r="CU118" s="709">
        <f t="shared" ca="1" si="378"/>
        <v>339.03854718075843</v>
      </c>
      <c r="CV118" s="709">
        <f t="shared" ca="1" si="378"/>
        <v>430.0685668593145</v>
      </c>
      <c r="CW118" s="224">
        <f t="shared" ca="1" si="380"/>
        <v>1687.4503923654133</v>
      </c>
      <c r="CX118" s="709">
        <f t="shared" ca="1" si="380"/>
        <v>-202.17269843646321</v>
      </c>
      <c r="CY118" s="709">
        <f t="shared" ca="1" si="380"/>
        <v>254.95272586724451</v>
      </c>
      <c r="CZ118" s="709">
        <f t="shared" ca="1" si="380"/>
        <v>297.08028189012168</v>
      </c>
      <c r="DA118" s="709">
        <f t="shared" ca="1" si="380"/>
        <v>-18.500421635678997</v>
      </c>
      <c r="DB118" s="224">
        <f t="shared" ref="DB118" ca="1" si="381">SUM(DB102:DB111,DB117,DB100)</f>
        <v>331.35988768522401</v>
      </c>
      <c r="DC118" s="16"/>
      <c r="DJ118" s="545"/>
    </row>
    <row r="119" spans="1:114">
      <c r="A119" s="10"/>
      <c r="B119" s="818" t="s">
        <v>481</v>
      </c>
      <c r="C119" s="819"/>
      <c r="D119" s="820"/>
      <c r="E119" s="821"/>
      <c r="F119" s="129">
        <f t="shared" ref="F119:Z119" si="382">F118/(F100+F102)</f>
        <v>0.21442631515117591</v>
      </c>
      <c r="G119" s="133">
        <f t="shared" si="382"/>
        <v>0.80180409096684024</v>
      </c>
      <c r="H119" s="133">
        <f t="shared" si="382"/>
        <v>1.6697901440801837</v>
      </c>
      <c r="I119" s="133">
        <f t="shared" si="382"/>
        <v>0.45579268292682934</v>
      </c>
      <c r="J119" s="133">
        <f t="shared" si="382"/>
        <v>0.87517364125716279</v>
      </c>
      <c r="K119" s="129">
        <f t="shared" si="382"/>
        <v>0.93903084343504983</v>
      </c>
      <c r="L119" s="133">
        <f t="shared" si="382"/>
        <v>0.87781171397772184</v>
      </c>
      <c r="M119" s="133">
        <f t="shared" si="382"/>
        <v>1.6336291171604751</v>
      </c>
      <c r="N119" s="133">
        <f t="shared" si="382"/>
        <v>1.2434572021653303</v>
      </c>
      <c r="O119" s="133">
        <f t="shared" si="382"/>
        <v>1.4721816249252639</v>
      </c>
      <c r="P119" s="129">
        <f t="shared" si="382"/>
        <v>1.3084160548482597</v>
      </c>
      <c r="Q119" s="133">
        <f t="shared" si="382"/>
        <v>0.12743145505458126</v>
      </c>
      <c r="R119" s="133">
        <f t="shared" si="382"/>
        <v>2.1975097731400255</v>
      </c>
      <c r="S119" s="133">
        <f t="shared" si="382"/>
        <v>0.69155266908620727</v>
      </c>
      <c r="T119" s="133">
        <f t="shared" si="382"/>
        <v>0.60122504176278735</v>
      </c>
      <c r="U119" s="129">
        <f t="shared" si="382"/>
        <v>0.88543006416265202</v>
      </c>
      <c r="V119" s="133">
        <f t="shared" si="382"/>
        <v>0.77965823408313017</v>
      </c>
      <c r="W119" s="133">
        <f t="shared" si="382"/>
        <v>1.8699073173893317</v>
      </c>
      <c r="X119" s="133">
        <f t="shared" si="382"/>
        <v>0.79808255882106671</v>
      </c>
      <c r="Y119" s="133">
        <f t="shared" si="382"/>
        <v>0.76467928586267142</v>
      </c>
      <c r="Z119" s="129">
        <f t="shared" si="382"/>
        <v>1.0514407077817909</v>
      </c>
      <c r="AA119" s="133">
        <f t="shared" ref="AA119:AY119" si="383">AA118/(AA100+AA102)</f>
        <v>1.9281555915721231</v>
      </c>
      <c r="AB119" s="133">
        <f t="shared" si="383"/>
        <v>1.5711262319892705</v>
      </c>
      <c r="AC119" s="133">
        <f t="shared" si="383"/>
        <v>0.71203943580886597</v>
      </c>
      <c r="AD119" s="133">
        <f t="shared" si="383"/>
        <v>0.81891356842952556</v>
      </c>
      <c r="AE119" s="129">
        <f t="shared" si="383"/>
        <v>1.2317698812727371</v>
      </c>
      <c r="AF119" s="133">
        <f t="shared" si="383"/>
        <v>0.94064882333443811</v>
      </c>
      <c r="AG119" s="133">
        <f t="shared" si="383"/>
        <v>1.1675506268081004</v>
      </c>
      <c r="AH119" s="133">
        <f t="shared" si="383"/>
        <v>1.0483399780038491</v>
      </c>
      <c r="AI119" s="133">
        <f t="shared" si="383"/>
        <v>0.80007007572070932</v>
      </c>
      <c r="AJ119" s="129">
        <f t="shared" si="383"/>
        <v>0.98101301276629116</v>
      </c>
      <c r="AK119" s="133">
        <f t="shared" si="383"/>
        <v>1.1397143777108547</v>
      </c>
      <c r="AL119" s="133">
        <f t="shared" si="383"/>
        <v>0.89290649040256942</v>
      </c>
      <c r="AM119" s="133">
        <f t="shared" si="383"/>
        <v>1.622940807074591</v>
      </c>
      <c r="AN119" s="133">
        <f t="shared" si="383"/>
        <v>8.3467390022408345</v>
      </c>
      <c r="AO119" s="129">
        <f t="shared" si="383"/>
        <v>1.8952790125362045</v>
      </c>
      <c r="AP119" s="133">
        <f t="shared" si="383"/>
        <v>0.30192491990909359</v>
      </c>
      <c r="AQ119" s="133">
        <f t="shared" si="383"/>
        <v>2.0923854872397172</v>
      </c>
      <c r="AR119" s="133">
        <f t="shared" si="383"/>
        <v>1.4816391903460084</v>
      </c>
      <c r="AS119" s="133">
        <f t="shared" si="383"/>
        <v>1.9748046284359135</v>
      </c>
      <c r="AT119" s="129">
        <f t="shared" si="383"/>
        <v>1.4583226436486723</v>
      </c>
      <c r="AU119" s="133">
        <f t="shared" si="383"/>
        <v>1.3316992541412358</v>
      </c>
      <c r="AV119" s="133">
        <f t="shared" si="383"/>
        <v>1.4116236792962191</v>
      </c>
      <c r="AW119" s="133">
        <f t="shared" si="383"/>
        <v>1.7531017858021349</v>
      </c>
      <c r="AX119" s="133">
        <f t="shared" si="383"/>
        <v>0.64357048651817117</v>
      </c>
      <c r="AY119" s="129">
        <f t="shared" si="383"/>
        <v>1.2331359116528431</v>
      </c>
      <c r="AZ119" s="133">
        <f t="shared" ref="AZ119:CC119" si="384">AZ118/(AZ100+AZ102)</f>
        <v>1.2866014827549157</v>
      </c>
      <c r="BA119" s="133">
        <f t="shared" si="384"/>
        <v>1.0113005427097108</v>
      </c>
      <c r="BB119" s="133">
        <f t="shared" si="384"/>
        <v>1.5111262729210546</v>
      </c>
      <c r="BC119" s="133">
        <f t="shared" si="384"/>
        <v>1.161834907906478</v>
      </c>
      <c r="BD119" s="129">
        <f t="shared" si="384"/>
        <v>1.240482948616271</v>
      </c>
      <c r="BE119" s="133">
        <f t="shared" si="384"/>
        <v>0.78245974219985559</v>
      </c>
      <c r="BF119" s="133">
        <f t="shared" si="384"/>
        <v>1.8337088404217992</v>
      </c>
      <c r="BG119" s="133">
        <f t="shared" si="384"/>
        <v>0.92670183845370036</v>
      </c>
      <c r="BH119" s="133">
        <f t="shared" si="384"/>
        <v>1.9641434085774767</v>
      </c>
      <c r="BI119" s="129">
        <f t="shared" si="384"/>
        <v>1.349218636398628</v>
      </c>
      <c r="BJ119" s="133">
        <f t="shared" si="384"/>
        <v>0.68459755999502914</v>
      </c>
      <c r="BK119" s="133">
        <f t="shared" si="384"/>
        <v>1.0484062021222267</v>
      </c>
      <c r="BL119" s="133">
        <f t="shared" si="384"/>
        <v>1.2239868860622913</v>
      </c>
      <c r="BM119" s="133">
        <f t="shared" si="384"/>
        <v>1.8275647510024668</v>
      </c>
      <c r="BN119" s="129">
        <f t="shared" si="384"/>
        <v>1.1948540221269954</v>
      </c>
      <c r="BO119" s="822">
        <f t="shared" si="384"/>
        <v>0.19812050013692395</v>
      </c>
      <c r="BP119" s="822">
        <f t="shared" si="384"/>
        <v>1.0427324258347468</v>
      </c>
      <c r="BQ119" s="822">
        <v>0.60673568219132779</v>
      </c>
      <c r="BR119" s="822">
        <f t="shared" si="384"/>
        <v>2.5665251869553334</v>
      </c>
      <c r="BS119" s="129">
        <f t="shared" si="384"/>
        <v>1.0887810605204495</v>
      </c>
      <c r="BT119" s="822">
        <f t="shared" si="384"/>
        <v>0.31862745098039214</v>
      </c>
      <c r="BU119" s="822">
        <f t="shared" si="384"/>
        <v>1.1632124352331605</v>
      </c>
      <c r="BV119" s="133">
        <f t="shared" si="384"/>
        <v>0.33422459893048212</v>
      </c>
      <c r="BW119" s="822">
        <f t="shared" si="384"/>
        <v>2.291079812206573</v>
      </c>
      <c r="BX119" s="129">
        <f t="shared" si="384"/>
        <v>1.1618705035971222</v>
      </c>
      <c r="BY119" s="822">
        <f t="shared" si="384"/>
        <v>-0.15443037974683543</v>
      </c>
      <c r="BZ119" s="822">
        <f t="shared" si="384"/>
        <v>1.3294117647058823</v>
      </c>
      <c r="CA119" s="822">
        <f t="shared" si="384"/>
        <v>0.30494505494505497</v>
      </c>
      <c r="CB119" s="822">
        <f t="shared" si="384"/>
        <v>1.2289156626506024</v>
      </c>
      <c r="CC119" s="129">
        <f t="shared" si="384"/>
        <v>0.64270760642009772</v>
      </c>
      <c r="CD119" s="822">
        <f t="shared" ref="CD119:CM119" si="385">CD118/(CD100+CD102)</f>
        <v>0.88023952095808389</v>
      </c>
      <c r="CE119" s="822">
        <f t="shared" si="385"/>
        <v>-0.2988505747126437</v>
      </c>
      <c r="CF119" s="822">
        <f t="shared" si="385"/>
        <v>0.85167464114832536</v>
      </c>
      <c r="CG119" s="822">
        <f t="shared" si="385"/>
        <v>5.274193548387097</v>
      </c>
      <c r="CH119" s="129">
        <f t="shared" si="385"/>
        <v>-2.161596958174905</v>
      </c>
      <c r="CI119" s="822">
        <f t="shared" si="385"/>
        <v>4.101694915254237</v>
      </c>
      <c r="CJ119" s="133">
        <f t="shared" si="385"/>
        <v>2.61</v>
      </c>
      <c r="CK119" s="822">
        <f t="shared" ref="CK119:CL119" si="386">CK118/(CK100+CK102)</f>
        <v>0.98275862068965514</v>
      </c>
      <c r="CL119" s="822">
        <f t="shared" si="386"/>
        <v>-8.6187845303867403E-2</v>
      </c>
      <c r="CM119" s="129">
        <f t="shared" si="385"/>
        <v>-0.50358306188925084</v>
      </c>
      <c r="CN119" s="133">
        <f t="shared" ref="CN119:DA119" ca="1" si="387">CN118/(CN100+CN102)</f>
        <v>0.67589697350423883</v>
      </c>
      <c r="CO119" s="133">
        <f t="shared" ca="1" si="387"/>
        <v>2.3809844752193032</v>
      </c>
      <c r="CP119" s="133">
        <f t="shared" ca="1" si="387"/>
        <v>1.4380639681353504</v>
      </c>
      <c r="CQ119" s="133">
        <f t="shared" ca="1" si="387"/>
        <v>6.6399085377822881E-2</v>
      </c>
      <c r="CR119" s="129">
        <f t="shared" ca="1" si="387"/>
        <v>1.0738468742475209</v>
      </c>
      <c r="CS119" s="133">
        <f t="shared" ref="CS119:CV119" ca="1" si="388">CS118/(CS100+CS102)</f>
        <v>1.9540870938598389</v>
      </c>
      <c r="CT119" s="133">
        <f t="shared" ca="1" si="388"/>
        <v>3.4497113974727611</v>
      </c>
      <c r="CU119" s="133">
        <f t="shared" ca="1" si="388"/>
        <v>1.909521323006846</v>
      </c>
      <c r="CV119" s="133">
        <f t="shared" ca="1" si="388"/>
        <v>2.136900230824478</v>
      </c>
      <c r="CW119" s="129">
        <f t="shared" ca="1" si="387"/>
        <v>2.3472208693682028</v>
      </c>
      <c r="CX119" s="133">
        <f t="shared" ca="1" si="387"/>
        <v>-1.169447261770183</v>
      </c>
      <c r="CY119" s="133">
        <f t="shared" ca="1" si="387"/>
        <v>1.4554379711344276</v>
      </c>
      <c r="CZ119" s="133">
        <f t="shared" ca="1" si="387"/>
        <v>1.8124343373684129</v>
      </c>
      <c r="DA119" s="133">
        <f t="shared" ca="1" si="387"/>
        <v>-9.0415818387950625E-2</v>
      </c>
      <c r="DB119" s="129">
        <f t="shared" ref="DB119" ca="1" si="389">DB118/(DB100+DB102)</f>
        <v>0.46241949568265045</v>
      </c>
      <c r="DC119" s="98"/>
      <c r="DJ119" s="545"/>
    </row>
    <row r="120" spans="1:114" ht="5.0999999999999996" customHeight="1">
      <c r="A120" s="1"/>
      <c r="B120" s="9"/>
      <c r="C120" s="193"/>
      <c r="D120" s="842"/>
      <c r="E120" s="194"/>
      <c r="F120" s="194"/>
      <c r="G120" s="710"/>
      <c r="H120" s="710"/>
      <c r="I120" s="710"/>
      <c r="J120" s="710"/>
      <c r="K120" s="194"/>
      <c r="L120" s="710"/>
      <c r="M120" s="710"/>
      <c r="N120" s="710"/>
      <c r="O120" s="710"/>
      <c r="P120" s="194"/>
      <c r="Q120" s="710"/>
      <c r="R120" s="710"/>
      <c r="S120" s="710"/>
      <c r="T120" s="710"/>
      <c r="U120" s="194"/>
      <c r="V120" s="710"/>
      <c r="W120" s="710"/>
      <c r="X120" s="710"/>
      <c r="Y120" s="710"/>
      <c r="Z120" s="194"/>
      <c r="AA120" s="710"/>
      <c r="AB120" s="710"/>
      <c r="AC120" s="710"/>
      <c r="AD120" s="710"/>
      <c r="AE120" s="194"/>
      <c r="AF120" s="710"/>
      <c r="AG120" s="710"/>
      <c r="AH120" s="710"/>
      <c r="AI120" s="710"/>
      <c r="AJ120" s="194"/>
      <c r="AK120" s="710"/>
      <c r="AL120" s="710"/>
      <c r="AM120" s="710"/>
      <c r="AN120" s="710"/>
      <c r="AO120" s="194"/>
      <c r="AP120" s="710"/>
      <c r="AQ120" s="710"/>
      <c r="AR120" s="710"/>
      <c r="AS120" s="710"/>
      <c r="AT120" s="194"/>
      <c r="AU120" s="710"/>
      <c r="AV120" s="710"/>
      <c r="AW120" s="710"/>
      <c r="AX120" s="710"/>
      <c r="AY120" s="194"/>
      <c r="AZ120" s="710"/>
      <c r="BA120" s="710"/>
      <c r="BB120" s="710"/>
      <c r="BC120" s="710"/>
      <c r="BD120" s="194"/>
      <c r="BE120" s="710"/>
      <c r="BF120" s="710"/>
      <c r="BG120" s="710"/>
      <c r="BH120" s="710"/>
      <c r="BI120" s="194"/>
      <c r="BJ120" s="710"/>
      <c r="BK120" s="710"/>
      <c r="BL120" s="710"/>
      <c r="BM120" s="710"/>
      <c r="BN120" s="194"/>
      <c r="BO120" s="710"/>
      <c r="BP120" s="710"/>
      <c r="BQ120" s="710"/>
      <c r="BR120" s="710"/>
      <c r="BS120" s="194"/>
      <c r="BT120" s="710"/>
      <c r="BU120" s="710"/>
      <c r="BV120" s="710"/>
      <c r="BW120" s="710"/>
      <c r="BX120" s="194"/>
      <c r="BY120" s="710"/>
      <c r="BZ120" s="710"/>
      <c r="CA120" s="710"/>
      <c r="CB120" s="710"/>
      <c r="CC120" s="194"/>
      <c r="CD120" s="710"/>
      <c r="CE120" s="710"/>
      <c r="CF120" s="710"/>
      <c r="CG120" s="710"/>
      <c r="CH120" s="194"/>
      <c r="CI120" s="710"/>
      <c r="CJ120" s="710"/>
      <c r="CK120" s="710"/>
      <c r="CL120" s="710"/>
      <c r="CM120" s="194"/>
      <c r="CN120" s="710"/>
      <c r="CO120" s="710"/>
      <c r="CP120" s="710"/>
      <c r="CQ120" s="710"/>
      <c r="CR120" s="194"/>
      <c r="CS120" s="710"/>
      <c r="CT120" s="710"/>
      <c r="CU120" s="710"/>
      <c r="CV120" s="710"/>
      <c r="CW120" s="194"/>
      <c r="CX120" s="710"/>
      <c r="CY120" s="710"/>
      <c r="CZ120" s="710"/>
      <c r="DA120" s="710"/>
      <c r="DB120" s="194"/>
      <c r="DC120" s="16"/>
      <c r="DJ120" s="545"/>
    </row>
    <row r="121" spans="1:114">
      <c r="A121" s="1"/>
      <c r="B121" s="9" t="s">
        <v>157</v>
      </c>
      <c r="C121" s="193"/>
      <c r="D121" s="842"/>
      <c r="E121" s="194"/>
      <c r="F121" s="234">
        <v>-148.21600000000001</v>
      </c>
      <c r="G121" s="267">
        <v>0</v>
      </c>
      <c r="H121" s="267">
        <f>-50.063-G121</f>
        <v>-50.063000000000002</v>
      </c>
      <c r="I121" s="267">
        <f>-55.066-SUM(G121:H121)</f>
        <v>-5.0030000000000001</v>
      </c>
      <c r="J121" s="267">
        <f>-150.941-SUM(G121:I121)</f>
        <v>-95.875</v>
      </c>
      <c r="K121" s="194">
        <f>SUM(G121:J121)</f>
        <v>-150.941</v>
      </c>
      <c r="L121" s="267">
        <v>-56.106000000000002</v>
      </c>
      <c r="M121" s="267">
        <f>-70.122-L121</f>
        <v>-14.015999999999998</v>
      </c>
      <c r="N121" s="267">
        <f>-127.693-SUM(L121:M121)</f>
        <v>-57.570999999999998</v>
      </c>
      <c r="O121" s="267">
        <f>-156.069-SUM(L121:N121)</f>
        <v>-28.375999999999991</v>
      </c>
      <c r="P121" s="194">
        <f>SUM(L121:O121)</f>
        <v>-156.06899999999999</v>
      </c>
      <c r="Q121" s="267">
        <v>-147.24100000000001</v>
      </c>
      <c r="R121" s="267">
        <f>-157.176-Q121</f>
        <v>-9.9349999999999739</v>
      </c>
      <c r="S121" s="267">
        <f>-320.233-SUM(Q121:R121)</f>
        <v>-163.05700000000002</v>
      </c>
      <c r="T121" s="267">
        <f>-450.572-SUM(Q121:S121)</f>
        <v>-130.339</v>
      </c>
      <c r="U121" s="194">
        <f>SUM(Q121:T121)</f>
        <v>-450.572</v>
      </c>
      <c r="V121" s="267">
        <v>-3.9860000000000002</v>
      </c>
      <c r="W121" s="267">
        <f>-5.29-V121</f>
        <v>-1.3039999999999998</v>
      </c>
      <c r="X121" s="267">
        <f>-131.815-SUM(V121:W121)</f>
        <v>-126.52499999999999</v>
      </c>
      <c r="Y121" s="267">
        <f>-133.033-SUM(V121:X121)</f>
        <v>-1.2179999999999893</v>
      </c>
      <c r="Z121" s="194">
        <f>SUM(V121:Y121)</f>
        <v>-133.03299999999999</v>
      </c>
      <c r="AA121" s="267">
        <v>-24.853999999999999</v>
      </c>
      <c r="AB121" s="267">
        <f>-45.813-AA121</f>
        <v>-20.959000000000003</v>
      </c>
      <c r="AC121" s="267">
        <f>-60.953-SUM(AA121:AB121)</f>
        <v>-15.14</v>
      </c>
      <c r="AD121" s="267">
        <f>-158.379-SUM(AA121:AC121)</f>
        <v>-97.425999999999988</v>
      </c>
      <c r="AE121" s="194">
        <f>SUM(AA121:AD121)</f>
        <v>-158.37899999999999</v>
      </c>
      <c r="AF121" s="267">
        <v>-17.448</v>
      </c>
      <c r="AG121" s="267">
        <f>-178.015-AF121</f>
        <v>-160.56699999999998</v>
      </c>
      <c r="AH121" s="267">
        <f>-317.387-SUM(AF121:AG121)</f>
        <v>-139.37200000000001</v>
      </c>
      <c r="AI121" s="267">
        <f>-384.618-SUM(AF121:AH121)</f>
        <v>-67.230999999999995</v>
      </c>
      <c r="AJ121" s="194">
        <f>SUM(AF121:AI121)</f>
        <v>-384.61799999999999</v>
      </c>
      <c r="AK121" s="267">
        <v>-44.039000000000001</v>
      </c>
      <c r="AL121" s="267">
        <f>-187.955-AK121</f>
        <v>-143.916</v>
      </c>
      <c r="AM121" s="267">
        <f>-6982.099-SUM(AK121:AL121)</f>
        <v>-6794.1440000000002</v>
      </c>
      <c r="AN121" s="267">
        <f>-7018.048-SUM(AK121:AM121)</f>
        <v>-35.948999999999614</v>
      </c>
      <c r="AO121" s="194">
        <f>SUM(AK121:AN121)</f>
        <v>-7018.0479999999998</v>
      </c>
      <c r="AP121" s="267">
        <v>-1.7050000000000001</v>
      </c>
      <c r="AQ121" s="267">
        <f>-6.646-AP121</f>
        <v>-4.9409999999999998</v>
      </c>
      <c r="AR121" s="267">
        <f>-7.274-SUM(AP121:AQ121)</f>
        <v>-0.62800000000000011</v>
      </c>
      <c r="AS121" s="267">
        <f>-161.907-SUM(AP121:AR121)</f>
        <v>-154.63300000000001</v>
      </c>
      <c r="AT121" s="194">
        <f>SUM(AP121:AS121)</f>
        <v>-161.90700000000001</v>
      </c>
      <c r="AU121" s="267">
        <v>-17.053000000000001</v>
      </c>
      <c r="AV121" s="267">
        <f>+-210.904-AU121</f>
        <v>-193.851</v>
      </c>
      <c r="AW121" s="267">
        <f>-211.941-SUM(AU121:AV121)</f>
        <v>-1.0370000000000061</v>
      </c>
      <c r="AX121" s="267">
        <f>+-263.773-AW121-AV121-AU121</f>
        <v>-51.831999999999994</v>
      </c>
      <c r="AY121" s="194">
        <f>SUM(AU121:AX121)</f>
        <v>-263.77300000000002</v>
      </c>
      <c r="AZ121" s="267">
        <v>-0.18</v>
      </c>
      <c r="BA121" s="267">
        <f>-2.413-AZ121</f>
        <v>-2.2329999999999997</v>
      </c>
      <c r="BB121" s="267">
        <f>-67.541-SUM(AZ121:BA121)</f>
        <v>-65.128</v>
      </c>
      <c r="BC121" s="267">
        <f>-248.251-SUM(AZ121:BB121)</f>
        <v>-180.71</v>
      </c>
      <c r="BD121" s="194">
        <f>SUM(AZ121:BC121)</f>
        <v>-248.251</v>
      </c>
      <c r="BE121" s="267">
        <v>-45.421999999999997</v>
      </c>
      <c r="BF121" s="267">
        <f>-204.264-BE121</f>
        <v>-158.84200000000001</v>
      </c>
      <c r="BG121" s="267">
        <f>+-209.451-BF121-BE121</f>
        <v>-5.1869999999999834</v>
      </c>
      <c r="BH121" s="267">
        <f>-415.36-SUM(BE121:BG121)</f>
        <v>-205.90900000000002</v>
      </c>
      <c r="BI121" s="194">
        <f>SUM(BE121:BH121)</f>
        <v>-415.36</v>
      </c>
      <c r="BJ121" s="267">
        <v>-248.43600000000001</v>
      </c>
      <c r="BK121" s="267">
        <f>-245.227-BJ121</f>
        <v>3.2090000000000032</v>
      </c>
      <c r="BL121" s="267">
        <f>-312.927-BJ121-BK121</f>
        <v>-67.700000000000017</v>
      </c>
      <c r="BM121" s="267">
        <f>-322.315-SUM(BJ121:BL121)</f>
        <v>-9.3879999999999768</v>
      </c>
      <c r="BN121" s="194">
        <f>SUM(BJ121:BM121)</f>
        <v>-322.315</v>
      </c>
      <c r="BO121" s="267">
        <v>-4.75</v>
      </c>
      <c r="BP121" s="267">
        <f>-10.492-BO121</f>
        <v>-5.7420000000000009</v>
      </c>
      <c r="BQ121" s="267">
        <v>-23.443000000000001</v>
      </c>
      <c r="BR121" s="267">
        <f>-43.743-SUM(BO121:BQ121)</f>
        <v>-9.8079999999999998</v>
      </c>
      <c r="BS121" s="234">
        <f>SUM(BO121:BR121)</f>
        <v>-43.743000000000002</v>
      </c>
      <c r="BT121" s="267">
        <v>-2774</v>
      </c>
      <c r="BU121" s="267">
        <f>-3041-BT121</f>
        <v>-267</v>
      </c>
      <c r="BV121" s="267">
        <f>-3041-SUM(BT121:BU121)</f>
        <v>0</v>
      </c>
      <c r="BW121" s="267">
        <f>-3091-SUM(BT121:BV121)</f>
        <v>-50</v>
      </c>
      <c r="BX121" s="221">
        <f>SUM(BT121:BW121)</f>
        <v>-3091</v>
      </c>
      <c r="BY121" s="267">
        <v>-13</v>
      </c>
      <c r="BZ121" s="267">
        <f>-27-BY121</f>
        <v>-14</v>
      </c>
      <c r="CA121" s="267">
        <f>-41-BZ121-BY121</f>
        <v>-14</v>
      </c>
      <c r="CB121" s="267">
        <f>-57-CA121-BZ121-BY121</f>
        <v>-16</v>
      </c>
      <c r="CC121" s="221">
        <f>SUM(BY121:CB121)</f>
        <v>-57</v>
      </c>
      <c r="CD121" s="267">
        <v>-99</v>
      </c>
      <c r="CE121" s="267">
        <f>-114-CD121</f>
        <v>-15</v>
      </c>
      <c r="CF121" s="267">
        <f>-122-CE121-CD121</f>
        <v>-8</v>
      </c>
      <c r="CG121" s="267">
        <f>-123-CF121-CE121-CD121</f>
        <v>-1</v>
      </c>
      <c r="CH121" s="221">
        <f>SUM(CD121:CG121)</f>
        <v>-123</v>
      </c>
      <c r="CI121" s="267">
        <v>-2</v>
      </c>
      <c r="CJ121" s="267">
        <f>-4-CI121</f>
        <v>-2</v>
      </c>
      <c r="CK121" s="267">
        <f>-4-CJ121-CI121</f>
        <v>0</v>
      </c>
      <c r="CL121" s="267">
        <f>-6-CK121-CJ121-CI121</f>
        <v>-2</v>
      </c>
      <c r="CM121" s="234">
        <f>SUM(CI121:CL121)</f>
        <v>-6</v>
      </c>
      <c r="CN121" s="267">
        <v>0</v>
      </c>
      <c r="CO121" s="267">
        <v>0</v>
      </c>
      <c r="CP121" s="267">
        <v>0</v>
      </c>
      <c r="CQ121" s="267">
        <v>0</v>
      </c>
      <c r="CR121" s="234">
        <f>SUM(CN121:CQ121)</f>
        <v>0</v>
      </c>
      <c r="CS121" s="267">
        <v>0</v>
      </c>
      <c r="CT121" s="267">
        <v>0</v>
      </c>
      <c r="CU121" s="267">
        <v>0</v>
      </c>
      <c r="CV121" s="267">
        <v>0</v>
      </c>
      <c r="CW121" s="234">
        <f>SUM(CS121:CV121)</f>
        <v>0</v>
      </c>
      <c r="CX121" s="267">
        <v>0</v>
      </c>
      <c r="CY121" s="267">
        <v>0</v>
      </c>
      <c r="CZ121" s="267">
        <v>0</v>
      </c>
      <c r="DA121" s="267">
        <v>0</v>
      </c>
      <c r="DB121" s="234">
        <f>SUM(CX121:DA121)</f>
        <v>0</v>
      </c>
      <c r="DC121" s="16"/>
      <c r="DJ121" s="545"/>
    </row>
    <row r="122" spans="1:114">
      <c r="A122" s="1"/>
      <c r="B122" s="9" t="s">
        <v>158</v>
      </c>
      <c r="C122" s="193"/>
      <c r="D122" s="842"/>
      <c r="E122" s="194"/>
      <c r="F122" s="234">
        <v>-63.005000000000003</v>
      </c>
      <c r="G122" s="267">
        <v>-18.577000000000002</v>
      </c>
      <c r="H122" s="267">
        <f>-39.056-G122</f>
        <v>-20.478999999999996</v>
      </c>
      <c r="I122" s="267">
        <f>-64.763-SUM(G122:H122)</f>
        <v>-25.707000000000008</v>
      </c>
      <c r="J122" s="267">
        <f>-83.232-SUM(G122:I122)</f>
        <v>-18.468999999999994</v>
      </c>
      <c r="K122" s="194">
        <f>SUM(G122:J122)</f>
        <v>-83.231999999999999</v>
      </c>
      <c r="L122" s="267">
        <v>-18.411000000000001</v>
      </c>
      <c r="M122" s="267">
        <f>-50.892-L122</f>
        <v>-32.481000000000002</v>
      </c>
      <c r="N122" s="267">
        <f>-81.592-SUM(L122:M122)</f>
        <v>-30.699999999999996</v>
      </c>
      <c r="O122" s="267">
        <f>-103.975-SUM(L122:N122)</f>
        <v>-22.382999999999996</v>
      </c>
      <c r="P122" s="194">
        <f>SUM(L122:O122)</f>
        <v>-103.97499999999999</v>
      </c>
      <c r="Q122" s="267">
        <v>-32.261000000000003</v>
      </c>
      <c r="R122" s="267">
        <f>-66.351-Q122</f>
        <v>-34.089999999999996</v>
      </c>
      <c r="S122" s="267">
        <f>-100.909-SUM(Q122:R122)</f>
        <v>-34.558000000000007</v>
      </c>
      <c r="T122" s="267">
        <f>-146.379-SUM(Q122:S122)</f>
        <v>-45.469999999999985</v>
      </c>
      <c r="U122" s="194">
        <f>SUM(Q122:T122)</f>
        <v>-146.37899999999999</v>
      </c>
      <c r="V122" s="267">
        <v>-39.896999999999998</v>
      </c>
      <c r="W122" s="267">
        <f>-83.143-V122</f>
        <v>-43.246000000000002</v>
      </c>
      <c r="X122" s="267">
        <f>-125.202-SUM(V122:W122)</f>
        <v>-42.058999999999997</v>
      </c>
      <c r="Y122" s="267">
        <f>-164.286-SUM(V122:X122)</f>
        <v>-39.084000000000003</v>
      </c>
      <c r="Z122" s="194">
        <f>SUM(V122:Y122)</f>
        <v>-164.286</v>
      </c>
      <c r="AA122" s="267">
        <v>-33.165999999999997</v>
      </c>
      <c r="AB122" s="267">
        <f>-76.735-AA122</f>
        <v>-43.569000000000003</v>
      </c>
      <c r="AC122" s="267">
        <f>-132.929-SUM(AA122:AB122)</f>
        <v>-56.194000000000003</v>
      </c>
      <c r="AD122" s="267">
        <f>-188.365-SUM(AA122:AC122)</f>
        <v>-55.436000000000007</v>
      </c>
      <c r="AE122" s="194">
        <f>SUM(AA122:AD122)</f>
        <v>-188.36500000000001</v>
      </c>
      <c r="AF122" s="267">
        <v>-39.704000000000001</v>
      </c>
      <c r="AG122" s="267">
        <f>-94.194-AF122</f>
        <v>-54.49</v>
      </c>
      <c r="AH122" s="267">
        <f>-158.598-SUM(AF122:AG122)</f>
        <v>-64.404000000000011</v>
      </c>
      <c r="AI122" s="267">
        <f>-224.519-SUM(AF122:AH122)</f>
        <v>-65.920999999999992</v>
      </c>
      <c r="AJ122" s="194">
        <f>SUM(AF122:AI122)</f>
        <v>-224.51900000000001</v>
      </c>
      <c r="AK122" s="267">
        <v>-44.789000000000001</v>
      </c>
      <c r="AL122" s="267">
        <f>-108.849-AK122</f>
        <v>-64.06</v>
      </c>
      <c r="AM122" s="267">
        <f>-278.543-SUM(AK122:AL122)</f>
        <v>-169.69400000000002</v>
      </c>
      <c r="AN122" s="267">
        <f>-522.785-SUM(AK122:AM122)</f>
        <v>-244.24199999999996</v>
      </c>
      <c r="AO122" s="194">
        <f>SUM(AK122:AN122)</f>
        <v>-522.78499999999997</v>
      </c>
      <c r="AP122" s="267">
        <v>-141.69300000000001</v>
      </c>
      <c r="AQ122" s="267">
        <f>-275.605-AP122</f>
        <v>-133.91200000000001</v>
      </c>
      <c r="AR122" s="267">
        <f>-451.409-SUM(AP122:AQ122)</f>
        <v>-175.80399999999997</v>
      </c>
      <c r="AS122" s="267">
        <f>-692.233-SUM(AP122:AR122)</f>
        <v>-240.82399999999996</v>
      </c>
      <c r="AT122" s="194">
        <f>SUM(AP122:AS122)</f>
        <v>-692.23299999999995</v>
      </c>
      <c r="AU122" s="267">
        <v>-136.02099999999999</v>
      </c>
      <c r="AV122" s="267">
        <f>-267.275-AU122</f>
        <v>-131.25399999999999</v>
      </c>
      <c r="AW122" s="267">
        <f>-398.138-SUM(AU122:AV122)</f>
        <v>-130.863</v>
      </c>
      <c r="AX122" s="267">
        <f>+-576.888-AW122-AV122-AU122</f>
        <v>-178.75000000000009</v>
      </c>
      <c r="AY122" s="194">
        <f>SUM(AU122:AX122)</f>
        <v>-576.88800000000003</v>
      </c>
      <c r="AZ122" s="267">
        <v>-126.553</v>
      </c>
      <c r="BA122" s="267">
        <f>-263.924-AZ122</f>
        <v>-137.37099999999998</v>
      </c>
      <c r="BB122" s="267">
        <f>-381.853-SUM(AZ122:BA122)</f>
        <v>-117.92900000000003</v>
      </c>
      <c r="BC122" s="267">
        <f>-667.378-SUM(AZ122:BB122)</f>
        <v>-285.52500000000003</v>
      </c>
      <c r="BD122" s="194">
        <f>SUM(AZ122:BC122)</f>
        <v>-667.37800000000004</v>
      </c>
      <c r="BE122" s="267">
        <v>-153.875</v>
      </c>
      <c r="BF122" s="267">
        <f>-351.383-BE122</f>
        <v>-197.50799999999998</v>
      </c>
      <c r="BG122" s="267">
        <f>+-532.845-BF122-BE122</f>
        <v>-181.46200000000005</v>
      </c>
      <c r="BH122" s="267">
        <f>-776.713-SUM(BE122:BG122)</f>
        <v>-243.86799999999994</v>
      </c>
      <c r="BI122" s="194">
        <f>SUM(BE122:BH122)</f>
        <v>-776.71299999999997</v>
      </c>
      <c r="BJ122" s="267">
        <v>-184.90299999999999</v>
      </c>
      <c r="BK122" s="267">
        <f>-386.461-BJ122</f>
        <v>-201.55800000000002</v>
      </c>
      <c r="BL122" s="267">
        <f>-557.469-BJ122-BK122</f>
        <v>-171.00800000000001</v>
      </c>
      <c r="BM122" s="267">
        <f>-768.79-SUM(BJ122:BL122)</f>
        <v>-211.32099999999991</v>
      </c>
      <c r="BN122" s="194">
        <f>SUM(BJ122:BM122)</f>
        <v>-768.79</v>
      </c>
      <c r="BO122" s="267">
        <v>-112.85899999999999</v>
      </c>
      <c r="BP122" s="267">
        <f>-294.991-BO122</f>
        <v>-182.13200000000001</v>
      </c>
      <c r="BQ122" s="267">
        <v>-125.92599999999999</v>
      </c>
      <c r="BR122" s="267">
        <f>-613.992-SUM(BO122:BQ122)</f>
        <v>-193.07499999999999</v>
      </c>
      <c r="BS122" s="194">
        <f>SUM(BO122:BR122)</f>
        <v>-613.99199999999996</v>
      </c>
      <c r="BT122" s="267">
        <v>-181</v>
      </c>
      <c r="BU122" s="267">
        <f>-361-BT122</f>
        <v>-180</v>
      </c>
      <c r="BV122" s="267">
        <f>-560-SUM(BT122:BU122)</f>
        <v>-199</v>
      </c>
      <c r="BW122" s="267">
        <f>-853-SUM(BT122:BV122)</f>
        <v>-293</v>
      </c>
      <c r="BX122" s="194">
        <f>SUM(BT122:BW122)</f>
        <v>-853</v>
      </c>
      <c r="BY122" s="267">
        <v>-241</v>
      </c>
      <c r="BZ122" s="267">
        <f>-474-BY122</f>
        <v>-233</v>
      </c>
      <c r="CA122" s="267">
        <f>-696-BZ122-BY122</f>
        <v>-222</v>
      </c>
      <c r="CB122" s="267">
        <f>-953-CA122-BZ122-BY122</f>
        <v>-257</v>
      </c>
      <c r="CC122" s="194">
        <f>SUM(BY122:CB122)</f>
        <v>-953</v>
      </c>
      <c r="CD122" s="267">
        <v>-224</v>
      </c>
      <c r="CE122" s="267">
        <f>-407-CD122</f>
        <v>-183</v>
      </c>
      <c r="CF122" s="267">
        <f>-561-CE122-CD122</f>
        <v>-154</v>
      </c>
      <c r="CG122" s="267">
        <f>-744-CF122-CE122-CD122</f>
        <v>-183</v>
      </c>
      <c r="CH122" s="194">
        <f>SUM(CD122:CG122)</f>
        <v>-744</v>
      </c>
      <c r="CI122" s="267">
        <v>-146</v>
      </c>
      <c r="CJ122" s="267">
        <f>-274-CI122</f>
        <v>-128</v>
      </c>
      <c r="CK122" s="267">
        <f>-428-CJ122-CI122</f>
        <v>-154</v>
      </c>
      <c r="CL122" s="267">
        <f>-564-CK122-CJ122-CI122</f>
        <v>-136</v>
      </c>
      <c r="CM122" s="194">
        <f>SUM(CI122:CL122)</f>
        <v>-564</v>
      </c>
      <c r="CN122" s="266">
        <f ca="1">-CN153*IS!CN8</f>
        <v>-155.8976041652121</v>
      </c>
      <c r="CO122" s="266">
        <f ca="1">-CO153*IS!CO8</f>
        <v>-145.6708653932692</v>
      </c>
      <c r="CP122" s="266">
        <f ca="1">-CP153*IS!CP8</f>
        <v>-133.24204912885472</v>
      </c>
      <c r="CQ122" s="266">
        <f ca="1">-CQ153*IS!CQ8</f>
        <v>-151.21820069149393</v>
      </c>
      <c r="CR122" s="194">
        <f ca="1">SUM(CN122:CQ122)</f>
        <v>-586.02871937882992</v>
      </c>
      <c r="CS122" s="266">
        <f ca="1">-CS153*IS!CS8</f>
        <v>-148.2514192589484</v>
      </c>
      <c r="CT122" s="266">
        <f ca="1">-CT153*IS!CT8</f>
        <v>-142.39493545257719</v>
      </c>
      <c r="CU122" s="266">
        <f ca="1">-CU153*IS!CU8</f>
        <v>-135.99419278147698</v>
      </c>
      <c r="CV122" s="266">
        <f ca="1">-CV153*IS!CV8</f>
        <v>-124.49406148117633</v>
      </c>
      <c r="CW122" s="194">
        <f ca="1">SUM(CS122:CV122)</f>
        <v>-551.13460897417895</v>
      </c>
      <c r="CX122" s="266">
        <f ca="1">-CX153*IS!CX8</f>
        <v>-149.09632873854446</v>
      </c>
      <c r="CY122" s="266">
        <f ca="1">-CY153*IS!CY8</f>
        <v>-143.28847577370524</v>
      </c>
      <c r="CZ122" s="266">
        <f ca="1">-CZ153*IS!CZ8</f>
        <v>-135.71943118366806</v>
      </c>
      <c r="DA122" s="266">
        <f ca="1">-DA153*IS!DA8</f>
        <v>-154.35452462932224</v>
      </c>
      <c r="DB122" s="194">
        <f ca="1">SUM(CX122:DA122)</f>
        <v>-582.45876032524006</v>
      </c>
      <c r="DC122" s="16"/>
      <c r="DJ122" s="545"/>
    </row>
    <row r="123" spans="1:114">
      <c r="A123" s="1"/>
      <c r="B123" s="9" t="s">
        <v>159</v>
      </c>
      <c r="C123" s="193"/>
      <c r="D123" s="842"/>
      <c r="E123" s="194"/>
      <c r="F123" s="234">
        <v>0.107</v>
      </c>
      <c r="G123" s="267">
        <v>5.2999999999999999E-2</v>
      </c>
      <c r="H123" s="267">
        <f>0.053-G123</f>
        <v>0</v>
      </c>
      <c r="I123" s="267">
        <f>0.168-SUM(G123:H123)</f>
        <v>0.11500000000000002</v>
      </c>
      <c r="J123" s="267">
        <f>0.423-SUM(G123:I123)</f>
        <v>0.255</v>
      </c>
      <c r="K123" s="194">
        <f>SUM(G123:J123)</f>
        <v>0.42300000000000004</v>
      </c>
      <c r="L123" s="267">
        <v>1.2E-2</v>
      </c>
      <c r="M123" s="267">
        <f>0.114-L123</f>
        <v>0.10200000000000001</v>
      </c>
      <c r="N123" s="267">
        <f>0.44-SUM(L123:M123)</f>
        <v>0.32600000000000001</v>
      </c>
      <c r="O123" s="267">
        <f>0.473-SUM(L123:N123)</f>
        <v>3.2999999999999974E-2</v>
      </c>
      <c r="P123" s="194">
        <f>SUM(L123:O123)</f>
        <v>0.47299999999999998</v>
      </c>
      <c r="Q123" s="267">
        <v>3.0000000000000001E-3</v>
      </c>
      <c r="R123" s="267">
        <f>0.25-Q123</f>
        <v>0.247</v>
      </c>
      <c r="S123" s="267">
        <f>1.036-SUM(Q123:R123)</f>
        <v>0.78600000000000003</v>
      </c>
      <c r="T123" s="267">
        <f>1.072-SUM(Q123:S123)</f>
        <v>3.6000000000000032E-2</v>
      </c>
      <c r="U123" s="194">
        <f>SUM(Q123:T123)</f>
        <v>1.0720000000000001</v>
      </c>
      <c r="V123" s="267">
        <v>0.83899999999999997</v>
      </c>
      <c r="W123" s="267">
        <f>0.976-V123</f>
        <v>0.13700000000000001</v>
      </c>
      <c r="X123" s="267">
        <f>1.064-SUM(V123:W123)</f>
        <v>8.8000000000000078E-2</v>
      </c>
      <c r="Y123" s="267">
        <f>0.79-SUM(V123:X123)</f>
        <v>-0.27400000000000002</v>
      </c>
      <c r="Z123" s="194">
        <f>SUM(V123:Y123)</f>
        <v>0.79</v>
      </c>
      <c r="AA123" s="267">
        <v>2.1309999999999998</v>
      </c>
      <c r="AB123" s="267">
        <f>2.155-AA123</f>
        <v>2.4000000000000021E-2</v>
      </c>
      <c r="AC123" s="267">
        <f>2.258-SUM(AA123:AB123)</f>
        <v>0.1030000000000002</v>
      </c>
      <c r="AD123" s="267">
        <f>2.325-SUM(AA123:AC123)</f>
        <v>6.7000000000000171E-2</v>
      </c>
      <c r="AE123" s="194">
        <f>SUM(AA123:AD123)</f>
        <v>2.3250000000000002</v>
      </c>
      <c r="AF123" s="267">
        <v>3.4000000000000002E-2</v>
      </c>
      <c r="AG123" s="267">
        <f>0.074-AF123</f>
        <v>3.9999999999999994E-2</v>
      </c>
      <c r="AH123" s="267">
        <f>4.312-SUM(AF123:AG123)</f>
        <v>4.2380000000000004</v>
      </c>
      <c r="AI123" s="267">
        <f>4.48-SUM(AF123:AH123)</f>
        <v>0.16800000000000015</v>
      </c>
      <c r="AJ123" s="194">
        <f>SUM(AF123:AI123)</f>
        <v>4.4800000000000004</v>
      </c>
      <c r="AK123" s="267">
        <v>0.13400000000000001</v>
      </c>
      <c r="AL123" s="267">
        <f>0.234-AK123</f>
        <v>0.1</v>
      </c>
      <c r="AM123" s="267">
        <f>0.601-SUM(AK123:AL123)</f>
        <v>0.36699999999999999</v>
      </c>
      <c r="AN123" s="267">
        <f>4.65-SUM(AK123:AM123)</f>
        <v>4.0490000000000004</v>
      </c>
      <c r="AO123" s="194">
        <f>SUM(AK123:AN123)</f>
        <v>4.6500000000000004</v>
      </c>
      <c r="AP123" s="267">
        <v>13.717000000000001</v>
      </c>
      <c r="AQ123" s="267">
        <f>12.889-AP123</f>
        <v>-0.82800000000000118</v>
      </c>
      <c r="AR123" s="267">
        <f>13.964-SUM(AP123:AQ123)</f>
        <v>1.0750000000000011</v>
      </c>
      <c r="AS123" s="267">
        <f>13.483-SUM(AP123:AR123)</f>
        <v>-0.48099999999999987</v>
      </c>
      <c r="AT123" s="194">
        <f>SUM(AP123:AS123)</f>
        <v>13.483000000000001</v>
      </c>
      <c r="AU123" s="267">
        <v>0.32600000000000001</v>
      </c>
      <c r="AV123" s="267">
        <f>0.355-AU123</f>
        <v>2.899999999999997E-2</v>
      </c>
      <c r="AW123" s="267">
        <f>2.521-SUM(AU123:AV123)</f>
        <v>2.1659999999999999</v>
      </c>
      <c r="AX123" s="267">
        <f>4.019-AU123-AV123-AW123</f>
        <v>1.4980000000000002</v>
      </c>
      <c r="AY123" s="194">
        <f>SUM(AU123:AX123)</f>
        <v>4.0190000000000001</v>
      </c>
      <c r="AZ123" s="267">
        <v>0.34599999999999997</v>
      </c>
      <c r="BA123" s="267">
        <f>2.307-AZ123</f>
        <v>1.9609999999999999</v>
      </c>
      <c r="BB123" s="267">
        <f>2.845-SUM(AZ123:BA123)</f>
        <v>0.53800000000000026</v>
      </c>
      <c r="BC123" s="267">
        <f>8.401-SUM(AZ123:BB123)</f>
        <v>5.5559999999999992</v>
      </c>
      <c r="BD123" s="194">
        <f>SUM(AZ123:BC123)</f>
        <v>8.4009999999999998</v>
      </c>
      <c r="BE123" s="267">
        <v>7.5869999999999997</v>
      </c>
      <c r="BF123" s="267">
        <f>8.034-BE123</f>
        <v>0.44700000000000095</v>
      </c>
      <c r="BG123" s="267">
        <f>9.251-BF123-BE123</f>
        <v>1.2169999999999987</v>
      </c>
      <c r="BH123" s="267">
        <f>11.16-SUM(BE123:BG123)</f>
        <v>1.9090000000000007</v>
      </c>
      <c r="BI123" s="194">
        <f>SUM(BE123:BH123)</f>
        <v>11.16</v>
      </c>
      <c r="BJ123" s="267">
        <v>0.748</v>
      </c>
      <c r="BK123" s="267">
        <f>3.437-BJ123</f>
        <v>2.6890000000000001</v>
      </c>
      <c r="BL123" s="267">
        <f>4.808-BJ123-BK123</f>
        <v>1.3709999999999996</v>
      </c>
      <c r="BM123" s="267">
        <f>5.897-SUM(BJ123:BL123)</f>
        <v>1.0890000000000004</v>
      </c>
      <c r="BN123" s="194">
        <f>SUM(BJ123:BM123)</f>
        <v>5.8970000000000002</v>
      </c>
      <c r="BO123" s="267">
        <v>0.71399999999999997</v>
      </c>
      <c r="BP123" s="267">
        <f>2.056-BO123</f>
        <v>1.3420000000000001</v>
      </c>
      <c r="BQ123" s="267">
        <v>2.1289999999999996</v>
      </c>
      <c r="BR123" s="267">
        <f>6.409-SUM(BO123:BQ123)</f>
        <v>2.2240000000000002</v>
      </c>
      <c r="BS123" s="234">
        <f>SUM(BO123:BR123)</f>
        <v>6.4089999999999998</v>
      </c>
      <c r="BT123" s="267">
        <v>0</v>
      </c>
      <c r="BU123" s="267">
        <f>12+3-BT123</f>
        <v>15</v>
      </c>
      <c r="BV123" s="267">
        <f>52-SUM(BT123:BU123)</f>
        <v>37</v>
      </c>
      <c r="BW123" s="267">
        <f>50-SUM(BT123:BV123)</f>
        <v>-2</v>
      </c>
      <c r="BX123" s="221">
        <f>SUM(BT123:BW123)</f>
        <v>50</v>
      </c>
      <c r="BY123" s="267">
        <v>62</v>
      </c>
      <c r="BZ123" s="267">
        <f>62-BY123</f>
        <v>0</v>
      </c>
      <c r="CA123" s="267">
        <f>13-BZ123-BY123</f>
        <v>-49</v>
      </c>
      <c r="CB123" s="267">
        <f>15-CA123-BZ123-BY123</f>
        <v>2</v>
      </c>
      <c r="CC123" s="221">
        <f>SUM(BY123:CB123)</f>
        <v>15</v>
      </c>
      <c r="CD123" s="267">
        <v>4</v>
      </c>
      <c r="CE123" s="267">
        <f>7-CD123</f>
        <v>3</v>
      </c>
      <c r="CF123" s="267">
        <f>12+10-CE123-CD123</f>
        <v>15</v>
      </c>
      <c r="CG123" s="267">
        <f>15-CF123-CE123-CD123</f>
        <v>-7</v>
      </c>
      <c r="CH123" s="221">
        <f t="shared" ref="CH123:CH124" si="390">SUM(CD123:CG123)</f>
        <v>15</v>
      </c>
      <c r="CI123" s="267">
        <v>0</v>
      </c>
      <c r="CJ123" s="267">
        <f>3-CI123</f>
        <v>3</v>
      </c>
      <c r="CK123" s="267">
        <f>4-CJ123-CI123</f>
        <v>1</v>
      </c>
      <c r="CL123" s="267">
        <f>7-CK123-CJ123-CI123</f>
        <v>3</v>
      </c>
      <c r="CM123" s="234">
        <f t="shared" ref="CM123:CM125" si="391">SUM(CI123:CL123)</f>
        <v>7</v>
      </c>
      <c r="CN123" s="267">
        <v>0</v>
      </c>
      <c r="CO123" s="267">
        <v>0</v>
      </c>
      <c r="CP123" s="267">
        <v>0</v>
      </c>
      <c r="CQ123" s="267">
        <v>0</v>
      </c>
      <c r="CR123" s="234">
        <v>0</v>
      </c>
      <c r="CS123" s="267">
        <v>0</v>
      </c>
      <c r="CT123" s="267">
        <v>0</v>
      </c>
      <c r="CU123" s="267">
        <v>0</v>
      </c>
      <c r="CV123" s="267">
        <v>0</v>
      </c>
      <c r="CW123" s="234">
        <v>0</v>
      </c>
      <c r="CX123" s="267">
        <v>0</v>
      </c>
      <c r="CY123" s="267">
        <v>0</v>
      </c>
      <c r="CZ123" s="267">
        <v>0</v>
      </c>
      <c r="DA123" s="267">
        <v>0</v>
      </c>
      <c r="DB123" s="234">
        <v>0</v>
      </c>
      <c r="DC123" s="16"/>
      <c r="DJ123" s="545"/>
    </row>
    <row r="124" spans="1:114">
      <c r="A124" s="1"/>
      <c r="B124" s="9" t="s">
        <v>160</v>
      </c>
      <c r="C124" s="193"/>
      <c r="D124" s="842"/>
      <c r="E124" s="194"/>
      <c r="F124" s="234">
        <v>0</v>
      </c>
      <c r="G124" s="267">
        <v>0</v>
      </c>
      <c r="H124" s="267">
        <f>0-G124</f>
        <v>0</v>
      </c>
      <c r="I124" s="267">
        <f>0-SUM(G124:H124)</f>
        <v>0</v>
      </c>
      <c r="J124" s="267">
        <f>0-SUM(G124:I124)</f>
        <v>0</v>
      </c>
      <c r="K124" s="194">
        <f>SUM(G124:J124)</f>
        <v>0</v>
      </c>
      <c r="L124" s="267">
        <v>0</v>
      </c>
      <c r="M124" s="267">
        <f>0-L124</f>
        <v>0</v>
      </c>
      <c r="N124" s="267">
        <f>0-SUM(L124:M124)</f>
        <v>0</v>
      </c>
      <c r="O124" s="267">
        <f>0-SUM(L124:N124)</f>
        <v>0</v>
      </c>
      <c r="P124" s="194">
        <f>SUM(L124:O124)</f>
        <v>0</v>
      </c>
      <c r="Q124" s="267">
        <v>0</v>
      </c>
      <c r="R124" s="267">
        <f>0-Q124</f>
        <v>0</v>
      </c>
      <c r="S124" s="267">
        <f>0-SUM(Q124:R124)</f>
        <v>0</v>
      </c>
      <c r="T124" s="267">
        <f>4.088-SUM(Q124:S124)</f>
        <v>4.0880000000000001</v>
      </c>
      <c r="U124" s="194">
        <f>SUM(Q124:T124)</f>
        <v>4.0880000000000001</v>
      </c>
      <c r="V124" s="267">
        <v>0</v>
      </c>
      <c r="W124" s="267">
        <f>0-V124</f>
        <v>0</v>
      </c>
      <c r="X124" s="267">
        <f>7.85-SUM(V124:W124)</f>
        <v>7.85</v>
      </c>
      <c r="Y124" s="267">
        <f>7.85-SUM(V124:X124)</f>
        <v>0</v>
      </c>
      <c r="Z124" s="194">
        <f>SUM(V124:Y124)</f>
        <v>7.85</v>
      </c>
      <c r="AA124" s="267">
        <v>51.860999999999997</v>
      </c>
      <c r="AB124" s="267">
        <f>51.861-AA124</f>
        <v>0</v>
      </c>
      <c r="AC124" s="267">
        <f>51.998-SUM(AA124:AB124)</f>
        <v>0.13700000000000045</v>
      </c>
      <c r="AD124" s="267">
        <f>51.998-SUM(AA124:AC124)</f>
        <v>0</v>
      </c>
      <c r="AE124" s="194">
        <f>SUM(AA124:AD124)</f>
        <v>51.997999999999998</v>
      </c>
      <c r="AF124" s="267">
        <v>0.5</v>
      </c>
      <c r="AG124" s="267">
        <f>0.75-AF124</f>
        <v>0.25</v>
      </c>
      <c r="AH124" s="267">
        <f>0.75-SUM(AF124:AG124)</f>
        <v>0</v>
      </c>
      <c r="AI124" s="267">
        <f>0.75-SUM(AF124:AH124)</f>
        <v>0</v>
      </c>
      <c r="AJ124" s="194">
        <f>SUM(AF124:AI124)</f>
        <v>0.75</v>
      </c>
      <c r="AK124" s="267">
        <v>0</v>
      </c>
      <c r="AL124" s="267">
        <f>12.662-AK124</f>
        <v>12.662000000000001</v>
      </c>
      <c r="AM124" s="267">
        <f>12.962-SUM(AK124:AL124)</f>
        <v>0.29999999999999893</v>
      </c>
      <c r="AN124" s="267">
        <f>109.996-SUM(AK124:AM124)</f>
        <v>97.033999999999992</v>
      </c>
      <c r="AO124" s="194">
        <f>SUM(AK124:AN124)</f>
        <v>109.996</v>
      </c>
      <c r="AP124" s="267">
        <v>365.68</v>
      </c>
      <c r="AQ124" s="267">
        <f>365.913-AP124</f>
        <v>0.23300000000000409</v>
      </c>
      <c r="AR124" s="267">
        <f>365.635-SUM(AP124:AQ124)</f>
        <v>-0.27800000000002001</v>
      </c>
      <c r="AS124" s="267">
        <f>365.636-SUM(AP124:AR124)</f>
        <v>1.0000000000331966E-3</v>
      </c>
      <c r="AT124" s="194">
        <f>SUM(AP124:AS124)</f>
        <v>365.63600000000002</v>
      </c>
      <c r="AU124" s="267">
        <v>89.909000000000006</v>
      </c>
      <c r="AV124" s="267">
        <f>89.909-AU124</f>
        <v>0</v>
      </c>
      <c r="AW124" s="267">
        <f>89.514-SUM(AU124:AV124)</f>
        <v>-0.39500000000001023</v>
      </c>
      <c r="AX124" s="267">
        <f>89.514-AU124-AV124-AW124</f>
        <v>0</v>
      </c>
      <c r="AY124" s="194">
        <f>SUM(AU124:AX124)</f>
        <v>89.513999999999996</v>
      </c>
      <c r="AZ124" s="267">
        <v>0</v>
      </c>
      <c r="BA124" s="267">
        <v>0</v>
      </c>
      <c r="BB124" s="267">
        <f>0-AZ124-BA124</f>
        <v>0</v>
      </c>
      <c r="BC124" s="267">
        <f>0-AZ124-BA124-BB124</f>
        <v>0</v>
      </c>
      <c r="BD124" s="194">
        <f>SUM(AZ124:BC124)</f>
        <v>0</v>
      </c>
      <c r="BE124" s="267">
        <v>14.583</v>
      </c>
      <c r="BF124" s="267">
        <f>18.464-BE124</f>
        <v>3.8809999999999985</v>
      </c>
      <c r="BG124" s="267">
        <f>172.578-BF124-BE124</f>
        <v>154.114</v>
      </c>
      <c r="BH124" s="267">
        <f>173.387-SUM(BE124:BG124)</f>
        <v>0.8089999999999975</v>
      </c>
      <c r="BI124" s="194">
        <f>SUM(BE124:BH124)</f>
        <v>173.387</v>
      </c>
      <c r="BJ124" s="267">
        <v>0</v>
      </c>
      <c r="BK124" s="267">
        <f>0-BJ124</f>
        <v>0</v>
      </c>
      <c r="BL124" s="267">
        <v>0</v>
      </c>
      <c r="BM124" s="267">
        <f>0-SUM(BJ124:BL124)</f>
        <v>0</v>
      </c>
      <c r="BN124" s="194">
        <f>SUM(BJ124:BM124)</f>
        <v>0</v>
      </c>
      <c r="BO124" s="267">
        <v>0</v>
      </c>
      <c r="BP124" s="267">
        <v>0</v>
      </c>
      <c r="BQ124" s="267">
        <v>0</v>
      </c>
      <c r="BR124" s="267">
        <v>0</v>
      </c>
      <c r="BS124" s="234">
        <f>SUM(BO124:BR124)</f>
        <v>0</v>
      </c>
      <c r="BT124" s="267">
        <v>0</v>
      </c>
      <c r="BU124" s="267">
        <f>-137+123-BT124</f>
        <v>-14</v>
      </c>
      <c r="BV124" s="267">
        <f>-7-SUM(BT124:BU124)</f>
        <v>7</v>
      </c>
      <c r="BW124" s="267">
        <f>-263+229+88-SUM(BT124:BV124)</f>
        <v>61</v>
      </c>
      <c r="BX124" s="221">
        <f>SUM(BT124:BW124)</f>
        <v>54</v>
      </c>
      <c r="BY124" s="267">
        <v>3</v>
      </c>
      <c r="BZ124" s="267">
        <f>11-BY124</f>
        <v>8</v>
      </c>
      <c r="CA124" s="267">
        <f>87-BZ124-BY124</f>
        <v>76</v>
      </c>
      <c r="CB124" s="267">
        <f>155-CA124-BZ124-BY124</f>
        <v>68</v>
      </c>
      <c r="CC124" s="221">
        <f>SUM(BY124:CB124)</f>
        <v>155</v>
      </c>
      <c r="CD124" s="267">
        <v>12</v>
      </c>
      <c r="CE124" s="267">
        <f>12-CD124</f>
        <v>0</v>
      </c>
      <c r="CF124" s="267">
        <f>403-CE124-CD124</f>
        <v>391</v>
      </c>
      <c r="CG124" s="267">
        <f>143-CF124-CE124-CD124</f>
        <v>-260</v>
      </c>
      <c r="CH124" s="221">
        <f t="shared" si="390"/>
        <v>143</v>
      </c>
      <c r="CI124" s="267">
        <v>0</v>
      </c>
      <c r="CJ124" s="267">
        <f>921-CI124</f>
        <v>921</v>
      </c>
      <c r="CK124" s="267">
        <f>1666-CJ124-CI124</f>
        <v>745</v>
      </c>
      <c r="CL124" s="267">
        <f>1692-CK124-CJ124-CI124</f>
        <v>26</v>
      </c>
      <c r="CM124" s="234">
        <f t="shared" si="391"/>
        <v>1692</v>
      </c>
      <c r="CN124" s="267">
        <v>300</v>
      </c>
      <c r="CO124" s="267">
        <v>300</v>
      </c>
      <c r="CP124" s="267">
        <v>350</v>
      </c>
      <c r="CQ124" s="267">
        <v>350</v>
      </c>
      <c r="CR124" s="194">
        <f>SUM(CN124:CQ124)</f>
        <v>1300</v>
      </c>
      <c r="CS124" s="267">
        <v>0</v>
      </c>
      <c r="CT124" s="267">
        <v>0</v>
      </c>
      <c r="CU124" s="267">
        <v>0</v>
      </c>
      <c r="CV124" s="267">
        <v>0</v>
      </c>
      <c r="CW124" s="194">
        <f>SUM(CS124:CV124)</f>
        <v>0</v>
      </c>
      <c r="CX124" s="267">
        <v>0</v>
      </c>
      <c r="CY124" s="267">
        <v>0</v>
      </c>
      <c r="CZ124" s="267">
        <v>0</v>
      </c>
      <c r="DA124" s="267">
        <v>0</v>
      </c>
      <c r="DB124" s="194">
        <f>SUM(CX124:DA124)</f>
        <v>0</v>
      </c>
      <c r="DC124" s="16"/>
      <c r="DJ124" s="545"/>
    </row>
    <row r="125" spans="1:114">
      <c r="A125" s="1"/>
      <c r="B125" s="399" t="s">
        <v>484</v>
      </c>
      <c r="C125" s="355"/>
      <c r="D125" s="832"/>
      <c r="E125" s="823"/>
      <c r="F125" s="823">
        <v>-33.326999999999998</v>
      </c>
      <c r="G125" s="355">
        <v>-6.2050000000000001</v>
      </c>
      <c r="H125" s="355">
        <f>-15.398-G125</f>
        <v>-9.1929999999999996</v>
      </c>
      <c r="I125" s="355">
        <f>-25.257-SUM(G125:H125)</f>
        <v>-9.8590000000000018</v>
      </c>
      <c r="J125" s="355">
        <f>-31.361-SUM(G125:I125)</f>
        <v>-6.1039999999999992</v>
      </c>
      <c r="K125" s="839">
        <f>SUM(G125:J125)</f>
        <v>-31.361000000000001</v>
      </c>
      <c r="L125" s="355">
        <v>-7.1669999999999998</v>
      </c>
      <c r="M125" s="355">
        <f>-14.76-L125</f>
        <v>-7.593</v>
      </c>
      <c r="N125" s="355">
        <f>-23.399-SUM(L125:M125)</f>
        <v>-8.6390000000000011</v>
      </c>
      <c r="O125" s="355">
        <f>-31.569-SUM(L125:N125)</f>
        <v>-8.1699999999999982</v>
      </c>
      <c r="P125" s="839">
        <f>SUM(L125:O125)</f>
        <v>-31.568999999999999</v>
      </c>
      <c r="Q125" s="355">
        <v>-7.4279999999999999</v>
      </c>
      <c r="R125" s="355">
        <f>-13.64-Q125</f>
        <v>-6.2120000000000006</v>
      </c>
      <c r="S125" s="355">
        <f>-21.21-SUM(Q125:R125)</f>
        <v>-7.57</v>
      </c>
      <c r="T125" s="355">
        <f>-28.979-SUM(Q125:S125)</f>
        <v>-7.7689999999999984</v>
      </c>
      <c r="U125" s="839">
        <f>SUM(Q125:T125)</f>
        <v>-28.978999999999999</v>
      </c>
      <c r="V125" s="355">
        <v>-7.4080000000000004</v>
      </c>
      <c r="W125" s="355">
        <f>-14.852-V125</f>
        <v>-7.444</v>
      </c>
      <c r="X125" s="355">
        <f>-23.576-SUM(V125:W125)</f>
        <v>-8.7240000000000002</v>
      </c>
      <c r="Y125" s="355">
        <f>-29.8-SUM(V125:X125)</f>
        <v>-6.2240000000000002</v>
      </c>
      <c r="Z125" s="839">
        <f>SUM(V125:Y125)</f>
        <v>-29.8</v>
      </c>
      <c r="AA125" s="355">
        <v>-7.2370000000000001</v>
      </c>
      <c r="AB125" s="355">
        <f>-22.079-AA125</f>
        <v>-14.842000000000001</v>
      </c>
      <c r="AC125" s="355">
        <f>-29.84-SUM(AA125:AB125)</f>
        <v>-7.7609999999999992</v>
      </c>
      <c r="AD125" s="355">
        <f>-34.851-SUM(AA125:AC125)</f>
        <v>-5.0109999999999992</v>
      </c>
      <c r="AE125" s="839">
        <f>SUM(AA125:AD125)</f>
        <v>-34.850999999999999</v>
      </c>
      <c r="AF125" s="355">
        <v>-22.425000000000001</v>
      </c>
      <c r="AG125" s="355">
        <f>-24.382-AF125</f>
        <v>-1.9570000000000007</v>
      </c>
      <c r="AH125" s="355">
        <f>-29.46-SUM(AF125:AG125)</f>
        <v>-5.0779999999999994</v>
      </c>
      <c r="AI125" s="355">
        <f>-36.35-SUM(AF125:AH125)</f>
        <v>-6.8900000000000006</v>
      </c>
      <c r="AJ125" s="839">
        <f>SUM(AF125:AI125)</f>
        <v>-36.35</v>
      </c>
      <c r="AK125" s="355">
        <v>-7.0510000000000002</v>
      </c>
      <c r="AL125" s="355">
        <f>-25.362-AK125</f>
        <v>-18.311</v>
      </c>
      <c r="AM125" s="355">
        <f>-66.025-SUM(AK125:AL125)</f>
        <v>-40.663000000000004</v>
      </c>
      <c r="AN125" s="355">
        <f>-72.671-SUM(AK125:AM125)</f>
        <v>-6.6460000000000008</v>
      </c>
      <c r="AO125" s="839">
        <f>SUM(AK125:AN125)</f>
        <v>-72.671000000000006</v>
      </c>
      <c r="AP125" s="355">
        <v>-98.182000000000002</v>
      </c>
      <c r="AQ125" s="355">
        <f>-144.38-AP125</f>
        <v>-46.197999999999993</v>
      </c>
      <c r="AR125" s="355">
        <f>-152.168-SUM(AP125:AQ125)</f>
        <v>-7.7880000000000109</v>
      </c>
      <c r="AS125" s="355">
        <f>-190.45-SUM(AP125:AR125)</f>
        <v>-38.281999999999982</v>
      </c>
      <c r="AT125" s="839">
        <f>SUM(AP125:AS125)</f>
        <v>-190.45</v>
      </c>
      <c r="AU125" s="355">
        <v>-36.344000000000001</v>
      </c>
      <c r="AV125" s="355">
        <f>+-74.506-AU125</f>
        <v>-38.161999999999999</v>
      </c>
      <c r="AW125" s="355">
        <f>-111.476-SUM(AU125:AV125)</f>
        <v>-36.97</v>
      </c>
      <c r="AX125" s="355">
        <f>+-120.054-AW125-AV125-AU125</f>
        <v>-8.578000000000003</v>
      </c>
      <c r="AY125" s="197">
        <f>SUM(AU125:AX125)</f>
        <v>-120.054</v>
      </c>
      <c r="AZ125" s="226">
        <v>-36.991</v>
      </c>
      <c r="BA125" s="226">
        <f>-64.258-AZ125</f>
        <v>-27.266999999999996</v>
      </c>
      <c r="BB125" s="226">
        <f>-98.502-SUM(AZ125:BA125)</f>
        <v>-34.244</v>
      </c>
      <c r="BC125" s="226">
        <f>-137.082-SUM(AZ125:BB125)</f>
        <v>-38.58</v>
      </c>
      <c r="BD125" s="197">
        <f>SUM(AZ125:BC125)</f>
        <v>-137.08199999999999</v>
      </c>
      <c r="BE125" s="226">
        <v>-32.277000000000001</v>
      </c>
      <c r="BF125" s="226">
        <f>-75.211-BE125</f>
        <v>-42.933999999999997</v>
      </c>
      <c r="BG125" s="226">
        <f>+-130.98-BF125-BE125</f>
        <v>-55.768999999999991</v>
      </c>
      <c r="BH125" s="226">
        <f>-188.249-SUM(BE125:BG125)</f>
        <v>-57.269000000000005</v>
      </c>
      <c r="BI125" s="197">
        <f>SUM(BE125:BH125)</f>
        <v>-188.249</v>
      </c>
      <c r="BJ125" s="226">
        <v>-67.707999999999998</v>
      </c>
      <c r="BK125" s="226">
        <f>-162.316-BJ125</f>
        <v>-94.608000000000004</v>
      </c>
      <c r="BL125" s="226">
        <f>-222.164-BJ125-BK125</f>
        <v>-59.847999999999985</v>
      </c>
      <c r="BM125" s="226">
        <f>-297.994-SUM(BJ125:BL125)</f>
        <v>-75.830000000000041</v>
      </c>
      <c r="BN125" s="197">
        <f>SUM(BJ125:BM125)</f>
        <v>-297.99400000000003</v>
      </c>
      <c r="BO125" s="226">
        <v>-69.483000000000004</v>
      </c>
      <c r="BP125" s="226">
        <f>-134.389-BO125</f>
        <v>-64.906000000000006</v>
      </c>
      <c r="BQ125" s="226">
        <v>-99.71</v>
      </c>
      <c r="BR125" s="226">
        <f>-339.942-SUM(BO125:BQ125)</f>
        <v>-105.84300000000002</v>
      </c>
      <c r="BS125" s="570">
        <f>SUM(BO125:BR125)</f>
        <v>-339.94200000000001</v>
      </c>
      <c r="BT125" s="226">
        <f>-78+76-99</f>
        <v>-101</v>
      </c>
      <c r="BU125" s="226">
        <f>-251-BT125</f>
        <v>-150</v>
      </c>
      <c r="BV125" s="226">
        <f>-387-SUM(BT125:BU125)</f>
        <v>-136</v>
      </c>
      <c r="BW125" s="226">
        <f>-511-SUM(BT125:BV125)</f>
        <v>-124</v>
      </c>
      <c r="BX125" s="225">
        <f>SUM(BT125:BW125)</f>
        <v>-511</v>
      </c>
      <c r="BY125" s="226">
        <f>-39+56-59</f>
        <v>-42</v>
      </c>
      <c r="BZ125" s="226">
        <f>-90+86-80-BY125</f>
        <v>-42</v>
      </c>
      <c r="CA125" s="226">
        <f>-136+123-127-BZ125-BY125</f>
        <v>-56</v>
      </c>
      <c r="CB125" s="226">
        <f>-162+156-205-CA125-BZ125-BY125</f>
        <v>-71</v>
      </c>
      <c r="CC125" s="225">
        <f>SUM(BY125:CB125)</f>
        <v>-211</v>
      </c>
      <c r="CD125" s="226">
        <f>-67+40-37</f>
        <v>-64</v>
      </c>
      <c r="CE125" s="226">
        <f>233+403-63+1219-113-CD125</f>
        <v>1743</v>
      </c>
      <c r="CF125" s="226">
        <f>1219-201-395+386-CE125-CD125</f>
        <v>-670</v>
      </c>
      <c r="CG125" s="226">
        <f>-505+464+403+1219-242-CF125-CE125-CD125</f>
        <v>330</v>
      </c>
      <c r="CH125" s="225">
        <f>SUM(CD125:CG125)</f>
        <v>1339</v>
      </c>
      <c r="CI125" s="226">
        <f>-12+26-37</f>
        <v>-23</v>
      </c>
      <c r="CJ125" s="226">
        <f>-37+47-60-CI125</f>
        <v>-27</v>
      </c>
      <c r="CK125" s="226">
        <f>-95-85+133-CJ125-CI125</f>
        <v>3</v>
      </c>
      <c r="CL125" s="226">
        <f>-125+208-143-CK125-CJ125-CI125</f>
        <v>-13</v>
      </c>
      <c r="CM125" s="570">
        <f t="shared" si="391"/>
        <v>-60</v>
      </c>
      <c r="CN125" s="226">
        <v>0</v>
      </c>
      <c r="CO125" s="226">
        <v>0</v>
      </c>
      <c r="CP125" s="226">
        <v>0</v>
      </c>
      <c r="CQ125" s="226">
        <v>0</v>
      </c>
      <c r="CR125" s="570">
        <f>SUM(CN125:CQ125)</f>
        <v>0</v>
      </c>
      <c r="CS125" s="226">
        <v>0</v>
      </c>
      <c r="CT125" s="226">
        <v>0</v>
      </c>
      <c r="CU125" s="226">
        <v>0</v>
      </c>
      <c r="CV125" s="226">
        <v>0</v>
      </c>
      <c r="CW125" s="570">
        <f>SUM(CS125:CV125)</f>
        <v>0</v>
      </c>
      <c r="CX125" s="226">
        <v>0</v>
      </c>
      <c r="CY125" s="226">
        <v>0</v>
      </c>
      <c r="CZ125" s="226">
        <v>0</v>
      </c>
      <c r="DA125" s="226">
        <v>0</v>
      </c>
      <c r="DB125" s="570">
        <f>SUM(CX125:DA125)</f>
        <v>0</v>
      </c>
      <c r="DC125" s="16"/>
      <c r="DJ125" s="545"/>
    </row>
    <row r="126" spans="1:114">
      <c r="A126" s="1"/>
      <c r="B126" s="25" t="s">
        <v>485</v>
      </c>
      <c r="C126" s="814"/>
      <c r="D126" s="815"/>
      <c r="E126" s="816">
        <v>-155.541</v>
      </c>
      <c r="F126" s="224">
        <f t="shared" ref="F126:Z126" si="392">SUM(F121:F125)</f>
        <v>-244.441</v>
      </c>
      <c r="G126" s="709">
        <f t="shared" si="392"/>
        <v>-24.728999999999999</v>
      </c>
      <c r="H126" s="709">
        <f t="shared" si="392"/>
        <v>-79.734999999999999</v>
      </c>
      <c r="I126" s="709">
        <f t="shared" si="392"/>
        <v>-40.454000000000008</v>
      </c>
      <c r="J126" s="709">
        <f t="shared" si="392"/>
        <v>-120.193</v>
      </c>
      <c r="K126" s="224">
        <f t="shared" si="392"/>
        <v>-265.11099999999999</v>
      </c>
      <c r="L126" s="709">
        <f t="shared" si="392"/>
        <v>-81.671999999999997</v>
      </c>
      <c r="M126" s="709">
        <f t="shared" si="392"/>
        <v>-53.988</v>
      </c>
      <c r="N126" s="709">
        <f t="shared" si="392"/>
        <v>-96.583999999999989</v>
      </c>
      <c r="O126" s="709">
        <f t="shared" si="392"/>
        <v>-58.895999999999987</v>
      </c>
      <c r="P126" s="224">
        <f t="shared" si="392"/>
        <v>-291.14</v>
      </c>
      <c r="Q126" s="709">
        <f t="shared" si="392"/>
        <v>-186.92700000000002</v>
      </c>
      <c r="R126" s="709">
        <f t="shared" si="392"/>
        <v>-49.989999999999974</v>
      </c>
      <c r="S126" s="709">
        <f t="shared" si="392"/>
        <v>-204.399</v>
      </c>
      <c r="T126" s="709">
        <f t="shared" si="392"/>
        <v>-179.45399999999998</v>
      </c>
      <c r="U126" s="224">
        <f t="shared" si="392"/>
        <v>-620.7700000000001</v>
      </c>
      <c r="V126" s="709">
        <f t="shared" si="392"/>
        <v>-50.451999999999998</v>
      </c>
      <c r="W126" s="709">
        <f t="shared" si="392"/>
        <v>-51.857000000000006</v>
      </c>
      <c r="X126" s="709">
        <f t="shared" si="392"/>
        <v>-169.37</v>
      </c>
      <c r="Y126" s="709">
        <f t="shared" si="392"/>
        <v>-46.8</v>
      </c>
      <c r="Z126" s="224">
        <f t="shared" si="392"/>
        <v>-318.47899999999993</v>
      </c>
      <c r="AA126" s="709">
        <f t="shared" ref="AA126:AY126" si="393">SUM(AA121:AA125)</f>
        <v>-11.264999999999999</v>
      </c>
      <c r="AB126" s="709">
        <f t="shared" si="393"/>
        <v>-79.346000000000004</v>
      </c>
      <c r="AC126" s="709">
        <f t="shared" si="393"/>
        <v>-78.855000000000004</v>
      </c>
      <c r="AD126" s="709">
        <f t="shared" si="393"/>
        <v>-157.80599999999998</v>
      </c>
      <c r="AE126" s="224">
        <f t="shared" si="393"/>
        <v>-327.27200000000005</v>
      </c>
      <c r="AF126" s="709">
        <f t="shared" si="393"/>
        <v>-79.043000000000006</v>
      </c>
      <c r="AG126" s="709">
        <f t="shared" si="393"/>
        <v>-216.72399999999999</v>
      </c>
      <c r="AH126" s="709">
        <f t="shared" si="393"/>
        <v>-204.61600000000001</v>
      </c>
      <c r="AI126" s="709">
        <f t="shared" si="393"/>
        <v>-139.87399999999997</v>
      </c>
      <c r="AJ126" s="224">
        <f t="shared" si="393"/>
        <v>-640.25699999999995</v>
      </c>
      <c r="AK126" s="709">
        <f t="shared" si="393"/>
        <v>-95.745000000000005</v>
      </c>
      <c r="AL126" s="709">
        <f t="shared" si="393"/>
        <v>-213.52500000000001</v>
      </c>
      <c r="AM126" s="709">
        <f t="shared" si="393"/>
        <v>-7003.8339999999998</v>
      </c>
      <c r="AN126" s="709">
        <f t="shared" si="393"/>
        <v>-185.75399999999962</v>
      </c>
      <c r="AO126" s="224">
        <f t="shared" si="393"/>
        <v>-7498.8580000000002</v>
      </c>
      <c r="AP126" s="709">
        <f t="shared" si="393"/>
        <v>137.81700000000001</v>
      </c>
      <c r="AQ126" s="709">
        <f t="shared" si="393"/>
        <v>-185.64600000000002</v>
      </c>
      <c r="AR126" s="709">
        <f t="shared" si="393"/>
        <v>-183.423</v>
      </c>
      <c r="AS126" s="709">
        <f t="shared" si="393"/>
        <v>-434.21899999999994</v>
      </c>
      <c r="AT126" s="224">
        <f t="shared" si="393"/>
        <v>-665.471</v>
      </c>
      <c r="AU126" s="709">
        <f t="shared" si="393"/>
        <v>-99.182999999999993</v>
      </c>
      <c r="AV126" s="709">
        <f t="shared" si="393"/>
        <v>-363.238</v>
      </c>
      <c r="AW126" s="709">
        <f t="shared" si="393"/>
        <v>-167.09900000000002</v>
      </c>
      <c r="AX126" s="709">
        <f t="shared" si="393"/>
        <v>-237.66200000000009</v>
      </c>
      <c r="AY126" s="224">
        <f t="shared" si="393"/>
        <v>-867.18200000000002</v>
      </c>
      <c r="AZ126" s="709">
        <f t="shared" ref="AZ126:BR126" si="394">SUM(AZ121:AZ125)</f>
        <v>-163.37799999999999</v>
      </c>
      <c r="BA126" s="709">
        <f t="shared" si="394"/>
        <v>-164.90999999999997</v>
      </c>
      <c r="BB126" s="709">
        <f t="shared" si="394"/>
        <v>-216.76300000000001</v>
      </c>
      <c r="BC126" s="709">
        <f t="shared" si="394"/>
        <v>-499.25900000000001</v>
      </c>
      <c r="BD126" s="224">
        <f t="shared" si="394"/>
        <v>-1044.31</v>
      </c>
      <c r="BE126" s="709">
        <f t="shared" si="394"/>
        <v>-209.404</v>
      </c>
      <c r="BF126" s="709">
        <f t="shared" si="394"/>
        <v>-394.95600000000002</v>
      </c>
      <c r="BG126" s="709">
        <f t="shared" si="394"/>
        <v>-87.087000000000003</v>
      </c>
      <c r="BH126" s="709">
        <f t="shared" si="394"/>
        <v>-504.32799999999997</v>
      </c>
      <c r="BI126" s="224">
        <f t="shared" si="394"/>
        <v>-1195.7749999999999</v>
      </c>
      <c r="BJ126" s="709">
        <f t="shared" si="394"/>
        <v>-500.29899999999998</v>
      </c>
      <c r="BK126" s="709">
        <f t="shared" si="394"/>
        <v>-290.26800000000003</v>
      </c>
      <c r="BL126" s="709">
        <f t="shared" si="394"/>
        <v>-297.185</v>
      </c>
      <c r="BM126" s="709">
        <f t="shared" si="394"/>
        <v>-295.44999999999993</v>
      </c>
      <c r="BN126" s="817">
        <f t="shared" si="394"/>
        <v>-1383.2020000000002</v>
      </c>
      <c r="BO126" s="709">
        <f t="shared" si="394"/>
        <v>-186.37799999999999</v>
      </c>
      <c r="BP126" s="709">
        <f t="shared" si="394"/>
        <v>-251.43799999999999</v>
      </c>
      <c r="BQ126" s="709">
        <v>-246.95</v>
      </c>
      <c r="BR126" s="709">
        <f t="shared" si="394"/>
        <v>-306.50200000000001</v>
      </c>
      <c r="BS126" s="224">
        <f t="shared" ref="BS126:BX126" si="395">SUM(BS121:BS125)</f>
        <v>-991.26800000000003</v>
      </c>
      <c r="BT126" s="709">
        <f t="shared" si="395"/>
        <v>-3056</v>
      </c>
      <c r="BU126" s="709">
        <f t="shared" si="395"/>
        <v>-596</v>
      </c>
      <c r="BV126" s="709">
        <f t="shared" si="395"/>
        <v>-291</v>
      </c>
      <c r="BW126" s="709">
        <f t="shared" si="395"/>
        <v>-408</v>
      </c>
      <c r="BX126" s="224">
        <f t="shared" si="395"/>
        <v>-4351</v>
      </c>
      <c r="BY126" s="709">
        <f t="shared" ref="BY126:CG126" si="396">SUM(BY121:BY125)</f>
        <v>-231</v>
      </c>
      <c r="BZ126" s="709">
        <f t="shared" si="396"/>
        <v>-281</v>
      </c>
      <c r="CA126" s="709">
        <f t="shared" si="396"/>
        <v>-265</v>
      </c>
      <c r="CB126" s="709">
        <f t="shared" si="396"/>
        <v>-274</v>
      </c>
      <c r="CC126" s="224">
        <f t="shared" si="396"/>
        <v>-1051</v>
      </c>
      <c r="CD126" s="709">
        <f t="shared" si="396"/>
        <v>-371</v>
      </c>
      <c r="CE126" s="709">
        <f t="shared" si="396"/>
        <v>1548</v>
      </c>
      <c r="CF126" s="709">
        <f t="shared" si="396"/>
        <v>-426</v>
      </c>
      <c r="CG126" s="709">
        <f t="shared" si="396"/>
        <v>-121</v>
      </c>
      <c r="CH126" s="224">
        <f>SUM(CH121:CH125)</f>
        <v>630</v>
      </c>
      <c r="CI126" s="709">
        <f t="shared" ref="CI126:DA126" si="397">SUM(CI121:CI125)</f>
        <v>-171</v>
      </c>
      <c r="CJ126" s="709">
        <f t="shared" si="397"/>
        <v>767</v>
      </c>
      <c r="CK126" s="709">
        <f t="shared" si="397"/>
        <v>595</v>
      </c>
      <c r="CL126" s="709">
        <f t="shared" si="397"/>
        <v>-122</v>
      </c>
      <c r="CM126" s="224">
        <f t="shared" si="397"/>
        <v>1069</v>
      </c>
      <c r="CN126" s="709">
        <f t="shared" ca="1" si="397"/>
        <v>144.1023958347879</v>
      </c>
      <c r="CO126" s="709">
        <f t="shared" ca="1" si="397"/>
        <v>154.3291346067308</v>
      </c>
      <c r="CP126" s="709">
        <f t="shared" ca="1" si="397"/>
        <v>216.75795087114528</v>
      </c>
      <c r="CQ126" s="709">
        <f t="shared" ca="1" si="397"/>
        <v>198.78179930850607</v>
      </c>
      <c r="CR126" s="224">
        <f t="shared" ca="1" si="397"/>
        <v>713.97128062117008</v>
      </c>
      <c r="CS126" s="709">
        <f t="shared" ref="CS126:CV126" ca="1" si="398">SUM(CS121:CS125)</f>
        <v>-148.2514192589484</v>
      </c>
      <c r="CT126" s="709">
        <f t="shared" ca="1" si="398"/>
        <v>-142.39493545257719</v>
      </c>
      <c r="CU126" s="709">
        <f t="shared" ca="1" si="398"/>
        <v>-135.99419278147698</v>
      </c>
      <c r="CV126" s="709">
        <f t="shared" ca="1" si="398"/>
        <v>-124.49406148117633</v>
      </c>
      <c r="CW126" s="224">
        <f t="shared" ca="1" si="397"/>
        <v>-551.13460897417895</v>
      </c>
      <c r="CX126" s="709">
        <f t="shared" ca="1" si="397"/>
        <v>-149.09632873854446</v>
      </c>
      <c r="CY126" s="709">
        <f t="shared" ca="1" si="397"/>
        <v>-143.28847577370524</v>
      </c>
      <c r="CZ126" s="709">
        <f t="shared" ca="1" si="397"/>
        <v>-135.71943118366806</v>
      </c>
      <c r="DA126" s="709">
        <f t="shared" ca="1" si="397"/>
        <v>-154.35452462932224</v>
      </c>
      <c r="DB126" s="224">
        <f t="shared" ref="DB126" ca="1" si="399">SUM(DB121:DB125)</f>
        <v>-582.45876032524006</v>
      </c>
      <c r="DC126" s="16"/>
      <c r="DJ126" s="545"/>
    </row>
    <row r="127" spans="1:114" ht="5.0999999999999996" customHeight="1">
      <c r="A127" s="1"/>
      <c r="B127" s="9"/>
      <c r="C127" s="193"/>
      <c r="D127" s="842"/>
      <c r="E127" s="194"/>
      <c r="F127" s="194"/>
      <c r="G127" s="710"/>
      <c r="H127" s="710"/>
      <c r="I127" s="710"/>
      <c r="J127" s="710"/>
      <c r="K127" s="194"/>
      <c r="L127" s="710"/>
      <c r="M127" s="710"/>
      <c r="N127" s="710"/>
      <c r="O127" s="710"/>
      <c r="P127" s="194"/>
      <c r="Q127" s="710"/>
      <c r="R127" s="710"/>
      <c r="S127" s="710"/>
      <c r="T127" s="710"/>
      <c r="U127" s="194"/>
      <c r="V127" s="710"/>
      <c r="W127" s="710"/>
      <c r="X127" s="710"/>
      <c r="Y127" s="710"/>
      <c r="Z127" s="194"/>
      <c r="AA127" s="710"/>
      <c r="AB127" s="710"/>
      <c r="AC127" s="710"/>
      <c r="AD127" s="710"/>
      <c r="AE127" s="194"/>
      <c r="AF127" s="710"/>
      <c r="AG127" s="710"/>
      <c r="AH127" s="710"/>
      <c r="AI127" s="710"/>
      <c r="AJ127" s="194"/>
      <c r="AK127" s="710"/>
      <c r="AL127" s="710"/>
      <c r="AM127" s="710"/>
      <c r="AN127" s="710"/>
      <c r="AO127" s="194"/>
      <c r="AP127" s="710"/>
      <c r="AQ127" s="710"/>
      <c r="AR127" s="710"/>
      <c r="AS127" s="710"/>
      <c r="AT127" s="194"/>
      <c r="AU127" s="710"/>
      <c r="AV127" s="710"/>
      <c r="AW127" s="710"/>
      <c r="AX127" s="710"/>
      <c r="AY127" s="194"/>
      <c r="AZ127" s="710"/>
      <c r="BA127" s="710"/>
      <c r="BB127" s="710"/>
      <c r="BC127" s="710"/>
      <c r="BD127" s="194"/>
      <c r="BE127" s="710"/>
      <c r="BF127" s="710"/>
      <c r="BG127" s="710"/>
      <c r="BH127" s="710"/>
      <c r="BI127" s="194"/>
      <c r="BJ127" s="710"/>
      <c r="BK127" s="710"/>
      <c r="BL127" s="710"/>
      <c r="BM127" s="710"/>
      <c r="BN127" s="194"/>
      <c r="BO127" s="811"/>
      <c r="BP127" s="710"/>
      <c r="BQ127" s="710"/>
      <c r="BR127" s="710"/>
      <c r="BS127" s="194"/>
      <c r="BT127" s="811"/>
      <c r="BU127" s="811"/>
      <c r="BV127" s="710"/>
      <c r="BW127" s="710"/>
      <c r="BX127" s="194"/>
      <c r="BY127" s="811"/>
      <c r="BZ127" s="811"/>
      <c r="CA127" s="811"/>
      <c r="CB127" s="811"/>
      <c r="CC127" s="194"/>
      <c r="CD127" s="811"/>
      <c r="CE127" s="811"/>
      <c r="CF127" s="811"/>
      <c r="CG127" s="811"/>
      <c r="CH127" s="194"/>
      <c r="CI127" s="811"/>
      <c r="CJ127" s="710"/>
      <c r="CK127" s="811"/>
      <c r="CL127" s="710"/>
      <c r="CM127" s="194"/>
      <c r="CN127" s="710"/>
      <c r="CO127" s="710"/>
      <c r="CP127" s="710"/>
      <c r="CQ127" s="710"/>
      <c r="CR127" s="194"/>
      <c r="CS127" s="710"/>
      <c r="CT127" s="710"/>
      <c r="CU127" s="710"/>
      <c r="CV127" s="710"/>
      <c r="CW127" s="194"/>
      <c r="CX127" s="710"/>
      <c r="CY127" s="710"/>
      <c r="CZ127" s="710"/>
      <c r="DA127" s="710"/>
      <c r="DB127" s="194"/>
      <c r="DC127" s="16"/>
      <c r="DJ127" s="545"/>
    </row>
    <row r="128" spans="1:114">
      <c r="A128" s="1"/>
      <c r="B128" s="9" t="s">
        <v>488</v>
      </c>
      <c r="C128" s="193"/>
      <c r="D128" s="842"/>
      <c r="E128" s="194"/>
      <c r="F128" s="234">
        <v>0.63600000000000001</v>
      </c>
      <c r="G128" s="267">
        <v>0</v>
      </c>
      <c r="H128" s="267">
        <f>2.289-G128</f>
        <v>2.2890000000000001</v>
      </c>
      <c r="I128" s="267">
        <f>5.713-SUM(G128:H128)</f>
        <v>3.4239999999999999</v>
      </c>
      <c r="J128" s="267">
        <f>2.985-SUM(G128:I128)</f>
        <v>-2.7280000000000002</v>
      </c>
      <c r="K128" s="194">
        <f t="shared" ref="K128:K142" si="400">SUM(G128:J128)</f>
        <v>2.9849999999999999</v>
      </c>
      <c r="L128" s="267">
        <v>0</v>
      </c>
      <c r="M128" s="267">
        <f>1.463-L128</f>
        <v>1.4630000000000001</v>
      </c>
      <c r="N128" s="267">
        <f>2.364-SUM(L128:M128)</f>
        <v>0.9009999999999998</v>
      </c>
      <c r="O128" s="267">
        <f>2.541-SUM(L128:N128)</f>
        <v>0.17700000000000005</v>
      </c>
      <c r="P128" s="194">
        <f t="shared" ref="P128:P142" si="401">SUM(L128:O128)</f>
        <v>2.5409999999999999</v>
      </c>
      <c r="Q128" s="267">
        <v>0.13300000000000001</v>
      </c>
      <c r="R128" s="267">
        <f>0.768-Q128</f>
        <v>0.63500000000000001</v>
      </c>
      <c r="S128" s="267">
        <f>1.479-SUM(Q128:R128)</f>
        <v>0.71100000000000008</v>
      </c>
      <c r="T128" s="267">
        <f>4.264-SUM(Q128:S128)</f>
        <v>2.7850000000000001</v>
      </c>
      <c r="U128" s="194">
        <f t="shared" ref="U128:U142" si="402">SUM(Q128:T128)</f>
        <v>4.2640000000000002</v>
      </c>
      <c r="V128" s="267">
        <v>1.012</v>
      </c>
      <c r="W128" s="267">
        <f>1.903-V128</f>
        <v>0.89100000000000001</v>
      </c>
      <c r="X128" s="267">
        <f>4.071-SUM(V128:W128)</f>
        <v>2.1679999999999997</v>
      </c>
      <c r="Y128" s="267">
        <f>9.9-SUM(V128:X128)</f>
        <v>5.8290000000000006</v>
      </c>
      <c r="Z128" s="194">
        <f t="shared" ref="Z128:Z142" si="403">SUM(V128:Y128)</f>
        <v>9.9</v>
      </c>
      <c r="AA128" s="267">
        <v>15.958</v>
      </c>
      <c r="AB128" s="267">
        <f>35.9-AA128</f>
        <v>19.942</v>
      </c>
      <c r="AC128" s="267">
        <f>40.146-SUM(AA128:AB128)</f>
        <v>4.2460000000000022</v>
      </c>
      <c r="AD128" s="267">
        <f>49.58-SUM(AA128:AC128)</f>
        <v>9.4339999999999975</v>
      </c>
      <c r="AE128" s="194">
        <f t="shared" ref="AE128:AE142" si="404">SUM(AA128:AD128)</f>
        <v>49.58</v>
      </c>
      <c r="AF128" s="267">
        <v>1.919</v>
      </c>
      <c r="AG128" s="267">
        <f>8.699-AF128</f>
        <v>6.7799999999999994</v>
      </c>
      <c r="AH128" s="267">
        <f>12.585-SUM(AF128:AG128)</f>
        <v>3.886000000000001</v>
      </c>
      <c r="AI128" s="267">
        <f>14.573-SUM(AF128:AH128)</f>
        <v>1.9879999999999995</v>
      </c>
      <c r="AJ128" s="194">
        <f t="shared" ref="AJ128:AJ142" si="405">SUM(AF128:AI128)</f>
        <v>14.573</v>
      </c>
      <c r="AK128" s="267">
        <v>3.3109999999999999</v>
      </c>
      <c r="AL128" s="267">
        <f>6.693-AK128</f>
        <v>3.3819999999999997</v>
      </c>
      <c r="AM128" s="267">
        <f>7.804-SUM(AK128:AL128)</f>
        <v>1.1110000000000007</v>
      </c>
      <c r="AN128" s="267">
        <f>8.214-SUM(AK128:AM128)</f>
        <v>0.41000000000000014</v>
      </c>
      <c r="AO128" s="194">
        <f t="shared" ref="AO128:AO142" si="406">SUM(AK128:AN128)</f>
        <v>8.2140000000000004</v>
      </c>
      <c r="AP128" s="267">
        <v>9.4E-2</v>
      </c>
      <c r="AQ128" s="267">
        <f>1.357-AP128</f>
        <v>1.2629999999999999</v>
      </c>
      <c r="AR128" s="267">
        <f>1.688-SUM(AP128:AQ128)</f>
        <v>0.33099999999999996</v>
      </c>
      <c r="AS128" s="267">
        <f>1.806-SUM(AP128:AR128)</f>
        <v>0.1180000000000001</v>
      </c>
      <c r="AT128" s="194">
        <f t="shared" ref="AT128:AT142" si="407">SUM(AP128:AS128)</f>
        <v>1.806</v>
      </c>
      <c r="AU128" s="267">
        <v>0</v>
      </c>
      <c r="AV128" s="267">
        <f>3.445-AU128</f>
        <v>3.4449999999999998</v>
      </c>
      <c r="AW128" s="267">
        <f>9.952-SUM(AU128:AV128)</f>
        <v>6.5069999999999997</v>
      </c>
      <c r="AX128" s="267">
        <f>12.759-AW128-AV128-AU128</f>
        <v>2.8070000000000008</v>
      </c>
      <c r="AY128" s="194">
        <f t="shared" ref="AY128:AY142" si="408">SUM(AU128:AX128)</f>
        <v>12.759</v>
      </c>
      <c r="AZ128" s="267">
        <v>24.007000000000001</v>
      </c>
      <c r="BA128" s="267">
        <f>53.615-AZ128</f>
        <v>29.608000000000001</v>
      </c>
      <c r="BB128" s="267">
        <f>53.839-SUM(AZ128:BA128)</f>
        <v>0.22399999999999665</v>
      </c>
      <c r="BC128" s="824">
        <f>56.916-SUM(AZ128:BB128)</f>
        <v>3.0769999999999982</v>
      </c>
      <c r="BD128" s="194">
        <f t="shared" ref="BD128:BD142" si="409">SUM(AZ128:BC128)</f>
        <v>56.915999999999997</v>
      </c>
      <c r="BE128" s="267">
        <v>18.125</v>
      </c>
      <c r="BF128" s="267">
        <f>18.831-BE128</f>
        <v>0.70599999999999952</v>
      </c>
      <c r="BG128" s="267">
        <f>18.88-BF128-BE128</f>
        <v>4.8999999999999488E-2</v>
      </c>
      <c r="BH128" s="824">
        <f>18.91-BE128-BF128-BG128</f>
        <v>3.0000000000001137E-2</v>
      </c>
      <c r="BI128" s="194">
        <f>SUM(BE128:BH128)</f>
        <v>18.91</v>
      </c>
      <c r="BJ128" s="267">
        <v>0.308</v>
      </c>
      <c r="BK128" s="222">
        <f>1.269-BJ128</f>
        <v>0.96099999999999985</v>
      </c>
      <c r="BL128" s="222">
        <f>5.75-BJ128-BK128</f>
        <v>4.4809999999999999</v>
      </c>
      <c r="BM128" s="824">
        <f>20.858-SUM(BJ128:BL128)</f>
        <v>15.108000000000001</v>
      </c>
      <c r="BN128" s="194">
        <f t="shared" ref="BN128:BN133" si="410">SUM(BJ128:BM128)</f>
        <v>20.858000000000001</v>
      </c>
      <c r="BO128" s="824">
        <v>73.429000000000002</v>
      </c>
      <c r="BP128" s="824">
        <f>103.626-BO128</f>
        <v>30.197000000000003</v>
      </c>
      <c r="BQ128" s="824">
        <v>4.92</v>
      </c>
      <c r="BR128" s="824">
        <f>110.66-SUM(BO128:BQ128)</f>
        <v>2.1139999999999901</v>
      </c>
      <c r="BS128" s="194">
        <f t="shared" ref="BS128:BS142" si="411">SUM(BO128:BR128)</f>
        <v>110.66</v>
      </c>
      <c r="BT128" s="824">
        <v>6</v>
      </c>
      <c r="BU128" s="824">
        <f>14-BT128</f>
        <v>8</v>
      </c>
      <c r="BV128" s="824">
        <f>42-SUM(BT128:BU128)</f>
        <v>28</v>
      </c>
      <c r="BW128" s="824">
        <f>65-SUM(BT128:BV128)</f>
        <v>23</v>
      </c>
      <c r="BX128" s="194">
        <f t="shared" ref="BX128:BX136" si="412">SUM(BT128:BW128)</f>
        <v>65</v>
      </c>
      <c r="BY128" s="824">
        <v>17</v>
      </c>
      <c r="BZ128" s="824">
        <f>22-BY128</f>
        <v>5</v>
      </c>
      <c r="CA128" s="824">
        <f>24-BZ128-BY128</f>
        <v>2</v>
      </c>
      <c r="CB128" s="824">
        <f>25-CA128-BZ128-BY128</f>
        <v>1</v>
      </c>
      <c r="CC128" s="221">
        <f t="shared" ref="CC128:CC141" si="413">SUM(BY128:CB128)</f>
        <v>25</v>
      </c>
      <c r="CD128" s="824">
        <v>0</v>
      </c>
      <c r="CE128" s="824">
        <v>0</v>
      </c>
      <c r="CF128" s="824">
        <f>0-CE128-CD128</f>
        <v>0</v>
      </c>
      <c r="CG128" s="824">
        <v>0</v>
      </c>
      <c r="CH128" s="194">
        <f t="shared" ref="CH128:CH137" si="414">SUM(CD128:CG128)</f>
        <v>0</v>
      </c>
      <c r="CI128" s="824">
        <v>0</v>
      </c>
      <c r="CJ128" s="824">
        <f>0-CI128</f>
        <v>0</v>
      </c>
      <c r="CK128" s="824">
        <f>0-CJ128-CI128</f>
        <v>0</v>
      </c>
      <c r="CL128" s="824">
        <f>0-CK128-CJ128-CI128</f>
        <v>0</v>
      </c>
      <c r="CM128" s="194">
        <f t="shared" ref="CM128:CM137" si="415">SUM(CI128:CL128)</f>
        <v>0</v>
      </c>
      <c r="CN128" s="711">
        <v>0</v>
      </c>
      <c r="CO128" s="711">
        <v>0</v>
      </c>
      <c r="CP128" s="711">
        <v>0</v>
      </c>
      <c r="CQ128" s="711">
        <v>0</v>
      </c>
      <c r="CR128" s="194">
        <f t="shared" ref="CR128:CR137" si="416">SUM(CN128:CQ128)</f>
        <v>0</v>
      </c>
      <c r="CS128" s="711">
        <v>0</v>
      </c>
      <c r="CT128" s="711">
        <v>0</v>
      </c>
      <c r="CU128" s="711">
        <v>0</v>
      </c>
      <c r="CV128" s="711">
        <v>0</v>
      </c>
      <c r="CW128" s="194">
        <f t="shared" ref="CW128:CW137" si="417">SUM(CS128:CV128)</f>
        <v>0</v>
      </c>
      <c r="CX128" s="711">
        <v>0</v>
      </c>
      <c r="CY128" s="711">
        <v>0</v>
      </c>
      <c r="CZ128" s="711">
        <v>0</v>
      </c>
      <c r="DA128" s="711">
        <v>0</v>
      </c>
      <c r="DB128" s="194">
        <f t="shared" ref="DB128:DB137" si="418">SUM(CX128:DA128)</f>
        <v>0</v>
      </c>
      <c r="DC128" s="16"/>
      <c r="DJ128" s="545"/>
    </row>
    <row r="129" spans="1:114">
      <c r="A129" s="1"/>
      <c r="B129" s="9" t="s">
        <v>358</v>
      </c>
      <c r="C129" s="193"/>
      <c r="D129" s="842"/>
      <c r="E129" s="194"/>
      <c r="F129" s="234">
        <v>0</v>
      </c>
      <c r="G129" s="267">
        <v>0</v>
      </c>
      <c r="H129" s="267">
        <f>0-G129</f>
        <v>0</v>
      </c>
      <c r="I129" s="267">
        <f>0-SUM(G129:H129)</f>
        <v>0</v>
      </c>
      <c r="J129" s="824">
        <f>0-SUM(G129:I129)</f>
        <v>0</v>
      </c>
      <c r="K129" s="194">
        <f t="shared" si="400"/>
        <v>0</v>
      </c>
      <c r="L129" s="267">
        <v>0</v>
      </c>
      <c r="M129" s="267">
        <f>0-L129</f>
        <v>0</v>
      </c>
      <c r="N129" s="267">
        <f>0-SUM(L129:M129)</f>
        <v>0</v>
      </c>
      <c r="O129" s="824">
        <f>0-SUM(L129:N129)</f>
        <v>0</v>
      </c>
      <c r="P129" s="194">
        <f t="shared" si="401"/>
        <v>0</v>
      </c>
      <c r="Q129" s="267"/>
      <c r="R129" s="267"/>
      <c r="S129" s="267"/>
      <c r="T129" s="824">
        <f>0-SUM(Q129:S129)</f>
        <v>0</v>
      </c>
      <c r="U129" s="194">
        <f t="shared" si="402"/>
        <v>0</v>
      </c>
      <c r="V129" s="267">
        <v>0</v>
      </c>
      <c r="W129" s="267">
        <f t="shared" ref="W129:W134" si="419">0-V129</f>
        <v>0</v>
      </c>
      <c r="X129" s="267">
        <f>0-V129-W129</f>
        <v>0</v>
      </c>
      <c r="Y129" s="824">
        <f>0-V129-W129-X129</f>
        <v>0</v>
      </c>
      <c r="Z129" s="194">
        <f t="shared" si="403"/>
        <v>0</v>
      </c>
      <c r="AA129" s="267">
        <v>0</v>
      </c>
      <c r="AB129" s="267">
        <f>0-AA129</f>
        <v>0</v>
      </c>
      <c r="AC129" s="267">
        <f>0-AA129-AB129</f>
        <v>0</v>
      </c>
      <c r="AD129" s="824">
        <f>0-AA129-AB129-AC129</f>
        <v>0</v>
      </c>
      <c r="AE129" s="194">
        <f t="shared" si="404"/>
        <v>0</v>
      </c>
      <c r="AF129" s="267">
        <v>0</v>
      </c>
      <c r="AG129" s="267">
        <f>0-AF129</f>
        <v>0</v>
      </c>
      <c r="AH129" s="267">
        <f>0-AF129-AG129</f>
        <v>0</v>
      </c>
      <c r="AI129" s="824">
        <f>0-AF129-AG129-AH129</f>
        <v>0</v>
      </c>
      <c r="AJ129" s="194">
        <f t="shared" si="405"/>
        <v>0</v>
      </c>
      <c r="AK129" s="267">
        <v>0</v>
      </c>
      <c r="AL129" s="267">
        <f>0-AK129</f>
        <v>0</v>
      </c>
      <c r="AM129" s="267">
        <f>0-AK129-AL129</f>
        <v>0</v>
      </c>
      <c r="AN129" s="824">
        <f>0-AK129-AL129-AM129</f>
        <v>0</v>
      </c>
      <c r="AO129" s="194">
        <f t="shared" si="406"/>
        <v>0</v>
      </c>
      <c r="AP129" s="267">
        <v>0</v>
      </c>
      <c r="AQ129" s="267">
        <f>0-AP129</f>
        <v>0</v>
      </c>
      <c r="AR129" s="267">
        <f>0-AP129-AQ129</f>
        <v>0</v>
      </c>
      <c r="AS129" s="824">
        <f>0-AP129-AQ129-AR129</f>
        <v>0</v>
      </c>
      <c r="AT129" s="194">
        <f t="shared" si="407"/>
        <v>0</v>
      </c>
      <c r="AU129" s="267">
        <v>0</v>
      </c>
      <c r="AV129" s="267">
        <f>0-AU129</f>
        <v>0</v>
      </c>
      <c r="AW129" s="267">
        <f>0-AU129-AV129</f>
        <v>0</v>
      </c>
      <c r="AX129" s="824">
        <f>0-AU129-AV129-AW129</f>
        <v>0</v>
      </c>
      <c r="AY129" s="194">
        <f t="shared" si="408"/>
        <v>0</v>
      </c>
      <c r="AZ129" s="267">
        <v>0</v>
      </c>
      <c r="BA129" s="267">
        <f>0-AZ129</f>
        <v>0</v>
      </c>
      <c r="BB129" s="267">
        <f>0-AZ129-BA129</f>
        <v>0</v>
      </c>
      <c r="BC129" s="824">
        <f>0-AZ129-BA129-BB129</f>
        <v>0</v>
      </c>
      <c r="BD129" s="194">
        <f t="shared" si="409"/>
        <v>0</v>
      </c>
      <c r="BE129" s="267">
        <v>0</v>
      </c>
      <c r="BF129" s="267">
        <f>0-BE129</f>
        <v>0</v>
      </c>
      <c r="BG129" s="267">
        <f>0-BE129-BF129</f>
        <v>0</v>
      </c>
      <c r="BH129" s="824">
        <f>-13.311-BE129-BF129-BG129</f>
        <v>-13.311</v>
      </c>
      <c r="BI129" s="194">
        <f t="shared" ref="BI129:BI142" si="420">SUM(BE129:BH129)</f>
        <v>-13.311</v>
      </c>
      <c r="BJ129" s="267">
        <v>-9.032</v>
      </c>
      <c r="BK129" s="222">
        <f>-9.074-BJ129</f>
        <v>-4.1999999999999815E-2</v>
      </c>
      <c r="BL129" s="222">
        <f>-9.165-BJ129-BK129</f>
        <v>-9.0999999999999304E-2</v>
      </c>
      <c r="BM129" s="824">
        <f>-9.314-SUM(BJ129:BL129)</f>
        <v>-0.14900000000000091</v>
      </c>
      <c r="BN129" s="194">
        <f t="shared" si="410"/>
        <v>-9.3140000000000001</v>
      </c>
      <c r="BO129" s="824">
        <v>-14.478</v>
      </c>
      <c r="BP129" s="824">
        <f>-14.569-BO129</f>
        <v>-9.100000000000108E-2</v>
      </c>
      <c r="BQ129" s="824">
        <v>-0.12699999999999889</v>
      </c>
      <c r="BR129" s="824">
        <f>-14.896-SUM(BO129:BQ129)</f>
        <v>-0.20000000000000107</v>
      </c>
      <c r="BS129" s="194">
        <f t="shared" si="411"/>
        <v>-14.896000000000001</v>
      </c>
      <c r="BT129" s="824">
        <v>-11</v>
      </c>
      <c r="BU129" s="824">
        <f>-11-BT129</f>
        <v>0</v>
      </c>
      <c r="BV129" s="824">
        <f>-11-SUM(BT129:BU129)</f>
        <v>0</v>
      </c>
      <c r="BW129" s="824">
        <f>-11-SUM(BT129:BV129)</f>
        <v>0</v>
      </c>
      <c r="BX129" s="194">
        <f t="shared" si="412"/>
        <v>-11</v>
      </c>
      <c r="BY129" s="824">
        <v>-20</v>
      </c>
      <c r="BZ129" s="824">
        <f>-20-BY129</f>
        <v>0</v>
      </c>
      <c r="CA129" s="824">
        <f>-20-BZ129-BY129</f>
        <v>0</v>
      </c>
      <c r="CB129" s="824">
        <f>-20-CA129-BZ129-BY129</f>
        <v>0</v>
      </c>
      <c r="CC129" s="221">
        <f t="shared" si="413"/>
        <v>-20</v>
      </c>
      <c r="CD129" s="824">
        <v>-7</v>
      </c>
      <c r="CE129" s="824">
        <f>-5-CD129</f>
        <v>2</v>
      </c>
      <c r="CF129" s="824">
        <f>-5-CE129-CD129</f>
        <v>0</v>
      </c>
      <c r="CG129" s="824">
        <f>-6-CF129-CE129-CD129</f>
        <v>-1</v>
      </c>
      <c r="CH129" s="194">
        <f t="shared" si="414"/>
        <v>-6</v>
      </c>
      <c r="CI129" s="824">
        <v>-5</v>
      </c>
      <c r="CJ129" s="824">
        <f>-5-CI129</f>
        <v>0</v>
      </c>
      <c r="CK129" s="824">
        <f>-5-CJ129-CI129</f>
        <v>0</v>
      </c>
      <c r="CL129" s="824">
        <f>-5-CK129-CJ129-CI129</f>
        <v>0</v>
      </c>
      <c r="CM129" s="194">
        <f t="shared" si="415"/>
        <v>-5</v>
      </c>
      <c r="CN129" s="711">
        <v>0</v>
      </c>
      <c r="CO129" s="711">
        <v>0</v>
      </c>
      <c r="CP129" s="711">
        <v>0</v>
      </c>
      <c r="CQ129" s="711">
        <v>0</v>
      </c>
      <c r="CR129" s="194">
        <f t="shared" si="416"/>
        <v>0</v>
      </c>
      <c r="CS129" s="711">
        <v>0</v>
      </c>
      <c r="CT129" s="711">
        <v>0</v>
      </c>
      <c r="CU129" s="711">
        <v>0</v>
      </c>
      <c r="CV129" s="711">
        <v>0</v>
      </c>
      <c r="CW129" s="194">
        <f t="shared" si="417"/>
        <v>0</v>
      </c>
      <c r="CX129" s="711">
        <v>0</v>
      </c>
      <c r="CY129" s="711">
        <v>0</v>
      </c>
      <c r="CZ129" s="711">
        <v>0</v>
      </c>
      <c r="DA129" s="711">
        <v>0</v>
      </c>
      <c r="DB129" s="194">
        <f t="shared" si="418"/>
        <v>0</v>
      </c>
      <c r="DC129" s="16"/>
      <c r="DJ129" s="545"/>
    </row>
    <row r="130" spans="1:114">
      <c r="A130" s="1"/>
      <c r="B130" s="9" t="s">
        <v>494</v>
      </c>
      <c r="C130" s="193"/>
      <c r="D130" s="842"/>
      <c r="E130" s="194"/>
      <c r="F130" s="234">
        <v>0</v>
      </c>
      <c r="G130" s="267">
        <v>0</v>
      </c>
      <c r="H130" s="267">
        <f>0-G130</f>
        <v>0</v>
      </c>
      <c r="I130" s="267">
        <f>0-SUM(G130:H130)</f>
        <v>0</v>
      </c>
      <c r="J130" s="267">
        <f>-7.75-SUM(G130:I130)</f>
        <v>-7.75</v>
      </c>
      <c r="K130" s="194">
        <f t="shared" si="400"/>
        <v>-7.75</v>
      </c>
      <c r="L130" s="267">
        <v>0</v>
      </c>
      <c r="M130" s="267">
        <f>0-L130</f>
        <v>0</v>
      </c>
      <c r="N130" s="267">
        <f>0-SUM(L130:M130)</f>
        <v>0</v>
      </c>
      <c r="O130" s="267">
        <f>-8.959-SUM(L130:N130)</f>
        <v>-8.9589999999999996</v>
      </c>
      <c r="P130" s="194">
        <f t="shared" si="401"/>
        <v>-8.9589999999999996</v>
      </c>
      <c r="Q130" s="267">
        <v>0</v>
      </c>
      <c r="R130" s="267">
        <f>0-Q130</f>
        <v>0</v>
      </c>
      <c r="S130" s="267">
        <f>0-SUM(Q130:R130)</f>
        <v>0</v>
      </c>
      <c r="T130" s="267">
        <f>-1.261-SUM(Q130:S130)</f>
        <v>-1.2609999999999999</v>
      </c>
      <c r="U130" s="194">
        <f t="shared" si="402"/>
        <v>-1.2609999999999999</v>
      </c>
      <c r="V130" s="267">
        <v>0</v>
      </c>
      <c r="W130" s="267">
        <f t="shared" si="419"/>
        <v>0</v>
      </c>
      <c r="X130" s="267">
        <f>-4.669-SUM(V130:W130)</f>
        <v>-4.6689999999999996</v>
      </c>
      <c r="Y130" s="267">
        <f>-12.783-SUM(V130:X130)</f>
        <v>-8.1140000000000008</v>
      </c>
      <c r="Z130" s="194">
        <f t="shared" si="403"/>
        <v>-12.783000000000001</v>
      </c>
      <c r="AA130" s="267">
        <v>-0.749</v>
      </c>
      <c r="AB130" s="267">
        <f>-0.991-AA130</f>
        <v>-0.24199999999999999</v>
      </c>
      <c r="AC130" s="267">
        <f>-1.122-SUM(AA130:AB130)</f>
        <v>-0.13100000000000012</v>
      </c>
      <c r="AD130" s="267">
        <f>-1.259-0.298-SUM(AA130:AC130)</f>
        <v>-0.43499999999999983</v>
      </c>
      <c r="AE130" s="194">
        <f t="shared" si="404"/>
        <v>-1.5569999999999999</v>
      </c>
      <c r="AF130" s="267">
        <f>-0.016-0.128</f>
        <v>-0.14400000000000002</v>
      </c>
      <c r="AG130" s="267">
        <f>-0.016-0.128-AF130</f>
        <v>0</v>
      </c>
      <c r="AH130" s="267">
        <f>-0.008-0.128-SUM(AF130:AG130)</f>
        <v>8.0000000000000071E-3</v>
      </c>
      <c r="AI130" s="267">
        <f>-2.153-0.128-SUM(AF130:AH130)</f>
        <v>-2.145</v>
      </c>
      <c r="AJ130" s="194">
        <f t="shared" si="405"/>
        <v>-2.2810000000000001</v>
      </c>
      <c r="AK130" s="267">
        <v>-1.4E-2</v>
      </c>
      <c r="AL130" s="267">
        <f>-0.367-AK130</f>
        <v>-0.35299999999999998</v>
      </c>
      <c r="AM130" s="267">
        <f>-190.11-SUM(AK130:AL130)</f>
        <v>-189.74300000000002</v>
      </c>
      <c r="AN130" s="267">
        <f>-182.954-SUM(AK130:AM130)</f>
        <v>7.1560000000000059</v>
      </c>
      <c r="AO130" s="194">
        <f t="shared" si="406"/>
        <v>-182.95400000000001</v>
      </c>
      <c r="AP130" s="267">
        <v>-2.2320000000000002</v>
      </c>
      <c r="AQ130" s="267">
        <f>-2.444-AP130</f>
        <v>-0.21199999999999974</v>
      </c>
      <c r="AR130" s="267">
        <f>-2.569-SUM(AP130:AQ130)</f>
        <v>-0.125</v>
      </c>
      <c r="AS130" s="267">
        <f>-3.136-SUM(AP130:AR130)</f>
        <v>-0.56700000000000017</v>
      </c>
      <c r="AT130" s="194">
        <f t="shared" si="407"/>
        <v>-3.1360000000000001</v>
      </c>
      <c r="AU130" s="267">
        <v>-5.7000000000000002E-2</v>
      </c>
      <c r="AV130" s="267">
        <f>+-0.207-AU130</f>
        <v>-0.15</v>
      </c>
      <c r="AW130" s="267">
        <f>-0.082-SUM(AU130:AV130)</f>
        <v>0.12499999999999999</v>
      </c>
      <c r="AX130" s="267">
        <f>+-0.082-AW130-AV130-AU130</f>
        <v>0</v>
      </c>
      <c r="AY130" s="194">
        <f t="shared" si="408"/>
        <v>-8.2000000000000003E-2</v>
      </c>
      <c r="AZ130" s="267">
        <v>0</v>
      </c>
      <c r="BA130" s="267">
        <f>0-AZ130</f>
        <v>0</v>
      </c>
      <c r="BB130" s="267">
        <v>0</v>
      </c>
      <c r="BC130" s="222">
        <f>-13.26-AZ130-BA130-BB130</f>
        <v>-13.26</v>
      </c>
      <c r="BD130" s="221">
        <f t="shared" si="409"/>
        <v>-13.26</v>
      </c>
      <c r="BE130" s="267">
        <v>0</v>
      </c>
      <c r="BF130" s="267">
        <f>-0.234-BE130</f>
        <v>-0.23400000000000001</v>
      </c>
      <c r="BG130" s="267">
        <f>-0.1-BE130-BF130</f>
        <v>0.13400000000000001</v>
      </c>
      <c r="BH130" s="222">
        <f>-19.352-SUM(BE130:BG130)</f>
        <v>-19.251999999999999</v>
      </c>
      <c r="BI130" s="221">
        <f t="shared" si="420"/>
        <v>-19.352</v>
      </c>
      <c r="BJ130" s="267">
        <f>+-24.787</f>
        <v>-24.786999999999999</v>
      </c>
      <c r="BK130" s="222">
        <f>-63.986-BJ130</f>
        <v>-39.198999999999998</v>
      </c>
      <c r="BL130" s="222">
        <f>-135.647-BJ130-BK130</f>
        <v>-71.660999999999987</v>
      </c>
      <c r="BM130" s="824">
        <f>-141.219-SUM(BJ130:BL130)</f>
        <v>-5.5720000000000027</v>
      </c>
      <c r="BN130" s="221">
        <f t="shared" si="410"/>
        <v>-141.21899999999999</v>
      </c>
      <c r="BO130" s="824">
        <v>-0.878</v>
      </c>
      <c r="BP130" s="824">
        <f>-0.924-BO130</f>
        <v>-4.6000000000000041E-2</v>
      </c>
      <c r="BQ130" s="824">
        <v>-12.036000000000001</v>
      </c>
      <c r="BR130" s="824">
        <f>-13.199-SUM(BO130:BQ130)</f>
        <v>-0.23899999999999899</v>
      </c>
      <c r="BS130" s="194">
        <f t="shared" si="411"/>
        <v>-13.199</v>
      </c>
      <c r="BT130" s="824">
        <v>-269</v>
      </c>
      <c r="BU130" s="824">
        <f>-269-BT130</f>
        <v>0</v>
      </c>
      <c r="BV130" s="824">
        <f>-272-SUM(BT130:BU130)</f>
        <v>-3</v>
      </c>
      <c r="BW130" s="824">
        <f>-276-SUM(BT130:BV130)</f>
        <v>-4</v>
      </c>
      <c r="BX130" s="194">
        <f t="shared" si="412"/>
        <v>-276</v>
      </c>
      <c r="BY130" s="824">
        <v>-20</v>
      </c>
      <c r="BZ130" s="824">
        <f>-30-BY130</f>
        <v>-10</v>
      </c>
      <c r="CA130" s="824">
        <f>-30-BZ130-BY130</f>
        <v>0</v>
      </c>
      <c r="CB130" s="824">
        <f>-30-CA130-BZ130-BY130</f>
        <v>0</v>
      </c>
      <c r="CC130" s="221">
        <f t="shared" si="413"/>
        <v>-30</v>
      </c>
      <c r="CD130" s="824">
        <v>0</v>
      </c>
      <c r="CE130" s="824">
        <f>-22-CD130</f>
        <v>-22</v>
      </c>
      <c r="CF130" s="824">
        <f>-22-CE130-CD130</f>
        <v>0</v>
      </c>
      <c r="CG130" s="824">
        <f>-26-CF130-CE130-CD130</f>
        <v>-4</v>
      </c>
      <c r="CH130" s="194">
        <f t="shared" si="414"/>
        <v>-26</v>
      </c>
      <c r="CI130" s="824">
        <v>-40</v>
      </c>
      <c r="CJ130" s="824">
        <f>-62-CI130</f>
        <v>-22</v>
      </c>
      <c r="CK130" s="824">
        <f>-66-CJ130-CI130</f>
        <v>-4</v>
      </c>
      <c r="CL130" s="824">
        <f>-66-CK130-CJ130-CI130</f>
        <v>0</v>
      </c>
      <c r="CM130" s="194">
        <f t="shared" si="415"/>
        <v>-66</v>
      </c>
      <c r="CN130" s="711">
        <v>0</v>
      </c>
      <c r="CO130" s="711">
        <v>0</v>
      </c>
      <c r="CP130" s="711">
        <v>0</v>
      </c>
      <c r="CQ130" s="711">
        <v>0</v>
      </c>
      <c r="CR130" s="194">
        <f t="shared" si="416"/>
        <v>0</v>
      </c>
      <c r="CS130" s="711">
        <v>0</v>
      </c>
      <c r="CT130" s="711">
        <v>0</v>
      </c>
      <c r="CU130" s="711">
        <v>0</v>
      </c>
      <c r="CV130" s="711">
        <v>0</v>
      </c>
      <c r="CW130" s="194">
        <f t="shared" si="417"/>
        <v>0</v>
      </c>
      <c r="CX130" s="711">
        <v>0</v>
      </c>
      <c r="CY130" s="711">
        <v>0</v>
      </c>
      <c r="CZ130" s="711">
        <v>0</v>
      </c>
      <c r="DA130" s="711">
        <v>0</v>
      </c>
      <c r="DB130" s="194">
        <f t="shared" si="418"/>
        <v>0</v>
      </c>
      <c r="DC130" s="16"/>
      <c r="DJ130" s="545"/>
    </row>
    <row r="131" spans="1:114">
      <c r="A131" s="1"/>
      <c r="B131" s="9" t="s">
        <v>489</v>
      </c>
      <c r="C131" s="193"/>
      <c r="D131" s="842"/>
      <c r="E131" s="194"/>
      <c r="F131" s="234">
        <v>0</v>
      </c>
      <c r="G131" s="267">
        <v>0</v>
      </c>
      <c r="H131" s="267">
        <f>0-G131</f>
        <v>0</v>
      </c>
      <c r="I131" s="267">
        <f>0-SUM(G131:H131)</f>
        <v>0</v>
      </c>
      <c r="J131" s="267">
        <f>0-SUM(G131:I131)</f>
        <v>0</v>
      </c>
      <c r="K131" s="194">
        <f t="shared" si="400"/>
        <v>0</v>
      </c>
      <c r="L131" s="267">
        <v>0</v>
      </c>
      <c r="M131" s="267">
        <f>0-L131</f>
        <v>0</v>
      </c>
      <c r="N131" s="267">
        <f>0-SUM(L131:M131)</f>
        <v>0</v>
      </c>
      <c r="O131" s="267">
        <f>0-SUM(L131:N131)</f>
        <v>0</v>
      </c>
      <c r="P131" s="194">
        <f t="shared" si="401"/>
        <v>0</v>
      </c>
      <c r="Q131" s="267">
        <v>0</v>
      </c>
      <c r="R131" s="267">
        <f>0-Q131</f>
        <v>0</v>
      </c>
      <c r="S131" s="267">
        <f>0-SUM(Q131:R131)</f>
        <v>0</v>
      </c>
      <c r="T131" s="267">
        <f>0-SUM(Q131:S131)</f>
        <v>0</v>
      </c>
      <c r="U131" s="194">
        <f t="shared" si="402"/>
        <v>0</v>
      </c>
      <c r="V131" s="267">
        <v>0</v>
      </c>
      <c r="W131" s="267">
        <f t="shared" si="419"/>
        <v>0</v>
      </c>
      <c r="X131" s="267">
        <f>0-SUM(V131:W131)</f>
        <v>0</v>
      </c>
      <c r="Y131" s="267">
        <f>0-SUM(V131:X131)</f>
        <v>0</v>
      </c>
      <c r="Z131" s="194">
        <f t="shared" si="403"/>
        <v>0</v>
      </c>
      <c r="AA131" s="267">
        <v>0</v>
      </c>
      <c r="AB131" s="267">
        <f>0-AA131</f>
        <v>0</v>
      </c>
      <c r="AC131" s="267">
        <f>0-SUM(AA131:AB131)</f>
        <v>0</v>
      </c>
      <c r="AD131" s="267">
        <f>0-SUM(AA131:AC131)</f>
        <v>0</v>
      </c>
      <c r="AE131" s="194">
        <f t="shared" si="404"/>
        <v>0</v>
      </c>
      <c r="AF131" s="267">
        <v>4.3600000000000003</v>
      </c>
      <c r="AG131" s="267">
        <f>4.588-AF131</f>
        <v>0.22799999999999976</v>
      </c>
      <c r="AH131" s="267">
        <f>6.589-SUM(AF131:AG131)</f>
        <v>2.0010000000000003</v>
      </c>
      <c r="AI131" s="267">
        <f>6.819-SUM(AF131:AH131)</f>
        <v>0.22999999999999954</v>
      </c>
      <c r="AJ131" s="194">
        <f t="shared" si="405"/>
        <v>6.819</v>
      </c>
      <c r="AK131" s="267">
        <v>0.75800000000000001</v>
      </c>
      <c r="AL131" s="267">
        <f>2.295-AK131</f>
        <v>1.5369999999999999</v>
      </c>
      <c r="AM131" s="267">
        <f>2.275-SUM(AK131:AL131)</f>
        <v>-2.0000000000000018E-2</v>
      </c>
      <c r="AN131" s="267">
        <f>1.216-SUM(AK131:AM131)</f>
        <v>-1.0589999999999999</v>
      </c>
      <c r="AO131" s="194">
        <f t="shared" si="406"/>
        <v>1.216</v>
      </c>
      <c r="AP131" s="267">
        <v>-0.94699999999999995</v>
      </c>
      <c r="AQ131" s="267">
        <f>-0.947-AP131</f>
        <v>0</v>
      </c>
      <c r="AR131" s="267">
        <f>1.278-SUM(AP131:AQ131)</f>
        <v>2.2250000000000001</v>
      </c>
      <c r="AS131" s="267">
        <f>1.278-SUM(AP131:AR131)</f>
        <v>0</v>
      </c>
      <c r="AT131" s="194">
        <f t="shared" si="407"/>
        <v>1.278</v>
      </c>
      <c r="AU131" s="267">
        <v>0</v>
      </c>
      <c r="AV131" s="267">
        <f>+-3.389-AU131</f>
        <v>-3.3889999999999998</v>
      </c>
      <c r="AW131" s="267">
        <f>-3.544-SUM(AU131:AV131)</f>
        <v>-0.15500000000000025</v>
      </c>
      <c r="AX131" s="267">
        <f>+-3.472-AW131-AV131</f>
        <v>7.2000000000000064E-2</v>
      </c>
      <c r="AY131" s="194">
        <f t="shared" si="408"/>
        <v>-3.472</v>
      </c>
      <c r="AZ131" s="267">
        <v>4.3490000000000002</v>
      </c>
      <c r="BA131" s="267">
        <f>10.104-AZ131</f>
        <v>5.754999999999999</v>
      </c>
      <c r="BB131" s="267">
        <f>10.109-SUM(AZ131:BA131)</f>
        <v>5.0000000000007816E-3</v>
      </c>
      <c r="BC131" s="222">
        <f>10.219-SUM(AZ131:BB131)</f>
        <v>0.10999999999999943</v>
      </c>
      <c r="BD131" s="194">
        <f t="shared" si="409"/>
        <v>10.218999999999999</v>
      </c>
      <c r="BE131" s="267">
        <v>4.6749999999999998</v>
      </c>
      <c r="BF131" s="267">
        <f>4.659-BE131</f>
        <v>-1.6000000000000014E-2</v>
      </c>
      <c r="BG131" s="267">
        <f>4.616-BF131-BE131</f>
        <v>-4.3000000000000149E-2</v>
      </c>
      <c r="BH131" s="222">
        <f>5.29-SUM(BE131:BG131)</f>
        <v>0.67400000000000038</v>
      </c>
      <c r="BI131" s="194">
        <f t="shared" si="420"/>
        <v>5.29</v>
      </c>
      <c r="BJ131" s="267">
        <v>1.004</v>
      </c>
      <c r="BK131" s="222">
        <f>1.037-BJ131</f>
        <v>3.2999999999999918E-2</v>
      </c>
      <c r="BL131" s="222">
        <f>1.545-BJ131-BK131</f>
        <v>0.50800000000000001</v>
      </c>
      <c r="BM131" s="824">
        <f>3.973-SUM(BJ131:BL131)</f>
        <v>2.4279999999999999</v>
      </c>
      <c r="BN131" s="194">
        <f t="shared" si="410"/>
        <v>3.9729999999999999</v>
      </c>
      <c r="BO131" s="824">
        <v>5.3579999999999997</v>
      </c>
      <c r="BP131" s="824">
        <f>6.331-BO131</f>
        <v>0.97300000000000075</v>
      </c>
      <c r="BQ131" s="824">
        <v>0.24199999999999999</v>
      </c>
      <c r="BR131" s="824">
        <f>6.715-SUM(BO131:BQ131)</f>
        <v>0.14199999999999946</v>
      </c>
      <c r="BS131" s="194">
        <f t="shared" si="411"/>
        <v>6.7149999999999999</v>
      </c>
      <c r="BT131" s="824">
        <v>3</v>
      </c>
      <c r="BU131" s="824">
        <f>3-BT131</f>
        <v>0</v>
      </c>
      <c r="BV131" s="824">
        <f>4-SUM(BT131:BU131)</f>
        <v>1</v>
      </c>
      <c r="BW131" s="824">
        <f>0-SUM(BT131:BV131)</f>
        <v>-4</v>
      </c>
      <c r="BX131" s="194">
        <f t="shared" si="412"/>
        <v>0</v>
      </c>
      <c r="BY131" s="824">
        <v>0</v>
      </c>
      <c r="BZ131" s="824">
        <v>0</v>
      </c>
      <c r="CA131" s="824">
        <v>0</v>
      </c>
      <c r="CB131" s="824">
        <v>0</v>
      </c>
      <c r="CC131" s="221">
        <f t="shared" si="413"/>
        <v>0</v>
      </c>
      <c r="CD131" s="824">
        <v>0</v>
      </c>
      <c r="CE131" s="824">
        <v>0</v>
      </c>
      <c r="CF131" s="824">
        <v>0</v>
      </c>
      <c r="CG131" s="824">
        <v>0</v>
      </c>
      <c r="CH131" s="194">
        <f t="shared" si="414"/>
        <v>0</v>
      </c>
      <c r="CI131" s="824">
        <v>0</v>
      </c>
      <c r="CJ131" s="824">
        <f>0-CI131</f>
        <v>0</v>
      </c>
      <c r="CK131" s="824">
        <f>0-CJ131-CI131</f>
        <v>0</v>
      </c>
      <c r="CL131" s="824">
        <f>0-CK131-CJ131-CI131</f>
        <v>0</v>
      </c>
      <c r="CM131" s="194">
        <f t="shared" si="415"/>
        <v>0</v>
      </c>
      <c r="CN131" s="711">
        <v>0</v>
      </c>
      <c r="CO131" s="711">
        <v>0</v>
      </c>
      <c r="CP131" s="711">
        <v>0</v>
      </c>
      <c r="CQ131" s="711">
        <v>0</v>
      </c>
      <c r="CR131" s="194">
        <f t="shared" si="416"/>
        <v>0</v>
      </c>
      <c r="CS131" s="711">
        <v>0</v>
      </c>
      <c r="CT131" s="711">
        <v>0</v>
      </c>
      <c r="CU131" s="711">
        <v>0</v>
      </c>
      <c r="CV131" s="711">
        <v>0</v>
      </c>
      <c r="CW131" s="194">
        <f t="shared" si="417"/>
        <v>0</v>
      </c>
      <c r="CX131" s="711">
        <v>0</v>
      </c>
      <c r="CY131" s="711">
        <v>0</v>
      </c>
      <c r="CZ131" s="711">
        <v>0</v>
      </c>
      <c r="DA131" s="711">
        <v>0</v>
      </c>
      <c r="DB131" s="194">
        <f t="shared" si="418"/>
        <v>0</v>
      </c>
      <c r="DC131" s="16"/>
      <c r="DJ131" s="545"/>
    </row>
    <row r="132" spans="1:114">
      <c r="A132" s="1"/>
      <c r="B132" s="9" t="s">
        <v>490</v>
      </c>
      <c r="C132" s="193"/>
      <c r="D132" s="842"/>
      <c r="E132" s="194"/>
      <c r="F132" s="234">
        <v>0</v>
      </c>
      <c r="G132" s="267">
        <v>-8.2000000000000003E-2</v>
      </c>
      <c r="H132" s="267">
        <f>-0.091-G132</f>
        <v>-8.9999999999999941E-3</v>
      </c>
      <c r="I132" s="267">
        <f>-0.091-SUM(G132:H132)</f>
        <v>0</v>
      </c>
      <c r="J132" s="824">
        <f>-0.091-SUM(G132:I132)</f>
        <v>0</v>
      </c>
      <c r="K132" s="194">
        <f t="shared" si="400"/>
        <v>-9.0999999999999998E-2</v>
      </c>
      <c r="L132" s="267">
        <v>0</v>
      </c>
      <c r="M132" s="267">
        <f>0-L132</f>
        <v>0</v>
      </c>
      <c r="N132" s="267">
        <f>0-SUM(L132:M132)</f>
        <v>0</v>
      </c>
      <c r="O132" s="824">
        <f>0-SUM(L132:N132)</f>
        <v>0</v>
      </c>
      <c r="P132" s="194">
        <f t="shared" si="401"/>
        <v>0</v>
      </c>
      <c r="Q132" s="267">
        <v>-10.29</v>
      </c>
      <c r="R132" s="267">
        <f>-12.533-Q132</f>
        <v>-2.2430000000000003</v>
      </c>
      <c r="S132" s="267">
        <f>-14.06-SUM(Q132:R132)</f>
        <v>-1.527000000000001</v>
      </c>
      <c r="T132" s="824">
        <f>-14.708-SUM(Q132:S132)</f>
        <v>-0.64799999999999969</v>
      </c>
      <c r="U132" s="194">
        <f t="shared" si="402"/>
        <v>-14.708</v>
      </c>
      <c r="V132" s="267">
        <v>0</v>
      </c>
      <c r="W132" s="267">
        <f>0-V132</f>
        <v>0</v>
      </c>
      <c r="X132" s="267">
        <f>-290.481-SUM(V132:W132)</f>
        <v>-290.48099999999999</v>
      </c>
      <c r="Y132" s="824">
        <f>-290.52-SUM(V132:X132)</f>
        <v>-3.8999999999987267E-2</v>
      </c>
      <c r="Z132" s="194">
        <f t="shared" si="403"/>
        <v>-290.52</v>
      </c>
      <c r="AA132" s="267">
        <v>-4.3899999999999997</v>
      </c>
      <c r="AB132" s="267">
        <f>-11.214-AA132</f>
        <v>-6.8240000000000007</v>
      </c>
      <c r="AC132" s="267">
        <f>-79.853-SUM(AA132:AB132)</f>
        <v>-68.638999999999996</v>
      </c>
      <c r="AD132" s="824">
        <f>-79.853-SUM(AA132:AC132)</f>
        <v>0</v>
      </c>
      <c r="AE132" s="194">
        <f t="shared" si="404"/>
        <v>-79.852999999999994</v>
      </c>
      <c r="AF132" s="267">
        <v>-8.1120000000000001</v>
      </c>
      <c r="AG132" s="267">
        <f>-137.666-AF132</f>
        <v>-129.554</v>
      </c>
      <c r="AH132" s="267">
        <f>-137.666-SUM(AF132:AG132)</f>
        <v>0</v>
      </c>
      <c r="AI132" s="824">
        <f>-176.316-SUM(AF132:AH132)</f>
        <v>-38.650000000000006</v>
      </c>
      <c r="AJ132" s="194">
        <f t="shared" si="405"/>
        <v>-176.316</v>
      </c>
      <c r="AK132" s="267">
        <v>0</v>
      </c>
      <c r="AL132" s="267">
        <f>0-AK132</f>
        <v>0</v>
      </c>
      <c r="AM132" s="267">
        <f>0-SUM(AK132:AL132)</f>
        <v>0</v>
      </c>
      <c r="AN132" s="824">
        <f>0-SUM(AK132:AM132)</f>
        <v>0</v>
      </c>
      <c r="AO132" s="194">
        <f t="shared" si="406"/>
        <v>0</v>
      </c>
      <c r="AP132" s="267">
        <v>0</v>
      </c>
      <c r="AQ132" s="267">
        <f>-10.194-AP132</f>
        <v>-10.194000000000001</v>
      </c>
      <c r="AR132" s="267">
        <f>-17.096-SUM(AP132:AQ132)</f>
        <v>-6.9019999999999992</v>
      </c>
      <c r="AS132" s="824">
        <f>-90.188-SUM(AP132:AR132)</f>
        <v>-73.091999999999999</v>
      </c>
      <c r="AT132" s="194">
        <f t="shared" si="407"/>
        <v>-90.188000000000002</v>
      </c>
      <c r="AU132" s="267">
        <v>0</v>
      </c>
      <c r="AV132" s="267">
        <f>0-AU132</f>
        <v>0</v>
      </c>
      <c r="AW132" s="267">
        <f>0-SUM(AU132:AV132)</f>
        <v>0</v>
      </c>
      <c r="AX132" s="824">
        <f>0-AU132-AV132-AW132</f>
        <v>0</v>
      </c>
      <c r="AY132" s="194">
        <f t="shared" si="408"/>
        <v>0</v>
      </c>
      <c r="AZ132" s="267">
        <v>-0.04</v>
      </c>
      <c r="BA132" s="267">
        <f>-12.242-AZ132</f>
        <v>-12.202000000000002</v>
      </c>
      <c r="BB132" s="267">
        <f>-107.932-SUM(AZ132:BA132)</f>
        <v>-95.69</v>
      </c>
      <c r="BC132" s="222">
        <f>-113.961-SUM(AZ132:BB132)</f>
        <v>-6.0289999999999964</v>
      </c>
      <c r="BD132" s="194">
        <f t="shared" si="409"/>
        <v>-113.961</v>
      </c>
      <c r="BE132" s="267">
        <v>0</v>
      </c>
      <c r="BF132" s="267">
        <f>-50.002-BE132</f>
        <v>-50.002000000000002</v>
      </c>
      <c r="BG132" s="267">
        <f>+-85.79-BF132-BE132</f>
        <v>-35.788000000000004</v>
      </c>
      <c r="BH132" s="222">
        <f>-85.79-SUM(BE132:BG132)</f>
        <v>0</v>
      </c>
      <c r="BI132" s="194">
        <f t="shared" si="420"/>
        <v>-85.79</v>
      </c>
      <c r="BJ132" s="222">
        <v>0</v>
      </c>
      <c r="BK132" s="222">
        <f>0-BJ132</f>
        <v>0</v>
      </c>
      <c r="BL132" s="222">
        <v>0</v>
      </c>
      <c r="BM132" s="824">
        <f>0-SUM(BJ132:BL132)</f>
        <v>0</v>
      </c>
      <c r="BN132" s="194">
        <f t="shared" si="410"/>
        <v>0</v>
      </c>
      <c r="BO132" s="824">
        <v>-18.725999999999999</v>
      </c>
      <c r="BP132" s="824">
        <f>-27.133-BO132</f>
        <v>-8.407</v>
      </c>
      <c r="BQ132" s="824">
        <v>0</v>
      </c>
      <c r="BR132" s="824">
        <f>-27.133-SUM(BO132:BQ132)</f>
        <v>0</v>
      </c>
      <c r="BS132" s="194">
        <f t="shared" si="411"/>
        <v>-27.132999999999999</v>
      </c>
      <c r="BT132" s="824"/>
      <c r="BU132" s="824">
        <v>0</v>
      </c>
      <c r="BV132" s="824">
        <f>0-SUM(BT132:BU132)</f>
        <v>0</v>
      </c>
      <c r="BW132" s="824">
        <f>-9-SUM(BT132:BV132)</f>
        <v>-9</v>
      </c>
      <c r="BX132" s="194">
        <f t="shared" si="412"/>
        <v>-9</v>
      </c>
      <c r="BY132" s="824">
        <v>0</v>
      </c>
      <c r="BZ132" s="824">
        <v>0</v>
      </c>
      <c r="CA132" s="824">
        <v>0</v>
      </c>
      <c r="CB132" s="824">
        <f>-159-CA132-BZ132-BY132</f>
        <v>-159</v>
      </c>
      <c r="CC132" s="221">
        <f t="shared" si="413"/>
        <v>-159</v>
      </c>
      <c r="CD132" s="824">
        <v>0</v>
      </c>
      <c r="CE132" s="824">
        <v>0</v>
      </c>
      <c r="CF132" s="824">
        <v>0</v>
      </c>
      <c r="CG132" s="824">
        <v>0</v>
      </c>
      <c r="CH132" s="194">
        <f t="shared" si="414"/>
        <v>0</v>
      </c>
      <c r="CI132" s="824">
        <v>0</v>
      </c>
      <c r="CJ132" s="824">
        <f>0-CI132</f>
        <v>0</v>
      </c>
      <c r="CK132" s="824">
        <f>0-CJ132-CI132</f>
        <v>0</v>
      </c>
      <c r="CL132" s="824">
        <f>0-CK132-CJ132-CI132</f>
        <v>0</v>
      </c>
      <c r="CM132" s="194">
        <f t="shared" si="415"/>
        <v>0</v>
      </c>
      <c r="CN132" s="711">
        <v>0</v>
      </c>
      <c r="CO132" s="711">
        <v>0</v>
      </c>
      <c r="CP132" s="711">
        <v>0</v>
      </c>
      <c r="CQ132" s="711">
        <v>0</v>
      </c>
      <c r="CR132" s="194">
        <f t="shared" si="416"/>
        <v>0</v>
      </c>
      <c r="CS132" s="711">
        <v>0</v>
      </c>
      <c r="CT132" s="711">
        <v>0</v>
      </c>
      <c r="CU132" s="711">
        <v>0</v>
      </c>
      <c r="CV132" s="711">
        <v>0</v>
      </c>
      <c r="CW132" s="194">
        <f t="shared" si="417"/>
        <v>0</v>
      </c>
      <c r="CX132" s="711">
        <v>0</v>
      </c>
      <c r="CY132" s="711">
        <v>0</v>
      </c>
      <c r="CZ132" s="711">
        <v>0</v>
      </c>
      <c r="DA132" s="711">
        <v>0</v>
      </c>
      <c r="DB132" s="194">
        <f t="shared" si="418"/>
        <v>0</v>
      </c>
      <c r="DC132" s="16"/>
      <c r="DJ132" s="545"/>
    </row>
    <row r="133" spans="1:114">
      <c r="A133" s="1"/>
      <c r="B133" s="847" t="s">
        <v>486</v>
      </c>
      <c r="C133" s="825"/>
      <c r="D133" s="892"/>
      <c r="E133" s="826"/>
      <c r="F133" s="234">
        <v>514.524</v>
      </c>
      <c r="G133" s="267">
        <v>0</v>
      </c>
      <c r="H133" s="267">
        <f>0-G133</f>
        <v>0</v>
      </c>
      <c r="I133" s="267">
        <f>0.003-SUM(G133:H133)</f>
        <v>3.0000000000000001E-3</v>
      </c>
      <c r="J133" s="824">
        <f>306.074-SUM(G133:I133)</f>
        <v>306.07100000000003</v>
      </c>
      <c r="K133" s="826">
        <f t="shared" si="400"/>
        <v>306.07400000000001</v>
      </c>
      <c r="L133" s="267">
        <v>4.9000000000000002E-2</v>
      </c>
      <c r="M133" s="267">
        <f>3.9-L133</f>
        <v>3.851</v>
      </c>
      <c r="N133" s="267">
        <f>0.003-SUM(L133:M133)</f>
        <v>-3.8969999999999998</v>
      </c>
      <c r="O133" s="824">
        <f>0-SUM(L133:N133)</f>
        <v>-3.0000000000001137E-3</v>
      </c>
      <c r="P133" s="826">
        <f t="shared" si="401"/>
        <v>0</v>
      </c>
      <c r="Q133" s="267">
        <v>0</v>
      </c>
      <c r="R133" s="267">
        <f>0-Q133</f>
        <v>0</v>
      </c>
      <c r="S133" s="267">
        <f>0-SUM(Q133:R133)</f>
        <v>0</v>
      </c>
      <c r="T133" s="824">
        <f>0-SUM(Q133:S133)</f>
        <v>0</v>
      </c>
      <c r="U133" s="826">
        <f t="shared" si="402"/>
        <v>0</v>
      </c>
      <c r="V133" s="267">
        <v>0</v>
      </c>
      <c r="W133" s="267">
        <f t="shared" si="419"/>
        <v>0</v>
      </c>
      <c r="X133" s="267">
        <f>0-SUM(V133:W133)</f>
        <v>0</v>
      </c>
      <c r="Y133" s="824">
        <f>0-SUM(V133:X133)</f>
        <v>0</v>
      </c>
      <c r="Z133" s="826">
        <f t="shared" si="403"/>
        <v>0</v>
      </c>
      <c r="AA133" s="267">
        <v>0</v>
      </c>
      <c r="AB133" s="267">
        <f>0-AA133</f>
        <v>0</v>
      </c>
      <c r="AC133" s="267">
        <f>0-SUM(AA133:AB133)</f>
        <v>0</v>
      </c>
      <c r="AD133" s="824">
        <f>0-SUM(AA133:AC133)</f>
        <v>0</v>
      </c>
      <c r="AE133" s="826">
        <f t="shared" si="404"/>
        <v>0</v>
      </c>
      <c r="AF133" s="267">
        <v>0</v>
      </c>
      <c r="AG133" s="267">
        <f>0-AF133</f>
        <v>0</v>
      </c>
      <c r="AH133" s="267">
        <f>0-SUM(AF133:AG133)</f>
        <v>0</v>
      </c>
      <c r="AI133" s="824">
        <f>0-SUM(AF133:AH133)</f>
        <v>0</v>
      </c>
      <c r="AJ133" s="826">
        <f t="shared" si="405"/>
        <v>0</v>
      </c>
      <c r="AK133" s="267">
        <v>0</v>
      </c>
      <c r="AL133" s="267">
        <f>0-AK133</f>
        <v>0</v>
      </c>
      <c r="AM133" s="267">
        <f>0-SUM(AK133:AL133)</f>
        <v>0</v>
      </c>
      <c r="AN133" s="824">
        <f>0-SUM(AK133:AM133)</f>
        <v>0</v>
      </c>
      <c r="AO133" s="826">
        <f t="shared" si="406"/>
        <v>0</v>
      </c>
      <c r="AP133" s="267">
        <v>0</v>
      </c>
      <c r="AQ133" s="267">
        <f>0-AP133</f>
        <v>0</v>
      </c>
      <c r="AR133" s="267">
        <f>0-SUM(AP133:AQ133)</f>
        <v>0</v>
      </c>
      <c r="AS133" s="824">
        <f>0-SUM(AP133:AR133)</f>
        <v>0</v>
      </c>
      <c r="AT133" s="826">
        <f t="shared" si="407"/>
        <v>0</v>
      </c>
      <c r="AU133" s="711"/>
      <c r="AV133" s="711">
        <v>0</v>
      </c>
      <c r="AW133" s="267">
        <f>0-SUM(AU133:AV133)</f>
        <v>0</v>
      </c>
      <c r="AX133" s="824">
        <f>0-AU133-AV133-AW133</f>
        <v>0</v>
      </c>
      <c r="AY133" s="826">
        <f t="shared" si="408"/>
        <v>0</v>
      </c>
      <c r="AZ133" s="827">
        <v>0</v>
      </c>
      <c r="BA133" s="827">
        <f>0-AZ133</f>
        <v>0</v>
      </c>
      <c r="BB133" s="827">
        <f>0-AZ133-BA133</f>
        <v>0</v>
      </c>
      <c r="BC133" s="827">
        <f>0-AZ133-BA133-BB133</f>
        <v>0</v>
      </c>
      <c r="BD133" s="826">
        <f t="shared" si="409"/>
        <v>0</v>
      </c>
      <c r="BE133" s="827">
        <v>0</v>
      </c>
      <c r="BF133" s="827">
        <f>0-BE133</f>
        <v>0</v>
      </c>
      <c r="BG133" s="827">
        <f>0-BE133-BF133</f>
        <v>0</v>
      </c>
      <c r="BH133" s="827">
        <f>0-BE133-BF133-BG133</f>
        <v>0</v>
      </c>
      <c r="BI133" s="826">
        <f t="shared" si="420"/>
        <v>0</v>
      </c>
      <c r="BJ133" s="267">
        <v>0</v>
      </c>
      <c r="BK133" s="827">
        <f>0-BJ133</f>
        <v>0</v>
      </c>
      <c r="BL133" s="827">
        <v>0</v>
      </c>
      <c r="BM133" s="824">
        <f>0-SUM(BJ133:BL133)</f>
        <v>0</v>
      </c>
      <c r="BN133" s="194">
        <f t="shared" si="410"/>
        <v>0</v>
      </c>
      <c r="BO133" s="824">
        <v>0</v>
      </c>
      <c r="BP133" s="824">
        <v>0</v>
      </c>
      <c r="BQ133" s="824">
        <v>0</v>
      </c>
      <c r="BR133" s="824">
        <v>0</v>
      </c>
      <c r="BS133" s="194">
        <f t="shared" si="411"/>
        <v>0</v>
      </c>
      <c r="BT133" s="824">
        <v>0</v>
      </c>
      <c r="BU133" s="824">
        <v>0</v>
      </c>
      <c r="BV133" s="824">
        <f>0-SUM(BT133:BU133)</f>
        <v>0</v>
      </c>
      <c r="BW133" s="824">
        <v>0</v>
      </c>
      <c r="BX133" s="194">
        <f t="shared" si="412"/>
        <v>0</v>
      </c>
      <c r="BY133" s="824">
        <v>0</v>
      </c>
      <c r="BZ133" s="824">
        <v>0</v>
      </c>
      <c r="CA133" s="824">
        <v>0</v>
      </c>
      <c r="CB133" s="824">
        <v>0</v>
      </c>
      <c r="CC133" s="221">
        <f t="shared" si="413"/>
        <v>0</v>
      </c>
      <c r="CD133" s="824">
        <v>0</v>
      </c>
      <c r="CE133" s="824">
        <v>0</v>
      </c>
      <c r="CF133" s="824">
        <v>0</v>
      </c>
      <c r="CG133" s="824">
        <v>0</v>
      </c>
      <c r="CH133" s="194">
        <f t="shared" si="414"/>
        <v>0</v>
      </c>
      <c r="CI133" s="824">
        <v>0</v>
      </c>
      <c r="CJ133" s="824">
        <f>0-CI133</f>
        <v>0</v>
      </c>
      <c r="CK133" s="824">
        <f>0-CJ133-CI133</f>
        <v>0</v>
      </c>
      <c r="CL133" s="824">
        <f>0-CK133-CJ133-CI133</f>
        <v>0</v>
      </c>
      <c r="CM133" s="194">
        <f t="shared" si="415"/>
        <v>0</v>
      </c>
      <c r="CN133" s="711">
        <v>0</v>
      </c>
      <c r="CO133" s="711">
        <v>0</v>
      </c>
      <c r="CP133" s="711">
        <v>0</v>
      </c>
      <c r="CQ133" s="711">
        <v>0</v>
      </c>
      <c r="CR133" s="194">
        <f t="shared" si="416"/>
        <v>0</v>
      </c>
      <c r="CS133" s="711">
        <v>0</v>
      </c>
      <c r="CT133" s="711">
        <v>0</v>
      </c>
      <c r="CU133" s="711">
        <v>0</v>
      </c>
      <c r="CV133" s="711">
        <v>0</v>
      </c>
      <c r="CW133" s="194">
        <f t="shared" si="417"/>
        <v>0</v>
      </c>
      <c r="CX133" s="711">
        <v>0</v>
      </c>
      <c r="CY133" s="711">
        <v>0</v>
      </c>
      <c r="CZ133" s="711">
        <v>0</v>
      </c>
      <c r="DA133" s="711">
        <v>0</v>
      </c>
      <c r="DB133" s="194">
        <f t="shared" si="418"/>
        <v>0</v>
      </c>
      <c r="DC133" s="546"/>
      <c r="DJ133" s="545"/>
    </row>
    <row r="134" spans="1:114">
      <c r="A134" s="1"/>
      <c r="B134" s="9" t="s">
        <v>491</v>
      </c>
      <c r="C134" s="193"/>
      <c r="D134" s="842"/>
      <c r="E134" s="194"/>
      <c r="F134" s="234">
        <v>0</v>
      </c>
      <c r="G134" s="267">
        <v>0</v>
      </c>
      <c r="H134" s="267">
        <f>0-G134</f>
        <v>0</v>
      </c>
      <c r="I134" s="267">
        <f>0-SUM(G134:H134)</f>
        <v>0</v>
      </c>
      <c r="J134" s="267">
        <f>3.96-SUM(G134:I134)</f>
        <v>3.96</v>
      </c>
      <c r="K134" s="194">
        <f t="shared" si="400"/>
        <v>3.96</v>
      </c>
      <c r="L134" s="267">
        <v>0</v>
      </c>
      <c r="M134" s="267">
        <f>1.77-L134</f>
        <v>1.77</v>
      </c>
      <c r="N134" s="267">
        <f>1.77-SUM(L134:M134)</f>
        <v>0</v>
      </c>
      <c r="O134" s="267">
        <f>1.77-SUM(L134:N134)</f>
        <v>0</v>
      </c>
      <c r="P134" s="194">
        <f t="shared" si="401"/>
        <v>1.77</v>
      </c>
      <c r="Q134" s="267">
        <v>0</v>
      </c>
      <c r="R134" s="267">
        <f>0-Q134</f>
        <v>0</v>
      </c>
      <c r="S134" s="267">
        <f>0-SUM(Q134:R134)</f>
        <v>0</v>
      </c>
      <c r="T134" s="267">
        <f>0-SUM(Q134:S134)</f>
        <v>0</v>
      </c>
      <c r="U134" s="194">
        <f t="shared" si="402"/>
        <v>0</v>
      </c>
      <c r="V134" s="267">
        <v>0</v>
      </c>
      <c r="W134" s="267">
        <f t="shared" si="419"/>
        <v>0</v>
      </c>
      <c r="X134" s="267">
        <f>0-SUM(V134:W134)</f>
        <v>0</v>
      </c>
      <c r="Y134" s="267">
        <f>0-SUM(V134:X134)</f>
        <v>0</v>
      </c>
      <c r="Z134" s="194">
        <f t="shared" si="403"/>
        <v>0</v>
      </c>
      <c r="AA134" s="267">
        <v>1.383</v>
      </c>
      <c r="AB134" s="267">
        <f>1.383-AA134</f>
        <v>0</v>
      </c>
      <c r="AC134" s="267">
        <f>1.383-SUM(AA134:AB134)</f>
        <v>0</v>
      </c>
      <c r="AD134" s="267">
        <f>1.383-SUM(AA134:AC134)</f>
        <v>0</v>
      </c>
      <c r="AE134" s="194">
        <f t="shared" si="404"/>
        <v>1.383</v>
      </c>
      <c r="AF134" s="267">
        <v>3.06</v>
      </c>
      <c r="AG134" s="267">
        <f>3.06-AF134</f>
        <v>0</v>
      </c>
      <c r="AH134" s="267">
        <f>5.29-SUM(AF134:AG134)</f>
        <v>2.23</v>
      </c>
      <c r="AI134" s="267">
        <f>6.89-SUM(AF134:AH134)</f>
        <v>1.5999999999999996</v>
      </c>
      <c r="AJ134" s="194">
        <f t="shared" si="405"/>
        <v>6.89</v>
      </c>
      <c r="AK134" s="267">
        <v>1.0189999999999999</v>
      </c>
      <c r="AL134" s="267">
        <f>1.105-AK134</f>
        <v>8.6000000000000076E-2</v>
      </c>
      <c r="AM134" s="267">
        <f>1.188-SUM(AK134:AL134)</f>
        <v>8.2999999999999963E-2</v>
      </c>
      <c r="AN134" s="267">
        <f>2.351-SUM(AK134:AM134)</f>
        <v>1.163</v>
      </c>
      <c r="AO134" s="194">
        <f t="shared" si="406"/>
        <v>2.351</v>
      </c>
      <c r="AP134" s="267">
        <v>12.881</v>
      </c>
      <c r="AQ134" s="267">
        <f>11.214-AP134</f>
        <v>-1.6669999999999998</v>
      </c>
      <c r="AR134" s="267">
        <f>11.652-SUM(AP134:AQ134)</f>
        <v>0.43799999999999883</v>
      </c>
      <c r="AS134" s="267">
        <f>14.329-SUM(AP134:AR134)</f>
        <v>2.6770000000000014</v>
      </c>
      <c r="AT134" s="194">
        <f t="shared" si="407"/>
        <v>14.329000000000001</v>
      </c>
      <c r="AU134" s="267">
        <v>21.922000000000001</v>
      </c>
      <c r="AV134" s="267">
        <f>26.314-AU134</f>
        <v>4.3919999999999995</v>
      </c>
      <c r="AW134" s="267">
        <f>26.314-SUM(AU134:AV134)</f>
        <v>0</v>
      </c>
      <c r="AX134" s="267">
        <f>29.838-AW134-AV134-AU134</f>
        <v>3.5240000000000009</v>
      </c>
      <c r="AY134" s="194">
        <f t="shared" si="408"/>
        <v>29.838000000000001</v>
      </c>
      <c r="AZ134" s="267">
        <v>1.2549999999999999</v>
      </c>
      <c r="BA134" s="267">
        <f>5.155-AZ134</f>
        <v>3.9000000000000004</v>
      </c>
      <c r="BB134" s="267">
        <f>5.155-SUM(AZ134:BA134)</f>
        <v>0</v>
      </c>
      <c r="BC134" s="222">
        <f>7.201-SUM(AZ134:BB134)</f>
        <v>2.0459999999999994</v>
      </c>
      <c r="BD134" s="194">
        <f t="shared" si="409"/>
        <v>7.2009999999999996</v>
      </c>
      <c r="BE134" s="267">
        <v>0.86299999999999999</v>
      </c>
      <c r="BF134" s="267">
        <f>0.863-BE134</f>
        <v>0</v>
      </c>
      <c r="BG134" s="267">
        <f>1.229-BF134-BE134</f>
        <v>0.3660000000000001</v>
      </c>
      <c r="BH134" s="222">
        <f>1.229-SUM(BE134:BG134)</f>
        <v>0</v>
      </c>
      <c r="BI134" s="194">
        <f t="shared" si="420"/>
        <v>1.2290000000000001</v>
      </c>
      <c r="BJ134" s="267">
        <v>0</v>
      </c>
      <c r="BK134" s="222">
        <f>0.637-BJ134</f>
        <v>0.63700000000000001</v>
      </c>
      <c r="BL134" s="222">
        <f>0.535-BJ134-BK134</f>
        <v>-0.10199999999999998</v>
      </c>
      <c r="BM134" s="222">
        <f>0.535-SUM(BJ134:BL134)</f>
        <v>0</v>
      </c>
      <c r="BN134" s="194">
        <f t="shared" ref="BN134:BN142" si="421">SUM(BJ134:BM134)</f>
        <v>0.53500000000000003</v>
      </c>
      <c r="BO134" s="824">
        <v>0</v>
      </c>
      <c r="BP134" s="824">
        <f>0.064-BO134</f>
        <v>6.4000000000000001E-2</v>
      </c>
      <c r="BQ134" s="824">
        <v>0</v>
      </c>
      <c r="BR134" s="824">
        <f>0.289-SUM(BO134:BQ134)</f>
        <v>0.22499999999999998</v>
      </c>
      <c r="BS134" s="194">
        <f t="shared" si="411"/>
        <v>0.28899999999999998</v>
      </c>
      <c r="BT134" s="824">
        <v>0</v>
      </c>
      <c r="BU134" s="824">
        <f>10-BT134</f>
        <v>10</v>
      </c>
      <c r="BV134" s="824">
        <f>10-SUM(BT134:BU134)</f>
        <v>0</v>
      </c>
      <c r="BW134" s="824">
        <f>10-SUM(BT134:BV134)</f>
        <v>0</v>
      </c>
      <c r="BX134" s="194">
        <f t="shared" si="412"/>
        <v>10</v>
      </c>
      <c r="BY134" s="824">
        <v>0</v>
      </c>
      <c r="BZ134" s="824">
        <v>0</v>
      </c>
      <c r="CA134" s="824">
        <v>0</v>
      </c>
      <c r="CB134" s="824">
        <f>47-CA134-BZ134-BY134</f>
        <v>47</v>
      </c>
      <c r="CC134" s="221">
        <f t="shared" si="413"/>
        <v>47</v>
      </c>
      <c r="CD134" s="824">
        <v>0</v>
      </c>
      <c r="CE134" s="824">
        <v>0</v>
      </c>
      <c r="CF134" s="824">
        <v>0</v>
      </c>
      <c r="CG134" s="824">
        <v>0</v>
      </c>
      <c r="CH134" s="194">
        <f t="shared" si="414"/>
        <v>0</v>
      </c>
      <c r="CI134" s="824">
        <v>5</v>
      </c>
      <c r="CJ134" s="824">
        <f>5-CI134</f>
        <v>0</v>
      </c>
      <c r="CK134" s="824">
        <f>5-CJ134-CI134</f>
        <v>0</v>
      </c>
      <c r="CL134" s="824">
        <f>5-CK134-CJ134-CI134</f>
        <v>0</v>
      </c>
      <c r="CM134" s="194">
        <f t="shared" si="415"/>
        <v>5</v>
      </c>
      <c r="CN134" s="711">
        <v>0</v>
      </c>
      <c r="CO134" s="711">
        <v>0</v>
      </c>
      <c r="CP134" s="711">
        <v>0</v>
      </c>
      <c r="CQ134" s="711">
        <v>0</v>
      </c>
      <c r="CR134" s="194">
        <f t="shared" si="416"/>
        <v>0</v>
      </c>
      <c r="CS134" s="711">
        <v>0</v>
      </c>
      <c r="CT134" s="711">
        <v>0</v>
      </c>
      <c r="CU134" s="711">
        <v>0</v>
      </c>
      <c r="CV134" s="711">
        <v>0</v>
      </c>
      <c r="CW134" s="194">
        <f t="shared" si="417"/>
        <v>0</v>
      </c>
      <c r="CX134" s="711">
        <v>0</v>
      </c>
      <c r="CY134" s="711">
        <v>0</v>
      </c>
      <c r="CZ134" s="711">
        <v>0</v>
      </c>
      <c r="DA134" s="711">
        <v>0</v>
      </c>
      <c r="DB134" s="194">
        <f t="shared" si="418"/>
        <v>0</v>
      </c>
      <c r="DC134" s="16"/>
      <c r="DJ134" s="545"/>
    </row>
    <row r="135" spans="1:114">
      <c r="A135" s="1"/>
      <c r="B135" s="9" t="s">
        <v>492</v>
      </c>
      <c r="C135" s="193"/>
      <c r="D135" s="842"/>
      <c r="E135" s="194"/>
      <c r="F135" s="234">
        <v>0</v>
      </c>
      <c r="G135" s="267">
        <v>0</v>
      </c>
      <c r="H135" s="267">
        <f>0-G135</f>
        <v>0</v>
      </c>
      <c r="I135" s="267">
        <f>0-SUM(G135:H135)</f>
        <v>0</v>
      </c>
      <c r="J135" s="267">
        <f>-1.594-SUM(G135:I135)</f>
        <v>-1.5940000000000001</v>
      </c>
      <c r="K135" s="194">
        <f t="shared" si="400"/>
        <v>-1.5940000000000001</v>
      </c>
      <c r="L135" s="267">
        <v>0</v>
      </c>
      <c r="M135" s="267">
        <f>-0.571-L135</f>
        <v>-0.57099999999999995</v>
      </c>
      <c r="N135" s="267">
        <f>-0.708-SUM(L135:M135)</f>
        <v>-0.13700000000000001</v>
      </c>
      <c r="O135" s="267">
        <f>-0.707-SUM(L135:N135)</f>
        <v>1.0000000000000009E-3</v>
      </c>
      <c r="P135" s="194">
        <f t="shared" si="401"/>
        <v>-0.70699999999999996</v>
      </c>
      <c r="Q135" s="267">
        <v>-8.5999999999999993E-2</v>
      </c>
      <c r="R135" s="267">
        <f>-0.115-Q135</f>
        <v>-2.9000000000000012E-2</v>
      </c>
      <c r="S135" s="267">
        <f>-0.336-SUM(Q135:R135)</f>
        <v>-0.22100000000000003</v>
      </c>
      <c r="T135" s="267">
        <f>-0.43-SUM(Q135:S135)</f>
        <v>-9.3999999999999972E-2</v>
      </c>
      <c r="U135" s="194">
        <f t="shared" si="402"/>
        <v>-0.43</v>
      </c>
      <c r="V135" s="267">
        <v>-0.99299999999999999</v>
      </c>
      <c r="W135" s="267">
        <f>-1.945-V135</f>
        <v>-0.95200000000000007</v>
      </c>
      <c r="X135" s="267">
        <f>-2.218-SUM(V135:W135)</f>
        <v>-0.27299999999999991</v>
      </c>
      <c r="Y135" s="267">
        <f>-3.522-SUM(V135:X135)</f>
        <v>-1.3039999999999998</v>
      </c>
      <c r="Z135" s="194">
        <f t="shared" si="403"/>
        <v>-3.5219999999999998</v>
      </c>
      <c r="AA135" s="267">
        <v>-0.28999999999999998</v>
      </c>
      <c r="AB135" s="267">
        <f>-0.317-AA135</f>
        <v>-2.7000000000000024E-2</v>
      </c>
      <c r="AC135" s="267">
        <f>-0.317-SUM(AA135:AB135)</f>
        <v>0</v>
      </c>
      <c r="AD135" s="267">
        <f>-3.242-SUM(AA135:AC135)</f>
        <v>-2.9249999999999998</v>
      </c>
      <c r="AE135" s="194">
        <f t="shared" si="404"/>
        <v>-3.242</v>
      </c>
      <c r="AF135" s="267">
        <v>-0.53</v>
      </c>
      <c r="AG135" s="267">
        <f>-0.53-AF135</f>
        <v>0</v>
      </c>
      <c r="AH135" s="267">
        <f>-0.915-SUM(AF135:AG135)</f>
        <v>-0.38500000000000001</v>
      </c>
      <c r="AI135" s="267">
        <f>-0.915-SUM(AF135:AH135)</f>
        <v>0</v>
      </c>
      <c r="AJ135" s="194">
        <f t="shared" si="405"/>
        <v>-0.91500000000000004</v>
      </c>
      <c r="AK135" s="267">
        <v>-1.2529999999999999</v>
      </c>
      <c r="AL135" s="267">
        <f>-1.369-AK135</f>
        <v>-0.1160000000000001</v>
      </c>
      <c r="AM135" s="267">
        <f>-1.339-SUM(AK135:AL135)</f>
        <v>3.0000000000000027E-2</v>
      </c>
      <c r="AN135" s="267">
        <f>-1.356-SUM(AK135:AM135)</f>
        <v>-1.7000000000000126E-2</v>
      </c>
      <c r="AO135" s="194">
        <f t="shared" si="406"/>
        <v>-1.3560000000000001</v>
      </c>
      <c r="AP135" s="267">
        <v>0</v>
      </c>
      <c r="AQ135" s="267">
        <f>-53.485-AP135</f>
        <v>-53.484999999999999</v>
      </c>
      <c r="AR135" s="267">
        <f>-53.485-SUM(AP135:AQ135)</f>
        <v>0</v>
      </c>
      <c r="AS135" s="267">
        <f>-77.587-SUM(AP135:AR135)</f>
        <v>-24.102000000000004</v>
      </c>
      <c r="AT135" s="194">
        <f t="shared" si="407"/>
        <v>-77.587000000000003</v>
      </c>
      <c r="AU135" s="267">
        <v>-0.16700000000000001</v>
      </c>
      <c r="AV135" s="267">
        <f>+-1.631-AU135</f>
        <v>-1.464</v>
      </c>
      <c r="AW135" s="267">
        <f>-2.387-SUM(AU135:AV135)</f>
        <v>-0.75600000000000001</v>
      </c>
      <c r="AX135" s="267">
        <f>+-7.268-AW135-AV135-AU135</f>
        <v>-4.8810000000000002</v>
      </c>
      <c r="AY135" s="194">
        <f t="shared" si="408"/>
        <v>-7.2680000000000007</v>
      </c>
      <c r="AZ135" s="267">
        <v>0</v>
      </c>
      <c r="BA135" s="267">
        <f>-2.395-AZ135</f>
        <v>-2.395</v>
      </c>
      <c r="BB135" s="267">
        <f>-2.467-SUM(AZ135:BA135)</f>
        <v>-7.2000000000000064E-2</v>
      </c>
      <c r="BC135" s="222">
        <f>-7.318-SUM(AZ135:BB135)</f>
        <v>-4.8509999999999991</v>
      </c>
      <c r="BD135" s="194">
        <f t="shared" si="409"/>
        <v>-7.3179999999999996</v>
      </c>
      <c r="BE135" s="267">
        <v>-0.22500000000000001</v>
      </c>
      <c r="BF135" s="267">
        <f>-3.303-BE135</f>
        <v>-3.0779999999999998</v>
      </c>
      <c r="BG135" s="267">
        <f>+-4.784-BF135-BE135</f>
        <v>-1.4809999999999999</v>
      </c>
      <c r="BH135" s="222">
        <f>-13.022-SUM(BE135:BG135)</f>
        <v>-8.2379999999999995</v>
      </c>
      <c r="BI135" s="194">
        <f t="shared" si="420"/>
        <v>-13.021999999999998</v>
      </c>
      <c r="BJ135" s="267">
        <v>-31.096</v>
      </c>
      <c r="BK135" s="222">
        <f>-35.888-BJ135</f>
        <v>-4.791999999999998</v>
      </c>
      <c r="BL135" s="222">
        <f>-39.709-BJ135-BK135</f>
        <v>-3.8210000000000051</v>
      </c>
      <c r="BM135" s="824">
        <f>-44.287-SUM(BJ135:BL135)</f>
        <v>-4.5779999999999959</v>
      </c>
      <c r="BN135" s="194">
        <f t="shared" si="421"/>
        <v>-44.286999999999999</v>
      </c>
      <c r="BO135" s="824">
        <v>-0.436</v>
      </c>
      <c r="BP135" s="824">
        <f>-0.701-BO135</f>
        <v>-0.26499999999999996</v>
      </c>
      <c r="BQ135" s="824">
        <v>-5.0190000000000001</v>
      </c>
      <c r="BR135" s="824">
        <f>-9.304-SUM(BO135:BQ135)</f>
        <v>-3.5840000000000005</v>
      </c>
      <c r="BS135" s="194">
        <f t="shared" si="411"/>
        <v>-9.3040000000000003</v>
      </c>
      <c r="BT135" s="824">
        <v>-5</v>
      </c>
      <c r="BU135" s="824">
        <f>-6-BT135</f>
        <v>-1</v>
      </c>
      <c r="BV135" s="824">
        <f>-8-SUM(BT135:BU135)</f>
        <v>-2</v>
      </c>
      <c r="BW135" s="824">
        <f>-158-SUM(BT135:BV135)</f>
        <v>-150</v>
      </c>
      <c r="BX135" s="194">
        <f t="shared" si="412"/>
        <v>-158</v>
      </c>
      <c r="BY135" s="824">
        <v>-7</v>
      </c>
      <c r="BZ135" s="824">
        <f>-14-BY135</f>
        <v>-7</v>
      </c>
      <c r="CA135" s="824">
        <f>-18-BZ135-BY135</f>
        <v>-4</v>
      </c>
      <c r="CB135" s="824">
        <f>-36-CA135-BZ135-BY135</f>
        <v>-18</v>
      </c>
      <c r="CC135" s="221">
        <f t="shared" si="413"/>
        <v>-36</v>
      </c>
      <c r="CD135" s="824">
        <v>-16</v>
      </c>
      <c r="CE135" s="824">
        <f>-16-CD135</f>
        <v>0</v>
      </c>
      <c r="CF135" s="824">
        <f>-19-CE135-CD135</f>
        <v>-3</v>
      </c>
      <c r="CG135" s="824">
        <f>-19-CF135-CE135-CD135</f>
        <v>0</v>
      </c>
      <c r="CH135" s="194">
        <f t="shared" si="414"/>
        <v>-19</v>
      </c>
      <c r="CI135" s="824">
        <v>-4</v>
      </c>
      <c r="CJ135" s="824">
        <f>-4-CI135</f>
        <v>0</v>
      </c>
      <c r="CK135" s="824">
        <f>-5-CJ135-CI135</f>
        <v>-1</v>
      </c>
      <c r="CL135" s="824">
        <f>-6-CK135-CJ135-CI135</f>
        <v>-1</v>
      </c>
      <c r="CM135" s="194">
        <f t="shared" si="415"/>
        <v>-6</v>
      </c>
      <c r="CN135" s="711">
        <v>0</v>
      </c>
      <c r="CO135" s="711">
        <v>0</v>
      </c>
      <c r="CP135" s="711">
        <v>0</v>
      </c>
      <c r="CQ135" s="711">
        <v>0</v>
      </c>
      <c r="CR135" s="194">
        <f t="shared" si="416"/>
        <v>0</v>
      </c>
      <c r="CS135" s="711">
        <v>0</v>
      </c>
      <c r="CT135" s="711">
        <v>0</v>
      </c>
      <c r="CU135" s="711">
        <v>0</v>
      </c>
      <c r="CV135" s="711">
        <v>0</v>
      </c>
      <c r="CW135" s="194">
        <f t="shared" si="417"/>
        <v>0</v>
      </c>
      <c r="CX135" s="711">
        <v>0</v>
      </c>
      <c r="CY135" s="711">
        <v>0</v>
      </c>
      <c r="CZ135" s="711">
        <v>0</v>
      </c>
      <c r="DA135" s="711">
        <v>0</v>
      </c>
      <c r="DB135" s="194">
        <f t="shared" si="418"/>
        <v>0</v>
      </c>
      <c r="DC135" s="16"/>
      <c r="DJ135" s="545"/>
    </row>
    <row r="136" spans="1:114">
      <c r="A136" s="1"/>
      <c r="B136" s="9" t="s">
        <v>493</v>
      </c>
      <c r="C136" s="193"/>
      <c r="D136" s="842"/>
      <c r="E136" s="194"/>
      <c r="F136" s="234">
        <v>0</v>
      </c>
      <c r="G136" s="267">
        <v>0</v>
      </c>
      <c r="H136" s="267">
        <f>0-G136</f>
        <v>0</v>
      </c>
      <c r="I136" s="267">
        <f>0-SUM(G136:H136)</f>
        <v>0</v>
      </c>
      <c r="J136" s="267">
        <f>-0.324-SUM(G136:I136)</f>
        <v>-0.32400000000000001</v>
      </c>
      <c r="K136" s="194">
        <f t="shared" si="400"/>
        <v>-0.32400000000000001</v>
      </c>
      <c r="L136" s="267">
        <v>0</v>
      </c>
      <c r="M136" s="267">
        <f>-0.217-L136</f>
        <v>-0.217</v>
      </c>
      <c r="N136" s="267">
        <f>-0.863-SUM(L136:M136)</f>
        <v>-0.64600000000000002</v>
      </c>
      <c r="O136" s="267">
        <f>-1.89-SUM(L136:N136)</f>
        <v>-1.0269999999999999</v>
      </c>
      <c r="P136" s="194">
        <f t="shared" si="401"/>
        <v>-1.89</v>
      </c>
      <c r="Q136" s="267">
        <v>-1.161</v>
      </c>
      <c r="R136" s="267">
        <f>-1.539-Q136</f>
        <v>-0.37799999999999989</v>
      </c>
      <c r="S136" s="267">
        <f>-1.836-SUM(Q136:R136)</f>
        <v>-0.29700000000000015</v>
      </c>
      <c r="T136" s="267">
        <f>-2.471-SUM(Q136:S136)</f>
        <v>-0.63500000000000001</v>
      </c>
      <c r="U136" s="194">
        <f t="shared" si="402"/>
        <v>-2.4710000000000001</v>
      </c>
      <c r="V136" s="267">
        <v>-0.32800000000000001</v>
      </c>
      <c r="W136" s="267">
        <f>-0.616-V136</f>
        <v>-0.28799999999999998</v>
      </c>
      <c r="X136" s="267">
        <f>-0.998-SUM(V136:W136)</f>
        <v>-0.38200000000000001</v>
      </c>
      <c r="Y136" s="267">
        <f>-1.238-SUM(V136:X136)</f>
        <v>-0.24</v>
      </c>
      <c r="Z136" s="194">
        <f t="shared" si="403"/>
        <v>-1.238</v>
      </c>
      <c r="AA136" s="267">
        <v>-0.38200000000000001</v>
      </c>
      <c r="AB136" s="267">
        <f>-0.979-AA136</f>
        <v>-0.59699999999999998</v>
      </c>
      <c r="AC136" s="267">
        <f>-1.487-SUM(AA136:AB136)</f>
        <v>-0.50800000000000012</v>
      </c>
      <c r="AD136" s="267">
        <f>-1.939-SUM(AA136:AC136)</f>
        <v>-0.45199999999999996</v>
      </c>
      <c r="AE136" s="194">
        <f t="shared" si="404"/>
        <v>-1.9390000000000001</v>
      </c>
      <c r="AF136" s="267">
        <v>-0.59599999999999997</v>
      </c>
      <c r="AG136" s="267">
        <f>-1.977-AF136</f>
        <v>-1.3810000000000002</v>
      </c>
      <c r="AH136" s="267">
        <f>-2.642-SUM(AF136:AG136)</f>
        <v>-0.66499999999999959</v>
      </c>
      <c r="AI136" s="267">
        <f>-3.22-SUM(AF136:AH136)</f>
        <v>-0.57800000000000029</v>
      </c>
      <c r="AJ136" s="194">
        <f t="shared" si="405"/>
        <v>-3.22</v>
      </c>
      <c r="AK136" s="267">
        <v>-1.079</v>
      </c>
      <c r="AL136" s="267">
        <f>-1.705-AK136</f>
        <v>-0.62600000000000011</v>
      </c>
      <c r="AM136" s="267">
        <f>-2.774-SUM(AK136:AL136)</f>
        <v>-1.069</v>
      </c>
      <c r="AN136" s="267">
        <f>-6.645-SUM(AK136:AM136)</f>
        <v>-3.8709999999999996</v>
      </c>
      <c r="AO136" s="194">
        <f t="shared" si="406"/>
        <v>-6.6449999999999996</v>
      </c>
      <c r="AP136" s="267">
        <v>-7.524</v>
      </c>
      <c r="AQ136" s="267">
        <f>-14.916-AP136</f>
        <v>-7.3920000000000003</v>
      </c>
      <c r="AR136" s="267">
        <f>-24.351-SUM(AP136:AQ136)</f>
        <v>-9.4349999999999987</v>
      </c>
      <c r="AS136" s="267">
        <f>-46.89-SUM(AP136:AR136)</f>
        <v>-22.539000000000001</v>
      </c>
      <c r="AT136" s="194">
        <f t="shared" si="407"/>
        <v>-46.89</v>
      </c>
      <c r="AU136" s="267">
        <v>-6.5949999999999998</v>
      </c>
      <c r="AV136" s="267">
        <f>+-22.166-AU136</f>
        <v>-15.571000000000002</v>
      </c>
      <c r="AW136" s="267">
        <f>-43.744-SUM(AU136:AV136)</f>
        <v>-21.577999999999999</v>
      </c>
      <c r="AX136" s="267">
        <f>+-58.963-AW136-AV136-AU136</f>
        <v>-15.219000000000005</v>
      </c>
      <c r="AY136" s="194">
        <f t="shared" si="408"/>
        <v>-58.963000000000008</v>
      </c>
      <c r="AZ136" s="267">
        <v>-16.873999999999999</v>
      </c>
      <c r="BA136" s="267">
        <f>-29.371-AZ136</f>
        <v>-12.497</v>
      </c>
      <c r="BB136" s="267">
        <f>-41.87-SUM(AZ136:BA136)</f>
        <v>-12.498999999999999</v>
      </c>
      <c r="BC136" s="222">
        <f>-68.113-SUM(AZ136:BB136)</f>
        <v>-26.243000000000002</v>
      </c>
      <c r="BD136" s="194">
        <f t="shared" si="409"/>
        <v>-68.113</v>
      </c>
      <c r="BE136" s="267">
        <v>-15.333</v>
      </c>
      <c r="BF136" s="267">
        <f>-30.078-BE136</f>
        <v>-14.744999999999999</v>
      </c>
      <c r="BG136" s="267">
        <f>+-49.928-BF136-BE136</f>
        <v>-19.850000000000001</v>
      </c>
      <c r="BH136" s="222">
        <f>-56.094-SUM(BE136:BG136)</f>
        <v>-6.1660000000000039</v>
      </c>
      <c r="BI136" s="194">
        <f t="shared" si="420"/>
        <v>-56.094000000000001</v>
      </c>
      <c r="BJ136" s="267">
        <v>-27.038</v>
      </c>
      <c r="BK136" s="222">
        <f>-34.59-BJ136</f>
        <v>-7.5520000000000032</v>
      </c>
      <c r="BL136" s="222">
        <f>-60.676-BJ136-BK136</f>
        <v>-26.086000000000002</v>
      </c>
      <c r="BM136" s="824">
        <f>-68.344-SUM(BJ136:BL136)</f>
        <v>-7.6679999999999922</v>
      </c>
      <c r="BN136" s="194">
        <f t="shared" si="421"/>
        <v>-68.343999999999994</v>
      </c>
      <c r="BO136" s="824">
        <v>-15.291</v>
      </c>
      <c r="BP136" s="824">
        <f>-37.937-BO136</f>
        <v>-22.645999999999997</v>
      </c>
      <c r="BQ136" s="824">
        <v>-22.344999999999999</v>
      </c>
      <c r="BR136" s="824">
        <f>-75.583-SUM(BO136:BQ136)</f>
        <v>-15.301000000000002</v>
      </c>
      <c r="BS136" s="194">
        <f t="shared" si="411"/>
        <v>-75.582999999999998</v>
      </c>
      <c r="BT136" s="824">
        <v>-19</v>
      </c>
      <c r="BU136" s="824">
        <f>-44-BT136</f>
        <v>-25</v>
      </c>
      <c r="BV136" s="824">
        <f>-74-SUM(BT136:BU136)</f>
        <v>-30</v>
      </c>
      <c r="BW136" s="824">
        <f>-104-SUM(BT136:BV136)</f>
        <v>-30</v>
      </c>
      <c r="BX136" s="194">
        <f t="shared" si="412"/>
        <v>-104</v>
      </c>
      <c r="BY136" s="824">
        <v>-23</v>
      </c>
      <c r="BZ136" s="824">
        <f>-48-BY136</f>
        <v>-25</v>
      </c>
      <c r="CA136" s="824">
        <f>-69-BZ136-BY136</f>
        <v>-21</v>
      </c>
      <c r="CB136" s="824">
        <f>-100-CA136-BZ136-BY136</f>
        <v>-31</v>
      </c>
      <c r="CC136" s="221">
        <f t="shared" si="413"/>
        <v>-100</v>
      </c>
      <c r="CD136" s="824">
        <v>-18</v>
      </c>
      <c r="CE136" s="824">
        <f>-47-CD136</f>
        <v>-29</v>
      </c>
      <c r="CF136" s="824">
        <f>-69-CE136-CD136</f>
        <v>-22</v>
      </c>
      <c r="CG136" s="824">
        <f>-92-CF136-CE136-CD136</f>
        <v>-23</v>
      </c>
      <c r="CH136" s="194">
        <f t="shared" si="414"/>
        <v>-92</v>
      </c>
      <c r="CI136" s="824">
        <v>-28</v>
      </c>
      <c r="CJ136" s="824">
        <f>-53-CI136</f>
        <v>-25</v>
      </c>
      <c r="CK136" s="824">
        <f>-79-CJ136-CI136</f>
        <v>-26</v>
      </c>
      <c r="CL136" s="824">
        <f>-100-CK136-CJ136-CI136</f>
        <v>-21</v>
      </c>
      <c r="CM136" s="194">
        <f t="shared" si="415"/>
        <v>-100</v>
      </c>
      <c r="CN136" s="711">
        <f t="shared" ref="CN136:DA136" si="422">-25</f>
        <v>-25</v>
      </c>
      <c r="CO136" s="711">
        <f t="shared" si="422"/>
        <v>-25</v>
      </c>
      <c r="CP136" s="711">
        <f t="shared" si="422"/>
        <v>-25</v>
      </c>
      <c r="CQ136" s="711">
        <f t="shared" si="422"/>
        <v>-25</v>
      </c>
      <c r="CR136" s="194">
        <f t="shared" si="416"/>
        <v>-100</v>
      </c>
      <c r="CS136" s="711">
        <f t="shared" si="422"/>
        <v>-25</v>
      </c>
      <c r="CT136" s="711">
        <f t="shared" si="422"/>
        <v>-25</v>
      </c>
      <c r="CU136" s="711">
        <f t="shared" si="422"/>
        <v>-25</v>
      </c>
      <c r="CV136" s="711">
        <v>0</v>
      </c>
      <c r="CW136" s="194">
        <f t="shared" si="417"/>
        <v>-75</v>
      </c>
      <c r="CX136" s="711">
        <f t="shared" si="422"/>
        <v>-25</v>
      </c>
      <c r="CY136" s="711">
        <f t="shared" si="422"/>
        <v>-25</v>
      </c>
      <c r="CZ136" s="711">
        <f t="shared" si="422"/>
        <v>-25</v>
      </c>
      <c r="DA136" s="711">
        <f t="shared" si="422"/>
        <v>-25</v>
      </c>
      <c r="DB136" s="194">
        <f t="shared" si="418"/>
        <v>-100</v>
      </c>
      <c r="DC136" s="16"/>
      <c r="DJ136" s="545"/>
    </row>
    <row r="137" spans="1:114">
      <c r="A137" s="1"/>
      <c r="B137" s="9" t="s">
        <v>495</v>
      </c>
      <c r="C137" s="193"/>
      <c r="D137" s="842"/>
      <c r="E137" s="194"/>
      <c r="F137" s="234">
        <v>241.31</v>
      </c>
      <c r="G137" s="267">
        <v>20</v>
      </c>
      <c r="H137" s="267">
        <f>69-G137</f>
        <v>49</v>
      </c>
      <c r="I137" s="267">
        <f>70.012-SUM(G137:H137)</f>
        <v>1.0120000000000005</v>
      </c>
      <c r="J137" s="267">
        <f>124.684-SUM(G137:I137)</f>
        <v>54.671999999999997</v>
      </c>
      <c r="K137" s="194">
        <f t="shared" si="400"/>
        <v>124.684</v>
      </c>
      <c r="L137" s="267">
        <v>56.89</v>
      </c>
      <c r="M137" s="267">
        <f>55.9-L137</f>
        <v>-0.99000000000000199</v>
      </c>
      <c r="N137" s="267">
        <f>905.9-SUM(L137:M137)</f>
        <v>850</v>
      </c>
      <c r="O137" s="267">
        <f>905.9-SUM(L137:N137)</f>
        <v>0</v>
      </c>
      <c r="P137" s="194">
        <f t="shared" si="401"/>
        <v>905.9</v>
      </c>
      <c r="Q137" s="267">
        <v>80</v>
      </c>
      <c r="R137" s="267">
        <f>80-Q137</f>
        <v>0</v>
      </c>
      <c r="S137" s="267">
        <f>280-SUM(Q137:R137)</f>
        <v>200</v>
      </c>
      <c r="T137" s="267">
        <f>390.7-SUM(Q137:S137)</f>
        <v>110.69999999999999</v>
      </c>
      <c r="U137" s="194">
        <f t="shared" si="402"/>
        <v>390.7</v>
      </c>
      <c r="V137" s="267">
        <v>34.44</v>
      </c>
      <c r="W137" s="267">
        <f>45.64-V137</f>
        <v>11.200000000000003</v>
      </c>
      <c r="X137" s="267">
        <f>1632.911-SUM(V137:W137)</f>
        <v>1587.271</v>
      </c>
      <c r="Y137" s="267">
        <f>1725.768-SUM(V137:X137)</f>
        <v>92.856999999999971</v>
      </c>
      <c r="Z137" s="194">
        <f t="shared" si="403"/>
        <v>1725.768</v>
      </c>
      <c r="AA137" s="267">
        <v>0</v>
      </c>
      <c r="AB137" s="267">
        <f>0-AA137</f>
        <v>0</v>
      </c>
      <c r="AC137" s="267">
        <f>0-SUM(AA137:AB137)</f>
        <v>0</v>
      </c>
      <c r="AD137" s="267">
        <f>0-SUM(AA137:AC137)</f>
        <v>0</v>
      </c>
      <c r="AE137" s="194">
        <f t="shared" si="404"/>
        <v>0</v>
      </c>
      <c r="AF137" s="267">
        <v>0</v>
      </c>
      <c r="AG137" s="267">
        <f>176-AF137</f>
        <v>176</v>
      </c>
      <c r="AH137" s="267">
        <f>479-SUM(AF137:AG137)</f>
        <v>303</v>
      </c>
      <c r="AI137" s="267">
        <f>1031-SUM(AF137:AH137)</f>
        <v>552</v>
      </c>
      <c r="AJ137" s="194">
        <f t="shared" si="405"/>
        <v>1031</v>
      </c>
      <c r="AK137" s="267">
        <v>0</v>
      </c>
      <c r="AL137" s="267">
        <f>132-AK137</f>
        <v>132</v>
      </c>
      <c r="AM137" s="267">
        <f>9233.331-SUM(AK137:AL137)</f>
        <v>9101.3310000000001</v>
      </c>
      <c r="AN137" s="267">
        <f>9221.627-SUM(AK137:AM137)</f>
        <v>-11.703999999999724</v>
      </c>
      <c r="AO137" s="194">
        <f t="shared" si="406"/>
        <v>9221.6270000000004</v>
      </c>
      <c r="AP137" s="267">
        <v>25</v>
      </c>
      <c r="AQ137" s="267">
        <f>22.657-AP137</f>
        <v>-2.343</v>
      </c>
      <c r="AR137" s="267">
        <f>30.596-SUM(AP137:AQ137)</f>
        <v>7.9390000000000001</v>
      </c>
      <c r="AS137" s="267">
        <f>131.277-SUM(AP137:AR137)</f>
        <v>100.68099999999998</v>
      </c>
      <c r="AT137" s="194">
        <f t="shared" si="407"/>
        <v>131.27699999999999</v>
      </c>
      <c r="AU137" s="267">
        <v>200</v>
      </c>
      <c r="AV137" s="267">
        <f>200-AU137</f>
        <v>0</v>
      </c>
      <c r="AW137" s="267">
        <f>200-SUM(AU137:AV137)</f>
        <v>0</v>
      </c>
      <c r="AX137" s="267">
        <f>200-AW137-AV137-AU137</f>
        <v>0</v>
      </c>
      <c r="AY137" s="194">
        <f t="shared" si="408"/>
        <v>200</v>
      </c>
      <c r="AZ137" s="267">
        <v>0</v>
      </c>
      <c r="BA137" s="267">
        <f>0-AZ137</f>
        <v>0</v>
      </c>
      <c r="BB137" s="267">
        <f>0-AZ137-BA137</f>
        <v>0</v>
      </c>
      <c r="BC137" s="222">
        <f>0-AZ137-BA137-BB137</f>
        <v>0</v>
      </c>
      <c r="BD137" s="221">
        <f t="shared" si="409"/>
        <v>0</v>
      </c>
      <c r="BE137" s="267">
        <v>0</v>
      </c>
      <c r="BF137" s="267">
        <f>0-BE137</f>
        <v>0</v>
      </c>
      <c r="BG137" s="267">
        <f>83-BE137-BF137</f>
        <v>83</v>
      </c>
      <c r="BH137" s="222">
        <f>578.236-SUM(BE137:BG137)</f>
        <v>495.23599999999999</v>
      </c>
      <c r="BI137" s="221">
        <f t="shared" si="420"/>
        <v>578.23599999999999</v>
      </c>
      <c r="BJ137" s="222">
        <v>4315.0110000000004</v>
      </c>
      <c r="BK137" s="222">
        <f>5244.263-BJ137</f>
        <v>929.2519999999995</v>
      </c>
      <c r="BL137" s="222">
        <f>5924.377-BJ137-BK137</f>
        <v>680.11400000000049</v>
      </c>
      <c r="BM137" s="824">
        <f>3975.866-SUM(BJ137:BL137)</f>
        <v>-1948.5110000000004</v>
      </c>
      <c r="BN137" s="221">
        <f t="shared" si="421"/>
        <v>3975.866</v>
      </c>
      <c r="BO137" s="824">
        <v>100.893</v>
      </c>
      <c r="BP137" s="824">
        <f>296.001-BO137</f>
        <v>195.10799999999998</v>
      </c>
      <c r="BQ137" s="824">
        <v>517.73099999999999</v>
      </c>
      <c r="BR137" s="824">
        <f>1194.575-SUM(BO137:BQ137)</f>
        <v>380.84300000000007</v>
      </c>
      <c r="BS137" s="194">
        <f t="shared" si="411"/>
        <v>1194.575</v>
      </c>
      <c r="BT137" s="222">
        <v>7079</v>
      </c>
      <c r="BU137" s="222">
        <f>7488-BT137</f>
        <v>409</v>
      </c>
      <c r="BV137" s="222">
        <f>8348-SUM(BT137:BU137)</f>
        <v>860</v>
      </c>
      <c r="BW137" s="824">
        <f>9131-SUM(BT137:BV137)</f>
        <v>783</v>
      </c>
      <c r="BX137" s="194">
        <f t="shared" ref="BX137:BX142" si="423">SUM(BT137:BW137)</f>
        <v>9131</v>
      </c>
      <c r="BY137" s="222">
        <v>1251</v>
      </c>
      <c r="BZ137" s="222">
        <f>2385-BY137</f>
        <v>1134</v>
      </c>
      <c r="CA137" s="222">
        <f>3464-BZ137-BY137</f>
        <v>1079</v>
      </c>
      <c r="CB137" s="222">
        <f>4922-CA137-BZ137-BY137</f>
        <v>1458</v>
      </c>
      <c r="CC137" s="221">
        <f t="shared" si="413"/>
        <v>4922</v>
      </c>
      <c r="CD137" s="222">
        <v>1564</v>
      </c>
      <c r="CE137" s="222">
        <f>2806-CD137</f>
        <v>1242</v>
      </c>
      <c r="CF137" s="222">
        <f>3929-CE137-CD137</f>
        <v>1123</v>
      </c>
      <c r="CG137" s="222">
        <f>4879+159-CF137-CE137-CD137</f>
        <v>1109</v>
      </c>
      <c r="CH137" s="194">
        <f t="shared" si="414"/>
        <v>5038</v>
      </c>
      <c r="CI137" s="222">
        <v>610</v>
      </c>
      <c r="CJ137" s="222">
        <f>840-CI137</f>
        <v>230</v>
      </c>
      <c r="CK137" s="222">
        <f>839-CJ137-CI137</f>
        <v>-1</v>
      </c>
      <c r="CL137" s="222">
        <f>841-CK137-CJ137-CI137</f>
        <v>2</v>
      </c>
      <c r="CM137" s="194">
        <f t="shared" si="415"/>
        <v>841</v>
      </c>
      <c r="CN137" s="711">
        <v>0</v>
      </c>
      <c r="CO137" s="711">
        <v>0</v>
      </c>
      <c r="CP137" s="711">
        <v>0</v>
      </c>
      <c r="CQ137" s="711">
        <v>0</v>
      </c>
      <c r="CR137" s="194">
        <f t="shared" si="416"/>
        <v>0</v>
      </c>
      <c r="CS137" s="711">
        <v>0</v>
      </c>
      <c r="CT137" s="711">
        <v>0</v>
      </c>
      <c r="CU137" s="711">
        <v>0</v>
      </c>
      <c r="CV137" s="711">
        <v>0</v>
      </c>
      <c r="CW137" s="194">
        <f t="shared" si="417"/>
        <v>0</v>
      </c>
      <c r="CX137" s="711">
        <v>0</v>
      </c>
      <c r="CY137" s="711">
        <v>0</v>
      </c>
      <c r="CZ137" s="711">
        <v>0</v>
      </c>
      <c r="DA137" s="711">
        <v>0</v>
      </c>
      <c r="DB137" s="194">
        <f t="shared" si="418"/>
        <v>0</v>
      </c>
      <c r="DC137" s="16"/>
      <c r="DJ137" s="545"/>
    </row>
    <row r="138" spans="1:114" s="725" customFormat="1">
      <c r="A138" s="9"/>
      <c r="B138" s="9" t="s">
        <v>355</v>
      </c>
      <c r="C138" s="193"/>
      <c r="D138" s="1270"/>
      <c r="E138" s="1271"/>
      <c r="F138" s="1272">
        <v>0</v>
      </c>
      <c r="G138" s="1273">
        <v>0</v>
      </c>
      <c r="H138" s="1273">
        <f>0-G138</f>
        <v>0</v>
      </c>
      <c r="I138" s="1273">
        <f>0-G138-H138</f>
        <v>0</v>
      </c>
      <c r="J138" s="1276">
        <f>0-G138-H138-I138</f>
        <v>0</v>
      </c>
      <c r="K138" s="1271">
        <f t="shared" si="400"/>
        <v>0</v>
      </c>
      <c r="L138" s="1273">
        <v>0</v>
      </c>
      <c r="M138" s="1273">
        <f>0-L138</f>
        <v>0</v>
      </c>
      <c r="N138" s="1273">
        <f>0-L138-M138</f>
        <v>0</v>
      </c>
      <c r="O138" s="1276">
        <f>0-L138-M138-N138</f>
        <v>0</v>
      </c>
      <c r="P138" s="1271">
        <f t="shared" si="401"/>
        <v>0</v>
      </c>
      <c r="Q138" s="1273">
        <v>0</v>
      </c>
      <c r="R138" s="1273">
        <f>0-Q138</f>
        <v>0</v>
      </c>
      <c r="S138" s="1273">
        <f>0-Q138-R138</f>
        <v>0</v>
      </c>
      <c r="T138" s="1276">
        <f>0-Q138-R138-S138</f>
        <v>0</v>
      </c>
      <c r="U138" s="1271">
        <f t="shared" si="402"/>
        <v>0</v>
      </c>
      <c r="V138" s="1273">
        <v>0</v>
      </c>
      <c r="W138" s="1273">
        <f>0-V138</f>
        <v>0</v>
      </c>
      <c r="X138" s="1273">
        <f>0-V138-W138</f>
        <v>0</v>
      </c>
      <c r="Y138" s="1276">
        <f>0-V138-W138-X138</f>
        <v>0</v>
      </c>
      <c r="Z138" s="1271">
        <f t="shared" si="403"/>
        <v>0</v>
      </c>
      <c r="AA138" s="1273">
        <v>0</v>
      </c>
      <c r="AB138" s="1273">
        <f>0-AA138</f>
        <v>0</v>
      </c>
      <c r="AC138" s="1273">
        <f>0-AA138-AB138</f>
        <v>0</v>
      </c>
      <c r="AD138" s="1276">
        <f>0-AA138-AB138-AC138</f>
        <v>0</v>
      </c>
      <c r="AE138" s="1271">
        <f t="shared" si="404"/>
        <v>0</v>
      </c>
      <c r="AF138" s="1273">
        <v>0</v>
      </c>
      <c r="AG138" s="1273">
        <f>0-AF138</f>
        <v>0</v>
      </c>
      <c r="AH138" s="1273">
        <f>0-AF138-AG138</f>
        <v>0</v>
      </c>
      <c r="AI138" s="1276">
        <f>0-AF138-AG138-AH138</f>
        <v>0</v>
      </c>
      <c r="AJ138" s="1271">
        <f t="shared" si="405"/>
        <v>0</v>
      </c>
      <c r="AK138" s="1273">
        <v>0</v>
      </c>
      <c r="AL138" s="1273">
        <f>0-AK138</f>
        <v>0</v>
      </c>
      <c r="AM138" s="1273">
        <f>0-AK138-AL138</f>
        <v>0</v>
      </c>
      <c r="AN138" s="1276">
        <f>0-AK138-AL138-AM138</f>
        <v>0</v>
      </c>
      <c r="AO138" s="1271">
        <f t="shared" si="406"/>
        <v>0</v>
      </c>
      <c r="AP138" s="1273">
        <v>0</v>
      </c>
      <c r="AQ138" s="1273">
        <f>0-AP138</f>
        <v>0</v>
      </c>
      <c r="AR138" s="1273">
        <f>0-AP138-AQ138</f>
        <v>0</v>
      </c>
      <c r="AS138" s="1276">
        <f>0-AP138-AQ138-AR138</f>
        <v>0</v>
      </c>
      <c r="AT138" s="1271">
        <f t="shared" si="407"/>
        <v>0</v>
      </c>
      <c r="AU138" s="1273"/>
      <c r="AV138" s="1273"/>
      <c r="AW138" s="1273"/>
      <c r="AX138" s="1273"/>
      <c r="AY138" s="1271">
        <f t="shared" si="408"/>
        <v>0</v>
      </c>
      <c r="AZ138" s="1273">
        <v>0</v>
      </c>
      <c r="BA138" s="1273">
        <f>0-AZ138</f>
        <v>0</v>
      </c>
      <c r="BB138" s="1273">
        <f>0-AZ138-BA138</f>
        <v>0</v>
      </c>
      <c r="BC138" s="1274">
        <f>0-AZ138-BA138-BB138</f>
        <v>0</v>
      </c>
      <c r="BD138" s="1275">
        <f t="shared" si="409"/>
        <v>0</v>
      </c>
      <c r="BE138" s="1273">
        <v>0</v>
      </c>
      <c r="BF138" s="1273">
        <f>0-BE138</f>
        <v>0</v>
      </c>
      <c r="BG138" s="1273">
        <f>0-BE138-BF138</f>
        <v>0</v>
      </c>
      <c r="BH138" s="1274">
        <f>1000-BE138-BF138-BG138</f>
        <v>1000</v>
      </c>
      <c r="BI138" s="1275">
        <f t="shared" si="420"/>
        <v>1000</v>
      </c>
      <c r="BJ138" s="1274">
        <f>1025+300</f>
        <v>1325</v>
      </c>
      <c r="BK138" s="1274">
        <f>1025+300-BJ138</f>
        <v>0</v>
      </c>
      <c r="BL138" s="1274">
        <f>3825-BJ138-BK138</f>
        <v>2500</v>
      </c>
      <c r="BM138" s="1274">
        <f>3825-SUM(BJ138:BL138)</f>
        <v>0</v>
      </c>
      <c r="BN138" s="1275">
        <f t="shared" si="421"/>
        <v>3825</v>
      </c>
      <c r="BO138" s="1274">
        <v>0</v>
      </c>
      <c r="BP138" s="1274">
        <f>0-BO138</f>
        <v>0</v>
      </c>
      <c r="BQ138" s="1274">
        <v>0</v>
      </c>
      <c r="BR138" s="1274">
        <v>0</v>
      </c>
      <c r="BS138" s="1271">
        <f t="shared" si="411"/>
        <v>0</v>
      </c>
      <c r="BT138" s="1274">
        <v>4000</v>
      </c>
      <c r="BU138" s="1274">
        <f>4000-BT138</f>
        <v>0</v>
      </c>
      <c r="BV138" s="1274">
        <f>4000-SUM(BT138:BU138)</f>
        <v>0</v>
      </c>
      <c r="BW138" s="1274">
        <f>4000-SUM(BT138:BV138)</f>
        <v>0</v>
      </c>
      <c r="BX138" s="1271">
        <f t="shared" si="423"/>
        <v>4000</v>
      </c>
      <c r="BY138" s="1274">
        <v>0</v>
      </c>
      <c r="BZ138" s="1274">
        <v>0</v>
      </c>
      <c r="CA138" s="1274">
        <v>0</v>
      </c>
      <c r="CB138" s="1274">
        <v>0</v>
      </c>
      <c r="CC138" s="1275">
        <f t="shared" si="413"/>
        <v>0</v>
      </c>
      <c r="CD138" s="1274">
        <v>0</v>
      </c>
      <c r="CE138" s="1274">
        <v>0</v>
      </c>
      <c r="CF138" s="1274">
        <v>0</v>
      </c>
      <c r="CG138" s="1274">
        <v>0</v>
      </c>
      <c r="CH138" s="194">
        <f>SUM(CD138:CG138)</f>
        <v>0</v>
      </c>
      <c r="CI138" s="222">
        <v>2200</v>
      </c>
      <c r="CJ138" s="222">
        <f>3100-CI138</f>
        <v>900</v>
      </c>
      <c r="CK138" s="222">
        <f>3100-CJ138-CI138</f>
        <v>0</v>
      </c>
      <c r="CL138" s="222">
        <f>3100-CK138-CJ138-CI138</f>
        <v>0</v>
      </c>
      <c r="CM138" s="194">
        <f>SUM(CI138:CL138)</f>
        <v>3100</v>
      </c>
      <c r="CN138" s="192">
        <f>IF(Debt!CN22&gt;0,Debt!CN22,0)</f>
        <v>0</v>
      </c>
      <c r="CO138" s="192">
        <f>IF(Debt!CO22&gt;0,Debt!CO22,0)</f>
        <v>0</v>
      </c>
      <c r="CP138" s="192">
        <f>IF(Debt!CP22&gt;0,Debt!CP22,0)</f>
        <v>0</v>
      </c>
      <c r="CQ138" s="192">
        <f>IF(Debt!CQ22&gt;0,Debt!CQ22,0)</f>
        <v>0</v>
      </c>
      <c r="CR138" s="194">
        <f>SUM(CN138:CQ138)</f>
        <v>0</v>
      </c>
      <c r="CS138" s="192">
        <f>IF(Debt!CS22&gt;0,Debt!CS22,0)</f>
        <v>0</v>
      </c>
      <c r="CT138" s="192">
        <f>IF(Debt!CT22&gt;0,Debt!CT22,0)</f>
        <v>0</v>
      </c>
      <c r="CU138" s="192">
        <f>IF(Debt!CU22&gt;0,Debt!CU22,0)</f>
        <v>0</v>
      </c>
      <c r="CV138" s="192">
        <f>IF(Debt!CV22&gt;0,Debt!CV22,0)</f>
        <v>0</v>
      </c>
      <c r="CW138" s="194">
        <f>SUM(CS138:CV138)</f>
        <v>0</v>
      </c>
      <c r="CX138" s="192">
        <f>IF(Debt!CX22&gt;0,Debt!CX22,0)</f>
        <v>0</v>
      </c>
      <c r="CY138" s="192">
        <f>IF(Debt!CY22&gt;0,Debt!CY22,0)</f>
        <v>0</v>
      </c>
      <c r="CZ138" s="192">
        <f>IF(Debt!CZ22&gt;0,Debt!CZ22,0)</f>
        <v>0</v>
      </c>
      <c r="DA138" s="192">
        <f>IF(Debt!DA22&gt;0,Debt!DA22,0)</f>
        <v>0</v>
      </c>
      <c r="DB138" s="194">
        <f>SUM(CX138:DA138)</f>
        <v>0</v>
      </c>
      <c r="DC138" s="16"/>
      <c r="DD138"/>
      <c r="DE138"/>
      <c r="DF138"/>
      <c r="DG138"/>
      <c r="DH138"/>
      <c r="DI138"/>
      <c r="DJ138" s="1277"/>
    </row>
    <row r="139" spans="1:114">
      <c r="A139" s="1"/>
      <c r="B139" s="9" t="s">
        <v>356</v>
      </c>
      <c r="C139" s="193"/>
      <c r="D139" s="842"/>
      <c r="E139" s="194"/>
      <c r="F139" s="234">
        <v>-525.55600000000004</v>
      </c>
      <c r="G139" s="267">
        <v>-17.268000000000001</v>
      </c>
      <c r="H139" s="267">
        <f>-40.262-G139</f>
        <v>-22.994</v>
      </c>
      <c r="I139" s="267">
        <f>-40.826-SUM(G139:H139)</f>
        <v>-0.56400000000000006</v>
      </c>
      <c r="J139" s="267">
        <f>-610.074-SUM(G139:I139)</f>
        <v>-569.24799999999993</v>
      </c>
      <c r="K139" s="194">
        <f t="shared" si="400"/>
        <v>-610.07399999999996</v>
      </c>
      <c r="L139" s="267">
        <v>-8.8140000000000001</v>
      </c>
      <c r="M139" s="267">
        <f>-50.702-L139</f>
        <v>-41.887999999999998</v>
      </c>
      <c r="N139" s="267">
        <f>-763.934-SUM(L139:M139)</f>
        <v>-713.23199999999997</v>
      </c>
      <c r="O139" s="267">
        <f>-768.556-SUM(L139:N139)</f>
        <v>-4.6220000000000709</v>
      </c>
      <c r="P139" s="194">
        <f t="shared" si="401"/>
        <v>-768.55600000000004</v>
      </c>
      <c r="Q139" s="267">
        <v>-3.46</v>
      </c>
      <c r="R139" s="267">
        <f>-88.493-Q139</f>
        <v>-85.033000000000001</v>
      </c>
      <c r="S139" s="267">
        <f>-92.489-SUM(Q139:R139)</f>
        <v>-3.9960000000000093</v>
      </c>
      <c r="T139" s="267">
        <f>-115.541-SUM(Q139:S139)</f>
        <v>-23.051999999999992</v>
      </c>
      <c r="U139" s="194">
        <f t="shared" si="402"/>
        <v>-115.541</v>
      </c>
      <c r="V139" s="267">
        <v>-45.640999999999998</v>
      </c>
      <c r="W139" s="267">
        <f>-146.384-V139</f>
        <v>-100.74299999999999</v>
      </c>
      <c r="X139" s="267">
        <f>-1326.49-SUM(V139:W139)</f>
        <v>-1180.106</v>
      </c>
      <c r="Y139" s="267">
        <f>-1668.709-SUM(V139:X139)</f>
        <v>-342.21900000000005</v>
      </c>
      <c r="Z139" s="194">
        <f t="shared" si="403"/>
        <v>-1668.7090000000001</v>
      </c>
      <c r="AA139" s="267">
        <v>-13.025</v>
      </c>
      <c r="AB139" s="267">
        <f>-19.701-AA139</f>
        <v>-6.6760000000000002</v>
      </c>
      <c r="AC139" s="267">
        <f>-23.265-SUM(AA139:AB139)</f>
        <v>-3.5640000000000001</v>
      </c>
      <c r="AD139" s="267">
        <f>-26.539-SUM(AA139:AC139)</f>
        <v>-3.2740000000000009</v>
      </c>
      <c r="AE139" s="194">
        <f t="shared" si="404"/>
        <v>-26.539000000000001</v>
      </c>
      <c r="AF139" s="267">
        <v>-3.8849999999999998</v>
      </c>
      <c r="AG139" s="267">
        <f>-43.26-AF139</f>
        <v>-39.375</v>
      </c>
      <c r="AH139" s="267">
        <f>-220.437-SUM(AF139:AG139)</f>
        <v>-177.17700000000002</v>
      </c>
      <c r="AI139" s="267">
        <f>-650.09-SUM(AF139:AH139)</f>
        <v>-429.65300000000002</v>
      </c>
      <c r="AJ139" s="194">
        <f t="shared" si="405"/>
        <v>-650.09</v>
      </c>
      <c r="AK139" s="267">
        <v>-5.032</v>
      </c>
      <c r="AL139" s="267">
        <f>-64.579-AK139</f>
        <v>-59.546999999999997</v>
      </c>
      <c r="AM139" s="267">
        <f>-2063.632-SUM(AK139:AL139)</f>
        <v>-1999.0530000000001</v>
      </c>
      <c r="AN139" s="267">
        <f>-2139.025-SUM(AK139:AM139)</f>
        <v>-75.393000000000029</v>
      </c>
      <c r="AO139" s="194">
        <f t="shared" si="406"/>
        <v>-2139.0250000000001</v>
      </c>
      <c r="AP139" s="267">
        <v>-188.74299999999999</v>
      </c>
      <c r="AQ139" s="267">
        <f>-190.998-AP139</f>
        <v>-2.2549999999999955</v>
      </c>
      <c r="AR139" s="267">
        <f>-192.507-SUM(AP139:AQ139)</f>
        <v>-1.5090000000000146</v>
      </c>
      <c r="AS139" s="267">
        <f>-234.918-SUM(AP139:AR139)</f>
        <v>-42.411000000000001</v>
      </c>
      <c r="AT139" s="194">
        <f t="shared" si="407"/>
        <v>-234.91800000000001</v>
      </c>
      <c r="AU139" s="267">
        <v>-63.87</v>
      </c>
      <c r="AV139" s="267">
        <f>+-236.182-AU139</f>
        <v>-172.31199999999998</v>
      </c>
      <c r="AW139" s="267">
        <f>-245.589-SUM(AU139:AV139)</f>
        <v>-9.4070000000000107</v>
      </c>
      <c r="AX139" s="267">
        <f>+-258.173-AW139-AV139-AU139</f>
        <v>-12.58400000000001</v>
      </c>
      <c r="AY139" s="194">
        <f t="shared" si="408"/>
        <v>-258.173</v>
      </c>
      <c r="AZ139" s="267">
        <v>-13.154</v>
      </c>
      <c r="BA139" s="267">
        <f>-34.157-AZ139</f>
        <v>-21.002999999999997</v>
      </c>
      <c r="BB139" s="267">
        <f>-46.952-SUM(AZ139:BA139)</f>
        <v>-12.795000000000002</v>
      </c>
      <c r="BC139" s="222">
        <f>-61.476-SUM(AZ139:BB139)</f>
        <v>-14.524000000000001</v>
      </c>
      <c r="BD139" s="221">
        <f t="shared" si="409"/>
        <v>-61.475999999999999</v>
      </c>
      <c r="BE139" s="267">
        <f>-14.665</f>
        <v>-14.664999999999999</v>
      </c>
      <c r="BF139" s="267">
        <f>-28.798-BE139</f>
        <v>-14.132999999999999</v>
      </c>
      <c r="BG139" s="267">
        <f>-128.768-BF139-BE139</f>
        <v>-99.97</v>
      </c>
      <c r="BH139" s="222">
        <f>-1651.533-SUM(BE139:BG139)</f>
        <v>-1522.7649999999999</v>
      </c>
      <c r="BI139" s="221">
        <f t="shared" si="420"/>
        <v>-1651.5329999999999</v>
      </c>
      <c r="BJ139" s="222">
        <f>-5236.948</f>
        <v>-5236.9480000000003</v>
      </c>
      <c r="BK139" s="222">
        <f>-6135.784-BJ139</f>
        <v>-898.83599999999933</v>
      </c>
      <c r="BL139" s="222">
        <f>-9391.338-BJ139-BK139</f>
        <v>-3255.5540000000001</v>
      </c>
      <c r="BM139" s="222">
        <f>-7529.503-SUM(BJ139:BL139)</f>
        <v>1861.835</v>
      </c>
      <c r="BN139" s="221">
        <f t="shared" si="421"/>
        <v>-7529.5029999999997</v>
      </c>
      <c r="BO139" s="222">
        <v>-403.41199999999998</v>
      </c>
      <c r="BP139" s="222">
        <f>-632.7-BO139</f>
        <v>-229.28800000000007</v>
      </c>
      <c r="BQ139" s="222">
        <v>-495.96599999999989</v>
      </c>
      <c r="BR139" s="222">
        <f>-1621.985-SUM(BO139:BQ139)</f>
        <v>-493.31899999999996</v>
      </c>
      <c r="BS139" s="194">
        <f t="shared" si="411"/>
        <v>-1621.9849999999999</v>
      </c>
      <c r="BT139" s="824">
        <v>-7686</v>
      </c>
      <c r="BU139" s="824">
        <f>-8164-BT139</f>
        <v>-478</v>
      </c>
      <c r="BV139" s="824">
        <f>-9091-SUM(BT139:BU139)</f>
        <v>-927</v>
      </c>
      <c r="BW139" s="222">
        <f>-9980-SUM(BT139:BV139)</f>
        <v>-889</v>
      </c>
      <c r="BX139" s="194">
        <f t="shared" si="423"/>
        <v>-9980</v>
      </c>
      <c r="BY139" s="824">
        <v>-1268</v>
      </c>
      <c r="BZ139" s="824">
        <f>-2522-BY139</f>
        <v>-1254</v>
      </c>
      <c r="CA139" s="824">
        <f>-3624-BZ139-BY139</f>
        <v>-1102</v>
      </c>
      <c r="CB139" s="824">
        <f>-5050-CA139-BZ139-BY139</f>
        <v>-1426</v>
      </c>
      <c r="CC139" s="221">
        <f t="shared" si="413"/>
        <v>-5050</v>
      </c>
      <c r="CD139" s="824">
        <v>-1480</v>
      </c>
      <c r="CE139" s="824">
        <f>-4279-CD139</f>
        <v>-2799</v>
      </c>
      <c r="CF139" s="824">
        <f>-5492-CE139-CD139</f>
        <v>-1213</v>
      </c>
      <c r="CG139" s="824">
        <f>-6715-CF139-CE139-CD139</f>
        <v>-1223</v>
      </c>
      <c r="CH139" s="194">
        <f>SUM(CD139:CG139)</f>
        <v>-6715</v>
      </c>
      <c r="CI139" s="824">
        <v>-2826</v>
      </c>
      <c r="CJ139" s="824">
        <f>-4416-CI139</f>
        <v>-1590</v>
      </c>
      <c r="CK139" s="824">
        <f>-5271-CJ139-CI139</f>
        <v>-855</v>
      </c>
      <c r="CL139" s="824">
        <f>-5391-CK139-CJ139-CI139</f>
        <v>-120</v>
      </c>
      <c r="CM139" s="194">
        <f>SUM(CI139:CL139)</f>
        <v>-5391</v>
      </c>
      <c r="CN139" s="192">
        <f ca="1">IF(Debt!CN23&lt;0,Debt!CN23,0)</f>
        <v>-300</v>
      </c>
      <c r="CO139" s="192">
        <f ca="1">IF(Debt!CO23&lt;0,Debt!CO23,0)</f>
        <v>-301</v>
      </c>
      <c r="CP139" s="192">
        <f ca="1">IF(Debt!CP23&lt;0,Debt!CP23,0)</f>
        <v>-347.13</v>
      </c>
      <c r="CQ139" s="192">
        <f ca="1">IF(Debt!CQ23&lt;0,Debt!CQ23,0)</f>
        <v>-351.87</v>
      </c>
      <c r="CR139" s="194">
        <f ca="1">SUM(CN139:CQ139)</f>
        <v>-1300</v>
      </c>
      <c r="CS139" s="192">
        <f ca="1">IF(Debt!CS23&lt;0,Debt!CS23,0)</f>
        <v>-423.60000000040003</v>
      </c>
      <c r="CT139" s="192">
        <f ca="1">IF(Debt!CT23&lt;0,Debt!CT23,0)</f>
        <v>-254.16000000023996</v>
      </c>
      <c r="CU139" s="192">
        <f ca="1">IF(Debt!CU23&lt;0,Debt!CU23,0)</f>
        <v>-152.49600000014399</v>
      </c>
      <c r="CV139" s="192">
        <f ca="1">IF(Debt!CV23&lt;0,Debt!CV23,0)</f>
        <v>-91.497600000086379</v>
      </c>
      <c r="CW139" s="194">
        <f ca="1">SUM(CS139:CV139)</f>
        <v>-921.75360000087039</v>
      </c>
      <c r="CX139" s="192">
        <f ca="1">IF(Debt!CX23&lt;0,Debt!CX23,0)</f>
        <v>-54.89856000005183</v>
      </c>
      <c r="CY139" s="192">
        <f ca="1">IF(Debt!CY23&lt;0,Debt!CY23,0)</f>
        <v>-32.939136000031098</v>
      </c>
      <c r="CZ139" s="192">
        <f ca="1">IF(Debt!CZ23&lt;0,Debt!CZ23,0)</f>
        <v>-19.763481600018658</v>
      </c>
      <c r="DA139" s="192">
        <f ca="1">IF(Debt!DA23&lt;0,Debt!DA23,0)</f>
        <v>0</v>
      </c>
      <c r="DB139" s="194">
        <f ca="1">SUM(CX139:DA139)</f>
        <v>-107.60117760010158</v>
      </c>
      <c r="DC139" s="16"/>
      <c r="DJ139" s="545"/>
    </row>
    <row r="140" spans="1:114">
      <c r="A140" s="1"/>
      <c r="B140" s="9" t="s">
        <v>269</v>
      </c>
      <c r="C140" s="193"/>
      <c r="D140" s="842"/>
      <c r="E140" s="194"/>
      <c r="F140" s="234">
        <v>0</v>
      </c>
      <c r="G140" s="267">
        <v>0</v>
      </c>
      <c r="H140" s="267">
        <v>0</v>
      </c>
      <c r="I140" s="267">
        <v>0</v>
      </c>
      <c r="J140" s="267">
        <v>0</v>
      </c>
      <c r="K140" s="221">
        <f t="shared" si="400"/>
        <v>0</v>
      </c>
      <c r="L140" s="267">
        <v>0</v>
      </c>
      <c r="M140" s="267">
        <v>0</v>
      </c>
      <c r="N140" s="267">
        <v>0</v>
      </c>
      <c r="O140" s="267">
        <v>0</v>
      </c>
      <c r="P140" s="221">
        <f t="shared" si="401"/>
        <v>0</v>
      </c>
      <c r="Q140" s="267">
        <v>0</v>
      </c>
      <c r="R140" s="267">
        <v>0</v>
      </c>
      <c r="S140" s="267">
        <v>0</v>
      </c>
      <c r="T140" s="267">
        <v>0</v>
      </c>
      <c r="U140" s="221">
        <f t="shared" si="402"/>
        <v>0</v>
      </c>
      <c r="V140" s="267">
        <v>0</v>
      </c>
      <c r="W140" s="267">
        <v>0</v>
      </c>
      <c r="X140" s="267">
        <v>0</v>
      </c>
      <c r="Y140" s="267">
        <v>0</v>
      </c>
      <c r="Z140" s="221">
        <f t="shared" si="403"/>
        <v>0</v>
      </c>
      <c r="AA140" s="267">
        <v>0</v>
      </c>
      <c r="AB140" s="267">
        <v>0</v>
      </c>
      <c r="AC140" s="267">
        <v>0</v>
      </c>
      <c r="AD140" s="267">
        <v>0</v>
      </c>
      <c r="AE140" s="221">
        <f t="shared" si="404"/>
        <v>0</v>
      </c>
      <c r="AF140" s="267">
        <v>0</v>
      </c>
      <c r="AG140" s="267">
        <v>0</v>
      </c>
      <c r="AH140" s="267">
        <v>0</v>
      </c>
      <c r="AI140" s="267">
        <v>0</v>
      </c>
      <c r="AJ140" s="221">
        <f t="shared" si="405"/>
        <v>0</v>
      </c>
      <c r="AK140" s="267">
        <v>0</v>
      </c>
      <c r="AL140" s="267">
        <v>0</v>
      </c>
      <c r="AM140" s="267">
        <v>0</v>
      </c>
      <c r="AN140" s="267">
        <v>0</v>
      </c>
      <c r="AO140" s="221">
        <f t="shared" si="406"/>
        <v>0</v>
      </c>
      <c r="AP140" s="267">
        <v>0</v>
      </c>
      <c r="AQ140" s="267">
        <v>0</v>
      </c>
      <c r="AR140" s="267">
        <v>0</v>
      </c>
      <c r="AS140" s="267">
        <v>0</v>
      </c>
      <c r="AT140" s="221">
        <f t="shared" si="407"/>
        <v>0</v>
      </c>
      <c r="AU140" s="267">
        <v>0</v>
      </c>
      <c r="AV140" s="267">
        <v>0</v>
      </c>
      <c r="AW140" s="267">
        <v>0</v>
      </c>
      <c r="AX140" s="267">
        <v>0</v>
      </c>
      <c r="AY140" s="221">
        <f t="shared" si="408"/>
        <v>0</v>
      </c>
      <c r="AZ140" s="267">
        <v>0</v>
      </c>
      <c r="BA140" s="267">
        <v>0</v>
      </c>
      <c r="BB140" s="267">
        <v>0</v>
      </c>
      <c r="BC140" s="267">
        <v>0</v>
      </c>
      <c r="BD140" s="221">
        <f t="shared" si="409"/>
        <v>0</v>
      </c>
      <c r="BE140" s="267">
        <v>0</v>
      </c>
      <c r="BF140" s="267">
        <v>0</v>
      </c>
      <c r="BG140" s="267">
        <v>0</v>
      </c>
      <c r="BH140" s="267">
        <v>0</v>
      </c>
      <c r="BI140" s="221">
        <f t="shared" si="420"/>
        <v>0</v>
      </c>
      <c r="BJ140" s="222">
        <v>0</v>
      </c>
      <c r="BK140" s="222">
        <v>0</v>
      </c>
      <c r="BL140" s="222">
        <f>300-BJ140-BK140</f>
        <v>300</v>
      </c>
      <c r="BM140" s="222">
        <f>350-SUM(BJ140:BL140)</f>
        <v>50</v>
      </c>
      <c r="BN140" s="221">
        <f t="shared" si="421"/>
        <v>350</v>
      </c>
      <c r="BO140" s="222">
        <v>300</v>
      </c>
      <c r="BP140" s="222">
        <f>300-BO140</f>
        <v>0</v>
      </c>
      <c r="BQ140" s="222">
        <v>20</v>
      </c>
      <c r="BR140" s="222">
        <f>338-SUM(BO140:BQ140)</f>
        <v>18</v>
      </c>
      <c r="BS140" s="194">
        <f t="shared" si="411"/>
        <v>338</v>
      </c>
      <c r="BT140" s="222">
        <v>133</v>
      </c>
      <c r="BU140" s="222">
        <f>133-BT140</f>
        <v>0</v>
      </c>
      <c r="BV140" s="222">
        <f>204-SUM(BT140:BU140)</f>
        <v>71</v>
      </c>
      <c r="BW140" s="222">
        <f>204-SUM(BT140:BV140)</f>
        <v>0</v>
      </c>
      <c r="BX140" s="194">
        <f t="shared" si="423"/>
        <v>204</v>
      </c>
      <c r="BY140" s="222">
        <v>75</v>
      </c>
      <c r="BZ140" s="222">
        <f>91-BY140</f>
        <v>16</v>
      </c>
      <c r="CA140" s="222">
        <f>112-BZ140-BY140</f>
        <v>21</v>
      </c>
      <c r="CB140" s="222">
        <f>206-CA140-BZ140-BY140</f>
        <v>94</v>
      </c>
      <c r="CC140" s="221">
        <f t="shared" si="413"/>
        <v>206</v>
      </c>
      <c r="CD140" s="222">
        <v>31</v>
      </c>
      <c r="CE140" s="222">
        <f>31-CD140</f>
        <v>0</v>
      </c>
      <c r="CF140" s="222">
        <f>66-CE140-CD140</f>
        <v>35</v>
      </c>
      <c r="CG140" s="222">
        <f>107-CF140-CE140-CD140</f>
        <v>41</v>
      </c>
      <c r="CH140" s="194">
        <f>SUM(CD140:CG140)</f>
        <v>107</v>
      </c>
      <c r="CI140" s="222">
        <v>26</v>
      </c>
      <c r="CJ140" s="222">
        <f>26-CI140</f>
        <v>0</v>
      </c>
      <c r="CK140" s="222">
        <f>26-CJ140-CI140</f>
        <v>0</v>
      </c>
      <c r="CL140" s="222">
        <f>105-CK140-CJ140-CI140</f>
        <v>79</v>
      </c>
      <c r="CM140" s="194">
        <f>SUM(CI140:CL140)</f>
        <v>105</v>
      </c>
      <c r="CN140" s="192">
        <v>0</v>
      </c>
      <c r="CO140" s="192">
        <v>0</v>
      </c>
      <c r="CP140" s="192">
        <v>0</v>
      </c>
      <c r="CQ140" s="192">
        <v>0</v>
      </c>
      <c r="CR140" s="194">
        <f>SUM(CN140:CQ140)</f>
        <v>0</v>
      </c>
      <c r="CS140" s="192">
        <v>0</v>
      </c>
      <c r="CT140" s="192">
        <v>0</v>
      </c>
      <c r="CU140" s="192">
        <v>0</v>
      </c>
      <c r="CV140" s="192">
        <v>0</v>
      </c>
      <c r="CW140" s="194">
        <f>SUM(CS140:CV140)</f>
        <v>0</v>
      </c>
      <c r="CX140" s="192">
        <v>0</v>
      </c>
      <c r="CY140" s="192">
        <v>0</v>
      </c>
      <c r="CZ140" s="192">
        <v>0</v>
      </c>
      <c r="DA140" s="192">
        <v>0</v>
      </c>
      <c r="DB140" s="194">
        <f>SUM(CX140:DA140)</f>
        <v>0</v>
      </c>
      <c r="DC140" s="16"/>
      <c r="DJ140" s="545"/>
    </row>
    <row r="141" spans="1:114">
      <c r="A141" s="1"/>
      <c r="B141" s="9" t="s">
        <v>11</v>
      </c>
      <c r="C141" s="222"/>
      <c r="D141" s="828"/>
      <c r="E141" s="234"/>
      <c r="F141" s="234">
        <v>0</v>
      </c>
      <c r="G141" s="222">
        <v>0</v>
      </c>
      <c r="H141" s="222">
        <f>0-G141</f>
        <v>0</v>
      </c>
      <c r="I141" s="222">
        <f>0-SUM(G141:H141)</f>
        <v>0</v>
      </c>
      <c r="J141" s="222">
        <f>287.5-SUM(G141:I141)</f>
        <v>287.5</v>
      </c>
      <c r="K141" s="194">
        <f>SUM(G141:J141)</f>
        <v>287.5</v>
      </c>
      <c r="L141" s="222">
        <v>0</v>
      </c>
      <c r="M141" s="222">
        <f>0-L141</f>
        <v>0</v>
      </c>
      <c r="N141" s="222">
        <f>0-SUM(L141:M141)</f>
        <v>0</v>
      </c>
      <c r="O141" s="222">
        <f>0-SUM(L141:N141)</f>
        <v>0</v>
      </c>
      <c r="P141" s="194">
        <f>SUM(L141:O141)</f>
        <v>0</v>
      </c>
      <c r="Q141" s="222">
        <v>0</v>
      </c>
      <c r="R141" s="222">
        <f>0-Q141</f>
        <v>0</v>
      </c>
      <c r="S141" s="222">
        <f>0-SUM(Q141:R141)</f>
        <v>0</v>
      </c>
      <c r="T141" s="222">
        <f>0-SUM(Q141:S141)</f>
        <v>0</v>
      </c>
      <c r="U141" s="194">
        <f>SUM(Q141:T141)</f>
        <v>0</v>
      </c>
      <c r="V141" s="222">
        <v>0</v>
      </c>
      <c r="W141" s="222">
        <f>0-V141</f>
        <v>0</v>
      </c>
      <c r="X141" s="222">
        <f>0-SUM(V141:W141)</f>
        <v>0</v>
      </c>
      <c r="Y141" s="222">
        <v>300</v>
      </c>
      <c r="Z141" s="194">
        <f>SUM(V141:Y141)</f>
        <v>300</v>
      </c>
      <c r="AA141" s="222">
        <v>0</v>
      </c>
      <c r="AB141" s="222">
        <f>0-AA141</f>
        <v>0</v>
      </c>
      <c r="AC141" s="222">
        <f>0-SUM(AA141:AB141)</f>
        <v>0</v>
      </c>
      <c r="AD141" s="222">
        <f>0-SUM(AA141:AC141)</f>
        <v>0</v>
      </c>
      <c r="AE141" s="194">
        <f>SUM(AA141:AD141)</f>
        <v>0</v>
      </c>
      <c r="AF141" s="222">
        <v>0</v>
      </c>
      <c r="AG141" s="222">
        <f>0-AF141</f>
        <v>0</v>
      </c>
      <c r="AH141" s="222">
        <f>0-SUM(AF141:AG141)</f>
        <v>0</v>
      </c>
      <c r="AI141" s="222">
        <f>0-SUM(AF141:AH141)</f>
        <v>0</v>
      </c>
      <c r="AJ141" s="194">
        <f>SUM(AF141:AI141)</f>
        <v>0</v>
      </c>
      <c r="AK141" s="222">
        <v>0</v>
      </c>
      <c r="AL141" s="222">
        <f>0-AK141</f>
        <v>0</v>
      </c>
      <c r="AM141" s="222">
        <f>0-SUM(AK141:AL141)</f>
        <v>0</v>
      </c>
      <c r="AN141" s="222">
        <f>0-SUM(AK141:AM141)</f>
        <v>0</v>
      </c>
      <c r="AO141" s="194">
        <f>SUM(AK141:AN141)</f>
        <v>0</v>
      </c>
      <c r="AP141" s="222">
        <v>0</v>
      </c>
      <c r="AQ141" s="222">
        <f>0-AP141</f>
        <v>0</v>
      </c>
      <c r="AR141" s="222">
        <f>0-SUM(AP141:AQ141)</f>
        <v>0</v>
      </c>
      <c r="AS141" s="222">
        <v>0</v>
      </c>
      <c r="AT141" s="194">
        <f>SUM(AP141:AS141)</f>
        <v>0</v>
      </c>
      <c r="AU141" s="222">
        <v>0</v>
      </c>
      <c r="AV141" s="222">
        <v>0</v>
      </c>
      <c r="AW141" s="222">
        <v>0</v>
      </c>
      <c r="AX141" s="222">
        <f>0-AU141-AV141-AW141</f>
        <v>0</v>
      </c>
      <c r="AY141" s="194">
        <f>SUM(AU141:AX141)</f>
        <v>0</v>
      </c>
      <c r="AZ141" s="222">
        <v>0</v>
      </c>
      <c r="BA141" s="222">
        <f>0-AZ141</f>
        <v>0</v>
      </c>
      <c r="BB141" s="222">
        <f>0-AZ141-BA141</f>
        <v>0</v>
      </c>
      <c r="BC141" s="222">
        <f>0-AZ141-BA141-BB141</f>
        <v>0</v>
      </c>
      <c r="BD141" s="194">
        <f>SUM(AZ141:BC141)</f>
        <v>0</v>
      </c>
      <c r="BE141" s="222">
        <v>0</v>
      </c>
      <c r="BF141" s="222">
        <f>0-BE141</f>
        <v>0</v>
      </c>
      <c r="BG141" s="222">
        <f>0-BE141-BF141</f>
        <v>0</v>
      </c>
      <c r="BH141" s="222">
        <f>0-BE141-BF141-BG141</f>
        <v>0</v>
      </c>
      <c r="BI141" s="194">
        <f>SUM(BE141:BH141)</f>
        <v>0</v>
      </c>
      <c r="BJ141" s="222">
        <v>0</v>
      </c>
      <c r="BK141" s="222">
        <f>0-BJ141</f>
        <v>0</v>
      </c>
      <c r="BL141" s="222">
        <v>0</v>
      </c>
      <c r="BM141" s="222">
        <f>-22.535-SUM(BJ141:BL141)</f>
        <v>-22.535</v>
      </c>
      <c r="BN141" s="194">
        <f>SUM(BJ141:BM141)</f>
        <v>-22.535</v>
      </c>
      <c r="BO141" s="192">
        <v>0</v>
      </c>
      <c r="BP141" s="192">
        <v>0</v>
      </c>
      <c r="BQ141" s="192">
        <v>0</v>
      </c>
      <c r="BR141" s="192">
        <v>0</v>
      </c>
      <c r="BS141" s="194">
        <f>SUM(BO141:BR141)</f>
        <v>0</v>
      </c>
      <c r="BT141" s="192">
        <v>0</v>
      </c>
      <c r="BU141" s="192">
        <f>0-BT141</f>
        <v>0</v>
      </c>
      <c r="BV141" s="192">
        <f>0-SUM(BT141:BU141)</f>
        <v>0</v>
      </c>
      <c r="BW141" s="192">
        <v>0</v>
      </c>
      <c r="BX141" s="194">
        <f t="shared" si="423"/>
        <v>0</v>
      </c>
      <c r="BY141" s="192">
        <v>0</v>
      </c>
      <c r="BZ141" s="192">
        <v>0</v>
      </c>
      <c r="CA141" s="192">
        <v>0</v>
      </c>
      <c r="CB141" s="192">
        <v>0</v>
      </c>
      <c r="CC141" s="221">
        <f t="shared" si="413"/>
        <v>0</v>
      </c>
      <c r="CD141" s="192">
        <v>0</v>
      </c>
      <c r="CE141" s="192">
        <v>0</v>
      </c>
      <c r="CF141" s="192">
        <v>0</v>
      </c>
      <c r="CG141" s="192">
        <v>0</v>
      </c>
      <c r="CH141" s="194">
        <f>SUM(CD141:CG141)</f>
        <v>0</v>
      </c>
      <c r="CI141" s="192">
        <v>0</v>
      </c>
      <c r="CJ141" s="192">
        <v>0</v>
      </c>
      <c r="CK141" s="192">
        <v>0</v>
      </c>
      <c r="CL141" s="192">
        <v>0</v>
      </c>
      <c r="CM141" s="194">
        <f>SUM(CI141:CL141)</f>
        <v>0</v>
      </c>
      <c r="CN141" s="192">
        <v>0</v>
      </c>
      <c r="CO141" s="192">
        <v>0</v>
      </c>
      <c r="CP141" s="192">
        <v>0</v>
      </c>
      <c r="CQ141" s="192">
        <v>0</v>
      </c>
      <c r="CR141" s="194">
        <f>SUM(CN141:CQ141)</f>
        <v>0</v>
      </c>
      <c r="CS141" s="192">
        <v>0</v>
      </c>
      <c r="CT141" s="192">
        <v>0</v>
      </c>
      <c r="CU141" s="192">
        <v>0</v>
      </c>
      <c r="CV141" s="192">
        <v>0</v>
      </c>
      <c r="CW141" s="194">
        <f>SUM(CS141:CV141)</f>
        <v>0</v>
      </c>
      <c r="CX141" s="192">
        <v>0</v>
      </c>
      <c r="CY141" s="192">
        <v>0</v>
      </c>
      <c r="CZ141" s="192">
        <v>0</v>
      </c>
      <c r="DA141" s="192">
        <v>0</v>
      </c>
      <c r="DB141" s="194">
        <f>SUM(CX141:DA141)</f>
        <v>0</v>
      </c>
      <c r="DC141" s="16"/>
      <c r="DJ141" s="545"/>
    </row>
    <row r="142" spans="1:114">
      <c r="A142" s="11"/>
      <c r="B142" s="812" t="s">
        <v>487</v>
      </c>
      <c r="C142" s="355"/>
      <c r="D142" s="832"/>
      <c r="E142" s="823"/>
      <c r="F142" s="823">
        <v>0</v>
      </c>
      <c r="G142" s="355">
        <v>0</v>
      </c>
      <c r="H142" s="355">
        <f>0-G142</f>
        <v>0</v>
      </c>
      <c r="I142" s="355">
        <f>0-SUM(G142:H142)</f>
        <v>0</v>
      </c>
      <c r="J142" s="355">
        <f>287.5-SUM(G142:I142)</f>
        <v>287.5</v>
      </c>
      <c r="K142" s="839">
        <f t="shared" si="400"/>
        <v>287.5</v>
      </c>
      <c r="L142" s="355">
        <v>0</v>
      </c>
      <c r="M142" s="355">
        <f>0-L142</f>
        <v>0</v>
      </c>
      <c r="N142" s="355">
        <f>0-SUM(L142:M142)</f>
        <v>0</v>
      </c>
      <c r="O142" s="355">
        <f>0-SUM(L142:N142)</f>
        <v>0</v>
      </c>
      <c r="P142" s="839">
        <f t="shared" si="401"/>
        <v>0</v>
      </c>
      <c r="Q142" s="355">
        <v>0</v>
      </c>
      <c r="R142" s="355">
        <f>0-Q142</f>
        <v>0</v>
      </c>
      <c r="S142" s="355">
        <f>0-SUM(Q142:R142)</f>
        <v>0</v>
      </c>
      <c r="T142" s="355">
        <f>0-SUM(Q142:S142)</f>
        <v>0</v>
      </c>
      <c r="U142" s="839">
        <f t="shared" si="402"/>
        <v>0</v>
      </c>
      <c r="V142" s="355">
        <v>0</v>
      </c>
      <c r="W142" s="355">
        <f>0-V142</f>
        <v>0</v>
      </c>
      <c r="X142" s="355">
        <f>0-SUM(V142:W142)</f>
        <v>0</v>
      </c>
      <c r="Y142" s="355">
        <v>300</v>
      </c>
      <c r="Z142" s="839">
        <f t="shared" si="403"/>
        <v>300</v>
      </c>
      <c r="AA142" s="355">
        <v>0</v>
      </c>
      <c r="AB142" s="355">
        <f>0-AA142</f>
        <v>0</v>
      </c>
      <c r="AC142" s="355">
        <f>0-SUM(AA142:AB142)</f>
        <v>0</v>
      </c>
      <c r="AD142" s="355">
        <f>0-SUM(AA142:AC142)</f>
        <v>0</v>
      </c>
      <c r="AE142" s="839">
        <f t="shared" si="404"/>
        <v>0</v>
      </c>
      <c r="AF142" s="355">
        <v>0</v>
      </c>
      <c r="AG142" s="355">
        <f>0-AF142</f>
        <v>0</v>
      </c>
      <c r="AH142" s="355">
        <f>0-SUM(AF142:AG142)</f>
        <v>0</v>
      </c>
      <c r="AI142" s="355">
        <f>0-SUM(AF142:AH142)</f>
        <v>0</v>
      </c>
      <c r="AJ142" s="839">
        <f t="shared" si="405"/>
        <v>0</v>
      </c>
      <c r="AK142" s="355">
        <v>0</v>
      </c>
      <c r="AL142" s="355">
        <f>0-AK142</f>
        <v>0</v>
      </c>
      <c r="AM142" s="355">
        <f>0-SUM(AK142:AL142)</f>
        <v>0</v>
      </c>
      <c r="AN142" s="355">
        <f>0-SUM(AK142:AM142)</f>
        <v>0</v>
      </c>
      <c r="AO142" s="839">
        <f t="shared" si="406"/>
        <v>0</v>
      </c>
      <c r="AP142" s="355">
        <v>0</v>
      </c>
      <c r="AQ142" s="355">
        <f>0-AP142</f>
        <v>0</v>
      </c>
      <c r="AR142" s="355">
        <f>0-SUM(AP142:AQ142)</f>
        <v>0</v>
      </c>
      <c r="AS142" s="355">
        <v>0</v>
      </c>
      <c r="AT142" s="839">
        <f t="shared" si="407"/>
        <v>0</v>
      </c>
      <c r="AU142" s="355">
        <v>0</v>
      </c>
      <c r="AV142" s="355">
        <v>0</v>
      </c>
      <c r="AW142" s="355">
        <v>0</v>
      </c>
      <c r="AX142" s="355">
        <f>0-AU142-AV142-AW142</f>
        <v>0</v>
      </c>
      <c r="AY142" s="839">
        <f t="shared" si="408"/>
        <v>0</v>
      </c>
      <c r="AZ142" s="355">
        <v>0</v>
      </c>
      <c r="BA142" s="355">
        <f>0-AZ142</f>
        <v>0</v>
      </c>
      <c r="BB142" s="355">
        <f>0-AZ142-BA142</f>
        <v>0</v>
      </c>
      <c r="BC142" s="355">
        <f>0-AZ142-BA142-BB142</f>
        <v>0</v>
      </c>
      <c r="BD142" s="839">
        <f t="shared" si="409"/>
        <v>0</v>
      </c>
      <c r="BE142" s="355">
        <v>0</v>
      </c>
      <c r="BF142" s="355">
        <f>0-BE142</f>
        <v>0</v>
      </c>
      <c r="BG142" s="355">
        <f>0-BE142-BF142</f>
        <v>0</v>
      </c>
      <c r="BH142" s="355">
        <f>0-BE142-BF142-BG142</f>
        <v>0</v>
      </c>
      <c r="BI142" s="839">
        <f t="shared" si="420"/>
        <v>0</v>
      </c>
      <c r="BJ142" s="355">
        <v>0</v>
      </c>
      <c r="BK142" s="355">
        <f>0-BJ142</f>
        <v>0</v>
      </c>
      <c r="BL142" s="355">
        <v>0</v>
      </c>
      <c r="BM142" s="355">
        <f>0-SUM(BJ142:BL142)</f>
        <v>0</v>
      </c>
      <c r="BN142" s="839">
        <f t="shared" si="421"/>
        <v>0</v>
      </c>
      <c r="BO142" s="356">
        <v>0</v>
      </c>
      <c r="BP142" s="356">
        <v>0</v>
      </c>
      <c r="BQ142" s="356">
        <v>0</v>
      </c>
      <c r="BR142" s="356">
        <v>0</v>
      </c>
      <c r="BS142" s="839">
        <f t="shared" si="411"/>
        <v>0</v>
      </c>
      <c r="BT142" s="356">
        <v>0</v>
      </c>
      <c r="BU142" s="356">
        <f>0-BT142</f>
        <v>0</v>
      </c>
      <c r="BV142" s="356">
        <f>0-SUM(BT142:BU142)</f>
        <v>0</v>
      </c>
      <c r="BW142" s="356">
        <v>0</v>
      </c>
      <c r="BX142" s="839">
        <f t="shared" si="423"/>
        <v>0</v>
      </c>
      <c r="BY142" s="356">
        <v>0</v>
      </c>
      <c r="BZ142" s="356">
        <v>0</v>
      </c>
      <c r="CA142" s="356">
        <v>0</v>
      </c>
      <c r="CB142" s="356">
        <v>0</v>
      </c>
      <c r="CC142" s="839">
        <f>SUM(BY142:CB142)</f>
        <v>0</v>
      </c>
      <c r="CD142" s="356">
        <v>0</v>
      </c>
      <c r="CE142" s="356">
        <v>0</v>
      </c>
      <c r="CF142" s="356">
        <v>0</v>
      </c>
      <c r="CG142" s="356">
        <v>0</v>
      </c>
      <c r="CH142" s="839">
        <f>SUM(CD142:CG142)</f>
        <v>0</v>
      </c>
      <c r="CI142" s="356">
        <v>0</v>
      </c>
      <c r="CJ142" s="356">
        <v>0</v>
      </c>
      <c r="CK142" s="356">
        <v>0</v>
      </c>
      <c r="CL142" s="356">
        <v>0</v>
      </c>
      <c r="CM142" s="839">
        <f>SUM(CI142:CL142)</f>
        <v>0</v>
      </c>
      <c r="CN142" s="356">
        <v>0</v>
      </c>
      <c r="CO142" s="356">
        <v>0</v>
      </c>
      <c r="CP142" s="356">
        <v>0</v>
      </c>
      <c r="CQ142" s="356">
        <v>0</v>
      </c>
      <c r="CR142" s="839">
        <f>SUM(CN142:CQ142)</f>
        <v>0</v>
      </c>
      <c r="CS142" s="356">
        <v>0</v>
      </c>
      <c r="CT142" s="356">
        <v>0</v>
      </c>
      <c r="CU142" s="356">
        <v>0</v>
      </c>
      <c r="CV142" s="356">
        <v>0</v>
      </c>
      <c r="CW142" s="839">
        <f>SUM(CS142:CV142)</f>
        <v>0</v>
      </c>
      <c r="CX142" s="356">
        <v>0</v>
      </c>
      <c r="CY142" s="356">
        <v>0</v>
      </c>
      <c r="CZ142" s="356">
        <v>0</v>
      </c>
      <c r="DA142" s="356">
        <v>0</v>
      </c>
      <c r="DB142" s="839">
        <f>SUM(CX142:DA142)</f>
        <v>0</v>
      </c>
      <c r="DC142" s="5"/>
    </row>
    <row r="143" spans="1:114">
      <c r="A143" s="1"/>
      <c r="B143" s="25" t="s">
        <v>496</v>
      </c>
      <c r="C143" s="814"/>
      <c r="D143" s="815"/>
      <c r="E143" s="816">
        <v>164.85</v>
      </c>
      <c r="F143" s="224">
        <f t="shared" ref="F143:Z143" si="424">SUM(F128:F142)</f>
        <v>230.91399999999999</v>
      </c>
      <c r="G143" s="709">
        <f>SUM(G128:G142)</f>
        <v>2.6499999999999986</v>
      </c>
      <c r="H143" s="709">
        <f t="shared" si="424"/>
        <v>28.286000000000001</v>
      </c>
      <c r="I143" s="709">
        <f t="shared" si="424"/>
        <v>3.875</v>
      </c>
      <c r="J143" s="709">
        <f t="shared" si="424"/>
        <v>358.05900000000008</v>
      </c>
      <c r="K143" s="224">
        <f t="shared" si="424"/>
        <v>392.87</v>
      </c>
      <c r="L143" s="709">
        <f t="shared" si="424"/>
        <v>48.125</v>
      </c>
      <c r="M143" s="709">
        <f t="shared" si="424"/>
        <v>-36.582000000000001</v>
      </c>
      <c r="N143" s="709">
        <f t="shared" si="424"/>
        <v>132.98900000000003</v>
      </c>
      <c r="O143" s="709">
        <f t="shared" si="424"/>
        <v>-14.433000000000071</v>
      </c>
      <c r="P143" s="224">
        <f t="shared" si="424"/>
        <v>130.09899999999993</v>
      </c>
      <c r="Q143" s="709">
        <f t="shared" si="424"/>
        <v>65.13600000000001</v>
      </c>
      <c r="R143" s="709">
        <f t="shared" si="424"/>
        <v>-87.048000000000002</v>
      </c>
      <c r="S143" s="709">
        <f t="shared" si="424"/>
        <v>194.67</v>
      </c>
      <c r="T143" s="709">
        <f t="shared" si="424"/>
        <v>87.795000000000002</v>
      </c>
      <c r="U143" s="224">
        <f t="shared" si="424"/>
        <v>260.553</v>
      </c>
      <c r="V143" s="709">
        <f t="shared" si="424"/>
        <v>-11.509999999999998</v>
      </c>
      <c r="W143" s="709">
        <f t="shared" si="424"/>
        <v>-89.891999999999996</v>
      </c>
      <c r="X143" s="709">
        <f t="shared" si="424"/>
        <v>113.52800000000002</v>
      </c>
      <c r="Y143" s="709">
        <f t="shared" si="424"/>
        <v>346.76999999999992</v>
      </c>
      <c r="Z143" s="224">
        <f t="shared" si="424"/>
        <v>358.89599999999996</v>
      </c>
      <c r="AA143" s="709">
        <f t="shared" ref="AA143:AY143" si="425">SUM(AA128:AA142)</f>
        <v>-1.495000000000001</v>
      </c>
      <c r="AB143" s="709">
        <f t="shared" si="425"/>
        <v>5.5759999999999987</v>
      </c>
      <c r="AC143" s="709">
        <f t="shared" si="425"/>
        <v>-68.596000000000004</v>
      </c>
      <c r="AD143" s="709">
        <f t="shared" si="425"/>
        <v>2.3479999999999963</v>
      </c>
      <c r="AE143" s="224">
        <f t="shared" si="425"/>
        <v>-62.167000000000002</v>
      </c>
      <c r="AF143" s="709">
        <f t="shared" si="425"/>
        <v>-3.9279999999999999</v>
      </c>
      <c r="AG143" s="709">
        <f t="shared" si="425"/>
        <v>12.697999999999993</v>
      </c>
      <c r="AH143" s="709">
        <f t="shared" si="425"/>
        <v>132.89799999999997</v>
      </c>
      <c r="AI143" s="709">
        <f t="shared" si="425"/>
        <v>84.791999999999916</v>
      </c>
      <c r="AJ143" s="224">
        <f t="shared" si="425"/>
        <v>226.45999999999992</v>
      </c>
      <c r="AK143" s="709">
        <f t="shared" si="425"/>
        <v>-2.29</v>
      </c>
      <c r="AL143" s="709">
        <f t="shared" si="425"/>
        <v>76.363</v>
      </c>
      <c r="AM143" s="709">
        <f t="shared" si="425"/>
        <v>6912.67</v>
      </c>
      <c r="AN143" s="709">
        <f t="shared" si="425"/>
        <v>-83.314999999999742</v>
      </c>
      <c r="AO143" s="224">
        <f t="shared" si="425"/>
        <v>6903.4279999999999</v>
      </c>
      <c r="AP143" s="709">
        <f t="shared" si="425"/>
        <v>-161.471</v>
      </c>
      <c r="AQ143" s="709">
        <f t="shared" si="425"/>
        <v>-76.284999999999997</v>
      </c>
      <c r="AR143" s="709">
        <f t="shared" si="425"/>
        <v>-7.0380000000000145</v>
      </c>
      <c r="AS143" s="709">
        <f t="shared" si="425"/>
        <v>-59.235000000000014</v>
      </c>
      <c r="AT143" s="224">
        <f t="shared" si="425"/>
        <v>-304.029</v>
      </c>
      <c r="AU143" s="709">
        <f t="shared" si="425"/>
        <v>151.233</v>
      </c>
      <c r="AV143" s="709">
        <f t="shared" si="425"/>
        <v>-185.04899999999998</v>
      </c>
      <c r="AW143" s="709">
        <f t="shared" si="425"/>
        <v>-25.26400000000001</v>
      </c>
      <c r="AX143" s="709">
        <f t="shared" si="425"/>
        <v>-26.281000000000013</v>
      </c>
      <c r="AY143" s="224">
        <f t="shared" si="425"/>
        <v>-85.361000000000018</v>
      </c>
      <c r="AZ143" s="709">
        <f t="shared" ref="AZ143:BS143" si="426">SUM(AZ128:AZ142)</f>
        <v>-0.45699999999999719</v>
      </c>
      <c r="BA143" s="709">
        <f t="shared" si="426"/>
        <v>-8.8339999999999961</v>
      </c>
      <c r="BB143" s="709">
        <f t="shared" si="426"/>
        <v>-120.827</v>
      </c>
      <c r="BC143" s="709">
        <f t="shared" si="426"/>
        <v>-59.673999999999999</v>
      </c>
      <c r="BD143" s="224">
        <f t="shared" si="426"/>
        <v>-189.792</v>
      </c>
      <c r="BE143" s="709">
        <f t="shared" si="426"/>
        <v>-6.5600000000000005</v>
      </c>
      <c r="BF143" s="709">
        <f t="shared" si="426"/>
        <v>-81.50200000000001</v>
      </c>
      <c r="BG143" s="709">
        <f t="shared" si="426"/>
        <v>-73.582999999999998</v>
      </c>
      <c r="BH143" s="709">
        <f t="shared" si="426"/>
        <v>-73.791999999999916</v>
      </c>
      <c r="BI143" s="224">
        <f t="shared" si="426"/>
        <v>-235.4369999999999</v>
      </c>
      <c r="BJ143" s="709">
        <f t="shared" si="426"/>
        <v>312.42200000000048</v>
      </c>
      <c r="BK143" s="709">
        <f t="shared" si="426"/>
        <v>-19.537999999999784</v>
      </c>
      <c r="BL143" s="709">
        <f t="shared" si="426"/>
        <v>127.78800000000047</v>
      </c>
      <c r="BM143" s="709">
        <f t="shared" si="426"/>
        <v>-59.642000000000422</v>
      </c>
      <c r="BN143" s="817">
        <f t="shared" si="426"/>
        <v>361.03000000000048</v>
      </c>
      <c r="BO143" s="709">
        <f t="shared" si="426"/>
        <v>26.45900000000006</v>
      </c>
      <c r="BP143" s="709">
        <f t="shared" si="426"/>
        <v>-34.401000000000096</v>
      </c>
      <c r="BQ143" s="709">
        <f t="shared" si="426"/>
        <v>7.4000000000000909</v>
      </c>
      <c r="BR143" s="709">
        <f t="shared" si="426"/>
        <v>-111.3189999999999</v>
      </c>
      <c r="BS143" s="224">
        <f t="shared" si="426"/>
        <v>-111.86099999999988</v>
      </c>
      <c r="BT143" s="709">
        <f t="shared" ref="BT143:CC143" si="427">SUM(BT128:BT142)</f>
        <v>3231</v>
      </c>
      <c r="BU143" s="709">
        <f t="shared" si="427"/>
        <v>-77</v>
      </c>
      <c r="BV143" s="709">
        <f t="shared" si="427"/>
        <v>-2</v>
      </c>
      <c r="BW143" s="709">
        <f t="shared" si="427"/>
        <v>-280</v>
      </c>
      <c r="BX143" s="224">
        <f t="shared" si="427"/>
        <v>2872</v>
      </c>
      <c r="BY143" s="709">
        <f t="shared" si="427"/>
        <v>5</v>
      </c>
      <c r="BZ143" s="709">
        <f t="shared" si="427"/>
        <v>-141</v>
      </c>
      <c r="CA143" s="709">
        <f t="shared" si="427"/>
        <v>-25</v>
      </c>
      <c r="CB143" s="709">
        <f t="shared" si="427"/>
        <v>-34</v>
      </c>
      <c r="CC143" s="224">
        <f t="shared" si="427"/>
        <v>-195</v>
      </c>
      <c r="CD143" s="709">
        <f t="shared" ref="CD143:CM143" si="428">SUM(CD128:CD142)</f>
        <v>74</v>
      </c>
      <c r="CE143" s="709">
        <f t="shared" si="428"/>
        <v>-1606</v>
      </c>
      <c r="CF143" s="709">
        <f t="shared" si="428"/>
        <v>-80</v>
      </c>
      <c r="CG143" s="709">
        <f t="shared" si="428"/>
        <v>-101</v>
      </c>
      <c r="CH143" s="224">
        <f t="shared" si="428"/>
        <v>-1713</v>
      </c>
      <c r="CI143" s="709">
        <f t="shared" si="428"/>
        <v>-62</v>
      </c>
      <c r="CJ143" s="709">
        <f t="shared" ref="CJ143:CK143" si="429">SUM(CJ128:CJ142)</f>
        <v>-507</v>
      </c>
      <c r="CK143" s="709">
        <f t="shared" si="429"/>
        <v>-887</v>
      </c>
      <c r="CL143" s="709">
        <f t="shared" si="428"/>
        <v>-61</v>
      </c>
      <c r="CM143" s="224">
        <f t="shared" si="428"/>
        <v>-1517</v>
      </c>
      <c r="CN143" s="709">
        <f t="shared" ref="CN143:DA143" ca="1" si="430">SUM(CN128:CN142)</f>
        <v>-325</v>
      </c>
      <c r="CO143" s="709">
        <f t="shared" ca="1" si="430"/>
        <v>-326</v>
      </c>
      <c r="CP143" s="709">
        <f t="shared" ca="1" si="430"/>
        <v>-372.13</v>
      </c>
      <c r="CQ143" s="709">
        <f t="shared" ca="1" si="430"/>
        <v>-376.87</v>
      </c>
      <c r="CR143" s="224">
        <f t="shared" ca="1" si="430"/>
        <v>-1400</v>
      </c>
      <c r="CS143" s="709">
        <f t="shared" ref="CS143:CV143" ca="1" si="431">SUM(CS128:CS142)</f>
        <v>-448.60000000040003</v>
      </c>
      <c r="CT143" s="709">
        <f t="shared" ca="1" si="431"/>
        <v>-279.16000000023996</v>
      </c>
      <c r="CU143" s="709">
        <f t="shared" ca="1" si="431"/>
        <v>-177.49600000014399</v>
      </c>
      <c r="CV143" s="709">
        <f t="shared" ca="1" si="431"/>
        <v>-91.497600000086379</v>
      </c>
      <c r="CW143" s="224">
        <f t="shared" ca="1" si="430"/>
        <v>-996.75360000087039</v>
      </c>
      <c r="CX143" s="709">
        <f t="shared" ca="1" si="430"/>
        <v>-79.89856000005183</v>
      </c>
      <c r="CY143" s="709">
        <f t="shared" ca="1" si="430"/>
        <v>-57.939136000031098</v>
      </c>
      <c r="CZ143" s="709">
        <f t="shared" ca="1" si="430"/>
        <v>-44.763481600018658</v>
      </c>
      <c r="DA143" s="709">
        <f t="shared" ca="1" si="430"/>
        <v>-25</v>
      </c>
      <c r="DB143" s="224">
        <f t="shared" ref="DB143" ca="1" si="432">SUM(DB128:DB142)</f>
        <v>-207.60117760010158</v>
      </c>
      <c r="DC143" s="9"/>
    </row>
    <row r="144" spans="1:114">
      <c r="A144" s="1"/>
      <c r="B144" s="9"/>
      <c r="C144" s="193"/>
      <c r="D144" s="842"/>
      <c r="E144" s="194"/>
      <c r="F144" s="194"/>
      <c r="G144" s="710"/>
      <c r="H144" s="710"/>
      <c r="I144" s="710"/>
      <c r="J144" s="710"/>
      <c r="K144" s="194"/>
      <c r="L144" s="710"/>
      <c r="M144" s="710"/>
      <c r="N144" s="710"/>
      <c r="O144" s="710"/>
      <c r="P144" s="194"/>
      <c r="Q144" s="710"/>
      <c r="R144" s="710"/>
      <c r="S144" s="710"/>
      <c r="T144" s="710"/>
      <c r="U144" s="194"/>
      <c r="V144" s="710"/>
      <c r="W144" s="710"/>
      <c r="X144" s="710"/>
      <c r="Y144" s="710"/>
      <c r="Z144" s="194"/>
      <c r="AA144" s="710"/>
      <c r="AB144" s="710"/>
      <c r="AC144" s="710"/>
      <c r="AD144" s="710"/>
      <c r="AE144" s="194"/>
      <c r="AF144" s="710"/>
      <c r="AG144" s="710"/>
      <c r="AH144" s="710"/>
      <c r="AI144" s="710"/>
      <c r="AJ144" s="194"/>
      <c r="AK144" s="710"/>
      <c r="AL144" s="710"/>
      <c r="AM144" s="710"/>
      <c r="AN144" s="710"/>
      <c r="AO144" s="194"/>
      <c r="AP144" s="710"/>
      <c r="AQ144" s="710"/>
      <c r="AR144" s="710"/>
      <c r="AS144" s="710"/>
      <c r="AT144" s="194"/>
      <c r="AU144" s="710"/>
      <c r="AV144" s="710"/>
      <c r="AW144" s="710"/>
      <c r="AX144" s="710"/>
      <c r="AY144" s="194"/>
      <c r="AZ144" s="710"/>
      <c r="BA144" s="710"/>
      <c r="BB144" s="710"/>
      <c r="BC144" s="710"/>
      <c r="BD144" s="194"/>
      <c r="BE144" s="710"/>
      <c r="BF144" s="710"/>
      <c r="BG144" s="710"/>
      <c r="BH144" s="710"/>
      <c r="BI144" s="194"/>
      <c r="BJ144" s="710"/>
      <c r="BK144" s="710"/>
      <c r="BL144" s="710"/>
      <c r="BM144" s="710"/>
      <c r="BN144" s="194"/>
      <c r="BO144" s="829"/>
      <c r="BP144" s="710"/>
      <c r="BQ144" s="710"/>
      <c r="BR144" s="710"/>
      <c r="BS144" s="194"/>
      <c r="BT144" s="829"/>
      <c r="BU144" s="829"/>
      <c r="BV144" s="710"/>
      <c r="BW144" s="710"/>
      <c r="BX144" s="194"/>
      <c r="BY144" s="829"/>
      <c r="BZ144" s="829"/>
      <c r="CA144" s="829"/>
      <c r="CB144" s="829"/>
      <c r="CC144" s="194"/>
      <c r="CD144" s="829"/>
      <c r="CE144" s="829"/>
      <c r="CF144" s="829"/>
      <c r="CG144" s="829"/>
      <c r="CH144" s="194"/>
      <c r="CI144" s="829"/>
      <c r="CJ144" s="710"/>
      <c r="CK144" s="710"/>
      <c r="CL144" s="710"/>
      <c r="CM144" s="194"/>
      <c r="CN144" s="710"/>
      <c r="CO144" s="710"/>
      <c r="CP144" s="710"/>
      <c r="CQ144" s="710"/>
      <c r="CR144" s="194"/>
      <c r="CS144" s="710"/>
      <c r="CT144" s="710"/>
      <c r="CU144" s="710"/>
      <c r="CV144" s="710"/>
      <c r="CW144" s="194"/>
      <c r="CX144" s="710"/>
      <c r="CY144" s="710"/>
      <c r="CZ144" s="710"/>
      <c r="DA144" s="710"/>
      <c r="DB144" s="194"/>
      <c r="DC144" s="9"/>
    </row>
    <row r="145" spans="1:120">
      <c r="A145" s="1"/>
      <c r="B145" s="901" t="s">
        <v>497</v>
      </c>
      <c r="C145" s="223"/>
      <c r="D145" s="902"/>
      <c r="E145" s="224">
        <f t="shared" ref="E145:J145" si="433">D147</f>
        <v>6.7190000000000003</v>
      </c>
      <c r="F145" s="224">
        <f t="shared" si="433"/>
        <v>4.2819999999999974</v>
      </c>
      <c r="G145" s="709">
        <f t="shared" si="433"/>
        <v>13.739999999999981</v>
      </c>
      <c r="H145" s="709">
        <f t="shared" si="433"/>
        <v>23.21599999999998</v>
      </c>
      <c r="I145" s="709">
        <f t="shared" si="433"/>
        <v>35.739999999999974</v>
      </c>
      <c r="J145" s="709">
        <f t="shared" si="433"/>
        <v>17.698999999999973</v>
      </c>
      <c r="K145" s="224">
        <f>F147</f>
        <v>13.739999999999981</v>
      </c>
      <c r="L145" s="709">
        <f>K147</f>
        <v>295.88599999999997</v>
      </c>
      <c r="M145" s="709">
        <f>L147</f>
        <v>311.19799999999998</v>
      </c>
      <c r="N145" s="709">
        <f>M147</f>
        <v>307.524</v>
      </c>
      <c r="O145" s="709">
        <f>N147</f>
        <v>405.03000000000003</v>
      </c>
      <c r="P145" s="224">
        <f>K147</f>
        <v>295.88599999999997</v>
      </c>
      <c r="Q145" s="709">
        <f>P147</f>
        <v>420.34399999999994</v>
      </c>
      <c r="R145" s="709">
        <f>Q147</f>
        <v>307.06299999999993</v>
      </c>
      <c r="S145" s="709">
        <f>R147</f>
        <v>312.80599999999993</v>
      </c>
      <c r="T145" s="709">
        <f>S147</f>
        <v>350.14199999999994</v>
      </c>
      <c r="U145" s="224">
        <f>P147</f>
        <v>420.34399999999994</v>
      </c>
      <c r="V145" s="709">
        <f>U147</f>
        <v>303.83099999999985</v>
      </c>
      <c r="W145" s="709">
        <f>V147</f>
        <v>303.59999999999985</v>
      </c>
      <c r="X145" s="709">
        <f>W147</f>
        <v>306.1049999999999</v>
      </c>
      <c r="Y145" s="709">
        <f>X147</f>
        <v>307.45199999999988</v>
      </c>
      <c r="Z145" s="224">
        <f>U147</f>
        <v>303.83099999999985</v>
      </c>
      <c r="AA145" s="709">
        <f>Z147</f>
        <v>669.99799999999982</v>
      </c>
      <c r="AB145" s="709">
        <f>AA147</f>
        <v>805.94699999999989</v>
      </c>
      <c r="AC145" s="709">
        <f>AB147</f>
        <v>859.86399999999992</v>
      </c>
      <c r="AD145" s="709">
        <f>AC147</f>
        <v>771.78</v>
      </c>
      <c r="AE145" s="224">
        <f>Z147</f>
        <v>669.99799999999982</v>
      </c>
      <c r="AF145" s="709">
        <f>AE147</f>
        <v>691.60799999999972</v>
      </c>
      <c r="AG145" s="709">
        <f>AF147</f>
        <v>699.45099999999968</v>
      </c>
      <c r="AH145" s="709">
        <f>AG147</f>
        <v>611.6569999999997</v>
      </c>
      <c r="AI145" s="709">
        <f>AH147</f>
        <v>600.94399999999962</v>
      </c>
      <c r="AJ145" s="224">
        <f>AE147</f>
        <v>691.60799999999972</v>
      </c>
      <c r="AK145" s="709">
        <f>AJ147</f>
        <v>628.06599999999969</v>
      </c>
      <c r="AL145" s="709">
        <f>AK147</f>
        <v>650.3779999999997</v>
      </c>
      <c r="AM145" s="709">
        <f>AL147</f>
        <v>608.85699999999974</v>
      </c>
      <c r="AN145" s="709">
        <f>AM147</f>
        <v>706.35500000000002</v>
      </c>
      <c r="AO145" s="224">
        <f>AJ147</f>
        <v>628.06599999999969</v>
      </c>
      <c r="AP145" s="709">
        <f>AO147</f>
        <v>720.37399999999934</v>
      </c>
      <c r="AQ145" s="709">
        <f>AP147</f>
        <v>751.85299999999938</v>
      </c>
      <c r="AR145" s="709">
        <f>AQ147</f>
        <v>851.57199999999921</v>
      </c>
      <c r="AS145" s="709">
        <f>AR147</f>
        <v>929.38399999999933</v>
      </c>
      <c r="AT145" s="224">
        <f>AO147</f>
        <v>720.37399999999934</v>
      </c>
      <c r="AU145" s="709">
        <f>AT147</f>
        <v>808.15499999999952</v>
      </c>
      <c r="AV145" s="709">
        <f>AU147</f>
        <v>1119.6319999999996</v>
      </c>
      <c r="AW145" s="709">
        <f>AV147</f>
        <v>856.32499999999959</v>
      </c>
      <c r="AX145" s="709">
        <f>AW147</f>
        <v>1020.3149999999996</v>
      </c>
      <c r="AY145" s="224">
        <f>AT147</f>
        <v>808.15499999999952</v>
      </c>
      <c r="AZ145" s="709">
        <f>AY147</f>
        <v>932.04099999999937</v>
      </c>
      <c r="BA145" s="709">
        <f>AZ147</f>
        <v>1067.5659999999993</v>
      </c>
      <c r="BB145" s="709">
        <f>BA147</f>
        <v>1136.2539999999995</v>
      </c>
      <c r="BC145" s="709">
        <f>BB147</f>
        <v>1155.2489999999993</v>
      </c>
      <c r="BD145" s="224">
        <f>AY147</f>
        <v>932.04099999999937</v>
      </c>
      <c r="BE145" s="709">
        <f>BD147</f>
        <v>886.66899999999953</v>
      </c>
      <c r="BF145" s="709">
        <f>BE147</f>
        <v>858.21599999999955</v>
      </c>
      <c r="BG145" s="709">
        <f>BF147</f>
        <v>778.93199999999956</v>
      </c>
      <c r="BH145" s="709">
        <f>BG147</f>
        <v>853.81199999999944</v>
      </c>
      <c r="BI145" s="224">
        <f>BD147</f>
        <v>886.66899999999953</v>
      </c>
      <c r="BJ145" s="709">
        <f>BI147</f>
        <v>717.3649999999999</v>
      </c>
      <c r="BK145" s="709">
        <f>BJ147</f>
        <v>716.79800000000034</v>
      </c>
      <c r="BL145" s="709">
        <f>BK147</f>
        <v>702.60900000000049</v>
      </c>
      <c r="BM145" s="709">
        <f>BL8</f>
        <v>240.65</v>
      </c>
      <c r="BN145" s="224">
        <f>BI147</f>
        <v>717.3649999999999</v>
      </c>
      <c r="BO145" s="709">
        <f>BN8</f>
        <v>387.81299999999999</v>
      </c>
      <c r="BP145" s="709">
        <f>BO8</f>
        <v>285.048</v>
      </c>
      <c r="BQ145" s="709">
        <f>BP8</f>
        <v>251.227</v>
      </c>
      <c r="BR145" s="709">
        <f>BQ8</f>
        <v>143.60499999999999</v>
      </c>
      <c r="BS145" s="224">
        <f>BN8</f>
        <v>387.81299999999999</v>
      </c>
      <c r="BT145" s="709">
        <f>BS8</f>
        <v>373.40300000000002</v>
      </c>
      <c r="BU145" s="709">
        <f>BT8</f>
        <v>613</v>
      </c>
      <c r="BV145" s="709">
        <f>BU8</f>
        <v>389</v>
      </c>
      <c r="BW145" s="709">
        <f>BV8</f>
        <v>221</v>
      </c>
      <c r="BX145" s="224">
        <f>BS147</f>
        <v>373.40299999999991</v>
      </c>
      <c r="BY145" s="709">
        <f>BX8</f>
        <v>509</v>
      </c>
      <c r="BZ145" s="709">
        <f>BY8</f>
        <v>222</v>
      </c>
      <c r="CA145" s="709">
        <f>BZ8</f>
        <v>365</v>
      </c>
      <c r="CB145" s="709">
        <f>CA8</f>
        <v>186</v>
      </c>
      <c r="CC145" s="224">
        <f>BX147</f>
        <v>509</v>
      </c>
      <c r="CD145" s="709">
        <f>CC8</f>
        <v>184</v>
      </c>
      <c r="CE145" s="709">
        <f>CD8</f>
        <v>181</v>
      </c>
      <c r="CF145" s="709">
        <f>CE8</f>
        <v>461</v>
      </c>
      <c r="CG145" s="709">
        <f>CF8</f>
        <v>133</v>
      </c>
      <c r="CH145" s="224">
        <f>CC147</f>
        <v>184</v>
      </c>
      <c r="CI145" s="709">
        <f>CH8</f>
        <v>238</v>
      </c>
      <c r="CJ145" s="709">
        <f>CI8</f>
        <v>247</v>
      </c>
      <c r="CK145" s="709">
        <f>CJ8</f>
        <v>768</v>
      </c>
      <c r="CL145" s="709">
        <f>CK8</f>
        <v>590</v>
      </c>
      <c r="CM145" s="224">
        <f>CH147</f>
        <v>238</v>
      </c>
      <c r="CN145" s="709">
        <f>CM8</f>
        <v>563</v>
      </c>
      <c r="CO145" s="709">
        <f ca="1">CN8</f>
        <v>508.02631845250716</v>
      </c>
      <c r="CP145" s="709">
        <f ca="1">CO8</f>
        <v>712.28602136398672</v>
      </c>
      <c r="CQ145" s="709">
        <f ca="1">CP8</f>
        <v>740.97549917369292</v>
      </c>
      <c r="CR145" s="224">
        <f>CM147</f>
        <v>563</v>
      </c>
      <c r="CS145" s="709">
        <f ca="1">CR8</f>
        <v>574.67555942532442</v>
      </c>
      <c r="CT145" s="709">
        <f ca="1">CS8</f>
        <v>310.88494895668333</v>
      </c>
      <c r="CU145" s="709">
        <f ca="1">CT8</f>
        <v>474.61248303849931</v>
      </c>
      <c r="CV145" s="709">
        <f ca="1">CU8</f>
        <v>500.16083743763676</v>
      </c>
      <c r="CW145" s="224">
        <f ca="1">CR147</f>
        <v>574.67555942532442</v>
      </c>
      <c r="CX145" s="709">
        <f ca="1">CW8</f>
        <v>714.23774281568853</v>
      </c>
      <c r="CY145" s="709">
        <f ca="1">CX8</f>
        <v>283.07015564062908</v>
      </c>
      <c r="CZ145" s="709">
        <f ca="1">CY8</f>
        <v>336.79526973413726</v>
      </c>
      <c r="DA145" s="709">
        <f ca="1">CZ8</f>
        <v>453.3926388405722</v>
      </c>
      <c r="DB145" s="224">
        <f ca="1">CW147</f>
        <v>714.23774281568853</v>
      </c>
      <c r="DC145" s="9"/>
    </row>
    <row r="146" spans="1:120">
      <c r="A146" s="1"/>
      <c r="B146" s="903" t="s">
        <v>498</v>
      </c>
      <c r="C146" s="356"/>
      <c r="D146" s="813"/>
      <c r="E146" s="357">
        <f t="shared" ref="E146:Y146" si="434">E143+E126+E118</f>
        <v>-2.4370000000000029</v>
      </c>
      <c r="F146" s="357">
        <f t="shared" si="434"/>
        <v>9.4579999999999842</v>
      </c>
      <c r="G146" s="356">
        <f t="shared" si="434"/>
        <v>9.4759999999999991</v>
      </c>
      <c r="H146" s="356">
        <f t="shared" si="434"/>
        <v>12.523999999999994</v>
      </c>
      <c r="I146" s="356">
        <f t="shared" si="434"/>
        <v>-18.041</v>
      </c>
      <c r="J146" s="356">
        <f t="shared" si="434"/>
        <v>278.18700000000013</v>
      </c>
      <c r="K146" s="357">
        <f t="shared" si="434"/>
        <v>282.14599999999996</v>
      </c>
      <c r="L146" s="356">
        <f t="shared" si="434"/>
        <v>15.311999999999998</v>
      </c>
      <c r="M146" s="356">
        <f t="shared" si="434"/>
        <v>-3.6739999999999924</v>
      </c>
      <c r="N146" s="356">
        <f t="shared" si="434"/>
        <v>97.506000000000029</v>
      </c>
      <c r="O146" s="356">
        <f t="shared" si="434"/>
        <v>15.313999999999936</v>
      </c>
      <c r="P146" s="357">
        <f t="shared" si="434"/>
        <v>124.45799999999991</v>
      </c>
      <c r="Q146" s="356">
        <f t="shared" si="434"/>
        <v>-113.28100000000002</v>
      </c>
      <c r="R146" s="356">
        <f t="shared" si="434"/>
        <v>5.7430000000000234</v>
      </c>
      <c r="S146" s="356">
        <f t="shared" si="434"/>
        <v>37.335999999999999</v>
      </c>
      <c r="T146" s="356">
        <f t="shared" si="434"/>
        <v>-46.310999999999979</v>
      </c>
      <c r="U146" s="357">
        <f t="shared" si="434"/>
        <v>-116.51300000000009</v>
      </c>
      <c r="V146" s="356">
        <f t="shared" si="434"/>
        <v>-0.23100000000000165</v>
      </c>
      <c r="W146" s="356">
        <f t="shared" si="434"/>
        <v>2.5050000000000239</v>
      </c>
      <c r="X146" s="356">
        <f t="shared" si="434"/>
        <v>1.3470000000000013</v>
      </c>
      <c r="Y146" s="356">
        <f t="shared" si="434"/>
        <v>362.54599999999994</v>
      </c>
      <c r="Z146" s="357">
        <f>Z143+Z126+Z118</f>
        <v>366.16700000000003</v>
      </c>
      <c r="AA146" s="356">
        <f t="shared" ref="AA146:AY146" si="435">AA143+AA126+AA118</f>
        <v>135.94900000000001</v>
      </c>
      <c r="AB146" s="356">
        <f t="shared" si="435"/>
        <v>53.916999999999987</v>
      </c>
      <c r="AC146" s="356">
        <f t="shared" si="435"/>
        <v>-88.084000000000003</v>
      </c>
      <c r="AD146" s="356">
        <f t="shared" si="435"/>
        <v>-80.171999999999983</v>
      </c>
      <c r="AE146" s="357">
        <f>AE143+AE126+AE118</f>
        <v>21.609999999999957</v>
      </c>
      <c r="AF146" s="356">
        <f t="shared" si="435"/>
        <v>7.8429999999999893</v>
      </c>
      <c r="AG146" s="356">
        <f t="shared" si="435"/>
        <v>-87.794000000000011</v>
      </c>
      <c r="AH146" s="356">
        <f t="shared" si="435"/>
        <v>-10.713000000000058</v>
      </c>
      <c r="AI146" s="356">
        <f t="shared" si="435"/>
        <v>27.121999999999957</v>
      </c>
      <c r="AJ146" s="357">
        <f t="shared" si="435"/>
        <v>-63.54200000000003</v>
      </c>
      <c r="AK146" s="356">
        <f t="shared" si="435"/>
        <v>22.311999999999983</v>
      </c>
      <c r="AL146" s="356">
        <f t="shared" si="435"/>
        <v>-41.521000000000001</v>
      </c>
      <c r="AM146" s="356">
        <f t="shared" si="435"/>
        <v>97.498000000000218</v>
      </c>
      <c r="AN146" s="356">
        <f t="shared" si="435"/>
        <v>14.019000000000631</v>
      </c>
      <c r="AO146" s="357">
        <f t="shared" si="435"/>
        <v>92.307999999999652</v>
      </c>
      <c r="AP146" s="356">
        <f t="shared" si="435"/>
        <v>31.479000000000035</v>
      </c>
      <c r="AQ146" s="356">
        <f t="shared" si="435"/>
        <v>99.71899999999988</v>
      </c>
      <c r="AR146" s="356">
        <f t="shared" si="435"/>
        <v>77.812000000000069</v>
      </c>
      <c r="AS146" s="356">
        <f t="shared" si="435"/>
        <v>-121.22899999999993</v>
      </c>
      <c r="AT146" s="357">
        <f t="shared" si="435"/>
        <v>87.781000000000176</v>
      </c>
      <c r="AU146" s="356">
        <f t="shared" si="435"/>
        <v>311.47700000000003</v>
      </c>
      <c r="AV146" s="356">
        <f t="shared" si="435"/>
        <v>-263.30700000000007</v>
      </c>
      <c r="AW146" s="356">
        <f t="shared" si="435"/>
        <v>163.99000000000004</v>
      </c>
      <c r="AX146" s="356">
        <f t="shared" si="435"/>
        <v>-88.274000000000115</v>
      </c>
      <c r="AY146" s="357">
        <f t="shared" si="435"/>
        <v>123.88599999999985</v>
      </c>
      <c r="AZ146" s="356">
        <f t="shared" ref="AZ146:BP146" si="436">AZ143+AZ126+AZ118</f>
        <v>135.52500000000003</v>
      </c>
      <c r="BA146" s="356">
        <f t="shared" si="436"/>
        <v>68.688000000000045</v>
      </c>
      <c r="BB146" s="356">
        <f t="shared" si="436"/>
        <v>18.995000000000005</v>
      </c>
      <c r="BC146" s="356">
        <f t="shared" si="436"/>
        <v>-268.57999999999993</v>
      </c>
      <c r="BD146" s="357">
        <f t="shared" si="436"/>
        <v>-45.371999999999844</v>
      </c>
      <c r="BE146" s="356">
        <f t="shared" si="436"/>
        <v>-28.452999999999975</v>
      </c>
      <c r="BF146" s="356">
        <f t="shared" si="436"/>
        <v>-79.283999999999992</v>
      </c>
      <c r="BG146" s="356">
        <f t="shared" si="436"/>
        <v>74.879999999999882</v>
      </c>
      <c r="BH146" s="356">
        <f t="shared" si="436"/>
        <v>-136.44699999999978</v>
      </c>
      <c r="BI146" s="357">
        <f t="shared" si="436"/>
        <v>-169.30399999999963</v>
      </c>
      <c r="BJ146" s="356">
        <f t="shared" si="436"/>
        <v>-0.56699999999955253</v>
      </c>
      <c r="BK146" s="356">
        <f t="shared" si="436"/>
        <v>-14.188999999999851</v>
      </c>
      <c r="BL146" s="356">
        <f t="shared" si="436"/>
        <v>125.54100000000045</v>
      </c>
      <c r="BM146" s="356">
        <f>BM143+BM126+BM118</f>
        <v>147.16299999999961</v>
      </c>
      <c r="BN146" s="357">
        <f t="shared" si="436"/>
        <v>257.94800000000009</v>
      </c>
      <c r="BO146" s="356">
        <f t="shared" si="436"/>
        <v>-102.76499999999997</v>
      </c>
      <c r="BP146" s="356">
        <f t="shared" si="436"/>
        <v>-33.821000000000083</v>
      </c>
      <c r="BQ146" s="356">
        <f t="shared" ref="BQ146:CC146" si="437">BQ143+BQ126+BQ118</f>
        <v>-107.62199999999962</v>
      </c>
      <c r="BR146" s="356">
        <f t="shared" si="437"/>
        <v>229.798</v>
      </c>
      <c r="BS146" s="357">
        <f t="shared" si="437"/>
        <v>-14.410000000000082</v>
      </c>
      <c r="BT146" s="356">
        <f>BT143+BT126+BT118</f>
        <v>240</v>
      </c>
      <c r="BU146" s="356">
        <f t="shared" si="437"/>
        <v>-224</v>
      </c>
      <c r="BV146" s="356">
        <f>BV143+BV126+BV118</f>
        <v>-167.99999999999955</v>
      </c>
      <c r="BW146" s="356">
        <f t="shared" si="437"/>
        <v>288</v>
      </c>
      <c r="BX146" s="357">
        <f t="shared" si="437"/>
        <v>136.00000000000045</v>
      </c>
      <c r="BY146" s="356">
        <f t="shared" si="437"/>
        <v>-287</v>
      </c>
      <c r="BZ146" s="356">
        <f t="shared" si="437"/>
        <v>143</v>
      </c>
      <c r="CA146" s="356">
        <f t="shared" si="437"/>
        <v>-179</v>
      </c>
      <c r="CB146" s="356">
        <f t="shared" si="437"/>
        <v>-2</v>
      </c>
      <c r="CC146" s="357">
        <f t="shared" si="437"/>
        <v>-325</v>
      </c>
      <c r="CD146" s="356">
        <f t="shared" ref="CD146:CM146" si="438">CD143+CD126+CD118</f>
        <v>-3</v>
      </c>
      <c r="CE146" s="356">
        <f t="shared" si="438"/>
        <v>280</v>
      </c>
      <c r="CF146" s="356">
        <f t="shared" si="438"/>
        <v>-328</v>
      </c>
      <c r="CG146" s="356">
        <f t="shared" si="438"/>
        <v>105</v>
      </c>
      <c r="CH146" s="357">
        <f t="shared" si="438"/>
        <v>54</v>
      </c>
      <c r="CI146" s="356">
        <f t="shared" si="438"/>
        <v>9</v>
      </c>
      <c r="CJ146" s="356">
        <f t="shared" si="438"/>
        <v>521</v>
      </c>
      <c r="CK146" s="356">
        <f t="shared" ref="CK146" si="439">CK143+CK126+CK118</f>
        <v>-178</v>
      </c>
      <c r="CL146" s="356">
        <f t="shared" si="438"/>
        <v>-27</v>
      </c>
      <c r="CM146" s="357">
        <f t="shared" si="438"/>
        <v>325</v>
      </c>
      <c r="CN146" s="356">
        <f t="shared" ref="CN146:DA146" ca="1" si="440">CN143+CN126+CN118</f>
        <v>-54.973681547492831</v>
      </c>
      <c r="CO146" s="356">
        <f t="shared" ca="1" si="440"/>
        <v>204.25970291147951</v>
      </c>
      <c r="CP146" s="356">
        <f t="shared" ca="1" si="440"/>
        <v>28.689477809706261</v>
      </c>
      <c r="CQ146" s="356">
        <f t="shared" ca="1" si="440"/>
        <v>-166.2999397483685</v>
      </c>
      <c r="CR146" s="357">
        <f t="shared" ca="1" si="440"/>
        <v>11.67555942532465</v>
      </c>
      <c r="CS146" s="356">
        <f t="shared" ref="CS146:CV146" ca="1" si="441">CS143+CS126+CS118</f>
        <v>-263.79061046864109</v>
      </c>
      <c r="CT146" s="356">
        <f t="shared" ca="1" si="441"/>
        <v>163.72753408181597</v>
      </c>
      <c r="CU146" s="356">
        <f t="shared" ca="1" si="441"/>
        <v>25.548354399137452</v>
      </c>
      <c r="CV146" s="356">
        <f t="shared" ca="1" si="441"/>
        <v>214.07690537805178</v>
      </c>
      <c r="CW146" s="357">
        <f t="shared" ca="1" si="440"/>
        <v>139.562183390364</v>
      </c>
      <c r="CX146" s="356">
        <f t="shared" ca="1" si="440"/>
        <v>-431.16758717505945</v>
      </c>
      <c r="CY146" s="356">
        <f t="shared" ca="1" si="440"/>
        <v>53.725114093508182</v>
      </c>
      <c r="CZ146" s="356">
        <f t="shared" ca="1" si="440"/>
        <v>116.59736910643497</v>
      </c>
      <c r="DA146" s="356">
        <f t="shared" ca="1" si="440"/>
        <v>-197.85494626500125</v>
      </c>
      <c r="DB146" s="357">
        <f t="shared" ref="DB146" ca="1" si="442">DB143+DB126+DB118</f>
        <v>-458.7000502401176</v>
      </c>
      <c r="DC146" s="9"/>
    </row>
    <row r="147" spans="1:120">
      <c r="A147" s="1"/>
      <c r="B147" s="1211" t="s">
        <v>499</v>
      </c>
      <c r="C147" s="1212"/>
      <c r="D147" s="1213">
        <v>6.7190000000000003</v>
      </c>
      <c r="E147" s="1214">
        <f t="shared" ref="E147:Z147" si="443">SUM(E145:E146)</f>
        <v>4.2819999999999974</v>
      </c>
      <c r="F147" s="1214">
        <f t="shared" si="443"/>
        <v>13.739999999999981</v>
      </c>
      <c r="G147" s="1212">
        <f t="shared" si="443"/>
        <v>23.21599999999998</v>
      </c>
      <c r="H147" s="1212">
        <f t="shared" si="443"/>
        <v>35.739999999999974</v>
      </c>
      <c r="I147" s="1212">
        <f t="shared" si="443"/>
        <v>17.698999999999973</v>
      </c>
      <c r="J147" s="1212">
        <f t="shared" si="443"/>
        <v>295.88600000000008</v>
      </c>
      <c r="K147" s="1214">
        <f t="shared" si="443"/>
        <v>295.88599999999997</v>
      </c>
      <c r="L147" s="1212">
        <f t="shared" si="443"/>
        <v>311.19799999999998</v>
      </c>
      <c r="M147" s="1212">
        <f t="shared" si="443"/>
        <v>307.524</v>
      </c>
      <c r="N147" s="1212">
        <f t="shared" si="443"/>
        <v>405.03000000000003</v>
      </c>
      <c r="O147" s="1212">
        <f t="shared" si="443"/>
        <v>420.34399999999994</v>
      </c>
      <c r="P147" s="1214">
        <f>O147</f>
        <v>420.34399999999994</v>
      </c>
      <c r="Q147" s="1212">
        <f t="shared" si="443"/>
        <v>307.06299999999993</v>
      </c>
      <c r="R147" s="1212">
        <f t="shared" si="443"/>
        <v>312.80599999999993</v>
      </c>
      <c r="S147" s="1212">
        <f t="shared" si="443"/>
        <v>350.14199999999994</v>
      </c>
      <c r="T147" s="1212">
        <f t="shared" si="443"/>
        <v>303.83099999999996</v>
      </c>
      <c r="U147" s="1214">
        <f t="shared" si="443"/>
        <v>303.83099999999985</v>
      </c>
      <c r="V147" s="1212">
        <f t="shared" si="443"/>
        <v>303.59999999999985</v>
      </c>
      <c r="W147" s="1212">
        <f t="shared" si="443"/>
        <v>306.1049999999999</v>
      </c>
      <c r="X147" s="1212">
        <f t="shared" si="443"/>
        <v>307.45199999999988</v>
      </c>
      <c r="Y147" s="1212">
        <f t="shared" si="443"/>
        <v>669.99799999999982</v>
      </c>
      <c r="Z147" s="1214">
        <f t="shared" si="443"/>
        <v>669.99799999999982</v>
      </c>
      <c r="AA147" s="1212">
        <f t="shared" ref="AA147:AY147" si="444">SUM(AA145:AA146)</f>
        <v>805.94699999999989</v>
      </c>
      <c r="AB147" s="1212">
        <f t="shared" si="444"/>
        <v>859.86399999999992</v>
      </c>
      <c r="AC147" s="1212">
        <f t="shared" si="444"/>
        <v>771.78</v>
      </c>
      <c r="AD147" s="1212">
        <f t="shared" si="444"/>
        <v>691.60799999999995</v>
      </c>
      <c r="AE147" s="1214">
        <f t="shared" si="444"/>
        <v>691.60799999999972</v>
      </c>
      <c r="AF147" s="1212">
        <f t="shared" si="444"/>
        <v>699.45099999999968</v>
      </c>
      <c r="AG147" s="1212">
        <f t="shared" si="444"/>
        <v>611.6569999999997</v>
      </c>
      <c r="AH147" s="1212">
        <f t="shared" si="444"/>
        <v>600.94399999999962</v>
      </c>
      <c r="AI147" s="1212">
        <f t="shared" si="444"/>
        <v>628.06599999999958</v>
      </c>
      <c r="AJ147" s="1214">
        <f t="shared" si="444"/>
        <v>628.06599999999969</v>
      </c>
      <c r="AK147" s="1212">
        <f t="shared" si="444"/>
        <v>650.3779999999997</v>
      </c>
      <c r="AL147" s="1212">
        <f t="shared" si="444"/>
        <v>608.85699999999974</v>
      </c>
      <c r="AM147" s="1212">
        <f t="shared" si="444"/>
        <v>706.35500000000002</v>
      </c>
      <c r="AN147" s="1212">
        <f t="shared" si="444"/>
        <v>720.37400000000071</v>
      </c>
      <c r="AO147" s="1214">
        <f t="shared" si="444"/>
        <v>720.37399999999934</v>
      </c>
      <c r="AP147" s="1212">
        <f t="shared" si="444"/>
        <v>751.85299999999938</v>
      </c>
      <c r="AQ147" s="1212">
        <f t="shared" si="444"/>
        <v>851.57199999999921</v>
      </c>
      <c r="AR147" s="1212">
        <f t="shared" si="444"/>
        <v>929.38399999999933</v>
      </c>
      <c r="AS147" s="1212">
        <f t="shared" si="444"/>
        <v>808.1549999999994</v>
      </c>
      <c r="AT147" s="1214">
        <f t="shared" si="444"/>
        <v>808.15499999999952</v>
      </c>
      <c r="AU147" s="1212">
        <f t="shared" si="444"/>
        <v>1119.6319999999996</v>
      </c>
      <c r="AV147" s="1212">
        <f t="shared" si="444"/>
        <v>856.32499999999959</v>
      </c>
      <c r="AW147" s="1212">
        <f t="shared" si="444"/>
        <v>1020.3149999999996</v>
      </c>
      <c r="AX147" s="1212">
        <f t="shared" si="444"/>
        <v>932.04099999999949</v>
      </c>
      <c r="AY147" s="1214">
        <f t="shared" si="444"/>
        <v>932.04099999999937</v>
      </c>
      <c r="AZ147" s="1212">
        <f t="shared" ref="AZ147:BO147" si="445">SUM(AZ145:AZ146)</f>
        <v>1067.5659999999993</v>
      </c>
      <c r="BA147" s="1212">
        <f t="shared" si="445"/>
        <v>1136.2539999999995</v>
      </c>
      <c r="BB147" s="1212">
        <f t="shared" si="445"/>
        <v>1155.2489999999993</v>
      </c>
      <c r="BC147" s="1212">
        <f t="shared" si="445"/>
        <v>886.66899999999941</v>
      </c>
      <c r="BD147" s="1214">
        <f t="shared" si="445"/>
        <v>886.66899999999953</v>
      </c>
      <c r="BE147" s="1212">
        <f t="shared" si="445"/>
        <v>858.21599999999955</v>
      </c>
      <c r="BF147" s="1212">
        <f t="shared" si="445"/>
        <v>778.93199999999956</v>
      </c>
      <c r="BG147" s="1212">
        <f t="shared" si="445"/>
        <v>853.81199999999944</v>
      </c>
      <c r="BH147" s="1212">
        <f t="shared" si="445"/>
        <v>717.36499999999967</v>
      </c>
      <c r="BI147" s="1214">
        <f t="shared" si="445"/>
        <v>717.3649999999999</v>
      </c>
      <c r="BJ147" s="1212">
        <f t="shared" si="445"/>
        <v>716.79800000000034</v>
      </c>
      <c r="BK147" s="1212">
        <f t="shared" si="445"/>
        <v>702.60900000000049</v>
      </c>
      <c r="BL147" s="1212">
        <f t="shared" si="445"/>
        <v>828.150000000001</v>
      </c>
      <c r="BM147" s="1212">
        <f t="shared" si="445"/>
        <v>387.81299999999965</v>
      </c>
      <c r="BN147" s="1214">
        <f t="shared" si="445"/>
        <v>975.31299999999999</v>
      </c>
      <c r="BO147" s="1212">
        <f t="shared" si="445"/>
        <v>285.048</v>
      </c>
      <c r="BP147" s="1212">
        <f>IF(Switch="Y",SUM(BP145:BP146),BO147)</f>
        <v>251.22699999999992</v>
      </c>
      <c r="BQ147" s="1212">
        <f>IF(Switch="Y",SUM(BQ145:BQ146),BP147)</f>
        <v>143.60500000000039</v>
      </c>
      <c r="BR147" s="1212">
        <f>IF(Switch="Y",SUM(BR145:BR146),BQ147)</f>
        <v>373.40300000000002</v>
      </c>
      <c r="BS147" s="1214">
        <f>SUM(BS145:BS146)</f>
        <v>373.40299999999991</v>
      </c>
      <c r="BT147" s="1212">
        <f>IF(Switch="Y",SUM(BT145:BT146),BS147)</f>
        <v>613.40300000000002</v>
      </c>
      <c r="BU147" s="1212">
        <f>IF(Switch="Y",SUM(BU145:BU146),BT147)</f>
        <v>389</v>
      </c>
      <c r="BV147" s="1212">
        <f>IF(Switch="Y",SUM(BV145:BV146),BU147)</f>
        <v>221.00000000000045</v>
      </c>
      <c r="BW147" s="1212">
        <f>IF(Switch="Y",SUM(BW145:BW146),BV147)</f>
        <v>509</v>
      </c>
      <c r="BX147" s="1214">
        <f>BW147</f>
        <v>509</v>
      </c>
      <c r="BY147" s="1212">
        <f>IF(Switch="Y",SUM(BY145:BY146),BX147)</f>
        <v>222</v>
      </c>
      <c r="BZ147" s="1212">
        <f>IF(Switch="Y",SUM(BZ145:BZ146),BY147)</f>
        <v>365</v>
      </c>
      <c r="CA147" s="1212">
        <f>IF(Switch="Y",SUM(CA145:CA146),BZ147)</f>
        <v>186</v>
      </c>
      <c r="CB147" s="1212">
        <f>IF(Switch="Y",SUM(CB145:CB146),CA147)</f>
        <v>184</v>
      </c>
      <c r="CC147" s="1214">
        <f>CB147</f>
        <v>184</v>
      </c>
      <c r="CD147" s="1212">
        <f>IF(Switch="Y",SUM(CD145:CD146),CC147)</f>
        <v>181</v>
      </c>
      <c r="CE147" s="1212">
        <f>IF(Switch="Y",SUM(CE145:CE146),CD147)</f>
        <v>461</v>
      </c>
      <c r="CF147" s="1212">
        <f>IF(Switch="Y",SUM(CF145:CF146),CE147)</f>
        <v>133</v>
      </c>
      <c r="CG147" s="1212">
        <f>IF(Switch="Y",SUM(CG145:CG146),CF147)</f>
        <v>238</v>
      </c>
      <c r="CH147" s="1214">
        <f>CG147</f>
        <v>238</v>
      </c>
      <c r="CI147" s="1212">
        <f>IF(Switch="Y",SUM(CI145:CI146),CH147)</f>
        <v>247</v>
      </c>
      <c r="CJ147" s="1212">
        <f>IF(Switch="Y",SUM(CJ145:CJ146),CI147)</f>
        <v>768</v>
      </c>
      <c r="CK147" s="1212">
        <f>IF(Switch="Y",SUM(CK145:CK146),CJ147)</f>
        <v>590</v>
      </c>
      <c r="CL147" s="1212">
        <f>IF(Switch="Y",SUM(CL145:CL146),CK147)</f>
        <v>563</v>
      </c>
      <c r="CM147" s="1214">
        <f>CL147</f>
        <v>563</v>
      </c>
      <c r="CN147" s="1212">
        <f ca="1">IF(Switch="Y",SUM(CN145:CN146),CM147)</f>
        <v>508.02631845250716</v>
      </c>
      <c r="CO147" s="1212">
        <f ca="1">IF(Switch="Y",SUM(CO145:CO146),CN147)</f>
        <v>712.28602136398672</v>
      </c>
      <c r="CP147" s="1212">
        <f ca="1">IF(Switch="Y",SUM(CP145:CP146),CO147)</f>
        <v>740.97549917369292</v>
      </c>
      <c r="CQ147" s="1212">
        <f ca="1">IF(Switch="Y",SUM(CQ145:CQ146),CP147)</f>
        <v>574.67555942532442</v>
      </c>
      <c r="CR147" s="1214">
        <f ca="1">CQ147</f>
        <v>574.67555942532442</v>
      </c>
      <c r="CS147" s="1212">
        <f ca="1">IF(Switch="Y",SUM(CS145:CS146),CR147)</f>
        <v>310.88494895668333</v>
      </c>
      <c r="CT147" s="1212">
        <f ca="1">IF(Switch="Y",SUM(CT145:CT146),CS147)</f>
        <v>474.61248303849931</v>
      </c>
      <c r="CU147" s="1212">
        <f ca="1">IF(Switch="Y",SUM(CU145:CU146),CT147)</f>
        <v>500.16083743763676</v>
      </c>
      <c r="CV147" s="1212">
        <f ca="1">IF(Switch="Y",SUM(CV145:CV146),CU147)</f>
        <v>714.23774281568853</v>
      </c>
      <c r="CW147" s="1214">
        <f ca="1">CV147</f>
        <v>714.23774281568853</v>
      </c>
      <c r="CX147" s="1212">
        <f ca="1">IF(Switch="Y",SUM(CX145:CX146),CW147)</f>
        <v>283.07015564062908</v>
      </c>
      <c r="CY147" s="1212">
        <f ca="1">IF(Switch="Y",SUM(CY145:CY146),CX147)</f>
        <v>336.79526973413726</v>
      </c>
      <c r="CZ147" s="1212">
        <f ca="1">IF(Switch="Y",SUM(CZ145:CZ146),CY147)</f>
        <v>453.3926388405722</v>
      </c>
      <c r="DA147" s="1212">
        <f ca="1">IF(Switch="Y",SUM(DA145:DA146),CZ147)</f>
        <v>255.53769257557096</v>
      </c>
      <c r="DB147" s="1214">
        <f ca="1">DA147</f>
        <v>255.53769257557096</v>
      </c>
      <c r="DC147" s="9"/>
    </row>
    <row r="148" spans="1:120">
      <c r="A148" s="1"/>
      <c r="B148" s="9"/>
      <c r="C148" s="5"/>
      <c r="D148" s="876"/>
      <c r="E148" s="200"/>
      <c r="F148" s="200"/>
      <c r="G148" s="9"/>
      <c r="H148" s="9"/>
      <c r="I148" s="9"/>
      <c r="J148" s="9"/>
      <c r="K148" s="200"/>
      <c r="L148" s="9"/>
      <c r="M148" s="9"/>
      <c r="N148" s="9"/>
      <c r="O148" s="9"/>
      <c r="P148" s="200"/>
      <c r="Q148" s="9"/>
      <c r="R148" s="9"/>
      <c r="S148" s="9"/>
      <c r="T148" s="9"/>
      <c r="U148" s="200"/>
      <c r="V148" s="9"/>
      <c r="W148" s="9"/>
      <c r="X148" s="9"/>
      <c r="Y148" s="9"/>
      <c r="Z148" s="200"/>
      <c r="AA148" s="9"/>
      <c r="AB148" s="9"/>
      <c r="AC148" s="9"/>
      <c r="AD148" s="9"/>
      <c r="AE148" s="200"/>
      <c r="AF148" s="9"/>
      <c r="AG148" s="9"/>
      <c r="AH148" s="9"/>
      <c r="AI148" s="9"/>
      <c r="AJ148" s="200"/>
      <c r="AK148" s="9"/>
      <c r="AL148" s="9"/>
      <c r="AM148" s="9"/>
      <c r="AN148" s="9"/>
      <c r="AO148" s="200"/>
      <c r="AP148" s="9"/>
      <c r="AQ148" s="9"/>
      <c r="AR148" s="9"/>
      <c r="AS148" s="9"/>
      <c r="AT148" s="200"/>
      <c r="AU148" s="9"/>
      <c r="AV148" s="268"/>
      <c r="AW148" s="9"/>
      <c r="AX148" s="9"/>
      <c r="AY148" s="200"/>
      <c r="AZ148" s="710"/>
      <c r="BA148" s="9"/>
      <c r="BB148" s="9"/>
      <c r="BC148" s="9"/>
      <c r="BD148" s="200"/>
      <c r="BE148" s="9"/>
      <c r="BF148" s="9"/>
      <c r="BG148" s="9"/>
      <c r="BH148" s="9"/>
      <c r="BI148" s="200"/>
      <c r="BJ148" s="9"/>
      <c r="BK148" s="9"/>
      <c r="BL148" s="9"/>
      <c r="BM148" s="9"/>
      <c r="BN148" s="200"/>
      <c r="BO148" s="9"/>
      <c r="BP148" s="9"/>
      <c r="BQ148" s="9"/>
      <c r="BR148" s="9"/>
      <c r="BS148" s="200"/>
      <c r="BT148" s="9"/>
      <c r="BU148" s="9"/>
      <c r="BV148" s="9"/>
      <c r="BW148" s="9"/>
      <c r="BX148" s="200"/>
      <c r="BY148" s="9"/>
      <c r="BZ148" s="9"/>
      <c r="CA148" s="9"/>
      <c r="CB148" s="9"/>
      <c r="CC148" s="5"/>
      <c r="CD148" s="5"/>
      <c r="CE148" s="5"/>
      <c r="CF148" s="5"/>
      <c r="CG148" s="5"/>
      <c r="CH148" s="5"/>
      <c r="CI148" s="5"/>
      <c r="CJ148" s="5"/>
      <c r="CK148" s="5"/>
      <c r="CL148" s="5"/>
      <c r="CM148" s="1210">
        <f>+CM147-CM8</f>
        <v>0</v>
      </c>
      <c r="CN148" s="5"/>
      <c r="CO148" s="5"/>
      <c r="CP148" s="5"/>
      <c r="CQ148" s="5"/>
      <c r="CR148" s="5"/>
      <c r="CS148" s="5"/>
      <c r="CT148" s="5"/>
      <c r="CU148" s="5"/>
      <c r="CV148" s="5"/>
      <c r="CW148" s="5"/>
      <c r="CX148" s="5"/>
      <c r="CY148" s="5"/>
      <c r="CZ148" s="5"/>
      <c r="DA148" s="5"/>
      <c r="DB148" s="5"/>
      <c r="DC148" s="5"/>
      <c r="DJ148" s="831"/>
      <c r="DK148" s="831"/>
      <c r="DL148" s="831"/>
      <c r="DM148" s="831"/>
      <c r="DN148" s="831"/>
      <c r="DO148" s="831"/>
      <c r="DP148" s="831"/>
    </row>
    <row r="149" spans="1:120">
      <c r="A149" s="1"/>
      <c r="B149" s="1354" t="s">
        <v>500</v>
      </c>
      <c r="C149" s="904"/>
      <c r="D149" s="905"/>
      <c r="E149" s="906"/>
      <c r="F149" s="906"/>
      <c r="G149" s="904"/>
      <c r="H149" s="904"/>
      <c r="I149" s="904"/>
      <c r="J149" s="904"/>
      <c r="K149" s="906"/>
      <c r="L149" s="904"/>
      <c r="M149" s="904"/>
      <c r="N149" s="904"/>
      <c r="O149" s="904"/>
      <c r="P149" s="906"/>
      <c r="Q149" s="904"/>
      <c r="R149" s="904"/>
      <c r="S149" s="904"/>
      <c r="T149" s="904"/>
      <c r="U149" s="906"/>
      <c r="V149" s="904"/>
      <c r="W149" s="904"/>
      <c r="X149" s="904"/>
      <c r="Y149" s="904"/>
      <c r="Z149" s="906"/>
      <c r="AA149" s="904"/>
      <c r="AB149" s="904"/>
      <c r="AC149" s="904"/>
      <c r="AD149" s="904"/>
      <c r="AE149" s="906"/>
      <c r="AF149" s="904"/>
      <c r="AG149" s="904"/>
      <c r="AH149" s="904"/>
      <c r="AI149" s="904"/>
      <c r="AJ149" s="906"/>
      <c r="AK149" s="904"/>
      <c r="AL149" s="904"/>
      <c r="AM149" s="904"/>
      <c r="AN149" s="904"/>
      <c r="AO149" s="906"/>
      <c r="AP149" s="904"/>
      <c r="AQ149" s="904"/>
      <c r="AR149" s="904"/>
      <c r="AS149" s="904"/>
      <c r="AT149" s="906"/>
      <c r="AU149" s="904"/>
      <c r="AV149" s="904"/>
      <c r="AW149" s="904"/>
      <c r="AX149" s="904"/>
      <c r="AY149" s="906"/>
      <c r="AZ149" s="904"/>
      <c r="BA149" s="904"/>
      <c r="BB149" s="904"/>
      <c r="BC149" s="904"/>
      <c r="BD149" s="906"/>
      <c r="BE149" s="904"/>
      <c r="BF149" s="904"/>
      <c r="BG149" s="904"/>
      <c r="BH149" s="904"/>
      <c r="BI149" s="906"/>
      <c r="BJ149" s="904"/>
      <c r="BK149" s="904"/>
      <c r="BL149" s="904"/>
      <c r="BM149" s="904"/>
      <c r="BN149" s="906"/>
      <c r="BO149" s="904"/>
      <c r="BP149" s="904"/>
      <c r="BQ149" s="904"/>
      <c r="BR149" s="904"/>
      <c r="BS149" s="906"/>
      <c r="BT149" s="904"/>
      <c r="BU149" s="904"/>
      <c r="BV149" s="904"/>
      <c r="BW149" s="904"/>
      <c r="BX149" s="906"/>
      <c r="BY149" s="904"/>
      <c r="BZ149" s="904"/>
      <c r="CA149" s="904"/>
      <c r="CB149" s="904"/>
      <c r="CC149" s="906"/>
      <c r="CD149" s="904"/>
      <c r="CE149" s="904"/>
      <c r="CF149" s="904"/>
      <c r="CG149" s="904"/>
      <c r="CH149" s="906"/>
      <c r="CI149" s="904"/>
      <c r="CJ149" s="904"/>
      <c r="CK149" s="904"/>
      <c r="CL149" s="904"/>
      <c r="CM149" s="906"/>
      <c r="CN149" s="904"/>
      <c r="CO149" s="904"/>
      <c r="CP149" s="904"/>
      <c r="CQ149" s="904"/>
      <c r="CR149" s="906"/>
      <c r="CS149" s="904"/>
      <c r="CT149" s="904"/>
      <c r="CU149" s="904"/>
      <c r="CV149" s="904"/>
      <c r="CW149" s="906"/>
      <c r="CX149" s="904"/>
      <c r="CY149" s="904"/>
      <c r="CZ149" s="904"/>
      <c r="DA149" s="904"/>
      <c r="DB149" s="906"/>
      <c r="DC149" s="9"/>
    </row>
    <row r="150" spans="1:120">
      <c r="A150" s="1"/>
      <c r="B150" s="9" t="s">
        <v>501</v>
      </c>
      <c r="C150" s="5"/>
      <c r="D150" s="876"/>
      <c r="E150" s="200"/>
      <c r="F150" s="866">
        <f>F118+F122</f>
        <v>-40.020000000000003</v>
      </c>
      <c r="G150" s="268">
        <f>G118+G122</f>
        <v>12.977999999999998</v>
      </c>
      <c r="H150" s="268">
        <f>H118+H122</f>
        <v>43.494</v>
      </c>
      <c r="I150" s="268">
        <f>I118+I122</f>
        <v>-7.1690000000000005</v>
      </c>
      <c r="J150" s="268">
        <f>J118+J122</f>
        <v>21.852000000000011</v>
      </c>
      <c r="K150" s="866">
        <f>K118+K122+K121</f>
        <v>-79.78600000000003</v>
      </c>
      <c r="L150" s="268">
        <f>L118+L122</f>
        <v>30.447999999999993</v>
      </c>
      <c r="M150" s="268">
        <f>M118+M122</f>
        <v>54.414999999999999</v>
      </c>
      <c r="N150" s="268">
        <f>N118+N122</f>
        <v>30.400999999999996</v>
      </c>
      <c r="O150" s="268">
        <f>O118+O122</f>
        <v>66.260000000000005</v>
      </c>
      <c r="P150" s="866">
        <f>P118+P122+P121</f>
        <v>25.454999999999984</v>
      </c>
      <c r="Q150" s="268">
        <f>Q118+Q122</f>
        <v>-23.751000000000012</v>
      </c>
      <c r="R150" s="268">
        <f>R118+R122</f>
        <v>108.691</v>
      </c>
      <c r="S150" s="268">
        <f>S118+S122</f>
        <v>12.507000000000005</v>
      </c>
      <c r="T150" s="268">
        <f>T118+T122</f>
        <v>-0.12199999999998568</v>
      </c>
      <c r="U150" s="866">
        <f>U118+U122+U121</f>
        <v>-353.24699999999996</v>
      </c>
      <c r="V150" s="268">
        <f>V118+V122</f>
        <v>21.833999999999996</v>
      </c>
      <c r="W150" s="268">
        <f>W118+W122</f>
        <v>101.00800000000001</v>
      </c>
      <c r="X150" s="268">
        <f>X118+X122</f>
        <v>15.129999999999988</v>
      </c>
      <c r="Y150" s="268">
        <f>Y118+Y122</f>
        <v>23.49199999999999</v>
      </c>
      <c r="Z150" s="866">
        <f>Z118+Z122+Z121</f>
        <v>28.431000000000012</v>
      </c>
      <c r="AA150" s="268">
        <f>AA118+AA122</f>
        <v>115.54300000000001</v>
      </c>
      <c r="AB150" s="268">
        <f>AB118+AB122</f>
        <v>84.117999999999995</v>
      </c>
      <c r="AC150" s="268">
        <f>AC118+AC122</f>
        <v>3.1730000000000089</v>
      </c>
      <c r="AD150" s="268">
        <f>AD118+AD122</f>
        <v>19.850000000000009</v>
      </c>
      <c r="AE150" s="866">
        <f>AE118+AE122+AE121</f>
        <v>64.305000000000035</v>
      </c>
      <c r="AF150" s="268">
        <f>AF118+AF122</f>
        <v>51.109999999999992</v>
      </c>
      <c r="AG150" s="268">
        <f>AG118+AG122</f>
        <v>61.741999999999997</v>
      </c>
      <c r="AH150" s="268">
        <f>AH118+AH122</f>
        <v>-3.3990000000000222</v>
      </c>
      <c r="AI150" s="268">
        <f>AI118+AI122</f>
        <v>16.283000000000015</v>
      </c>
      <c r="AJ150" s="866">
        <f>AJ118+AJ122+AJ121</f>
        <v>-258.88200000000001</v>
      </c>
      <c r="AK150" s="268">
        <f>AK118+AK122</f>
        <v>75.557999999999993</v>
      </c>
      <c r="AL150" s="268">
        <f>AL118+AL122</f>
        <v>31.581000000000003</v>
      </c>
      <c r="AM150" s="268">
        <f>AM118+AM122</f>
        <v>18.967999999999961</v>
      </c>
      <c r="AN150" s="268">
        <f>AN118+AN122</f>
        <v>38.84600000000006</v>
      </c>
      <c r="AO150" s="866">
        <f>AO118+AO122+AO121</f>
        <v>-6853.0949999999993</v>
      </c>
      <c r="AP150" s="268">
        <f>AP118+AP122</f>
        <v>-86.559999999999974</v>
      </c>
      <c r="AQ150" s="268">
        <f>AQ118+AQ122</f>
        <v>227.73799999999991</v>
      </c>
      <c r="AR150" s="268">
        <f>AR118+AR122</f>
        <v>92.469000000000108</v>
      </c>
      <c r="AS150" s="268">
        <f>AS118+AS122</f>
        <v>131.40100000000007</v>
      </c>
      <c r="AT150" s="866">
        <f>AT118+AT122+AT121</f>
        <v>203.14100000000022</v>
      </c>
      <c r="AU150" s="268">
        <f>AU118+AU122</f>
        <v>123.40600000000003</v>
      </c>
      <c r="AV150" s="268">
        <f>AV118+AV122</f>
        <v>153.72599999999997</v>
      </c>
      <c r="AW150" s="268">
        <f>AW118+AW122</f>
        <v>225.49000000000007</v>
      </c>
      <c r="AX150" s="268">
        <f>AX118+AX122</f>
        <v>-3.0810000000001025</v>
      </c>
      <c r="AY150" s="866">
        <f>AY118+AY122+AY121</f>
        <v>235.7679999999998</v>
      </c>
      <c r="AZ150" s="268">
        <f>AZ118+AZ122</f>
        <v>172.80700000000002</v>
      </c>
      <c r="BA150" s="268">
        <f>BA118+BA122</f>
        <v>105.06100000000004</v>
      </c>
      <c r="BB150" s="268">
        <f>BB118+BB122</f>
        <v>238.65600000000001</v>
      </c>
      <c r="BC150" s="268">
        <f>BC118+BC122</f>
        <v>4.8280000000000314</v>
      </c>
      <c r="BD150" s="866">
        <f>BD118+BD122+BD121</f>
        <v>273.101</v>
      </c>
      <c r="BE150" s="268">
        <f t="shared" ref="BE150:BO150" si="446">BE118+BE122</f>
        <v>33.636000000000024</v>
      </c>
      <c r="BF150" s="268">
        <f t="shared" si="446"/>
        <v>199.66600000000005</v>
      </c>
      <c r="BG150" s="268">
        <f t="shared" si="446"/>
        <v>54.087999999999852</v>
      </c>
      <c r="BH150" s="268">
        <f t="shared" si="446"/>
        <v>197.80500000000018</v>
      </c>
      <c r="BI150" s="866">
        <f t="shared" si="446"/>
        <v>485.19500000000016</v>
      </c>
      <c r="BJ150" s="268">
        <f t="shared" si="446"/>
        <v>2.4069999999999538</v>
      </c>
      <c r="BK150" s="268">
        <f t="shared" si="446"/>
        <v>94.058999999999941</v>
      </c>
      <c r="BL150" s="268">
        <f t="shared" si="446"/>
        <v>123.92999999999998</v>
      </c>
      <c r="BM150" s="268">
        <f t="shared" si="446"/>
        <v>290.93400000000003</v>
      </c>
      <c r="BN150" s="866">
        <f t="shared" si="446"/>
        <v>511.32999999999993</v>
      </c>
      <c r="BO150" s="268">
        <f t="shared" si="446"/>
        <v>-55.705000000000041</v>
      </c>
      <c r="BP150" s="268">
        <f>BP118+BP122+BP121</f>
        <v>64.143999999999963</v>
      </c>
      <c r="BQ150" s="268">
        <f>BQ118+BQ122+BQ121</f>
        <v>-17.440999999999708</v>
      </c>
      <c r="BR150" s="268">
        <f>BR118+BR122+BR121</f>
        <v>444.73599999999993</v>
      </c>
      <c r="BS150" s="866">
        <f>BS118+BS122+BS121</f>
        <v>430.98399999999987</v>
      </c>
      <c r="BT150" s="268">
        <f t="shared" ref="BT150:CG150" si="447">BT118+BT122</f>
        <v>-116</v>
      </c>
      <c r="BU150" s="268">
        <f t="shared" si="447"/>
        <v>269</v>
      </c>
      <c r="BV150" s="268">
        <f t="shared" si="447"/>
        <v>-73.999999999999545</v>
      </c>
      <c r="BW150" s="268">
        <f t="shared" si="447"/>
        <v>683</v>
      </c>
      <c r="BX150" s="866">
        <f t="shared" si="447"/>
        <v>762.00000000000045</v>
      </c>
      <c r="BY150" s="268">
        <f t="shared" si="447"/>
        <v>-302</v>
      </c>
      <c r="BZ150" s="268">
        <f t="shared" si="447"/>
        <v>332</v>
      </c>
      <c r="CA150" s="268">
        <f t="shared" si="447"/>
        <v>-111</v>
      </c>
      <c r="CB150" s="268">
        <f t="shared" si="447"/>
        <v>49</v>
      </c>
      <c r="CC150" s="866">
        <f t="shared" si="447"/>
        <v>-32</v>
      </c>
      <c r="CD150" s="268">
        <f t="shared" si="447"/>
        <v>70</v>
      </c>
      <c r="CE150" s="268">
        <f t="shared" si="447"/>
        <v>155</v>
      </c>
      <c r="CF150" s="268">
        <f t="shared" si="447"/>
        <v>24</v>
      </c>
      <c r="CG150" s="268">
        <f t="shared" si="447"/>
        <v>144</v>
      </c>
      <c r="CH150" s="866">
        <f>CH118+CH122+CH121</f>
        <v>270</v>
      </c>
      <c r="CI150" s="268">
        <f>CI118+CI122</f>
        <v>96</v>
      </c>
      <c r="CJ150" s="268">
        <f>CJ118+CJ122</f>
        <v>133</v>
      </c>
      <c r="CK150" s="268">
        <f>CK118+CK122</f>
        <v>-40</v>
      </c>
      <c r="CL150" s="268">
        <f>CL118+CL122</f>
        <v>20</v>
      </c>
      <c r="CM150" s="866">
        <f>CM118+CM122+CM121</f>
        <v>203</v>
      </c>
      <c r="CN150" s="268">
        <f ca="1">CN118+CN122</f>
        <v>-29.973681547492831</v>
      </c>
      <c r="CO150" s="268">
        <f ca="1">CO118+CO122</f>
        <v>230.25970291147951</v>
      </c>
      <c r="CP150" s="268">
        <f ca="1">CP118+CP122</f>
        <v>50.819477809706257</v>
      </c>
      <c r="CQ150" s="268">
        <f ca="1">CQ118+CQ122</f>
        <v>-139.4299397483685</v>
      </c>
      <c r="CR150" s="866">
        <f ca="1">CR118+CR122+CR121</f>
        <v>111.67555942532465</v>
      </c>
      <c r="CS150" s="268">
        <f ca="1">CS118+CS122</f>
        <v>184.80938953175891</v>
      </c>
      <c r="CT150" s="268">
        <f ca="1">CT118+CT122</f>
        <v>442.88753408205594</v>
      </c>
      <c r="CU150" s="268">
        <f ca="1">CU118+CU122</f>
        <v>203.04435439928145</v>
      </c>
      <c r="CV150" s="268">
        <f ca="1">CV118+CV122</f>
        <v>305.57450537813816</v>
      </c>
      <c r="CW150" s="866">
        <f ca="1">CW118+CW122+CW121</f>
        <v>1136.3157833912344</v>
      </c>
      <c r="CX150" s="268">
        <f ca="1">CX118+CX122</f>
        <v>-351.26902717500764</v>
      </c>
      <c r="CY150" s="268">
        <f ca="1">CY118+CY122</f>
        <v>111.66425009353927</v>
      </c>
      <c r="CZ150" s="268">
        <f ca="1">CZ118+CZ122</f>
        <v>161.36085070645362</v>
      </c>
      <c r="DA150" s="268">
        <f ca="1">DA118+DA122</f>
        <v>-172.85494626500125</v>
      </c>
      <c r="DB150" s="866">
        <f ca="1">DB118+DB122+DB121</f>
        <v>-251.09887264001605</v>
      </c>
      <c r="DC150" s="9"/>
    </row>
    <row r="151" spans="1:120">
      <c r="A151" s="1"/>
      <c r="B151" s="475" t="s">
        <v>217</v>
      </c>
      <c r="C151" s="1355"/>
      <c r="D151" s="1356"/>
      <c r="E151" s="1357"/>
      <c r="F151" s="1358"/>
      <c r="G151" s="1359"/>
      <c r="H151" s="1359"/>
      <c r="I151" s="1359"/>
      <c r="J151" s="1359"/>
      <c r="K151" s="1358" t="str">
        <f t="shared" ref="K151:Z151" si="448">IF(AND(K150&gt;0,F150&gt;0),K150/F150-1,"nm")</f>
        <v>nm</v>
      </c>
      <c r="L151" s="1359">
        <f t="shared" si="448"/>
        <v>1.34612421020188</v>
      </c>
      <c r="M151" s="1359">
        <f t="shared" si="448"/>
        <v>0.25109210465811382</v>
      </c>
      <c r="N151" s="1359" t="str">
        <f t="shared" si="448"/>
        <v>nm</v>
      </c>
      <c r="O151" s="1359">
        <f t="shared" si="448"/>
        <v>2.0322167307340275</v>
      </c>
      <c r="P151" s="1358" t="str">
        <f t="shared" si="448"/>
        <v>nm</v>
      </c>
      <c r="Q151" s="1359" t="str">
        <f t="shared" si="448"/>
        <v>nm</v>
      </c>
      <c r="R151" s="1359">
        <f t="shared" si="448"/>
        <v>0.99744555729118822</v>
      </c>
      <c r="S151" s="1359">
        <f t="shared" si="448"/>
        <v>-0.58859905924147204</v>
      </c>
      <c r="T151" s="1359" t="str">
        <f t="shared" si="448"/>
        <v>nm</v>
      </c>
      <c r="U151" s="1358" t="str">
        <f t="shared" si="448"/>
        <v>nm</v>
      </c>
      <c r="V151" s="1359" t="str">
        <f t="shared" si="448"/>
        <v>nm</v>
      </c>
      <c r="W151" s="1359">
        <f t="shared" si="448"/>
        <v>-7.0686625387566537E-2</v>
      </c>
      <c r="X151" s="1359">
        <f t="shared" si="448"/>
        <v>0.20972255536899187</v>
      </c>
      <c r="Y151" s="1359" t="str">
        <f t="shared" si="448"/>
        <v>nm</v>
      </c>
      <c r="Z151" s="1358" t="str">
        <f t="shared" si="448"/>
        <v>nm</v>
      </c>
      <c r="AA151" s="1359">
        <f t="shared" ref="AA151:AY151" si="449">IF(AND(AA150&gt;0,V150&gt;0),AA150/V150-1,"nm")</f>
        <v>4.2918842172758094</v>
      </c>
      <c r="AB151" s="1359">
        <f t="shared" si="449"/>
        <v>-0.16721447806114376</v>
      </c>
      <c r="AC151" s="1359">
        <f t="shared" si="449"/>
        <v>-0.79028420356906737</v>
      </c>
      <c r="AD151" s="1359">
        <f t="shared" si="449"/>
        <v>-0.15503150008513467</v>
      </c>
      <c r="AE151" s="1358">
        <f t="shared" si="449"/>
        <v>1.261791706236151</v>
      </c>
      <c r="AF151" s="1359">
        <f t="shared" si="449"/>
        <v>-0.55765386046753163</v>
      </c>
      <c r="AG151" s="1359">
        <f t="shared" si="449"/>
        <v>-0.26600727549394898</v>
      </c>
      <c r="AH151" s="1359" t="str">
        <f t="shared" si="449"/>
        <v>nm</v>
      </c>
      <c r="AI151" s="1359">
        <f t="shared" si="449"/>
        <v>-0.17969773299748071</v>
      </c>
      <c r="AJ151" s="1358" t="str">
        <f t="shared" si="449"/>
        <v>nm</v>
      </c>
      <c r="AK151" s="1359">
        <f t="shared" si="449"/>
        <v>0.47834083349638035</v>
      </c>
      <c r="AL151" s="1359">
        <f t="shared" si="449"/>
        <v>-0.4885005344822001</v>
      </c>
      <c r="AM151" s="1359" t="str">
        <f t="shared" si="449"/>
        <v>nm</v>
      </c>
      <c r="AN151" s="1359">
        <f t="shared" si="449"/>
        <v>1.3856783148068552</v>
      </c>
      <c r="AO151" s="1358" t="str">
        <f t="shared" si="449"/>
        <v>nm</v>
      </c>
      <c r="AP151" s="1359" t="str">
        <f t="shared" si="449"/>
        <v>nm</v>
      </c>
      <c r="AQ151" s="1359">
        <f t="shared" si="449"/>
        <v>6.2112346030841294</v>
      </c>
      <c r="AR151" s="1359">
        <f t="shared" si="449"/>
        <v>3.875000000000016</v>
      </c>
      <c r="AS151" s="1359">
        <f t="shared" si="449"/>
        <v>2.3826133964886953</v>
      </c>
      <c r="AT151" s="1358" t="str">
        <f t="shared" si="449"/>
        <v>nm</v>
      </c>
      <c r="AU151" s="1359" t="str">
        <f t="shared" si="449"/>
        <v>nm</v>
      </c>
      <c r="AV151" s="1359">
        <f t="shared" si="449"/>
        <v>-0.3249874856194398</v>
      </c>
      <c r="AW151" s="1359">
        <f t="shared" si="449"/>
        <v>1.4385469724988895</v>
      </c>
      <c r="AX151" s="1359" t="str">
        <f t="shared" si="449"/>
        <v>nm</v>
      </c>
      <c r="AY151" s="1358">
        <f t="shared" si="449"/>
        <v>0.16061257943989427</v>
      </c>
      <c r="AZ151" s="1359">
        <f t="shared" ref="AZ151:BV151" si="450">IF(AND(AZ150&gt;0,AU150&gt;0),AZ150/AU150-1,"nm")</f>
        <v>0.40031278868126319</v>
      </c>
      <c r="BA151" s="1359">
        <f t="shared" si="450"/>
        <v>-0.31656974096769541</v>
      </c>
      <c r="BB151" s="1359">
        <f t="shared" si="450"/>
        <v>5.8388398598607116E-2</v>
      </c>
      <c r="BC151" s="1359" t="str">
        <f t="shared" si="450"/>
        <v>nm</v>
      </c>
      <c r="BD151" s="1358">
        <f t="shared" si="450"/>
        <v>0.15834634047029383</v>
      </c>
      <c r="BE151" s="1359">
        <f t="shared" si="450"/>
        <v>-0.80535510714265035</v>
      </c>
      <c r="BF151" s="1359">
        <f t="shared" si="450"/>
        <v>0.90047686582080866</v>
      </c>
      <c r="BG151" s="1359">
        <f t="shared" si="450"/>
        <v>-0.77336417270045654</v>
      </c>
      <c r="BH151" s="1359">
        <f t="shared" si="450"/>
        <v>39.970381110190324</v>
      </c>
      <c r="BI151" s="1358">
        <f t="shared" si="450"/>
        <v>0.77661378024979832</v>
      </c>
      <c r="BJ151" s="1359">
        <f t="shared" si="450"/>
        <v>-0.92843976691640051</v>
      </c>
      <c r="BK151" s="1359">
        <f t="shared" si="450"/>
        <v>-0.52891829355022923</v>
      </c>
      <c r="BL151" s="1359">
        <f t="shared" si="450"/>
        <v>1.2912660848986897</v>
      </c>
      <c r="BM151" s="1359">
        <f t="shared" si="450"/>
        <v>0.4708121634943494</v>
      </c>
      <c r="BN151" s="1358">
        <f t="shared" si="450"/>
        <v>5.3864940900050007E-2</v>
      </c>
      <c r="BO151" s="1359" t="str">
        <f t="shared" si="450"/>
        <v>nm</v>
      </c>
      <c r="BP151" s="1359">
        <f t="shared" si="450"/>
        <v>-0.31804505682603468</v>
      </c>
      <c r="BQ151" s="1359" t="str">
        <f t="shared" si="450"/>
        <v>nm</v>
      </c>
      <c r="BR151" s="1359">
        <f t="shared" si="450"/>
        <v>0.52864910942000565</v>
      </c>
      <c r="BS151" s="1358">
        <f t="shared" si="450"/>
        <v>-0.15713140242113721</v>
      </c>
      <c r="BT151" s="1359" t="str">
        <f t="shared" si="450"/>
        <v>nm</v>
      </c>
      <c r="BU151" s="1359">
        <f t="shared" si="450"/>
        <v>3.1936891993015735</v>
      </c>
      <c r="BV151" s="1359" t="str">
        <f t="shared" si="450"/>
        <v>nm</v>
      </c>
      <c r="BW151" s="1359">
        <f t="shared" ref="BW151:CC151" si="451">IF(AND(BW150&gt;0,BR150&gt;0),BW150/BR150-1,"nm")</f>
        <v>0.53574255288530748</v>
      </c>
      <c r="BX151" s="1358">
        <f t="shared" si="451"/>
        <v>0.7680470736732703</v>
      </c>
      <c r="BY151" s="1359" t="str">
        <f t="shared" si="451"/>
        <v>nm</v>
      </c>
      <c r="BZ151" s="1359">
        <f t="shared" si="451"/>
        <v>0.23420074349442377</v>
      </c>
      <c r="CA151" s="1359" t="str">
        <f t="shared" si="451"/>
        <v>nm</v>
      </c>
      <c r="CB151" s="1359">
        <f t="shared" si="451"/>
        <v>-0.9282576866764275</v>
      </c>
      <c r="CC151" s="1358" t="str">
        <f t="shared" si="451"/>
        <v>nm</v>
      </c>
      <c r="CD151" s="1359" t="str">
        <f t="shared" ref="CD151:CM151" si="452">IF(AND(CD150&gt;0,BY150&gt;0),CD150/BY150-1,"nm")</f>
        <v>nm</v>
      </c>
      <c r="CE151" s="1359">
        <f t="shared" si="452"/>
        <v>-0.5331325301204819</v>
      </c>
      <c r="CF151" s="1359" t="str">
        <f t="shared" si="452"/>
        <v>nm</v>
      </c>
      <c r="CG151" s="1359">
        <f t="shared" si="452"/>
        <v>1.9387755102040818</v>
      </c>
      <c r="CH151" s="1358" t="str">
        <f t="shared" si="452"/>
        <v>nm</v>
      </c>
      <c r="CI151" s="1359">
        <f t="shared" si="452"/>
        <v>0.37142857142857144</v>
      </c>
      <c r="CJ151" s="1359">
        <f t="shared" si="452"/>
        <v>-0.14193548387096777</v>
      </c>
      <c r="CK151" s="1359" t="str">
        <f t="shared" si="452"/>
        <v>nm</v>
      </c>
      <c r="CL151" s="1359">
        <f t="shared" si="452"/>
        <v>-0.86111111111111116</v>
      </c>
      <c r="CM151" s="1358">
        <f t="shared" si="452"/>
        <v>-0.24814814814814812</v>
      </c>
      <c r="CN151" s="1359" t="str">
        <f t="shared" ref="CN151:CW151" ca="1" si="453">IF(AND(CN150&gt;0,CI150&gt;0),CN150/CI150-1,"nm")</f>
        <v>nm</v>
      </c>
      <c r="CO151" s="1359">
        <f t="shared" ca="1" si="453"/>
        <v>0.7312759617404474</v>
      </c>
      <c r="CP151" s="1359" t="str">
        <f t="shared" ca="1" si="453"/>
        <v>nm</v>
      </c>
      <c r="CQ151" s="1359" t="str">
        <f t="shared" ca="1" si="453"/>
        <v>nm</v>
      </c>
      <c r="CR151" s="1358">
        <f t="shared" ca="1" si="453"/>
        <v>-0.44987409150086377</v>
      </c>
      <c r="CS151" s="1359" t="str">
        <f t="shared" ref="CS151" ca="1" si="454">IF(AND(CS150&gt;0,CN150&gt;0),CS150/CN150-1,"nm")</f>
        <v>nm</v>
      </c>
      <c r="CT151" s="1359">
        <f t="shared" ref="CT151" ca="1" si="455">IF(AND(CT150&gt;0,CO150&gt;0),CT150/CO150-1,"nm")</f>
        <v>0.92342615091585767</v>
      </c>
      <c r="CU151" s="1359">
        <f t="shared" ref="CU151" ca="1" si="456">IF(AND(CU150&gt;0,CP150&gt;0),CU150/CP150-1,"nm")</f>
        <v>2.9954041865518937</v>
      </c>
      <c r="CV151" s="1359" t="str">
        <f t="shared" ref="CV151" ca="1" si="457">IF(AND(CV150&gt;0,CQ150&gt;0),CV150/CQ150-1,"nm")</f>
        <v>nm</v>
      </c>
      <c r="CW151" s="1358">
        <f t="shared" ca="1" si="453"/>
        <v>9.1751519243659345</v>
      </c>
      <c r="CX151" s="1359" t="str">
        <f t="shared" ref="CX151" ca="1" si="458">IF(AND(CX150&gt;0,CS150&gt;0),CX150/CS150-1,"nm")</f>
        <v>nm</v>
      </c>
      <c r="CY151" s="1359">
        <f t="shared" ref="CY151" ca="1" si="459">IF(AND(CY150&gt;0,CT150&gt;0),CY150/CT150-1,"nm")</f>
        <v>-0.74787222149980259</v>
      </c>
      <c r="CZ151" s="1359">
        <f t="shared" ref="CZ151" ca="1" si="460">IF(AND(CZ150&gt;0,CU150&gt;0),CZ150/CU150-1,"nm")</f>
        <v>-0.20529260129468219</v>
      </c>
      <c r="DA151" s="1359" t="str">
        <f t="shared" ref="DA151" ca="1" si="461">IF(AND(DA150&gt;0,CV150&gt;0),DA150/CV150-1,"nm")</f>
        <v>nm</v>
      </c>
      <c r="DB151" s="1358" t="str">
        <f t="shared" ref="DB151" ca="1" si="462">IF(AND(DB150&gt;0,CW150&gt;0),DB150/CW150-1,"nm")</f>
        <v>nm</v>
      </c>
      <c r="DC151" s="85"/>
    </row>
    <row r="152" spans="1:120" hidden="1" outlineLevel="1">
      <c r="A152" s="1"/>
      <c r="B152" s="9"/>
      <c r="C152" s="5"/>
      <c r="D152" s="876"/>
      <c r="E152" s="200"/>
      <c r="F152" s="200"/>
      <c r="G152" s="268"/>
      <c r="H152" s="268"/>
      <c r="I152" s="66"/>
      <c r="J152" s="268"/>
      <c r="K152" s="866"/>
      <c r="L152" s="268"/>
      <c r="M152" s="268"/>
      <c r="N152" s="66"/>
      <c r="O152" s="268"/>
      <c r="P152" s="866"/>
      <c r="Q152" s="268"/>
      <c r="R152" s="268"/>
      <c r="S152" s="66"/>
      <c r="T152" s="268"/>
      <c r="U152" s="866"/>
      <c r="V152" s="268"/>
      <c r="W152" s="268"/>
      <c r="X152" s="66"/>
      <c r="Y152" s="268"/>
      <c r="Z152" s="866"/>
      <c r="AA152" s="268"/>
      <c r="AB152" s="268"/>
      <c r="AC152" s="66"/>
      <c r="AD152" s="268"/>
      <c r="AE152" s="866"/>
      <c r="AF152" s="268"/>
      <c r="AG152" s="268"/>
      <c r="AH152" s="66"/>
      <c r="AI152" s="268"/>
      <c r="AJ152" s="866"/>
      <c r="AK152" s="268"/>
      <c r="AL152" s="268"/>
      <c r="AM152" s="66"/>
      <c r="AN152" s="268"/>
      <c r="AO152" s="866"/>
      <c r="AP152" s="268"/>
      <c r="AQ152" s="268"/>
      <c r="AR152" s="66"/>
      <c r="AS152" s="268"/>
      <c r="AT152" s="866"/>
      <c r="AU152" s="268"/>
      <c r="AV152" s="268"/>
      <c r="AW152" s="66"/>
      <c r="AX152" s="268"/>
      <c r="AY152" s="866"/>
      <c r="AZ152" s="268"/>
      <c r="BA152" s="268"/>
      <c r="BB152" s="66"/>
      <c r="BC152" s="268"/>
      <c r="BD152" s="866"/>
      <c r="BE152" s="268"/>
      <c r="BF152" s="268"/>
      <c r="BG152" s="268"/>
      <c r="BH152" s="268"/>
      <c r="BI152" s="866"/>
      <c r="BJ152" s="268"/>
      <c r="BK152" s="268"/>
      <c r="BL152" s="268"/>
      <c r="BM152" s="268"/>
      <c r="BN152" s="866"/>
      <c r="BO152" s="268"/>
      <c r="BP152" s="268"/>
      <c r="BQ152" s="268"/>
      <c r="BR152" s="268"/>
      <c r="BS152" s="907"/>
      <c r="BT152" s="268"/>
      <c r="BU152" s="268"/>
      <c r="BV152" s="268"/>
      <c r="BW152" s="268"/>
      <c r="BX152" s="866"/>
      <c r="BY152" s="268"/>
      <c r="BZ152" s="268"/>
      <c r="CA152" s="268"/>
      <c r="CB152" s="268"/>
      <c r="CC152" s="866"/>
      <c r="CD152" s="268"/>
      <c r="CE152" s="268"/>
      <c r="CF152" s="268"/>
      <c r="CG152" s="268"/>
      <c r="CH152" s="866"/>
      <c r="CI152" s="268"/>
      <c r="CJ152" s="268"/>
      <c r="CK152" s="268"/>
      <c r="CL152" s="268"/>
      <c r="CM152" s="866"/>
      <c r="CN152" s="268"/>
      <c r="CO152" s="268"/>
      <c r="CP152" s="268"/>
      <c r="CQ152" s="268"/>
      <c r="CR152" s="866"/>
      <c r="CS152" s="268"/>
      <c r="CT152" s="268"/>
      <c r="CU152" s="268"/>
      <c r="CV152" s="268"/>
      <c r="CW152" s="866"/>
      <c r="CX152" s="268"/>
      <c r="CY152" s="268"/>
      <c r="CZ152" s="268"/>
      <c r="DA152" s="268"/>
      <c r="DB152" s="866"/>
      <c r="DC152" s="9"/>
    </row>
    <row r="153" spans="1:120" hidden="1" outlineLevel="1">
      <c r="A153" s="1"/>
      <c r="B153" s="9" t="s">
        <v>265</v>
      </c>
      <c r="C153" s="5"/>
      <c r="D153" s="876"/>
      <c r="E153" s="200"/>
      <c r="F153" s="200"/>
      <c r="G153" s="66">
        <f>-G122/IS!G8</f>
        <v>4.6600358715147568E-2</v>
      </c>
      <c r="H153" s="66">
        <f>-H122/IS!H8</f>
        <v>5.1081417478779464E-2</v>
      </c>
      <c r="I153" s="66">
        <f>-I122/IS!I8</f>
        <v>6.171126512054427E-2</v>
      </c>
      <c r="J153" s="66">
        <f>-J122/IS!J8</f>
        <v>3.8678372027761129E-2</v>
      </c>
      <c r="K153" s="65">
        <f>-K122/IS!K8</f>
        <v>4.9144291091593476E-2</v>
      </c>
      <c r="L153" s="66">
        <f>-L122/IS!L8</f>
        <v>3.4508611689555574E-2</v>
      </c>
      <c r="M153" s="66">
        <f>-M122/IS!M8</f>
        <v>6.1217681715550101E-2</v>
      </c>
      <c r="N153" s="66">
        <f>-N122/IS!N8</f>
        <v>5.5531337219923982E-2</v>
      </c>
      <c r="O153" s="66">
        <f>-O122/IS!O8</f>
        <v>3.8361540768670453E-2</v>
      </c>
      <c r="P153" s="65">
        <f>-P122/IS!P8</f>
        <v>4.7252407157370627E-2</v>
      </c>
      <c r="Q153" s="66">
        <f>-Q122/IS!Q8</f>
        <v>4.8933907902141284E-2</v>
      </c>
      <c r="R153" s="66">
        <f>-R122/IS!R8</f>
        <v>5.1864237105826466E-2</v>
      </c>
      <c r="S153" s="66">
        <f>-S122/IS!S8</f>
        <v>4.7796609231807612E-2</v>
      </c>
      <c r="T153" s="66">
        <f>-T122/IS!T8</f>
        <v>5.719266645870856E-2</v>
      </c>
      <c r="U153" s="65">
        <f>-U122/IS!U8</f>
        <v>5.16396530897925E-2</v>
      </c>
      <c r="V153" s="66">
        <f>-V122/IS!V8</f>
        <v>4.8514304892166113E-2</v>
      </c>
      <c r="W153" s="66">
        <f>-W122/IS!W8</f>
        <v>5.3149376466351803E-2</v>
      </c>
      <c r="X153" s="66">
        <f>-X122/IS!X8</f>
        <v>4.9830930981453352E-2</v>
      </c>
      <c r="Y153" s="66">
        <f>-Y122/IS!Y8</f>
        <v>4.4837915135607045E-2</v>
      </c>
      <c r="Z153" s="65">
        <f>-Z122/IS!Z8</f>
        <v>4.9014962920884357E-2</v>
      </c>
      <c r="AA153" s="66">
        <f>-AA122/IS!AA8</f>
        <v>3.6282364884674456E-2</v>
      </c>
      <c r="AB153" s="66">
        <f>-AB122/IS!AB8</f>
        <v>4.7423692580313009E-2</v>
      </c>
      <c r="AC153" s="66">
        <f>-AC122/IS!AC8</f>
        <v>6.0471187567862482E-2</v>
      </c>
      <c r="AD153" s="66">
        <f>-AD122/IS!AD8</f>
        <v>5.64481146965084E-2</v>
      </c>
      <c r="AE153" s="65">
        <f>-AE122/IS!AE8</f>
        <v>5.0308947388803642E-2</v>
      </c>
      <c r="AF153" s="66">
        <f>-AF122/IS!AF8</f>
        <v>3.8676670283918559E-2</v>
      </c>
      <c r="AG153" s="66">
        <f>-AG122/IS!AG8</f>
        <v>5.1354596467286302E-2</v>
      </c>
      <c r="AH153" s="66">
        <f>-AH122/IS!AH8</f>
        <v>5.7325299982287241E-2</v>
      </c>
      <c r="AI153" s="66">
        <f>-AI122/IS!AI8</f>
        <v>5.7100314687949599E-2</v>
      </c>
      <c r="AJ153" s="65">
        <f>-AJ122/IS!AJ8</f>
        <v>5.1429410460383691E-2</v>
      </c>
      <c r="AK153" s="66">
        <f>-AK122/IS!AK8</f>
        <v>3.720025880463157E-2</v>
      </c>
      <c r="AL153" s="66">
        <f>-AL122/IS!AL8</f>
        <v>5.1283775561831939E-2</v>
      </c>
      <c r="AM153" s="66">
        <f>-AM122/IS!AM8</f>
        <v>7.2146140852783092E-2</v>
      </c>
      <c r="AN153" s="66">
        <f>-AN122/IS!AN8</f>
        <v>9.6601646454474888E-2</v>
      </c>
      <c r="AO153" s="65">
        <f>-AO122/IS!AO8</f>
        <v>7.1286718554196229E-2</v>
      </c>
      <c r="AP153" s="66">
        <f>-AP122/IS!AP8</f>
        <v>5.194874235303866E-2</v>
      </c>
      <c r="AQ153" s="66">
        <f>-AQ122/IS!AQ8</f>
        <v>4.9770311454694127E-2</v>
      </c>
      <c r="AR153" s="66">
        <f>-AR122/IS!AR8</f>
        <v>6.3401686345506067E-2</v>
      </c>
      <c r="AS153" s="66">
        <f>-AS122/IS!AS8</f>
        <v>8.7206476970441815E-2</v>
      </c>
      <c r="AT153" s="65">
        <f>-AT122/IS!AT8</f>
        <v>6.3202895544344356E-2</v>
      </c>
      <c r="AU153" s="66">
        <f>-AU122/IS!AU8</f>
        <v>4.702719896002959E-2</v>
      </c>
      <c r="AV153" s="66">
        <f>-AV122/IS!AV8</f>
        <v>4.350536848172714E-2</v>
      </c>
      <c r="AW153" s="66">
        <f>-AW122/IS!AW8</f>
        <v>4.2394979585370668E-2</v>
      </c>
      <c r="AX153" s="66">
        <f>-AX122/IS!AX8</f>
        <v>5.7826450125616866E-2</v>
      </c>
      <c r="AY153" s="65">
        <f>-AY122/IS!AY8</f>
        <v>4.7726969252073301E-2</v>
      </c>
      <c r="AZ153" s="66">
        <f>-AZ122/IS!AZ8</f>
        <v>4.0039269508675548E-2</v>
      </c>
      <c r="BA153" s="66">
        <f>-BA122/IS!BA8</f>
        <v>4.3320706497333349E-2</v>
      </c>
      <c r="BB153" s="66">
        <f>-BB122/IS!BB8</f>
        <v>3.6262916832587408E-2</v>
      </c>
      <c r="BC153" s="66">
        <f>-BC122/IS!BC8</f>
        <v>8.3911330388024341E-2</v>
      </c>
      <c r="BD153" s="65">
        <f>-BD122/IS!BD8</f>
        <v>5.1390135910368465E-2</v>
      </c>
      <c r="BE153" s="66">
        <f>-BE122/IS!BE8</f>
        <v>4.5186357199952308E-2</v>
      </c>
      <c r="BF153" s="66">
        <f>-BF122/IS!BF8</f>
        <v>5.7518298086480131E-2</v>
      </c>
      <c r="BG153" s="66">
        <f>-BG122/IS!BG8</f>
        <v>5.2811990686845181E-2</v>
      </c>
      <c r="BH153" s="66">
        <f>-BH122/IS!BH8</f>
        <v>7.084008953921464E-2</v>
      </c>
      <c r="BI153" s="65">
        <f>-BI122/IS!BI8</f>
        <v>5.6621288504583672E-2</v>
      </c>
      <c r="BJ153" s="66">
        <f>-BJ122/IS!BJ8</f>
        <v>4.8871002996967616E-2</v>
      </c>
      <c r="BK153" s="66">
        <f>-BK122/IS!BK8</f>
        <v>5.3800046337471326E-2</v>
      </c>
      <c r="BL153" s="66">
        <f>-BL122/IS!BL8</f>
        <v>4.6260125015520764E-2</v>
      </c>
      <c r="BM153" s="66">
        <f>-BM122/IS!BM8</f>
        <v>5.6178502812234875E-2</v>
      </c>
      <c r="BN153" s="65">
        <f>-BN122/IS!BN10</f>
        <v>5.9006131329493429E-2</v>
      </c>
      <c r="BO153" s="66">
        <f>-BO122/IS!BO10</f>
        <v>3.4078357363931458E-2</v>
      </c>
      <c r="BP153" s="66">
        <f>-BP122/IS!BP10</f>
        <v>5.6276265754045179E-2</v>
      </c>
      <c r="BQ153" s="66">
        <f>-BQ122/IS!BQ10</f>
        <v>3.9128950034972625E-2</v>
      </c>
      <c r="BR153" s="66">
        <f>-BR122/IS!BR10</f>
        <v>5.9751104888681746E-2</v>
      </c>
      <c r="BS153" s="65">
        <f>-BS122/IS!BS10</f>
        <v>4.7238536869581391E-2</v>
      </c>
      <c r="BT153" s="66">
        <f>-BT122/IS!BT10</f>
        <v>4.3146603098927296E-2</v>
      </c>
      <c r="BU153" s="66">
        <f>-BU122/IS!BU10</f>
        <v>3.7664783427495289E-2</v>
      </c>
      <c r="BV153" s="66">
        <f>-BV122/IS!BV10</f>
        <v>4.1501564129301359E-2</v>
      </c>
      <c r="BW153" s="66">
        <f>-BW122/IS!BW10</f>
        <v>5.9577063847092313E-2</v>
      </c>
      <c r="BX153" s="65">
        <f>-BX122/IS!BX10</f>
        <v>4.56467062663884E-2</v>
      </c>
      <c r="BY153" s="66">
        <f>-BY122/IS!BY10</f>
        <v>4.9073508450417427E-2</v>
      </c>
      <c r="BZ153" s="66">
        <f>-BZ122/IS!BZ10</f>
        <v>4.7726341663252764E-2</v>
      </c>
      <c r="CA153" s="66">
        <f>-CA122/IS!CA10</f>
        <v>4.5810978126289724E-2</v>
      </c>
      <c r="CB153" s="66">
        <f>-CB122/IS!CB10</f>
        <v>5.3563984993747392E-2</v>
      </c>
      <c r="CC153" s="65">
        <f>-CC122/IS!CC10</f>
        <v>4.9030200133765502E-2</v>
      </c>
      <c r="CD153" s="66">
        <f>-CD122/IS!CD10</f>
        <v>4.4808961792358472E-2</v>
      </c>
      <c r="CE153" s="66">
        <f>-CE122/IS!CE10</f>
        <v>3.9869281045751631E-2</v>
      </c>
      <c r="CF153" s="66">
        <f>-CF122/IS!CF10</f>
        <v>3.515981735159817E-2</v>
      </c>
      <c r="CG153" s="66">
        <f>-CG122/IS!CG10</f>
        <v>4.0948758111434329E-2</v>
      </c>
      <c r="CH153" s="65">
        <f>-CH122/IS!CH8</f>
        <v>3.4970622796709754E-2</v>
      </c>
      <c r="CI153" s="66">
        <f>-CI122/IS!CI10</f>
        <v>3.2545697726259475E-2</v>
      </c>
      <c r="CJ153" s="66">
        <f>-CJ122/IS!CJ10</f>
        <v>3.0888030888030889E-2</v>
      </c>
      <c r="CK153" s="66">
        <f>-CK122/IS!CK10</f>
        <v>4.2007637752318604E-2</v>
      </c>
      <c r="CL153" s="66">
        <f>-CL122/IS!CL10</f>
        <v>4.4458973520758414E-2</v>
      </c>
      <c r="CM153" s="65">
        <f>-CM122/IS!CM8</f>
        <v>3.0652173913043479E-2</v>
      </c>
      <c r="CN153" s="908">
        <v>3.6499999999999998E-2</v>
      </c>
      <c r="CO153" s="908">
        <v>3.6499999999999998E-2</v>
      </c>
      <c r="CP153" s="908">
        <v>3.6499999999999998E-2</v>
      </c>
      <c r="CQ153" s="908">
        <v>3.6499999999999998E-2</v>
      </c>
      <c r="CR153" s="65">
        <f ca="1">-CR122/IS!CR8</f>
        <v>3.6499999999999998E-2</v>
      </c>
      <c r="CS153" s="908">
        <v>3.6999999999999998E-2</v>
      </c>
      <c r="CT153" s="908">
        <v>3.6999999999999998E-2</v>
      </c>
      <c r="CU153" s="908">
        <v>3.6999999999999998E-2</v>
      </c>
      <c r="CV153" s="908">
        <v>0.03</v>
      </c>
      <c r="CW153" s="65">
        <f ca="1">-CW122/IS!CW8</f>
        <v>3.5147483954055876E-2</v>
      </c>
      <c r="CX153" s="908">
        <v>3.6999999999999998E-2</v>
      </c>
      <c r="CY153" s="908">
        <v>3.6999999999999998E-2</v>
      </c>
      <c r="CZ153" s="908">
        <v>3.6999999999999998E-2</v>
      </c>
      <c r="DA153" s="908">
        <v>3.6999999999999998E-2</v>
      </c>
      <c r="DB153" s="65">
        <f ca="1">-DB122/IS!DB8</f>
        <v>3.7000000000000005E-2</v>
      </c>
      <c r="DC153" s="9"/>
    </row>
    <row r="154" spans="1:120" hidden="1" outlineLevel="1">
      <c r="A154" s="1"/>
      <c r="B154" s="9"/>
      <c r="C154" s="5"/>
      <c r="D154" s="876"/>
      <c r="E154" s="200"/>
      <c r="F154" s="200"/>
      <c r="G154" s="268"/>
      <c r="H154" s="268"/>
      <c r="I154" s="66"/>
      <c r="J154" s="268"/>
      <c r="K154" s="866"/>
      <c r="L154" s="268"/>
      <c r="M154" s="268"/>
      <c r="N154" s="66"/>
      <c r="O154" s="268"/>
      <c r="P154" s="866"/>
      <c r="Q154" s="268"/>
      <c r="R154" s="268"/>
      <c r="S154" s="66"/>
      <c r="T154" s="268"/>
      <c r="U154" s="866"/>
      <c r="V154" s="268"/>
      <c r="W154" s="268"/>
      <c r="X154" s="66"/>
      <c r="Y154" s="268"/>
      <c r="Z154" s="866"/>
      <c r="AA154" s="268"/>
      <c r="AB154" s="268"/>
      <c r="AC154" s="66"/>
      <c r="AD154" s="268"/>
      <c r="AE154" s="866"/>
      <c r="AF154" s="268"/>
      <c r="AG154" s="268"/>
      <c r="AH154" s="66"/>
      <c r="AI154" s="268"/>
      <c r="AJ154" s="866"/>
      <c r="AK154" s="268"/>
      <c r="AL154" s="268"/>
      <c r="AM154" s="66"/>
      <c r="AN154" s="268"/>
      <c r="AO154" s="866"/>
      <c r="AP154" s="268"/>
      <c r="AQ154" s="268"/>
      <c r="AR154" s="66"/>
      <c r="AS154" s="268"/>
      <c r="AT154" s="866"/>
      <c r="AU154" s="268"/>
      <c r="AV154" s="268"/>
      <c r="AW154" s="66"/>
      <c r="AX154" s="268"/>
      <c r="AY154" s="866"/>
      <c r="AZ154" s="268"/>
      <c r="BA154" s="268"/>
      <c r="BB154" s="66"/>
      <c r="BC154" s="268"/>
      <c r="BD154" s="866"/>
      <c r="BE154" s="268"/>
      <c r="BF154" s="268"/>
      <c r="BG154" s="268"/>
      <c r="BH154" s="268"/>
      <c r="BI154" s="866"/>
      <c r="BJ154" s="268"/>
      <c r="BK154" s="268"/>
      <c r="BL154" s="268"/>
      <c r="BM154" s="268"/>
      <c r="BN154" s="866"/>
      <c r="BO154" s="268"/>
      <c r="BP154" s="268"/>
      <c r="BQ154" s="268"/>
      <c r="BR154" s="268"/>
      <c r="BS154" s="866"/>
      <c r="BT154" s="66"/>
      <c r="BU154" s="66"/>
      <c r="BV154" s="66"/>
      <c r="BW154" s="268"/>
      <c r="BX154" s="866"/>
      <c r="BY154" s="66"/>
      <c r="BZ154" s="66"/>
      <c r="CA154" s="66"/>
      <c r="CB154" s="66"/>
      <c r="CC154" s="866"/>
      <c r="CD154" s="66"/>
      <c r="CE154" s="66"/>
      <c r="CF154" s="66"/>
      <c r="CG154" s="66"/>
      <c r="CH154" s="866"/>
      <c r="CI154" s="66"/>
      <c r="CJ154" s="268"/>
      <c r="CK154" s="268"/>
      <c r="CL154" s="268"/>
      <c r="CM154" s="866"/>
      <c r="CN154" s="268"/>
      <c r="CO154" s="268"/>
      <c r="CP154" s="268"/>
      <c r="CQ154" s="268"/>
      <c r="CR154" s="866"/>
      <c r="CS154" s="268"/>
      <c r="CT154" s="268"/>
      <c r="CU154" s="268"/>
      <c r="CV154" s="268"/>
      <c r="CW154" s="866"/>
      <c r="CX154" s="268"/>
      <c r="CY154" s="268"/>
      <c r="CZ154" s="268"/>
      <c r="DA154" s="268"/>
      <c r="DB154" s="866"/>
      <c r="DC154" s="9"/>
    </row>
    <row r="155" spans="1:120" hidden="1" outlineLevel="1">
      <c r="A155" s="1"/>
      <c r="B155" s="9" t="s">
        <v>502</v>
      </c>
      <c r="C155" s="5"/>
      <c r="D155" s="876"/>
      <c r="E155" s="200"/>
      <c r="F155" s="194">
        <f>F$150/IS!F$57</f>
        <v>-0.57843076762575896</v>
      </c>
      <c r="G155" s="710">
        <f>G$150/IS!G$57</f>
        <v>0.14819057458617282</v>
      </c>
      <c r="H155" s="710">
        <f>H$150/IS!H$57</f>
        <v>0.49697320420439739</v>
      </c>
      <c r="I155" s="710">
        <f>I$150/IS!I$57</f>
        <v>-8.1620403529726659E-2</v>
      </c>
      <c r="J155" s="710">
        <f>J$150/IS!J$57</f>
        <v>0.2232484011360619</v>
      </c>
      <c r="K155" s="194">
        <f>K$150/IS!K$57</f>
        <v>-0.88404141372699419</v>
      </c>
      <c r="L155" s="710">
        <f>L$150/IS!L$57</f>
        <v>0.28147835449203507</v>
      </c>
      <c r="M155" s="710">
        <f>M$150/IS!M$57</f>
        <v>0.54500220905425401</v>
      </c>
      <c r="N155" s="710">
        <f>N$150/IS!N$57</f>
        <v>0.28016070890418571</v>
      </c>
      <c r="O155" s="710">
        <f>O$150/IS!O$57</f>
        <v>0.61127152965487974</v>
      </c>
      <c r="P155" s="194">
        <f>P$150/IS!P$57</f>
        <v>0.23487210717815374</v>
      </c>
      <c r="Q155" s="710">
        <f>Q$150/IS!Q$57</f>
        <v>-0.22028329557759338</v>
      </c>
      <c r="R155" s="710">
        <f>R$150/IS!R$57</f>
        <v>1.0085922378345702</v>
      </c>
      <c r="S155" s="710">
        <f>S$150/IS!S$57</f>
        <v>0.11567363726961499</v>
      </c>
      <c r="T155" s="710">
        <f>T$150/IS!T$57</f>
        <v>-1.1226339569164897E-3</v>
      </c>
      <c r="U155" s="194">
        <f>U$150/IS!U$57</f>
        <v>-3.2679323168418697</v>
      </c>
      <c r="V155" s="710">
        <f>V$150/IS!V$57</f>
        <v>0.20006083557349574</v>
      </c>
      <c r="W155" s="710">
        <f>W$150/IS!W$57</f>
        <v>0.92668431465971046</v>
      </c>
      <c r="X155" s="710">
        <f>X$150/IS!X$57</f>
        <v>0.14026189519369753</v>
      </c>
      <c r="Y155" s="710">
        <f>Y$150/IS!Y$57</f>
        <v>0.24090405677017093</v>
      </c>
      <c r="Z155" s="194">
        <f>Z$150/IS!Z$57</f>
        <v>0.26856208340925647</v>
      </c>
      <c r="AA155" s="269">
        <f>AA$150/IS!AA$57</f>
        <v>1.1779634273160078</v>
      </c>
      <c r="AB155" s="269">
        <f>AB$150/IS!AB$57</f>
        <v>0.8468630523540629</v>
      </c>
      <c r="AC155" s="269">
        <f>AC$150/IS!AC$57</f>
        <v>3.2203727131294109E-2</v>
      </c>
      <c r="AD155" s="269">
        <f>AD$150/IS!AD$57</f>
        <v>0.20175019565195307</v>
      </c>
      <c r="AE155" s="909">
        <f>AE$150/IS!AE$57</f>
        <v>0.6523129945546654</v>
      </c>
      <c r="AF155" s="269">
        <f>AF$150/IS!AF$57</f>
        <v>0.52041929931441999</v>
      </c>
      <c r="AG155" s="269">
        <f>AG$150/IS!AG$57</f>
        <v>0.63736759811300292</v>
      </c>
      <c r="AH155" s="269">
        <f>AH$150/IS!AH$57</f>
        <v>-3.5681753651850306E-2</v>
      </c>
      <c r="AI155" s="269">
        <f>AI$150/IS!AI$57</f>
        <v>0.17204289714195167</v>
      </c>
      <c r="AJ155" s="909">
        <f>AJ$150/IS!AJ$57</f>
        <v>-2.6901607776383361</v>
      </c>
      <c r="AK155" s="269">
        <f>AK$150/IS!AK$57</f>
        <v>0.80069693420754739</v>
      </c>
      <c r="AL155" s="269">
        <f>AL$150/IS!AL$57</f>
        <v>0.33366836464465605</v>
      </c>
      <c r="AM155" s="269">
        <f>AM$150/IS!AM$57</f>
        <v>0.199996311750851</v>
      </c>
      <c r="AN155" s="269">
        <f>AN$150/IS!AN$57</f>
        <v>0.41473778612914308</v>
      </c>
      <c r="AO155" s="909">
        <f>AO$150/IS!AO$57</f>
        <v>-72.410491233443679</v>
      </c>
      <c r="AP155" s="269">
        <f>AP$150/IS!AP$57</f>
        <v>-0.91109343727376901</v>
      </c>
      <c r="AQ155" s="269">
        <f>AQ$150/IS!AQ$57</f>
        <v>2.3843633556254518</v>
      </c>
      <c r="AR155" s="269">
        <f>AR$150/IS!AR$57</f>
        <v>0.97172131147541096</v>
      </c>
      <c r="AS155" s="269">
        <f>AS$150/IS!AS$57</f>
        <v>1.4308690775647106</v>
      </c>
      <c r="AT155" s="909">
        <f>AT$150/IS!AT$57</f>
        <v>2.1544545854949604</v>
      </c>
      <c r="AU155" s="269">
        <f>AU$150/IS!AU$57</f>
        <v>1.3578237322404965</v>
      </c>
      <c r="AV155" s="269">
        <f>AV$150/IS!AV$57</f>
        <v>1.6879769835335441</v>
      </c>
      <c r="AW155" s="269">
        <f>AW$150/IS!AW$57</f>
        <v>2.4506921159270738</v>
      </c>
      <c r="AX155" s="269">
        <f>AX$150/IS!AX$57</f>
        <v>-3.3236604494116473E-2</v>
      </c>
      <c r="AY155" s="909">
        <f>AY$150/IS!AY$57</f>
        <v>2.5762130983053515</v>
      </c>
      <c r="AZ155" s="269">
        <f>AZ$150/IS!AZ$57</f>
        <v>1.8614132502760152</v>
      </c>
      <c r="BA155" s="269">
        <f>BA$150/IS!BA$57</f>
        <v>1.1092690456414471</v>
      </c>
      <c r="BB155" s="269">
        <f>BB$150/IS!BB$57</f>
        <v>2.5811056224595301</v>
      </c>
      <c r="BC155" s="269">
        <f>BC$150/IS!BC$57</f>
        <v>5.2604626330642432E-2</v>
      </c>
      <c r="BD155" s="909">
        <f>BD$150/IS!BD$57</f>
        <v>2.9382744707983708</v>
      </c>
      <c r="BE155" s="269">
        <f>BE$150/IS!BE$57</f>
        <v>0.36506578331079592</v>
      </c>
      <c r="BF155" s="269">
        <f>BF$150/IS!BF$57</f>
        <v>2.1753965640422641</v>
      </c>
      <c r="BG155" s="269">
        <f>BG$150/IS!BG$57</f>
        <v>0.60193027893928386</v>
      </c>
      <c r="BH155" s="269">
        <f>BH$150/IS!BH$57</f>
        <v>2.224677778527568</v>
      </c>
      <c r="BI155" s="909">
        <f>BI$150/IS!BI$57</f>
        <v>5.3514342498939094</v>
      </c>
      <c r="BJ155" s="269">
        <f>BJ$150/IS!BJ$57</f>
        <v>2.7089777706708326E-2</v>
      </c>
      <c r="BK155" s="269">
        <f>BK$150/IS!BK$57</f>
        <v>1.0505788973537868</v>
      </c>
      <c r="BL155" s="269">
        <f>BL$150/IS!BL$57</f>
        <v>1.3768623137686229</v>
      </c>
      <c r="BM155" s="269">
        <f>BM$150/IS!BM$57</f>
        <v>3.2031311930241779</v>
      </c>
      <c r="BN155" s="909">
        <f>BN$150/IS!BN$57</f>
        <v>5.6937755331969049</v>
      </c>
      <c r="BO155" s="269">
        <f>BO$150/IS!BO$57</f>
        <v>-0.60549571190991258</v>
      </c>
      <c r="BP155" s="269">
        <f>BP$150/IS!BP$57</f>
        <v>0.68159262132208365</v>
      </c>
      <c r="BQ155" s="269">
        <f>BQ$150/IS!BQ$57</f>
        <v>-0.18459288954243133</v>
      </c>
      <c r="BR155" s="269">
        <f>BR$150/IS!BR$57</f>
        <v>4.6961131115170573</v>
      </c>
      <c r="BS155" s="909">
        <f>BS$150/IS!BS$57</f>
        <v>4.5935540196267564</v>
      </c>
      <c r="BT155" s="269">
        <f>BT$150/IS!BT$57</f>
        <v>-1.0822855751560376</v>
      </c>
      <c r="BU155" s="269">
        <f>BU$150/IS!BU$57</f>
        <v>2.3705835642647446</v>
      </c>
      <c r="BV155" s="269">
        <f>BV$150/IS!BV$57</f>
        <v>-0.64912280701753988</v>
      </c>
      <c r="BW155" s="269">
        <f>BW$150/IS!BW$57</f>
        <v>5.9391304347826086</v>
      </c>
      <c r="BX155" s="909">
        <f>BX$150/IS!BX$57</f>
        <v>6.7703652052273657</v>
      </c>
      <c r="BY155" s="269">
        <f>BY$150/IS!BY$57</f>
        <v>-2.6247707367057012</v>
      </c>
      <c r="BZ155" s="269">
        <f>BZ$150/IS!BZ$57</f>
        <v>2.8595935189448975</v>
      </c>
      <c r="CA155" s="269">
        <f>CA$150/IS!CA$57</f>
        <v>-0.95386919292706507</v>
      </c>
      <c r="CB155" s="269">
        <f>CB$150/IS!CB$57</f>
        <v>0.4336283185840708</v>
      </c>
      <c r="CC155" s="909">
        <f>CC$150/IS!CC$57</f>
        <v>-0.27760330217456036</v>
      </c>
      <c r="CD155" s="269">
        <f>CD$150/IS!CD$57</f>
        <v>0.63457890051264187</v>
      </c>
      <c r="CE155" s="269">
        <f>CE$150/IS!CE$57</f>
        <v>1.397916662251204</v>
      </c>
      <c r="CF155" s="269">
        <f>CF$150/IS!CF$57</f>
        <v>0.21643452260496263</v>
      </c>
      <c r="CG155" s="269">
        <f>CG$150/IS!CG$57</f>
        <v>1.2972972972972974</v>
      </c>
      <c r="CH155" s="909">
        <f>CH$150/IS!CH$57</f>
        <v>2.4383422050909318</v>
      </c>
      <c r="CI155" s="269">
        <f>CI$150/IS!CI$57</f>
        <v>0.86290326806725515</v>
      </c>
      <c r="CJ155" s="269">
        <f>CJ$150/IS!CJ$57</f>
        <v>1.1884565164938374</v>
      </c>
      <c r="CK155" s="269">
        <f>CK$150/IS!CK$57</f>
        <v>-0.35734789187703392</v>
      </c>
      <c r="CL155" s="269">
        <f>CL$150/IS!CL$57</f>
        <v>0.17886938344099154</v>
      </c>
      <c r="CM155" s="909">
        <f>CM$150/IS!CM$57</f>
        <v>1.8169150996365024</v>
      </c>
      <c r="CN155" s="269">
        <f ca="1">CN$150/IS!CN$57</f>
        <v>-0.26190584415007923</v>
      </c>
      <c r="CO155" s="269">
        <f ca="1">CO$150/IS!CO$57</f>
        <v>2.0089525177664798</v>
      </c>
      <c r="CP155" s="269">
        <f ca="1">CP$150/IS!CP$57</f>
        <v>0.44272040957709269</v>
      </c>
      <c r="CQ155" s="269">
        <f ca="1">CQ$150/IS!CQ$57</f>
        <v>-1.2128412987677779</v>
      </c>
      <c r="CR155" s="909">
        <f ca="1">CR$150/IS!CR$57</f>
        <v>0.97360669798755273</v>
      </c>
      <c r="CS155" s="269">
        <f ca="1">CS$150/IS!CS$57</f>
        <v>1.6051718574597378</v>
      </c>
      <c r="CT155" s="269">
        <f ca="1">CT$150/IS!CT$57</f>
        <v>3.8409751803841834</v>
      </c>
      <c r="CU155" s="269">
        <f ca="1">CU$150/IS!CU$57</f>
        <v>1.7582898649214076</v>
      </c>
      <c r="CV155" s="269">
        <f ca="1">CV$150/IS!CV$57</f>
        <v>2.6422210510926547</v>
      </c>
      <c r="CW155" s="909">
        <f ca="1">CW$150/IS!CW$57</f>
        <v>9.84742580565357</v>
      </c>
      <c r="CX155" s="269">
        <f ca="1">CX$150/IS!CX$57</f>
        <v>-3.0328108807043832</v>
      </c>
      <c r="CY155" s="269">
        <f ca="1">CY$150/IS!CY$57</f>
        <v>0.96266243927618178</v>
      </c>
      <c r="CZ155" s="269">
        <f ca="1">CZ$150/IS!CZ$57</f>
        <v>1.3890357016228765</v>
      </c>
      <c r="DA155" s="269">
        <f ca="1">DA$150/IS!DA$57</f>
        <v>-1.4857760739771477</v>
      </c>
      <c r="DB155" s="909">
        <f ca="1">DB$150/IS!DB$57</f>
        <v>-2.1631278890454975</v>
      </c>
      <c r="DC155" s="9"/>
    </row>
    <row r="156" spans="1:120" ht="12" hidden="1" customHeight="1" outlineLevel="1">
      <c r="A156" s="1"/>
      <c r="B156" s="9"/>
      <c r="C156" s="5"/>
      <c r="D156" s="876"/>
      <c r="E156" s="200"/>
      <c r="F156" s="200"/>
      <c r="G156" s="9"/>
      <c r="H156" s="9"/>
      <c r="I156" s="9"/>
      <c r="J156" s="9"/>
      <c r="K156" s="200"/>
      <c r="L156" s="9"/>
      <c r="M156" s="9"/>
      <c r="N156" s="9"/>
      <c r="O156" s="9"/>
      <c r="P156" s="200"/>
      <c r="Q156" s="268"/>
      <c r="R156" s="268"/>
      <c r="S156" s="268"/>
      <c r="T156" s="268"/>
      <c r="U156" s="866"/>
      <c r="V156" s="268"/>
      <c r="W156" s="268"/>
      <c r="X156" s="268"/>
      <c r="Y156" s="268"/>
      <c r="Z156" s="866"/>
      <c r="AA156" s="268"/>
      <c r="AB156" s="268"/>
      <c r="AC156" s="268"/>
      <c r="AD156" s="268"/>
      <c r="AE156" s="866"/>
      <c r="AF156" s="268"/>
      <c r="AG156" s="268"/>
      <c r="AH156" s="268"/>
      <c r="AI156" s="268"/>
      <c r="AJ156" s="866"/>
      <c r="AK156" s="268"/>
      <c r="AL156" s="268"/>
      <c r="AM156" s="268"/>
      <c r="AN156" s="268"/>
      <c r="AO156" s="866"/>
      <c r="AP156" s="268"/>
      <c r="AQ156" s="268"/>
      <c r="AR156" s="268"/>
      <c r="AS156" s="268"/>
      <c r="AT156" s="866"/>
      <c r="AU156" s="268"/>
      <c r="AV156" s="268"/>
      <c r="AW156" s="268"/>
      <c r="AX156" s="268"/>
      <c r="AY156" s="866"/>
      <c r="AZ156" s="268"/>
      <c r="BA156" s="268"/>
      <c r="BB156" s="268"/>
      <c r="BC156" s="268"/>
      <c r="BD156" s="866"/>
      <c r="BE156" s="268"/>
      <c r="BF156" s="268"/>
      <c r="BG156" s="268"/>
      <c r="BH156" s="268"/>
      <c r="BI156" s="866"/>
      <c r="BJ156" s="268"/>
      <c r="BK156" s="268"/>
      <c r="BL156" s="268"/>
      <c r="BM156" s="268"/>
      <c r="BN156" s="866"/>
      <c r="BO156" s="268"/>
      <c r="BP156" s="268"/>
      <c r="BQ156" s="268"/>
      <c r="BR156" s="268"/>
      <c r="BS156" s="866"/>
      <c r="BT156" s="268"/>
      <c r="BU156" s="268"/>
      <c r="BV156" s="268"/>
      <c r="BW156" s="268"/>
      <c r="BX156" s="866"/>
      <c r="BY156" s="268"/>
      <c r="BZ156" s="268"/>
      <c r="CA156" s="268"/>
      <c r="CB156" s="268"/>
      <c r="CC156" s="866"/>
      <c r="CD156" s="268"/>
      <c r="CE156" s="268"/>
      <c r="CF156" s="268"/>
      <c r="CG156" s="268"/>
      <c r="CH156" s="866"/>
      <c r="CI156" s="268"/>
      <c r="CJ156" s="268"/>
      <c r="CK156" s="268"/>
      <c r="CL156" s="268"/>
      <c r="CM156" s="866"/>
      <c r="CN156" s="268"/>
      <c r="CO156" s="268"/>
      <c r="CP156" s="268"/>
      <c r="CQ156" s="268"/>
      <c r="CR156" s="866"/>
      <c r="CS156" s="268"/>
      <c r="CT156" s="268"/>
      <c r="CU156" s="268"/>
      <c r="CV156" s="268"/>
      <c r="CW156" s="866"/>
      <c r="CX156" s="268"/>
      <c r="CY156" s="268"/>
      <c r="CZ156" s="268"/>
      <c r="DA156" s="268"/>
      <c r="DB156" s="866"/>
      <c r="DC156" s="9"/>
    </row>
    <row r="157" spans="1:120" hidden="1" outlineLevel="1">
      <c r="A157" s="1"/>
      <c r="B157" s="9"/>
      <c r="C157" s="5"/>
      <c r="D157" s="876"/>
      <c r="E157" s="200"/>
      <c r="F157" s="200"/>
      <c r="G157" s="9"/>
      <c r="H157" s="9"/>
      <c r="I157" s="9"/>
      <c r="J157" s="9"/>
      <c r="K157" s="200"/>
      <c r="L157" s="9"/>
      <c r="M157" s="9"/>
      <c r="N157" s="9"/>
      <c r="O157" s="9"/>
      <c r="P157" s="200"/>
      <c r="Q157" s="9"/>
      <c r="R157" s="9"/>
      <c r="S157" s="9"/>
      <c r="T157" s="9"/>
      <c r="U157" s="200"/>
      <c r="V157" s="9"/>
      <c r="W157" s="9"/>
      <c r="X157" s="9"/>
      <c r="Y157" s="9"/>
      <c r="Z157" s="200"/>
      <c r="AA157" s="9" t="s">
        <v>314</v>
      </c>
      <c r="AB157" s="9" t="s">
        <v>315</v>
      </c>
      <c r="AC157" s="9" t="s">
        <v>316</v>
      </c>
      <c r="AD157" s="9" t="s">
        <v>317</v>
      </c>
      <c r="AE157" s="200" t="s">
        <v>318</v>
      </c>
      <c r="AF157" s="9" t="s">
        <v>319</v>
      </c>
      <c r="AG157" s="9" t="s">
        <v>320</v>
      </c>
      <c r="AH157" s="9" t="s">
        <v>321</v>
      </c>
      <c r="AI157" s="9" t="s">
        <v>322</v>
      </c>
      <c r="AJ157" s="200" t="s">
        <v>323</v>
      </c>
      <c r="AK157" s="9" t="s">
        <v>324</v>
      </c>
      <c r="AL157" s="9" t="s">
        <v>325</v>
      </c>
      <c r="AM157" s="9" t="s">
        <v>326</v>
      </c>
      <c r="AN157" s="9" t="s">
        <v>327</v>
      </c>
      <c r="AO157" s="200" t="s">
        <v>78</v>
      </c>
      <c r="AP157" s="9" t="s">
        <v>328</v>
      </c>
      <c r="AQ157" s="9" t="s">
        <v>329</v>
      </c>
      <c r="AR157" s="9" t="s">
        <v>330</v>
      </c>
      <c r="AS157" s="9" t="s">
        <v>331</v>
      </c>
      <c r="AT157" s="200" t="s">
        <v>332</v>
      </c>
      <c r="AU157" s="9" t="s">
        <v>333</v>
      </c>
      <c r="AV157" s="9" t="s">
        <v>334</v>
      </c>
      <c r="AW157" s="9" t="s">
        <v>335</v>
      </c>
      <c r="AX157" s="9" t="s">
        <v>336</v>
      </c>
      <c r="AY157" s="200" t="s">
        <v>79</v>
      </c>
      <c r="AZ157" s="9" t="s">
        <v>337</v>
      </c>
      <c r="BA157" s="9" t="s">
        <v>338</v>
      </c>
      <c r="BB157" s="9" t="s">
        <v>339</v>
      </c>
      <c r="BC157" s="9" t="s">
        <v>340</v>
      </c>
      <c r="BD157" s="200" t="s">
        <v>341</v>
      </c>
      <c r="BE157" s="9" t="s">
        <v>343</v>
      </c>
      <c r="BF157" s="9" t="s">
        <v>344</v>
      </c>
      <c r="BG157" s="9" t="s">
        <v>345</v>
      </c>
      <c r="BH157" s="9" t="s">
        <v>346</v>
      </c>
      <c r="BI157" s="200" t="s">
        <v>347</v>
      </c>
      <c r="BJ157" s="9" t="s">
        <v>348</v>
      </c>
      <c r="BK157" s="9" t="s">
        <v>349</v>
      </c>
      <c r="BL157" s="9" t="s">
        <v>350</v>
      </c>
      <c r="BM157" s="9" t="s">
        <v>351</v>
      </c>
      <c r="BN157" s="200" t="s">
        <v>352</v>
      </c>
      <c r="BO157" s="9" t="s">
        <v>80</v>
      </c>
      <c r="BP157" s="9" t="s">
        <v>81</v>
      </c>
      <c r="BQ157" s="9" t="s">
        <v>82</v>
      </c>
      <c r="BR157" s="9" t="s">
        <v>93</v>
      </c>
      <c r="BS157" s="200" t="s">
        <v>94</v>
      </c>
      <c r="BT157" s="9" t="s">
        <v>510</v>
      </c>
      <c r="BU157" s="9" t="s">
        <v>511</v>
      </c>
      <c r="BV157" s="9" t="s">
        <v>512</v>
      </c>
      <c r="BW157" s="9" t="s">
        <v>513</v>
      </c>
      <c r="BX157" s="200" t="s">
        <v>514</v>
      </c>
      <c r="BY157" s="9" t="s">
        <v>504</v>
      </c>
      <c r="BZ157" s="9" t="s">
        <v>505</v>
      </c>
      <c r="CA157" s="9" t="s">
        <v>506</v>
      </c>
      <c r="CB157" s="9" t="s">
        <v>507</v>
      </c>
      <c r="CC157" s="200" t="s">
        <v>508</v>
      </c>
      <c r="CD157" s="9" t="s">
        <v>12</v>
      </c>
      <c r="CE157" s="9" t="s">
        <v>13</v>
      </c>
      <c r="CF157" s="9" t="s">
        <v>14</v>
      </c>
      <c r="CG157" s="9" t="s">
        <v>15</v>
      </c>
      <c r="CH157" s="200" t="s">
        <v>16</v>
      </c>
      <c r="CI157" s="910">
        <f>IS!CI97</f>
        <v>0</v>
      </c>
      <c r="CJ157" s="910">
        <f>IS!CJ97</f>
        <v>0</v>
      </c>
      <c r="CK157" s="910">
        <f>IS!CK97</f>
        <v>0</v>
      </c>
      <c r="CL157" s="910">
        <f>IS!CL97</f>
        <v>0</v>
      </c>
      <c r="CM157" s="911">
        <f>IS!CM97</f>
        <v>0</v>
      </c>
      <c r="CN157" s="910">
        <f>IS!CN97</f>
        <v>0</v>
      </c>
      <c r="CO157" s="910">
        <f>IS!CO97</f>
        <v>0</v>
      </c>
      <c r="CP157" s="910">
        <f>IS!CP97</f>
        <v>0</v>
      </c>
      <c r="CQ157" s="910">
        <f>IS!CQ97</f>
        <v>0</v>
      </c>
      <c r="CR157" s="911">
        <f>IS!CR97</f>
        <v>0</v>
      </c>
      <c r="CS157" s="910">
        <f>IS!CS97</f>
        <v>0</v>
      </c>
      <c r="CT157" s="910">
        <f>IS!CT97</f>
        <v>0</v>
      </c>
      <c r="CU157" s="910">
        <f>IS!CU97</f>
        <v>0</v>
      </c>
      <c r="CV157" s="910">
        <f>IS!CV97</f>
        <v>0</v>
      </c>
      <c r="CW157" s="911">
        <f>IS!CW97</f>
        <v>0</v>
      </c>
      <c r="CX157" s="910">
        <f>IS!CX97</f>
        <v>0</v>
      </c>
      <c r="CY157" s="910">
        <f>IS!CY97</f>
        <v>0</v>
      </c>
      <c r="CZ157" s="910">
        <f>IS!CZ97</f>
        <v>0</v>
      </c>
      <c r="DA157" s="910">
        <f>IS!DA97</f>
        <v>0</v>
      </c>
      <c r="DB157" s="911">
        <f>IS!DB97</f>
        <v>0</v>
      </c>
      <c r="DC157" s="9"/>
    </row>
    <row r="158" spans="1:120" hidden="1" outlineLevel="1">
      <c r="A158" s="1"/>
      <c r="B158" s="399" t="s">
        <v>149</v>
      </c>
      <c r="C158" s="399"/>
      <c r="D158" s="844"/>
      <c r="E158" s="172"/>
      <c r="F158" s="912">
        <f t="shared" ref="F158:AK158" si="463">F102/F19</f>
        <v>0.13787123224602835</v>
      </c>
      <c r="G158" s="913">
        <f t="shared" si="463"/>
        <v>3.9649997357315926E-2</v>
      </c>
      <c r="H158" s="913">
        <f t="shared" si="463"/>
        <v>3.7381848915299026E-2</v>
      </c>
      <c r="I158" s="913">
        <f t="shared" si="463"/>
        <v>3.9374299435434953E-2</v>
      </c>
      <c r="J158" s="913">
        <f t="shared" si="463"/>
        <v>3.6777552871554951E-2</v>
      </c>
      <c r="K158" s="912">
        <f t="shared" si="463"/>
        <v>0.13809960140052208</v>
      </c>
      <c r="L158" s="913">
        <f t="shared" si="463"/>
        <v>3.0922720339581062E-2</v>
      </c>
      <c r="M158" s="913">
        <f t="shared" si="463"/>
        <v>3.0876620433324269E-2</v>
      </c>
      <c r="N158" s="913">
        <f t="shared" si="463"/>
        <v>2.9521746083647323E-2</v>
      </c>
      <c r="O158" s="913">
        <f t="shared" si="463"/>
        <v>3.089464383384645E-2</v>
      </c>
      <c r="P158" s="912">
        <f t="shared" si="463"/>
        <v>0.11484868415300335</v>
      </c>
      <c r="Q158" s="913">
        <f t="shared" si="463"/>
        <v>2.9410775870458809E-2</v>
      </c>
      <c r="R158" s="913">
        <f t="shared" si="463"/>
        <v>3.0286575637104091E-2</v>
      </c>
      <c r="S158" s="913">
        <f t="shared" si="463"/>
        <v>2.9080611673018616E-2</v>
      </c>
      <c r="T158" s="913">
        <f t="shared" si="463"/>
        <v>2.8517678423615654E-2</v>
      </c>
      <c r="U158" s="912">
        <f t="shared" si="463"/>
        <v>0.10303258333960418</v>
      </c>
      <c r="V158" s="913">
        <f t="shared" si="463"/>
        <v>2.749546104291254E-2</v>
      </c>
      <c r="W158" s="913">
        <f t="shared" si="463"/>
        <v>2.7488963507133236E-2</v>
      </c>
      <c r="X158" s="913">
        <f t="shared" si="463"/>
        <v>2.6792277516032154E-2</v>
      </c>
      <c r="Y158" s="913">
        <f t="shared" si="463"/>
        <v>2.8024691690669484E-2</v>
      </c>
      <c r="Z158" s="912">
        <f t="shared" si="463"/>
        <v>0.10668567132891628</v>
      </c>
      <c r="AA158" s="913">
        <f t="shared" si="463"/>
        <v>2.7847295792477165E-2</v>
      </c>
      <c r="AB158" s="913">
        <f t="shared" si="463"/>
        <v>2.7446177724155908E-2</v>
      </c>
      <c r="AC158" s="913">
        <f t="shared" si="463"/>
        <v>2.6998913108709138E-2</v>
      </c>
      <c r="AD158" s="913">
        <f t="shared" si="463"/>
        <v>2.7183267938802887E-2</v>
      </c>
      <c r="AE158" s="912">
        <f t="shared" si="463"/>
        <v>0.10314272395066143</v>
      </c>
      <c r="AF158" s="913">
        <f t="shared" si="463"/>
        <v>2.6118031924633384E-2</v>
      </c>
      <c r="AG158" s="913">
        <f t="shared" si="463"/>
        <v>2.6850965560334568E-2</v>
      </c>
      <c r="AH158" s="913">
        <f t="shared" si="463"/>
        <v>2.7057023906121858E-2</v>
      </c>
      <c r="AI158" s="913">
        <f t="shared" si="463"/>
        <v>2.4731485364020624E-2</v>
      </c>
      <c r="AJ158" s="912">
        <f t="shared" si="463"/>
        <v>9.5023248532526042E-2</v>
      </c>
      <c r="AK158" s="913">
        <f t="shared" si="463"/>
        <v>2.5819571204757207E-2</v>
      </c>
      <c r="AL158" s="913">
        <f t="shared" ref="AL158:BQ158" si="464">AL102/AL19</f>
        <v>2.5536320652210332E-2</v>
      </c>
      <c r="AM158" s="913">
        <f t="shared" si="464"/>
        <v>1.7998883864008358E-2</v>
      </c>
      <c r="AN158" s="913">
        <f t="shared" si="464"/>
        <v>2.2162786386178215E-2</v>
      </c>
      <c r="AO158" s="912">
        <f t="shared" si="464"/>
        <v>6.0331162901395972E-2</v>
      </c>
      <c r="AP158" s="913">
        <f t="shared" si="464"/>
        <v>2.2520974470970029E-2</v>
      </c>
      <c r="AQ158" s="913">
        <f t="shared" si="464"/>
        <v>2.2225803548145292E-2</v>
      </c>
      <c r="AR158" s="913">
        <f t="shared" si="464"/>
        <v>2.2749024887604875E-2</v>
      </c>
      <c r="AS158" s="913">
        <f t="shared" si="464"/>
        <v>2.1909304370598418E-2</v>
      </c>
      <c r="AT158" s="912">
        <f t="shared" si="464"/>
        <v>8.6333090193845385E-2</v>
      </c>
      <c r="AU158" s="913">
        <f t="shared" si="464"/>
        <v>2.3157330419595615E-2</v>
      </c>
      <c r="AV158" s="913">
        <f t="shared" si="464"/>
        <v>2.344348266869865E-2</v>
      </c>
      <c r="AW158" s="913">
        <f t="shared" si="464"/>
        <v>2.3715475091713734E-2</v>
      </c>
      <c r="AX158" s="913">
        <f t="shared" si="464"/>
        <v>2.3587605585294519E-2</v>
      </c>
      <c r="AY158" s="912">
        <f t="shared" si="464"/>
        <v>9.2387520004905216E-2</v>
      </c>
      <c r="AZ158" s="913">
        <f t="shared" si="464"/>
        <v>2.4165868523235833E-2</v>
      </c>
      <c r="BA158" s="913">
        <f t="shared" si="464"/>
        <v>2.5206467196473421E-2</v>
      </c>
      <c r="BB158" s="913">
        <f t="shared" si="464"/>
        <v>2.4597912939870462E-2</v>
      </c>
      <c r="BC158" s="913">
        <f t="shared" si="464"/>
        <v>2.4415149843607396E-2</v>
      </c>
      <c r="BD158" s="912">
        <f t="shared" si="464"/>
        <v>9.4439366773282282E-2</v>
      </c>
      <c r="BE158" s="913">
        <f t="shared" si="464"/>
        <v>2.5024443811190001E-2</v>
      </c>
      <c r="BF158" s="913">
        <f t="shared" si="464"/>
        <v>2.5059694849275116E-2</v>
      </c>
      <c r="BG158" s="913">
        <f t="shared" si="464"/>
        <v>2.45743039942561E-2</v>
      </c>
      <c r="BH158" s="913">
        <f t="shared" si="464"/>
        <v>2.5050846152320262E-2</v>
      </c>
      <c r="BI158" s="912">
        <f t="shared" si="464"/>
        <v>9.5925802540732352E-2</v>
      </c>
      <c r="BJ158" s="913">
        <f t="shared" si="464"/>
        <v>2.4901087039263695E-2</v>
      </c>
      <c r="BK158" s="913">
        <f t="shared" si="464"/>
        <v>2.5510110701630544E-2</v>
      </c>
      <c r="BL158" s="913">
        <f t="shared" si="464"/>
        <v>2.5642032403416136E-2</v>
      </c>
      <c r="BM158" s="913">
        <f t="shared" si="464"/>
        <v>2.6454049170056577E-2</v>
      </c>
      <c r="BN158" s="912">
        <f t="shared" si="464"/>
        <v>0.10145006769555333</v>
      </c>
      <c r="BO158" s="913">
        <f t="shared" si="464"/>
        <v>2.7083068480454348E-2</v>
      </c>
      <c r="BP158" s="913">
        <f t="shared" si="464"/>
        <v>2.7392780991193431E-2</v>
      </c>
      <c r="BQ158" s="913">
        <f t="shared" si="464"/>
        <v>2.7705922039860737E-2</v>
      </c>
      <c r="BR158" s="913">
        <f t="shared" ref="BR158:CW158" si="465">BR102/BR19</f>
        <v>2.8121728934425539E-2</v>
      </c>
      <c r="BS158" s="912">
        <f t="shared" si="465"/>
        <v>0.11001181677380288</v>
      </c>
      <c r="BT158" s="913">
        <f t="shared" si="465"/>
        <v>2.8566023458191449E-2</v>
      </c>
      <c r="BU158" s="913">
        <f t="shared" si="465"/>
        <v>2.9120828325783488E-2</v>
      </c>
      <c r="BV158" s="913">
        <f t="shared" si="465"/>
        <v>2.7189745581666341E-2</v>
      </c>
      <c r="BW158" s="913">
        <f t="shared" si="465"/>
        <v>2.8518045038843545E-2</v>
      </c>
      <c r="BX158" s="912">
        <f t="shared" si="465"/>
        <v>0.11672730848657685</v>
      </c>
      <c r="BY158" s="913">
        <f t="shared" si="465"/>
        <v>2.9333069071449808E-2</v>
      </c>
      <c r="BZ158" s="913">
        <f t="shared" si="465"/>
        <v>2.893954410307235E-2</v>
      </c>
      <c r="CA158" s="913">
        <f t="shared" si="465"/>
        <v>2.8616852146263912E-2</v>
      </c>
      <c r="CB158" s="913">
        <f t="shared" si="465"/>
        <v>2.946993670886076E-2</v>
      </c>
      <c r="CC158" s="912">
        <f t="shared" si="465"/>
        <v>0.11609968354430379</v>
      </c>
      <c r="CD158" s="913">
        <f t="shared" si="465"/>
        <v>2.9493269992082342E-2</v>
      </c>
      <c r="CE158" s="913">
        <f t="shared" si="465"/>
        <v>3.0820770519262981E-2</v>
      </c>
      <c r="CF158" s="913">
        <f t="shared" si="465"/>
        <v>3.0011325028312569E-2</v>
      </c>
      <c r="CG158" s="913">
        <f t="shared" si="465"/>
        <v>3.2028469750889681E-2</v>
      </c>
      <c r="CH158" s="912">
        <f t="shared" si="465"/>
        <v>0.13498588783899865</v>
      </c>
      <c r="CI158" s="913">
        <f>CI102/CI19</f>
        <v>3.0894096085875115E-2</v>
      </c>
      <c r="CJ158" s="913">
        <f>CJ102/CJ19</f>
        <v>3.0361050328227571E-2</v>
      </c>
      <c r="CK158" s="913">
        <f t="shared" si="465"/>
        <v>2.8236256990860728E-2</v>
      </c>
      <c r="CL158" s="913">
        <f t="shared" si="465"/>
        <v>2.7793533749290982E-2</v>
      </c>
      <c r="CM158" s="912">
        <f t="shared" si="465"/>
        <v>0.12209302325581395</v>
      </c>
      <c r="CN158" s="913">
        <f t="shared" ca="1" si="465"/>
        <v>2.8745660274256742E-2</v>
      </c>
      <c r="CO158" s="913">
        <f t="shared" ca="1" si="465"/>
        <v>2.8718953468172884E-2</v>
      </c>
      <c r="CP158" s="913">
        <f t="shared" ca="1" si="465"/>
        <v>2.8508962362054469E-2</v>
      </c>
      <c r="CQ158" s="913">
        <f t="shared" ca="1" si="465"/>
        <v>3.5425757347280214E-2</v>
      </c>
      <c r="CR158" s="912">
        <f t="shared" ca="1" si="465"/>
        <v>0.13739388937916119</v>
      </c>
      <c r="CS158" s="913">
        <f t="shared" ca="1" si="465"/>
        <v>3.4035072080843824E-2</v>
      </c>
      <c r="CT158" s="913">
        <f t="shared" ca="1" si="465"/>
        <v>3.2860646799822757E-2</v>
      </c>
      <c r="CU158" s="913">
        <f t="shared" ca="1" si="465"/>
        <v>3.1540265443984999E-2</v>
      </c>
      <c r="CV158" s="913">
        <f t="shared" ca="1" si="465"/>
        <v>3.6017481824478365E-2</v>
      </c>
      <c r="CW158" s="912">
        <f t="shared" ca="1" si="465"/>
        <v>0.13609726799578442</v>
      </c>
      <c r="CX158" s="913">
        <f t="shared" ref="CX158:DB158" ca="1" si="466">CX102/CX19</f>
        <v>3.4462795812298698E-2</v>
      </c>
      <c r="CY158" s="913">
        <f t="shared" ca="1" si="466"/>
        <v>3.3276477496470502E-2</v>
      </c>
      <c r="CZ158" s="913">
        <f t="shared" ca="1" si="466"/>
        <v>3.1660053734179586E-2</v>
      </c>
      <c r="DA158" s="913">
        <f t="shared" ca="1" si="466"/>
        <v>3.6191784317869839E-2</v>
      </c>
      <c r="DB158" s="912">
        <f t="shared" ca="1" si="466"/>
        <v>0.13657015807193504</v>
      </c>
      <c r="DC158" s="9"/>
    </row>
    <row r="159" spans="1:120" hidden="1" outlineLevel="1">
      <c r="B159" s="725"/>
      <c r="C159" s="725"/>
      <c r="D159" s="725"/>
      <c r="E159" s="725"/>
      <c r="F159" s="725"/>
      <c r="G159" s="725"/>
      <c r="H159" s="725"/>
      <c r="I159" s="725"/>
      <c r="J159" s="725"/>
      <c r="K159" s="725"/>
      <c r="L159" s="725"/>
      <c r="M159" s="725"/>
      <c r="N159" s="725"/>
      <c r="O159" s="725"/>
      <c r="P159" s="725"/>
      <c r="Q159" s="725"/>
      <c r="R159" s="725"/>
      <c r="S159" s="725"/>
      <c r="T159" s="725"/>
      <c r="U159" s="725"/>
      <c r="V159" s="725"/>
      <c r="W159" s="725"/>
      <c r="X159" s="725"/>
      <c r="Y159" s="725"/>
      <c r="Z159" s="725"/>
      <c r="AA159" s="725"/>
      <c r="AB159" s="725"/>
      <c r="AC159" s="725"/>
      <c r="AD159" s="725"/>
      <c r="AE159" s="725"/>
      <c r="AF159" s="725"/>
      <c r="AG159" s="725"/>
      <c r="AH159" s="725"/>
      <c r="AI159" s="725"/>
      <c r="AJ159" s="725"/>
      <c r="AK159" s="725"/>
      <c r="AL159" s="725"/>
      <c r="AM159" s="725"/>
      <c r="AN159" s="725"/>
      <c r="AO159" s="725"/>
      <c r="AP159" s="725"/>
      <c r="AQ159" s="725"/>
      <c r="AR159" s="725"/>
      <c r="AS159" s="725"/>
      <c r="AT159" s="725"/>
      <c r="AU159" s="725"/>
      <c r="AV159" s="725"/>
      <c r="AW159" s="725"/>
      <c r="AX159" s="725"/>
      <c r="AY159" s="725"/>
      <c r="AZ159" s="725"/>
      <c r="BA159" s="725"/>
      <c r="BB159" s="725"/>
      <c r="BC159" s="725"/>
      <c r="BD159" s="725"/>
      <c r="BE159" s="725"/>
      <c r="BF159" s="725"/>
      <c r="BG159" s="725"/>
      <c r="BH159" s="725"/>
      <c r="BI159" s="725"/>
      <c r="BJ159" s="725"/>
      <c r="BK159" s="725"/>
      <c r="BL159" s="725"/>
      <c r="BM159" s="725"/>
      <c r="BN159" s="725"/>
      <c r="BO159" s="725"/>
      <c r="BP159" s="725"/>
      <c r="BQ159" s="725"/>
      <c r="BR159" s="725"/>
      <c r="BS159" s="725"/>
      <c r="BT159" s="725"/>
      <c r="BU159" s="725"/>
      <c r="BV159" s="725"/>
      <c r="BW159" s="725"/>
      <c r="BX159" s="725"/>
      <c r="BY159" s="725"/>
      <c r="BZ159" s="725"/>
      <c r="CA159" s="725"/>
      <c r="CB159" s="725"/>
      <c r="CC159" s="725"/>
      <c r="CD159" s="725"/>
      <c r="CE159" s="725"/>
      <c r="CF159" s="725"/>
      <c r="CG159" s="725"/>
      <c r="CH159" s="725"/>
      <c r="CI159" s="725"/>
      <c r="CJ159" s="725"/>
      <c r="CK159" s="725"/>
      <c r="CL159" s="725"/>
      <c r="CM159" s="725"/>
      <c r="CN159" s="725"/>
      <c r="CO159" s="725"/>
      <c r="CP159" s="725"/>
      <c r="CQ159" s="725"/>
      <c r="CR159" s="725"/>
      <c r="CS159" s="725"/>
      <c r="CT159" s="725"/>
      <c r="CU159" s="725"/>
      <c r="CV159" s="725"/>
      <c r="CW159" s="725"/>
      <c r="CX159" s="725"/>
      <c r="CY159" s="725"/>
      <c r="CZ159" s="725"/>
      <c r="DA159" s="725"/>
      <c r="DB159" s="725"/>
    </row>
    <row r="160" spans="1:120" hidden="1" outlineLevel="1">
      <c r="B160" s="725" t="s">
        <v>643</v>
      </c>
      <c r="C160" s="725"/>
      <c r="D160" s="725"/>
      <c r="E160" s="725"/>
      <c r="F160" s="725"/>
      <c r="G160" s="725"/>
      <c r="H160" s="725"/>
      <c r="I160" s="725"/>
      <c r="J160" s="725"/>
      <c r="K160" s="725"/>
      <c r="L160" s="725"/>
      <c r="M160" s="725"/>
      <c r="N160" s="725"/>
      <c r="O160" s="725"/>
      <c r="P160" s="725"/>
      <c r="Q160" s="725"/>
      <c r="R160" s="725"/>
      <c r="S160" s="725"/>
      <c r="T160" s="725"/>
      <c r="U160" s="725"/>
      <c r="V160" s="725"/>
      <c r="W160" s="725"/>
      <c r="X160" s="725"/>
      <c r="Y160" s="725"/>
      <c r="Z160" s="725"/>
      <c r="AA160" s="725"/>
      <c r="AB160" s="725"/>
      <c r="AC160" s="725"/>
      <c r="AD160" s="725"/>
      <c r="AE160" s="725"/>
      <c r="AF160" s="725"/>
      <c r="AG160" s="725"/>
      <c r="AH160" s="725"/>
      <c r="AI160" s="725"/>
      <c r="AJ160" s="725"/>
      <c r="AK160" s="725"/>
      <c r="AL160" s="725"/>
      <c r="AM160" s="725"/>
      <c r="AN160" s="725"/>
      <c r="AO160" s="725"/>
      <c r="AP160" s="725"/>
      <c r="AQ160" s="725"/>
      <c r="AR160" s="725"/>
      <c r="AS160" s="725"/>
      <c r="AT160" s="725"/>
      <c r="AU160" s="725"/>
      <c r="AV160" s="725"/>
      <c r="AW160" s="725"/>
      <c r="AX160" s="725"/>
      <c r="AY160" s="725"/>
      <c r="AZ160" s="725"/>
      <c r="BA160" s="725"/>
      <c r="BB160" s="725"/>
      <c r="BC160" s="725"/>
      <c r="BD160" s="725"/>
      <c r="BE160" s="725"/>
      <c r="BF160" s="725"/>
      <c r="BG160" s="725"/>
      <c r="BH160" s="725"/>
      <c r="BI160" s="725"/>
      <c r="BJ160" s="725"/>
      <c r="BK160" s="725"/>
      <c r="BL160" s="725"/>
      <c r="BM160" s="725"/>
      <c r="BN160" s="725"/>
      <c r="BO160" s="725"/>
      <c r="BP160" s="725"/>
      <c r="BQ160" s="725"/>
      <c r="BR160" s="725"/>
      <c r="BS160" s="725"/>
      <c r="BT160" s="725"/>
      <c r="BU160" s="725"/>
      <c r="BV160" s="725"/>
      <c r="BW160" s="725"/>
      <c r="BX160" s="725"/>
      <c r="BY160" s="914">
        <f t="shared" ref="BY160:CB160" si="467">+BY141</f>
        <v>0</v>
      </c>
      <c r="BZ160" s="914">
        <f t="shared" si="467"/>
        <v>0</v>
      </c>
      <c r="CA160" s="914">
        <f t="shared" si="467"/>
        <v>0</v>
      </c>
      <c r="CB160" s="914">
        <f t="shared" si="467"/>
        <v>0</v>
      </c>
      <c r="CC160" s="1208">
        <f>+CC141</f>
        <v>0</v>
      </c>
      <c r="CD160" s="1208">
        <f t="shared" ref="CD160:CW160" si="468">+CD141</f>
        <v>0</v>
      </c>
      <c r="CE160" s="1208">
        <f t="shared" si="468"/>
        <v>0</v>
      </c>
      <c r="CF160" s="1208">
        <f t="shared" si="468"/>
        <v>0</v>
      </c>
      <c r="CG160" s="1208">
        <f t="shared" si="468"/>
        <v>0</v>
      </c>
      <c r="CH160" s="1208">
        <f t="shared" si="468"/>
        <v>0</v>
      </c>
      <c r="CI160" s="1208">
        <f t="shared" si="468"/>
        <v>0</v>
      </c>
      <c r="CJ160" s="1208">
        <f t="shared" si="468"/>
        <v>0</v>
      </c>
      <c r="CK160" s="1208">
        <f t="shared" si="468"/>
        <v>0</v>
      </c>
      <c r="CL160" s="1208">
        <f t="shared" si="468"/>
        <v>0</v>
      </c>
      <c r="CM160" s="1208">
        <f t="shared" si="468"/>
        <v>0</v>
      </c>
      <c r="CN160" s="1208">
        <f t="shared" si="468"/>
        <v>0</v>
      </c>
      <c r="CO160" s="1208">
        <f t="shared" si="468"/>
        <v>0</v>
      </c>
      <c r="CP160" s="1208">
        <f t="shared" si="468"/>
        <v>0</v>
      </c>
      <c r="CQ160" s="1208">
        <f t="shared" si="468"/>
        <v>0</v>
      </c>
      <c r="CR160" s="1208">
        <f t="shared" si="468"/>
        <v>0</v>
      </c>
      <c r="CS160" s="1208">
        <f t="shared" si="468"/>
        <v>0</v>
      </c>
      <c r="CT160" s="1208">
        <f t="shared" si="468"/>
        <v>0</v>
      </c>
      <c r="CU160" s="1208">
        <f t="shared" si="468"/>
        <v>0</v>
      </c>
      <c r="CV160" s="1208">
        <f t="shared" si="468"/>
        <v>0</v>
      </c>
      <c r="CW160" s="1208">
        <f t="shared" si="468"/>
        <v>0</v>
      </c>
      <c r="CX160" s="1208">
        <f t="shared" ref="CX160:DB160" si="469">+CX141</f>
        <v>0</v>
      </c>
      <c r="CY160" s="1208">
        <f t="shared" si="469"/>
        <v>0</v>
      </c>
      <c r="CZ160" s="1208">
        <f t="shared" si="469"/>
        <v>0</v>
      </c>
      <c r="DA160" s="1208">
        <f t="shared" si="469"/>
        <v>0</v>
      </c>
      <c r="DB160" s="1208">
        <f t="shared" si="469"/>
        <v>0</v>
      </c>
    </row>
    <row r="161" spans="2:106" hidden="1" outlineLevel="1">
      <c r="B161" s="725"/>
      <c r="C161" s="725"/>
      <c r="D161" s="915">
        <f t="shared" ref="D161:BO161" si="470">+D132+D133+D128+D129</f>
        <v>0</v>
      </c>
      <c r="E161" s="915">
        <f t="shared" si="470"/>
        <v>0</v>
      </c>
      <c r="F161" s="915">
        <f t="shared" si="470"/>
        <v>515.16</v>
      </c>
      <c r="G161" s="915">
        <f t="shared" si="470"/>
        <v>-8.2000000000000003E-2</v>
      </c>
      <c r="H161" s="915">
        <f t="shared" si="470"/>
        <v>2.2800000000000002</v>
      </c>
      <c r="I161" s="915">
        <f t="shared" si="470"/>
        <v>3.427</v>
      </c>
      <c r="J161" s="915">
        <f t="shared" si="470"/>
        <v>303.34300000000002</v>
      </c>
      <c r="K161" s="915">
        <f t="shared" si="470"/>
        <v>308.96800000000002</v>
      </c>
      <c r="L161" s="915">
        <f t="shared" si="470"/>
        <v>4.9000000000000002E-2</v>
      </c>
      <c r="M161" s="915">
        <f t="shared" si="470"/>
        <v>5.3140000000000001</v>
      </c>
      <c r="N161" s="915">
        <f t="shared" si="470"/>
        <v>-2.996</v>
      </c>
      <c r="O161" s="915">
        <f t="shared" si="470"/>
        <v>0.17399999999999993</v>
      </c>
      <c r="P161" s="915">
        <f t="shared" si="470"/>
        <v>2.5409999999999999</v>
      </c>
      <c r="Q161" s="915">
        <f t="shared" si="470"/>
        <v>-10.157</v>
      </c>
      <c r="R161" s="915">
        <f t="shared" si="470"/>
        <v>-1.6080000000000003</v>
      </c>
      <c r="S161" s="915">
        <f t="shared" si="470"/>
        <v>-0.81600000000000095</v>
      </c>
      <c r="T161" s="915">
        <f t="shared" si="470"/>
        <v>2.1370000000000005</v>
      </c>
      <c r="U161" s="915">
        <f t="shared" si="470"/>
        <v>-10.443999999999999</v>
      </c>
      <c r="V161" s="915">
        <f t="shared" si="470"/>
        <v>1.012</v>
      </c>
      <c r="W161" s="915">
        <f t="shared" si="470"/>
        <v>0.89100000000000001</v>
      </c>
      <c r="X161" s="915">
        <f t="shared" si="470"/>
        <v>-288.31299999999999</v>
      </c>
      <c r="Y161" s="915">
        <f t="shared" si="470"/>
        <v>5.7900000000000134</v>
      </c>
      <c r="Z161" s="915">
        <f t="shared" si="470"/>
        <v>-280.62</v>
      </c>
      <c r="AA161" s="915">
        <f t="shared" si="470"/>
        <v>11.568000000000001</v>
      </c>
      <c r="AB161" s="915">
        <f t="shared" si="470"/>
        <v>13.117999999999999</v>
      </c>
      <c r="AC161" s="915">
        <f t="shared" si="470"/>
        <v>-64.393000000000001</v>
      </c>
      <c r="AD161" s="915">
        <f t="shared" si="470"/>
        <v>9.4339999999999975</v>
      </c>
      <c r="AE161" s="915">
        <f t="shared" si="470"/>
        <v>-30.272999999999996</v>
      </c>
      <c r="AF161" s="915">
        <f t="shared" si="470"/>
        <v>-6.1929999999999996</v>
      </c>
      <c r="AG161" s="915">
        <f t="shared" si="470"/>
        <v>-122.774</v>
      </c>
      <c r="AH161" s="915">
        <f t="shared" si="470"/>
        <v>3.886000000000001</v>
      </c>
      <c r="AI161" s="915">
        <f t="shared" si="470"/>
        <v>-36.662000000000006</v>
      </c>
      <c r="AJ161" s="915">
        <f t="shared" si="470"/>
        <v>-161.74299999999999</v>
      </c>
      <c r="AK161" s="915">
        <f t="shared" si="470"/>
        <v>3.3109999999999999</v>
      </c>
      <c r="AL161" s="915">
        <f t="shared" si="470"/>
        <v>3.3819999999999997</v>
      </c>
      <c r="AM161" s="915">
        <f t="shared" si="470"/>
        <v>1.1110000000000007</v>
      </c>
      <c r="AN161" s="915">
        <f t="shared" si="470"/>
        <v>0.41000000000000014</v>
      </c>
      <c r="AO161" s="915">
        <f t="shared" si="470"/>
        <v>8.2140000000000004</v>
      </c>
      <c r="AP161" s="915">
        <f t="shared" si="470"/>
        <v>9.4E-2</v>
      </c>
      <c r="AQ161" s="915">
        <f t="shared" si="470"/>
        <v>-8.9310000000000009</v>
      </c>
      <c r="AR161" s="915">
        <f t="shared" si="470"/>
        <v>-6.5709999999999997</v>
      </c>
      <c r="AS161" s="915">
        <f t="shared" si="470"/>
        <v>-72.974000000000004</v>
      </c>
      <c r="AT161" s="915">
        <f t="shared" si="470"/>
        <v>-88.382000000000005</v>
      </c>
      <c r="AU161" s="915">
        <f t="shared" si="470"/>
        <v>0</v>
      </c>
      <c r="AV161" s="915">
        <f t="shared" si="470"/>
        <v>3.4449999999999998</v>
      </c>
      <c r="AW161" s="915">
        <f t="shared" si="470"/>
        <v>6.5069999999999997</v>
      </c>
      <c r="AX161" s="915">
        <f t="shared" si="470"/>
        <v>2.8070000000000008</v>
      </c>
      <c r="AY161" s="915">
        <f t="shared" si="470"/>
        <v>12.759</v>
      </c>
      <c r="AZ161" s="915">
        <f t="shared" si="470"/>
        <v>23.967000000000002</v>
      </c>
      <c r="BA161" s="915">
        <f t="shared" si="470"/>
        <v>17.405999999999999</v>
      </c>
      <c r="BB161" s="915">
        <f t="shared" si="470"/>
        <v>-95.466000000000008</v>
      </c>
      <c r="BC161" s="915">
        <f t="shared" si="470"/>
        <v>-2.9519999999999982</v>
      </c>
      <c r="BD161" s="915">
        <f t="shared" si="470"/>
        <v>-57.045000000000002</v>
      </c>
      <c r="BE161" s="915">
        <f t="shared" si="470"/>
        <v>18.125</v>
      </c>
      <c r="BF161" s="915">
        <f t="shared" si="470"/>
        <v>-49.296000000000006</v>
      </c>
      <c r="BG161" s="915">
        <f t="shared" si="470"/>
        <v>-35.739000000000004</v>
      </c>
      <c r="BH161" s="915">
        <f t="shared" si="470"/>
        <v>-13.280999999999999</v>
      </c>
      <c r="BI161" s="915">
        <f t="shared" si="470"/>
        <v>-80.191000000000003</v>
      </c>
      <c r="BJ161" s="915">
        <f t="shared" si="470"/>
        <v>-8.7240000000000002</v>
      </c>
      <c r="BK161" s="915">
        <f t="shared" si="470"/>
        <v>0.91900000000000004</v>
      </c>
      <c r="BL161" s="915">
        <f t="shared" si="470"/>
        <v>4.3900000000000006</v>
      </c>
      <c r="BM161" s="915">
        <f t="shared" si="470"/>
        <v>14.959</v>
      </c>
      <c r="BN161" s="915">
        <f t="shared" si="470"/>
        <v>11.544</v>
      </c>
      <c r="BO161" s="915">
        <f t="shared" si="470"/>
        <v>40.225000000000001</v>
      </c>
      <c r="BP161" s="915">
        <f t="shared" ref="BP161:CV161" si="471">+BP132+BP133+BP128+BP129</f>
        <v>21.699000000000002</v>
      </c>
      <c r="BQ161" s="915">
        <f t="shared" si="471"/>
        <v>4.793000000000001</v>
      </c>
      <c r="BR161" s="915">
        <f t="shared" si="471"/>
        <v>1.913999999999989</v>
      </c>
      <c r="BS161" s="915">
        <f t="shared" si="471"/>
        <v>68.631</v>
      </c>
      <c r="BT161" s="915">
        <f t="shared" si="471"/>
        <v>-5</v>
      </c>
      <c r="BU161" s="915">
        <f t="shared" si="471"/>
        <v>8</v>
      </c>
      <c r="BV161" s="915">
        <f t="shared" si="471"/>
        <v>28</v>
      </c>
      <c r="BW161" s="915">
        <f t="shared" si="471"/>
        <v>14</v>
      </c>
      <c r="BX161" s="915">
        <f t="shared" si="471"/>
        <v>45</v>
      </c>
      <c r="BY161" s="915">
        <f t="shared" si="471"/>
        <v>-3</v>
      </c>
      <c r="BZ161" s="915">
        <f t="shared" si="471"/>
        <v>5</v>
      </c>
      <c r="CA161" s="915">
        <f t="shared" si="471"/>
        <v>2</v>
      </c>
      <c r="CB161" s="915">
        <f t="shared" si="471"/>
        <v>-158</v>
      </c>
      <c r="CC161" s="1209">
        <f t="shared" si="471"/>
        <v>-154</v>
      </c>
      <c r="CD161" s="1209">
        <f t="shared" si="471"/>
        <v>-7</v>
      </c>
      <c r="CE161" s="1209">
        <f t="shared" si="471"/>
        <v>2</v>
      </c>
      <c r="CF161" s="1209">
        <f t="shared" si="471"/>
        <v>0</v>
      </c>
      <c r="CG161" s="1209">
        <f t="shared" si="471"/>
        <v>-1</v>
      </c>
      <c r="CH161" s="1209">
        <f t="shared" si="471"/>
        <v>-6</v>
      </c>
      <c r="CI161" s="1209">
        <f t="shared" si="471"/>
        <v>-5</v>
      </c>
      <c r="CJ161" s="1209">
        <f t="shared" si="471"/>
        <v>0</v>
      </c>
      <c r="CK161" s="1209">
        <f t="shared" si="471"/>
        <v>0</v>
      </c>
      <c r="CL161" s="1209">
        <f t="shared" si="471"/>
        <v>0</v>
      </c>
      <c r="CM161" s="1209">
        <f t="shared" si="471"/>
        <v>-5</v>
      </c>
      <c r="CN161" s="1209">
        <f t="shared" si="471"/>
        <v>0</v>
      </c>
      <c r="CO161" s="1209">
        <f t="shared" si="471"/>
        <v>0</v>
      </c>
      <c r="CP161" s="1209">
        <f t="shared" si="471"/>
        <v>0</v>
      </c>
      <c r="CQ161" s="1209">
        <f t="shared" si="471"/>
        <v>0</v>
      </c>
      <c r="CR161" s="1209">
        <f t="shared" si="471"/>
        <v>0</v>
      </c>
      <c r="CS161" s="1209">
        <f t="shared" si="471"/>
        <v>0</v>
      </c>
      <c r="CT161" s="1209">
        <f t="shared" si="471"/>
        <v>0</v>
      </c>
      <c r="CU161" s="1209">
        <f t="shared" si="471"/>
        <v>0</v>
      </c>
      <c r="CV161" s="1209">
        <f t="shared" si="471"/>
        <v>0</v>
      </c>
      <c r="CW161" s="1209">
        <f>+CW132+CW133+CW128+CW129</f>
        <v>0</v>
      </c>
      <c r="CX161" s="1209">
        <f t="shared" ref="CX161:DA161" si="472">+CX132+CX133+CX128+CX129</f>
        <v>0</v>
      </c>
      <c r="CY161" s="1209">
        <f t="shared" si="472"/>
        <v>0</v>
      </c>
      <c r="CZ161" s="1209">
        <f t="shared" si="472"/>
        <v>0</v>
      </c>
      <c r="DA161" s="1209">
        <f t="shared" si="472"/>
        <v>0</v>
      </c>
      <c r="DB161" s="1209">
        <f>+DB132+DB133+DB128+DB129</f>
        <v>0</v>
      </c>
    </row>
    <row r="162" spans="2:106" collapsed="1">
      <c r="B162" s="725"/>
      <c r="C162" s="725"/>
      <c r="D162" s="725"/>
      <c r="E162" s="725"/>
      <c r="F162" s="725"/>
      <c r="G162" s="725"/>
      <c r="H162" s="725"/>
      <c r="I162" s="725"/>
      <c r="J162" s="725"/>
      <c r="K162" s="725"/>
      <c r="L162" s="725"/>
      <c r="M162" s="725"/>
      <c r="N162" s="725"/>
      <c r="O162" s="725"/>
      <c r="P162" s="725"/>
      <c r="Q162" s="725"/>
      <c r="R162" s="725"/>
      <c r="S162" s="725"/>
      <c r="T162" s="725"/>
      <c r="U162" s="725"/>
      <c r="V162" s="725"/>
      <c r="W162" s="725"/>
      <c r="X162" s="725"/>
      <c r="Y162" s="725"/>
      <c r="Z162" s="725"/>
      <c r="AA162" s="725"/>
      <c r="AB162" s="725"/>
      <c r="AC162" s="725"/>
      <c r="AD162" s="725"/>
      <c r="AE162" s="725"/>
      <c r="AF162" s="725"/>
      <c r="AG162" s="725"/>
      <c r="AH162" s="725"/>
      <c r="AI162" s="725"/>
      <c r="AJ162" s="725"/>
      <c r="AK162" s="725"/>
      <c r="AL162" s="725"/>
      <c r="AM162" s="725"/>
      <c r="AN162" s="725"/>
      <c r="AO162" s="725"/>
      <c r="AP162" s="725"/>
      <c r="AQ162" s="725"/>
      <c r="AR162" s="725"/>
      <c r="AS162" s="725"/>
      <c r="AT162" s="725"/>
      <c r="AU162" s="725"/>
      <c r="AV162" s="725"/>
      <c r="AW162" s="725"/>
      <c r="AX162" s="725"/>
      <c r="AY162" s="725"/>
      <c r="AZ162" s="725"/>
      <c r="BA162" s="725"/>
      <c r="BB162" s="725"/>
      <c r="BC162" s="725"/>
      <c r="BD162" s="725"/>
      <c r="BE162" s="725"/>
      <c r="BF162" s="725"/>
      <c r="BG162" s="725"/>
      <c r="BH162" s="725"/>
      <c r="BI162" s="725"/>
      <c r="BJ162" s="725"/>
      <c r="BK162" s="725"/>
      <c r="BL162" s="725"/>
      <c r="BM162" s="725"/>
      <c r="BN162" s="725"/>
      <c r="BO162" s="725"/>
      <c r="BP162" s="725"/>
      <c r="BQ162" s="725"/>
      <c r="BR162" s="725"/>
      <c r="BS162" s="725"/>
      <c r="BT162" s="725"/>
      <c r="BU162" s="725"/>
      <c r="BV162" s="725"/>
      <c r="BW162" s="725"/>
      <c r="BX162" s="725"/>
      <c r="BY162" s="725"/>
      <c r="BZ162" s="725"/>
      <c r="CA162" s="725"/>
      <c r="CB162" s="725"/>
      <c r="CC162" s="725"/>
      <c r="CD162" s="725"/>
      <c r="CE162" s="725"/>
      <c r="CF162" s="725"/>
      <c r="CG162" s="725"/>
      <c r="CH162" s="725"/>
      <c r="CI162" s="725"/>
      <c r="CJ162" s="725"/>
      <c r="CK162" s="725"/>
      <c r="CL162" s="725"/>
      <c r="CM162" s="725"/>
      <c r="CN162" s="725"/>
      <c r="CO162" s="725"/>
      <c r="CP162" s="725"/>
      <c r="CQ162" s="725"/>
      <c r="CR162" s="725"/>
      <c r="CS162" s="725"/>
      <c r="CT162" s="725"/>
      <c r="CU162" s="725"/>
      <c r="CV162" s="725"/>
      <c r="CW162" s="725"/>
      <c r="CX162" s="725"/>
      <c r="CY162" s="725"/>
      <c r="CZ162" s="725"/>
      <c r="DA162" s="725"/>
      <c r="DB162" s="725"/>
    </row>
    <row r="163" spans="2:106">
      <c r="B163" s="725"/>
      <c r="C163" s="725"/>
      <c r="D163" s="725"/>
      <c r="E163" s="725"/>
      <c r="F163" s="725"/>
      <c r="G163" s="725"/>
      <c r="H163" s="725"/>
      <c r="I163" s="725"/>
      <c r="J163" s="725"/>
      <c r="K163" s="725"/>
      <c r="L163" s="725"/>
      <c r="M163" s="725"/>
      <c r="N163" s="725"/>
      <c r="O163" s="725"/>
      <c r="P163" s="725"/>
      <c r="Q163" s="725"/>
      <c r="R163" s="725"/>
      <c r="S163" s="725"/>
      <c r="T163" s="725"/>
      <c r="U163" s="725"/>
      <c r="V163" s="725"/>
      <c r="W163" s="725"/>
      <c r="X163" s="725"/>
      <c r="Y163" s="725"/>
      <c r="Z163" s="725"/>
      <c r="AA163" s="725"/>
      <c r="AB163" s="725"/>
      <c r="AC163" s="725"/>
      <c r="AD163" s="725"/>
      <c r="AE163" s="725"/>
      <c r="AF163" s="725"/>
      <c r="AG163" s="725"/>
      <c r="AH163" s="725"/>
      <c r="AI163" s="725"/>
      <c r="AJ163" s="725"/>
      <c r="AK163" s="725"/>
      <c r="AL163" s="725"/>
      <c r="AM163" s="725"/>
      <c r="AN163" s="725"/>
      <c r="AO163" s="725"/>
      <c r="AP163" s="725"/>
      <c r="AQ163" s="725"/>
      <c r="AR163" s="725"/>
      <c r="AS163" s="725"/>
      <c r="AT163" s="725"/>
      <c r="AU163" s="725"/>
      <c r="AV163" s="725"/>
      <c r="AW163" s="725"/>
      <c r="AX163" s="725"/>
      <c r="AY163" s="725"/>
      <c r="AZ163" s="725"/>
      <c r="BA163" s="725"/>
      <c r="BB163" s="725"/>
      <c r="BC163" s="725"/>
      <c r="BD163" s="725"/>
      <c r="BE163" s="725"/>
      <c r="BF163" s="725"/>
      <c r="BG163" s="725"/>
      <c r="BH163" s="725"/>
      <c r="BI163" s="725"/>
      <c r="BJ163" s="725"/>
      <c r="BK163" s="725"/>
      <c r="BL163" s="725"/>
      <c r="BM163" s="725"/>
      <c r="BN163" s="725"/>
      <c r="BO163" s="725"/>
      <c r="BP163" s="725"/>
      <c r="BQ163" s="725"/>
      <c r="BR163" s="725"/>
      <c r="BS163" s="725"/>
      <c r="BT163" s="725"/>
      <c r="BU163" s="725"/>
      <c r="BV163" s="725"/>
      <c r="BW163" s="725"/>
      <c r="BX163" s="725"/>
      <c r="BY163" s="725"/>
      <c r="BZ163" s="725"/>
      <c r="CA163" s="725"/>
      <c r="CB163" s="725"/>
      <c r="CC163" s="725"/>
      <c r="CD163" s="725"/>
      <c r="CE163" s="725"/>
      <c r="CF163" s="725"/>
      <c r="CG163" s="725"/>
      <c r="CH163" s="725"/>
      <c r="CI163" s="725"/>
      <c r="CJ163" s="725"/>
      <c r="CK163" s="725"/>
      <c r="CL163" s="725"/>
      <c r="CM163" s="725"/>
      <c r="CN163" s="725"/>
      <c r="CO163" s="725"/>
      <c r="CP163" s="725"/>
      <c r="CQ163" s="725"/>
      <c r="CR163" s="725"/>
      <c r="CS163" s="725"/>
      <c r="CT163" s="725"/>
      <c r="CU163" s="725"/>
      <c r="CV163" s="725"/>
      <c r="CW163" s="725"/>
      <c r="CX163" s="725"/>
      <c r="CY163" s="725"/>
      <c r="CZ163" s="725"/>
      <c r="DA163" s="725"/>
      <c r="DB163" s="725"/>
    </row>
    <row r="164" spans="2:106">
      <c r="B164" s="725"/>
      <c r="C164" s="725"/>
      <c r="D164" s="725"/>
      <c r="E164" s="725"/>
      <c r="F164" s="725"/>
      <c r="G164" s="725"/>
      <c r="H164" s="725"/>
      <c r="I164" s="725"/>
      <c r="J164" s="725"/>
      <c r="K164" s="725"/>
      <c r="L164" s="725"/>
      <c r="M164" s="725"/>
      <c r="N164" s="725"/>
      <c r="O164" s="725"/>
      <c r="P164" s="725"/>
      <c r="Q164" s="725"/>
      <c r="R164" s="725"/>
      <c r="S164" s="725"/>
      <c r="T164" s="725"/>
      <c r="U164" s="725"/>
      <c r="V164" s="725"/>
      <c r="W164" s="725"/>
      <c r="X164" s="725"/>
      <c r="Y164" s="725"/>
      <c r="Z164" s="725"/>
      <c r="AA164" s="725"/>
      <c r="AB164" s="725"/>
      <c r="AC164" s="725"/>
      <c r="AD164" s="725"/>
      <c r="AE164" s="725"/>
      <c r="AF164" s="725"/>
      <c r="AG164" s="725"/>
      <c r="AH164" s="725"/>
      <c r="AI164" s="725"/>
      <c r="AJ164" s="725"/>
      <c r="AK164" s="725"/>
      <c r="AL164" s="725"/>
      <c r="AM164" s="725"/>
      <c r="AN164" s="725"/>
      <c r="AO164" s="725"/>
      <c r="AP164" s="725"/>
      <c r="AQ164" s="725"/>
      <c r="AR164" s="725"/>
      <c r="AS164" s="725"/>
      <c r="AT164" s="725"/>
      <c r="AU164" s="725"/>
      <c r="AV164" s="725"/>
      <c r="AW164" s="725"/>
      <c r="AX164" s="725"/>
      <c r="AY164" s="725"/>
      <c r="AZ164" s="725"/>
      <c r="BA164" s="725"/>
      <c r="BB164" s="725"/>
      <c r="BC164" s="725"/>
      <c r="BD164" s="725"/>
      <c r="BE164" s="725"/>
      <c r="BF164" s="725"/>
      <c r="BG164" s="725"/>
      <c r="BH164" s="725"/>
      <c r="BI164" s="725"/>
      <c r="BJ164" s="725"/>
      <c r="BK164" s="725"/>
      <c r="BL164" s="725"/>
      <c r="BM164" s="725"/>
      <c r="BN164" s="725"/>
      <c r="BO164" s="725"/>
      <c r="BP164" s="725"/>
      <c r="BQ164" s="725"/>
      <c r="BR164" s="725"/>
      <c r="BS164" s="725"/>
      <c r="BT164" s="725"/>
      <c r="BU164" s="725"/>
      <c r="BV164" s="725"/>
      <c r="BW164" s="725"/>
      <c r="BX164" s="725"/>
      <c r="BY164" s="725"/>
      <c r="BZ164" s="725"/>
      <c r="CA164" s="725"/>
      <c r="CB164" s="725"/>
      <c r="CC164" s="725"/>
      <c r="CD164" s="725"/>
      <c r="CE164" s="725"/>
      <c r="CF164" s="725"/>
      <c r="CG164" s="725"/>
      <c r="CH164" s="725"/>
      <c r="CI164" s="725"/>
      <c r="CJ164" s="725"/>
      <c r="CK164" s="725"/>
      <c r="CL164" s="725"/>
      <c r="CM164" s="725"/>
      <c r="CN164" s="725"/>
      <c r="CO164" s="725"/>
      <c r="CP164" s="725"/>
      <c r="CQ164" s="725"/>
      <c r="CR164" s="725"/>
      <c r="CS164" s="725"/>
      <c r="CT164" s="725"/>
      <c r="CU164" s="725"/>
      <c r="CV164" s="725"/>
      <c r="CW164" s="725"/>
      <c r="CX164" s="725"/>
      <c r="CY164" s="725"/>
      <c r="CZ164" s="725"/>
      <c r="DA164" s="725"/>
      <c r="DB164" s="725"/>
    </row>
    <row r="165" spans="2:106">
      <c r="B165" s="725"/>
      <c r="C165" s="725"/>
      <c r="D165" s="725"/>
      <c r="E165" s="725"/>
      <c r="F165" s="725"/>
      <c r="G165" s="725"/>
      <c r="H165" s="725"/>
      <c r="I165" s="725"/>
      <c r="J165" s="725"/>
      <c r="K165" s="725"/>
      <c r="L165" s="725"/>
      <c r="M165" s="725"/>
      <c r="N165" s="725"/>
      <c r="O165" s="725"/>
      <c r="P165" s="725"/>
      <c r="Q165" s="725"/>
      <c r="R165" s="725"/>
      <c r="S165" s="725"/>
      <c r="T165" s="725"/>
      <c r="U165" s="725"/>
      <c r="V165" s="725"/>
      <c r="W165" s="725"/>
      <c r="X165" s="725"/>
      <c r="Y165" s="725"/>
      <c r="Z165" s="725"/>
      <c r="AA165" s="725"/>
      <c r="AB165" s="725"/>
      <c r="AC165" s="725"/>
      <c r="AD165" s="725"/>
      <c r="AE165" s="725"/>
      <c r="AF165" s="725"/>
      <c r="AG165" s="725"/>
      <c r="AH165" s="725"/>
      <c r="AI165" s="725"/>
      <c r="AJ165" s="725"/>
      <c r="AK165" s="725"/>
      <c r="AL165" s="725"/>
      <c r="AM165" s="725"/>
      <c r="AN165" s="725"/>
      <c r="AO165" s="725"/>
      <c r="AP165" s="725"/>
      <c r="AQ165" s="725"/>
      <c r="AR165" s="725"/>
      <c r="AS165" s="725"/>
      <c r="AT165" s="725"/>
      <c r="AU165" s="725"/>
      <c r="AV165" s="725"/>
      <c r="AW165" s="725"/>
      <c r="AX165" s="725"/>
      <c r="AY165" s="725"/>
      <c r="AZ165" s="725"/>
      <c r="BA165" s="725"/>
      <c r="BB165" s="725"/>
      <c r="BC165" s="725"/>
      <c r="BD165" s="725"/>
      <c r="BE165" s="725"/>
      <c r="BF165" s="725"/>
      <c r="BG165" s="725"/>
      <c r="BH165" s="725"/>
      <c r="BI165" s="725"/>
      <c r="BJ165" s="725"/>
      <c r="BK165" s="725"/>
      <c r="BL165" s="725"/>
      <c r="BM165" s="725"/>
      <c r="BN165" s="725"/>
      <c r="BO165" s="725"/>
      <c r="BP165" s="725"/>
      <c r="BQ165" s="725"/>
      <c r="BR165" s="725"/>
      <c r="BS165" s="725"/>
      <c r="BT165" s="725"/>
      <c r="BU165" s="725"/>
      <c r="BV165" s="725"/>
      <c r="BW165" s="725"/>
      <c r="BX165" s="725"/>
      <c r="BY165" s="725"/>
      <c r="BZ165" s="725"/>
      <c r="CA165" s="725"/>
      <c r="CB165" s="725"/>
      <c r="CC165" s="725"/>
      <c r="CD165" s="725"/>
      <c r="CE165" s="725"/>
      <c r="CF165" s="725"/>
      <c r="CG165" s="725"/>
      <c r="CH165" s="725"/>
      <c r="CI165" s="725"/>
      <c r="CJ165" s="725"/>
      <c r="CK165" s="725"/>
      <c r="CL165" s="725"/>
      <c r="CM165" s="725"/>
      <c r="CN165" s="725"/>
      <c r="CO165" s="725"/>
      <c r="CP165" s="725"/>
      <c r="CQ165" s="725"/>
      <c r="CR165" s="725"/>
      <c r="CS165" s="725"/>
      <c r="CT165" s="725"/>
      <c r="CU165" s="725"/>
      <c r="CV165" s="725"/>
      <c r="CW165" s="725"/>
      <c r="CX165" s="725"/>
      <c r="CY165" s="725"/>
      <c r="CZ165" s="725"/>
      <c r="DA165" s="725"/>
      <c r="DB165" s="725"/>
    </row>
    <row r="166" spans="2:106">
      <c r="B166" s="725"/>
      <c r="C166" s="725"/>
      <c r="D166" s="725"/>
      <c r="E166" s="725"/>
      <c r="F166" s="725"/>
      <c r="G166" s="725"/>
      <c r="H166" s="725"/>
      <c r="I166" s="725"/>
      <c r="J166" s="725"/>
      <c r="K166" s="725"/>
      <c r="L166" s="725"/>
      <c r="M166" s="725"/>
      <c r="N166" s="725"/>
      <c r="O166" s="725"/>
      <c r="P166" s="725"/>
      <c r="Q166" s="725"/>
      <c r="R166" s="725"/>
      <c r="S166" s="725"/>
      <c r="T166" s="725"/>
      <c r="U166" s="725"/>
      <c r="V166" s="725"/>
      <c r="W166" s="725"/>
      <c r="X166" s="725"/>
      <c r="Y166" s="725"/>
      <c r="Z166" s="725"/>
      <c r="AA166" s="725"/>
      <c r="AB166" s="725"/>
      <c r="AC166" s="725"/>
      <c r="AD166" s="725"/>
      <c r="AE166" s="725"/>
      <c r="AF166" s="725"/>
      <c r="AG166" s="725"/>
      <c r="AH166" s="725"/>
      <c r="AI166" s="725"/>
      <c r="AJ166" s="725"/>
      <c r="AK166" s="725"/>
      <c r="AL166" s="725"/>
      <c r="AM166" s="725"/>
      <c r="AN166" s="725"/>
      <c r="AO166" s="725"/>
      <c r="AP166" s="725"/>
      <c r="AQ166" s="725"/>
      <c r="AR166" s="725"/>
      <c r="AS166" s="725"/>
      <c r="AT166" s="725"/>
      <c r="AU166" s="725"/>
      <c r="AV166" s="725"/>
      <c r="AW166" s="725"/>
      <c r="AX166" s="725"/>
      <c r="AY166" s="725"/>
      <c r="AZ166" s="725"/>
      <c r="BA166" s="725"/>
      <c r="BB166" s="725"/>
      <c r="BC166" s="725"/>
      <c r="BD166" s="725"/>
      <c r="BE166" s="725"/>
      <c r="BF166" s="725"/>
      <c r="BG166" s="725"/>
      <c r="BH166" s="725"/>
      <c r="BI166" s="725"/>
      <c r="BJ166" s="725"/>
      <c r="BK166" s="725"/>
      <c r="BL166" s="725"/>
      <c r="BM166" s="725"/>
      <c r="BN166" s="725"/>
      <c r="BO166" s="725"/>
      <c r="BP166" s="725"/>
      <c r="BQ166" s="725"/>
      <c r="BR166" s="725"/>
      <c r="BS166" s="725"/>
      <c r="BT166" s="725"/>
      <c r="BU166" s="725"/>
      <c r="BV166" s="725"/>
      <c r="BW166" s="725"/>
      <c r="BX166" s="725"/>
      <c r="BY166" s="725"/>
      <c r="BZ166" s="725"/>
      <c r="CA166" s="725"/>
      <c r="CB166" s="725"/>
      <c r="CC166" s="725"/>
      <c r="CD166" s="725"/>
      <c r="CE166" s="725"/>
      <c r="CF166" s="725"/>
      <c r="CG166" s="725"/>
      <c r="CH166" s="725"/>
      <c r="CI166" s="725"/>
      <c r="CJ166" s="725"/>
      <c r="CK166" s="725"/>
      <c r="CL166" s="725"/>
      <c r="CM166" s="725"/>
      <c r="CN166" s="725"/>
      <c r="CO166" s="725"/>
      <c r="CP166" s="725"/>
      <c r="CQ166" s="725"/>
      <c r="CR166" s="725"/>
      <c r="CS166" s="725"/>
      <c r="CT166" s="725"/>
      <c r="CU166" s="725"/>
      <c r="CV166" s="725"/>
      <c r="CW166" s="725"/>
      <c r="CX166" s="725"/>
      <c r="CY166" s="725"/>
      <c r="CZ166" s="725"/>
      <c r="DA166" s="725"/>
      <c r="DB166" s="725"/>
    </row>
    <row r="167" spans="2:106">
      <c r="B167" s="725"/>
      <c r="C167" s="725"/>
      <c r="D167" s="725"/>
      <c r="E167" s="725"/>
      <c r="F167" s="725"/>
      <c r="G167" s="725"/>
      <c r="H167" s="725"/>
      <c r="I167" s="725"/>
      <c r="J167" s="725"/>
      <c r="K167" s="725"/>
      <c r="L167" s="725"/>
      <c r="M167" s="725"/>
      <c r="N167" s="725"/>
      <c r="O167" s="725"/>
      <c r="P167" s="725"/>
      <c r="Q167" s="725"/>
      <c r="R167" s="725"/>
      <c r="S167" s="725"/>
      <c r="T167" s="725"/>
      <c r="U167" s="725"/>
      <c r="V167" s="725"/>
      <c r="W167" s="725"/>
      <c r="X167" s="725"/>
      <c r="Y167" s="725"/>
      <c r="Z167" s="725"/>
      <c r="AA167" s="725"/>
      <c r="AB167" s="725"/>
      <c r="AC167" s="725"/>
      <c r="AD167" s="725"/>
      <c r="AE167" s="725"/>
      <c r="AF167" s="725"/>
      <c r="AG167" s="725"/>
      <c r="AH167" s="725"/>
      <c r="AI167" s="725"/>
      <c r="AJ167" s="725"/>
      <c r="AK167" s="725"/>
      <c r="AL167" s="725"/>
      <c r="AM167" s="725"/>
      <c r="AN167" s="725"/>
      <c r="AO167" s="725"/>
      <c r="AP167" s="725"/>
      <c r="AQ167" s="725"/>
      <c r="AR167" s="725"/>
      <c r="AS167" s="725"/>
      <c r="AT167" s="725"/>
      <c r="AU167" s="725"/>
      <c r="AV167" s="725"/>
      <c r="AW167" s="725"/>
      <c r="AX167" s="725"/>
      <c r="AY167" s="725"/>
      <c r="AZ167" s="725"/>
      <c r="BA167" s="725"/>
      <c r="BB167" s="725"/>
      <c r="BC167" s="725"/>
      <c r="BD167" s="725"/>
      <c r="BE167" s="725"/>
      <c r="BF167" s="725"/>
      <c r="BG167" s="725"/>
      <c r="BH167" s="725"/>
      <c r="BI167" s="725"/>
      <c r="BJ167" s="725"/>
      <c r="BK167" s="725"/>
      <c r="BL167" s="725"/>
      <c r="BM167" s="725"/>
      <c r="BN167" s="725"/>
      <c r="BO167" s="725"/>
      <c r="BP167" s="725"/>
      <c r="BQ167" s="725"/>
      <c r="BR167" s="725"/>
      <c r="BS167" s="725"/>
      <c r="BT167" s="725"/>
      <c r="BU167" s="725"/>
      <c r="BV167" s="725"/>
      <c r="BW167" s="725"/>
      <c r="BX167" s="725"/>
      <c r="BY167" s="725"/>
      <c r="BZ167" s="725"/>
      <c r="CA167" s="725"/>
      <c r="CB167" s="725"/>
      <c r="CC167" s="725"/>
      <c r="CD167" s="725"/>
      <c r="CE167" s="725"/>
      <c r="CF167" s="725"/>
      <c r="CG167" s="725"/>
      <c r="CH167" s="725"/>
      <c r="CI167" s="725"/>
      <c r="CJ167" s="725"/>
      <c r="CK167" s="725"/>
      <c r="CL167" s="725"/>
      <c r="CM167" s="725"/>
      <c r="CN167" s="725"/>
      <c r="CO167" s="725"/>
      <c r="CP167" s="725"/>
      <c r="CQ167" s="725"/>
      <c r="CR167" s="725"/>
      <c r="CS167" s="725"/>
      <c r="CT167" s="725"/>
      <c r="CU167" s="725"/>
      <c r="CV167" s="725"/>
      <c r="CW167" s="725"/>
      <c r="CX167" s="725"/>
      <c r="CY167" s="725"/>
      <c r="CZ167" s="725"/>
      <c r="DA167" s="725"/>
      <c r="DB167" s="725"/>
    </row>
    <row r="168" spans="2:106">
      <c r="B168" s="725"/>
      <c r="C168" s="725"/>
      <c r="D168" s="725"/>
      <c r="E168" s="725"/>
      <c r="F168" s="725"/>
      <c r="G168" s="725"/>
      <c r="H168" s="725"/>
      <c r="I168" s="725"/>
      <c r="J168" s="725"/>
      <c r="K168" s="725"/>
      <c r="L168" s="725"/>
      <c r="M168" s="725"/>
      <c r="N168" s="725"/>
      <c r="O168" s="725"/>
      <c r="P168" s="725"/>
      <c r="Q168" s="725"/>
      <c r="R168" s="725"/>
      <c r="S168" s="725"/>
      <c r="T168" s="725"/>
      <c r="U168" s="725"/>
      <c r="V168" s="725"/>
      <c r="W168" s="725"/>
      <c r="X168" s="725"/>
      <c r="Y168" s="725"/>
      <c r="Z168" s="725"/>
      <c r="AA168" s="725"/>
      <c r="AB168" s="725"/>
      <c r="AC168" s="725"/>
      <c r="AD168" s="725"/>
      <c r="AE168" s="725"/>
      <c r="AF168" s="725"/>
      <c r="AG168" s="725"/>
      <c r="AH168" s="725"/>
      <c r="AI168" s="725"/>
      <c r="AJ168" s="725"/>
      <c r="AK168" s="725"/>
      <c r="AL168" s="725"/>
      <c r="AM168" s="725"/>
      <c r="AN168" s="725"/>
      <c r="AO168" s="725"/>
      <c r="AP168" s="725"/>
      <c r="AQ168" s="725"/>
      <c r="AR168" s="725"/>
      <c r="AS168" s="725"/>
      <c r="AT168" s="725"/>
      <c r="AU168" s="725"/>
      <c r="AV168" s="725"/>
      <c r="AW168" s="725"/>
      <c r="AX168" s="725"/>
      <c r="AY168" s="725"/>
      <c r="AZ168" s="725"/>
      <c r="BA168" s="725"/>
      <c r="BB168" s="725"/>
      <c r="BC168" s="725"/>
      <c r="BD168" s="725"/>
      <c r="BE168" s="725"/>
      <c r="BF168" s="725"/>
      <c r="BG168" s="725"/>
      <c r="BH168" s="725"/>
      <c r="BI168" s="725"/>
      <c r="BJ168" s="725"/>
      <c r="BK168" s="725"/>
      <c r="BL168" s="725"/>
      <c r="BM168" s="725"/>
      <c r="BN168" s="725"/>
      <c r="BO168" s="725"/>
      <c r="BP168" s="725"/>
      <c r="BQ168" s="725"/>
      <c r="BR168" s="725"/>
      <c r="BS168" s="725"/>
      <c r="BT168" s="725"/>
      <c r="BU168" s="725"/>
      <c r="BV168" s="725"/>
      <c r="BW168" s="725"/>
      <c r="BX168" s="725"/>
      <c r="BY168" s="725"/>
      <c r="BZ168" s="725"/>
      <c r="CA168" s="725"/>
      <c r="CB168" s="725"/>
      <c r="CC168" s="725"/>
      <c r="CD168" s="725"/>
      <c r="CE168" s="725"/>
      <c r="CF168" s="725"/>
      <c r="CG168" s="725"/>
      <c r="CH168" s="725"/>
      <c r="CI168" s="725"/>
      <c r="CJ168" s="725"/>
      <c r="CK168" s="725"/>
      <c r="CL168" s="725"/>
      <c r="CM168" s="725"/>
      <c r="CN168" s="725"/>
      <c r="CO168" s="725"/>
      <c r="CP168" s="725"/>
      <c r="CQ168" s="725"/>
      <c r="CR168" s="725"/>
      <c r="CS168" s="725"/>
      <c r="CT168" s="725"/>
      <c r="CU168" s="725"/>
      <c r="CV168" s="725"/>
      <c r="CW168" s="725"/>
      <c r="CX168" s="725"/>
      <c r="CY168" s="725"/>
      <c r="CZ168" s="725"/>
      <c r="DA168" s="725"/>
      <c r="DB168" s="725"/>
    </row>
    <row r="169" spans="2:106">
      <c r="B169" s="725"/>
      <c r="C169" s="725"/>
      <c r="D169" s="725"/>
      <c r="E169" s="725"/>
      <c r="F169" s="725"/>
      <c r="G169" s="725"/>
      <c r="H169" s="725"/>
      <c r="I169" s="725"/>
      <c r="J169" s="725"/>
      <c r="K169" s="725"/>
      <c r="L169" s="725"/>
      <c r="M169" s="725"/>
      <c r="N169" s="725"/>
      <c r="O169" s="725"/>
      <c r="P169" s="725"/>
      <c r="Q169" s="725"/>
      <c r="R169" s="725"/>
      <c r="S169" s="725"/>
      <c r="T169" s="725"/>
      <c r="U169" s="725"/>
      <c r="V169" s="725"/>
      <c r="W169" s="725"/>
      <c r="X169" s="725"/>
      <c r="Y169" s="725"/>
      <c r="Z169" s="725"/>
      <c r="AA169" s="725"/>
      <c r="AB169" s="725"/>
      <c r="AC169" s="725"/>
      <c r="AD169" s="725"/>
      <c r="AE169" s="725"/>
      <c r="AF169" s="725"/>
      <c r="AG169" s="725"/>
      <c r="AH169" s="725"/>
      <c r="AI169" s="725"/>
      <c r="AJ169" s="725"/>
      <c r="AK169" s="725"/>
      <c r="AL169" s="725"/>
      <c r="AM169" s="725"/>
      <c r="AN169" s="725"/>
      <c r="AO169" s="725"/>
      <c r="AP169" s="725"/>
      <c r="AQ169" s="725"/>
      <c r="AR169" s="725"/>
      <c r="AS169" s="725"/>
      <c r="AT169" s="725"/>
      <c r="AU169" s="725"/>
      <c r="AV169" s="725"/>
      <c r="AW169" s="725"/>
      <c r="AX169" s="725"/>
      <c r="AY169" s="725"/>
      <c r="AZ169" s="725"/>
      <c r="BA169" s="725"/>
      <c r="BB169" s="725"/>
      <c r="BC169" s="725"/>
      <c r="BD169" s="725"/>
      <c r="BE169" s="725"/>
      <c r="BF169" s="725"/>
      <c r="BG169" s="725"/>
      <c r="BH169" s="725"/>
      <c r="BI169" s="725"/>
      <c r="BJ169" s="725"/>
      <c r="BK169" s="725"/>
      <c r="BL169" s="725"/>
      <c r="BM169" s="725"/>
      <c r="BN169" s="725"/>
      <c r="BO169" s="725"/>
      <c r="BP169" s="725"/>
      <c r="BQ169" s="725"/>
      <c r="BR169" s="725"/>
      <c r="BS169" s="725"/>
      <c r="BT169" s="725"/>
      <c r="BU169" s="725"/>
      <c r="BV169" s="725"/>
      <c r="BW169" s="725"/>
      <c r="BX169" s="725"/>
      <c r="BY169" s="725"/>
      <c r="BZ169" s="725"/>
      <c r="CA169" s="725"/>
      <c r="CB169" s="725"/>
      <c r="CC169" s="725"/>
      <c r="CD169" s="725"/>
      <c r="CE169" s="725"/>
      <c r="CF169" s="725"/>
      <c r="CG169" s="725"/>
      <c r="CH169" s="725"/>
      <c r="CI169" s="725"/>
      <c r="CJ169" s="725"/>
      <c r="CK169" s="725"/>
      <c r="CL169" s="725"/>
      <c r="CM169" s="725"/>
      <c r="CN169" s="725"/>
      <c r="CO169" s="725"/>
      <c r="CP169" s="725"/>
      <c r="CQ169" s="725"/>
      <c r="CR169" s="725"/>
      <c r="CS169" s="725"/>
      <c r="CT169" s="725"/>
      <c r="CU169" s="725"/>
      <c r="CV169" s="725"/>
      <c r="CW169" s="725"/>
      <c r="CX169" s="725"/>
      <c r="CY169" s="725"/>
      <c r="CZ169" s="725"/>
      <c r="DA169" s="725"/>
      <c r="DB169" s="725"/>
    </row>
    <row r="170" spans="2:106">
      <c r="B170" s="725"/>
      <c r="C170" s="725"/>
      <c r="D170" s="725"/>
      <c r="E170" s="725"/>
      <c r="F170" s="725"/>
      <c r="G170" s="725"/>
      <c r="H170" s="725"/>
      <c r="I170" s="725"/>
      <c r="J170" s="725"/>
      <c r="K170" s="725"/>
      <c r="L170" s="725"/>
      <c r="M170" s="725"/>
      <c r="N170" s="725"/>
      <c r="O170" s="725"/>
      <c r="P170" s="725"/>
      <c r="Q170" s="725"/>
      <c r="R170" s="725"/>
      <c r="S170" s="725"/>
      <c r="T170" s="725"/>
      <c r="U170" s="725"/>
      <c r="V170" s="725"/>
      <c r="W170" s="725"/>
      <c r="X170" s="725"/>
      <c r="Y170" s="725"/>
      <c r="Z170" s="725"/>
      <c r="AA170" s="725"/>
      <c r="AB170" s="725"/>
      <c r="AC170" s="725"/>
      <c r="AD170" s="725"/>
      <c r="AE170" s="725"/>
      <c r="AF170" s="725"/>
      <c r="AG170" s="725"/>
      <c r="AH170" s="725"/>
      <c r="AI170" s="725"/>
      <c r="AJ170" s="725"/>
      <c r="AK170" s="725"/>
      <c r="AL170" s="725"/>
      <c r="AM170" s="725"/>
      <c r="AN170" s="725"/>
      <c r="AO170" s="725"/>
      <c r="AP170" s="725"/>
      <c r="AQ170" s="725"/>
      <c r="AR170" s="725"/>
      <c r="AS170" s="725"/>
      <c r="AT170" s="725"/>
      <c r="AU170" s="725"/>
      <c r="AV170" s="725"/>
      <c r="AW170" s="725"/>
      <c r="AX170" s="725"/>
      <c r="AY170" s="725"/>
      <c r="AZ170" s="725"/>
      <c r="BA170" s="725"/>
      <c r="BB170" s="725"/>
      <c r="BC170" s="725"/>
      <c r="BD170" s="725"/>
      <c r="BE170" s="725"/>
      <c r="BF170" s="725"/>
      <c r="BG170" s="725"/>
      <c r="BH170" s="725"/>
      <c r="BI170" s="725"/>
      <c r="BJ170" s="725"/>
      <c r="BK170" s="725"/>
      <c r="BL170" s="725"/>
      <c r="BM170" s="725"/>
      <c r="BN170" s="725"/>
      <c r="BO170" s="725"/>
      <c r="BP170" s="725"/>
      <c r="BQ170" s="725"/>
      <c r="BR170" s="725"/>
      <c r="BS170" s="725"/>
      <c r="BT170" s="725"/>
      <c r="BU170" s="725"/>
      <c r="BV170" s="725"/>
      <c r="BW170" s="725"/>
      <c r="BX170" s="725"/>
      <c r="BY170" s="725"/>
      <c r="BZ170" s="725"/>
      <c r="CA170" s="725"/>
      <c r="CB170" s="725"/>
      <c r="CC170" s="725"/>
      <c r="CD170" s="725"/>
      <c r="CE170" s="725"/>
      <c r="CF170" s="725"/>
      <c r="CG170" s="725"/>
      <c r="CH170" s="725"/>
      <c r="CI170" s="725"/>
      <c r="CJ170" s="725"/>
      <c r="CK170" s="725"/>
      <c r="CL170" s="725"/>
      <c r="CM170" s="725"/>
      <c r="CN170" s="725"/>
      <c r="CO170" s="725"/>
      <c r="CP170" s="725"/>
      <c r="CQ170" s="725"/>
      <c r="CR170" s="725"/>
      <c r="CS170" s="725"/>
      <c r="CT170" s="725"/>
      <c r="CU170" s="725"/>
      <c r="CV170" s="725"/>
      <c r="CW170" s="725"/>
      <c r="CX170" s="725"/>
      <c r="CY170" s="725"/>
      <c r="CZ170" s="725"/>
      <c r="DA170" s="725"/>
      <c r="DB170" s="725"/>
    </row>
    <row r="171" spans="2:106">
      <c r="B171" s="725"/>
      <c r="C171" s="725"/>
      <c r="D171" s="725"/>
      <c r="E171" s="725"/>
      <c r="F171" s="725"/>
      <c r="G171" s="725"/>
      <c r="H171" s="725"/>
      <c r="I171" s="725"/>
      <c r="J171" s="725"/>
      <c r="K171" s="725"/>
      <c r="L171" s="725"/>
      <c r="M171" s="725"/>
      <c r="N171" s="725"/>
      <c r="O171" s="725"/>
      <c r="P171" s="725"/>
      <c r="Q171" s="725"/>
      <c r="R171" s="725"/>
      <c r="S171" s="725"/>
      <c r="T171" s="725"/>
      <c r="U171" s="725"/>
      <c r="V171" s="725"/>
      <c r="W171" s="725"/>
      <c r="X171" s="725"/>
      <c r="Y171" s="725"/>
      <c r="Z171" s="725"/>
      <c r="AA171" s="725"/>
      <c r="AB171" s="725"/>
      <c r="AC171" s="725"/>
      <c r="AD171" s="725"/>
      <c r="AE171" s="725"/>
      <c r="AF171" s="725"/>
      <c r="AG171" s="725"/>
      <c r="AH171" s="725"/>
      <c r="AI171" s="725"/>
      <c r="AJ171" s="725"/>
      <c r="AK171" s="725"/>
      <c r="AL171" s="725"/>
      <c r="AM171" s="725"/>
      <c r="AN171" s="725"/>
      <c r="AO171" s="725"/>
      <c r="AP171" s="725"/>
      <c r="AQ171" s="725"/>
      <c r="AR171" s="725"/>
      <c r="AS171" s="725"/>
      <c r="AT171" s="725"/>
      <c r="AU171" s="725"/>
      <c r="AV171" s="725"/>
      <c r="AW171" s="725"/>
      <c r="AX171" s="725"/>
      <c r="AY171" s="725"/>
      <c r="AZ171" s="725"/>
      <c r="BA171" s="725"/>
      <c r="BB171" s="725"/>
      <c r="BC171" s="725"/>
      <c r="BD171" s="725"/>
      <c r="BE171" s="725"/>
      <c r="BF171" s="725"/>
      <c r="BG171" s="725"/>
      <c r="BH171" s="725"/>
      <c r="BI171" s="725"/>
      <c r="BJ171" s="725"/>
      <c r="BK171" s="725"/>
      <c r="BL171" s="725"/>
      <c r="BM171" s="725"/>
      <c r="BN171" s="725"/>
      <c r="BO171" s="725"/>
      <c r="BP171" s="725"/>
      <c r="BQ171" s="725"/>
      <c r="BR171" s="725"/>
      <c r="BS171" s="725"/>
      <c r="BT171" s="725"/>
      <c r="BU171" s="725"/>
      <c r="BV171" s="725"/>
      <c r="BW171" s="725"/>
      <c r="BX171" s="725"/>
      <c r="BY171" s="725"/>
      <c r="BZ171" s="725"/>
      <c r="CA171" s="725"/>
      <c r="CB171" s="725"/>
      <c r="CC171" s="725"/>
      <c r="CD171" s="725"/>
      <c r="CE171" s="725"/>
      <c r="CF171" s="725"/>
      <c r="CG171" s="725"/>
      <c r="CH171" s="725"/>
      <c r="CI171" s="725"/>
      <c r="CJ171" s="725"/>
      <c r="CK171" s="725"/>
      <c r="CL171" s="725"/>
      <c r="CM171" s="725"/>
      <c r="CN171" s="725"/>
      <c r="CO171" s="725"/>
      <c r="CP171" s="725"/>
      <c r="CQ171" s="725"/>
      <c r="CR171" s="725"/>
      <c r="CS171" s="725"/>
      <c r="CT171" s="725"/>
      <c r="CU171" s="725"/>
      <c r="CV171" s="725"/>
      <c r="CW171" s="725"/>
      <c r="CX171" s="725"/>
      <c r="CY171" s="725"/>
      <c r="CZ171" s="725"/>
      <c r="DA171" s="725"/>
      <c r="DB171" s="725"/>
    </row>
    <row r="172" spans="2:106">
      <c r="B172" s="725"/>
      <c r="C172" s="725"/>
      <c r="D172" s="725"/>
      <c r="E172" s="725"/>
      <c r="F172" s="725"/>
      <c r="G172" s="725"/>
      <c r="H172" s="725"/>
      <c r="I172" s="725"/>
      <c r="J172" s="725"/>
      <c r="K172" s="725"/>
      <c r="L172" s="725"/>
      <c r="M172" s="725"/>
      <c r="N172" s="725"/>
      <c r="O172" s="725"/>
      <c r="P172" s="725"/>
      <c r="Q172" s="725"/>
      <c r="R172" s="725"/>
      <c r="S172" s="725"/>
      <c r="T172" s="725"/>
      <c r="U172" s="725"/>
      <c r="V172" s="725"/>
      <c r="W172" s="725"/>
      <c r="X172" s="725"/>
      <c r="Y172" s="725"/>
      <c r="Z172" s="725"/>
      <c r="AA172" s="725"/>
      <c r="AB172" s="725"/>
      <c r="AC172" s="725"/>
      <c r="AD172" s="725"/>
      <c r="AE172" s="725"/>
      <c r="AF172" s="725"/>
      <c r="AG172" s="725"/>
      <c r="AH172" s="725"/>
      <c r="AI172" s="725"/>
      <c r="AJ172" s="725"/>
      <c r="AK172" s="725"/>
      <c r="AL172" s="725"/>
      <c r="AM172" s="725"/>
      <c r="AN172" s="725"/>
      <c r="AO172" s="725"/>
      <c r="AP172" s="725"/>
      <c r="AQ172" s="725"/>
      <c r="AR172" s="725"/>
      <c r="AS172" s="725"/>
      <c r="AT172" s="725"/>
      <c r="AU172" s="725"/>
      <c r="AV172" s="725"/>
      <c r="AW172" s="725"/>
      <c r="AX172" s="725"/>
      <c r="AY172" s="725"/>
      <c r="AZ172" s="725"/>
      <c r="BA172" s="725"/>
      <c r="BB172" s="725"/>
      <c r="BC172" s="725"/>
      <c r="BD172" s="725"/>
      <c r="BE172" s="725"/>
      <c r="BF172" s="725"/>
      <c r="BG172" s="725"/>
      <c r="BH172" s="725"/>
      <c r="BI172" s="725"/>
      <c r="BJ172" s="725"/>
      <c r="BK172" s="725"/>
      <c r="BL172" s="725"/>
      <c r="BM172" s="725"/>
      <c r="BN172" s="725"/>
      <c r="BO172" s="725"/>
      <c r="BP172" s="725"/>
      <c r="BQ172" s="725"/>
      <c r="BR172" s="725"/>
      <c r="BS172" s="725"/>
      <c r="BT172" s="725"/>
      <c r="BU172" s="725"/>
      <c r="BV172" s="725"/>
      <c r="BW172" s="725"/>
      <c r="BX172" s="725"/>
      <c r="BY172" s="725"/>
      <c r="BZ172" s="725"/>
      <c r="CA172" s="725"/>
      <c r="CB172" s="725"/>
      <c r="CC172" s="725"/>
      <c r="CD172" s="725"/>
      <c r="CE172" s="725"/>
      <c r="CF172" s="725"/>
      <c r="CG172" s="725"/>
      <c r="CH172" s="725"/>
      <c r="CI172" s="725"/>
      <c r="CJ172" s="725"/>
      <c r="CK172" s="725"/>
      <c r="CL172" s="725"/>
      <c r="CM172" s="725"/>
      <c r="CN172" s="725"/>
      <c r="CO172" s="725"/>
      <c r="CP172" s="725"/>
      <c r="CQ172" s="725"/>
      <c r="CR172" s="725"/>
      <c r="CS172" s="725"/>
      <c r="CT172" s="725"/>
      <c r="CU172" s="725"/>
      <c r="CV172" s="725"/>
      <c r="CW172" s="725"/>
      <c r="CX172" s="725"/>
      <c r="CY172" s="725"/>
      <c r="CZ172" s="725"/>
      <c r="DA172" s="725"/>
      <c r="DB172" s="725"/>
    </row>
    <row r="173" spans="2:106">
      <c r="B173" s="725"/>
      <c r="C173" s="725"/>
      <c r="D173" s="725"/>
      <c r="E173" s="725"/>
      <c r="F173" s="725"/>
      <c r="G173" s="725"/>
      <c r="H173" s="725"/>
      <c r="I173" s="725"/>
      <c r="J173" s="725"/>
      <c r="K173" s="725"/>
      <c r="L173" s="725"/>
      <c r="M173" s="725"/>
      <c r="N173" s="725"/>
      <c r="O173" s="725"/>
      <c r="P173" s="725"/>
      <c r="Q173" s="725"/>
      <c r="R173" s="725"/>
      <c r="S173" s="725"/>
      <c r="T173" s="725"/>
      <c r="U173" s="725"/>
      <c r="V173" s="725"/>
      <c r="W173" s="725"/>
      <c r="X173" s="725"/>
      <c r="Y173" s="725"/>
      <c r="Z173" s="725"/>
      <c r="AA173" s="725"/>
      <c r="AB173" s="725"/>
      <c r="AC173" s="725"/>
      <c r="AD173" s="725"/>
      <c r="AE173" s="725"/>
      <c r="AF173" s="725"/>
      <c r="AG173" s="725"/>
      <c r="AH173" s="725"/>
      <c r="AI173" s="725"/>
      <c r="AJ173" s="725"/>
      <c r="AK173" s="725"/>
      <c r="AL173" s="725"/>
      <c r="AM173" s="725"/>
      <c r="AN173" s="725"/>
      <c r="AO173" s="725"/>
      <c r="AP173" s="725"/>
      <c r="AQ173" s="725"/>
      <c r="AR173" s="725"/>
      <c r="AS173" s="725"/>
      <c r="AT173" s="725"/>
      <c r="AU173" s="725"/>
      <c r="AV173" s="725"/>
      <c r="AW173" s="725"/>
      <c r="AX173" s="725"/>
      <c r="AY173" s="725"/>
      <c r="AZ173" s="725"/>
      <c r="BA173" s="725"/>
      <c r="BB173" s="725"/>
      <c r="BC173" s="725"/>
      <c r="BD173" s="725"/>
      <c r="BE173" s="725"/>
      <c r="BF173" s="725"/>
      <c r="BG173" s="725"/>
      <c r="BH173" s="725"/>
      <c r="BI173" s="725"/>
      <c r="BJ173" s="725"/>
      <c r="BK173" s="725"/>
      <c r="BL173" s="725"/>
      <c r="BM173" s="725"/>
      <c r="BN173" s="725"/>
      <c r="BO173" s="725"/>
      <c r="BP173" s="725"/>
      <c r="BQ173" s="725"/>
      <c r="BR173" s="725"/>
      <c r="BS173" s="725"/>
      <c r="BT173" s="725"/>
      <c r="BU173" s="725"/>
      <c r="BV173" s="725"/>
      <c r="BW173" s="725"/>
      <c r="BX173" s="725"/>
      <c r="BY173" s="725"/>
      <c r="BZ173" s="725"/>
      <c r="CA173" s="725"/>
      <c r="CB173" s="725"/>
      <c r="CC173" s="725"/>
      <c r="CD173" s="725"/>
      <c r="CE173" s="725"/>
      <c r="CF173" s="725"/>
      <c r="CG173" s="725"/>
      <c r="CH173" s="725"/>
      <c r="CI173" s="725"/>
      <c r="CJ173" s="725"/>
      <c r="CK173" s="725"/>
      <c r="CL173" s="725"/>
      <c r="CM173" s="725"/>
      <c r="CN173" s="725"/>
      <c r="CO173" s="725"/>
      <c r="CP173" s="725"/>
      <c r="CQ173" s="725"/>
      <c r="CR173" s="725"/>
      <c r="CS173" s="725"/>
      <c r="CT173" s="725"/>
      <c r="CU173" s="725"/>
      <c r="CV173" s="725"/>
      <c r="CW173" s="725"/>
      <c r="CX173" s="725"/>
      <c r="CY173" s="725"/>
      <c r="CZ173" s="725"/>
      <c r="DA173" s="725"/>
      <c r="DB173" s="725"/>
    </row>
    <row r="174" spans="2:106">
      <c r="B174" s="725"/>
      <c r="C174" s="725"/>
      <c r="D174" s="725"/>
      <c r="E174" s="725"/>
      <c r="F174" s="725"/>
      <c r="G174" s="725"/>
      <c r="H174" s="725"/>
      <c r="I174" s="725"/>
      <c r="J174" s="725"/>
      <c r="K174" s="725"/>
      <c r="L174" s="725"/>
      <c r="M174" s="725"/>
      <c r="N174" s="725"/>
      <c r="O174" s="725"/>
      <c r="P174" s="725"/>
      <c r="Q174" s="725"/>
      <c r="R174" s="725"/>
      <c r="S174" s="725"/>
      <c r="T174" s="725"/>
      <c r="U174" s="725"/>
      <c r="V174" s="725"/>
      <c r="W174" s="725"/>
      <c r="X174" s="725"/>
      <c r="Y174" s="725"/>
      <c r="Z174" s="725"/>
      <c r="AA174" s="725"/>
      <c r="AB174" s="725"/>
      <c r="AC174" s="725"/>
      <c r="AD174" s="725"/>
      <c r="AE174" s="725"/>
      <c r="AF174" s="725"/>
      <c r="AG174" s="725"/>
      <c r="AH174" s="725"/>
      <c r="AI174" s="725"/>
      <c r="AJ174" s="725"/>
      <c r="AK174" s="725"/>
      <c r="AL174" s="725"/>
      <c r="AM174" s="725"/>
      <c r="AN174" s="725"/>
      <c r="AO174" s="725"/>
      <c r="AP174" s="725"/>
      <c r="AQ174" s="725"/>
      <c r="AR174" s="725"/>
      <c r="AS174" s="725"/>
      <c r="AT174" s="725"/>
      <c r="AU174" s="725"/>
      <c r="AV174" s="725"/>
      <c r="AW174" s="725"/>
      <c r="AX174" s="725"/>
      <c r="AY174" s="725"/>
      <c r="AZ174" s="725"/>
      <c r="BA174" s="725"/>
      <c r="BB174" s="725"/>
      <c r="BC174" s="725"/>
      <c r="BD174" s="725"/>
      <c r="BE174" s="725"/>
      <c r="BF174" s="725"/>
      <c r="BG174" s="725"/>
      <c r="BH174" s="725"/>
      <c r="BI174" s="725"/>
      <c r="BJ174" s="725"/>
      <c r="BK174" s="725"/>
      <c r="BL174" s="725"/>
      <c r="BM174" s="725"/>
      <c r="BN174" s="725"/>
      <c r="BO174" s="725"/>
      <c r="BP174" s="725"/>
      <c r="BQ174" s="725"/>
      <c r="BR174" s="725"/>
      <c r="BS174" s="725"/>
      <c r="BT174" s="725"/>
      <c r="BU174" s="725"/>
      <c r="BV174" s="725"/>
      <c r="BW174" s="725"/>
      <c r="BX174" s="725"/>
      <c r="BY174" s="725"/>
      <c r="BZ174" s="725"/>
      <c r="CA174" s="725"/>
      <c r="CB174" s="725"/>
      <c r="CC174" s="725"/>
      <c r="CD174" s="725"/>
      <c r="CE174" s="725"/>
      <c r="CF174" s="725"/>
      <c r="CG174" s="725"/>
      <c r="CH174" s="725"/>
      <c r="CI174" s="725"/>
      <c r="CJ174" s="725"/>
      <c r="CK174" s="725"/>
      <c r="CL174" s="725"/>
      <c r="CM174" s="725"/>
      <c r="CN174" s="725"/>
      <c r="CO174" s="725"/>
      <c r="CP174" s="725"/>
      <c r="CQ174" s="725"/>
      <c r="CR174" s="725"/>
      <c r="CS174" s="725"/>
      <c r="CT174" s="725"/>
      <c r="CU174" s="725"/>
      <c r="CV174" s="725"/>
      <c r="CW174" s="725"/>
      <c r="CX174" s="725"/>
      <c r="CY174" s="725"/>
      <c r="CZ174" s="725"/>
      <c r="DA174" s="725"/>
      <c r="DB174" s="725"/>
    </row>
  </sheetData>
  <phoneticPr fontId="18" type="noConversion"/>
  <pageMargins left="0" right="0" top="0" bottom="0" header="0" footer="0"/>
  <pageSetup paperSize="5" orientation="landscape" r:id="rId1"/>
  <headerFooter alignWithMargins="0"/>
  <ignoredErrors>
    <ignoredError sqref="BG109" 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J312"/>
  <sheetViews>
    <sheetView showGridLines="0" zoomScaleNormal="100" workbookViewId="0">
      <pane xSplit="2" ySplit="4" topLeftCell="CH5" activePane="bottomRight" state="frozen"/>
      <selection pane="topRight" activeCell="C1" sqref="C1"/>
      <selection pane="bottomLeft" activeCell="A7" sqref="A7"/>
      <selection pane="bottomRight" activeCell="CH5" sqref="CH5"/>
    </sheetView>
  </sheetViews>
  <sheetFormatPr defaultRowHeight="12.75" outlineLevelRow="1" outlineLevelCol="2"/>
  <cols>
    <col min="1" max="1" width="1.140625" customWidth="1"/>
    <col min="2" max="2" width="38.5703125" customWidth="1"/>
    <col min="3" max="3" width="1.7109375" hidden="1" customWidth="1" outlineLevel="1"/>
    <col min="4" max="6" width="9.28515625" hidden="1" customWidth="1" outlineLevel="1"/>
    <col min="7" max="10" width="9.28515625" hidden="1" customWidth="1" outlineLevel="2"/>
    <col min="11" max="11" width="9.28515625" hidden="1" customWidth="1" outlineLevel="1"/>
    <col min="12" max="15" width="9.28515625" hidden="1" customWidth="1" outlineLevel="2"/>
    <col min="16" max="16" width="9.28515625" hidden="1" customWidth="1" outlineLevel="1"/>
    <col min="17" max="20" width="9.28515625" hidden="1" customWidth="1" outlineLevel="2"/>
    <col min="21" max="21" width="9.28515625" hidden="1" customWidth="1" outlineLevel="1"/>
    <col min="22" max="25" width="9.28515625" hidden="1" customWidth="1" outlineLevel="2"/>
    <col min="26" max="26" width="9.28515625" hidden="1" customWidth="1" outlineLevel="1"/>
    <col min="27" max="30" width="9.28515625" hidden="1" customWidth="1" outlineLevel="2"/>
    <col min="31" max="31" width="9.28515625" hidden="1" customWidth="1" outlineLevel="1"/>
    <col min="32" max="35" width="9.28515625" hidden="1" customWidth="1" outlineLevel="2"/>
    <col min="36" max="36" width="9.28515625" hidden="1" customWidth="1" outlineLevel="1"/>
    <col min="37" max="40" width="9.28515625" hidden="1" customWidth="1" outlineLevel="2"/>
    <col min="41" max="41" width="10.140625" hidden="1" customWidth="1" outlineLevel="1"/>
    <col min="42" max="45" width="9.28515625" hidden="1" customWidth="1" outlineLevel="2"/>
    <col min="46" max="46" width="9.85546875" hidden="1" customWidth="1" outlineLevel="1"/>
    <col min="47" max="50" width="9.28515625" hidden="1" customWidth="1" outlineLevel="2"/>
    <col min="51" max="51" width="10" hidden="1" customWidth="1" outlineLevel="2"/>
    <col min="52" max="55" width="9.28515625" hidden="1" customWidth="1" outlineLevel="1"/>
    <col min="56" max="56" width="9.7109375" hidden="1" customWidth="1" collapsed="1"/>
    <col min="57" max="60" width="9.7109375" hidden="1" customWidth="1" outlineLevel="1"/>
    <col min="61" max="61" width="9.7109375" hidden="1" customWidth="1" collapsed="1"/>
    <col min="62" max="65" width="9.7109375" hidden="1" customWidth="1" outlineLevel="1"/>
    <col min="66" max="66" width="9.7109375" hidden="1" customWidth="1" collapsed="1"/>
    <col min="67" max="70" width="9.7109375" hidden="1" customWidth="1" outlineLevel="1"/>
    <col min="71" max="71" width="9.7109375" hidden="1" customWidth="1" collapsed="1"/>
    <col min="72" max="75" width="9.7109375" hidden="1" customWidth="1" outlineLevel="1"/>
    <col min="76" max="76" width="9.7109375" hidden="1" customWidth="1" collapsed="1"/>
    <col min="77" max="79" width="9.7109375" hidden="1" customWidth="1" outlineLevel="1"/>
    <col min="80" max="80" width="9.140625" hidden="1" customWidth="1" outlineLevel="1"/>
    <col min="81" max="81" width="9.7109375" hidden="1" customWidth="1" collapsed="1"/>
    <col min="82" max="85" width="9.7109375" hidden="1" customWidth="1" outlineLevel="1"/>
    <col min="86" max="86" width="9.7109375" customWidth="1" collapsed="1"/>
    <col min="87" max="90" width="9.7109375" hidden="1" customWidth="1" outlineLevel="1"/>
    <col min="91" max="91" width="9.7109375" customWidth="1" collapsed="1"/>
    <col min="92" max="95" width="9.7109375" customWidth="1" outlineLevel="1"/>
    <col min="96" max="96" width="9.7109375" customWidth="1"/>
    <col min="97" max="100" width="9.7109375" customWidth="1" outlineLevel="1"/>
    <col min="101" max="101" width="9.7109375" customWidth="1"/>
    <col min="102" max="105" width="9.7109375" hidden="1" customWidth="1" outlineLevel="1"/>
    <col min="106" max="106" width="9.7109375" customWidth="1" collapsed="1"/>
    <col min="108" max="108" width="11.140625" bestFit="1" customWidth="1"/>
  </cols>
  <sheetData>
    <row r="1" spans="1:114" ht="15.75">
      <c r="A1" s="712" t="s">
        <v>97</v>
      </c>
      <c r="B1" s="727"/>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c r="BG1" s="714"/>
      <c r="BH1" s="714"/>
      <c r="BI1" s="714"/>
      <c r="BJ1" s="714"/>
      <c r="BK1" s="714"/>
      <c r="BL1" s="714"/>
      <c r="BM1" s="714"/>
      <c r="BN1" s="714"/>
      <c r="BO1" s="714"/>
      <c r="BP1" s="714"/>
      <c r="BQ1" s="714"/>
      <c r="BR1" s="714"/>
      <c r="BS1" s="714"/>
      <c r="BT1" s="714"/>
      <c r="BU1" s="714"/>
      <c r="BV1" s="728"/>
      <c r="BW1" s="714"/>
      <c r="BX1" s="714"/>
      <c r="BY1" s="729"/>
      <c r="BZ1" s="730"/>
      <c r="CA1" s="730"/>
      <c r="CB1" s="730"/>
      <c r="CC1" s="728"/>
      <c r="CD1" s="728"/>
      <c r="CE1" s="728"/>
      <c r="CF1" s="728"/>
      <c r="CG1" s="728"/>
      <c r="CH1" s="728"/>
      <c r="CI1" s="728"/>
      <c r="CJ1" s="728"/>
      <c r="CK1" s="728"/>
      <c r="CL1" s="728"/>
      <c r="CM1" s="728"/>
      <c r="CN1" s="728"/>
      <c r="CO1" s="728"/>
      <c r="CP1" s="728"/>
      <c r="CQ1" s="728"/>
      <c r="CR1" s="728"/>
      <c r="CS1" s="728"/>
      <c r="CT1" s="728"/>
      <c r="CU1" s="728"/>
      <c r="CV1" s="728"/>
      <c r="CW1" s="728"/>
      <c r="CX1" s="728"/>
      <c r="CY1" s="728"/>
      <c r="CZ1" s="728"/>
      <c r="DA1" s="728"/>
      <c r="DB1" s="728"/>
      <c r="DC1" s="11"/>
      <c r="DD1" s="11"/>
      <c r="DE1" s="5"/>
      <c r="DF1" s="7" t="s">
        <v>72</v>
      </c>
      <c r="DG1" s="7" t="s">
        <v>73</v>
      </c>
      <c r="DH1" s="7" t="s">
        <v>74</v>
      </c>
      <c r="DI1" s="7" t="s">
        <v>75</v>
      </c>
      <c r="DJ1" s="7" t="s">
        <v>76</v>
      </c>
    </row>
    <row r="2" spans="1:114" ht="12.75" customHeight="1" thickBot="1">
      <c r="A2" s="731" t="s">
        <v>151</v>
      </c>
      <c r="B2" s="717"/>
      <c r="C2" s="718"/>
      <c r="D2" s="718"/>
      <c r="E2" s="718"/>
      <c r="F2" s="718"/>
      <c r="G2" s="718"/>
      <c r="H2" s="718"/>
      <c r="I2" s="718"/>
      <c r="J2" s="718"/>
      <c r="K2" s="718"/>
      <c r="L2" s="718"/>
      <c r="M2" s="718"/>
      <c r="N2" s="718"/>
      <c r="O2" s="718"/>
      <c r="P2" s="718"/>
      <c r="Q2" s="718"/>
      <c r="R2" s="718"/>
      <c r="S2" s="718"/>
      <c r="T2" s="718"/>
      <c r="U2" s="718"/>
      <c r="V2" s="718"/>
      <c r="W2" s="718"/>
      <c r="X2" s="718"/>
      <c r="Y2" s="718"/>
      <c r="Z2" s="718"/>
      <c r="AA2" s="718"/>
      <c r="AB2" s="718"/>
      <c r="AC2" s="718"/>
      <c r="AD2" s="718"/>
      <c r="AE2" s="718"/>
      <c r="AF2" s="718"/>
      <c r="AG2" s="718"/>
      <c r="AH2" s="718"/>
      <c r="AI2" s="718"/>
      <c r="AJ2" s="718"/>
      <c r="AK2" s="718"/>
      <c r="AL2" s="718"/>
      <c r="AM2" s="718"/>
      <c r="AN2" s="718"/>
      <c r="AO2" s="718"/>
      <c r="AP2" s="718"/>
      <c r="AQ2" s="718"/>
      <c r="AR2" s="718"/>
      <c r="AS2" s="718"/>
      <c r="AT2" s="718"/>
      <c r="AU2" s="718"/>
      <c r="AV2" s="718"/>
      <c r="AW2" s="718"/>
      <c r="AX2" s="718"/>
      <c r="AY2" s="718"/>
      <c r="AZ2" s="719"/>
      <c r="BA2" s="718"/>
      <c r="BB2" s="718"/>
      <c r="BC2" s="718"/>
      <c r="BD2" s="718"/>
      <c r="BE2" s="719"/>
      <c r="BF2" s="718"/>
      <c r="BG2" s="718"/>
      <c r="BH2" s="718"/>
      <c r="BI2" s="719"/>
      <c r="BJ2" s="719"/>
      <c r="BK2" s="718"/>
      <c r="BL2" s="718"/>
      <c r="BM2" s="718"/>
      <c r="BN2" s="718"/>
      <c r="BO2" s="719"/>
      <c r="BP2" s="719"/>
      <c r="BQ2" s="718"/>
      <c r="BR2" s="718"/>
      <c r="BS2" s="718"/>
      <c r="BT2" s="719"/>
      <c r="BU2" s="718"/>
      <c r="BV2" s="720"/>
      <c r="BW2" s="718"/>
      <c r="BX2" s="718"/>
      <c r="BY2" s="719"/>
      <c r="BZ2" s="732"/>
      <c r="CA2" s="732"/>
      <c r="CB2" s="732"/>
      <c r="CC2" s="720"/>
      <c r="CD2" s="720"/>
      <c r="CE2" s="720"/>
      <c r="CF2" s="720"/>
      <c r="CG2" s="720"/>
      <c r="CH2" s="720"/>
      <c r="CI2" s="720"/>
      <c r="CJ2" s="720"/>
      <c r="CK2" s="720"/>
      <c r="CL2" s="720"/>
      <c r="CM2" s="720"/>
      <c r="CN2" s="720"/>
      <c r="CO2" s="720"/>
      <c r="CP2" s="720"/>
      <c r="CQ2" s="720"/>
      <c r="CR2" s="720"/>
      <c r="CS2" s="720"/>
      <c r="CT2" s="720"/>
      <c r="CU2" s="720"/>
      <c r="CV2" s="720"/>
      <c r="CW2" s="720"/>
      <c r="CX2" s="720"/>
      <c r="CY2" s="720"/>
      <c r="CZ2" s="720"/>
      <c r="DA2" s="720"/>
      <c r="DB2" s="720"/>
      <c r="DC2" s="11"/>
      <c r="DD2" s="11"/>
      <c r="DE2" s="5"/>
      <c r="DF2" s="5"/>
      <c r="DG2" s="5"/>
      <c r="DH2" s="5"/>
      <c r="DI2" s="5"/>
      <c r="DJ2" s="5"/>
    </row>
    <row r="3" spans="1:114">
      <c r="A3" s="722"/>
      <c r="B3" s="723" t="s">
        <v>98</v>
      </c>
      <c r="C3" s="680"/>
      <c r="D3" s="724"/>
      <c r="E3" s="724"/>
      <c r="F3" s="679"/>
      <c r="G3" s="680"/>
      <c r="H3" s="680"/>
      <c r="I3" s="680"/>
      <c r="J3" s="680"/>
      <c r="K3" s="679"/>
      <c r="L3" s="680"/>
      <c r="M3" s="680"/>
      <c r="N3" s="680"/>
      <c r="O3" s="680"/>
      <c r="P3" s="679"/>
      <c r="Q3" s="680"/>
      <c r="R3" s="680"/>
      <c r="S3" s="680"/>
      <c r="T3" s="680"/>
      <c r="U3" s="679"/>
      <c r="V3" s="680"/>
      <c r="W3" s="680"/>
      <c r="X3" s="680"/>
      <c r="Y3" s="680"/>
      <c r="Z3" s="679"/>
      <c r="AA3" s="680"/>
      <c r="AB3" s="680"/>
      <c r="AC3" s="680"/>
      <c r="AD3" s="680"/>
      <c r="AE3" s="679"/>
      <c r="AF3" s="680"/>
      <c r="AG3" s="680"/>
      <c r="AH3" s="680"/>
      <c r="AI3" s="680"/>
      <c r="AJ3" s="679"/>
      <c r="AK3" s="680"/>
      <c r="AL3" s="680"/>
      <c r="AM3" s="680"/>
      <c r="AN3" s="680"/>
      <c r="AO3" s="679"/>
      <c r="AP3" s="680">
        <v>39538</v>
      </c>
      <c r="AQ3" s="680">
        <v>39629</v>
      </c>
      <c r="AR3" s="680">
        <v>39721</v>
      </c>
      <c r="AS3" s="680">
        <v>39813</v>
      </c>
      <c r="AT3" s="679"/>
      <c r="AU3" s="680">
        <v>39903</v>
      </c>
      <c r="AV3" s="680">
        <v>39994</v>
      </c>
      <c r="AW3" s="680">
        <v>40086</v>
      </c>
      <c r="AX3" s="680">
        <v>40178</v>
      </c>
      <c r="AY3" s="679"/>
      <c r="AZ3" s="680">
        <v>40268</v>
      </c>
      <c r="BA3" s="680">
        <v>40359</v>
      </c>
      <c r="BB3" s="680">
        <v>40451</v>
      </c>
      <c r="BC3" s="680">
        <v>40543</v>
      </c>
      <c r="BD3" s="679"/>
      <c r="BE3" s="680">
        <v>40633</v>
      </c>
      <c r="BF3" s="680">
        <v>40724</v>
      </c>
      <c r="BG3" s="680">
        <v>40816</v>
      </c>
      <c r="BH3" s="680">
        <v>40908</v>
      </c>
      <c r="BI3" s="679"/>
      <c r="BJ3" s="680">
        <v>40999</v>
      </c>
      <c r="BK3" s="680">
        <v>41090</v>
      </c>
      <c r="BL3" s="680">
        <v>41182</v>
      </c>
      <c r="BM3" s="680">
        <v>41274</v>
      </c>
      <c r="BN3" s="679"/>
      <c r="BO3" s="680">
        <v>41364</v>
      </c>
      <c r="BP3" s="680">
        <v>41455</v>
      </c>
      <c r="BQ3" s="680">
        <v>41547</v>
      </c>
      <c r="BR3" s="680">
        <v>41639</v>
      </c>
      <c r="BS3" s="679"/>
      <c r="BT3" s="680">
        <v>41729</v>
      </c>
      <c r="BU3" s="680">
        <v>41820</v>
      </c>
      <c r="BV3" s="680">
        <v>41912</v>
      </c>
      <c r="BW3" s="680">
        <v>42004</v>
      </c>
      <c r="BX3" s="679"/>
      <c r="BY3" s="680">
        <f>IS!BY3</f>
        <v>42094</v>
      </c>
      <c r="BZ3" s="680">
        <f>IS!BZ3</f>
        <v>42185</v>
      </c>
      <c r="CA3" s="680">
        <f>IS!CA3</f>
        <v>42277</v>
      </c>
      <c r="CB3" s="680">
        <f>IS!CB3</f>
        <v>42369</v>
      </c>
      <c r="CC3" s="676"/>
      <c r="CD3" s="680">
        <f>IS!CD3</f>
        <v>42460</v>
      </c>
      <c r="CE3" s="680">
        <f>IS!CE3</f>
        <v>42551</v>
      </c>
      <c r="CF3" s="680">
        <f>IS!CF3</f>
        <v>42643</v>
      </c>
      <c r="CG3" s="680">
        <f>IS!CG3</f>
        <v>42735</v>
      </c>
      <c r="CH3" s="676"/>
      <c r="CI3" s="680">
        <f>IS!CI3</f>
        <v>42825</v>
      </c>
      <c r="CJ3" s="680">
        <f>IS!CJ3</f>
        <v>42916</v>
      </c>
      <c r="CK3" s="680">
        <f>IS!CK3</f>
        <v>43008</v>
      </c>
      <c r="CL3" s="680">
        <f>IS!CL3</f>
        <v>43100</v>
      </c>
      <c r="CM3" s="676"/>
      <c r="CN3" s="680">
        <f>IS!CN3</f>
        <v>43190</v>
      </c>
      <c r="CO3" s="680">
        <f>IS!CO3</f>
        <v>43281</v>
      </c>
      <c r="CP3" s="680">
        <f>IS!CP3</f>
        <v>43373</v>
      </c>
      <c r="CQ3" s="680">
        <f>IS!CQ3</f>
        <v>43465</v>
      </c>
      <c r="CR3" s="676"/>
      <c r="CS3" s="680">
        <f>IS!CS3</f>
        <v>43555</v>
      </c>
      <c r="CT3" s="680">
        <f>IS!CT3</f>
        <v>43646</v>
      </c>
      <c r="CU3" s="680">
        <f>IS!CU3</f>
        <v>43738</v>
      </c>
      <c r="CV3" s="680">
        <f>IS!CV3</f>
        <v>43830</v>
      </c>
      <c r="CW3" s="676"/>
      <c r="CX3" s="680">
        <f>IS!CX3</f>
        <v>43921</v>
      </c>
      <c r="CY3" s="680">
        <f>IS!CY3</f>
        <v>44012</v>
      </c>
      <c r="CZ3" s="680">
        <f>IS!CZ3</f>
        <v>44104</v>
      </c>
      <c r="DA3" s="680">
        <f>IS!DA3</f>
        <v>44196</v>
      </c>
      <c r="DB3" s="676"/>
      <c r="DC3" s="3"/>
      <c r="DD3" s="3"/>
      <c r="DE3" s="3"/>
      <c r="DF3" s="3"/>
      <c r="DG3" s="3"/>
      <c r="DH3" s="3"/>
      <c r="DI3" s="3"/>
      <c r="DJ3" s="3"/>
    </row>
    <row r="4" spans="1:114" s="725" customFormat="1">
      <c r="A4" s="16"/>
      <c r="B4" s="975" t="s">
        <v>100</v>
      </c>
      <c r="C4" s="977"/>
      <c r="D4" s="1050" t="str">
        <f>IS!D4</f>
        <v>1998A</v>
      </c>
      <c r="E4" s="1050" t="str">
        <f>IS!E4</f>
        <v>1999A</v>
      </c>
      <c r="F4" s="976" t="str">
        <f>IS!F4</f>
        <v>2000A</v>
      </c>
      <c r="G4" s="977" t="str">
        <f>IS!G4</f>
        <v>1Q01A</v>
      </c>
      <c r="H4" s="977" t="str">
        <f>IS!H4</f>
        <v>2Q01A</v>
      </c>
      <c r="I4" s="977" t="str">
        <f>IS!I4</f>
        <v>3Q01A</v>
      </c>
      <c r="J4" s="977" t="str">
        <f>IS!J4</f>
        <v>4Q01A</v>
      </c>
      <c r="K4" s="976" t="str">
        <f>IS!K4</f>
        <v>2001A</v>
      </c>
      <c r="L4" s="977" t="str">
        <f>IS!L4</f>
        <v>1Q02A</v>
      </c>
      <c r="M4" s="977" t="str">
        <f>IS!M4</f>
        <v>2Q02A</v>
      </c>
      <c r="N4" s="977" t="str">
        <f>IS!N4</f>
        <v>3Q02A</v>
      </c>
      <c r="O4" s="977" t="str">
        <f>IS!O4</f>
        <v>4Q02A</v>
      </c>
      <c r="P4" s="976" t="str">
        <f>IS!P4</f>
        <v>2002A</v>
      </c>
      <c r="Q4" s="977" t="str">
        <f>IS!Q4</f>
        <v>1Q03A</v>
      </c>
      <c r="R4" s="977" t="str">
        <f>IS!R4</f>
        <v>2Q03A</v>
      </c>
      <c r="S4" s="977" t="str">
        <f>IS!S4</f>
        <v>3Q03A</v>
      </c>
      <c r="T4" s="977" t="str">
        <f>IS!T4</f>
        <v>4Q03A</v>
      </c>
      <c r="U4" s="976" t="str">
        <f>IS!U4</f>
        <v>2003A</v>
      </c>
      <c r="V4" s="977" t="str">
        <f>IS!V4</f>
        <v>1Q04A</v>
      </c>
      <c r="W4" s="977" t="str">
        <f>IS!W4</f>
        <v>2Q04A</v>
      </c>
      <c r="X4" s="977" t="str">
        <f>IS!X4</f>
        <v>3Q04A</v>
      </c>
      <c r="Y4" s="977" t="str">
        <f>IS!Y4</f>
        <v>4Q04A</v>
      </c>
      <c r="Z4" s="976" t="str">
        <f>IS!Z4</f>
        <v>2004A</v>
      </c>
      <c r="AA4" s="977" t="str">
        <f>IS!AA4</f>
        <v>1Q05A</v>
      </c>
      <c r="AB4" s="977" t="str">
        <f>IS!AB4</f>
        <v>2Q05A</v>
      </c>
      <c r="AC4" s="977" t="str">
        <f>IS!AC4</f>
        <v>3Q05A</v>
      </c>
      <c r="AD4" s="977" t="str">
        <f>IS!AD4</f>
        <v>4Q05A</v>
      </c>
      <c r="AE4" s="976" t="str">
        <f>IS!AE4</f>
        <v>2005A</v>
      </c>
      <c r="AF4" s="977" t="str">
        <f>IS!AF4</f>
        <v>1Q06A</v>
      </c>
      <c r="AG4" s="977" t="str">
        <f>IS!AG4</f>
        <v>2Q06A</v>
      </c>
      <c r="AH4" s="977" t="str">
        <f>IS!AH4</f>
        <v>3Q06A</v>
      </c>
      <c r="AI4" s="977" t="str">
        <f>IS!AI4</f>
        <v>4Q06A</v>
      </c>
      <c r="AJ4" s="976" t="str">
        <f>IS!AJ4</f>
        <v>2006A</v>
      </c>
      <c r="AK4" s="977" t="str">
        <f>IS!AK4</f>
        <v>1Q07A</v>
      </c>
      <c r="AL4" s="977" t="str">
        <f>IS!AL4</f>
        <v>2Q07A</v>
      </c>
      <c r="AM4" s="977" t="str">
        <f>IS!AM4</f>
        <v>3Q07A</v>
      </c>
      <c r="AN4" s="977" t="str">
        <f>IS!AN4</f>
        <v>4Q07A</v>
      </c>
      <c r="AO4" s="976" t="str">
        <f>IS!AO4</f>
        <v>2007A</v>
      </c>
      <c r="AP4" s="977" t="str">
        <f>IS!AP4</f>
        <v>1Q08A</v>
      </c>
      <c r="AQ4" s="977" t="str">
        <f>IS!AQ4</f>
        <v>2Q08A</v>
      </c>
      <c r="AR4" s="977" t="str">
        <f>IS!AR4</f>
        <v>3Q08A</v>
      </c>
      <c r="AS4" s="977" t="str">
        <f>IS!AS4</f>
        <v>4Q08A</v>
      </c>
      <c r="AT4" s="976" t="str">
        <f>IS!AT4</f>
        <v>2008A</v>
      </c>
      <c r="AU4" s="977" t="str">
        <f>IS!AU4</f>
        <v>1Q09</v>
      </c>
      <c r="AV4" s="977" t="str">
        <f>IS!AV4</f>
        <v>2Q09</v>
      </c>
      <c r="AW4" s="977" t="str">
        <f>IS!AW4</f>
        <v>3Q09</v>
      </c>
      <c r="AX4" s="977" t="str">
        <f>IS!AX4</f>
        <v>4Q09</v>
      </c>
      <c r="AY4" s="976" t="str">
        <f>IS!AY4</f>
        <v>2009A</v>
      </c>
      <c r="AZ4" s="977" t="str">
        <f>IS!AZ4</f>
        <v>1Q10A</v>
      </c>
      <c r="BA4" s="977" t="str">
        <f>IS!BA4</f>
        <v>2Q10A</v>
      </c>
      <c r="BB4" s="977" t="str">
        <f>IS!BB4</f>
        <v>3Q10A</v>
      </c>
      <c r="BC4" s="977" t="str">
        <f>IS!BC4</f>
        <v>4Q10A</v>
      </c>
      <c r="BD4" s="976" t="str">
        <f>IS!BD4</f>
        <v>2010A</v>
      </c>
      <c r="BE4" s="977" t="str">
        <f>IS!BE4</f>
        <v>1Q11A</v>
      </c>
      <c r="BF4" s="977" t="str">
        <f>IS!BF4</f>
        <v>2Q11A</v>
      </c>
      <c r="BG4" s="977" t="str">
        <f>IS!BG4</f>
        <v>3Q11A</v>
      </c>
      <c r="BH4" s="977" t="str">
        <f>IS!BH4</f>
        <v>4Q11A</v>
      </c>
      <c r="BI4" s="976" t="str">
        <f>IS!BI4</f>
        <v>2011A</v>
      </c>
      <c r="BJ4" s="977" t="str">
        <f>IS!BJ4</f>
        <v>1Q12A</v>
      </c>
      <c r="BK4" s="977" t="str">
        <f>IS!BK4</f>
        <v>2Q12A</v>
      </c>
      <c r="BL4" s="977" t="str">
        <f>IS!BL4</f>
        <v>3Q12A</v>
      </c>
      <c r="BM4" s="977" t="str">
        <f>IS!BM4</f>
        <v>4Q12A</v>
      </c>
      <c r="BN4" s="976" t="str">
        <f>IS!BN4</f>
        <v>2012A</v>
      </c>
      <c r="BO4" s="977" t="str">
        <f>IS!BO4</f>
        <v>1Q13A</v>
      </c>
      <c r="BP4" s="977" t="str">
        <f>IS!BP4</f>
        <v>2Q13A</v>
      </c>
      <c r="BQ4" s="977" t="str">
        <f>IS!BQ4</f>
        <v>3Q13A</v>
      </c>
      <c r="BR4" s="977" t="str">
        <f>IS!BR4</f>
        <v>4Q13A</v>
      </c>
      <c r="BS4" s="976" t="str">
        <f>IS!BS4</f>
        <v>2013A</v>
      </c>
      <c r="BT4" s="977" t="str">
        <f>IS!BT4</f>
        <v>1Q14A</v>
      </c>
      <c r="BU4" s="977" t="str">
        <f>IS!BU4</f>
        <v>2Q14A</v>
      </c>
      <c r="BV4" s="977" t="str">
        <f>IS!BV4</f>
        <v>3Q14A</v>
      </c>
      <c r="BW4" s="977" t="str">
        <f>IS!BW4</f>
        <v>4Q14A</v>
      </c>
      <c r="BX4" s="976" t="str">
        <f>IS!BX4</f>
        <v>2014A</v>
      </c>
      <c r="BY4" s="977" t="str">
        <f>IS!BY4</f>
        <v>1Q15A</v>
      </c>
      <c r="BZ4" s="977" t="str">
        <f>IS!BZ4</f>
        <v>2Q15A</v>
      </c>
      <c r="CA4" s="977" t="str">
        <f>IS!CA4</f>
        <v>3Q15A</v>
      </c>
      <c r="CB4" s="977" t="str">
        <f>IS!CB4</f>
        <v>4Q15A</v>
      </c>
      <c r="CC4" s="976" t="str">
        <f>IS!CC4</f>
        <v>2015A</v>
      </c>
      <c r="CD4" s="977" t="str">
        <f>IS!CD4</f>
        <v>1Q16A</v>
      </c>
      <c r="CE4" s="977" t="str">
        <f>IS!CE4</f>
        <v>2Q16A</v>
      </c>
      <c r="CF4" s="977" t="str">
        <f>IS!CF4</f>
        <v>3Q16A</v>
      </c>
      <c r="CG4" s="977" t="str">
        <f>IS!CG4</f>
        <v>4Q16A</v>
      </c>
      <c r="CH4" s="976" t="str">
        <f>IS!CH4</f>
        <v>2016A</v>
      </c>
      <c r="CI4" s="977" t="str">
        <f>IS!CI4</f>
        <v>1Q17A</v>
      </c>
      <c r="CJ4" s="977" t="str">
        <f>IS!CJ4</f>
        <v>2Q17A</v>
      </c>
      <c r="CK4" s="977" t="str">
        <f>IS!CK4</f>
        <v>3Q17A</v>
      </c>
      <c r="CL4" s="977" t="str">
        <f>IS!CL4</f>
        <v>4Q17A</v>
      </c>
      <c r="CM4" s="976" t="str">
        <f>IS!CM4</f>
        <v>2017A</v>
      </c>
      <c r="CN4" s="977" t="str">
        <f>IS!CN4</f>
        <v>1Q18E</v>
      </c>
      <c r="CO4" s="977" t="str">
        <f>IS!CO4</f>
        <v>2Q18E</v>
      </c>
      <c r="CP4" s="977" t="str">
        <f>IS!CP4</f>
        <v>3Q18E</v>
      </c>
      <c r="CQ4" s="977" t="str">
        <f>IS!CQ4</f>
        <v>4Q18E</v>
      </c>
      <c r="CR4" s="976" t="str">
        <f>IS!CR4</f>
        <v>2018E</v>
      </c>
      <c r="CS4" s="977" t="str">
        <f>IS!CS4</f>
        <v>1Q19E</v>
      </c>
      <c r="CT4" s="977" t="str">
        <f>IS!CT4</f>
        <v>2Q19E</v>
      </c>
      <c r="CU4" s="977" t="str">
        <f>IS!CU4</f>
        <v>3Q19E</v>
      </c>
      <c r="CV4" s="977" t="str">
        <f>IS!CV4</f>
        <v>4Q19E</v>
      </c>
      <c r="CW4" s="976" t="str">
        <f>IS!CW4</f>
        <v>2019E</v>
      </c>
      <c r="CX4" s="977" t="str">
        <f>IS!CX4</f>
        <v>1Q20E</v>
      </c>
      <c r="CY4" s="977" t="str">
        <f>IS!CY4</f>
        <v>2Q20E</v>
      </c>
      <c r="CZ4" s="977" t="str">
        <f>IS!CZ4</f>
        <v>3Q20E</v>
      </c>
      <c r="DA4" s="977" t="str">
        <f>IS!DA4</f>
        <v>4Q20E</v>
      </c>
      <c r="DB4" s="976" t="str">
        <f>IS!DB4</f>
        <v>2020E</v>
      </c>
      <c r="DC4" s="16"/>
      <c r="DD4" s="16"/>
      <c r="DE4" s="16"/>
      <c r="DF4" s="16"/>
      <c r="DG4" s="16"/>
      <c r="DH4" s="16"/>
      <c r="DI4" s="16"/>
      <c r="DJ4" s="16"/>
    </row>
    <row r="5" spans="1:114" s="725" customFormat="1" ht="3" customHeight="1">
      <c r="A5" s="16"/>
      <c r="B5" s="1051"/>
      <c r="C5" s="980"/>
      <c r="D5" s="1052"/>
      <c r="E5" s="1052"/>
      <c r="F5" s="979"/>
      <c r="G5" s="980"/>
      <c r="H5" s="980"/>
      <c r="I5" s="980"/>
      <c r="J5" s="980"/>
      <c r="K5" s="979"/>
      <c r="L5" s="980"/>
      <c r="M5" s="980"/>
      <c r="N5" s="980"/>
      <c r="O5" s="980"/>
      <c r="P5" s="979"/>
      <c r="Q5" s="980"/>
      <c r="R5" s="980"/>
      <c r="S5" s="980"/>
      <c r="T5" s="980"/>
      <c r="U5" s="979"/>
      <c r="V5" s="980"/>
      <c r="W5" s="980"/>
      <c r="X5" s="980"/>
      <c r="Y5" s="980"/>
      <c r="Z5" s="979"/>
      <c r="AA5" s="980"/>
      <c r="AB5" s="980"/>
      <c r="AC5" s="980"/>
      <c r="AD5" s="980"/>
      <c r="AE5" s="979"/>
      <c r="AF5" s="980"/>
      <c r="AG5" s="980"/>
      <c r="AH5" s="980"/>
      <c r="AI5" s="980"/>
      <c r="AJ5" s="979"/>
      <c r="AK5" s="980"/>
      <c r="AL5" s="980"/>
      <c r="AM5" s="980"/>
      <c r="AN5" s="980"/>
      <c r="AO5" s="979"/>
      <c r="AP5" s="980"/>
      <c r="AQ5" s="980"/>
      <c r="AR5" s="980"/>
      <c r="AS5" s="980"/>
      <c r="AT5" s="979"/>
      <c r="AU5" s="980"/>
      <c r="AV5" s="980"/>
      <c r="AW5" s="980"/>
      <c r="AX5" s="980"/>
      <c r="AY5" s="979"/>
      <c r="AZ5" s="980"/>
      <c r="BA5" s="980"/>
      <c r="BB5" s="980"/>
      <c r="BC5" s="980"/>
      <c r="BD5" s="979"/>
      <c r="BE5" s="980"/>
      <c r="BF5" s="980"/>
      <c r="BG5" s="980"/>
      <c r="BH5" s="980"/>
      <c r="BI5" s="979"/>
      <c r="BJ5" s="980"/>
      <c r="BK5" s="980"/>
      <c r="BL5" s="980"/>
      <c r="BM5" s="980"/>
      <c r="BN5" s="979"/>
      <c r="BO5" s="980"/>
      <c r="BP5" s="980"/>
      <c r="BQ5" s="980"/>
      <c r="BR5" s="980"/>
      <c r="BS5" s="979"/>
      <c r="BT5" s="980"/>
      <c r="BU5" s="980"/>
      <c r="BV5" s="980"/>
      <c r="BW5" s="980"/>
      <c r="BX5" s="979"/>
      <c r="BY5" s="980"/>
      <c r="BZ5" s="980"/>
      <c r="CA5" s="980"/>
      <c r="CB5" s="980"/>
      <c r="CC5" s="979"/>
      <c r="CD5" s="980"/>
      <c r="CE5" s="980"/>
      <c r="CF5" s="980"/>
      <c r="CG5" s="980"/>
      <c r="CH5" s="979"/>
      <c r="CI5" s="980"/>
      <c r="CJ5" s="980"/>
      <c r="CK5" s="980"/>
      <c r="CL5" s="980"/>
      <c r="CM5" s="979"/>
      <c r="CN5" s="980"/>
      <c r="CO5" s="980"/>
      <c r="CP5" s="980"/>
      <c r="CQ5" s="980"/>
      <c r="CR5" s="979"/>
      <c r="CS5" s="980"/>
      <c r="CT5" s="980"/>
      <c r="CU5" s="980"/>
      <c r="CV5" s="980"/>
      <c r="CW5" s="979"/>
      <c r="CX5" s="980"/>
      <c r="CY5" s="980"/>
      <c r="CZ5" s="980"/>
      <c r="DA5" s="980"/>
      <c r="DB5" s="979"/>
      <c r="DC5" s="16"/>
      <c r="DD5" s="16"/>
      <c r="DE5" s="16"/>
      <c r="DF5" s="16"/>
      <c r="DG5" s="16"/>
      <c r="DH5" s="16"/>
      <c r="DI5" s="16"/>
      <c r="DJ5" s="16"/>
    </row>
    <row r="6" spans="1:114" s="725" customFormat="1" hidden="1" outlineLevel="1">
      <c r="A6" s="16"/>
      <c r="B6" s="14" t="s">
        <v>175</v>
      </c>
      <c r="C6" s="395"/>
      <c r="D6" s="69">
        <v>365</v>
      </c>
      <c r="E6" s="69">
        <v>365</v>
      </c>
      <c r="F6" s="17">
        <v>366</v>
      </c>
      <c r="G6" s="15">
        <v>90</v>
      </c>
      <c r="H6" s="15">
        <v>91</v>
      </c>
      <c r="I6" s="15">
        <v>92</v>
      </c>
      <c r="J6" s="15">
        <v>92</v>
      </c>
      <c r="K6" s="17">
        <f>SUM(G6:J6)</f>
        <v>365</v>
      </c>
      <c r="L6" s="15">
        <v>90</v>
      </c>
      <c r="M6" s="15">
        <v>91</v>
      </c>
      <c r="N6" s="15">
        <v>92</v>
      </c>
      <c r="O6" s="15">
        <v>92</v>
      </c>
      <c r="P6" s="17">
        <f>SUM(L6:O6)</f>
        <v>365</v>
      </c>
      <c r="Q6" s="15">
        <v>90</v>
      </c>
      <c r="R6" s="15">
        <v>91</v>
      </c>
      <c r="S6" s="15">
        <v>92</v>
      </c>
      <c r="T6" s="15">
        <v>92</v>
      </c>
      <c r="U6" s="17">
        <f>SUM(Q6:T6)</f>
        <v>365</v>
      </c>
      <c r="V6" s="15">
        <v>91</v>
      </c>
      <c r="W6" s="15">
        <v>91</v>
      </c>
      <c r="X6" s="15">
        <v>92</v>
      </c>
      <c r="Y6" s="15">
        <v>92</v>
      </c>
      <c r="Z6" s="17">
        <f>SUM(V6:Y6)</f>
        <v>366</v>
      </c>
      <c r="AA6" s="15">
        <v>90</v>
      </c>
      <c r="AB6" s="15">
        <v>91</v>
      </c>
      <c r="AC6" s="15">
        <v>92</v>
      </c>
      <c r="AD6" s="15">
        <v>92</v>
      </c>
      <c r="AE6" s="17">
        <f>SUM(AA6:AD6)</f>
        <v>365</v>
      </c>
      <c r="AF6" s="15">
        <v>90</v>
      </c>
      <c r="AG6" s="15">
        <v>91</v>
      </c>
      <c r="AH6" s="15">
        <v>92</v>
      </c>
      <c r="AI6" s="15">
        <v>92</v>
      </c>
      <c r="AJ6" s="17">
        <f>SUM(AF6:AI6)</f>
        <v>365</v>
      </c>
      <c r="AK6" s="15">
        <v>90</v>
      </c>
      <c r="AL6" s="15">
        <v>91</v>
      </c>
      <c r="AM6" s="15">
        <v>92</v>
      </c>
      <c r="AN6" s="15">
        <v>92</v>
      </c>
      <c r="AO6" s="17">
        <f>SUM(AK6:AN6)</f>
        <v>365</v>
      </c>
      <c r="AP6" s="15">
        <v>91</v>
      </c>
      <c r="AQ6" s="15">
        <v>91</v>
      </c>
      <c r="AR6" s="15">
        <v>92</v>
      </c>
      <c r="AS6" s="15">
        <v>92</v>
      </c>
      <c r="AT6" s="17">
        <f>SUM(AP6:AS6)</f>
        <v>366</v>
      </c>
      <c r="AU6" s="15">
        <f>+AU3-AS3</f>
        <v>90</v>
      </c>
      <c r="AV6" s="15">
        <f>+AV3-AU3</f>
        <v>91</v>
      </c>
      <c r="AW6" s="15">
        <f>+AW3-AV3</f>
        <v>92</v>
      </c>
      <c r="AX6" s="15">
        <f>+AX3-AW3</f>
        <v>92</v>
      </c>
      <c r="AY6" s="17">
        <f>SUM(AU6:AX6)</f>
        <v>365</v>
      </c>
      <c r="AZ6" s="15">
        <f>+AZ3-AX3</f>
        <v>90</v>
      </c>
      <c r="BA6" s="15">
        <f>+BA3-AZ3</f>
        <v>91</v>
      </c>
      <c r="BB6" s="15">
        <f>+BB3-BA3</f>
        <v>92</v>
      </c>
      <c r="BC6" s="15">
        <f>+BC3-BB3</f>
        <v>92</v>
      </c>
      <c r="BD6" s="17">
        <f>SUM(AZ6:BC6)</f>
        <v>365</v>
      </c>
      <c r="BE6" s="15">
        <f>+BE3-BC3</f>
        <v>90</v>
      </c>
      <c r="BF6" s="15">
        <f>+BF3-BE3</f>
        <v>91</v>
      </c>
      <c r="BG6" s="15">
        <f>+BG3-BF3</f>
        <v>92</v>
      </c>
      <c r="BH6" s="15">
        <f>+BH3-BG3</f>
        <v>92</v>
      </c>
      <c r="BI6" s="17">
        <f>SUM(BE6:BH6)</f>
        <v>365</v>
      </c>
      <c r="BJ6" s="15">
        <f>+BJ3-BH3</f>
        <v>91</v>
      </c>
      <c r="BK6" s="15">
        <f>+BK3-BJ3</f>
        <v>91</v>
      </c>
      <c r="BL6" s="15">
        <f>+BL3-BK3</f>
        <v>92</v>
      </c>
      <c r="BM6" s="15">
        <f>+BM3-BL3</f>
        <v>92</v>
      </c>
      <c r="BN6" s="17">
        <f>SUM(BJ6:BM6)</f>
        <v>366</v>
      </c>
      <c r="BO6" s="15">
        <f>+BO3-BM3</f>
        <v>90</v>
      </c>
      <c r="BP6" s="15">
        <f>+BP3-BO3</f>
        <v>91</v>
      </c>
      <c r="BQ6" s="15">
        <f>+BQ3-BP3</f>
        <v>92</v>
      </c>
      <c r="BR6" s="15">
        <f>+BR3-BQ3</f>
        <v>92</v>
      </c>
      <c r="BS6" s="17">
        <f>SUM(BO6:BR6)</f>
        <v>365</v>
      </c>
      <c r="BT6" s="15">
        <f>+BT3-BR3</f>
        <v>90</v>
      </c>
      <c r="BU6" s="15">
        <f>+BU3-BT3</f>
        <v>91</v>
      </c>
      <c r="BV6" s="15">
        <f>+BV3-BU3</f>
        <v>92</v>
      </c>
      <c r="BW6" s="15">
        <f>+BW3-BV3</f>
        <v>92</v>
      </c>
      <c r="BX6" s="17">
        <f>SUM(BT6:BW6)</f>
        <v>365</v>
      </c>
      <c r="BY6" s="15">
        <f>+BY3-BW3</f>
        <v>90</v>
      </c>
      <c r="BZ6" s="15">
        <f>+BZ3-BY3</f>
        <v>91</v>
      </c>
      <c r="CA6" s="15">
        <f>+CA3-BZ3</f>
        <v>92</v>
      </c>
      <c r="CB6" s="15">
        <f>+CB3-CA3</f>
        <v>92</v>
      </c>
      <c r="CC6" s="17">
        <f>SUM(BY6:CB6)</f>
        <v>365</v>
      </c>
      <c r="CD6" s="15">
        <f>+CD3-CB3</f>
        <v>91</v>
      </c>
      <c r="CE6" s="15">
        <f>+CE3-CD3</f>
        <v>91</v>
      </c>
      <c r="CF6" s="15">
        <f>+CF3-CE3</f>
        <v>92</v>
      </c>
      <c r="CG6" s="15">
        <f>+CG3-CF3</f>
        <v>92</v>
      </c>
      <c r="CH6" s="17">
        <f>SUM(CD6:CG6)</f>
        <v>366</v>
      </c>
      <c r="CI6" s="15">
        <f>+CI3-CG3</f>
        <v>90</v>
      </c>
      <c r="CJ6" s="15">
        <f>+CJ3-CI3</f>
        <v>91</v>
      </c>
      <c r="CK6" s="15">
        <f>+CK3-CJ3</f>
        <v>92</v>
      </c>
      <c r="CL6" s="15">
        <f>+CL3-CK3</f>
        <v>92</v>
      </c>
      <c r="CM6" s="17">
        <f>SUM(CI6:CL6)</f>
        <v>365</v>
      </c>
      <c r="CN6" s="15">
        <f>+CN3-CL3</f>
        <v>90</v>
      </c>
      <c r="CO6" s="15">
        <f>+CO3-CN3</f>
        <v>91</v>
      </c>
      <c r="CP6" s="15">
        <f>+CP3-CO3</f>
        <v>92</v>
      </c>
      <c r="CQ6" s="15">
        <f>+CQ3-CP3</f>
        <v>92</v>
      </c>
      <c r="CR6" s="17">
        <f>SUM(CN6:CQ6)</f>
        <v>365</v>
      </c>
      <c r="CS6" s="15">
        <f>+CS3-CQ3</f>
        <v>90</v>
      </c>
      <c r="CT6" s="15">
        <f>+CT3-CS3</f>
        <v>91</v>
      </c>
      <c r="CU6" s="15">
        <f>+CU3-CT3</f>
        <v>92</v>
      </c>
      <c r="CV6" s="15">
        <f>+CV3-CU3</f>
        <v>92</v>
      </c>
      <c r="CW6" s="17">
        <f>SUM(CS6:CV6)</f>
        <v>365</v>
      </c>
      <c r="CX6" s="15">
        <f>+CX3-CV3</f>
        <v>91</v>
      </c>
      <c r="CY6" s="15">
        <f>+CY3-CX3</f>
        <v>91</v>
      </c>
      <c r="CZ6" s="15">
        <f>+CZ3-CY3</f>
        <v>92</v>
      </c>
      <c r="DA6" s="15">
        <f>+DA3-CZ3</f>
        <v>92</v>
      </c>
      <c r="DB6" s="17">
        <f>SUM(CX6:DA6)</f>
        <v>366</v>
      </c>
      <c r="DC6" s="16"/>
      <c r="DD6" s="16"/>
      <c r="DE6" s="16"/>
      <c r="DF6" s="16"/>
      <c r="DG6" s="16"/>
      <c r="DH6" s="16"/>
      <c r="DI6" s="16"/>
      <c r="DJ6" s="16"/>
    </row>
    <row r="7" spans="1:114" s="725" customFormat="1" ht="4.5" hidden="1" customHeight="1" outlineLevel="1">
      <c r="A7" s="16"/>
      <c r="B7" s="86"/>
      <c r="C7" s="434"/>
      <c r="D7" s="88"/>
      <c r="E7" s="88"/>
      <c r="F7" s="87"/>
      <c r="G7" s="89"/>
      <c r="H7" s="89"/>
      <c r="I7" s="89"/>
      <c r="J7" s="89"/>
      <c r="K7" s="87"/>
      <c r="L7" s="89"/>
      <c r="M7" s="89"/>
      <c r="N7" s="89"/>
      <c r="O7" s="89"/>
      <c r="P7" s="87"/>
      <c r="Q7" s="90"/>
      <c r="R7" s="90"/>
      <c r="S7" s="90"/>
      <c r="T7" s="90"/>
      <c r="U7" s="91"/>
      <c r="V7" s="90"/>
      <c r="W7" s="90"/>
      <c r="X7" s="90"/>
      <c r="Y7" s="90"/>
      <c r="Z7" s="92"/>
      <c r="AA7" s="90"/>
      <c r="AB7" s="90"/>
      <c r="AC7" s="90"/>
      <c r="AD7" s="90"/>
      <c r="AE7" s="92"/>
      <c r="AF7" s="90"/>
      <c r="AG7" s="90"/>
      <c r="AH7" s="90"/>
      <c r="AI7" s="90"/>
      <c r="AJ7" s="91"/>
      <c r="AK7" s="93"/>
      <c r="AL7" s="93"/>
      <c r="AM7" s="93"/>
      <c r="AN7" s="93"/>
      <c r="AO7" s="92"/>
      <c r="AP7" s="93"/>
      <c r="AQ7" s="93"/>
      <c r="AR7" s="93"/>
      <c r="AS7" s="93"/>
      <c r="AT7" s="87"/>
      <c r="AU7" s="89"/>
      <c r="AV7" s="89"/>
      <c r="AW7" s="89"/>
      <c r="AX7" s="89"/>
      <c r="AY7" s="87"/>
      <c r="AZ7" s="89"/>
      <c r="BA7" s="89"/>
      <c r="BB7" s="89"/>
      <c r="BC7" s="89"/>
      <c r="BD7" s="87"/>
      <c r="BE7" s="89"/>
      <c r="BF7" s="89"/>
      <c r="BG7" s="89"/>
      <c r="BH7" s="89"/>
      <c r="BI7" s="87"/>
      <c r="BJ7" s="89"/>
      <c r="BK7" s="89"/>
      <c r="BL7" s="89"/>
      <c r="BM7" s="89"/>
      <c r="BN7" s="87"/>
      <c r="BO7" s="89"/>
      <c r="BP7" s="89"/>
      <c r="BQ7" s="89"/>
      <c r="BR7" s="89"/>
      <c r="BS7" s="87"/>
      <c r="BT7" s="89"/>
      <c r="BU7" s="89"/>
      <c r="BV7" s="89"/>
      <c r="BW7" s="89"/>
      <c r="BX7" s="87"/>
      <c r="BY7" s="89"/>
      <c r="BZ7" s="89"/>
      <c r="CA7" s="89"/>
      <c r="CB7" s="89"/>
      <c r="CC7" s="87"/>
      <c r="CD7" s="89"/>
      <c r="CE7" s="89"/>
      <c r="CF7" s="89"/>
      <c r="CG7" s="89"/>
      <c r="CH7" s="87"/>
      <c r="CI7" s="89"/>
      <c r="CJ7" s="89"/>
      <c r="CK7" s="89"/>
      <c r="CL7" s="89"/>
      <c r="CM7" s="87"/>
      <c r="CN7" s="89"/>
      <c r="CO7" s="89"/>
      <c r="CP7" s="89"/>
      <c r="CQ7" s="89"/>
      <c r="CR7" s="87"/>
      <c r="CS7" s="89"/>
      <c r="CT7" s="89"/>
      <c r="CU7" s="89"/>
      <c r="CV7" s="89"/>
      <c r="CW7" s="87"/>
      <c r="CX7" s="89"/>
      <c r="CY7" s="89"/>
      <c r="CZ7" s="89"/>
      <c r="DA7" s="89"/>
      <c r="DB7" s="87"/>
      <c r="DC7" s="16"/>
      <c r="DD7" s="16"/>
      <c r="DE7" s="16"/>
      <c r="DF7" s="16"/>
      <c r="DG7" s="16"/>
      <c r="DH7" s="16"/>
      <c r="DI7" s="16"/>
      <c r="DJ7" s="16"/>
    </row>
    <row r="8" spans="1:114" s="725" customFormat="1" collapsed="1">
      <c r="A8" s="16"/>
      <c r="B8" s="1195" t="s">
        <v>282</v>
      </c>
      <c r="C8" s="1196"/>
      <c r="D8" s="1197">
        <f>IS!D8</f>
        <v>854.85</v>
      </c>
      <c r="E8" s="1198">
        <f>IS!E8</f>
        <v>1079.953</v>
      </c>
      <c r="F8" s="1198">
        <f>IS!F8</f>
        <v>1337.501</v>
      </c>
      <c r="G8" s="1199">
        <f>IS!G8</f>
        <v>398.64499999999998</v>
      </c>
      <c r="H8" s="1199">
        <f>IS!H8</f>
        <v>400.90899999999999</v>
      </c>
      <c r="I8" s="1199">
        <f>IS!I8</f>
        <v>416.56900000000002</v>
      </c>
      <c r="J8" s="1199">
        <f>IS!J8</f>
        <v>477.50200000000001</v>
      </c>
      <c r="K8" s="1198">
        <f>IS!K8</f>
        <v>1693.625</v>
      </c>
      <c r="L8" s="1199">
        <f>IS!L8</f>
        <v>533.51900000000001</v>
      </c>
      <c r="M8" s="1199">
        <f>IS!M8</f>
        <v>530.58199999999999</v>
      </c>
      <c r="N8" s="1199">
        <f>IS!N8</f>
        <v>552.84100000000001</v>
      </c>
      <c r="O8" s="1199">
        <f>IS!O8</f>
        <v>583.47500000000002</v>
      </c>
      <c r="P8" s="1198">
        <f>IS!P8</f>
        <v>2200.4169999999999</v>
      </c>
      <c r="Q8" s="1199">
        <f>IS!Q8</f>
        <v>659.27700000000004</v>
      </c>
      <c r="R8" s="1199">
        <f>IS!R8</f>
        <v>657.29300000000001</v>
      </c>
      <c r="S8" s="1199">
        <f>IS!S8</f>
        <v>723.02200000000005</v>
      </c>
      <c r="T8" s="1199">
        <f>IS!T8</f>
        <v>795.03200000000004</v>
      </c>
      <c r="U8" s="1198">
        <f>IS!U8</f>
        <v>2834.6240000000003</v>
      </c>
      <c r="V8" s="1199">
        <f>IS!V8</f>
        <v>822.37599999999998</v>
      </c>
      <c r="W8" s="1199">
        <f>IS!W8</f>
        <v>813.66899999999998</v>
      </c>
      <c r="X8" s="1199">
        <f>IS!X8</f>
        <v>844.03399999999999</v>
      </c>
      <c r="Y8" s="1199">
        <f>IS!Y8</f>
        <v>871.673</v>
      </c>
      <c r="Z8" s="1200">
        <v>3332.6410000000001</v>
      </c>
      <c r="AA8" s="1199">
        <f>IS!AA8</f>
        <v>914.10799999999995</v>
      </c>
      <c r="AB8" s="1199">
        <f>IS!AB8</f>
        <v>918.71799999999996</v>
      </c>
      <c r="AC8" s="1199">
        <f>IS!AC8</f>
        <v>929.26900000000001</v>
      </c>
      <c r="AD8" s="1199">
        <f>IS!AD8</f>
        <v>982.07</v>
      </c>
      <c r="AE8" s="1198">
        <f>IS!AE8</f>
        <v>3744.1650000000004</v>
      </c>
      <c r="AF8" s="1199">
        <f>IS!AF8</f>
        <v>1026.5619999999999</v>
      </c>
      <c r="AG8" s="1199">
        <f>IS!AG8</f>
        <v>1061.0540000000001</v>
      </c>
      <c r="AH8" s="1199">
        <f>IS!AH8</f>
        <v>1123.4829999999999</v>
      </c>
      <c r="AI8" s="1199">
        <f>IS!AI8</f>
        <v>1154.4770000000001</v>
      </c>
      <c r="AJ8" s="1198">
        <f>IS!AJ8</f>
        <v>4365.576</v>
      </c>
      <c r="AK8" s="1199">
        <f>IS!AK8</f>
        <v>1203.9970000000001</v>
      </c>
      <c r="AL8" s="1199">
        <f>IS!AL8</f>
        <v>1249.1279999999999</v>
      </c>
      <c r="AM8" s="1199">
        <f>IS!AM8</f>
        <v>2352.087</v>
      </c>
      <c r="AN8" s="1199">
        <f>IS!AN8</f>
        <v>2528.3420000000001</v>
      </c>
      <c r="AO8" s="1200">
        <v>7127.4939999999997</v>
      </c>
      <c r="AP8" s="1199">
        <f>IS!AP8</f>
        <v>2727.5540000000001</v>
      </c>
      <c r="AQ8" s="1199">
        <f>IS!AQ8</f>
        <v>2690.6</v>
      </c>
      <c r="AR8" s="1199">
        <f>IS!AR8</f>
        <v>2772.86</v>
      </c>
      <c r="AS8" s="1199">
        <f>IS!AS8</f>
        <v>2761.538</v>
      </c>
      <c r="AT8" s="1200">
        <v>10840.098</v>
      </c>
      <c r="AU8" s="1199">
        <f>IS!AU8</f>
        <v>2892.39</v>
      </c>
      <c r="AV8" s="1199">
        <f>IS!AV8</f>
        <v>3016.9609999999998</v>
      </c>
      <c r="AW8" s="1199">
        <f>IS!AW8</f>
        <v>3086.7570000000001</v>
      </c>
      <c r="AX8" s="1199">
        <f>IS!AX8</f>
        <v>3091.1460000000002</v>
      </c>
      <c r="AY8" s="1198" t="e">
        <f>AY157+#REF!</f>
        <v>#REF!</v>
      </c>
      <c r="AZ8" s="1199">
        <f>IS!AZ8</f>
        <v>3160.7220000000002</v>
      </c>
      <c r="BA8" s="1199">
        <f>IS!BA8</f>
        <v>3171.0239999999999</v>
      </c>
      <c r="BB8" s="1199">
        <f>IS!BB8</f>
        <v>3252.0549999999998</v>
      </c>
      <c r="BC8" s="1199">
        <f>IS!BC8</f>
        <v>3402.6990000000001</v>
      </c>
      <c r="BD8" s="1198">
        <f>IS!BD8</f>
        <v>12986.5</v>
      </c>
      <c r="BE8" s="1199">
        <f>IS!BE8</f>
        <v>3405.3420000000001</v>
      </c>
      <c r="BF8" s="1199">
        <f>IS!BF8</f>
        <v>3433.8290000000002</v>
      </c>
      <c r="BG8" s="1199">
        <f>IS!BG8</f>
        <v>3436</v>
      </c>
      <c r="BH8" s="1199">
        <f>IS!BH8</f>
        <v>3442.5140000000001</v>
      </c>
      <c r="BI8" s="1200">
        <v>13626.168</v>
      </c>
      <c r="BJ8" s="1199">
        <f>IS!BJ8</f>
        <v>3783.491</v>
      </c>
      <c r="BK8" s="1199">
        <f>IS!BK8</f>
        <v>3746.4279999999999</v>
      </c>
      <c r="BL8" s="1199">
        <f>IS!BL8</f>
        <v>3696.6610000000001</v>
      </c>
      <c r="BM8" s="1199">
        <f>BM68+BM165</f>
        <v>3746.1445706069007</v>
      </c>
      <c r="BN8" s="1198">
        <f>SUM(BJ8:BM8)</f>
        <v>14972.724570606901</v>
      </c>
      <c r="BO8" s="1199">
        <f>BO68+BO165</f>
        <v>3792.3939065865479</v>
      </c>
      <c r="BP8" s="1199">
        <f>BP68+BP165</f>
        <v>3764.2001339736139</v>
      </c>
      <c r="BQ8" s="1199">
        <f>BQ68+BQ165</f>
        <v>3766.6661128629362</v>
      </c>
      <c r="BR8" s="1199">
        <f>BR68+BR165</f>
        <v>3743.2605795496638</v>
      </c>
      <c r="BS8" s="1198">
        <f>SUM(BO8:BR8)</f>
        <v>15066.520732972762</v>
      </c>
      <c r="BT8" s="1199">
        <f>BT68+BT165</f>
        <v>4876.3039332538738</v>
      </c>
      <c r="BU8" s="1199">
        <f>BU68+BU165</f>
        <v>5506.2952500523124</v>
      </c>
      <c r="BV8" s="1199">
        <f>BV68+BV165</f>
        <v>5543.9401459854016</v>
      </c>
      <c r="BW8" s="1199">
        <f>BW68+BW165</f>
        <v>5622.9176494509966</v>
      </c>
      <c r="BX8" s="1198">
        <f>SUM(BT8:BW8)</f>
        <v>21549.456978742583</v>
      </c>
      <c r="BY8" s="1199">
        <f>BY68+BY165</f>
        <v>5626.5436774587661</v>
      </c>
      <c r="BZ8" s="1199">
        <f>BZ68+BZ165</f>
        <v>5611.1511675542806</v>
      </c>
      <c r="CA8" s="1199">
        <f>CA68+CA165</f>
        <v>5576.667767230706</v>
      </c>
      <c r="CB8" s="1199">
        <f>CB68+CB165</f>
        <v>5755.8445185493956</v>
      </c>
      <c r="CC8" s="1198">
        <f>SUM(BY8:CB8)</f>
        <v>22570.207130793147</v>
      </c>
      <c r="CD8" s="1199">
        <f>CD68+CD165</f>
        <v>5750.2242448489696</v>
      </c>
      <c r="CE8" s="1199">
        <f>CE68+CE165</f>
        <v>5251.7211328976027</v>
      </c>
      <c r="CF8" s="1199">
        <f>CF68+CF165</f>
        <v>5074.5168949771687</v>
      </c>
      <c r="CG8" s="1199">
        <f>CG68+CG165</f>
        <v>5137.138733497427</v>
      </c>
      <c r="CH8" s="1198">
        <f>SUM(CD8:CG8)</f>
        <v>21213.601006221168</v>
      </c>
      <c r="CI8" s="1199">
        <f>CI68+CI165</f>
        <v>5096.5742309407042</v>
      </c>
      <c r="CJ8" s="1199">
        <f>CJ68+CJ165</f>
        <v>4718.2533783783783</v>
      </c>
      <c r="CK8" s="1199">
        <f>CK68+CK165</f>
        <v>4317.6347517730501</v>
      </c>
      <c r="CL8" s="1199">
        <f>CL68+CL165</f>
        <v>4850.1601830663622</v>
      </c>
      <c r="CM8" s="1198">
        <f>SUM(CI8:CL8)</f>
        <v>18982.622544158497</v>
      </c>
      <c r="CN8" s="1199">
        <f ca="1">CN68+CN165</f>
        <v>4271.1672374030713</v>
      </c>
      <c r="CO8" s="1199">
        <f ca="1">CO68+CO165</f>
        <v>3990.9826135142248</v>
      </c>
      <c r="CP8" s="1199">
        <f ca="1">CP68+CP165</f>
        <v>3650.4670994206772</v>
      </c>
      <c r="CQ8" s="1199">
        <f ca="1">CQ68+CQ165</f>
        <v>4142.9644025066837</v>
      </c>
      <c r="CR8" s="1198">
        <f ca="1">SUM(CN8:CQ8)</f>
        <v>16055.581352844656</v>
      </c>
      <c r="CS8" s="1199">
        <f ca="1">CS68+CS165</f>
        <v>4006.7951151067136</v>
      </c>
      <c r="CT8" s="1199">
        <f ca="1">CT68+CT165</f>
        <v>3848.5117689885728</v>
      </c>
      <c r="CU8" s="1199">
        <f ca="1">CU68+CU165</f>
        <v>3675.5187238237022</v>
      </c>
      <c r="CV8" s="1199">
        <f ca="1">CV68+CV165</f>
        <v>4149.8020493725444</v>
      </c>
      <c r="CW8" s="1198">
        <f ca="1">SUM(CS8:CV8)</f>
        <v>15680.627657291534</v>
      </c>
      <c r="CX8" s="1199">
        <f ca="1">CX68+CX165</f>
        <v>4029.630506447148</v>
      </c>
      <c r="CY8" s="1199">
        <f ca="1">CY68+CY165</f>
        <v>3872.661507397439</v>
      </c>
      <c r="CZ8" s="1199">
        <f ca="1">CZ68+CZ165</f>
        <v>3668.0927346937315</v>
      </c>
      <c r="DA8" s="1199">
        <f ca="1">DA68+DA165</f>
        <v>4171.7439089006011</v>
      </c>
      <c r="DB8" s="1198">
        <f ca="1">SUM(CX8:DA8)</f>
        <v>15742.12865743892</v>
      </c>
      <c r="DC8" s="16"/>
      <c r="DD8" s="16"/>
      <c r="DE8" s="16"/>
      <c r="DF8" s="16"/>
      <c r="DG8" s="16"/>
      <c r="DH8" s="16"/>
      <c r="DI8" s="16"/>
      <c r="DJ8" s="16"/>
    </row>
    <row r="9" spans="1:114" s="725" customFormat="1">
      <c r="A9" s="16"/>
      <c r="B9" s="77" t="s">
        <v>256</v>
      </c>
      <c r="C9" s="52"/>
      <c r="D9" s="1053"/>
      <c r="E9" s="1053">
        <f>+E8/D8-1</f>
        <v>0.2633245598643037</v>
      </c>
      <c r="F9" s="78">
        <f>+F8/E8-1</f>
        <v>0.23848074869924885</v>
      </c>
      <c r="G9" s="52"/>
      <c r="H9" s="52"/>
      <c r="I9" s="52"/>
      <c r="J9" s="52"/>
      <c r="K9" s="78">
        <f t="shared" ref="K9:Z9" si="0">+K8/F8-1</f>
        <v>0.26626073550599227</v>
      </c>
      <c r="L9" s="79">
        <f t="shared" si="0"/>
        <v>0.33833109658969773</v>
      </c>
      <c r="M9" s="79">
        <f t="shared" si="0"/>
        <v>0.32344746563434601</v>
      </c>
      <c r="N9" s="79">
        <f t="shared" si="0"/>
        <v>0.32712947914991264</v>
      </c>
      <c r="O9" s="79">
        <f t="shared" si="0"/>
        <v>0.22193205473484934</v>
      </c>
      <c r="P9" s="78">
        <f t="shared" si="0"/>
        <v>0.29923507269909222</v>
      </c>
      <c r="Q9" s="79">
        <f t="shared" si="0"/>
        <v>0.23571419199691124</v>
      </c>
      <c r="R9" s="79">
        <f t="shared" si="0"/>
        <v>0.23881511246141041</v>
      </c>
      <c r="S9" s="79">
        <f t="shared" si="0"/>
        <v>0.30782991854800934</v>
      </c>
      <c r="T9" s="79">
        <f t="shared" si="0"/>
        <v>0.36258108745019069</v>
      </c>
      <c r="U9" s="78">
        <f t="shared" si="0"/>
        <v>0.28822127805775022</v>
      </c>
      <c r="V9" s="79">
        <f t="shared" si="0"/>
        <v>0.24739070223896764</v>
      </c>
      <c r="W9" s="79">
        <f t="shared" si="0"/>
        <v>0.23790912119861307</v>
      </c>
      <c r="X9" s="79">
        <f t="shared" si="0"/>
        <v>0.16736973425428259</v>
      </c>
      <c r="Y9" s="79">
        <f t="shared" si="0"/>
        <v>9.6399893337626663E-2</v>
      </c>
      <c r="Z9" s="78">
        <f t="shared" si="0"/>
        <v>0.17569067361314938</v>
      </c>
      <c r="AA9" s="79">
        <f t="shared" ref="AA9:AP9" si="1">+AA8/V8-1</f>
        <v>0.11154508400050589</v>
      </c>
      <c r="AB9" s="79">
        <f t="shared" si="1"/>
        <v>0.12910532415515408</v>
      </c>
      <c r="AC9" s="79">
        <f t="shared" si="1"/>
        <v>0.10098526836596622</v>
      </c>
      <c r="AD9" s="79">
        <f t="shared" si="1"/>
        <v>0.12664955780436027</v>
      </c>
      <c r="AE9" s="78">
        <f t="shared" si="1"/>
        <v>0.12348284738740256</v>
      </c>
      <c r="AF9" s="79">
        <f t="shared" si="1"/>
        <v>0.12302047460475118</v>
      </c>
      <c r="AG9" s="79">
        <f t="shared" si="1"/>
        <v>0.15492893357918325</v>
      </c>
      <c r="AH9" s="79">
        <f t="shared" si="1"/>
        <v>0.20899653383465933</v>
      </c>
      <c r="AI9" s="79">
        <f t="shared" si="1"/>
        <v>0.17555469569378968</v>
      </c>
      <c r="AJ9" s="78">
        <f t="shared" si="1"/>
        <v>0.1659678459683267</v>
      </c>
      <c r="AK9" s="79">
        <f t="shared" si="1"/>
        <v>0.17284391980221381</v>
      </c>
      <c r="AL9" s="79">
        <f t="shared" si="1"/>
        <v>0.17725205314715353</v>
      </c>
      <c r="AM9" s="79">
        <f t="shared" si="1"/>
        <v>1.0935670588696045</v>
      </c>
      <c r="AN9" s="79">
        <f t="shared" si="1"/>
        <v>1.1900323696357744</v>
      </c>
      <c r="AO9" s="78">
        <f t="shared" si="1"/>
        <v>0.63265832504118569</v>
      </c>
      <c r="AP9" s="79">
        <f t="shared" si="1"/>
        <v>1.2654159437274344</v>
      </c>
      <c r="AQ9" s="79">
        <f t="shared" ref="AQ9:BY9" si="2">+AQ8/AL8-1</f>
        <v>1.1539826182745085</v>
      </c>
      <c r="AR9" s="79">
        <f t="shared" si="2"/>
        <v>0.17889346780114868</v>
      </c>
      <c r="AS9" s="79">
        <f t="shared" si="2"/>
        <v>9.2232775471039918E-2</v>
      </c>
      <c r="AT9" s="78">
        <f t="shared" si="2"/>
        <v>0.52088490007848476</v>
      </c>
      <c r="AU9" s="79">
        <f t="shared" si="2"/>
        <v>6.0433633944552367E-2</v>
      </c>
      <c r="AV9" s="79">
        <f t="shared" si="2"/>
        <v>0.12129673678733366</v>
      </c>
      <c r="AW9" s="79">
        <f t="shared" si="2"/>
        <v>0.1132033351846109</v>
      </c>
      <c r="AX9" s="79">
        <f t="shared" si="2"/>
        <v>0.11935667732980693</v>
      </c>
      <c r="AY9" s="78" t="e">
        <f t="shared" si="2"/>
        <v>#REF!</v>
      </c>
      <c r="AZ9" s="79">
        <f t="shared" si="2"/>
        <v>9.2771721655793504E-2</v>
      </c>
      <c r="BA9" s="79">
        <f t="shared" si="2"/>
        <v>5.1065625309707485E-2</v>
      </c>
      <c r="BB9" s="79">
        <f t="shared" si="2"/>
        <v>5.3550700622044367E-2</v>
      </c>
      <c r="BC9" s="79">
        <f t="shared" si="2"/>
        <v>0.10078883365586733</v>
      </c>
      <c r="BD9" s="78" t="e">
        <f t="shared" si="2"/>
        <v>#REF!</v>
      </c>
      <c r="BE9" s="79">
        <f t="shared" si="2"/>
        <v>7.7393709411963441E-2</v>
      </c>
      <c r="BF9" s="79">
        <f t="shared" si="2"/>
        <v>8.2877013860507054E-2</v>
      </c>
      <c r="BG9" s="79">
        <f t="shared" si="2"/>
        <v>5.65626965103605E-2</v>
      </c>
      <c r="BH9" s="79">
        <f t="shared" si="2"/>
        <v>1.1701005584096702E-2</v>
      </c>
      <c r="BI9" s="78">
        <f t="shared" si="2"/>
        <v>4.9256381627074353E-2</v>
      </c>
      <c r="BJ9" s="79">
        <f t="shared" si="2"/>
        <v>0.11104582153569309</v>
      </c>
      <c r="BK9" s="79">
        <f t="shared" si="2"/>
        <v>9.1035109785606583E-2</v>
      </c>
      <c r="BL9" s="79">
        <f t="shared" si="2"/>
        <v>7.5861757857974332E-2</v>
      </c>
      <c r="BM9" s="79">
        <f t="shared" si="2"/>
        <v>8.8200242789688188E-2</v>
      </c>
      <c r="BN9" s="78">
        <f t="shared" si="2"/>
        <v>9.8821368605384929E-2</v>
      </c>
      <c r="BO9" s="79">
        <f t="shared" si="2"/>
        <v>2.3530931054276394E-3</v>
      </c>
      <c r="BP9" s="79">
        <f t="shared" si="2"/>
        <v>4.74375431040297E-3</v>
      </c>
      <c r="BQ9" s="79">
        <f t="shared" si="2"/>
        <v>1.8937390489129458E-2</v>
      </c>
      <c r="BR9" s="79">
        <f t="shared" si="2"/>
        <v>-7.6985578182575676E-4</v>
      </c>
      <c r="BS9" s="78">
        <f t="shared" si="2"/>
        <v>6.2644685623880481E-3</v>
      </c>
      <c r="BT9" s="79">
        <f t="shared" si="2"/>
        <v>0.28581156213356795</v>
      </c>
      <c r="BU9" s="79">
        <f t="shared" si="2"/>
        <v>0.46280618832019571</v>
      </c>
      <c r="BV9" s="79">
        <f t="shared" si="2"/>
        <v>0.47184273303470747</v>
      </c>
      <c r="BW9" s="79">
        <f t="shared" si="2"/>
        <v>0.50214432844198797</v>
      </c>
      <c r="BX9" s="78">
        <f t="shared" ref="BX9:CE9" si="3">+BX8/BS8-1</f>
        <v>0.4302875468509495</v>
      </c>
      <c r="BY9" s="79">
        <f t="shared" si="2"/>
        <v>0.15385418023036768</v>
      </c>
      <c r="BZ9" s="79">
        <f t="shared" si="3"/>
        <v>1.9042915924454284E-2</v>
      </c>
      <c r="CA9" s="79">
        <f t="shared" si="3"/>
        <v>5.9033143186084658E-3</v>
      </c>
      <c r="CB9" s="79">
        <f t="shared" si="3"/>
        <v>2.3640194892659894E-2</v>
      </c>
      <c r="CC9" s="78">
        <f t="shared" si="3"/>
        <v>4.7367789966006102E-2</v>
      </c>
      <c r="CD9" s="79">
        <f t="shared" si="3"/>
        <v>2.1981623973825526E-2</v>
      </c>
      <c r="CE9" s="79">
        <f t="shared" si="3"/>
        <v>-6.4056380575706728E-2</v>
      </c>
      <c r="CF9" s="79">
        <f t="shared" ref="CF9:CN9" si="4">+CF8/CA8-1</f>
        <v>-9.0044968288096272E-2</v>
      </c>
      <c r="CG9" s="79">
        <f t="shared" si="4"/>
        <v>-0.10749174739832912</v>
      </c>
      <c r="CH9" s="78">
        <f t="shared" si="4"/>
        <v>-6.0106055594019048E-2</v>
      </c>
      <c r="CI9" s="79">
        <f t="shared" si="4"/>
        <v>-0.1136738301108523</v>
      </c>
      <c r="CJ9" s="79">
        <f t="shared" si="4"/>
        <v>-0.10157960428962975</v>
      </c>
      <c r="CK9" s="79">
        <f t="shared" si="4"/>
        <v>-0.14915353695113154</v>
      </c>
      <c r="CL9" s="79">
        <f t="shared" si="4"/>
        <v>-5.5863500154235912E-2</v>
      </c>
      <c r="CM9" s="78">
        <f t="shared" si="4"/>
        <v>-0.10516736226953671</v>
      </c>
      <c r="CN9" s="79">
        <f t="shared" ca="1" si="4"/>
        <v>-0.16195329571120221</v>
      </c>
      <c r="CO9" s="79">
        <f t="shared" ref="CO9:CR9" ca="1" si="5">+CO8/CJ8-1</f>
        <v>-0.15413982813998639</v>
      </c>
      <c r="CP9" s="79">
        <f t="shared" ca="1" si="5"/>
        <v>-0.15452155884153895</v>
      </c>
      <c r="CQ9" s="79">
        <f t="shared" ca="1" si="5"/>
        <v>-0.14580874731287252</v>
      </c>
      <c r="CR9" s="78">
        <f t="shared" ca="1" si="5"/>
        <v>-0.15419582749985072</v>
      </c>
      <c r="CS9" s="79">
        <f ca="1">+CS8/CN8-1</f>
        <v>-6.1896925969375016E-2</v>
      </c>
      <c r="CT9" s="79">
        <f t="shared" ref="CT9" ca="1" si="6">+CT8/CO8-1</f>
        <v>-3.5698187219162181E-2</v>
      </c>
      <c r="CU9" s="79">
        <f t="shared" ref="CU9" ca="1" si="7">+CU8/CP8-1</f>
        <v>6.8625805193534006E-3</v>
      </c>
      <c r="CV9" s="79">
        <f t="shared" ref="CV9" ca="1" si="8">+CV8/CQ8-1</f>
        <v>1.6504237549623824E-3</v>
      </c>
      <c r="CW9" s="78">
        <f t="shared" ref="CW9" ca="1" si="9">+CW8/CR8-1</f>
        <v>-2.3353479846850211E-2</v>
      </c>
      <c r="CX9" s="79">
        <f ca="1">+CX8/CS8-1</f>
        <v>5.6991662125021048E-3</v>
      </c>
      <c r="CY9" s="79">
        <f t="shared" ref="CY9" ca="1" si="10">+CY8/CT8-1</f>
        <v>6.2750849831005873E-3</v>
      </c>
      <c r="CZ9" s="79">
        <f t="shared" ref="CZ9" ca="1" si="11">+CZ8/CU8-1</f>
        <v>-2.0203921372614619E-3</v>
      </c>
      <c r="DA9" s="79">
        <f t="shared" ref="DA9" ca="1" si="12">+DA8/CV8-1</f>
        <v>5.287447272665613E-3</v>
      </c>
      <c r="DB9" s="78">
        <f t="shared" ref="DB9" ca="1" si="13">+DB8/CW8-1</f>
        <v>3.9221006640501876E-3</v>
      </c>
      <c r="DC9" s="16"/>
      <c r="DD9" s="16"/>
      <c r="DE9" s="16"/>
      <c r="DF9" s="16"/>
      <c r="DG9" s="16"/>
      <c r="DH9" s="16"/>
      <c r="DI9" s="16"/>
      <c r="DJ9" s="16"/>
    </row>
    <row r="10" spans="1:114" s="921" customFormat="1">
      <c r="A10" s="9"/>
      <c r="B10" s="9" t="s">
        <v>63</v>
      </c>
      <c r="C10" s="1225"/>
      <c r="D10" s="1226">
        <f>IS!D9</f>
        <v>122.303</v>
      </c>
      <c r="E10" s="75">
        <f>IS!E9</f>
        <v>95.149000000000001</v>
      </c>
      <c r="F10" s="75">
        <f>IS!F9</f>
        <v>122.303</v>
      </c>
      <c r="G10" s="76">
        <f>IS!G9</f>
        <v>36.972999999999999</v>
      </c>
      <c r="H10" s="76">
        <f>IS!H9</f>
        <v>36.985999999999997</v>
      </c>
      <c r="I10" s="76">
        <f>IS!I9</f>
        <v>38.384</v>
      </c>
      <c r="J10" s="76">
        <f>IS!J9</f>
        <v>43.883000000000003</v>
      </c>
      <c r="K10" s="75">
        <f>IS!K9</f>
        <v>156.226</v>
      </c>
      <c r="L10" s="76">
        <f>IS!L9</f>
        <v>49.896999999999998</v>
      </c>
      <c r="M10" s="76">
        <f>IS!M9</f>
        <v>47.722000000000001</v>
      </c>
      <c r="N10" s="76">
        <f>IS!N9</f>
        <v>52.350999999999999</v>
      </c>
      <c r="O10" s="76">
        <f>IS!O9</f>
        <v>51.363999999999997</v>
      </c>
      <c r="P10" s="75">
        <f>IS!P9</f>
        <v>201.334</v>
      </c>
      <c r="Q10" s="76">
        <f>IS!Q9</f>
        <v>62.341000000000001</v>
      </c>
      <c r="R10" s="76">
        <f>IS!R9</f>
        <v>62.078000000000003</v>
      </c>
      <c r="S10" s="76">
        <f>IS!S9</f>
        <v>70.69</v>
      </c>
      <c r="T10" s="76">
        <f>IS!T9</f>
        <v>81.409000000000006</v>
      </c>
      <c r="U10" s="75">
        <f>IS!U9</f>
        <v>276.51800000000003</v>
      </c>
      <c r="V10" s="76">
        <f>IS!V9</f>
        <v>86.111000000000004</v>
      </c>
      <c r="W10" s="76">
        <f>IS!W9</f>
        <v>81.721000000000004</v>
      </c>
      <c r="X10" s="76">
        <f>IS!X9</f>
        <v>88.400999999999996</v>
      </c>
      <c r="Y10" s="76">
        <f>IS!Y9</f>
        <v>89.975999999999999</v>
      </c>
      <c r="Z10" s="75">
        <f>IS!Z9</f>
        <v>346.209</v>
      </c>
      <c r="AA10" s="76">
        <f>IS!AA9</f>
        <v>93.994</v>
      </c>
      <c r="AB10" s="76">
        <f>IS!AB9</f>
        <v>91.581999999999994</v>
      </c>
      <c r="AC10" s="76">
        <f>IS!AC9</f>
        <v>92.98</v>
      </c>
      <c r="AD10" s="76">
        <f>IS!AD9</f>
        <v>99.983000000000004</v>
      </c>
      <c r="AE10" s="75">
        <f>IS!AE9</f>
        <v>378.53899999999999</v>
      </c>
      <c r="AF10" s="76">
        <f>IS!AF9</f>
        <v>107.59099999999999</v>
      </c>
      <c r="AG10" s="76">
        <f>IS!AG9</f>
        <v>115.70399999999999</v>
      </c>
      <c r="AH10" s="76">
        <f>IS!AH9</f>
        <v>192.43899999999999</v>
      </c>
      <c r="AI10" s="76">
        <f>IS!AI9</f>
        <v>132.047</v>
      </c>
      <c r="AJ10" s="75">
        <f>IS!AJ9</f>
        <v>547.78099999999995</v>
      </c>
      <c r="AK10" s="76">
        <f>IS!AK9</f>
        <v>135.69900000000001</v>
      </c>
      <c r="AL10" s="76">
        <f>IS!AL9</f>
        <v>148.661</v>
      </c>
      <c r="AM10" s="76">
        <f>IS!AM9</f>
        <v>279.60399999999998</v>
      </c>
      <c r="AN10" s="76">
        <f>IS!AN9</f>
        <v>361.13</v>
      </c>
      <c r="AO10" s="75">
        <f>IS!AO9</f>
        <v>925.09399999999994</v>
      </c>
      <c r="AP10" s="76">
        <f>IS!AP9</f>
        <v>297.08</v>
      </c>
      <c r="AQ10" s="76">
        <f>IS!AQ9</f>
        <v>291.04500000000002</v>
      </c>
      <c r="AR10" s="76">
        <f>IS!AR9</f>
        <v>326.21300000000002</v>
      </c>
      <c r="AS10" s="76">
        <f>IS!AS9</f>
        <v>316.35399999999998</v>
      </c>
      <c r="AT10" s="75">
        <f>IS!AT9</f>
        <v>1230.692</v>
      </c>
      <c r="AU10" s="76">
        <f>IS!AU9</f>
        <v>335.45100000000002</v>
      </c>
      <c r="AV10" s="76">
        <f>IS!AV9</f>
        <v>362.46199999999999</v>
      </c>
      <c r="AW10" s="76">
        <f>IS!AW9</f>
        <v>378.35700000000003</v>
      </c>
      <c r="AX10" s="76">
        <f>IS!AX9</f>
        <v>381.72</v>
      </c>
      <c r="AY10" s="75">
        <f>IS!AY9</f>
        <v>1457.99</v>
      </c>
      <c r="AZ10" s="76">
        <f>IS!AZ9</f>
        <v>378.07400000000001</v>
      </c>
      <c r="BA10" s="76">
        <f>IS!BA9</f>
        <v>381.45</v>
      </c>
      <c r="BB10" s="76">
        <f>IS!BB9</f>
        <v>403.077</v>
      </c>
      <c r="BC10" s="76">
        <f>IS!BC9</f>
        <v>425.91500000000002</v>
      </c>
      <c r="BD10" s="75">
        <f>IS!BD9</f>
        <v>1588.5160000000001</v>
      </c>
      <c r="BE10" s="76">
        <f>IS!BE9</f>
        <v>407.87099999999998</v>
      </c>
      <c r="BF10" s="76">
        <f>IS!BF9</f>
        <v>433.00200000000001</v>
      </c>
      <c r="BG10" s="76">
        <f>IS!BG9</f>
        <v>450.29599999999999</v>
      </c>
      <c r="BH10" s="76">
        <f>IS!BH9</f>
        <v>436.68900000000002</v>
      </c>
      <c r="BI10" s="75">
        <f>IS!BI9</f>
        <v>1727.8580000000002</v>
      </c>
      <c r="BJ10" s="76">
        <f>IS!BJ9</f>
        <v>486.45600000000002</v>
      </c>
      <c r="BK10" s="76">
        <f>IS!BK9</f>
        <v>503.45400000000001</v>
      </c>
      <c r="BL10" s="76">
        <f>IS!BL9</f>
        <v>484.63099999999997</v>
      </c>
      <c r="BM10" s="76">
        <f>IS!BM9</f>
        <v>484.65300000000002</v>
      </c>
      <c r="BN10" s="75">
        <f>IS!BN9</f>
        <v>1959.1940000000002</v>
      </c>
      <c r="BO10" s="76">
        <f>IS!BO9</f>
        <v>488.11399999999998</v>
      </c>
      <c r="BP10" s="76">
        <f>IS!BP9</f>
        <v>531.69500000000005</v>
      </c>
      <c r="BQ10" s="76">
        <f>IS!BQ9</f>
        <v>548.60199999999998</v>
      </c>
      <c r="BR10" s="76">
        <f>IS!BR9</f>
        <v>511.97</v>
      </c>
      <c r="BS10" s="75">
        <f>IS!BS9</f>
        <v>2080.3810000000003</v>
      </c>
      <c r="BT10" s="76">
        <f>IS!BT9</f>
        <v>705</v>
      </c>
      <c r="BU10" s="76">
        <f>IS!BU9</f>
        <v>752</v>
      </c>
      <c r="BV10" s="76">
        <f>IS!BV9</f>
        <v>768</v>
      </c>
      <c r="BW10" s="76">
        <f>IS!BW9</f>
        <v>723</v>
      </c>
      <c r="BX10" s="75">
        <f>IS!BX9</f>
        <v>2948</v>
      </c>
      <c r="BY10" s="76">
        <f>IS!BY9</f>
        <v>735</v>
      </c>
      <c r="BZ10" s="76">
        <f>IS!BZ9</f>
        <v>732</v>
      </c>
      <c r="CA10" s="76">
        <f>IS!CA9</f>
        <v>734</v>
      </c>
      <c r="CB10" s="76">
        <f>IS!CB9</f>
        <v>926</v>
      </c>
      <c r="CC10" s="75">
        <f>IS!CC9</f>
        <v>3127</v>
      </c>
      <c r="CD10" s="76">
        <f>IS!CD9</f>
        <v>755</v>
      </c>
      <c r="CE10" s="76">
        <f>IS!CE9</f>
        <v>700</v>
      </c>
      <c r="CF10" s="76">
        <f>IS!CF9</f>
        <v>704</v>
      </c>
      <c r="CG10" s="76">
        <f>IS!CG9</f>
        <v>678</v>
      </c>
      <c r="CH10" s="75">
        <f>IS!CH9</f>
        <v>2837</v>
      </c>
      <c r="CI10" s="76">
        <f>IS!CI9</f>
        <v>682</v>
      </c>
      <c r="CJ10" s="76">
        <f>IS!CJ9</f>
        <v>679</v>
      </c>
      <c r="CK10" s="76">
        <f>IS!CK9</f>
        <v>667</v>
      </c>
      <c r="CL10" s="76">
        <f>IS!CL9</f>
        <v>1017</v>
      </c>
      <c r="CM10" s="75">
        <f>IS!CM9</f>
        <v>3045</v>
      </c>
      <c r="CN10" s="76">
        <f ca="1">IS!CN9</f>
        <v>612.91249856734066</v>
      </c>
      <c r="CO10" s="76">
        <f ca="1">IS!CO9</f>
        <v>574.70149634604832</v>
      </c>
      <c r="CP10" s="76">
        <f ca="1">IS!CP9</f>
        <v>522.01679521715675</v>
      </c>
      <c r="CQ10" s="76">
        <f ca="1">IS!CQ9</f>
        <v>598.24405972196507</v>
      </c>
      <c r="CR10" s="75">
        <f ca="1">IS!CR9</f>
        <v>2307.874849852511</v>
      </c>
      <c r="CS10" s="76">
        <f ca="1">IS!CS9</f>
        <v>586.59480485162294</v>
      </c>
      <c r="CT10" s="76">
        <f ca="1">IS!CT9</f>
        <v>563.42212297992705</v>
      </c>
      <c r="CU10" s="76">
        <f ca="1">IS!CU9</f>
        <v>538.09594116778999</v>
      </c>
      <c r="CV10" s="76">
        <f ca="1">IS!CV9</f>
        <v>607.53102002814046</v>
      </c>
      <c r="CW10" s="75">
        <f ca="1">IS!CW9</f>
        <v>2295.6438890274803</v>
      </c>
      <c r="CX10" s="76">
        <f ca="1">IS!CX9</f>
        <v>589.93790614386251</v>
      </c>
      <c r="CY10" s="76">
        <f ca="1">IS!CY9</f>
        <v>566.95764468298512</v>
      </c>
      <c r="CZ10" s="76">
        <f ca="1">IS!CZ9</f>
        <v>537.00877635916231</v>
      </c>
      <c r="DA10" s="76">
        <f ca="1">IS!DA9</f>
        <v>610.74330826304799</v>
      </c>
      <c r="DB10" s="75">
        <f ca="1">IS!DB9</f>
        <v>2304.6476354490578</v>
      </c>
      <c r="DC10" s="9"/>
      <c r="DD10" s="9"/>
      <c r="DE10" s="9"/>
      <c r="DF10" s="9"/>
      <c r="DG10" s="9"/>
      <c r="DH10" s="9"/>
      <c r="DI10" s="9"/>
      <c r="DJ10" s="9"/>
    </row>
    <row r="11" spans="1:114" s="725" customFormat="1">
      <c r="A11" s="16"/>
      <c r="B11" s="77" t="s">
        <v>256</v>
      </c>
      <c r="C11" s="52"/>
      <c r="D11" s="1053"/>
      <c r="E11" s="1053">
        <f>+E10/D10-1</f>
        <v>-0.22202235431673789</v>
      </c>
      <c r="F11" s="78">
        <f>+F10/E10-1</f>
        <v>0.28538397671021243</v>
      </c>
      <c r="G11" s="52"/>
      <c r="H11" s="52"/>
      <c r="I11" s="52"/>
      <c r="J11" s="52"/>
      <c r="K11" s="78">
        <f t="shared" ref="K11:AP11" si="14">+K10/F10-1</f>
        <v>0.27736850281677472</v>
      </c>
      <c r="L11" s="79">
        <f t="shared" si="14"/>
        <v>0.34955237605820466</v>
      </c>
      <c r="M11" s="79">
        <f t="shared" si="14"/>
        <v>0.2902719948088468</v>
      </c>
      <c r="N11" s="79">
        <f t="shared" si="14"/>
        <v>0.36387557315548147</v>
      </c>
      <c r="O11" s="79">
        <f t="shared" si="14"/>
        <v>0.17047603855707205</v>
      </c>
      <c r="P11" s="78">
        <f t="shared" si="14"/>
        <v>0.28873554978044624</v>
      </c>
      <c r="Q11" s="79">
        <f t="shared" si="14"/>
        <v>0.24939375112732232</v>
      </c>
      <c r="R11" s="79">
        <f t="shared" si="14"/>
        <v>0.30082561502032612</v>
      </c>
      <c r="S11" s="79">
        <f t="shared" si="14"/>
        <v>0.35030849458463065</v>
      </c>
      <c r="T11" s="79">
        <f t="shared" si="14"/>
        <v>0.58494276146717561</v>
      </c>
      <c r="U11" s="78">
        <f t="shared" si="14"/>
        <v>0.37342922705553971</v>
      </c>
      <c r="V11" s="79">
        <f t="shared" si="14"/>
        <v>0.38129000176448891</v>
      </c>
      <c r="W11" s="79">
        <f t="shared" si="14"/>
        <v>0.31642449821192686</v>
      </c>
      <c r="X11" s="79">
        <f t="shared" si="14"/>
        <v>0.25054463148960249</v>
      </c>
      <c r="Y11" s="79">
        <f t="shared" si="14"/>
        <v>0.10523406502966504</v>
      </c>
      <c r="Z11" s="78">
        <f t="shared" si="14"/>
        <v>0.2520306092189295</v>
      </c>
      <c r="AA11" s="79">
        <f t="shared" si="14"/>
        <v>9.154463425114101E-2</v>
      </c>
      <c r="AB11" s="79">
        <f t="shared" si="14"/>
        <v>0.12066665850882874</v>
      </c>
      <c r="AC11" s="79">
        <f t="shared" si="14"/>
        <v>5.1798056583070462E-2</v>
      </c>
      <c r="AD11" s="79">
        <f t="shared" si="14"/>
        <v>0.11121854716813373</v>
      </c>
      <c r="AE11" s="78">
        <f t="shared" si="14"/>
        <v>9.3382898769240441E-2</v>
      </c>
      <c r="AF11" s="79">
        <f t="shared" si="14"/>
        <v>0.14465816967040435</v>
      </c>
      <c r="AG11" s="79">
        <f t="shared" si="14"/>
        <v>0.26339236967963142</v>
      </c>
      <c r="AH11" s="79">
        <f t="shared" si="14"/>
        <v>1.0696816519681649</v>
      </c>
      <c r="AI11" s="79">
        <f t="shared" si="14"/>
        <v>0.32069451806807159</v>
      </c>
      <c r="AJ11" s="78">
        <f t="shared" si="14"/>
        <v>0.44709263774670505</v>
      </c>
      <c r="AK11" s="79">
        <f t="shared" si="14"/>
        <v>0.26124861744941508</v>
      </c>
      <c r="AL11" s="79">
        <f t="shared" si="14"/>
        <v>0.28483889926018113</v>
      </c>
      <c r="AM11" s="79">
        <f t="shared" si="14"/>
        <v>0.45294872660947094</v>
      </c>
      <c r="AN11" s="79">
        <f t="shared" si="14"/>
        <v>1.7348595575817702</v>
      </c>
      <c r="AO11" s="78">
        <f t="shared" si="14"/>
        <v>0.68880264193172103</v>
      </c>
      <c r="AP11" s="79">
        <f t="shared" si="14"/>
        <v>1.1892571058003374</v>
      </c>
      <c r="AQ11" s="79">
        <f t="shared" ref="AQ11:BY11" si="15">+AQ10/AL10-1</f>
        <v>0.95777641748676534</v>
      </c>
      <c r="AR11" s="79">
        <f t="shared" si="15"/>
        <v>0.16669647072287974</v>
      </c>
      <c r="AS11" s="79">
        <f t="shared" si="15"/>
        <v>-0.12398859136599016</v>
      </c>
      <c r="AT11" s="78">
        <f t="shared" si="15"/>
        <v>0.33034264626081256</v>
      </c>
      <c r="AU11" s="79">
        <f t="shared" si="15"/>
        <v>0.12916049548943054</v>
      </c>
      <c r="AV11" s="79">
        <f t="shared" si="15"/>
        <v>0.24538129842464218</v>
      </c>
      <c r="AW11" s="79">
        <f t="shared" si="15"/>
        <v>0.15984648067367035</v>
      </c>
      <c r="AX11" s="79">
        <f t="shared" si="15"/>
        <v>0.20662296035453975</v>
      </c>
      <c r="AY11" s="78">
        <f t="shared" si="15"/>
        <v>0.18469121437370184</v>
      </c>
      <c r="AZ11" s="79">
        <f t="shared" si="15"/>
        <v>0.12706177653368145</v>
      </c>
      <c r="BA11" s="79">
        <f t="shared" si="15"/>
        <v>5.238618117209537E-2</v>
      </c>
      <c r="BB11" s="79">
        <f t="shared" si="15"/>
        <v>6.5335120005708847E-2</v>
      </c>
      <c r="BC11" s="79">
        <f t="shared" si="15"/>
        <v>0.11577858115896467</v>
      </c>
      <c r="BD11" s="78">
        <f t="shared" si="15"/>
        <v>8.952461951042201E-2</v>
      </c>
      <c r="BE11" s="79">
        <f t="shared" si="15"/>
        <v>7.8812613403725029E-2</v>
      </c>
      <c r="BF11" s="79">
        <f t="shared" si="15"/>
        <v>0.13514746362563912</v>
      </c>
      <c r="BG11" s="79">
        <f t="shared" si="15"/>
        <v>0.11714635168962761</v>
      </c>
      <c r="BH11" s="79">
        <f t="shared" si="15"/>
        <v>2.5296127161522852E-2</v>
      </c>
      <c r="BI11" s="78">
        <f t="shared" si="15"/>
        <v>8.7718348445970928E-2</v>
      </c>
      <c r="BJ11" s="79">
        <f t="shared" si="15"/>
        <v>0.19267121222151129</v>
      </c>
      <c r="BK11" s="79">
        <f t="shared" si="15"/>
        <v>0.16270594593096566</v>
      </c>
      <c r="BL11" s="79">
        <f t="shared" si="15"/>
        <v>7.6249844546698142E-2</v>
      </c>
      <c r="BM11" s="79">
        <f t="shared" si="15"/>
        <v>0.10983560382789581</v>
      </c>
      <c r="BN11" s="78">
        <f t="shared" si="15"/>
        <v>0.13388600220619984</v>
      </c>
      <c r="BO11" s="79">
        <f t="shared" si="15"/>
        <v>3.4083246994589533E-3</v>
      </c>
      <c r="BP11" s="79">
        <f t="shared" si="15"/>
        <v>5.6094499199529801E-2</v>
      </c>
      <c r="BQ11" s="79">
        <f t="shared" si="15"/>
        <v>0.13199939747973199</v>
      </c>
      <c r="BR11" s="79">
        <f t="shared" si="15"/>
        <v>5.6364037775480602E-2</v>
      </c>
      <c r="BS11" s="78">
        <f t="shared" si="15"/>
        <v>6.1855538553098999E-2</v>
      </c>
      <c r="BT11" s="79">
        <f t="shared" si="15"/>
        <v>0.44433472508471383</v>
      </c>
      <c r="BU11" s="79">
        <f t="shared" si="15"/>
        <v>0.41434469009488506</v>
      </c>
      <c r="BV11" s="79">
        <f t="shared" si="15"/>
        <v>0.39992198351446051</v>
      </c>
      <c r="BW11" s="79">
        <f t="shared" si="15"/>
        <v>0.41219212063206823</v>
      </c>
      <c r="BX11" s="78">
        <f t="shared" ref="BX11:CE11" si="16">+BX10/BS10-1</f>
        <v>0.41704812724207718</v>
      </c>
      <c r="BY11" s="79">
        <f t="shared" si="15"/>
        <v>4.2553191489361764E-2</v>
      </c>
      <c r="BZ11" s="79">
        <f t="shared" si="16"/>
        <v>-2.6595744680851019E-2</v>
      </c>
      <c r="CA11" s="79">
        <f t="shared" si="16"/>
        <v>-4.427083333333337E-2</v>
      </c>
      <c r="CB11" s="79">
        <f t="shared" si="16"/>
        <v>0.28077455048409394</v>
      </c>
      <c r="CC11" s="78">
        <f t="shared" si="16"/>
        <v>6.0719131614654032E-2</v>
      </c>
      <c r="CD11" s="79">
        <f t="shared" si="16"/>
        <v>2.7210884353741527E-2</v>
      </c>
      <c r="CE11" s="79">
        <f t="shared" si="16"/>
        <v>-4.3715846994535568E-2</v>
      </c>
      <c r="CF11" s="79">
        <f t="shared" ref="CF11:CN11" si="17">+CF10/CA10-1</f>
        <v>-4.0871934604904681E-2</v>
      </c>
      <c r="CG11" s="79">
        <f t="shared" si="17"/>
        <v>-0.2678185745140389</v>
      </c>
      <c r="CH11" s="78">
        <f t="shared" si="17"/>
        <v>-9.2740645986568615E-2</v>
      </c>
      <c r="CI11" s="79">
        <f t="shared" si="17"/>
        <v>-9.6688741721854266E-2</v>
      </c>
      <c r="CJ11" s="79">
        <f t="shared" si="17"/>
        <v>-3.0000000000000027E-2</v>
      </c>
      <c r="CK11" s="79">
        <f t="shared" si="17"/>
        <v>-5.2556818181818232E-2</v>
      </c>
      <c r="CL11" s="79">
        <f t="shared" si="17"/>
        <v>0.5</v>
      </c>
      <c r="CM11" s="78">
        <f t="shared" si="17"/>
        <v>7.3316884032428531E-2</v>
      </c>
      <c r="CN11" s="79">
        <f t="shared" ca="1" si="17"/>
        <v>-0.10130132174876738</v>
      </c>
      <c r="CO11" s="79">
        <f t="shared" ref="CO11:CR11" ca="1" si="18">+CO10/CJ10-1</f>
        <v>-0.15360604367297748</v>
      </c>
      <c r="CP11" s="79">
        <f t="shared" ca="1" si="18"/>
        <v>-0.21736612411220879</v>
      </c>
      <c r="CQ11" s="79">
        <f t="shared" ca="1" si="18"/>
        <v>-0.41175608680239417</v>
      </c>
      <c r="CR11" s="78">
        <f t="shared" ca="1" si="18"/>
        <v>-0.24207722500738549</v>
      </c>
      <c r="CS11" s="79">
        <f t="shared" ref="CS11" ca="1" si="19">+CS10/CN10-1</f>
        <v>-4.2938745379208831E-2</v>
      </c>
      <c r="CT11" s="79">
        <f t="shared" ref="CT11" ca="1" si="20">+CT10/CO10-1</f>
        <v>-1.9626490339481495E-2</v>
      </c>
      <c r="CU11" s="79">
        <f t="shared" ref="CU11" ca="1" si="21">+CU10/CP10-1</f>
        <v>3.0801970545687896E-2</v>
      </c>
      <c r="CV11" s="79">
        <f t="shared" ref="CV11" ca="1" si="22">+CV10/CQ10-1</f>
        <v>1.5523698322205792E-2</v>
      </c>
      <c r="CW11" s="78">
        <f t="shared" ref="CW11" ca="1" si="23">+CW10/CR10-1</f>
        <v>-5.2996638122783102E-3</v>
      </c>
      <c r="CX11" s="79">
        <f t="shared" ref="CX11" ca="1" si="24">+CX10/CS10-1</f>
        <v>5.6991662125018827E-3</v>
      </c>
      <c r="CY11" s="79">
        <f t="shared" ref="CY11" ca="1" si="25">+CY10/CT10-1</f>
        <v>6.2750849831008093E-3</v>
      </c>
      <c r="CZ11" s="79">
        <f t="shared" ref="CZ11" ca="1" si="26">+CZ10/CU10-1</f>
        <v>-2.0203921372613509E-3</v>
      </c>
      <c r="DA11" s="79">
        <f t="shared" ref="DA11" ca="1" si="27">+DA10/CV10-1</f>
        <v>5.287447272665613E-3</v>
      </c>
      <c r="DB11" s="78">
        <f t="shared" ref="DB11" ca="1" si="28">+DB10/CW10-1</f>
        <v>3.9221006640501876E-3</v>
      </c>
      <c r="DC11" s="16"/>
      <c r="DD11" s="16"/>
      <c r="DE11" s="16"/>
      <c r="DF11" s="16"/>
      <c r="DG11" s="16"/>
      <c r="DH11" s="16"/>
      <c r="DI11" s="16"/>
      <c r="DJ11" s="16"/>
    </row>
    <row r="12" spans="1:114" s="921" customFormat="1">
      <c r="A12" s="9"/>
      <c r="B12" s="9" t="s">
        <v>176</v>
      </c>
      <c r="C12" s="1225"/>
      <c r="D12" s="1226">
        <f>IS!D10</f>
        <v>732.54700000000003</v>
      </c>
      <c r="E12" s="75">
        <f>IS!E10</f>
        <v>984.80399999999997</v>
      </c>
      <c r="F12" s="75">
        <f>IS!F10</f>
        <v>1215.1979999999999</v>
      </c>
      <c r="G12" s="76">
        <f>IS!G10</f>
        <v>361.67199999999997</v>
      </c>
      <c r="H12" s="76">
        <f>IS!H10</f>
        <v>363.923</v>
      </c>
      <c r="I12" s="76">
        <f>IS!I10</f>
        <v>378.185</v>
      </c>
      <c r="J12" s="76">
        <f>IS!J10</f>
        <v>433.61900000000003</v>
      </c>
      <c r="K12" s="75">
        <f>IS!K10</f>
        <v>1537.3989999999999</v>
      </c>
      <c r="L12" s="76">
        <f>IS!L10</f>
        <v>483.62200000000001</v>
      </c>
      <c r="M12" s="76">
        <f>IS!M10</f>
        <v>482.86</v>
      </c>
      <c r="N12" s="76">
        <f>IS!N10</f>
        <v>500.49</v>
      </c>
      <c r="O12" s="76">
        <f>IS!O10</f>
        <v>532.11099999999999</v>
      </c>
      <c r="P12" s="75">
        <f>IS!P10</f>
        <v>1999.0829999999999</v>
      </c>
      <c r="Q12" s="76">
        <f>IS!Q10</f>
        <v>596.93600000000004</v>
      </c>
      <c r="R12" s="76">
        <f>IS!R10</f>
        <v>595.21500000000003</v>
      </c>
      <c r="S12" s="76">
        <f>IS!S10</f>
        <v>652.33200000000011</v>
      </c>
      <c r="T12" s="76">
        <f>IS!T10</f>
        <v>713.62300000000005</v>
      </c>
      <c r="U12" s="75">
        <f>IS!U10</f>
        <v>2558.1060000000002</v>
      </c>
      <c r="V12" s="76">
        <f>IS!V10</f>
        <v>736.26499999999999</v>
      </c>
      <c r="W12" s="76">
        <f>IS!W10</f>
        <v>731.94799999999998</v>
      </c>
      <c r="X12" s="76">
        <f>IS!X10</f>
        <v>755.63300000000004</v>
      </c>
      <c r="Y12" s="76">
        <f>IS!Y10</f>
        <v>781.697</v>
      </c>
      <c r="Z12" s="75">
        <f>IS!Z10</f>
        <v>3005.5430000000006</v>
      </c>
      <c r="AA12" s="76">
        <f>IS!AA10</f>
        <v>820.11399999999992</v>
      </c>
      <c r="AB12" s="76">
        <f>IS!AB10</f>
        <v>827.13599999999997</v>
      </c>
      <c r="AC12" s="76">
        <f>IS!AC10</f>
        <v>836.28899999999999</v>
      </c>
      <c r="AD12" s="76">
        <f>IS!AD10</f>
        <v>882.08699999999999</v>
      </c>
      <c r="AE12" s="75">
        <f>IS!AE10</f>
        <v>3365.6260000000002</v>
      </c>
      <c r="AF12" s="76">
        <f>IS!AF10</f>
        <v>918.97099999999989</v>
      </c>
      <c r="AG12" s="76">
        <f>IS!AG10</f>
        <v>945.35000000000014</v>
      </c>
      <c r="AH12" s="76">
        <f>IS!AH10</f>
        <v>931.04399999999998</v>
      </c>
      <c r="AI12" s="76">
        <f>IS!AI10</f>
        <v>1022.4300000000001</v>
      </c>
      <c r="AJ12" s="75">
        <f>IS!AJ10</f>
        <v>3817.7950000000001</v>
      </c>
      <c r="AK12" s="76">
        <f>IS!AK10</f>
        <v>1068.298</v>
      </c>
      <c r="AL12" s="76">
        <f>IS!AL10</f>
        <v>1100.4669999999999</v>
      </c>
      <c r="AM12" s="76">
        <f>IS!AM10</f>
        <v>2072.4830000000002</v>
      </c>
      <c r="AN12" s="76">
        <f>IS!AN10</f>
        <v>2167.212</v>
      </c>
      <c r="AO12" s="75">
        <f>IS!AO10</f>
        <v>6408.46</v>
      </c>
      <c r="AP12" s="76">
        <f>IS!AP10</f>
        <v>2430.4740000000002</v>
      </c>
      <c r="AQ12" s="76">
        <f>IS!AQ10</f>
        <v>2399.5549999999998</v>
      </c>
      <c r="AR12" s="76">
        <f>IS!AR10</f>
        <v>2446.6469999999999</v>
      </c>
      <c r="AS12" s="76">
        <f>IS!AS10</f>
        <v>2445.1840000000002</v>
      </c>
      <c r="AT12" s="75">
        <f>IS!AT10</f>
        <v>9721.86</v>
      </c>
      <c r="AU12" s="76">
        <f>IS!AU10</f>
        <v>2556.9389999999999</v>
      </c>
      <c r="AV12" s="76">
        <f>IS!AV10</f>
        <v>2654.4989999999998</v>
      </c>
      <c r="AW12" s="76">
        <f>IS!AW10</f>
        <v>2708.4</v>
      </c>
      <c r="AX12" s="76">
        <f>IS!AX10</f>
        <v>2709.4260000000004</v>
      </c>
      <c r="AY12" s="75">
        <f>IS!AY10</f>
        <v>10629.264000000001</v>
      </c>
      <c r="AZ12" s="76">
        <f>IS!AZ10</f>
        <v>2782.6480000000001</v>
      </c>
      <c r="BA12" s="76">
        <f>IS!BA10</f>
        <v>2789.5740000000001</v>
      </c>
      <c r="BB12" s="76">
        <f>IS!BB10</f>
        <v>2848.9780000000001</v>
      </c>
      <c r="BC12" s="76">
        <f>IS!BC10</f>
        <v>2976.7840000000001</v>
      </c>
      <c r="BD12" s="75">
        <f>IS!BD10</f>
        <v>11397.984</v>
      </c>
      <c r="BE12" s="76">
        <f>IS!BE10</f>
        <v>2997.471</v>
      </c>
      <c r="BF12" s="76">
        <f>IS!BF10</f>
        <v>3000.8270000000002</v>
      </c>
      <c r="BG12" s="76">
        <f>IS!BG10</f>
        <v>2985.7040000000002</v>
      </c>
      <c r="BH12" s="76">
        <f>IS!BH10</f>
        <v>3005.8250000000003</v>
      </c>
      <c r="BI12" s="75">
        <f>IS!BI10</f>
        <v>11989.827000000001</v>
      </c>
      <c r="BJ12" s="76">
        <f>IS!BJ10</f>
        <v>3297.0349999999999</v>
      </c>
      <c r="BK12" s="76">
        <f>IS!BK10</f>
        <v>3242.9739999999997</v>
      </c>
      <c r="BL12" s="76">
        <f>IS!BL10</f>
        <v>3212.03</v>
      </c>
      <c r="BM12" s="76">
        <f>BM8-BM10</f>
        <v>3261.4915706069005</v>
      </c>
      <c r="BN12" s="75">
        <f>SUM(BJ12:BM12)</f>
        <v>13013.530570606901</v>
      </c>
      <c r="BO12" s="76">
        <f t="shared" ref="BO12:CG12" si="29">BO8-BO10</f>
        <v>3304.2799065865479</v>
      </c>
      <c r="BP12" s="76">
        <f t="shared" si="29"/>
        <v>3232.5051339736137</v>
      </c>
      <c r="BQ12" s="76">
        <f t="shared" si="29"/>
        <v>3218.0641128629363</v>
      </c>
      <c r="BR12" s="76">
        <f t="shared" si="29"/>
        <v>3231.2905795496636</v>
      </c>
      <c r="BS12" s="75">
        <f>SUM(BO12:BR12)</f>
        <v>12986.139732972762</v>
      </c>
      <c r="BT12" s="76">
        <f>BT8-BT10</f>
        <v>4171.3039332538738</v>
      </c>
      <c r="BU12" s="76">
        <f t="shared" si="29"/>
        <v>4754.2952500523124</v>
      </c>
      <c r="BV12" s="76">
        <f t="shared" si="29"/>
        <v>4775.9401459854016</v>
      </c>
      <c r="BW12" s="76">
        <f>BW8-BW10</f>
        <v>4899.9176494509966</v>
      </c>
      <c r="BX12" s="75">
        <f>SUM(BT12:BW12)</f>
        <v>18601.456978742583</v>
      </c>
      <c r="BY12" s="76">
        <f>BY8-BY10</f>
        <v>4891.5436774587661</v>
      </c>
      <c r="BZ12" s="76">
        <f t="shared" si="29"/>
        <v>4879.1511675542806</v>
      </c>
      <c r="CA12" s="76">
        <f>CA8-CA10</f>
        <v>4842.667767230706</v>
      </c>
      <c r="CB12" s="76">
        <f t="shared" si="29"/>
        <v>4829.8445185493956</v>
      </c>
      <c r="CC12" s="75">
        <f>SUM(BY12:CB12)</f>
        <v>19443.207130793147</v>
      </c>
      <c r="CD12" s="76">
        <f>CD8-CD10</f>
        <v>4995.2242448489696</v>
      </c>
      <c r="CE12" s="76">
        <f>CE8-CE10</f>
        <v>4551.7211328976027</v>
      </c>
      <c r="CF12" s="76">
        <f t="shared" si="29"/>
        <v>4370.5168949771687</v>
      </c>
      <c r="CG12" s="76">
        <f t="shared" si="29"/>
        <v>4459.138733497427</v>
      </c>
      <c r="CH12" s="75">
        <f>SUM(CD12:CG12)</f>
        <v>18376.601006221168</v>
      </c>
      <c r="CI12" s="76">
        <f>CI8-CI10</f>
        <v>4414.5742309407042</v>
      </c>
      <c r="CJ12" s="76">
        <f>CJ8-CJ10</f>
        <v>4039.2533783783783</v>
      </c>
      <c r="CK12" s="76">
        <f>CK8-CK10</f>
        <v>3650.6347517730501</v>
      </c>
      <c r="CL12" s="76">
        <f>CL8-CL10</f>
        <v>3833.1601830663622</v>
      </c>
      <c r="CM12" s="75">
        <f>SUM(CI12:CL12)</f>
        <v>15937.622544158496</v>
      </c>
      <c r="CN12" s="76">
        <f ca="1">CN8-CN10</f>
        <v>3658.2547388357307</v>
      </c>
      <c r="CO12" s="76">
        <f ca="1">CO8-CO10</f>
        <v>3416.2811171681765</v>
      </c>
      <c r="CP12" s="76">
        <f ca="1">CP8-CP10</f>
        <v>3128.4503042035203</v>
      </c>
      <c r="CQ12" s="76">
        <f ca="1">CQ8-CQ10</f>
        <v>3544.7203427847185</v>
      </c>
      <c r="CR12" s="75">
        <f ca="1">SUM(CN12:CQ12)</f>
        <v>13747.706502992145</v>
      </c>
      <c r="CS12" s="76">
        <f ca="1">CS8-CS10</f>
        <v>3420.2003102550907</v>
      </c>
      <c r="CT12" s="76">
        <f ca="1">CT8-CT10</f>
        <v>3285.089646008646</v>
      </c>
      <c r="CU12" s="76">
        <f ca="1">CU8-CU10</f>
        <v>3137.4227826559122</v>
      </c>
      <c r="CV12" s="76">
        <f ca="1">CV8-CV10</f>
        <v>3542.2710293444038</v>
      </c>
      <c r="CW12" s="75">
        <f ca="1">SUM(CS12:CV12)</f>
        <v>13384.983768264052</v>
      </c>
      <c r="CX12" s="76">
        <f ca="1">CX8-CX10</f>
        <v>3439.6926003032854</v>
      </c>
      <c r="CY12" s="76">
        <f ca="1">CY8-CY10</f>
        <v>3305.7038627144539</v>
      </c>
      <c r="CZ12" s="76">
        <f ca="1">CZ8-CZ10</f>
        <v>3131.0839583345692</v>
      </c>
      <c r="DA12" s="76">
        <f ca="1">DA8-DA10</f>
        <v>3561.0006006375534</v>
      </c>
      <c r="DB12" s="75">
        <f ca="1">SUM(CX12:DA12)</f>
        <v>13437.481021989863</v>
      </c>
      <c r="DC12" s="9"/>
      <c r="DD12" s="9"/>
      <c r="DE12" s="9"/>
      <c r="DF12" s="9"/>
      <c r="DG12" s="9"/>
      <c r="DH12" s="9"/>
      <c r="DI12" s="9"/>
      <c r="DJ12" s="9"/>
    </row>
    <row r="13" spans="1:114" s="725" customFormat="1">
      <c r="A13" s="16"/>
      <c r="B13" s="77" t="s">
        <v>256</v>
      </c>
      <c r="C13" s="52"/>
      <c r="D13" s="1053"/>
      <c r="E13" s="1053">
        <f>+E12/D12-1</f>
        <v>0.34435606179535228</v>
      </c>
      <c r="F13" s="78">
        <f>+F12/E12-1</f>
        <v>0.23394909037737444</v>
      </c>
      <c r="G13" s="52"/>
      <c r="H13" s="52"/>
      <c r="I13" s="52"/>
      <c r="J13" s="52"/>
      <c r="K13" s="78">
        <f t="shared" ref="K13:Z13" si="30">+K12/F12-1</f>
        <v>0.26514279977419331</v>
      </c>
      <c r="L13" s="79">
        <f t="shared" si="30"/>
        <v>0.33718396779402338</v>
      </c>
      <c r="M13" s="79">
        <f t="shared" si="30"/>
        <v>0.32681913481698044</v>
      </c>
      <c r="N13" s="79">
        <f t="shared" si="30"/>
        <v>0.32339992331795298</v>
      </c>
      <c r="O13" s="79">
        <f t="shared" si="30"/>
        <v>0.2271394934262565</v>
      </c>
      <c r="P13" s="78">
        <f t="shared" si="30"/>
        <v>0.30030200357877157</v>
      </c>
      <c r="Q13" s="79">
        <f t="shared" si="30"/>
        <v>0.23430282327933805</v>
      </c>
      <c r="R13" s="79">
        <f t="shared" si="30"/>
        <v>0.23268649297933153</v>
      </c>
      <c r="S13" s="79">
        <f t="shared" si="30"/>
        <v>0.30338668105256872</v>
      </c>
      <c r="T13" s="79">
        <f t="shared" si="30"/>
        <v>0.34111679705926035</v>
      </c>
      <c r="U13" s="78">
        <f t="shared" si="30"/>
        <v>0.27963971480924021</v>
      </c>
      <c r="V13" s="79">
        <f t="shared" si="30"/>
        <v>0.23340693139633051</v>
      </c>
      <c r="W13" s="79">
        <f t="shared" si="30"/>
        <v>0.22972035314970207</v>
      </c>
      <c r="X13" s="79">
        <f t="shared" si="30"/>
        <v>0.15835648105565858</v>
      </c>
      <c r="Y13" s="79">
        <f t="shared" si="30"/>
        <v>9.5392104794828514E-2</v>
      </c>
      <c r="Z13" s="78">
        <f t="shared" si="30"/>
        <v>0.17490948381341531</v>
      </c>
      <c r="AA13" s="79">
        <f t="shared" ref="AA13:BY13" si="31">+AA12/V12-1</f>
        <v>0.11388426721357114</v>
      </c>
      <c r="AB13" s="79">
        <f t="shared" si="31"/>
        <v>0.130047489712384</v>
      </c>
      <c r="AC13" s="79">
        <f t="shared" si="31"/>
        <v>0.10673964742143327</v>
      </c>
      <c r="AD13" s="79">
        <f t="shared" si="31"/>
        <v>0.12842571994007912</v>
      </c>
      <c r="AE13" s="78">
        <f t="shared" si="31"/>
        <v>0.11980630455129049</v>
      </c>
      <c r="AF13" s="79">
        <f t="shared" si="31"/>
        <v>0.12054055899545668</v>
      </c>
      <c r="AG13" s="79">
        <f t="shared" si="31"/>
        <v>0.14291966496440756</v>
      </c>
      <c r="AH13" s="79">
        <f t="shared" si="31"/>
        <v>0.11330413290142527</v>
      </c>
      <c r="AI13" s="79">
        <f t="shared" si="31"/>
        <v>0.15910335375082063</v>
      </c>
      <c r="AJ13" s="78">
        <f t="shared" si="31"/>
        <v>0.13434915228251731</v>
      </c>
      <c r="AK13" s="79">
        <f t="shared" si="31"/>
        <v>0.1624937021951729</v>
      </c>
      <c r="AL13" s="79">
        <f t="shared" si="31"/>
        <v>0.16408420161844783</v>
      </c>
      <c r="AM13" s="79">
        <f t="shared" si="31"/>
        <v>1.2259775048225436</v>
      </c>
      <c r="AN13" s="79">
        <f t="shared" si="31"/>
        <v>1.1196678501217687</v>
      </c>
      <c r="AO13" s="78">
        <f t="shared" si="31"/>
        <v>0.67857624623637469</v>
      </c>
      <c r="AP13" s="79">
        <f t="shared" si="31"/>
        <v>1.2750899093698576</v>
      </c>
      <c r="AQ13" s="79">
        <f t="shared" si="31"/>
        <v>1.1804879201284546</v>
      </c>
      <c r="AR13" s="79">
        <f t="shared" si="31"/>
        <v>0.18053899597728895</v>
      </c>
      <c r="AS13" s="79">
        <f t="shared" si="31"/>
        <v>0.12826248654953942</v>
      </c>
      <c r="AT13" s="78">
        <f t="shared" si="31"/>
        <v>0.51703529397078252</v>
      </c>
      <c r="AU13" s="79">
        <f t="shared" si="31"/>
        <v>5.2033060217883342E-2</v>
      </c>
      <c r="AV13" s="79">
        <f t="shared" si="31"/>
        <v>0.10624636651379116</v>
      </c>
      <c r="AW13" s="79">
        <f t="shared" si="31"/>
        <v>0.10698437494252344</v>
      </c>
      <c r="AX13" s="79">
        <f t="shared" si="31"/>
        <v>0.10806630503062342</v>
      </c>
      <c r="AY13" s="78">
        <f t="shared" si="31"/>
        <v>9.3336460306978397E-2</v>
      </c>
      <c r="AZ13" s="79">
        <f t="shared" si="31"/>
        <v>8.8273126578303218E-2</v>
      </c>
      <c r="BA13" s="79">
        <f t="shared" si="31"/>
        <v>5.0885308301114485E-2</v>
      </c>
      <c r="BB13" s="79">
        <f t="shared" si="31"/>
        <v>5.1904445429035606E-2</v>
      </c>
      <c r="BC13" s="79">
        <f t="shared" si="31"/>
        <v>9.8676989148254846E-2</v>
      </c>
      <c r="BD13" s="78">
        <f t="shared" si="31"/>
        <v>7.2321093915815649E-2</v>
      </c>
      <c r="BE13" s="79">
        <f t="shared" si="31"/>
        <v>7.720092516193211E-2</v>
      </c>
      <c r="BF13" s="79">
        <f t="shared" si="31"/>
        <v>7.5729484143457038E-2</v>
      </c>
      <c r="BG13" s="79">
        <f t="shared" si="31"/>
        <v>4.7991244579635328E-2</v>
      </c>
      <c r="BH13" s="79">
        <f t="shared" si="31"/>
        <v>9.7558304532676665E-3</v>
      </c>
      <c r="BI13" s="78">
        <f t="shared" si="31"/>
        <v>5.1925235199487885E-2</v>
      </c>
      <c r="BJ13" s="79">
        <f t="shared" si="31"/>
        <v>9.9938915172156806E-2</v>
      </c>
      <c r="BK13" s="79">
        <f t="shared" si="31"/>
        <v>8.0693422179952234E-2</v>
      </c>
      <c r="BL13" s="79">
        <f t="shared" si="31"/>
        <v>7.5803227647482707E-2</v>
      </c>
      <c r="BM13" s="79">
        <f t="shared" si="31"/>
        <v>8.5057037787263035E-2</v>
      </c>
      <c r="BN13" s="78">
        <f t="shared" si="31"/>
        <v>8.5381012637371745E-2</v>
      </c>
      <c r="BO13" s="79">
        <f t="shared" si="31"/>
        <v>2.1974005694656018E-3</v>
      </c>
      <c r="BP13" s="79">
        <f t="shared" si="31"/>
        <v>-3.2281683499115754E-3</v>
      </c>
      <c r="BQ13" s="79">
        <f t="shared" si="31"/>
        <v>1.8785979156283883E-3</v>
      </c>
      <c r="BR13" s="79">
        <f t="shared" si="31"/>
        <v>-9.2598709527300649E-3</v>
      </c>
      <c r="BS13" s="78">
        <f t="shared" si="31"/>
        <v>-2.1047968101758352E-3</v>
      </c>
      <c r="BT13" s="79">
        <f t="shared" si="31"/>
        <v>0.26239424358059193</v>
      </c>
      <c r="BU13" s="79">
        <f t="shared" si="31"/>
        <v>0.47077732378046111</v>
      </c>
      <c r="BV13" s="79">
        <f t="shared" si="31"/>
        <v>0.4841034791368739</v>
      </c>
      <c r="BW13" s="79">
        <f t="shared" si="31"/>
        <v>0.51639647652297649</v>
      </c>
      <c r="BX13" s="78">
        <f t="shared" ref="BX13:CE13" si="32">+BX12/BS12-1</f>
        <v>0.4324085033146623</v>
      </c>
      <c r="BY13" s="79">
        <f t="shared" si="31"/>
        <v>0.17266537172300001</v>
      </c>
      <c r="BZ13" s="79">
        <f t="shared" si="32"/>
        <v>2.6261708820165097E-2</v>
      </c>
      <c r="CA13" s="79">
        <f t="shared" si="32"/>
        <v>1.3971620080162506E-2</v>
      </c>
      <c r="CB13" s="79">
        <f t="shared" si="32"/>
        <v>-1.4300879303441372E-2</v>
      </c>
      <c r="CC13" s="78">
        <f t="shared" si="32"/>
        <v>4.525183984311032E-2</v>
      </c>
      <c r="CD13" s="79">
        <f t="shared" si="32"/>
        <v>2.1195878893606634E-2</v>
      </c>
      <c r="CE13" s="79">
        <f t="shared" si="32"/>
        <v>-6.7107991413351775E-2</v>
      </c>
      <c r="CF13" s="79">
        <f t="shared" ref="CF13:CN13" si="33">+CF12/CA12-1</f>
        <v>-9.7498092982649109E-2</v>
      </c>
      <c r="CG13" s="79">
        <f t="shared" si="33"/>
        <v>-7.6753150878510534E-2</v>
      </c>
      <c r="CH13" s="78">
        <f t="shared" si="33"/>
        <v>-5.4857520027276951E-2</v>
      </c>
      <c r="CI13" s="79">
        <f t="shared" si="33"/>
        <v>-0.11624103052170809</v>
      </c>
      <c r="CJ13" s="79">
        <f t="shared" si="33"/>
        <v>-0.11258768706530797</v>
      </c>
      <c r="CK13" s="79">
        <f t="shared" si="33"/>
        <v>-0.16471327316717288</v>
      </c>
      <c r="CL13" s="79">
        <f t="shared" si="33"/>
        <v>-0.14038104392865403</v>
      </c>
      <c r="CM13" s="78">
        <f t="shared" si="33"/>
        <v>-0.13272195773511031</v>
      </c>
      <c r="CN13" s="79">
        <f t="shared" ca="1" si="33"/>
        <v>-0.17132331512382537</v>
      </c>
      <c r="CO13" s="79">
        <f t="shared" ref="CO13:CR13" ca="1" si="34">+CO12/CJ12-1</f>
        <v>-0.15422955750805212</v>
      </c>
      <c r="CP13" s="79">
        <f t="shared" ca="1" si="34"/>
        <v>-0.14303935700932935</v>
      </c>
      <c r="CQ13" s="79">
        <f t="shared" ca="1" si="34"/>
        <v>-7.5248574676288205E-2</v>
      </c>
      <c r="CR13" s="78">
        <f t="shared" ca="1" si="34"/>
        <v>-0.13740544018398815</v>
      </c>
      <c r="CS13" s="79">
        <f t="shared" ref="CS13" ca="1" si="35">+CS12/CN12-1</f>
        <v>-6.5073223593063001E-2</v>
      </c>
      <c r="CT13" s="79">
        <f t="shared" ref="CT13" ca="1" si="36">+CT12/CO12-1</f>
        <v>-3.8401837161538332E-2</v>
      </c>
      <c r="CU13" s="79">
        <f t="shared" ref="CU13" ca="1" si="37">+CU12/CP12-1</f>
        <v>2.8680265242941871E-3</v>
      </c>
      <c r="CV13" s="79">
        <f t="shared" ref="CV13" ca="1" si="38">+CV12/CQ12-1</f>
        <v>-6.9097508504445404E-4</v>
      </c>
      <c r="CW13" s="78">
        <f t="shared" ref="CW13" ca="1" si="39">+CW12/CR12-1</f>
        <v>-2.63842361377985E-2</v>
      </c>
      <c r="CX13" s="79">
        <f t="shared" ref="CX13" ca="1" si="40">+CX12/CS12-1</f>
        <v>5.6991662125021048E-3</v>
      </c>
      <c r="CY13" s="79">
        <f t="shared" ref="CY13" ca="1" si="41">+CY12/CT12-1</f>
        <v>6.2750849831005873E-3</v>
      </c>
      <c r="CZ13" s="79">
        <f t="shared" ref="CZ13" ca="1" si="42">+CZ12/CU12-1</f>
        <v>-2.0203921372614619E-3</v>
      </c>
      <c r="DA13" s="79">
        <f t="shared" ref="DA13" ca="1" si="43">+DA12/CV12-1</f>
        <v>5.287447272665613E-3</v>
      </c>
      <c r="DB13" s="78">
        <f t="shared" ref="DB13" ca="1" si="44">+DB12/CW12-1</f>
        <v>3.9221006640501876E-3</v>
      </c>
      <c r="DC13" s="16"/>
      <c r="DD13" s="16"/>
      <c r="DE13" s="16"/>
      <c r="DF13" s="16"/>
      <c r="DG13" s="16"/>
      <c r="DH13" s="16"/>
      <c r="DI13" s="16"/>
      <c r="DJ13" s="16"/>
    </row>
    <row r="14" spans="1:114" s="725" customFormat="1" hidden="1" outlineLevel="1">
      <c r="A14" s="16"/>
      <c r="B14" s="868" t="s">
        <v>483</v>
      </c>
      <c r="C14" s="431"/>
      <c r="D14" s="71"/>
      <c r="E14" s="71"/>
      <c r="F14" s="56"/>
      <c r="G14" s="57"/>
      <c r="H14" s="57"/>
      <c r="I14" s="57"/>
      <c r="J14" s="57"/>
      <c r="K14" s="56"/>
      <c r="L14" s="57"/>
      <c r="M14" s="57"/>
      <c r="N14" s="57"/>
      <c r="O14" s="57"/>
      <c r="P14" s="56"/>
      <c r="Q14" s="57"/>
      <c r="R14" s="57"/>
      <c r="S14" s="57"/>
      <c r="T14" s="57"/>
      <c r="U14" s="56"/>
      <c r="V14" s="57"/>
      <c r="W14" s="57"/>
      <c r="X14" s="57"/>
      <c r="Y14" s="57"/>
      <c r="Z14" s="56"/>
      <c r="AA14" s="57"/>
      <c r="AB14" s="57"/>
      <c r="AC14" s="57"/>
      <c r="AD14" s="57"/>
      <c r="AE14" s="56"/>
      <c r="AF14" s="57"/>
      <c r="AG14" s="57"/>
      <c r="AH14" s="57"/>
      <c r="AI14" s="57"/>
      <c r="AJ14" s="56"/>
      <c r="AK14" s="57"/>
      <c r="AL14" s="57"/>
      <c r="AM14" s="57"/>
      <c r="AN14" s="57"/>
      <c r="AO14" s="58"/>
      <c r="AP14" s="59"/>
      <c r="AQ14" s="59"/>
      <c r="AR14" s="59"/>
      <c r="AS14" s="59"/>
      <c r="AT14" s="58"/>
      <c r="AU14" s="59"/>
      <c r="AV14" s="59"/>
      <c r="AW14" s="59"/>
      <c r="AX14" s="59"/>
      <c r="AY14" s="58"/>
      <c r="AZ14" s="59"/>
      <c r="BA14" s="59"/>
      <c r="BB14" s="59"/>
      <c r="BC14" s="59"/>
      <c r="BD14" s="58"/>
      <c r="BE14" s="59"/>
      <c r="BF14" s="59"/>
      <c r="BG14" s="59"/>
      <c r="BH14" s="59"/>
      <c r="BI14" s="58"/>
      <c r="BJ14" s="59"/>
      <c r="BK14" s="59"/>
      <c r="BL14" s="59"/>
      <c r="BM14" s="59"/>
      <c r="BN14" s="58"/>
      <c r="BO14" s="59"/>
      <c r="BP14" s="59"/>
      <c r="BQ14" s="59"/>
      <c r="BR14" s="59"/>
      <c r="BS14" s="58"/>
      <c r="BT14" s="59"/>
      <c r="BU14" s="59"/>
      <c r="BV14" s="59"/>
      <c r="BW14" s="59"/>
      <c r="BX14" s="58"/>
      <c r="BY14" s="59"/>
      <c r="BZ14" s="59"/>
      <c r="CA14" s="59"/>
      <c r="CB14" s="59"/>
      <c r="CC14" s="58"/>
      <c r="CD14" s="59"/>
      <c r="CE14" s="59"/>
      <c r="CF14" s="59"/>
      <c r="CG14" s="59"/>
      <c r="CH14" s="58"/>
      <c r="CI14" s="59"/>
      <c r="CJ14" s="59"/>
      <c r="CK14" s="59"/>
      <c r="CL14" s="59"/>
      <c r="CM14" s="58"/>
      <c r="CN14" s="59"/>
      <c r="CO14" s="59"/>
      <c r="CP14" s="59"/>
      <c r="CQ14" s="59"/>
      <c r="CR14" s="58"/>
      <c r="CS14" s="59"/>
      <c r="CT14" s="59"/>
      <c r="CU14" s="59"/>
      <c r="CV14" s="59"/>
      <c r="CW14" s="58"/>
      <c r="CX14" s="59"/>
      <c r="CY14" s="59"/>
      <c r="CZ14" s="59"/>
      <c r="DA14" s="59"/>
      <c r="DB14" s="58"/>
      <c r="DC14" s="16"/>
      <c r="DD14" s="16"/>
      <c r="DE14" s="16"/>
      <c r="DF14" s="16"/>
      <c r="DG14" s="16"/>
      <c r="DH14" s="16"/>
      <c r="DI14" s="16"/>
      <c r="DJ14" s="16"/>
    </row>
    <row r="15" spans="1:114" s="725" customFormat="1" hidden="1" outlineLevel="1">
      <c r="A15" s="9"/>
      <c r="B15" s="9" t="s">
        <v>509</v>
      </c>
      <c r="C15" s="432"/>
      <c r="D15" s="73"/>
      <c r="E15" s="73"/>
      <c r="F15" s="72"/>
      <c r="G15" s="74"/>
      <c r="H15" s="74"/>
      <c r="I15" s="74"/>
      <c r="J15" s="74"/>
      <c r="K15" s="75">
        <f t="shared" ref="K15:K57" si="45">SUM(G15:J15)</f>
        <v>0</v>
      </c>
      <c r="L15" s="74"/>
      <c r="M15" s="74"/>
      <c r="N15" s="74"/>
      <c r="O15" s="74"/>
      <c r="P15" s="75">
        <f t="shared" ref="P15:P57" si="46">SUM(L15:O15)</f>
        <v>0</v>
      </c>
      <c r="Q15" s="74"/>
      <c r="R15" s="74"/>
      <c r="S15" s="74"/>
      <c r="T15" s="74"/>
      <c r="U15" s="75">
        <f t="shared" ref="U15:U57" si="47">SUM(Q15:T15)</f>
        <v>0</v>
      </c>
      <c r="V15" s="74"/>
      <c r="W15" s="74"/>
      <c r="X15" s="74"/>
      <c r="Y15" s="74"/>
      <c r="Z15" s="75">
        <f t="shared" ref="Z15:Z57" si="48">SUM(V15:Y15)</f>
        <v>0</v>
      </c>
      <c r="AA15" s="74"/>
      <c r="AB15" s="74"/>
      <c r="AC15" s="74"/>
      <c r="AD15" s="74"/>
      <c r="AE15" s="75">
        <f t="shared" ref="AE15:AE26" si="49">SUM(AA15:AD15)</f>
        <v>0</v>
      </c>
      <c r="AF15" s="74"/>
      <c r="AG15" s="74"/>
      <c r="AH15" s="74"/>
      <c r="AI15" s="74"/>
      <c r="AJ15" s="75">
        <f t="shared" ref="AJ15:AJ26" si="50">SUM(AF15:AI15)</f>
        <v>0</v>
      </c>
      <c r="AK15" s="74"/>
      <c r="AL15" s="74"/>
      <c r="AM15" s="74"/>
      <c r="AN15" s="74"/>
      <c r="AO15" s="75">
        <f t="shared" ref="AO15:AO26" si="51">SUM(AK15:AN15)</f>
        <v>0</v>
      </c>
      <c r="AP15" s="74"/>
      <c r="AQ15" s="74"/>
      <c r="AR15" s="74"/>
      <c r="AS15" s="74"/>
      <c r="AT15" s="75">
        <f t="shared" ref="AT15:AT26" si="52">SUM(AP15:AS15)</f>
        <v>0</v>
      </c>
      <c r="AU15" s="74"/>
      <c r="AV15" s="74"/>
      <c r="AW15" s="74"/>
      <c r="AX15" s="74"/>
      <c r="AY15" s="75">
        <f t="shared" ref="AY15:AY26" si="53">SUM(AU15:AX15)</f>
        <v>0</v>
      </c>
      <c r="AZ15" s="74"/>
      <c r="BA15" s="74"/>
      <c r="BB15" s="74"/>
      <c r="BC15" s="74"/>
      <c r="BD15" s="75">
        <f t="shared" ref="BD15:BD26" si="54">SUM(AZ15:BC15)</f>
        <v>0</v>
      </c>
      <c r="BE15" s="74"/>
      <c r="BF15" s="74"/>
      <c r="BG15" s="74"/>
      <c r="BH15" s="74"/>
      <c r="BI15" s="75">
        <f t="shared" ref="BI15:BI26" si="55">SUM(BE15:BH15)</f>
        <v>0</v>
      </c>
      <c r="BJ15" s="74"/>
      <c r="BK15" s="74"/>
      <c r="BL15" s="74"/>
      <c r="BM15" s="74"/>
      <c r="BN15" s="75">
        <f t="shared" ref="BN15:BN26" si="56">SUM(BJ15:BM15)</f>
        <v>0</v>
      </c>
      <c r="BO15" s="74"/>
      <c r="BP15" s="74"/>
      <c r="BQ15" s="76"/>
      <c r="BR15" s="74"/>
      <c r="BS15" s="75">
        <f t="shared" ref="BS15:BS26" si="57">SUM(BO15:BR15)</f>
        <v>0</v>
      </c>
      <c r="BT15" s="74"/>
      <c r="BU15" s="74"/>
      <c r="BV15" s="76"/>
      <c r="BW15" s="76"/>
      <c r="BX15" s="75"/>
      <c r="BY15" s="74"/>
      <c r="BZ15" s="76"/>
      <c r="CA15" s="589"/>
      <c r="CB15" s="76"/>
      <c r="CC15" s="75"/>
      <c r="CD15" s="76"/>
      <c r="CE15" s="76"/>
      <c r="CF15" s="76"/>
      <c r="CG15" s="76"/>
      <c r="CH15" s="221">
        <f t="shared" ref="CH15:CH59" si="58">SUM(CD15:CG15)</f>
        <v>0</v>
      </c>
      <c r="CI15" s="283">
        <v>0</v>
      </c>
      <c r="CJ15" s="283">
        <v>0</v>
      </c>
      <c r="CK15" s="283">
        <v>0</v>
      </c>
      <c r="CL15" s="283">
        <v>0</v>
      </c>
      <c r="CM15" s="221">
        <f t="shared" ref="CM15:CM59" si="59">SUM(CI15:CL15)</f>
        <v>0</v>
      </c>
      <c r="CN15" s="1215">
        <v>0</v>
      </c>
      <c r="CO15" s="1215">
        <v>0</v>
      </c>
      <c r="CP15" s="1215">
        <v>0</v>
      </c>
      <c r="CQ15" s="1215">
        <v>0</v>
      </c>
      <c r="CR15" s="221">
        <f t="shared" ref="CR15:CR59" si="60">SUM(CN15:CQ15)</f>
        <v>0</v>
      </c>
      <c r="CS15" s="1215">
        <v>0</v>
      </c>
      <c r="CT15" s="1215">
        <v>0</v>
      </c>
      <c r="CU15" s="1215">
        <v>0</v>
      </c>
      <c r="CV15" s="1215">
        <v>0</v>
      </c>
      <c r="CW15" s="221">
        <f t="shared" ref="CW15:CW59" si="61">SUM(CS15:CV15)</f>
        <v>0</v>
      </c>
      <c r="CX15" s="1215">
        <v>0</v>
      </c>
      <c r="CY15" s="1215">
        <v>0</v>
      </c>
      <c r="CZ15" s="1215">
        <v>0</v>
      </c>
      <c r="DA15" s="1215">
        <v>0</v>
      </c>
      <c r="DB15" s="221">
        <f t="shared" ref="DB15:DB59" si="62">SUM(CX15:DA15)</f>
        <v>0</v>
      </c>
      <c r="DC15" s="9"/>
      <c r="DD15" s="9"/>
      <c r="DE15" s="9"/>
      <c r="DF15" s="9"/>
      <c r="DG15" s="9"/>
      <c r="DH15" s="9"/>
      <c r="DI15" s="9"/>
      <c r="DJ15" s="9"/>
    </row>
    <row r="16" spans="1:114" s="725" customFormat="1" hidden="1" outlineLevel="1">
      <c r="A16" s="9"/>
      <c r="B16" s="9" t="s">
        <v>516</v>
      </c>
      <c r="C16" s="432"/>
      <c r="D16" s="73"/>
      <c r="E16" s="73"/>
      <c r="F16" s="72"/>
      <c r="G16" s="74"/>
      <c r="H16" s="74"/>
      <c r="I16" s="74"/>
      <c r="J16" s="74"/>
      <c r="K16" s="75">
        <f t="shared" si="45"/>
        <v>0</v>
      </c>
      <c r="L16" s="74"/>
      <c r="M16" s="74"/>
      <c r="N16" s="74"/>
      <c r="O16" s="74"/>
      <c r="P16" s="75">
        <f t="shared" si="46"/>
        <v>0</v>
      </c>
      <c r="Q16" s="74"/>
      <c r="R16" s="74"/>
      <c r="S16" s="74"/>
      <c r="T16" s="74"/>
      <c r="U16" s="75">
        <f t="shared" si="47"/>
        <v>0</v>
      </c>
      <c r="V16" s="74"/>
      <c r="W16" s="74"/>
      <c r="X16" s="74"/>
      <c r="Y16" s="74"/>
      <c r="Z16" s="75">
        <f t="shared" si="48"/>
        <v>0</v>
      </c>
      <c r="AA16" s="74"/>
      <c r="AB16" s="74"/>
      <c r="AC16" s="74"/>
      <c r="AD16" s="74"/>
      <c r="AE16" s="75">
        <f t="shared" si="49"/>
        <v>0</v>
      </c>
      <c r="AF16" s="74"/>
      <c r="AG16" s="74"/>
      <c r="AH16" s="74"/>
      <c r="AI16" s="74"/>
      <c r="AJ16" s="75">
        <f t="shared" si="50"/>
        <v>0</v>
      </c>
      <c r="AK16" s="74"/>
      <c r="AL16" s="74"/>
      <c r="AM16" s="74"/>
      <c r="AN16" s="74"/>
      <c r="AO16" s="75">
        <f t="shared" si="51"/>
        <v>0</v>
      </c>
      <c r="AP16" s="74"/>
      <c r="AQ16" s="74"/>
      <c r="AR16" s="74"/>
      <c r="AS16" s="74"/>
      <c r="AT16" s="75">
        <f t="shared" si="52"/>
        <v>0</v>
      </c>
      <c r="AU16" s="74"/>
      <c r="AV16" s="74"/>
      <c r="AW16" s="74"/>
      <c r="AX16" s="74"/>
      <c r="AY16" s="75">
        <f t="shared" si="53"/>
        <v>0</v>
      </c>
      <c r="AZ16" s="74"/>
      <c r="BA16" s="74"/>
      <c r="BB16" s="74"/>
      <c r="BC16" s="74"/>
      <c r="BD16" s="75">
        <f t="shared" si="54"/>
        <v>0</v>
      </c>
      <c r="BE16" s="74"/>
      <c r="BF16" s="74"/>
      <c r="BG16" s="74"/>
      <c r="BH16" s="74"/>
      <c r="BI16" s="75">
        <f t="shared" si="55"/>
        <v>0</v>
      </c>
      <c r="BJ16" s="74"/>
      <c r="BK16" s="74"/>
      <c r="BL16" s="74"/>
      <c r="BM16" s="74"/>
      <c r="BN16" s="75">
        <f t="shared" si="56"/>
        <v>0</v>
      </c>
      <c r="BO16" s="74"/>
      <c r="BP16" s="74"/>
      <c r="BQ16" s="76"/>
      <c r="BR16" s="74"/>
      <c r="BS16" s="75">
        <f t="shared" si="57"/>
        <v>0</v>
      </c>
      <c r="BT16" s="74"/>
      <c r="BU16" s="74"/>
      <c r="BV16" s="76"/>
      <c r="BW16" s="76"/>
      <c r="BX16" s="75"/>
      <c r="BY16" s="74"/>
      <c r="BZ16" s="76"/>
      <c r="CA16" s="76"/>
      <c r="CB16" s="76"/>
      <c r="CC16" s="75"/>
      <c r="CD16" s="76"/>
      <c r="CE16" s="76"/>
      <c r="CF16" s="76"/>
      <c r="CG16" s="76"/>
      <c r="CH16" s="221">
        <f t="shared" si="58"/>
        <v>0</v>
      </c>
      <c r="CI16" s="283">
        <v>0</v>
      </c>
      <c r="CJ16" s="283">
        <v>0</v>
      </c>
      <c r="CK16" s="283">
        <v>0</v>
      </c>
      <c r="CL16" s="283">
        <v>0</v>
      </c>
      <c r="CM16" s="221">
        <f t="shared" si="59"/>
        <v>0</v>
      </c>
      <c r="CN16" s="1215">
        <v>0</v>
      </c>
      <c r="CO16" s="1215">
        <v>0</v>
      </c>
      <c r="CP16" s="1215">
        <v>0</v>
      </c>
      <c r="CQ16" s="1215">
        <v>0</v>
      </c>
      <c r="CR16" s="221">
        <f t="shared" si="60"/>
        <v>0</v>
      </c>
      <c r="CS16" s="1215">
        <v>0</v>
      </c>
      <c r="CT16" s="1215">
        <v>0</v>
      </c>
      <c r="CU16" s="1215">
        <v>0</v>
      </c>
      <c r="CV16" s="1215">
        <v>0</v>
      </c>
      <c r="CW16" s="221">
        <f t="shared" si="61"/>
        <v>0</v>
      </c>
      <c r="CX16" s="1215">
        <v>0</v>
      </c>
      <c r="CY16" s="1215">
        <v>0</v>
      </c>
      <c r="CZ16" s="1215">
        <v>0</v>
      </c>
      <c r="DA16" s="1215">
        <v>0</v>
      </c>
      <c r="DB16" s="221">
        <f t="shared" si="62"/>
        <v>0</v>
      </c>
      <c r="DC16" s="9"/>
      <c r="DD16" s="9"/>
      <c r="DE16" s="9"/>
      <c r="DF16" s="9"/>
      <c r="DG16" s="9"/>
      <c r="DH16" s="9"/>
      <c r="DI16" s="9"/>
      <c r="DJ16" s="9"/>
    </row>
    <row r="17" spans="1:114" s="725" customFormat="1" hidden="1" outlineLevel="1">
      <c r="A17" s="9"/>
      <c r="B17" s="9" t="s">
        <v>41</v>
      </c>
      <c r="C17" s="432"/>
      <c r="D17" s="73"/>
      <c r="E17" s="73"/>
      <c r="F17" s="72"/>
      <c r="G17" s="74"/>
      <c r="H17" s="74"/>
      <c r="I17" s="74"/>
      <c r="J17" s="74"/>
      <c r="K17" s="75">
        <f t="shared" si="45"/>
        <v>0</v>
      </c>
      <c r="L17" s="74"/>
      <c r="M17" s="74"/>
      <c r="N17" s="74"/>
      <c r="O17" s="74"/>
      <c r="P17" s="75">
        <f t="shared" si="46"/>
        <v>0</v>
      </c>
      <c r="Q17" s="74"/>
      <c r="R17" s="74"/>
      <c r="S17" s="74"/>
      <c r="T17" s="74"/>
      <c r="U17" s="75">
        <f t="shared" si="47"/>
        <v>0</v>
      </c>
      <c r="V17" s="74"/>
      <c r="W17" s="74"/>
      <c r="X17" s="74"/>
      <c r="Y17" s="74"/>
      <c r="Z17" s="75">
        <f t="shared" si="48"/>
        <v>0</v>
      </c>
      <c r="AA17" s="74"/>
      <c r="AB17" s="74"/>
      <c r="AC17" s="74"/>
      <c r="AD17" s="74"/>
      <c r="AE17" s="75">
        <f t="shared" si="49"/>
        <v>0</v>
      </c>
      <c r="AF17" s="74"/>
      <c r="AG17" s="74"/>
      <c r="AH17" s="74"/>
      <c r="AI17" s="74"/>
      <c r="AJ17" s="75">
        <f t="shared" si="50"/>
        <v>0</v>
      </c>
      <c r="AK17" s="74"/>
      <c r="AL17" s="74"/>
      <c r="AM17" s="74"/>
      <c r="AN17" s="74"/>
      <c r="AO17" s="75">
        <f t="shared" si="51"/>
        <v>0</v>
      </c>
      <c r="AP17" s="74"/>
      <c r="AQ17" s="74"/>
      <c r="AR17" s="74"/>
      <c r="AS17" s="74"/>
      <c r="AT17" s="75">
        <f t="shared" si="52"/>
        <v>0</v>
      </c>
      <c r="AU17" s="74"/>
      <c r="AV17" s="74"/>
      <c r="AW17" s="74"/>
      <c r="AX17" s="74"/>
      <c r="AY17" s="75">
        <f t="shared" si="53"/>
        <v>0</v>
      </c>
      <c r="AZ17" s="74"/>
      <c r="BA17" s="74"/>
      <c r="BB17" s="74"/>
      <c r="BC17" s="74"/>
      <c r="BD17" s="75">
        <f t="shared" si="54"/>
        <v>0</v>
      </c>
      <c r="BE17" s="74"/>
      <c r="BF17" s="74"/>
      <c r="BG17" s="74"/>
      <c r="BH17" s="74"/>
      <c r="BI17" s="75">
        <f t="shared" si="55"/>
        <v>0</v>
      </c>
      <c r="BJ17" s="74"/>
      <c r="BK17" s="74"/>
      <c r="BL17" s="74"/>
      <c r="BM17" s="74"/>
      <c r="BN17" s="75">
        <f t="shared" si="56"/>
        <v>0</v>
      </c>
      <c r="BO17" s="74"/>
      <c r="BP17" s="74"/>
      <c r="BQ17" s="76"/>
      <c r="BR17" s="74"/>
      <c r="BS17" s="75">
        <f t="shared" si="57"/>
        <v>0</v>
      </c>
      <c r="BT17" s="74"/>
      <c r="BU17" s="74"/>
      <c r="BV17" s="76"/>
      <c r="BW17" s="76"/>
      <c r="BX17" s="75"/>
      <c r="BY17" s="74"/>
      <c r="BZ17" s="76"/>
      <c r="CA17" s="76"/>
      <c r="CB17" s="76"/>
      <c r="CC17" s="75"/>
      <c r="CD17" s="76"/>
      <c r="CE17" s="76"/>
      <c r="CF17" s="76"/>
      <c r="CG17" s="76"/>
      <c r="CH17" s="221">
        <f t="shared" si="58"/>
        <v>0</v>
      </c>
      <c r="CI17" s="283">
        <v>0</v>
      </c>
      <c r="CJ17" s="283">
        <v>0</v>
      </c>
      <c r="CK17" s="283">
        <v>0</v>
      </c>
      <c r="CL17" s="283">
        <v>0</v>
      </c>
      <c r="CM17" s="221">
        <f t="shared" si="59"/>
        <v>0</v>
      </c>
      <c r="CN17" s="1215">
        <v>0</v>
      </c>
      <c r="CO17" s="1215">
        <v>0</v>
      </c>
      <c r="CP17" s="1215">
        <v>0</v>
      </c>
      <c r="CQ17" s="1215">
        <v>0</v>
      </c>
      <c r="CR17" s="221">
        <f t="shared" si="60"/>
        <v>0</v>
      </c>
      <c r="CS17" s="1215">
        <v>0</v>
      </c>
      <c r="CT17" s="1215">
        <v>0</v>
      </c>
      <c r="CU17" s="1215">
        <v>0</v>
      </c>
      <c r="CV17" s="1215">
        <v>0</v>
      </c>
      <c r="CW17" s="221">
        <f t="shared" si="61"/>
        <v>0</v>
      </c>
      <c r="CX17" s="1215">
        <v>0</v>
      </c>
      <c r="CY17" s="1215">
        <v>0</v>
      </c>
      <c r="CZ17" s="1215">
        <v>0</v>
      </c>
      <c r="DA17" s="1215">
        <v>0</v>
      </c>
      <c r="DB17" s="221">
        <f t="shared" si="62"/>
        <v>0</v>
      </c>
      <c r="DC17" s="9"/>
      <c r="DD17" s="9"/>
      <c r="DE17" s="9"/>
      <c r="DF17" s="9"/>
      <c r="DG17" s="9"/>
      <c r="DH17" s="9"/>
      <c r="DI17" s="9"/>
      <c r="DJ17" s="9"/>
    </row>
    <row r="18" spans="1:114" s="725" customFormat="1" hidden="1" outlineLevel="1">
      <c r="A18" s="9"/>
      <c r="B18" s="9" t="s">
        <v>169</v>
      </c>
      <c r="C18" s="432"/>
      <c r="D18" s="73"/>
      <c r="E18" s="73"/>
      <c r="F18" s="72"/>
      <c r="G18" s="74"/>
      <c r="H18" s="74"/>
      <c r="I18" s="74"/>
      <c r="J18" s="74"/>
      <c r="K18" s="75">
        <f t="shared" si="45"/>
        <v>0</v>
      </c>
      <c r="L18" s="74"/>
      <c r="M18" s="74"/>
      <c r="N18" s="74"/>
      <c r="O18" s="74"/>
      <c r="P18" s="75">
        <f t="shared" si="46"/>
        <v>0</v>
      </c>
      <c r="Q18" s="74"/>
      <c r="R18" s="74"/>
      <c r="S18" s="74"/>
      <c r="T18" s="74"/>
      <c r="U18" s="75">
        <f t="shared" si="47"/>
        <v>0</v>
      </c>
      <c r="V18" s="74"/>
      <c r="W18" s="74"/>
      <c r="X18" s="74"/>
      <c r="Y18" s="74"/>
      <c r="Z18" s="75">
        <f t="shared" si="48"/>
        <v>0</v>
      </c>
      <c r="AA18" s="74"/>
      <c r="AB18" s="74"/>
      <c r="AC18" s="74"/>
      <c r="AD18" s="74"/>
      <c r="AE18" s="75">
        <f t="shared" si="49"/>
        <v>0</v>
      </c>
      <c r="AF18" s="74"/>
      <c r="AG18" s="74"/>
      <c r="AH18" s="74"/>
      <c r="AI18" s="74"/>
      <c r="AJ18" s="75">
        <f t="shared" si="50"/>
        <v>0</v>
      </c>
      <c r="AK18" s="74"/>
      <c r="AL18" s="74"/>
      <c r="AM18" s="74"/>
      <c r="AN18" s="74"/>
      <c r="AO18" s="75">
        <f t="shared" si="51"/>
        <v>0</v>
      </c>
      <c r="AP18" s="74"/>
      <c r="AQ18" s="74"/>
      <c r="AR18" s="74"/>
      <c r="AS18" s="74"/>
      <c r="AT18" s="75">
        <f t="shared" si="52"/>
        <v>0</v>
      </c>
      <c r="AU18" s="74"/>
      <c r="AV18" s="74"/>
      <c r="AW18" s="74"/>
      <c r="AX18" s="74"/>
      <c r="AY18" s="75">
        <f t="shared" si="53"/>
        <v>0</v>
      </c>
      <c r="AZ18" s="74"/>
      <c r="BA18" s="74"/>
      <c r="BB18" s="74"/>
      <c r="BC18" s="74"/>
      <c r="BD18" s="75">
        <f t="shared" si="54"/>
        <v>0</v>
      </c>
      <c r="BE18" s="74"/>
      <c r="BF18" s="74"/>
      <c r="BG18" s="74"/>
      <c r="BH18" s="74"/>
      <c r="BI18" s="75">
        <f t="shared" si="55"/>
        <v>0</v>
      </c>
      <c r="BJ18" s="74"/>
      <c r="BK18" s="74"/>
      <c r="BL18" s="74"/>
      <c r="BM18" s="74"/>
      <c r="BN18" s="75">
        <f t="shared" si="56"/>
        <v>0</v>
      </c>
      <c r="BO18" s="74"/>
      <c r="BP18" s="74"/>
      <c r="BQ18" s="76"/>
      <c r="BR18" s="74"/>
      <c r="BS18" s="75">
        <f t="shared" si="57"/>
        <v>0</v>
      </c>
      <c r="BT18" s="74"/>
      <c r="BU18" s="74"/>
      <c r="BV18" s="76"/>
      <c r="BW18" s="76"/>
      <c r="BX18" s="75"/>
      <c r="BY18" s="74"/>
      <c r="BZ18" s="76"/>
      <c r="CA18" s="76"/>
      <c r="CB18" s="76"/>
      <c r="CC18" s="75"/>
      <c r="CD18" s="76"/>
      <c r="CE18" s="76"/>
      <c r="CF18" s="76"/>
      <c r="CG18" s="76"/>
      <c r="CH18" s="221">
        <f t="shared" si="58"/>
        <v>0</v>
      </c>
      <c r="CI18" s="283">
        <v>0</v>
      </c>
      <c r="CJ18" s="283">
        <v>0</v>
      </c>
      <c r="CK18" s="283">
        <v>0</v>
      </c>
      <c r="CL18" s="283">
        <v>0</v>
      </c>
      <c r="CM18" s="221">
        <f t="shared" si="59"/>
        <v>0</v>
      </c>
      <c r="CN18" s="1215">
        <v>0</v>
      </c>
      <c r="CO18" s="1215">
        <v>0</v>
      </c>
      <c r="CP18" s="1215">
        <v>0</v>
      </c>
      <c r="CQ18" s="1215">
        <v>0</v>
      </c>
      <c r="CR18" s="221">
        <f t="shared" si="60"/>
        <v>0</v>
      </c>
      <c r="CS18" s="1215">
        <v>0</v>
      </c>
      <c r="CT18" s="1215">
        <v>0</v>
      </c>
      <c r="CU18" s="1215">
        <v>0</v>
      </c>
      <c r="CV18" s="1215">
        <v>0</v>
      </c>
      <c r="CW18" s="221">
        <f t="shared" si="61"/>
        <v>0</v>
      </c>
      <c r="CX18" s="1215">
        <v>0</v>
      </c>
      <c r="CY18" s="1215">
        <v>0</v>
      </c>
      <c r="CZ18" s="1215">
        <v>0</v>
      </c>
      <c r="DA18" s="1215">
        <v>0</v>
      </c>
      <c r="DB18" s="221">
        <f t="shared" si="62"/>
        <v>0</v>
      </c>
      <c r="DC18" s="9"/>
      <c r="DD18" s="9"/>
      <c r="DE18" s="9"/>
      <c r="DF18" s="9"/>
      <c r="DG18" s="9"/>
      <c r="DH18" s="9"/>
      <c r="DI18" s="9"/>
      <c r="DJ18" s="9"/>
    </row>
    <row r="19" spans="1:114" s="725" customFormat="1" hidden="1" outlineLevel="1">
      <c r="A19" s="9"/>
      <c r="B19" s="9" t="s">
        <v>50</v>
      </c>
      <c r="C19" s="432"/>
      <c r="D19" s="73"/>
      <c r="E19" s="73"/>
      <c r="F19" s="72"/>
      <c r="G19" s="74"/>
      <c r="H19" s="74"/>
      <c r="I19" s="74"/>
      <c r="J19" s="74"/>
      <c r="K19" s="75">
        <f t="shared" si="45"/>
        <v>0</v>
      </c>
      <c r="L19" s="74"/>
      <c r="M19" s="74"/>
      <c r="N19" s="74"/>
      <c r="O19" s="74"/>
      <c r="P19" s="75">
        <f t="shared" si="46"/>
        <v>0</v>
      </c>
      <c r="Q19" s="74"/>
      <c r="R19" s="74"/>
      <c r="S19" s="74"/>
      <c r="T19" s="74"/>
      <c r="U19" s="75">
        <f t="shared" si="47"/>
        <v>0</v>
      </c>
      <c r="V19" s="74"/>
      <c r="W19" s="74"/>
      <c r="X19" s="74"/>
      <c r="Y19" s="74"/>
      <c r="Z19" s="75">
        <f t="shared" si="48"/>
        <v>0</v>
      </c>
      <c r="AA19" s="74"/>
      <c r="AB19" s="74"/>
      <c r="AC19" s="74"/>
      <c r="AD19" s="74"/>
      <c r="AE19" s="75">
        <f t="shared" si="49"/>
        <v>0</v>
      </c>
      <c r="AF19" s="74"/>
      <c r="AG19" s="74"/>
      <c r="AH19" s="74"/>
      <c r="AI19" s="74"/>
      <c r="AJ19" s="75">
        <f t="shared" si="50"/>
        <v>0</v>
      </c>
      <c r="AK19" s="74"/>
      <c r="AL19" s="74"/>
      <c r="AM19" s="74"/>
      <c r="AN19" s="74"/>
      <c r="AO19" s="75">
        <f t="shared" si="51"/>
        <v>0</v>
      </c>
      <c r="AP19" s="74"/>
      <c r="AQ19" s="74"/>
      <c r="AR19" s="74"/>
      <c r="AS19" s="74"/>
      <c r="AT19" s="75">
        <f t="shared" si="52"/>
        <v>0</v>
      </c>
      <c r="AU19" s="74"/>
      <c r="AV19" s="74"/>
      <c r="AW19" s="74"/>
      <c r="AX19" s="74"/>
      <c r="AY19" s="75">
        <f t="shared" si="53"/>
        <v>0</v>
      </c>
      <c r="AZ19" s="74"/>
      <c r="BA19" s="74"/>
      <c r="BB19" s="74"/>
      <c r="BC19" s="74"/>
      <c r="BD19" s="75">
        <f t="shared" si="54"/>
        <v>0</v>
      </c>
      <c r="BE19" s="74"/>
      <c r="BF19" s="74"/>
      <c r="BG19" s="74"/>
      <c r="BH19" s="74"/>
      <c r="BI19" s="75">
        <f t="shared" si="55"/>
        <v>0</v>
      </c>
      <c r="BJ19" s="74"/>
      <c r="BK19" s="74"/>
      <c r="BL19" s="74"/>
      <c r="BM19" s="74"/>
      <c r="BN19" s="75">
        <f t="shared" si="56"/>
        <v>0</v>
      </c>
      <c r="BO19" s="74"/>
      <c r="BP19" s="74"/>
      <c r="BQ19" s="76"/>
      <c r="BR19" s="74"/>
      <c r="BS19" s="75">
        <f t="shared" si="57"/>
        <v>0</v>
      </c>
      <c r="BT19" s="74"/>
      <c r="BU19" s="74"/>
      <c r="BV19" s="76"/>
      <c r="BW19" s="76"/>
      <c r="BX19" s="75"/>
      <c r="BY19" s="74"/>
      <c r="BZ19" s="76"/>
      <c r="CA19" s="76"/>
      <c r="CB19" s="76"/>
      <c r="CC19" s="75"/>
      <c r="CD19" s="76"/>
      <c r="CE19" s="76"/>
      <c r="CF19" s="76"/>
      <c r="CG19" s="76"/>
      <c r="CH19" s="221">
        <f t="shared" si="58"/>
        <v>0</v>
      </c>
      <c r="CI19" s="283">
        <v>0</v>
      </c>
      <c r="CJ19" s="283">
        <v>0</v>
      </c>
      <c r="CK19" s="283">
        <v>0</v>
      </c>
      <c r="CL19" s="283">
        <v>0</v>
      </c>
      <c r="CM19" s="221">
        <f t="shared" si="59"/>
        <v>0</v>
      </c>
      <c r="CN19" s="1215">
        <v>0</v>
      </c>
      <c r="CO19" s="1215">
        <v>0</v>
      </c>
      <c r="CP19" s="1215">
        <v>0</v>
      </c>
      <c r="CQ19" s="1215">
        <v>0</v>
      </c>
      <c r="CR19" s="221">
        <f t="shared" si="60"/>
        <v>0</v>
      </c>
      <c r="CS19" s="1215">
        <v>0</v>
      </c>
      <c r="CT19" s="1215">
        <v>0</v>
      </c>
      <c r="CU19" s="1215">
        <v>0</v>
      </c>
      <c r="CV19" s="1215">
        <v>0</v>
      </c>
      <c r="CW19" s="221">
        <f t="shared" si="61"/>
        <v>0</v>
      </c>
      <c r="CX19" s="1215">
        <v>0</v>
      </c>
      <c r="CY19" s="1215">
        <v>0</v>
      </c>
      <c r="CZ19" s="1215">
        <v>0</v>
      </c>
      <c r="DA19" s="1215">
        <v>0</v>
      </c>
      <c r="DB19" s="221">
        <f t="shared" si="62"/>
        <v>0</v>
      </c>
      <c r="DC19" s="9"/>
      <c r="DD19" s="9"/>
      <c r="DE19" s="9"/>
      <c r="DF19" s="9"/>
      <c r="DG19" s="9"/>
      <c r="DH19" s="9"/>
      <c r="DI19" s="9"/>
      <c r="DJ19" s="9"/>
    </row>
    <row r="20" spans="1:114" s="725" customFormat="1" hidden="1" outlineLevel="1">
      <c r="A20" s="9"/>
      <c r="B20" s="9" t="s">
        <v>170</v>
      </c>
      <c r="C20" s="432"/>
      <c r="D20" s="73"/>
      <c r="E20" s="73"/>
      <c r="F20" s="72"/>
      <c r="G20" s="74"/>
      <c r="H20" s="74"/>
      <c r="I20" s="74"/>
      <c r="J20" s="74"/>
      <c r="K20" s="75">
        <f t="shared" si="45"/>
        <v>0</v>
      </c>
      <c r="L20" s="74"/>
      <c r="M20" s="74"/>
      <c r="N20" s="74"/>
      <c r="O20" s="74"/>
      <c r="P20" s="75">
        <f t="shared" si="46"/>
        <v>0</v>
      </c>
      <c r="Q20" s="74">
        <f>150/4</f>
        <v>37.5</v>
      </c>
      <c r="R20" s="74">
        <f>150/4</f>
        <v>37.5</v>
      </c>
      <c r="S20" s="74">
        <f>150/4</f>
        <v>37.5</v>
      </c>
      <c r="T20" s="74">
        <f>150/4</f>
        <v>37.5</v>
      </c>
      <c r="U20" s="75">
        <f t="shared" si="47"/>
        <v>150</v>
      </c>
      <c r="V20" s="74"/>
      <c r="W20" s="74"/>
      <c r="X20" s="74"/>
      <c r="Y20" s="74"/>
      <c r="Z20" s="75">
        <f t="shared" si="48"/>
        <v>0</v>
      </c>
      <c r="AA20" s="74"/>
      <c r="AB20" s="74"/>
      <c r="AC20" s="74"/>
      <c r="AD20" s="74"/>
      <c r="AE20" s="75">
        <f t="shared" si="49"/>
        <v>0</v>
      </c>
      <c r="AF20" s="74"/>
      <c r="AG20" s="74"/>
      <c r="AH20" s="74"/>
      <c r="AI20" s="74"/>
      <c r="AJ20" s="75">
        <f t="shared" si="50"/>
        <v>0</v>
      </c>
      <c r="AK20" s="74"/>
      <c r="AL20" s="74"/>
      <c r="AM20" s="74"/>
      <c r="AN20" s="74"/>
      <c r="AO20" s="75">
        <f t="shared" si="51"/>
        <v>0</v>
      </c>
      <c r="AP20" s="74"/>
      <c r="AQ20" s="74"/>
      <c r="AR20" s="74"/>
      <c r="AS20" s="74"/>
      <c r="AT20" s="75">
        <f t="shared" si="52"/>
        <v>0</v>
      </c>
      <c r="AU20" s="74"/>
      <c r="AV20" s="74"/>
      <c r="AW20" s="74"/>
      <c r="AX20" s="74"/>
      <c r="AY20" s="75">
        <f t="shared" si="53"/>
        <v>0</v>
      </c>
      <c r="AZ20" s="74"/>
      <c r="BA20" s="74"/>
      <c r="BB20" s="74"/>
      <c r="BC20" s="74"/>
      <c r="BD20" s="75">
        <f t="shared" si="54"/>
        <v>0</v>
      </c>
      <c r="BE20" s="74"/>
      <c r="BF20" s="74"/>
      <c r="BG20" s="74"/>
      <c r="BH20" s="74"/>
      <c r="BI20" s="75">
        <f t="shared" si="55"/>
        <v>0</v>
      </c>
      <c r="BJ20" s="74"/>
      <c r="BK20" s="74"/>
      <c r="BL20" s="74"/>
      <c r="BM20" s="74"/>
      <c r="BN20" s="75">
        <f t="shared" si="56"/>
        <v>0</v>
      </c>
      <c r="BO20" s="74"/>
      <c r="BP20" s="74"/>
      <c r="BQ20" s="76"/>
      <c r="BR20" s="74"/>
      <c r="BS20" s="75">
        <f t="shared" si="57"/>
        <v>0</v>
      </c>
      <c r="BT20" s="74"/>
      <c r="BU20" s="74"/>
      <c r="BV20" s="76"/>
      <c r="BW20" s="76"/>
      <c r="BX20" s="75"/>
      <c r="BY20" s="74"/>
      <c r="BZ20" s="76"/>
      <c r="CA20" s="76"/>
      <c r="CB20" s="76"/>
      <c r="CC20" s="75"/>
      <c r="CD20" s="76"/>
      <c r="CE20" s="76"/>
      <c r="CF20" s="76"/>
      <c r="CG20" s="76"/>
      <c r="CH20" s="221">
        <f t="shared" si="58"/>
        <v>0</v>
      </c>
      <c r="CI20" s="283">
        <v>0</v>
      </c>
      <c r="CJ20" s="283">
        <v>0</v>
      </c>
      <c r="CK20" s="283">
        <v>0</v>
      </c>
      <c r="CL20" s="283">
        <v>0</v>
      </c>
      <c r="CM20" s="221">
        <f t="shared" si="59"/>
        <v>0</v>
      </c>
      <c r="CN20" s="1215">
        <v>0</v>
      </c>
      <c r="CO20" s="1215">
        <v>0</v>
      </c>
      <c r="CP20" s="1215">
        <v>0</v>
      </c>
      <c r="CQ20" s="1215">
        <v>0</v>
      </c>
      <c r="CR20" s="221">
        <f t="shared" si="60"/>
        <v>0</v>
      </c>
      <c r="CS20" s="1215">
        <v>0</v>
      </c>
      <c r="CT20" s="1215">
        <v>0</v>
      </c>
      <c r="CU20" s="1215">
        <v>0</v>
      </c>
      <c r="CV20" s="1215">
        <v>0</v>
      </c>
      <c r="CW20" s="221">
        <f t="shared" si="61"/>
        <v>0</v>
      </c>
      <c r="CX20" s="1215">
        <v>0</v>
      </c>
      <c r="CY20" s="1215">
        <v>0</v>
      </c>
      <c r="CZ20" s="1215">
        <v>0</v>
      </c>
      <c r="DA20" s="1215">
        <v>0</v>
      </c>
      <c r="DB20" s="221">
        <f t="shared" si="62"/>
        <v>0</v>
      </c>
      <c r="DC20" s="9"/>
      <c r="DD20" s="9"/>
      <c r="DE20" s="9"/>
      <c r="DF20" s="9"/>
      <c r="DG20" s="9"/>
      <c r="DH20" s="9"/>
      <c r="DI20" s="9"/>
      <c r="DJ20" s="9"/>
    </row>
    <row r="21" spans="1:114" s="725" customFormat="1" hidden="1" outlineLevel="1">
      <c r="A21" s="9"/>
      <c r="B21" s="9" t="s">
        <v>171</v>
      </c>
      <c r="C21" s="432"/>
      <c r="D21" s="73"/>
      <c r="E21" s="73"/>
      <c r="F21" s="72"/>
      <c r="G21" s="74"/>
      <c r="H21" s="74"/>
      <c r="I21" s="74"/>
      <c r="J21" s="74"/>
      <c r="K21" s="75">
        <f t="shared" si="45"/>
        <v>0</v>
      </c>
      <c r="L21" s="74"/>
      <c r="M21" s="74"/>
      <c r="N21" s="74"/>
      <c r="O21" s="74"/>
      <c r="P21" s="75">
        <f t="shared" si="46"/>
        <v>0</v>
      </c>
      <c r="Q21" s="74"/>
      <c r="R21" s="74"/>
      <c r="S21" s="74">
        <f>100/4</f>
        <v>25</v>
      </c>
      <c r="T21" s="74">
        <f>100/4</f>
        <v>25</v>
      </c>
      <c r="U21" s="75">
        <f t="shared" si="47"/>
        <v>50</v>
      </c>
      <c r="V21" s="74">
        <f>100/4</f>
        <v>25</v>
      </c>
      <c r="W21" s="74">
        <f>100/4</f>
        <v>25</v>
      </c>
      <c r="X21" s="74"/>
      <c r="Y21" s="74"/>
      <c r="Z21" s="75">
        <f t="shared" si="48"/>
        <v>50</v>
      </c>
      <c r="AA21" s="74"/>
      <c r="AB21" s="74"/>
      <c r="AC21" s="74"/>
      <c r="AD21" s="74"/>
      <c r="AE21" s="75">
        <f t="shared" si="49"/>
        <v>0</v>
      </c>
      <c r="AF21" s="74"/>
      <c r="AG21" s="74"/>
      <c r="AH21" s="74"/>
      <c r="AI21" s="74"/>
      <c r="AJ21" s="75">
        <f t="shared" si="50"/>
        <v>0</v>
      </c>
      <c r="AK21" s="74"/>
      <c r="AL21" s="74"/>
      <c r="AM21" s="74"/>
      <c r="AN21" s="74"/>
      <c r="AO21" s="75">
        <f t="shared" si="51"/>
        <v>0</v>
      </c>
      <c r="AP21" s="74"/>
      <c r="AQ21" s="74"/>
      <c r="AR21" s="74"/>
      <c r="AS21" s="74"/>
      <c r="AT21" s="75">
        <f t="shared" si="52"/>
        <v>0</v>
      </c>
      <c r="AU21" s="74"/>
      <c r="AV21" s="74"/>
      <c r="AW21" s="74"/>
      <c r="AX21" s="74"/>
      <c r="AY21" s="75">
        <f t="shared" si="53"/>
        <v>0</v>
      </c>
      <c r="AZ21" s="74"/>
      <c r="BA21" s="74"/>
      <c r="BB21" s="74"/>
      <c r="BC21" s="74"/>
      <c r="BD21" s="75">
        <f t="shared" si="54"/>
        <v>0</v>
      </c>
      <c r="BE21" s="74"/>
      <c r="BF21" s="74"/>
      <c r="BG21" s="74"/>
      <c r="BH21" s="74"/>
      <c r="BI21" s="75">
        <f t="shared" si="55"/>
        <v>0</v>
      </c>
      <c r="BJ21" s="74"/>
      <c r="BK21" s="74"/>
      <c r="BL21" s="74"/>
      <c r="BM21" s="74"/>
      <c r="BN21" s="75">
        <f t="shared" si="56"/>
        <v>0</v>
      </c>
      <c r="BO21" s="74"/>
      <c r="BP21" s="74"/>
      <c r="BQ21" s="76"/>
      <c r="BR21" s="74"/>
      <c r="BS21" s="75">
        <f t="shared" si="57"/>
        <v>0</v>
      </c>
      <c r="BT21" s="74"/>
      <c r="BU21" s="74"/>
      <c r="BV21" s="76"/>
      <c r="BW21" s="76"/>
      <c r="BX21" s="75"/>
      <c r="BY21" s="74"/>
      <c r="BZ21" s="76"/>
      <c r="CA21" s="76"/>
      <c r="CB21" s="76"/>
      <c r="CC21" s="75"/>
      <c r="CD21" s="76"/>
      <c r="CE21" s="76"/>
      <c r="CF21" s="76"/>
      <c r="CG21" s="76"/>
      <c r="CH21" s="221">
        <f t="shared" si="58"/>
        <v>0</v>
      </c>
      <c r="CI21" s="283">
        <v>0</v>
      </c>
      <c r="CJ21" s="283">
        <v>0</v>
      </c>
      <c r="CK21" s="283">
        <v>0</v>
      </c>
      <c r="CL21" s="283">
        <v>0</v>
      </c>
      <c r="CM21" s="221">
        <f t="shared" si="59"/>
        <v>0</v>
      </c>
      <c r="CN21" s="1215">
        <v>0</v>
      </c>
      <c r="CO21" s="1215">
        <v>0</v>
      </c>
      <c r="CP21" s="1215">
        <v>0</v>
      </c>
      <c r="CQ21" s="1215">
        <v>0</v>
      </c>
      <c r="CR21" s="221">
        <f t="shared" si="60"/>
        <v>0</v>
      </c>
      <c r="CS21" s="1215">
        <v>0</v>
      </c>
      <c r="CT21" s="1215">
        <v>0</v>
      </c>
      <c r="CU21" s="1215">
        <v>0</v>
      </c>
      <c r="CV21" s="1215">
        <v>0</v>
      </c>
      <c r="CW21" s="221">
        <f t="shared" si="61"/>
        <v>0</v>
      </c>
      <c r="CX21" s="1215">
        <v>0</v>
      </c>
      <c r="CY21" s="1215">
        <v>0</v>
      </c>
      <c r="CZ21" s="1215">
        <v>0</v>
      </c>
      <c r="DA21" s="1215">
        <v>0</v>
      </c>
      <c r="DB21" s="221">
        <f t="shared" si="62"/>
        <v>0</v>
      </c>
      <c r="DC21" s="9"/>
      <c r="DD21" s="9"/>
      <c r="DE21" s="9"/>
      <c r="DF21" s="9"/>
      <c r="DG21" s="9"/>
      <c r="DH21" s="9"/>
      <c r="DI21" s="9"/>
      <c r="DJ21" s="9"/>
    </row>
    <row r="22" spans="1:114" s="725" customFormat="1" hidden="1" outlineLevel="1">
      <c r="A22" s="9"/>
      <c r="B22" s="9" t="s">
        <v>172</v>
      </c>
      <c r="C22" s="432"/>
      <c r="D22" s="73"/>
      <c r="E22" s="73"/>
      <c r="F22" s="72"/>
      <c r="G22" s="74"/>
      <c r="H22" s="74"/>
      <c r="I22" s="74"/>
      <c r="J22" s="74"/>
      <c r="K22" s="75">
        <f t="shared" si="45"/>
        <v>0</v>
      </c>
      <c r="L22" s="74"/>
      <c r="M22" s="74"/>
      <c r="N22" s="74"/>
      <c r="O22" s="74"/>
      <c r="P22" s="75">
        <f t="shared" si="46"/>
        <v>0</v>
      </c>
      <c r="Q22" s="74"/>
      <c r="R22" s="74"/>
      <c r="S22" s="74"/>
      <c r="T22" s="74"/>
      <c r="U22" s="75">
        <f t="shared" si="47"/>
        <v>0</v>
      </c>
      <c r="V22" s="74"/>
      <c r="W22" s="74"/>
      <c r="X22" s="74"/>
      <c r="Y22" s="74"/>
      <c r="Z22" s="75">
        <f t="shared" si="48"/>
        <v>0</v>
      </c>
      <c r="AA22" s="74"/>
      <c r="AB22" s="74"/>
      <c r="AC22" s="74"/>
      <c r="AD22" s="74"/>
      <c r="AE22" s="75">
        <f t="shared" si="49"/>
        <v>0</v>
      </c>
      <c r="AF22" s="74"/>
      <c r="AG22" s="74"/>
      <c r="AH22" s="74"/>
      <c r="AI22" s="74"/>
      <c r="AJ22" s="75">
        <f t="shared" si="50"/>
        <v>0</v>
      </c>
      <c r="AK22" s="74"/>
      <c r="AL22" s="74"/>
      <c r="AM22" s="74"/>
      <c r="AN22" s="74"/>
      <c r="AO22" s="75">
        <f t="shared" si="51"/>
        <v>0</v>
      </c>
      <c r="AP22" s="74"/>
      <c r="AQ22" s="74"/>
      <c r="AR22" s="74"/>
      <c r="AS22" s="74"/>
      <c r="AT22" s="75">
        <f t="shared" si="52"/>
        <v>0</v>
      </c>
      <c r="AU22" s="74"/>
      <c r="AV22" s="74"/>
      <c r="AW22" s="74"/>
      <c r="AX22" s="74"/>
      <c r="AY22" s="75">
        <f t="shared" si="53"/>
        <v>0</v>
      </c>
      <c r="AZ22" s="74"/>
      <c r="BA22" s="74"/>
      <c r="BB22" s="74"/>
      <c r="BC22" s="74"/>
      <c r="BD22" s="75">
        <f t="shared" si="54"/>
        <v>0</v>
      </c>
      <c r="BE22" s="74"/>
      <c r="BF22" s="74"/>
      <c r="BG22" s="74"/>
      <c r="BH22" s="74"/>
      <c r="BI22" s="75">
        <f t="shared" si="55"/>
        <v>0</v>
      </c>
      <c r="BJ22" s="74"/>
      <c r="BK22" s="74"/>
      <c r="BL22" s="74"/>
      <c r="BM22" s="74"/>
      <c r="BN22" s="75">
        <f t="shared" si="56"/>
        <v>0</v>
      </c>
      <c r="BO22" s="74"/>
      <c r="BP22" s="74"/>
      <c r="BQ22" s="76"/>
      <c r="BR22" s="74"/>
      <c r="BS22" s="75">
        <f t="shared" si="57"/>
        <v>0</v>
      </c>
      <c r="BT22" s="74"/>
      <c r="BU22" s="74"/>
      <c r="BV22" s="76"/>
      <c r="BW22" s="76"/>
      <c r="BX22" s="75"/>
      <c r="BY22" s="74"/>
      <c r="BZ22" s="76"/>
      <c r="CA22" s="76"/>
      <c r="CB22" s="76"/>
      <c r="CC22" s="75"/>
      <c r="CD22" s="76"/>
      <c r="CE22" s="76"/>
      <c r="CF22" s="76"/>
      <c r="CG22" s="76"/>
      <c r="CH22" s="221">
        <f t="shared" si="58"/>
        <v>0</v>
      </c>
      <c r="CI22" s="283">
        <v>0</v>
      </c>
      <c r="CJ22" s="283">
        <v>0</v>
      </c>
      <c r="CK22" s="283">
        <v>0</v>
      </c>
      <c r="CL22" s="283">
        <v>0</v>
      </c>
      <c r="CM22" s="221">
        <f t="shared" si="59"/>
        <v>0</v>
      </c>
      <c r="CN22" s="1215">
        <v>0</v>
      </c>
      <c r="CO22" s="1215">
        <v>0</v>
      </c>
      <c r="CP22" s="1215">
        <v>0</v>
      </c>
      <c r="CQ22" s="1215">
        <v>0</v>
      </c>
      <c r="CR22" s="221">
        <f t="shared" si="60"/>
        <v>0</v>
      </c>
      <c r="CS22" s="1215">
        <v>0</v>
      </c>
      <c r="CT22" s="1215">
        <v>0</v>
      </c>
      <c r="CU22" s="1215">
        <v>0</v>
      </c>
      <c r="CV22" s="1215">
        <v>0</v>
      </c>
      <c r="CW22" s="221">
        <f t="shared" si="61"/>
        <v>0</v>
      </c>
      <c r="CX22" s="1215">
        <v>0</v>
      </c>
      <c r="CY22" s="1215">
        <v>0</v>
      </c>
      <c r="CZ22" s="1215">
        <v>0</v>
      </c>
      <c r="DA22" s="1215">
        <v>0</v>
      </c>
      <c r="DB22" s="221">
        <f t="shared" si="62"/>
        <v>0</v>
      </c>
      <c r="DC22" s="9"/>
      <c r="DD22" s="9"/>
      <c r="DE22" s="9"/>
      <c r="DF22" s="9"/>
      <c r="DG22" s="9"/>
      <c r="DH22" s="9"/>
      <c r="DI22" s="9"/>
      <c r="DJ22" s="9"/>
    </row>
    <row r="23" spans="1:114" s="725" customFormat="1" hidden="1" outlineLevel="1">
      <c r="A23" s="9"/>
      <c r="B23" s="9" t="s">
        <v>40</v>
      </c>
      <c r="C23" s="432"/>
      <c r="D23" s="73"/>
      <c r="E23" s="73"/>
      <c r="F23" s="72"/>
      <c r="G23" s="74"/>
      <c r="H23" s="74"/>
      <c r="I23" s="74"/>
      <c r="J23" s="74"/>
      <c r="K23" s="75">
        <f t="shared" si="45"/>
        <v>0</v>
      </c>
      <c r="L23" s="74"/>
      <c r="M23" s="74"/>
      <c r="N23" s="74"/>
      <c r="O23" s="74"/>
      <c r="P23" s="75">
        <f t="shared" si="46"/>
        <v>0</v>
      </c>
      <c r="Q23" s="74"/>
      <c r="R23" s="74"/>
      <c r="S23" s="74"/>
      <c r="T23" s="74"/>
      <c r="U23" s="75">
        <f t="shared" si="47"/>
        <v>0</v>
      </c>
      <c r="V23" s="74"/>
      <c r="W23" s="74"/>
      <c r="X23" s="74"/>
      <c r="Y23" s="74"/>
      <c r="Z23" s="75">
        <f t="shared" si="48"/>
        <v>0</v>
      </c>
      <c r="AA23" s="74"/>
      <c r="AB23" s="74"/>
      <c r="AC23" s="74"/>
      <c r="AD23" s="74"/>
      <c r="AE23" s="75">
        <f t="shared" si="49"/>
        <v>0</v>
      </c>
      <c r="AF23" s="74"/>
      <c r="AG23" s="74"/>
      <c r="AH23" s="74"/>
      <c r="AI23" s="74"/>
      <c r="AJ23" s="75">
        <f t="shared" si="50"/>
        <v>0</v>
      </c>
      <c r="AK23" s="74"/>
      <c r="AL23" s="74"/>
      <c r="AM23" s="74"/>
      <c r="AN23" s="74"/>
      <c r="AO23" s="75">
        <f t="shared" si="51"/>
        <v>0</v>
      </c>
      <c r="AP23" s="74"/>
      <c r="AQ23" s="74"/>
      <c r="AR23" s="74"/>
      <c r="AS23" s="74"/>
      <c r="AT23" s="75">
        <f t="shared" si="52"/>
        <v>0</v>
      </c>
      <c r="AU23" s="74"/>
      <c r="AV23" s="74"/>
      <c r="AW23" s="74"/>
      <c r="AX23" s="74"/>
      <c r="AY23" s="75">
        <f t="shared" si="53"/>
        <v>0</v>
      </c>
      <c r="AZ23" s="74"/>
      <c r="BA23" s="74"/>
      <c r="BB23" s="74"/>
      <c r="BC23" s="74"/>
      <c r="BD23" s="75">
        <f t="shared" si="54"/>
        <v>0</v>
      </c>
      <c r="BE23" s="74"/>
      <c r="BF23" s="74"/>
      <c r="BG23" s="74"/>
      <c r="BH23" s="74"/>
      <c r="BI23" s="75">
        <f t="shared" si="55"/>
        <v>0</v>
      </c>
      <c r="BJ23" s="74"/>
      <c r="BK23" s="74"/>
      <c r="BL23" s="74"/>
      <c r="BM23" s="74"/>
      <c r="BN23" s="75">
        <f t="shared" si="56"/>
        <v>0</v>
      </c>
      <c r="BO23" s="74"/>
      <c r="BP23" s="74"/>
      <c r="BQ23" s="76"/>
      <c r="BR23" s="74"/>
      <c r="BS23" s="75">
        <f t="shared" si="57"/>
        <v>0</v>
      </c>
      <c r="BT23" s="74"/>
      <c r="BU23" s="74"/>
      <c r="BV23" s="76"/>
      <c r="BW23" s="76"/>
      <c r="BX23" s="75"/>
      <c r="BY23" s="74"/>
      <c r="BZ23" s="76"/>
      <c r="CA23" s="76"/>
      <c r="CB23" s="76"/>
      <c r="CC23" s="75"/>
      <c r="CD23" s="76"/>
      <c r="CE23" s="76"/>
      <c r="CF23" s="76"/>
      <c r="CG23" s="76"/>
      <c r="CH23" s="221">
        <f t="shared" si="58"/>
        <v>0</v>
      </c>
      <c r="CI23" s="283">
        <v>0</v>
      </c>
      <c r="CJ23" s="283">
        <v>0</v>
      </c>
      <c r="CK23" s="283">
        <v>0</v>
      </c>
      <c r="CL23" s="283">
        <v>0</v>
      </c>
      <c r="CM23" s="221">
        <f t="shared" si="59"/>
        <v>0</v>
      </c>
      <c r="CN23" s="1215">
        <v>0</v>
      </c>
      <c r="CO23" s="1215">
        <v>0</v>
      </c>
      <c r="CP23" s="1215">
        <v>0</v>
      </c>
      <c r="CQ23" s="1215">
        <v>0</v>
      </c>
      <c r="CR23" s="221">
        <f t="shared" si="60"/>
        <v>0</v>
      </c>
      <c r="CS23" s="1215">
        <v>0</v>
      </c>
      <c r="CT23" s="1215">
        <v>0</v>
      </c>
      <c r="CU23" s="1215">
        <v>0</v>
      </c>
      <c r="CV23" s="1215">
        <v>0</v>
      </c>
      <c r="CW23" s="221">
        <f t="shared" si="61"/>
        <v>0</v>
      </c>
      <c r="CX23" s="1215">
        <v>0</v>
      </c>
      <c r="CY23" s="1215">
        <v>0</v>
      </c>
      <c r="CZ23" s="1215">
        <v>0</v>
      </c>
      <c r="DA23" s="1215">
        <v>0</v>
      </c>
      <c r="DB23" s="221">
        <f t="shared" si="62"/>
        <v>0</v>
      </c>
      <c r="DC23" s="9"/>
      <c r="DD23" s="9"/>
      <c r="DE23" s="9"/>
      <c r="DF23" s="9"/>
      <c r="DG23" s="9"/>
      <c r="DH23" s="9"/>
      <c r="DI23" s="9"/>
      <c r="DJ23" s="9"/>
    </row>
    <row r="24" spans="1:114" s="725" customFormat="1" hidden="1" outlineLevel="1">
      <c r="A24" s="9"/>
      <c r="B24" s="9" t="s">
        <v>173</v>
      </c>
      <c r="C24" s="432"/>
      <c r="D24" s="73"/>
      <c r="E24" s="73"/>
      <c r="F24" s="72"/>
      <c r="G24" s="74"/>
      <c r="H24" s="74"/>
      <c r="I24" s="74"/>
      <c r="J24" s="74"/>
      <c r="K24" s="75">
        <f t="shared" si="45"/>
        <v>0</v>
      </c>
      <c r="L24" s="74"/>
      <c r="M24" s="74"/>
      <c r="N24" s="74"/>
      <c r="O24" s="74"/>
      <c r="P24" s="75">
        <f t="shared" si="46"/>
        <v>0</v>
      </c>
      <c r="Q24" s="74"/>
      <c r="R24" s="74"/>
      <c r="S24" s="74"/>
      <c r="T24" s="74"/>
      <c r="U24" s="75">
        <f t="shared" si="47"/>
        <v>0</v>
      </c>
      <c r="V24" s="74"/>
      <c r="W24" s="74"/>
      <c r="X24" s="74"/>
      <c r="Y24" s="74"/>
      <c r="Z24" s="75">
        <f t="shared" si="48"/>
        <v>0</v>
      </c>
      <c r="AA24" s="74"/>
      <c r="AB24" s="74"/>
      <c r="AC24" s="74"/>
      <c r="AD24" s="74"/>
      <c r="AE24" s="75">
        <f t="shared" si="49"/>
        <v>0</v>
      </c>
      <c r="AF24" s="74"/>
      <c r="AG24" s="74"/>
      <c r="AH24" s="74"/>
      <c r="AI24" s="74"/>
      <c r="AJ24" s="75">
        <f t="shared" si="50"/>
        <v>0</v>
      </c>
      <c r="AK24" s="74"/>
      <c r="AL24" s="74"/>
      <c r="AM24" s="74"/>
      <c r="AN24" s="74"/>
      <c r="AO24" s="75">
        <f t="shared" si="51"/>
        <v>0</v>
      </c>
      <c r="AP24" s="74"/>
      <c r="AQ24" s="74"/>
      <c r="AR24" s="74"/>
      <c r="AS24" s="74"/>
      <c r="AT24" s="75">
        <f t="shared" si="52"/>
        <v>0</v>
      </c>
      <c r="AU24" s="74"/>
      <c r="AV24" s="74"/>
      <c r="AW24" s="74"/>
      <c r="AX24" s="74"/>
      <c r="AY24" s="75">
        <f t="shared" si="53"/>
        <v>0</v>
      </c>
      <c r="AZ24" s="74"/>
      <c r="BA24" s="74"/>
      <c r="BB24" s="74"/>
      <c r="BC24" s="74"/>
      <c r="BD24" s="75">
        <f t="shared" si="54"/>
        <v>0</v>
      </c>
      <c r="BE24" s="74"/>
      <c r="BF24" s="74"/>
      <c r="BG24" s="74"/>
      <c r="BH24" s="74"/>
      <c r="BI24" s="75">
        <f t="shared" si="55"/>
        <v>0</v>
      </c>
      <c r="BJ24" s="74"/>
      <c r="BK24" s="74"/>
      <c r="BL24" s="74"/>
      <c r="BM24" s="74"/>
      <c r="BN24" s="75">
        <f t="shared" si="56"/>
        <v>0</v>
      </c>
      <c r="BO24" s="74"/>
      <c r="BP24" s="74"/>
      <c r="BQ24" s="76"/>
      <c r="BR24" s="74"/>
      <c r="BS24" s="75">
        <f t="shared" si="57"/>
        <v>0</v>
      </c>
      <c r="BT24" s="74"/>
      <c r="BU24" s="74"/>
      <c r="BV24" s="76"/>
      <c r="BW24" s="76"/>
      <c r="BX24" s="75"/>
      <c r="BY24" s="74"/>
      <c r="BZ24" s="76"/>
      <c r="CA24" s="76"/>
      <c r="CB24" s="76"/>
      <c r="CC24" s="75"/>
      <c r="CD24" s="76"/>
      <c r="CE24" s="76"/>
      <c r="CF24" s="76"/>
      <c r="CG24" s="76"/>
      <c r="CH24" s="221">
        <f t="shared" si="58"/>
        <v>0</v>
      </c>
      <c r="CI24" s="283">
        <v>0</v>
      </c>
      <c r="CJ24" s="283">
        <v>0</v>
      </c>
      <c r="CK24" s="283">
        <v>0</v>
      </c>
      <c r="CL24" s="283">
        <v>0</v>
      </c>
      <c r="CM24" s="221">
        <f t="shared" si="59"/>
        <v>0</v>
      </c>
      <c r="CN24" s="1215">
        <v>0</v>
      </c>
      <c r="CO24" s="1215">
        <v>0</v>
      </c>
      <c r="CP24" s="1215">
        <v>0</v>
      </c>
      <c r="CQ24" s="1215">
        <v>0</v>
      </c>
      <c r="CR24" s="221">
        <f t="shared" si="60"/>
        <v>0</v>
      </c>
      <c r="CS24" s="1215">
        <v>0</v>
      </c>
      <c r="CT24" s="1215">
        <v>0</v>
      </c>
      <c r="CU24" s="1215">
        <v>0</v>
      </c>
      <c r="CV24" s="1215">
        <v>0</v>
      </c>
      <c r="CW24" s="221">
        <f t="shared" si="61"/>
        <v>0</v>
      </c>
      <c r="CX24" s="1215">
        <v>0</v>
      </c>
      <c r="CY24" s="1215">
        <v>0</v>
      </c>
      <c r="CZ24" s="1215">
        <v>0</v>
      </c>
      <c r="DA24" s="1215">
        <v>0</v>
      </c>
      <c r="DB24" s="221">
        <f t="shared" si="62"/>
        <v>0</v>
      </c>
      <c r="DC24" s="9"/>
      <c r="DD24" s="9"/>
      <c r="DE24" s="9"/>
      <c r="DF24" s="9"/>
      <c r="DG24" s="9"/>
      <c r="DH24" s="9"/>
      <c r="DI24" s="9"/>
      <c r="DJ24" s="9"/>
    </row>
    <row r="25" spans="1:114" s="725" customFormat="1" hidden="1" outlineLevel="1">
      <c r="A25" s="9"/>
      <c r="B25" s="9" t="s">
        <v>51</v>
      </c>
      <c r="C25" s="432"/>
      <c r="D25" s="73"/>
      <c r="E25" s="73"/>
      <c r="F25" s="72"/>
      <c r="G25" s="74"/>
      <c r="H25" s="74"/>
      <c r="I25" s="74"/>
      <c r="J25" s="74"/>
      <c r="K25" s="75">
        <f t="shared" si="45"/>
        <v>0</v>
      </c>
      <c r="L25" s="74"/>
      <c r="M25" s="74"/>
      <c r="N25" s="74"/>
      <c r="O25" s="74"/>
      <c r="P25" s="75">
        <f t="shared" si="46"/>
        <v>0</v>
      </c>
      <c r="Q25" s="74"/>
      <c r="R25" s="74"/>
      <c r="S25" s="74"/>
      <c r="T25" s="74"/>
      <c r="U25" s="75">
        <f t="shared" si="47"/>
        <v>0</v>
      </c>
      <c r="V25" s="74"/>
      <c r="W25" s="74"/>
      <c r="X25" s="74">
        <f>50/4</f>
        <v>12.5</v>
      </c>
      <c r="Y25" s="74">
        <f>50/4</f>
        <v>12.5</v>
      </c>
      <c r="Z25" s="75">
        <f t="shared" si="48"/>
        <v>25</v>
      </c>
      <c r="AA25" s="74">
        <f>50/4</f>
        <v>12.5</v>
      </c>
      <c r="AB25" s="74">
        <f>50/4</f>
        <v>12.5</v>
      </c>
      <c r="AC25" s="74"/>
      <c r="AD25" s="74"/>
      <c r="AE25" s="75">
        <f t="shared" si="49"/>
        <v>25</v>
      </c>
      <c r="AF25" s="74"/>
      <c r="AG25" s="74"/>
      <c r="AH25" s="74"/>
      <c r="AI25" s="74"/>
      <c r="AJ25" s="75">
        <f t="shared" si="50"/>
        <v>0</v>
      </c>
      <c r="AK25" s="74"/>
      <c r="AL25" s="74"/>
      <c r="AM25" s="74"/>
      <c r="AN25" s="74"/>
      <c r="AO25" s="75">
        <f t="shared" si="51"/>
        <v>0</v>
      </c>
      <c r="AP25" s="74"/>
      <c r="AQ25" s="74"/>
      <c r="AR25" s="74"/>
      <c r="AS25" s="74"/>
      <c r="AT25" s="75">
        <f t="shared" si="52"/>
        <v>0</v>
      </c>
      <c r="AU25" s="74"/>
      <c r="AV25" s="74"/>
      <c r="AW25" s="74"/>
      <c r="AX25" s="74"/>
      <c r="AY25" s="75">
        <f t="shared" si="53"/>
        <v>0</v>
      </c>
      <c r="AZ25" s="74"/>
      <c r="BA25" s="74"/>
      <c r="BB25" s="74"/>
      <c r="BC25" s="74"/>
      <c r="BD25" s="75">
        <f t="shared" si="54"/>
        <v>0</v>
      </c>
      <c r="BE25" s="74"/>
      <c r="BF25" s="74"/>
      <c r="BG25" s="74"/>
      <c r="BH25" s="74"/>
      <c r="BI25" s="75">
        <f t="shared" si="55"/>
        <v>0</v>
      </c>
      <c r="BJ25" s="74"/>
      <c r="BK25" s="74"/>
      <c r="BL25" s="74"/>
      <c r="BM25" s="74"/>
      <c r="BN25" s="75">
        <f t="shared" si="56"/>
        <v>0</v>
      </c>
      <c r="BO25" s="74"/>
      <c r="BP25" s="74"/>
      <c r="BQ25" s="76"/>
      <c r="BR25" s="74"/>
      <c r="BS25" s="75">
        <f t="shared" si="57"/>
        <v>0</v>
      </c>
      <c r="BT25" s="74"/>
      <c r="BU25" s="74"/>
      <c r="BV25" s="76"/>
      <c r="BW25" s="76"/>
      <c r="BX25" s="75"/>
      <c r="BY25" s="74"/>
      <c r="BZ25" s="76"/>
      <c r="CA25" s="76"/>
      <c r="CB25" s="76"/>
      <c r="CC25" s="75"/>
      <c r="CD25" s="76"/>
      <c r="CE25" s="76"/>
      <c r="CF25" s="76"/>
      <c r="CG25" s="76"/>
      <c r="CH25" s="221">
        <f t="shared" si="58"/>
        <v>0</v>
      </c>
      <c r="CI25" s="283">
        <v>0</v>
      </c>
      <c r="CJ25" s="283">
        <v>0</v>
      </c>
      <c r="CK25" s="283">
        <v>0</v>
      </c>
      <c r="CL25" s="283">
        <v>0</v>
      </c>
      <c r="CM25" s="221">
        <f t="shared" si="59"/>
        <v>0</v>
      </c>
      <c r="CN25" s="1215">
        <v>0</v>
      </c>
      <c r="CO25" s="1215">
        <v>0</v>
      </c>
      <c r="CP25" s="1215">
        <v>0</v>
      </c>
      <c r="CQ25" s="1215">
        <v>0</v>
      </c>
      <c r="CR25" s="221">
        <f t="shared" si="60"/>
        <v>0</v>
      </c>
      <c r="CS25" s="1215">
        <v>0</v>
      </c>
      <c r="CT25" s="1215">
        <v>0</v>
      </c>
      <c r="CU25" s="1215">
        <v>0</v>
      </c>
      <c r="CV25" s="1215">
        <v>0</v>
      </c>
      <c r="CW25" s="221">
        <f t="shared" si="61"/>
        <v>0</v>
      </c>
      <c r="CX25" s="1215">
        <v>0</v>
      </c>
      <c r="CY25" s="1215">
        <v>0</v>
      </c>
      <c r="CZ25" s="1215">
        <v>0</v>
      </c>
      <c r="DA25" s="1215">
        <v>0</v>
      </c>
      <c r="DB25" s="221">
        <f t="shared" si="62"/>
        <v>0</v>
      </c>
      <c r="DC25" s="9"/>
      <c r="DD25" s="9"/>
      <c r="DE25" s="9"/>
      <c r="DF25" s="9"/>
      <c r="DG25" s="9"/>
      <c r="DH25" s="9"/>
      <c r="DI25" s="9"/>
      <c r="DJ25" s="9"/>
    </row>
    <row r="26" spans="1:114" s="725" customFormat="1" hidden="1" outlineLevel="1">
      <c r="A26" s="9"/>
      <c r="B26" s="9" t="s">
        <v>174</v>
      </c>
      <c r="C26" s="432"/>
      <c r="D26" s="73"/>
      <c r="E26" s="73"/>
      <c r="F26" s="72"/>
      <c r="G26" s="74"/>
      <c r="H26" s="74"/>
      <c r="I26" s="74"/>
      <c r="J26" s="74"/>
      <c r="K26" s="75">
        <f t="shared" si="45"/>
        <v>0</v>
      </c>
      <c r="L26" s="74"/>
      <c r="M26" s="74"/>
      <c r="N26" s="74"/>
      <c r="O26" s="74"/>
      <c r="P26" s="75">
        <f t="shared" si="46"/>
        <v>0</v>
      </c>
      <c r="Q26" s="74"/>
      <c r="R26" s="74"/>
      <c r="S26" s="74"/>
      <c r="T26" s="74"/>
      <c r="U26" s="75">
        <f t="shared" si="47"/>
        <v>0</v>
      </c>
      <c r="V26" s="74"/>
      <c r="W26" s="74"/>
      <c r="X26" s="74">
        <f>2/3*100/4</f>
        <v>16.666666666666664</v>
      </c>
      <c r="Y26" s="74">
        <f>100/4</f>
        <v>25</v>
      </c>
      <c r="Z26" s="75">
        <f t="shared" si="48"/>
        <v>41.666666666666664</v>
      </c>
      <c r="AA26" s="74">
        <f>100/4</f>
        <v>25</v>
      </c>
      <c r="AB26" s="74">
        <f>100/4</f>
        <v>25</v>
      </c>
      <c r="AC26" s="74">
        <f>1/3*100/4</f>
        <v>8.3333333333333321</v>
      </c>
      <c r="AD26" s="74"/>
      <c r="AE26" s="75">
        <f t="shared" si="49"/>
        <v>58.333333333333329</v>
      </c>
      <c r="AF26" s="74"/>
      <c r="AG26" s="74"/>
      <c r="AH26" s="74"/>
      <c r="AI26" s="74"/>
      <c r="AJ26" s="75">
        <f t="shared" si="50"/>
        <v>0</v>
      </c>
      <c r="AK26" s="74"/>
      <c r="AL26" s="74"/>
      <c r="AM26" s="74"/>
      <c r="AN26" s="74"/>
      <c r="AO26" s="75">
        <f t="shared" si="51"/>
        <v>0</v>
      </c>
      <c r="AP26" s="74"/>
      <c r="AQ26" s="74"/>
      <c r="AR26" s="74"/>
      <c r="AS26" s="74"/>
      <c r="AT26" s="75">
        <f t="shared" si="52"/>
        <v>0</v>
      </c>
      <c r="AU26" s="74"/>
      <c r="AV26" s="74"/>
      <c r="AW26" s="74"/>
      <c r="AX26" s="74"/>
      <c r="AY26" s="75">
        <f t="shared" si="53"/>
        <v>0</v>
      </c>
      <c r="AZ26" s="74"/>
      <c r="BA26" s="74"/>
      <c r="BB26" s="74"/>
      <c r="BC26" s="74"/>
      <c r="BD26" s="75">
        <f t="shared" si="54"/>
        <v>0</v>
      </c>
      <c r="BE26" s="74"/>
      <c r="BF26" s="74"/>
      <c r="BG26" s="74"/>
      <c r="BH26" s="74"/>
      <c r="BI26" s="75">
        <f t="shared" si="55"/>
        <v>0</v>
      </c>
      <c r="BJ26" s="74"/>
      <c r="BK26" s="74"/>
      <c r="BL26" s="74"/>
      <c r="BM26" s="74"/>
      <c r="BN26" s="75">
        <f t="shared" si="56"/>
        <v>0</v>
      </c>
      <c r="BO26" s="74"/>
      <c r="BP26" s="74"/>
      <c r="BQ26" s="76"/>
      <c r="BR26" s="74"/>
      <c r="BS26" s="75">
        <f t="shared" si="57"/>
        <v>0</v>
      </c>
      <c r="BT26" s="74"/>
      <c r="BU26" s="74"/>
      <c r="BV26" s="76"/>
      <c r="BW26" s="76"/>
      <c r="BX26" s="75"/>
      <c r="BY26" s="74"/>
      <c r="BZ26" s="76"/>
      <c r="CA26" s="76"/>
      <c r="CB26" s="76"/>
      <c r="CC26" s="75"/>
      <c r="CD26" s="76"/>
      <c r="CE26" s="76"/>
      <c r="CF26" s="76"/>
      <c r="CG26" s="76"/>
      <c r="CH26" s="221">
        <f t="shared" si="58"/>
        <v>0</v>
      </c>
      <c r="CI26" s="283">
        <v>0</v>
      </c>
      <c r="CJ26" s="283">
        <v>0</v>
      </c>
      <c r="CK26" s="283">
        <v>0</v>
      </c>
      <c r="CL26" s="283">
        <v>0</v>
      </c>
      <c r="CM26" s="221">
        <f t="shared" si="59"/>
        <v>0</v>
      </c>
      <c r="CN26" s="1215">
        <v>0</v>
      </c>
      <c r="CO26" s="1215">
        <v>0</v>
      </c>
      <c r="CP26" s="1215">
        <v>0</v>
      </c>
      <c r="CQ26" s="1215">
        <v>0</v>
      </c>
      <c r="CR26" s="221">
        <f t="shared" si="60"/>
        <v>0</v>
      </c>
      <c r="CS26" s="1215">
        <v>0</v>
      </c>
      <c r="CT26" s="1215">
        <v>0</v>
      </c>
      <c r="CU26" s="1215">
        <v>0</v>
      </c>
      <c r="CV26" s="1215">
        <v>0</v>
      </c>
      <c r="CW26" s="221">
        <f t="shared" si="61"/>
        <v>0</v>
      </c>
      <c r="CX26" s="1215">
        <v>0</v>
      </c>
      <c r="CY26" s="1215">
        <v>0</v>
      </c>
      <c r="CZ26" s="1215">
        <v>0</v>
      </c>
      <c r="DA26" s="1215">
        <v>0</v>
      </c>
      <c r="DB26" s="221">
        <f t="shared" si="62"/>
        <v>0</v>
      </c>
      <c r="DC26" s="9"/>
      <c r="DD26" s="9"/>
      <c r="DE26" s="9"/>
      <c r="DF26" s="9"/>
      <c r="DG26" s="9"/>
      <c r="DH26" s="9"/>
      <c r="DI26" s="9"/>
      <c r="DJ26" s="9"/>
    </row>
    <row r="27" spans="1:114" s="725" customFormat="1" hidden="1" outlineLevel="1">
      <c r="A27" s="9"/>
      <c r="B27" s="9" t="s">
        <v>414</v>
      </c>
      <c r="C27" s="432"/>
      <c r="D27" s="73"/>
      <c r="E27" s="73"/>
      <c r="F27" s="72"/>
      <c r="G27" s="74"/>
      <c r="H27" s="74"/>
      <c r="I27" s="74"/>
      <c r="J27" s="74"/>
      <c r="K27" s="75">
        <f t="shared" si="45"/>
        <v>0</v>
      </c>
      <c r="L27" s="74"/>
      <c r="M27" s="74"/>
      <c r="N27" s="74"/>
      <c r="O27" s="74"/>
      <c r="P27" s="75">
        <f t="shared" si="46"/>
        <v>0</v>
      </c>
      <c r="Q27" s="74"/>
      <c r="R27" s="74"/>
      <c r="S27" s="74"/>
      <c r="T27" s="74"/>
      <c r="U27" s="75">
        <f t="shared" si="47"/>
        <v>0</v>
      </c>
      <c r="V27" s="74"/>
      <c r="W27" s="74"/>
      <c r="X27" s="74"/>
      <c r="Y27" s="74"/>
      <c r="Z27" s="75">
        <f t="shared" si="48"/>
        <v>0</v>
      </c>
      <c r="AA27" s="74"/>
      <c r="AB27" s="74"/>
      <c r="AC27" s="74"/>
      <c r="AD27" s="74"/>
      <c r="AE27" s="75">
        <f>SUM(AA27:AD27)</f>
        <v>0</v>
      </c>
      <c r="AF27" s="74"/>
      <c r="AG27" s="74"/>
      <c r="AH27" s="74"/>
      <c r="AI27" s="74"/>
      <c r="AJ27" s="75">
        <f>SUM(AF27:AI27)</f>
        <v>0</v>
      </c>
      <c r="AK27" s="74"/>
      <c r="AL27" s="74"/>
      <c r="AM27" s="74"/>
      <c r="AN27" s="74"/>
      <c r="AO27" s="75">
        <f>SUM(AK27:AN27)</f>
        <v>0</v>
      </c>
      <c r="AP27" s="74"/>
      <c r="AQ27" s="74"/>
      <c r="AR27" s="74"/>
      <c r="AS27" s="74"/>
      <c r="AT27" s="75">
        <f>SUM(AP27:AS27)</f>
        <v>0</v>
      </c>
      <c r="AU27" s="74"/>
      <c r="AV27" s="74"/>
      <c r="AW27" s="74"/>
      <c r="AX27" s="74"/>
      <c r="AY27" s="75">
        <f>SUM(AU27:AX27)</f>
        <v>0</v>
      </c>
      <c r="AZ27" s="74"/>
      <c r="BA27" s="74"/>
      <c r="BB27" s="74"/>
      <c r="BC27" s="74"/>
      <c r="BD27" s="75">
        <f>SUM(AZ27:BC27)</f>
        <v>0</v>
      </c>
      <c r="BE27" s="74"/>
      <c r="BF27" s="74"/>
      <c r="BG27" s="74"/>
      <c r="BH27" s="74"/>
      <c r="BI27" s="75">
        <f>SUM(BE27:BH27)</f>
        <v>0</v>
      </c>
      <c r="BJ27" s="74"/>
      <c r="BK27" s="74"/>
      <c r="BL27" s="74">
        <f>115/4</f>
        <v>28.75</v>
      </c>
      <c r="BM27" s="74">
        <f>115/4</f>
        <v>28.75</v>
      </c>
      <c r="BN27" s="75">
        <f>SUM(BJ27:BM27)</f>
        <v>57.5</v>
      </c>
      <c r="BO27" s="74">
        <f>115/4</f>
        <v>28.75</v>
      </c>
      <c r="BP27" s="74">
        <v>23</v>
      </c>
      <c r="BQ27" s="76"/>
      <c r="BR27" s="74"/>
      <c r="BS27" s="75">
        <f>SUM(BO27:BR27)</f>
        <v>51.75</v>
      </c>
      <c r="BT27" s="74"/>
      <c r="BU27" s="74"/>
      <c r="BV27" s="76"/>
      <c r="BW27" s="76"/>
      <c r="BX27" s="75"/>
      <c r="BY27" s="74"/>
      <c r="BZ27" s="76"/>
      <c r="CA27" s="76"/>
      <c r="CB27" s="76"/>
      <c r="CC27" s="75"/>
      <c r="CD27" s="76"/>
      <c r="CE27" s="76"/>
      <c r="CF27" s="76"/>
      <c r="CG27" s="76"/>
      <c r="CH27" s="221">
        <f t="shared" si="58"/>
        <v>0</v>
      </c>
      <c r="CI27" s="283">
        <v>0</v>
      </c>
      <c r="CJ27" s="283">
        <v>0</v>
      </c>
      <c r="CK27" s="283">
        <v>0</v>
      </c>
      <c r="CL27" s="283">
        <v>0</v>
      </c>
      <c r="CM27" s="221">
        <f t="shared" si="59"/>
        <v>0</v>
      </c>
      <c r="CN27" s="1215">
        <v>0</v>
      </c>
      <c r="CO27" s="1215">
        <v>0</v>
      </c>
      <c r="CP27" s="1215">
        <v>0</v>
      </c>
      <c r="CQ27" s="1215">
        <v>0</v>
      </c>
      <c r="CR27" s="221">
        <f t="shared" si="60"/>
        <v>0</v>
      </c>
      <c r="CS27" s="1215">
        <v>0</v>
      </c>
      <c r="CT27" s="1215">
        <v>0</v>
      </c>
      <c r="CU27" s="1215">
        <v>0</v>
      </c>
      <c r="CV27" s="1215">
        <v>0</v>
      </c>
      <c r="CW27" s="221">
        <f t="shared" si="61"/>
        <v>0</v>
      </c>
      <c r="CX27" s="1215">
        <v>0</v>
      </c>
      <c r="CY27" s="1215">
        <v>0</v>
      </c>
      <c r="CZ27" s="1215">
        <v>0</v>
      </c>
      <c r="DA27" s="1215">
        <v>0</v>
      </c>
      <c r="DB27" s="221">
        <f t="shared" si="62"/>
        <v>0</v>
      </c>
      <c r="DC27" s="9"/>
      <c r="DD27" s="9"/>
      <c r="DE27" s="9"/>
      <c r="DF27" s="9"/>
      <c r="DG27" s="9"/>
      <c r="DH27" s="9"/>
      <c r="DI27" s="9"/>
      <c r="DJ27" s="9"/>
    </row>
    <row r="28" spans="1:114" s="725" customFormat="1" hidden="1" outlineLevel="1">
      <c r="A28" s="9"/>
      <c r="B28" s="9" t="s">
        <v>413</v>
      </c>
      <c r="C28" s="433"/>
      <c r="D28" s="319"/>
      <c r="E28" s="319"/>
      <c r="F28" s="318"/>
      <c r="G28" s="320"/>
      <c r="H28" s="320"/>
      <c r="I28" s="320"/>
      <c r="J28" s="320"/>
      <c r="K28" s="75">
        <f t="shared" si="45"/>
        <v>0</v>
      </c>
      <c r="L28" s="320"/>
      <c r="M28" s="320"/>
      <c r="N28" s="320"/>
      <c r="O28" s="320"/>
      <c r="P28" s="75">
        <f t="shared" si="46"/>
        <v>0</v>
      </c>
      <c r="Q28" s="320"/>
      <c r="R28" s="320"/>
      <c r="S28" s="320"/>
      <c r="T28" s="320"/>
      <c r="U28" s="75">
        <f t="shared" si="47"/>
        <v>0</v>
      </c>
      <c r="V28" s="74"/>
      <c r="W28" s="74"/>
      <c r="X28" s="74"/>
      <c r="Y28" s="74"/>
      <c r="Z28" s="75">
        <f t="shared" si="48"/>
        <v>0</v>
      </c>
      <c r="AA28" s="74" t="s">
        <v>283</v>
      </c>
      <c r="AB28" s="74"/>
      <c r="AC28" s="74"/>
      <c r="AD28" s="74"/>
      <c r="AE28" s="75">
        <f>SUM(AA28:AD28)</f>
        <v>0</v>
      </c>
      <c r="AF28" s="74"/>
      <c r="AG28" s="74"/>
      <c r="AH28" s="74"/>
      <c r="AI28" s="74"/>
      <c r="AJ28" s="75">
        <f>SUM(AF28:AI28)</f>
        <v>0</v>
      </c>
      <c r="AK28" s="74"/>
      <c r="AL28" s="74"/>
      <c r="AM28" s="74"/>
      <c r="AN28" s="74"/>
      <c r="AO28" s="75">
        <f>SUM(AK28:AN28)</f>
        <v>0</v>
      </c>
      <c r="AP28" s="74"/>
      <c r="AQ28" s="74"/>
      <c r="AR28" s="74"/>
      <c r="AS28" s="74"/>
      <c r="AT28" s="75">
        <f>SUM(AP28:AS28)</f>
        <v>0</v>
      </c>
      <c r="AU28" s="74"/>
      <c r="AV28" s="74"/>
      <c r="AW28" s="74"/>
      <c r="AX28" s="74"/>
      <c r="AY28" s="75">
        <f>SUM(AU28:AX28)</f>
        <v>0</v>
      </c>
      <c r="AZ28" s="74"/>
      <c r="BA28" s="74"/>
      <c r="BB28" s="74"/>
      <c r="BC28" s="74"/>
      <c r="BD28" s="75">
        <f>SUM(AZ28:BC28)</f>
        <v>0</v>
      </c>
      <c r="BE28" s="74"/>
      <c r="BF28" s="74"/>
      <c r="BG28" s="74"/>
      <c r="BH28" s="74"/>
      <c r="BI28" s="75">
        <f>SUM(BE28:BH28)</f>
        <v>0</v>
      </c>
      <c r="BJ28" s="74">
        <f>160/4*1/3</f>
        <v>13.333333333333334</v>
      </c>
      <c r="BK28" s="74">
        <f>160/4</f>
        <v>40</v>
      </c>
      <c r="BL28" s="74">
        <f>160/4</f>
        <v>40</v>
      </c>
      <c r="BM28" s="74">
        <f>160/4</f>
        <v>40</v>
      </c>
      <c r="BN28" s="75">
        <f>SUM(BJ28:BM28)</f>
        <v>133.33333333333334</v>
      </c>
      <c r="BO28" s="74">
        <f>160/4*2/3</f>
        <v>26.666666666666668</v>
      </c>
      <c r="BP28" s="74"/>
      <c r="BQ28" s="76"/>
      <c r="BR28" s="74"/>
      <c r="BS28" s="75">
        <f>SUM(BO28:BR28)</f>
        <v>26.666666666666668</v>
      </c>
      <c r="BT28" s="74"/>
      <c r="BU28" s="74"/>
      <c r="BV28" s="76"/>
      <c r="BW28" s="76"/>
      <c r="BX28" s="75"/>
      <c r="BY28" s="74"/>
      <c r="BZ28" s="76"/>
      <c r="CA28" s="76"/>
      <c r="CB28" s="76"/>
      <c r="CC28" s="75"/>
      <c r="CD28" s="76"/>
      <c r="CE28" s="76"/>
      <c r="CF28" s="76"/>
      <c r="CG28" s="76"/>
      <c r="CH28" s="221">
        <f t="shared" si="58"/>
        <v>0</v>
      </c>
      <c r="CI28" s="283">
        <v>0</v>
      </c>
      <c r="CJ28" s="283">
        <v>0</v>
      </c>
      <c r="CK28" s="283">
        <v>0</v>
      </c>
      <c r="CL28" s="283">
        <v>0</v>
      </c>
      <c r="CM28" s="221">
        <f t="shared" si="59"/>
        <v>0</v>
      </c>
      <c r="CN28" s="1215">
        <v>0</v>
      </c>
      <c r="CO28" s="1215">
        <v>0</v>
      </c>
      <c r="CP28" s="1215">
        <v>0</v>
      </c>
      <c r="CQ28" s="1215">
        <v>0</v>
      </c>
      <c r="CR28" s="221">
        <f t="shared" si="60"/>
        <v>0</v>
      </c>
      <c r="CS28" s="1215">
        <v>0</v>
      </c>
      <c r="CT28" s="1215">
        <v>0</v>
      </c>
      <c r="CU28" s="1215">
        <v>0</v>
      </c>
      <c r="CV28" s="1215">
        <v>0</v>
      </c>
      <c r="CW28" s="221">
        <f t="shared" si="61"/>
        <v>0</v>
      </c>
      <c r="CX28" s="1215">
        <v>0</v>
      </c>
      <c r="CY28" s="1215">
        <v>0</v>
      </c>
      <c r="CZ28" s="1215">
        <v>0</v>
      </c>
      <c r="DA28" s="1215">
        <v>0</v>
      </c>
      <c r="DB28" s="221">
        <f t="shared" si="62"/>
        <v>0</v>
      </c>
      <c r="DC28" s="9"/>
      <c r="DD28" s="9"/>
      <c r="DE28" s="9"/>
      <c r="DF28" s="9"/>
      <c r="DG28" s="9"/>
      <c r="DH28" s="9"/>
      <c r="DI28" s="9"/>
      <c r="DJ28" s="9"/>
    </row>
    <row r="29" spans="1:114" s="725" customFormat="1" hidden="1" outlineLevel="1">
      <c r="A29" s="9"/>
      <c r="B29" s="9" t="s">
        <v>412</v>
      </c>
      <c r="C29" s="432"/>
      <c r="D29" s="73"/>
      <c r="E29" s="73"/>
      <c r="F29" s="72"/>
      <c r="G29" s="74"/>
      <c r="H29" s="74"/>
      <c r="I29" s="74"/>
      <c r="J29" s="74"/>
      <c r="K29" s="75">
        <f t="shared" si="45"/>
        <v>0</v>
      </c>
      <c r="L29" s="74"/>
      <c r="M29" s="74"/>
      <c r="N29" s="74"/>
      <c r="O29" s="74"/>
      <c r="P29" s="75">
        <f t="shared" si="46"/>
        <v>0</v>
      </c>
      <c r="Q29" s="74"/>
      <c r="R29" s="74"/>
      <c r="S29" s="74"/>
      <c r="T29" s="74"/>
      <c r="U29" s="75">
        <f t="shared" si="47"/>
        <v>0</v>
      </c>
      <c r="V29" s="74"/>
      <c r="W29" s="74"/>
      <c r="X29" s="74"/>
      <c r="Y29" s="74"/>
      <c r="Z29" s="75">
        <f t="shared" si="48"/>
        <v>0</v>
      </c>
      <c r="AA29" s="74" t="s">
        <v>283</v>
      </c>
      <c r="AB29" s="74"/>
      <c r="AC29" s="74"/>
      <c r="AD29" s="74"/>
      <c r="AE29" s="75">
        <f t="shared" ref="AE29:AE58" si="63">SUM(AA29:AD29)</f>
        <v>0</v>
      </c>
      <c r="AF29" s="74"/>
      <c r="AG29" s="74"/>
      <c r="AH29" s="74"/>
      <c r="AI29" s="74"/>
      <c r="AJ29" s="75">
        <f t="shared" ref="AJ29:AJ58" si="64">SUM(AF29:AI29)</f>
        <v>0</v>
      </c>
      <c r="AK29" s="74"/>
      <c r="AL29" s="74"/>
      <c r="AM29" s="74"/>
      <c r="AN29" s="74"/>
      <c r="AO29" s="75">
        <f t="shared" ref="AO29:AO58" si="65">SUM(AK29:AN29)</f>
        <v>0</v>
      </c>
      <c r="AP29" s="74"/>
      <c r="AQ29" s="74"/>
      <c r="AR29" s="74"/>
      <c r="AS29" s="74"/>
      <c r="AT29" s="75">
        <f t="shared" ref="AT29:AT58" si="66">SUM(AP29:AS29)</f>
        <v>0</v>
      </c>
      <c r="AU29" s="74"/>
      <c r="AV29" s="74"/>
      <c r="AW29" s="74"/>
      <c r="AX29" s="74"/>
      <c r="AY29" s="75">
        <f t="shared" ref="AY29:AY58" si="67">SUM(AU29:AX29)</f>
        <v>0</v>
      </c>
      <c r="AZ29" s="74"/>
      <c r="BA29" s="74"/>
      <c r="BB29" s="74"/>
      <c r="BC29" s="74"/>
      <c r="BD29" s="75">
        <f t="shared" ref="BD29:BD58" si="68">SUM(AZ29:BC29)</f>
        <v>0</v>
      </c>
      <c r="BE29" s="74"/>
      <c r="BF29" s="74"/>
      <c r="BG29" s="74"/>
      <c r="BH29" s="74"/>
      <c r="BI29" s="75">
        <f t="shared" ref="BI29:BI58" si="69">SUM(BE29:BH29)</f>
        <v>0</v>
      </c>
      <c r="BJ29" s="74">
        <f t="shared" ref="BJ29:BM30" si="70">200/4</f>
        <v>50</v>
      </c>
      <c r="BK29" s="74">
        <f t="shared" si="70"/>
        <v>50</v>
      </c>
      <c r="BL29" s="74">
        <f t="shared" si="70"/>
        <v>50</v>
      </c>
      <c r="BM29" s="74">
        <f t="shared" si="70"/>
        <v>50</v>
      </c>
      <c r="BN29" s="75">
        <f t="shared" ref="BN29:BN58" si="71">SUM(BJ29:BM29)</f>
        <v>200</v>
      </c>
      <c r="BO29" s="76"/>
      <c r="BP29" s="76"/>
      <c r="BQ29" s="76"/>
      <c r="BR29" s="74"/>
      <c r="BS29" s="75">
        <f t="shared" ref="BS29:BS58" si="72">SUM(BO29:BR29)</f>
        <v>0</v>
      </c>
      <c r="BT29" s="76"/>
      <c r="BU29" s="76"/>
      <c r="BV29" s="76"/>
      <c r="BW29" s="76"/>
      <c r="BX29" s="75"/>
      <c r="BY29" s="76"/>
      <c r="BZ29" s="76"/>
      <c r="CA29" s="76"/>
      <c r="CB29" s="76"/>
      <c r="CC29" s="75"/>
      <c r="CD29" s="76"/>
      <c r="CE29" s="76"/>
      <c r="CF29" s="76"/>
      <c r="CG29" s="76"/>
      <c r="CH29" s="221">
        <f t="shared" si="58"/>
        <v>0</v>
      </c>
      <c r="CI29" s="283">
        <v>0</v>
      </c>
      <c r="CJ29" s="283">
        <v>0</v>
      </c>
      <c r="CK29" s="283">
        <v>0</v>
      </c>
      <c r="CL29" s="283">
        <v>0</v>
      </c>
      <c r="CM29" s="221">
        <f t="shared" si="59"/>
        <v>0</v>
      </c>
      <c r="CN29" s="1215">
        <v>0</v>
      </c>
      <c r="CO29" s="1215">
        <v>0</v>
      </c>
      <c r="CP29" s="1215">
        <v>0</v>
      </c>
      <c r="CQ29" s="1215">
        <v>0</v>
      </c>
      <c r="CR29" s="221">
        <f t="shared" si="60"/>
        <v>0</v>
      </c>
      <c r="CS29" s="1215">
        <v>0</v>
      </c>
      <c r="CT29" s="1215">
        <v>0</v>
      </c>
      <c r="CU29" s="1215">
        <v>0</v>
      </c>
      <c r="CV29" s="1215">
        <v>0</v>
      </c>
      <c r="CW29" s="221">
        <f t="shared" si="61"/>
        <v>0</v>
      </c>
      <c r="CX29" s="1215">
        <v>0</v>
      </c>
      <c r="CY29" s="1215">
        <v>0</v>
      </c>
      <c r="CZ29" s="1215">
        <v>0</v>
      </c>
      <c r="DA29" s="1215">
        <v>0</v>
      </c>
      <c r="DB29" s="221">
        <f t="shared" si="62"/>
        <v>0</v>
      </c>
      <c r="DC29" s="9"/>
      <c r="DD29" s="9"/>
      <c r="DE29" s="9"/>
      <c r="DF29" s="9"/>
      <c r="DG29" s="9"/>
      <c r="DH29" s="9"/>
      <c r="DI29" s="9"/>
      <c r="DJ29" s="9"/>
    </row>
    <row r="30" spans="1:114" s="725" customFormat="1" hidden="1" outlineLevel="1">
      <c r="A30" s="9"/>
      <c r="B30" s="9" t="s">
        <v>411</v>
      </c>
      <c r="C30" s="432"/>
      <c r="D30" s="73"/>
      <c r="E30" s="73"/>
      <c r="F30" s="72"/>
      <c r="G30" s="74"/>
      <c r="H30" s="74"/>
      <c r="I30" s="74"/>
      <c r="J30" s="74"/>
      <c r="K30" s="75">
        <f t="shared" si="45"/>
        <v>0</v>
      </c>
      <c r="L30" s="74"/>
      <c r="M30" s="74"/>
      <c r="N30" s="74"/>
      <c r="O30" s="74"/>
      <c r="P30" s="75">
        <f t="shared" si="46"/>
        <v>0</v>
      </c>
      <c r="Q30" s="74"/>
      <c r="R30" s="74"/>
      <c r="S30" s="74"/>
      <c r="T30" s="74"/>
      <c r="U30" s="75">
        <f t="shared" si="47"/>
        <v>0</v>
      </c>
      <c r="V30" s="74"/>
      <c r="W30" s="74"/>
      <c r="X30" s="74"/>
      <c r="Y30" s="74"/>
      <c r="Z30" s="75">
        <f t="shared" si="48"/>
        <v>0</v>
      </c>
      <c r="AA30" s="74" t="s">
        <v>283</v>
      </c>
      <c r="AB30" s="74"/>
      <c r="AC30" s="74"/>
      <c r="AD30" s="74"/>
      <c r="AE30" s="75">
        <f t="shared" si="63"/>
        <v>0</v>
      </c>
      <c r="AF30" s="74"/>
      <c r="AG30" s="74"/>
      <c r="AH30" s="74"/>
      <c r="AI30" s="74"/>
      <c r="AJ30" s="75">
        <f t="shared" si="64"/>
        <v>0</v>
      </c>
      <c r="AK30" s="74"/>
      <c r="AL30" s="74"/>
      <c r="AM30" s="74"/>
      <c r="AN30" s="74"/>
      <c r="AO30" s="75">
        <f t="shared" si="65"/>
        <v>0</v>
      </c>
      <c r="AP30" s="74"/>
      <c r="AQ30" s="74"/>
      <c r="AR30" s="74"/>
      <c r="AS30" s="74"/>
      <c r="AT30" s="75">
        <f t="shared" si="66"/>
        <v>0</v>
      </c>
      <c r="AU30" s="74"/>
      <c r="AV30" s="74"/>
      <c r="AW30" s="74"/>
      <c r="AX30" s="74"/>
      <c r="AY30" s="75">
        <f t="shared" si="67"/>
        <v>0</v>
      </c>
      <c r="AZ30" s="74"/>
      <c r="BA30" s="74"/>
      <c r="BB30" s="74"/>
      <c r="BC30" s="74"/>
      <c r="BD30" s="75">
        <f t="shared" si="68"/>
        <v>0</v>
      </c>
      <c r="BE30" s="74"/>
      <c r="BF30" s="74"/>
      <c r="BG30" s="74"/>
      <c r="BH30" s="74">
        <f>200/4</f>
        <v>50</v>
      </c>
      <c r="BI30" s="75">
        <f t="shared" si="69"/>
        <v>50</v>
      </c>
      <c r="BJ30" s="74">
        <f t="shared" si="70"/>
        <v>50</v>
      </c>
      <c r="BK30" s="74">
        <f t="shared" si="70"/>
        <v>50</v>
      </c>
      <c r="BL30" s="74">
        <f t="shared" si="70"/>
        <v>50</v>
      </c>
      <c r="BM30" s="74"/>
      <c r="BN30" s="75">
        <f t="shared" si="71"/>
        <v>150</v>
      </c>
      <c r="BO30" s="76"/>
      <c r="BP30" s="76"/>
      <c r="BQ30" s="76"/>
      <c r="BR30" s="74"/>
      <c r="BS30" s="75">
        <f t="shared" si="72"/>
        <v>0</v>
      </c>
      <c r="BT30" s="76"/>
      <c r="BU30" s="76"/>
      <c r="BV30" s="76"/>
      <c r="BW30" s="76"/>
      <c r="BX30" s="75"/>
      <c r="BY30" s="76"/>
      <c r="BZ30" s="76"/>
      <c r="CA30" s="76"/>
      <c r="CB30" s="76"/>
      <c r="CC30" s="75"/>
      <c r="CD30" s="76"/>
      <c r="CE30" s="76"/>
      <c r="CF30" s="76"/>
      <c r="CG30" s="76"/>
      <c r="CH30" s="221">
        <f t="shared" si="58"/>
        <v>0</v>
      </c>
      <c r="CI30" s="283">
        <v>0</v>
      </c>
      <c r="CJ30" s="283">
        <v>0</v>
      </c>
      <c r="CK30" s="283">
        <v>0</v>
      </c>
      <c r="CL30" s="283">
        <v>0</v>
      </c>
      <c r="CM30" s="221">
        <f t="shared" si="59"/>
        <v>0</v>
      </c>
      <c r="CN30" s="1215">
        <v>0</v>
      </c>
      <c r="CO30" s="1215">
        <v>0</v>
      </c>
      <c r="CP30" s="1215">
        <v>0</v>
      </c>
      <c r="CQ30" s="1215">
        <v>0</v>
      </c>
      <c r="CR30" s="221">
        <f t="shared" si="60"/>
        <v>0</v>
      </c>
      <c r="CS30" s="1215">
        <v>0</v>
      </c>
      <c r="CT30" s="1215">
        <v>0</v>
      </c>
      <c r="CU30" s="1215">
        <v>0</v>
      </c>
      <c r="CV30" s="1215">
        <v>0</v>
      </c>
      <c r="CW30" s="221">
        <f t="shared" si="61"/>
        <v>0</v>
      </c>
      <c r="CX30" s="1215">
        <v>0</v>
      </c>
      <c r="CY30" s="1215">
        <v>0</v>
      </c>
      <c r="CZ30" s="1215">
        <v>0</v>
      </c>
      <c r="DA30" s="1215">
        <v>0</v>
      </c>
      <c r="DB30" s="221">
        <f t="shared" si="62"/>
        <v>0</v>
      </c>
      <c r="DC30" s="9"/>
      <c r="DD30" s="9"/>
      <c r="DE30" s="9"/>
      <c r="DF30" s="9"/>
      <c r="DG30" s="9"/>
      <c r="DH30" s="9"/>
      <c r="DI30" s="9"/>
      <c r="DJ30" s="9"/>
    </row>
    <row r="31" spans="1:114" s="725" customFormat="1" hidden="1" outlineLevel="1">
      <c r="A31" s="9"/>
      <c r="B31" s="9" t="s">
        <v>410</v>
      </c>
      <c r="C31" s="432"/>
      <c r="D31" s="73"/>
      <c r="E31" s="73"/>
      <c r="F31" s="72"/>
      <c r="G31" s="74"/>
      <c r="H31" s="74"/>
      <c r="I31" s="74"/>
      <c r="J31" s="74"/>
      <c r="K31" s="75">
        <f t="shared" si="45"/>
        <v>0</v>
      </c>
      <c r="L31" s="74"/>
      <c r="M31" s="74"/>
      <c r="N31" s="74"/>
      <c r="O31" s="74"/>
      <c r="P31" s="75">
        <f t="shared" si="46"/>
        <v>0</v>
      </c>
      <c r="Q31" s="74"/>
      <c r="R31" s="74"/>
      <c r="S31" s="74"/>
      <c r="T31" s="74"/>
      <c r="U31" s="75">
        <f t="shared" si="47"/>
        <v>0</v>
      </c>
      <c r="V31" s="74"/>
      <c r="W31" s="74"/>
      <c r="X31" s="74"/>
      <c r="Y31" s="74"/>
      <c r="Z31" s="75">
        <f t="shared" si="48"/>
        <v>0</v>
      </c>
      <c r="AA31" s="74" t="s">
        <v>283</v>
      </c>
      <c r="AB31" s="74"/>
      <c r="AC31" s="74"/>
      <c r="AD31" s="74"/>
      <c r="AE31" s="75">
        <f t="shared" si="63"/>
        <v>0</v>
      </c>
      <c r="AF31" s="74"/>
      <c r="AG31" s="74"/>
      <c r="AH31" s="74"/>
      <c r="AI31" s="74"/>
      <c r="AJ31" s="75">
        <f t="shared" si="64"/>
        <v>0</v>
      </c>
      <c r="AK31" s="74"/>
      <c r="AL31" s="74"/>
      <c r="AM31" s="74"/>
      <c r="AN31" s="74"/>
      <c r="AO31" s="75">
        <f t="shared" si="65"/>
        <v>0</v>
      </c>
      <c r="AP31" s="74"/>
      <c r="AQ31" s="74"/>
      <c r="AR31" s="74"/>
      <c r="AS31" s="74"/>
      <c r="AT31" s="75">
        <f t="shared" si="66"/>
        <v>0</v>
      </c>
      <c r="AU31" s="74"/>
      <c r="AV31" s="74"/>
      <c r="AW31" s="74"/>
      <c r="AX31" s="74"/>
      <c r="AY31" s="75">
        <f t="shared" si="67"/>
        <v>0</v>
      </c>
      <c r="AZ31" s="74"/>
      <c r="BA31" s="74"/>
      <c r="BB31" s="74"/>
      <c r="BC31" s="74"/>
      <c r="BD31" s="75">
        <f t="shared" si="68"/>
        <v>0</v>
      </c>
      <c r="BE31" s="74"/>
      <c r="BF31" s="74">
        <f>200/4*2/3</f>
        <v>33.333333333333336</v>
      </c>
      <c r="BG31" s="74">
        <f>200/4</f>
        <v>50</v>
      </c>
      <c r="BH31" s="74">
        <f>200/4</f>
        <v>50</v>
      </c>
      <c r="BI31" s="75">
        <f>SUM(BE31:BH31)</f>
        <v>133.33333333333334</v>
      </c>
      <c r="BJ31" s="74">
        <f>200/4</f>
        <v>50</v>
      </c>
      <c r="BK31" s="74">
        <f>200/4*1/3</f>
        <v>16.666666666666668</v>
      </c>
      <c r="BL31" s="74"/>
      <c r="BM31" s="74"/>
      <c r="BN31" s="75">
        <f t="shared" si="71"/>
        <v>66.666666666666671</v>
      </c>
      <c r="BO31" s="76"/>
      <c r="BP31" s="76"/>
      <c r="BQ31" s="76"/>
      <c r="BR31" s="74"/>
      <c r="BS31" s="75">
        <f t="shared" si="72"/>
        <v>0</v>
      </c>
      <c r="BT31" s="76"/>
      <c r="BU31" s="76"/>
      <c r="BV31" s="76"/>
      <c r="BW31" s="76"/>
      <c r="BX31" s="75"/>
      <c r="BY31" s="76"/>
      <c r="BZ31" s="76"/>
      <c r="CA31" s="76"/>
      <c r="CB31" s="76"/>
      <c r="CC31" s="75"/>
      <c r="CD31" s="76"/>
      <c r="CE31" s="76"/>
      <c r="CF31" s="76"/>
      <c r="CG31" s="76"/>
      <c r="CH31" s="221">
        <f t="shared" si="58"/>
        <v>0</v>
      </c>
      <c r="CI31" s="283">
        <v>0</v>
      </c>
      <c r="CJ31" s="283">
        <v>0</v>
      </c>
      <c r="CK31" s="283">
        <v>0</v>
      </c>
      <c r="CL31" s="283">
        <v>0</v>
      </c>
      <c r="CM31" s="221">
        <f t="shared" si="59"/>
        <v>0</v>
      </c>
      <c r="CN31" s="1215">
        <v>0</v>
      </c>
      <c r="CO31" s="1215">
        <v>0</v>
      </c>
      <c r="CP31" s="1215">
        <v>0</v>
      </c>
      <c r="CQ31" s="1215">
        <v>0</v>
      </c>
      <c r="CR31" s="221">
        <f t="shared" si="60"/>
        <v>0</v>
      </c>
      <c r="CS31" s="1215">
        <v>0</v>
      </c>
      <c r="CT31" s="1215">
        <v>0</v>
      </c>
      <c r="CU31" s="1215">
        <v>0</v>
      </c>
      <c r="CV31" s="1215">
        <v>0</v>
      </c>
      <c r="CW31" s="221">
        <f t="shared" si="61"/>
        <v>0</v>
      </c>
      <c r="CX31" s="1215">
        <v>0</v>
      </c>
      <c r="CY31" s="1215">
        <v>0</v>
      </c>
      <c r="CZ31" s="1215">
        <v>0</v>
      </c>
      <c r="DA31" s="1215">
        <v>0</v>
      </c>
      <c r="DB31" s="221">
        <f t="shared" si="62"/>
        <v>0</v>
      </c>
      <c r="DC31" s="9"/>
      <c r="DD31" s="9"/>
      <c r="DE31" s="9"/>
      <c r="DF31" s="9"/>
      <c r="DG31" s="9"/>
      <c r="DH31" s="9"/>
      <c r="DI31" s="9"/>
      <c r="DJ31" s="9"/>
    </row>
    <row r="32" spans="1:114" s="725" customFormat="1" hidden="1" outlineLevel="1">
      <c r="A32" s="9"/>
      <c r="B32" s="9" t="s">
        <v>284</v>
      </c>
      <c r="C32" s="432"/>
      <c r="D32" s="73"/>
      <c r="E32" s="73"/>
      <c r="F32" s="72"/>
      <c r="G32" s="74"/>
      <c r="H32" s="74"/>
      <c r="I32" s="74"/>
      <c r="J32" s="74"/>
      <c r="K32" s="75">
        <f t="shared" si="45"/>
        <v>0</v>
      </c>
      <c r="L32" s="74"/>
      <c r="M32" s="74"/>
      <c r="N32" s="74"/>
      <c r="O32" s="74"/>
      <c r="P32" s="75">
        <f t="shared" si="46"/>
        <v>0</v>
      </c>
      <c r="Q32" s="74"/>
      <c r="R32" s="74"/>
      <c r="S32" s="74"/>
      <c r="T32" s="74"/>
      <c r="U32" s="75">
        <f t="shared" si="47"/>
        <v>0</v>
      </c>
      <c r="V32" s="74"/>
      <c r="W32" s="74"/>
      <c r="X32" s="74"/>
      <c r="Y32" s="74"/>
      <c r="Z32" s="75">
        <f t="shared" si="48"/>
        <v>0</v>
      </c>
      <c r="AA32" s="74"/>
      <c r="AB32" s="74"/>
      <c r="AC32" s="74"/>
      <c r="AD32" s="74"/>
      <c r="AE32" s="75">
        <f t="shared" si="63"/>
        <v>0</v>
      </c>
      <c r="AF32" s="74"/>
      <c r="AG32" s="74"/>
      <c r="AH32" s="74"/>
      <c r="AI32" s="74"/>
      <c r="AJ32" s="75">
        <f t="shared" si="64"/>
        <v>0</v>
      </c>
      <c r="AK32" s="74"/>
      <c r="AL32" s="74"/>
      <c r="AM32" s="74"/>
      <c r="AN32" s="74"/>
      <c r="AO32" s="75">
        <f t="shared" si="65"/>
        <v>0</v>
      </c>
      <c r="AP32" s="74"/>
      <c r="AQ32" s="74"/>
      <c r="AR32" s="74"/>
      <c r="AS32" s="74"/>
      <c r="AT32" s="75">
        <f t="shared" si="66"/>
        <v>0</v>
      </c>
      <c r="AU32" s="74"/>
      <c r="AV32" s="74"/>
      <c r="AW32" s="74"/>
      <c r="AX32" s="74"/>
      <c r="AY32" s="75">
        <f t="shared" si="67"/>
        <v>0</v>
      </c>
      <c r="AZ32" s="74"/>
      <c r="BA32" s="74"/>
      <c r="BB32" s="74"/>
      <c r="BC32" s="74"/>
      <c r="BD32" s="75">
        <f t="shared" si="68"/>
        <v>0</v>
      </c>
      <c r="BE32" s="74"/>
      <c r="BF32" s="74"/>
      <c r="BG32" s="74"/>
      <c r="BH32" s="74"/>
      <c r="BI32" s="75"/>
      <c r="BJ32" s="74"/>
      <c r="BK32" s="74"/>
      <c r="BL32" s="74"/>
      <c r="BM32" s="74"/>
      <c r="BN32" s="75">
        <f t="shared" si="71"/>
        <v>0</v>
      </c>
      <c r="BO32" s="76"/>
      <c r="BP32" s="76"/>
      <c r="BQ32" s="76"/>
      <c r="BR32" s="74"/>
      <c r="BS32" s="75">
        <f t="shared" si="72"/>
        <v>0</v>
      </c>
      <c r="BT32" s="76"/>
      <c r="BU32" s="76"/>
      <c r="BV32" s="76"/>
      <c r="BW32" s="76"/>
      <c r="BX32" s="75"/>
      <c r="BY32" s="76"/>
      <c r="BZ32" s="76"/>
      <c r="CA32" s="76"/>
      <c r="CB32" s="76"/>
      <c r="CC32" s="75"/>
      <c r="CD32" s="76"/>
      <c r="CE32" s="76"/>
      <c r="CF32" s="76"/>
      <c r="CG32" s="76"/>
      <c r="CH32" s="221">
        <f t="shared" si="58"/>
        <v>0</v>
      </c>
      <c r="CI32" s="283">
        <v>0</v>
      </c>
      <c r="CJ32" s="283">
        <v>0</v>
      </c>
      <c r="CK32" s="283">
        <v>0</v>
      </c>
      <c r="CL32" s="283">
        <v>0</v>
      </c>
      <c r="CM32" s="221">
        <f t="shared" si="59"/>
        <v>0</v>
      </c>
      <c r="CN32" s="1215">
        <v>0</v>
      </c>
      <c r="CO32" s="1215">
        <v>0</v>
      </c>
      <c r="CP32" s="1215">
        <v>0</v>
      </c>
      <c r="CQ32" s="1215">
        <v>0</v>
      </c>
      <c r="CR32" s="221">
        <f t="shared" si="60"/>
        <v>0</v>
      </c>
      <c r="CS32" s="1215">
        <v>0</v>
      </c>
      <c r="CT32" s="1215">
        <v>0</v>
      </c>
      <c r="CU32" s="1215">
        <v>0</v>
      </c>
      <c r="CV32" s="1215">
        <v>0</v>
      </c>
      <c r="CW32" s="221">
        <f t="shared" si="61"/>
        <v>0</v>
      </c>
      <c r="CX32" s="1215">
        <v>0</v>
      </c>
      <c r="CY32" s="1215">
        <v>0</v>
      </c>
      <c r="CZ32" s="1215">
        <v>0</v>
      </c>
      <c r="DA32" s="1215">
        <v>0</v>
      </c>
      <c r="DB32" s="221">
        <f t="shared" si="62"/>
        <v>0</v>
      </c>
      <c r="DC32" s="9"/>
      <c r="DD32" s="9"/>
      <c r="DE32" s="9"/>
      <c r="DF32" s="9"/>
      <c r="DG32" s="9"/>
      <c r="DH32" s="9"/>
      <c r="DI32" s="9"/>
      <c r="DJ32" s="9"/>
    </row>
    <row r="33" spans="1:114" s="725" customFormat="1" hidden="1" outlineLevel="1">
      <c r="A33" s="9"/>
      <c r="B33" s="9" t="s">
        <v>285</v>
      </c>
      <c r="C33" s="432"/>
      <c r="D33" s="73"/>
      <c r="E33" s="73"/>
      <c r="F33" s="72"/>
      <c r="G33" s="74"/>
      <c r="H33" s="74"/>
      <c r="I33" s="74"/>
      <c r="J33" s="74"/>
      <c r="K33" s="75">
        <f t="shared" si="45"/>
        <v>0</v>
      </c>
      <c r="L33" s="74"/>
      <c r="M33" s="74"/>
      <c r="N33" s="74"/>
      <c r="O33" s="74"/>
      <c r="P33" s="75">
        <f t="shared" si="46"/>
        <v>0</v>
      </c>
      <c r="Q33" s="74"/>
      <c r="R33" s="74"/>
      <c r="S33" s="74"/>
      <c r="T33" s="74"/>
      <c r="U33" s="75">
        <f t="shared" si="47"/>
        <v>0</v>
      </c>
      <c r="V33" s="74"/>
      <c r="W33" s="74"/>
      <c r="X33" s="74"/>
      <c r="Y33" s="74"/>
      <c r="Z33" s="75">
        <f t="shared" si="48"/>
        <v>0</v>
      </c>
      <c r="AA33" s="74"/>
      <c r="AB33" s="74"/>
      <c r="AC33" s="74"/>
      <c r="AD33" s="74"/>
      <c r="AE33" s="75">
        <f t="shared" si="63"/>
        <v>0</v>
      </c>
      <c r="AF33" s="74"/>
      <c r="AG33" s="74"/>
      <c r="AH33" s="74"/>
      <c r="AI33" s="74"/>
      <c r="AJ33" s="75">
        <f t="shared" si="64"/>
        <v>0</v>
      </c>
      <c r="AK33" s="74"/>
      <c r="AL33" s="74"/>
      <c r="AM33" s="74"/>
      <c r="AN33" s="74"/>
      <c r="AO33" s="75">
        <f t="shared" si="65"/>
        <v>0</v>
      </c>
      <c r="AP33" s="74"/>
      <c r="AQ33" s="74"/>
      <c r="AR33" s="74"/>
      <c r="AS33" s="74"/>
      <c r="AT33" s="75">
        <f t="shared" si="66"/>
        <v>0</v>
      </c>
      <c r="AU33" s="74"/>
      <c r="AV33" s="74"/>
      <c r="AW33" s="74"/>
      <c r="AX33" s="74"/>
      <c r="AY33" s="75">
        <f t="shared" si="67"/>
        <v>0</v>
      </c>
      <c r="AZ33" s="74"/>
      <c r="BA33" s="74"/>
      <c r="BB33" s="74"/>
      <c r="BC33" s="74">
        <f>370/4</f>
        <v>92.5</v>
      </c>
      <c r="BD33" s="75">
        <f t="shared" si="68"/>
        <v>92.5</v>
      </c>
      <c r="BE33" s="74">
        <f>370/4</f>
        <v>92.5</v>
      </c>
      <c r="BF33" s="74">
        <f>370/4</f>
        <v>92.5</v>
      </c>
      <c r="BG33" s="74">
        <f>370/4</f>
        <v>92.5</v>
      </c>
      <c r="BH33" s="74"/>
      <c r="BI33" s="75">
        <f t="shared" si="69"/>
        <v>277.5</v>
      </c>
      <c r="BJ33" s="74"/>
      <c r="BK33" s="74"/>
      <c r="BL33" s="74"/>
      <c r="BM33" s="74"/>
      <c r="BN33" s="75">
        <f t="shared" si="71"/>
        <v>0</v>
      </c>
      <c r="BO33" s="76"/>
      <c r="BP33" s="76"/>
      <c r="BQ33" s="76"/>
      <c r="BR33" s="74"/>
      <c r="BS33" s="75">
        <f t="shared" si="72"/>
        <v>0</v>
      </c>
      <c r="BT33" s="76"/>
      <c r="BU33" s="76"/>
      <c r="BV33" s="76"/>
      <c r="BW33" s="76"/>
      <c r="BX33" s="75"/>
      <c r="BY33" s="76"/>
      <c r="BZ33" s="76"/>
      <c r="CA33" s="76"/>
      <c r="CB33" s="76"/>
      <c r="CC33" s="75"/>
      <c r="CD33" s="76"/>
      <c r="CE33" s="76"/>
      <c r="CF33" s="76"/>
      <c r="CG33" s="76"/>
      <c r="CH33" s="221">
        <f t="shared" si="58"/>
        <v>0</v>
      </c>
      <c r="CI33" s="283">
        <v>0</v>
      </c>
      <c r="CJ33" s="283">
        <v>0</v>
      </c>
      <c r="CK33" s="283">
        <v>0</v>
      </c>
      <c r="CL33" s="283">
        <v>0</v>
      </c>
      <c r="CM33" s="221">
        <f t="shared" si="59"/>
        <v>0</v>
      </c>
      <c r="CN33" s="1215">
        <v>0</v>
      </c>
      <c r="CO33" s="1215">
        <v>0</v>
      </c>
      <c r="CP33" s="1215">
        <v>0</v>
      </c>
      <c r="CQ33" s="1215">
        <v>0</v>
      </c>
      <c r="CR33" s="221">
        <f t="shared" si="60"/>
        <v>0</v>
      </c>
      <c r="CS33" s="1215">
        <v>0</v>
      </c>
      <c r="CT33" s="1215">
        <v>0</v>
      </c>
      <c r="CU33" s="1215">
        <v>0</v>
      </c>
      <c r="CV33" s="1215">
        <v>0</v>
      </c>
      <c r="CW33" s="221">
        <f t="shared" si="61"/>
        <v>0</v>
      </c>
      <c r="CX33" s="1215">
        <v>0</v>
      </c>
      <c r="CY33" s="1215">
        <v>0</v>
      </c>
      <c r="CZ33" s="1215">
        <v>0</v>
      </c>
      <c r="DA33" s="1215">
        <v>0</v>
      </c>
      <c r="DB33" s="221">
        <f t="shared" si="62"/>
        <v>0</v>
      </c>
      <c r="DC33" s="9"/>
      <c r="DD33" s="9"/>
      <c r="DE33" s="9"/>
      <c r="DF33" s="9"/>
      <c r="DG33" s="9"/>
      <c r="DH33" s="9"/>
      <c r="DI33" s="9"/>
      <c r="DJ33" s="9"/>
    </row>
    <row r="34" spans="1:114" s="725" customFormat="1" hidden="1" outlineLevel="1">
      <c r="A34" s="9"/>
      <c r="B34" s="9" t="s">
        <v>42</v>
      </c>
      <c r="C34" s="432"/>
      <c r="D34" s="73"/>
      <c r="E34" s="73"/>
      <c r="F34" s="72"/>
      <c r="G34" s="74"/>
      <c r="H34" s="74"/>
      <c r="I34" s="74"/>
      <c r="J34" s="74"/>
      <c r="K34" s="75">
        <f t="shared" si="45"/>
        <v>0</v>
      </c>
      <c r="L34" s="74"/>
      <c r="M34" s="74"/>
      <c r="N34" s="74"/>
      <c r="O34" s="74"/>
      <c r="P34" s="75">
        <f t="shared" si="46"/>
        <v>0</v>
      </c>
      <c r="Q34" s="74"/>
      <c r="R34" s="74"/>
      <c r="S34" s="74"/>
      <c r="T34" s="74"/>
      <c r="U34" s="75">
        <f t="shared" si="47"/>
        <v>0</v>
      </c>
      <c r="V34" s="74"/>
      <c r="W34" s="74"/>
      <c r="X34" s="74"/>
      <c r="Y34" s="74"/>
      <c r="Z34" s="75">
        <f t="shared" si="48"/>
        <v>0</v>
      </c>
      <c r="AA34" s="74"/>
      <c r="AB34" s="74"/>
      <c r="AC34" s="74"/>
      <c r="AD34" s="74"/>
      <c r="AE34" s="75">
        <f t="shared" si="63"/>
        <v>0</v>
      </c>
      <c r="AF34" s="74"/>
      <c r="AG34" s="74"/>
      <c r="AH34" s="74"/>
      <c r="AI34" s="74"/>
      <c r="AJ34" s="75">
        <f t="shared" si="64"/>
        <v>0</v>
      </c>
      <c r="AK34" s="74"/>
      <c r="AL34" s="74"/>
      <c r="AM34" s="74"/>
      <c r="AN34" s="74"/>
      <c r="AO34" s="75">
        <f t="shared" si="65"/>
        <v>0</v>
      </c>
      <c r="AP34" s="74"/>
      <c r="AQ34" s="74"/>
      <c r="AR34" s="74"/>
      <c r="AS34" s="74"/>
      <c r="AT34" s="75">
        <f t="shared" si="66"/>
        <v>0</v>
      </c>
      <c r="AU34" s="74"/>
      <c r="AV34" s="74"/>
      <c r="AW34" s="74"/>
      <c r="AX34" s="74"/>
      <c r="AY34" s="75">
        <f t="shared" si="67"/>
        <v>0</v>
      </c>
      <c r="AZ34" s="74"/>
      <c r="BA34" s="74"/>
      <c r="BB34" s="74"/>
      <c r="BC34" s="74">
        <f>95/4</f>
        <v>23.75</v>
      </c>
      <c r="BD34" s="75">
        <f t="shared" si="68"/>
        <v>23.75</v>
      </c>
      <c r="BE34" s="74">
        <f>95/4</f>
        <v>23.75</v>
      </c>
      <c r="BF34" s="74">
        <f>95/4</f>
        <v>23.75</v>
      </c>
      <c r="BG34" s="74">
        <f>95/4</f>
        <v>23.75</v>
      </c>
      <c r="BH34" s="74"/>
      <c r="BI34" s="75">
        <f t="shared" si="69"/>
        <v>71.25</v>
      </c>
      <c r="BJ34" s="74"/>
      <c r="BK34" s="74"/>
      <c r="BL34" s="74"/>
      <c r="BM34" s="74"/>
      <c r="BN34" s="75">
        <f t="shared" si="71"/>
        <v>0</v>
      </c>
      <c r="BO34" s="76"/>
      <c r="BP34" s="76"/>
      <c r="BQ34" s="76"/>
      <c r="BR34" s="74"/>
      <c r="BS34" s="75">
        <f t="shared" si="72"/>
        <v>0</v>
      </c>
      <c r="BT34" s="76"/>
      <c r="BU34" s="76"/>
      <c r="BV34" s="76"/>
      <c r="BW34" s="76"/>
      <c r="BX34" s="75"/>
      <c r="BY34" s="76"/>
      <c r="BZ34" s="76"/>
      <c r="CA34" s="76"/>
      <c r="CB34" s="76"/>
      <c r="CC34" s="75"/>
      <c r="CD34" s="76"/>
      <c r="CE34" s="76"/>
      <c r="CF34" s="76"/>
      <c r="CG34" s="76"/>
      <c r="CH34" s="221">
        <f t="shared" si="58"/>
        <v>0</v>
      </c>
      <c r="CI34" s="283">
        <v>0</v>
      </c>
      <c r="CJ34" s="283">
        <v>0</v>
      </c>
      <c r="CK34" s="283">
        <v>0</v>
      </c>
      <c r="CL34" s="283">
        <v>0</v>
      </c>
      <c r="CM34" s="221">
        <f t="shared" si="59"/>
        <v>0</v>
      </c>
      <c r="CN34" s="1215">
        <v>0</v>
      </c>
      <c r="CO34" s="1215">
        <v>0</v>
      </c>
      <c r="CP34" s="1215">
        <v>0</v>
      </c>
      <c r="CQ34" s="1215">
        <v>0</v>
      </c>
      <c r="CR34" s="221">
        <f t="shared" si="60"/>
        <v>0</v>
      </c>
      <c r="CS34" s="1215">
        <v>0</v>
      </c>
      <c r="CT34" s="1215">
        <v>0</v>
      </c>
      <c r="CU34" s="1215">
        <v>0</v>
      </c>
      <c r="CV34" s="1215">
        <v>0</v>
      </c>
      <c r="CW34" s="221">
        <f t="shared" si="61"/>
        <v>0</v>
      </c>
      <c r="CX34" s="1215">
        <v>0</v>
      </c>
      <c r="CY34" s="1215">
        <v>0</v>
      </c>
      <c r="CZ34" s="1215">
        <v>0</v>
      </c>
      <c r="DA34" s="1215">
        <v>0</v>
      </c>
      <c r="DB34" s="221">
        <f t="shared" si="62"/>
        <v>0</v>
      </c>
      <c r="DC34" s="9"/>
      <c r="DD34" s="9"/>
      <c r="DE34" s="9"/>
      <c r="DF34" s="9"/>
      <c r="DG34" s="9"/>
      <c r="DH34" s="9"/>
      <c r="DI34" s="9"/>
      <c r="DJ34" s="9"/>
    </row>
    <row r="35" spans="1:114" s="725" customFormat="1" hidden="1" outlineLevel="1">
      <c r="A35" s="9"/>
      <c r="B35" s="9" t="s">
        <v>286</v>
      </c>
      <c r="C35" s="432"/>
      <c r="D35" s="73"/>
      <c r="E35" s="73"/>
      <c r="F35" s="72"/>
      <c r="G35" s="74"/>
      <c r="H35" s="74"/>
      <c r="I35" s="74"/>
      <c r="J35" s="74"/>
      <c r="K35" s="75">
        <f t="shared" si="45"/>
        <v>0</v>
      </c>
      <c r="L35" s="74"/>
      <c r="M35" s="74"/>
      <c r="N35" s="74"/>
      <c r="O35" s="74"/>
      <c r="P35" s="75">
        <f t="shared" si="46"/>
        <v>0</v>
      </c>
      <c r="Q35" s="74"/>
      <c r="R35" s="74"/>
      <c r="S35" s="74"/>
      <c r="T35" s="74"/>
      <c r="U35" s="75">
        <f t="shared" si="47"/>
        <v>0</v>
      </c>
      <c r="V35" s="74"/>
      <c r="W35" s="74"/>
      <c r="X35" s="74"/>
      <c r="Y35" s="74"/>
      <c r="Z35" s="75">
        <f t="shared" si="48"/>
        <v>0</v>
      </c>
      <c r="AA35" s="74"/>
      <c r="AB35" s="74"/>
      <c r="AC35" s="74"/>
      <c r="AD35" s="74"/>
      <c r="AE35" s="75">
        <f t="shared" si="63"/>
        <v>0</v>
      </c>
      <c r="AF35" s="74"/>
      <c r="AG35" s="74"/>
      <c r="AH35" s="74"/>
      <c r="AI35" s="74"/>
      <c r="AJ35" s="75">
        <f t="shared" si="64"/>
        <v>0</v>
      </c>
      <c r="AK35" s="74"/>
      <c r="AL35" s="74"/>
      <c r="AM35" s="74"/>
      <c r="AN35" s="74"/>
      <c r="AO35" s="75">
        <f t="shared" si="65"/>
        <v>0</v>
      </c>
      <c r="AP35" s="74"/>
      <c r="AQ35" s="74"/>
      <c r="AR35" s="74"/>
      <c r="AS35" s="74"/>
      <c r="AT35" s="75">
        <f t="shared" si="66"/>
        <v>0</v>
      </c>
      <c r="AU35" s="74"/>
      <c r="AV35" s="74"/>
      <c r="AW35" s="74"/>
      <c r="AX35" s="74"/>
      <c r="AY35" s="75">
        <f t="shared" si="67"/>
        <v>0</v>
      </c>
      <c r="AZ35" s="74"/>
      <c r="BA35" s="74"/>
      <c r="BB35" s="74"/>
      <c r="BC35" s="74"/>
      <c r="BD35" s="75">
        <f t="shared" si="68"/>
        <v>0</v>
      </c>
      <c r="BE35" s="74"/>
      <c r="BF35" s="74"/>
      <c r="BG35" s="74"/>
      <c r="BH35" s="74"/>
      <c r="BI35" s="75">
        <f t="shared" si="69"/>
        <v>0</v>
      </c>
      <c r="BJ35" s="74"/>
      <c r="BK35" s="74"/>
      <c r="BL35" s="74"/>
      <c r="BM35" s="74"/>
      <c r="BN35" s="75">
        <f t="shared" si="71"/>
        <v>0</v>
      </c>
      <c r="BO35" s="76"/>
      <c r="BP35" s="76"/>
      <c r="BQ35" s="76"/>
      <c r="BR35" s="74"/>
      <c r="BS35" s="75">
        <f t="shared" si="72"/>
        <v>0</v>
      </c>
      <c r="BT35" s="76"/>
      <c r="BU35" s="76"/>
      <c r="BV35" s="76"/>
      <c r="BW35" s="76"/>
      <c r="BX35" s="75"/>
      <c r="BY35" s="76"/>
      <c r="BZ35" s="76"/>
      <c r="CA35" s="76"/>
      <c r="CB35" s="76"/>
      <c r="CC35" s="75"/>
      <c r="CD35" s="76"/>
      <c r="CE35" s="76"/>
      <c r="CF35" s="76"/>
      <c r="CG35" s="76"/>
      <c r="CH35" s="221">
        <f t="shared" si="58"/>
        <v>0</v>
      </c>
      <c r="CI35" s="283">
        <v>0</v>
      </c>
      <c r="CJ35" s="283">
        <v>0</v>
      </c>
      <c r="CK35" s="283">
        <v>0</v>
      </c>
      <c r="CL35" s="283">
        <v>0</v>
      </c>
      <c r="CM35" s="221">
        <f t="shared" si="59"/>
        <v>0</v>
      </c>
      <c r="CN35" s="1215">
        <v>0</v>
      </c>
      <c r="CO35" s="1215">
        <v>0</v>
      </c>
      <c r="CP35" s="1215">
        <v>0</v>
      </c>
      <c r="CQ35" s="1215">
        <v>0</v>
      </c>
      <c r="CR35" s="221">
        <f t="shared" si="60"/>
        <v>0</v>
      </c>
      <c r="CS35" s="1215">
        <v>0</v>
      </c>
      <c r="CT35" s="1215">
        <v>0</v>
      </c>
      <c r="CU35" s="1215">
        <v>0</v>
      </c>
      <c r="CV35" s="1215">
        <v>0</v>
      </c>
      <c r="CW35" s="221">
        <f t="shared" si="61"/>
        <v>0</v>
      </c>
      <c r="CX35" s="1215">
        <v>0</v>
      </c>
      <c r="CY35" s="1215">
        <v>0</v>
      </c>
      <c r="CZ35" s="1215">
        <v>0</v>
      </c>
      <c r="DA35" s="1215">
        <v>0</v>
      </c>
      <c r="DB35" s="221">
        <f t="shared" si="62"/>
        <v>0</v>
      </c>
      <c r="DC35" s="9"/>
      <c r="DD35" s="9"/>
      <c r="DE35" s="9"/>
      <c r="DF35" s="9"/>
      <c r="DG35" s="9"/>
      <c r="DH35" s="9"/>
      <c r="DI35" s="9"/>
      <c r="DJ35" s="9"/>
    </row>
    <row r="36" spans="1:114" s="725" customFormat="1" hidden="1" outlineLevel="1">
      <c r="A36" s="9"/>
      <c r="B36" s="9" t="s">
        <v>287</v>
      </c>
      <c r="C36" s="432"/>
      <c r="D36" s="73"/>
      <c r="E36" s="73"/>
      <c r="F36" s="72"/>
      <c r="G36" s="74"/>
      <c r="H36" s="74"/>
      <c r="I36" s="74"/>
      <c r="J36" s="74"/>
      <c r="K36" s="75">
        <f t="shared" si="45"/>
        <v>0</v>
      </c>
      <c r="L36" s="74"/>
      <c r="M36" s="74"/>
      <c r="N36" s="74"/>
      <c r="O36" s="74"/>
      <c r="P36" s="75">
        <f t="shared" si="46"/>
        <v>0</v>
      </c>
      <c r="Q36" s="74"/>
      <c r="R36" s="74"/>
      <c r="S36" s="74"/>
      <c r="T36" s="74"/>
      <c r="U36" s="75">
        <f t="shared" si="47"/>
        <v>0</v>
      </c>
      <c r="V36" s="74"/>
      <c r="W36" s="74"/>
      <c r="X36" s="74"/>
      <c r="Y36" s="74"/>
      <c r="Z36" s="75">
        <f t="shared" si="48"/>
        <v>0</v>
      </c>
      <c r="AA36" s="74"/>
      <c r="AB36" s="74"/>
      <c r="AC36" s="74"/>
      <c r="AD36" s="74"/>
      <c r="AE36" s="75">
        <f t="shared" si="63"/>
        <v>0</v>
      </c>
      <c r="AF36" s="74"/>
      <c r="AG36" s="74"/>
      <c r="AH36" s="74"/>
      <c r="AI36" s="74"/>
      <c r="AJ36" s="75">
        <f t="shared" si="64"/>
        <v>0</v>
      </c>
      <c r="AK36" s="74"/>
      <c r="AL36" s="74"/>
      <c r="AM36" s="74"/>
      <c r="AN36" s="74"/>
      <c r="AO36" s="75">
        <f t="shared" si="65"/>
        <v>0</v>
      </c>
      <c r="AP36" s="74"/>
      <c r="AQ36" s="74"/>
      <c r="AR36" s="74"/>
      <c r="AS36" s="74"/>
      <c r="AT36" s="75">
        <f t="shared" si="66"/>
        <v>0</v>
      </c>
      <c r="AU36" s="74"/>
      <c r="AV36" s="74"/>
      <c r="AW36" s="74"/>
      <c r="AX36" s="74"/>
      <c r="AY36" s="75">
        <f t="shared" si="67"/>
        <v>0</v>
      </c>
      <c r="AZ36" s="74"/>
      <c r="BA36" s="74"/>
      <c r="BB36" s="74">
        <f>60/4</f>
        <v>15</v>
      </c>
      <c r="BC36" s="74">
        <f>60/4</f>
        <v>15</v>
      </c>
      <c r="BD36" s="75">
        <f t="shared" si="68"/>
        <v>30</v>
      </c>
      <c r="BE36" s="74">
        <f>60/4</f>
        <v>15</v>
      </c>
      <c r="BF36" s="74">
        <f>60/4</f>
        <v>15</v>
      </c>
      <c r="BG36" s="74"/>
      <c r="BH36" s="74"/>
      <c r="BI36" s="75">
        <f t="shared" si="69"/>
        <v>30</v>
      </c>
      <c r="BJ36" s="74"/>
      <c r="BK36" s="74"/>
      <c r="BL36" s="74"/>
      <c r="BM36" s="74"/>
      <c r="BN36" s="75">
        <f t="shared" si="71"/>
        <v>0</v>
      </c>
      <c r="BO36" s="76"/>
      <c r="BP36" s="76"/>
      <c r="BQ36" s="76"/>
      <c r="BR36" s="74"/>
      <c r="BS36" s="75">
        <f t="shared" si="72"/>
        <v>0</v>
      </c>
      <c r="BT36" s="76"/>
      <c r="BU36" s="76"/>
      <c r="BV36" s="76"/>
      <c r="BW36" s="76"/>
      <c r="BX36" s="75"/>
      <c r="BY36" s="76"/>
      <c r="BZ36" s="76"/>
      <c r="CA36" s="76"/>
      <c r="CB36" s="76"/>
      <c r="CC36" s="75"/>
      <c r="CD36" s="76"/>
      <c r="CE36" s="76"/>
      <c r="CF36" s="76"/>
      <c r="CG36" s="76"/>
      <c r="CH36" s="221">
        <f t="shared" si="58"/>
        <v>0</v>
      </c>
      <c r="CI36" s="283">
        <v>0</v>
      </c>
      <c r="CJ36" s="283">
        <v>0</v>
      </c>
      <c r="CK36" s="283">
        <v>0</v>
      </c>
      <c r="CL36" s="283">
        <v>0</v>
      </c>
      <c r="CM36" s="221">
        <f t="shared" si="59"/>
        <v>0</v>
      </c>
      <c r="CN36" s="1215">
        <v>0</v>
      </c>
      <c r="CO36" s="1215">
        <v>0</v>
      </c>
      <c r="CP36" s="1215">
        <v>0</v>
      </c>
      <c r="CQ36" s="1215">
        <v>0</v>
      </c>
      <c r="CR36" s="221">
        <f t="shared" si="60"/>
        <v>0</v>
      </c>
      <c r="CS36" s="1215">
        <v>0</v>
      </c>
      <c r="CT36" s="1215">
        <v>0</v>
      </c>
      <c r="CU36" s="1215">
        <v>0</v>
      </c>
      <c r="CV36" s="1215">
        <v>0</v>
      </c>
      <c r="CW36" s="221">
        <f t="shared" si="61"/>
        <v>0</v>
      </c>
      <c r="CX36" s="1215">
        <v>0</v>
      </c>
      <c r="CY36" s="1215">
        <v>0</v>
      </c>
      <c r="CZ36" s="1215">
        <v>0</v>
      </c>
      <c r="DA36" s="1215">
        <v>0</v>
      </c>
      <c r="DB36" s="221">
        <f t="shared" si="62"/>
        <v>0</v>
      </c>
      <c r="DC36" s="9"/>
      <c r="DD36" s="9"/>
      <c r="DE36" s="9"/>
      <c r="DF36" s="9"/>
      <c r="DG36" s="9"/>
      <c r="DH36" s="9"/>
      <c r="DI36" s="9"/>
      <c r="DJ36" s="9"/>
    </row>
    <row r="37" spans="1:114" s="725" customFormat="1" hidden="1" outlineLevel="1">
      <c r="A37" s="9"/>
      <c r="B37" s="9" t="s">
        <v>288</v>
      </c>
      <c r="C37" s="432"/>
      <c r="D37" s="73"/>
      <c r="E37" s="73"/>
      <c r="F37" s="72"/>
      <c r="G37" s="74"/>
      <c r="H37" s="74"/>
      <c r="I37" s="74"/>
      <c r="J37" s="74"/>
      <c r="K37" s="75">
        <f t="shared" si="45"/>
        <v>0</v>
      </c>
      <c r="L37" s="74"/>
      <c r="M37" s="74"/>
      <c r="N37" s="74"/>
      <c r="O37" s="74"/>
      <c r="P37" s="75">
        <f t="shared" si="46"/>
        <v>0</v>
      </c>
      <c r="Q37" s="74"/>
      <c r="R37" s="74"/>
      <c r="S37" s="74"/>
      <c r="T37" s="74"/>
      <c r="U37" s="75">
        <f t="shared" si="47"/>
        <v>0</v>
      </c>
      <c r="V37" s="74"/>
      <c r="W37" s="74"/>
      <c r="X37" s="74"/>
      <c r="Y37" s="74"/>
      <c r="Z37" s="75">
        <f t="shared" si="48"/>
        <v>0</v>
      </c>
      <c r="AA37" s="74"/>
      <c r="AB37" s="74"/>
      <c r="AC37" s="74"/>
      <c r="AD37" s="74"/>
      <c r="AE37" s="75">
        <f t="shared" si="63"/>
        <v>0</v>
      </c>
      <c r="AF37" s="74"/>
      <c r="AG37" s="74"/>
      <c r="AH37" s="74"/>
      <c r="AI37" s="74"/>
      <c r="AJ37" s="75">
        <f t="shared" si="64"/>
        <v>0</v>
      </c>
      <c r="AK37" s="74"/>
      <c r="AL37" s="74"/>
      <c r="AM37" s="74"/>
      <c r="AN37" s="74"/>
      <c r="AO37" s="75">
        <f t="shared" si="65"/>
        <v>0</v>
      </c>
      <c r="AP37" s="74"/>
      <c r="AQ37" s="74"/>
      <c r="AR37" s="74"/>
      <c r="AS37" s="74"/>
      <c r="AT37" s="75">
        <f t="shared" si="66"/>
        <v>0</v>
      </c>
      <c r="AU37" s="74"/>
      <c r="AV37" s="74"/>
      <c r="AW37" s="74"/>
      <c r="AX37" s="74"/>
      <c r="AY37" s="75">
        <f t="shared" si="67"/>
        <v>0</v>
      </c>
      <c r="AZ37" s="74">
        <f>130/4</f>
        <v>32.5</v>
      </c>
      <c r="BA37" s="74">
        <f>130/4</f>
        <v>32.5</v>
      </c>
      <c r="BB37" s="74">
        <f>130/4</f>
        <v>32.5</v>
      </c>
      <c r="BC37" s="74">
        <f>130/4</f>
        <v>32.5</v>
      </c>
      <c r="BD37" s="75">
        <f t="shared" si="68"/>
        <v>130</v>
      </c>
      <c r="BE37" s="74"/>
      <c r="BF37" s="74"/>
      <c r="BG37" s="74"/>
      <c r="BH37" s="74"/>
      <c r="BI37" s="75">
        <f t="shared" si="69"/>
        <v>0</v>
      </c>
      <c r="BJ37" s="74"/>
      <c r="BK37" s="74"/>
      <c r="BL37" s="74"/>
      <c r="BM37" s="74"/>
      <c r="BN37" s="75">
        <f t="shared" si="71"/>
        <v>0</v>
      </c>
      <c r="BO37" s="76"/>
      <c r="BP37" s="76"/>
      <c r="BQ37" s="76"/>
      <c r="BR37" s="74"/>
      <c r="BS37" s="75">
        <f t="shared" si="72"/>
        <v>0</v>
      </c>
      <c r="BT37" s="76"/>
      <c r="BU37" s="76"/>
      <c r="BV37" s="76"/>
      <c r="BW37" s="76"/>
      <c r="BX37" s="75"/>
      <c r="BY37" s="76"/>
      <c r="BZ37" s="76"/>
      <c r="CA37" s="76"/>
      <c r="CB37" s="76"/>
      <c r="CC37" s="75"/>
      <c r="CD37" s="76"/>
      <c r="CE37" s="76"/>
      <c r="CF37" s="76"/>
      <c r="CG37" s="76"/>
      <c r="CH37" s="221">
        <f t="shared" si="58"/>
        <v>0</v>
      </c>
      <c r="CI37" s="283">
        <v>0</v>
      </c>
      <c r="CJ37" s="283">
        <v>0</v>
      </c>
      <c r="CK37" s="283">
        <v>0</v>
      </c>
      <c r="CL37" s="283">
        <v>0</v>
      </c>
      <c r="CM37" s="221">
        <f t="shared" si="59"/>
        <v>0</v>
      </c>
      <c r="CN37" s="1215">
        <v>0</v>
      </c>
      <c r="CO37" s="1215">
        <v>0</v>
      </c>
      <c r="CP37" s="1215">
        <v>0</v>
      </c>
      <c r="CQ37" s="1215">
        <v>0</v>
      </c>
      <c r="CR37" s="221">
        <f t="shared" si="60"/>
        <v>0</v>
      </c>
      <c r="CS37" s="1215">
        <v>0</v>
      </c>
      <c r="CT37" s="1215">
        <v>0</v>
      </c>
      <c r="CU37" s="1215">
        <v>0</v>
      </c>
      <c r="CV37" s="1215">
        <v>0</v>
      </c>
      <c r="CW37" s="221">
        <f t="shared" si="61"/>
        <v>0</v>
      </c>
      <c r="CX37" s="1215">
        <v>0</v>
      </c>
      <c r="CY37" s="1215">
        <v>0</v>
      </c>
      <c r="CZ37" s="1215">
        <v>0</v>
      </c>
      <c r="DA37" s="1215">
        <v>0</v>
      </c>
      <c r="DB37" s="221">
        <f t="shared" si="62"/>
        <v>0</v>
      </c>
      <c r="DC37" s="9"/>
      <c r="DD37" s="9"/>
      <c r="DE37" s="9"/>
      <c r="DF37" s="9"/>
      <c r="DG37" s="9"/>
      <c r="DH37" s="9"/>
      <c r="DI37" s="9"/>
      <c r="DJ37" s="9"/>
    </row>
    <row r="38" spans="1:114" s="725" customFormat="1" hidden="1" outlineLevel="1">
      <c r="A38" s="9"/>
      <c r="B38" s="9" t="s">
        <v>289</v>
      </c>
      <c r="C38" s="432"/>
      <c r="D38" s="73"/>
      <c r="E38" s="73"/>
      <c r="F38" s="72"/>
      <c r="G38" s="74"/>
      <c r="H38" s="74"/>
      <c r="I38" s="74"/>
      <c r="J38" s="74"/>
      <c r="K38" s="75">
        <f t="shared" si="45"/>
        <v>0</v>
      </c>
      <c r="L38" s="74"/>
      <c r="M38" s="74"/>
      <c r="N38" s="74"/>
      <c r="O38" s="74"/>
      <c r="P38" s="75">
        <f t="shared" si="46"/>
        <v>0</v>
      </c>
      <c r="Q38" s="74"/>
      <c r="R38" s="74"/>
      <c r="S38" s="74"/>
      <c r="T38" s="74"/>
      <c r="U38" s="75">
        <f t="shared" si="47"/>
        <v>0</v>
      </c>
      <c r="V38" s="74"/>
      <c r="W38" s="74"/>
      <c r="X38" s="74"/>
      <c r="Y38" s="74"/>
      <c r="Z38" s="75">
        <f t="shared" si="48"/>
        <v>0</v>
      </c>
      <c r="AA38" s="74"/>
      <c r="AB38" s="74"/>
      <c r="AC38" s="74"/>
      <c r="AD38" s="74"/>
      <c r="AE38" s="75">
        <f t="shared" si="63"/>
        <v>0</v>
      </c>
      <c r="AF38" s="74"/>
      <c r="AG38" s="74"/>
      <c r="AH38" s="74"/>
      <c r="AI38" s="74"/>
      <c r="AJ38" s="75">
        <f t="shared" si="64"/>
        <v>0</v>
      </c>
      <c r="AK38" s="74"/>
      <c r="AL38" s="74"/>
      <c r="AM38" s="74"/>
      <c r="AN38" s="74"/>
      <c r="AO38" s="75">
        <f t="shared" si="65"/>
        <v>0</v>
      </c>
      <c r="AP38" s="74"/>
      <c r="AQ38" s="74"/>
      <c r="AR38" s="74"/>
      <c r="AS38" s="74"/>
      <c r="AT38" s="75">
        <f t="shared" si="66"/>
        <v>0</v>
      </c>
      <c r="AU38" s="74"/>
      <c r="AV38" s="74">
        <f>(100/4)*1/3</f>
        <v>8.3333333333333339</v>
      </c>
      <c r="AW38" s="74">
        <f>(100/4)</f>
        <v>25</v>
      </c>
      <c r="AX38" s="74">
        <f>(100/4)</f>
        <v>25</v>
      </c>
      <c r="AY38" s="75">
        <f t="shared" si="67"/>
        <v>58.333333333333336</v>
      </c>
      <c r="AZ38" s="74">
        <f>(100/4)</f>
        <v>25</v>
      </c>
      <c r="BA38" s="74">
        <f>(100/4)*2/3</f>
        <v>16.666666666666668</v>
      </c>
      <c r="BB38" s="74"/>
      <c r="BC38" s="74"/>
      <c r="BD38" s="75">
        <f t="shared" si="68"/>
        <v>41.666666666666671</v>
      </c>
      <c r="BE38" s="74"/>
      <c r="BF38" s="74"/>
      <c r="BG38" s="74"/>
      <c r="BH38" s="74"/>
      <c r="BI38" s="75">
        <f t="shared" si="69"/>
        <v>0</v>
      </c>
      <c r="BJ38" s="74"/>
      <c r="BK38" s="74"/>
      <c r="BL38" s="74"/>
      <c r="BM38" s="74"/>
      <c r="BN38" s="75">
        <f t="shared" si="71"/>
        <v>0</v>
      </c>
      <c r="BO38" s="76"/>
      <c r="BP38" s="76"/>
      <c r="BQ38" s="76"/>
      <c r="BR38" s="74"/>
      <c r="BS38" s="75">
        <f t="shared" si="72"/>
        <v>0</v>
      </c>
      <c r="BT38" s="76"/>
      <c r="BU38" s="76"/>
      <c r="BV38" s="76"/>
      <c r="BW38" s="76"/>
      <c r="BX38" s="75"/>
      <c r="BY38" s="76"/>
      <c r="BZ38" s="76"/>
      <c r="CA38" s="76"/>
      <c r="CB38" s="76"/>
      <c r="CC38" s="75"/>
      <c r="CD38" s="76"/>
      <c r="CE38" s="76"/>
      <c r="CF38" s="76"/>
      <c r="CG38" s="76"/>
      <c r="CH38" s="221">
        <f t="shared" si="58"/>
        <v>0</v>
      </c>
      <c r="CI38" s="283">
        <v>0</v>
      </c>
      <c r="CJ38" s="283">
        <v>0</v>
      </c>
      <c r="CK38" s="283">
        <v>0</v>
      </c>
      <c r="CL38" s="283">
        <v>0</v>
      </c>
      <c r="CM38" s="221">
        <f t="shared" si="59"/>
        <v>0</v>
      </c>
      <c r="CN38" s="1215">
        <v>0</v>
      </c>
      <c r="CO38" s="1215">
        <v>0</v>
      </c>
      <c r="CP38" s="1215">
        <v>0</v>
      </c>
      <c r="CQ38" s="1215">
        <v>0</v>
      </c>
      <c r="CR38" s="221">
        <f t="shared" si="60"/>
        <v>0</v>
      </c>
      <c r="CS38" s="1215">
        <v>0</v>
      </c>
      <c r="CT38" s="1215">
        <v>0</v>
      </c>
      <c r="CU38" s="1215">
        <v>0</v>
      </c>
      <c r="CV38" s="1215">
        <v>0</v>
      </c>
      <c r="CW38" s="221">
        <f t="shared" si="61"/>
        <v>0</v>
      </c>
      <c r="CX38" s="1215">
        <v>0</v>
      </c>
      <c r="CY38" s="1215">
        <v>0</v>
      </c>
      <c r="CZ38" s="1215">
        <v>0</v>
      </c>
      <c r="DA38" s="1215">
        <v>0</v>
      </c>
      <c r="DB38" s="221">
        <f t="shared" si="62"/>
        <v>0</v>
      </c>
      <c r="DC38" s="9"/>
      <c r="DD38" s="9"/>
      <c r="DE38" s="9"/>
      <c r="DF38" s="9"/>
      <c r="DG38" s="9"/>
      <c r="DH38" s="9"/>
      <c r="DI38" s="9"/>
      <c r="DJ38" s="9"/>
    </row>
    <row r="39" spans="1:114" s="725" customFormat="1" hidden="1" outlineLevel="1">
      <c r="A39" s="9"/>
      <c r="B39" s="9" t="s">
        <v>290</v>
      </c>
      <c r="C39" s="432"/>
      <c r="D39" s="73"/>
      <c r="E39" s="73"/>
      <c r="F39" s="72"/>
      <c r="G39" s="74"/>
      <c r="H39" s="74"/>
      <c r="I39" s="74"/>
      <c r="J39" s="74"/>
      <c r="K39" s="75">
        <f t="shared" si="45"/>
        <v>0</v>
      </c>
      <c r="L39" s="74"/>
      <c r="M39" s="74"/>
      <c r="N39" s="74"/>
      <c r="O39" s="74"/>
      <c r="P39" s="75">
        <f t="shared" si="46"/>
        <v>0</v>
      </c>
      <c r="Q39" s="74"/>
      <c r="R39" s="74"/>
      <c r="S39" s="74"/>
      <c r="T39" s="74"/>
      <c r="U39" s="75">
        <f t="shared" si="47"/>
        <v>0</v>
      </c>
      <c r="V39" s="74"/>
      <c r="W39" s="74"/>
      <c r="X39" s="74"/>
      <c r="Y39" s="74"/>
      <c r="Z39" s="75">
        <f t="shared" si="48"/>
        <v>0</v>
      </c>
      <c r="AA39" s="74"/>
      <c r="AB39" s="74"/>
      <c r="AC39" s="74"/>
      <c r="AD39" s="74"/>
      <c r="AE39" s="75">
        <f t="shared" si="63"/>
        <v>0</v>
      </c>
      <c r="AF39" s="74"/>
      <c r="AG39" s="74"/>
      <c r="AH39" s="74"/>
      <c r="AI39" s="74"/>
      <c r="AJ39" s="75">
        <f t="shared" si="64"/>
        <v>0</v>
      </c>
      <c r="AK39" s="74"/>
      <c r="AL39" s="74"/>
      <c r="AM39" s="74"/>
      <c r="AN39" s="74"/>
      <c r="AO39" s="75">
        <f t="shared" si="65"/>
        <v>0</v>
      </c>
      <c r="AP39" s="74"/>
      <c r="AQ39" s="74"/>
      <c r="AR39" s="74"/>
      <c r="AS39" s="74"/>
      <c r="AT39" s="75">
        <f t="shared" si="66"/>
        <v>0</v>
      </c>
      <c r="AU39" s="74"/>
      <c r="AV39" s="74">
        <f>(295/4)*2/3</f>
        <v>49.166666666666664</v>
      </c>
      <c r="AW39" s="74">
        <f>(295/4)</f>
        <v>73.75</v>
      </c>
      <c r="AX39" s="74">
        <f>(295/4)</f>
        <v>73.75</v>
      </c>
      <c r="AY39" s="75">
        <f t="shared" si="67"/>
        <v>196.66666666666666</v>
      </c>
      <c r="AZ39" s="74">
        <f>(295/4)</f>
        <v>73.75</v>
      </c>
      <c r="BA39" s="74">
        <f>(295/4)*1/3</f>
        <v>24.583333333333332</v>
      </c>
      <c r="BB39" s="74"/>
      <c r="BC39" s="74"/>
      <c r="BD39" s="75">
        <f t="shared" si="68"/>
        <v>98.333333333333329</v>
      </c>
      <c r="BE39" s="74"/>
      <c r="BF39" s="74"/>
      <c r="BG39" s="74"/>
      <c r="BH39" s="74"/>
      <c r="BI39" s="75">
        <f t="shared" si="69"/>
        <v>0</v>
      </c>
      <c r="BJ39" s="74"/>
      <c r="BK39" s="74"/>
      <c r="BL39" s="74"/>
      <c r="BM39" s="74"/>
      <c r="BN39" s="75">
        <f t="shared" si="71"/>
        <v>0</v>
      </c>
      <c r="BO39" s="76"/>
      <c r="BP39" s="76"/>
      <c r="BQ39" s="76"/>
      <c r="BR39" s="74"/>
      <c r="BS39" s="75">
        <f t="shared" si="72"/>
        <v>0</v>
      </c>
      <c r="BT39" s="76"/>
      <c r="BU39" s="76"/>
      <c r="BV39" s="76"/>
      <c r="BW39" s="76"/>
      <c r="BX39" s="75"/>
      <c r="BY39" s="76"/>
      <c r="BZ39" s="76"/>
      <c r="CA39" s="76"/>
      <c r="CB39" s="76"/>
      <c r="CC39" s="75"/>
      <c r="CD39" s="76"/>
      <c r="CE39" s="76"/>
      <c r="CF39" s="76"/>
      <c r="CG39" s="76"/>
      <c r="CH39" s="221">
        <f t="shared" si="58"/>
        <v>0</v>
      </c>
      <c r="CI39" s="283">
        <v>0</v>
      </c>
      <c r="CJ39" s="283">
        <v>0</v>
      </c>
      <c r="CK39" s="283">
        <v>0</v>
      </c>
      <c r="CL39" s="283">
        <v>0</v>
      </c>
      <c r="CM39" s="221">
        <f t="shared" si="59"/>
        <v>0</v>
      </c>
      <c r="CN39" s="1215">
        <v>0</v>
      </c>
      <c r="CO39" s="1215">
        <v>0</v>
      </c>
      <c r="CP39" s="1215">
        <v>0</v>
      </c>
      <c r="CQ39" s="1215">
        <v>0</v>
      </c>
      <c r="CR39" s="221">
        <f t="shared" si="60"/>
        <v>0</v>
      </c>
      <c r="CS39" s="1215">
        <v>0</v>
      </c>
      <c r="CT39" s="1215">
        <v>0</v>
      </c>
      <c r="CU39" s="1215">
        <v>0</v>
      </c>
      <c r="CV39" s="1215">
        <v>0</v>
      </c>
      <c r="CW39" s="221">
        <f t="shared" si="61"/>
        <v>0</v>
      </c>
      <c r="CX39" s="1215">
        <v>0</v>
      </c>
      <c r="CY39" s="1215">
        <v>0</v>
      </c>
      <c r="CZ39" s="1215">
        <v>0</v>
      </c>
      <c r="DA39" s="1215">
        <v>0</v>
      </c>
      <c r="DB39" s="221">
        <f t="shared" si="62"/>
        <v>0</v>
      </c>
      <c r="DC39" s="9"/>
      <c r="DD39" s="9"/>
      <c r="DE39" s="9"/>
      <c r="DF39" s="9"/>
      <c r="DG39" s="9"/>
      <c r="DH39" s="9"/>
      <c r="DI39" s="9"/>
      <c r="DJ39" s="9"/>
    </row>
    <row r="40" spans="1:114" s="725" customFormat="1" hidden="1" outlineLevel="1">
      <c r="A40" s="9"/>
      <c r="B40" s="9" t="s">
        <v>49</v>
      </c>
      <c r="C40" s="432"/>
      <c r="D40" s="73"/>
      <c r="E40" s="73"/>
      <c r="F40" s="72"/>
      <c r="G40" s="74"/>
      <c r="H40" s="74"/>
      <c r="I40" s="74"/>
      <c r="J40" s="74"/>
      <c r="K40" s="75">
        <f t="shared" si="45"/>
        <v>0</v>
      </c>
      <c r="L40" s="74"/>
      <c r="M40" s="74"/>
      <c r="N40" s="74"/>
      <c r="O40" s="74"/>
      <c r="P40" s="75">
        <f t="shared" si="46"/>
        <v>0</v>
      </c>
      <c r="Q40" s="74"/>
      <c r="R40" s="74"/>
      <c r="S40" s="74"/>
      <c r="T40" s="74"/>
      <c r="U40" s="75">
        <f t="shared" si="47"/>
        <v>0</v>
      </c>
      <c r="V40" s="74"/>
      <c r="W40" s="74"/>
      <c r="X40" s="74"/>
      <c r="Y40" s="74"/>
      <c r="Z40" s="75">
        <f t="shared" si="48"/>
        <v>0</v>
      </c>
      <c r="AA40" s="74"/>
      <c r="AB40" s="74"/>
      <c r="AC40" s="74"/>
      <c r="AD40" s="74"/>
      <c r="AE40" s="75">
        <f t="shared" si="63"/>
        <v>0</v>
      </c>
      <c r="AF40" s="74"/>
      <c r="AG40" s="74"/>
      <c r="AH40" s="74"/>
      <c r="AI40" s="74"/>
      <c r="AJ40" s="75">
        <f t="shared" si="64"/>
        <v>0</v>
      </c>
      <c r="AK40" s="74"/>
      <c r="AL40" s="74"/>
      <c r="AM40" s="74"/>
      <c r="AN40" s="74"/>
      <c r="AO40" s="75">
        <f t="shared" si="65"/>
        <v>0</v>
      </c>
      <c r="AP40" s="74"/>
      <c r="AQ40" s="74"/>
      <c r="AR40" s="74"/>
      <c r="AS40" s="74"/>
      <c r="AT40" s="75">
        <f t="shared" si="66"/>
        <v>0</v>
      </c>
      <c r="AU40" s="74"/>
      <c r="AV40" s="74">
        <f>100/4</f>
        <v>25</v>
      </c>
      <c r="AW40" s="74">
        <f>100/4</f>
        <v>25</v>
      </c>
      <c r="AX40" s="74">
        <f>100/4</f>
        <v>25</v>
      </c>
      <c r="AY40" s="75">
        <f t="shared" si="67"/>
        <v>75</v>
      </c>
      <c r="AZ40" s="74">
        <f>100/4</f>
        <v>25</v>
      </c>
      <c r="BA40" s="74"/>
      <c r="BB40" s="74"/>
      <c r="BC40" s="74"/>
      <c r="BD40" s="75">
        <f t="shared" si="68"/>
        <v>25</v>
      </c>
      <c r="BE40" s="74"/>
      <c r="BF40" s="74"/>
      <c r="BG40" s="74"/>
      <c r="BH40" s="74"/>
      <c r="BI40" s="75">
        <f t="shared" si="69"/>
        <v>0</v>
      </c>
      <c r="BJ40" s="74"/>
      <c r="BK40" s="74"/>
      <c r="BL40" s="74"/>
      <c r="BM40" s="74"/>
      <c r="BN40" s="75">
        <f t="shared" si="71"/>
        <v>0</v>
      </c>
      <c r="BO40" s="76"/>
      <c r="BP40" s="76"/>
      <c r="BQ40" s="76"/>
      <c r="BR40" s="74"/>
      <c r="BS40" s="75">
        <f t="shared" si="72"/>
        <v>0</v>
      </c>
      <c r="BT40" s="76"/>
      <c r="BU40" s="76"/>
      <c r="BV40" s="76"/>
      <c r="BW40" s="76"/>
      <c r="BX40" s="75"/>
      <c r="BY40" s="76"/>
      <c r="BZ40" s="76"/>
      <c r="CA40" s="76"/>
      <c r="CB40" s="76"/>
      <c r="CC40" s="75"/>
      <c r="CD40" s="76"/>
      <c r="CE40" s="76"/>
      <c r="CF40" s="76"/>
      <c r="CG40" s="76"/>
      <c r="CH40" s="221">
        <f t="shared" si="58"/>
        <v>0</v>
      </c>
      <c r="CI40" s="283">
        <v>0</v>
      </c>
      <c r="CJ40" s="283">
        <v>0</v>
      </c>
      <c r="CK40" s="283">
        <v>0</v>
      </c>
      <c r="CL40" s="283">
        <v>0</v>
      </c>
      <c r="CM40" s="221">
        <f t="shared" si="59"/>
        <v>0</v>
      </c>
      <c r="CN40" s="1215">
        <v>0</v>
      </c>
      <c r="CO40" s="1215">
        <v>0</v>
      </c>
      <c r="CP40" s="1215">
        <v>0</v>
      </c>
      <c r="CQ40" s="1215">
        <v>0</v>
      </c>
      <c r="CR40" s="221">
        <f t="shared" si="60"/>
        <v>0</v>
      </c>
      <c r="CS40" s="1215">
        <v>0</v>
      </c>
      <c r="CT40" s="1215">
        <v>0</v>
      </c>
      <c r="CU40" s="1215">
        <v>0</v>
      </c>
      <c r="CV40" s="1215">
        <v>0</v>
      </c>
      <c r="CW40" s="221">
        <f t="shared" si="61"/>
        <v>0</v>
      </c>
      <c r="CX40" s="1215">
        <v>0</v>
      </c>
      <c r="CY40" s="1215">
        <v>0</v>
      </c>
      <c r="CZ40" s="1215">
        <v>0</v>
      </c>
      <c r="DA40" s="1215">
        <v>0</v>
      </c>
      <c r="DB40" s="221">
        <f t="shared" si="62"/>
        <v>0</v>
      </c>
      <c r="DC40" s="9"/>
      <c r="DD40" s="9"/>
      <c r="DE40" s="9"/>
      <c r="DF40" s="9"/>
      <c r="DG40" s="9"/>
      <c r="DH40" s="9"/>
      <c r="DI40" s="9"/>
      <c r="DJ40" s="9"/>
    </row>
    <row r="41" spans="1:114" s="725" customFormat="1" hidden="1" outlineLevel="1">
      <c r="A41" s="9"/>
      <c r="B41" s="9" t="s">
        <v>48</v>
      </c>
      <c r="C41" s="432"/>
      <c r="D41" s="73"/>
      <c r="E41" s="73"/>
      <c r="F41" s="72"/>
      <c r="G41" s="74"/>
      <c r="H41" s="74"/>
      <c r="I41" s="74"/>
      <c r="J41" s="74"/>
      <c r="K41" s="75">
        <f t="shared" si="45"/>
        <v>0</v>
      </c>
      <c r="L41" s="74"/>
      <c r="M41" s="74"/>
      <c r="N41" s="74"/>
      <c r="O41" s="74"/>
      <c r="P41" s="75">
        <f t="shared" si="46"/>
        <v>0</v>
      </c>
      <c r="Q41" s="74"/>
      <c r="R41" s="74"/>
      <c r="S41" s="74"/>
      <c r="T41" s="74"/>
      <c r="U41" s="75">
        <f t="shared" si="47"/>
        <v>0</v>
      </c>
      <c r="V41" s="74"/>
      <c r="W41" s="74"/>
      <c r="X41" s="74"/>
      <c r="Y41" s="74"/>
      <c r="Z41" s="75">
        <f t="shared" si="48"/>
        <v>0</v>
      </c>
      <c r="AA41" s="74"/>
      <c r="AB41" s="74"/>
      <c r="AC41" s="74"/>
      <c r="AD41" s="74"/>
      <c r="AE41" s="75">
        <f t="shared" si="63"/>
        <v>0</v>
      </c>
      <c r="AF41" s="74"/>
      <c r="AG41" s="74"/>
      <c r="AH41" s="74"/>
      <c r="AI41" s="74"/>
      <c r="AJ41" s="75">
        <f t="shared" si="64"/>
        <v>0</v>
      </c>
      <c r="AK41" s="74"/>
      <c r="AL41" s="74"/>
      <c r="AM41" s="74"/>
      <c r="AN41" s="74"/>
      <c r="AO41" s="75">
        <f t="shared" si="65"/>
        <v>0</v>
      </c>
      <c r="AP41" s="74"/>
      <c r="AQ41" s="74"/>
      <c r="AR41" s="74"/>
      <c r="AS41" s="74"/>
      <c r="AT41" s="75">
        <f t="shared" si="66"/>
        <v>0</v>
      </c>
      <c r="AU41" s="74">
        <f>(35/4)*2/3</f>
        <v>5.833333333333333</v>
      </c>
      <c r="AV41" s="74">
        <f>(35/4)</f>
        <v>8.75</v>
      </c>
      <c r="AW41" s="74">
        <f>(35/4)</f>
        <v>8.75</v>
      </c>
      <c r="AX41" s="74">
        <f>(35/4)</f>
        <v>8.75</v>
      </c>
      <c r="AY41" s="75">
        <f t="shared" si="67"/>
        <v>32.083333333333329</v>
      </c>
      <c r="AZ41" s="74">
        <f>(35/4)*1/3</f>
        <v>2.9166666666666665</v>
      </c>
      <c r="BA41" s="74"/>
      <c r="BB41" s="74"/>
      <c r="BC41" s="74"/>
      <c r="BD41" s="75">
        <f t="shared" si="68"/>
        <v>2.9166666666666665</v>
      </c>
      <c r="BE41" s="74"/>
      <c r="BF41" s="74"/>
      <c r="BG41" s="74"/>
      <c r="BH41" s="74"/>
      <c r="BI41" s="75">
        <f t="shared" si="69"/>
        <v>0</v>
      </c>
      <c r="BJ41" s="74"/>
      <c r="BK41" s="74"/>
      <c r="BL41" s="74"/>
      <c r="BM41" s="74"/>
      <c r="BN41" s="75">
        <f t="shared" si="71"/>
        <v>0</v>
      </c>
      <c r="BO41" s="76"/>
      <c r="BP41" s="76"/>
      <c r="BQ41" s="76"/>
      <c r="BR41" s="74"/>
      <c r="BS41" s="75">
        <f t="shared" si="72"/>
        <v>0</v>
      </c>
      <c r="BT41" s="76"/>
      <c r="BU41" s="76"/>
      <c r="BV41" s="76"/>
      <c r="BW41" s="76"/>
      <c r="BX41" s="75"/>
      <c r="BY41" s="76"/>
      <c r="BZ41" s="76"/>
      <c r="CA41" s="76"/>
      <c r="CB41" s="76"/>
      <c r="CC41" s="75"/>
      <c r="CD41" s="76"/>
      <c r="CE41" s="76"/>
      <c r="CF41" s="76"/>
      <c r="CG41" s="76"/>
      <c r="CH41" s="221">
        <f t="shared" si="58"/>
        <v>0</v>
      </c>
      <c r="CI41" s="283">
        <v>0</v>
      </c>
      <c r="CJ41" s="283">
        <v>0</v>
      </c>
      <c r="CK41" s="283">
        <v>0</v>
      </c>
      <c r="CL41" s="283">
        <v>0</v>
      </c>
      <c r="CM41" s="221">
        <f t="shared" si="59"/>
        <v>0</v>
      </c>
      <c r="CN41" s="1215">
        <v>0</v>
      </c>
      <c r="CO41" s="1215">
        <v>0</v>
      </c>
      <c r="CP41" s="1215">
        <v>0</v>
      </c>
      <c r="CQ41" s="1215">
        <v>0</v>
      </c>
      <c r="CR41" s="221">
        <f t="shared" si="60"/>
        <v>0</v>
      </c>
      <c r="CS41" s="1215">
        <v>0</v>
      </c>
      <c r="CT41" s="1215">
        <v>0</v>
      </c>
      <c r="CU41" s="1215">
        <v>0</v>
      </c>
      <c r="CV41" s="1215">
        <v>0</v>
      </c>
      <c r="CW41" s="221">
        <f t="shared" si="61"/>
        <v>0</v>
      </c>
      <c r="CX41" s="1215">
        <v>0</v>
      </c>
      <c r="CY41" s="1215">
        <v>0</v>
      </c>
      <c r="CZ41" s="1215">
        <v>0</v>
      </c>
      <c r="DA41" s="1215">
        <v>0</v>
      </c>
      <c r="DB41" s="221">
        <f t="shared" si="62"/>
        <v>0</v>
      </c>
      <c r="DC41" s="9"/>
      <c r="DD41" s="9"/>
      <c r="DE41" s="9"/>
      <c r="DF41" s="9"/>
      <c r="DG41" s="9"/>
      <c r="DH41" s="9"/>
      <c r="DI41" s="9"/>
      <c r="DJ41" s="9"/>
    </row>
    <row r="42" spans="1:114" s="725" customFormat="1" hidden="1" outlineLevel="1">
      <c r="A42" s="9"/>
      <c r="B42" s="9" t="s">
        <v>291</v>
      </c>
      <c r="C42" s="432"/>
      <c r="D42" s="73"/>
      <c r="E42" s="73"/>
      <c r="F42" s="72"/>
      <c r="G42" s="74"/>
      <c r="H42" s="74"/>
      <c r="I42" s="74"/>
      <c r="J42" s="74"/>
      <c r="K42" s="75">
        <f t="shared" si="45"/>
        <v>0</v>
      </c>
      <c r="L42" s="74"/>
      <c r="M42" s="74"/>
      <c r="N42" s="74"/>
      <c r="O42" s="74"/>
      <c r="P42" s="75">
        <f t="shared" si="46"/>
        <v>0</v>
      </c>
      <c r="Q42" s="74"/>
      <c r="R42" s="74"/>
      <c r="S42" s="74"/>
      <c r="T42" s="74"/>
      <c r="U42" s="75">
        <f t="shared" si="47"/>
        <v>0</v>
      </c>
      <c r="V42" s="74"/>
      <c r="W42" s="74"/>
      <c r="X42" s="74"/>
      <c r="Y42" s="74"/>
      <c r="Z42" s="75">
        <f t="shared" si="48"/>
        <v>0</v>
      </c>
      <c r="AA42" s="74"/>
      <c r="AB42" s="74"/>
      <c r="AC42" s="74"/>
      <c r="AD42" s="74"/>
      <c r="AE42" s="75">
        <f t="shared" si="63"/>
        <v>0</v>
      </c>
      <c r="AF42" s="74"/>
      <c r="AG42" s="74"/>
      <c r="AH42" s="74"/>
      <c r="AI42" s="74"/>
      <c r="AJ42" s="75">
        <f t="shared" si="64"/>
        <v>0</v>
      </c>
      <c r="AK42" s="74"/>
      <c r="AL42" s="74"/>
      <c r="AM42" s="74"/>
      <c r="AN42" s="74"/>
      <c r="AO42" s="75">
        <f t="shared" si="65"/>
        <v>0</v>
      </c>
      <c r="AP42" s="74"/>
      <c r="AQ42" s="74"/>
      <c r="AR42" s="74"/>
      <c r="AS42" s="74"/>
      <c r="AT42" s="75">
        <f t="shared" si="66"/>
        <v>0</v>
      </c>
      <c r="AU42" s="74"/>
      <c r="AV42" s="74"/>
      <c r="AW42" s="74"/>
      <c r="AX42" s="74"/>
      <c r="AY42" s="75">
        <f t="shared" si="67"/>
        <v>0</v>
      </c>
      <c r="AZ42" s="74"/>
      <c r="BA42" s="74"/>
      <c r="BB42" s="74"/>
      <c r="BC42" s="74"/>
      <c r="BD42" s="75">
        <f t="shared" si="68"/>
        <v>0</v>
      </c>
      <c r="BE42" s="74"/>
      <c r="BF42" s="74"/>
      <c r="BG42" s="74"/>
      <c r="BH42" s="74"/>
      <c r="BI42" s="75">
        <f t="shared" si="69"/>
        <v>0</v>
      </c>
      <c r="BJ42" s="74"/>
      <c r="BK42" s="74"/>
      <c r="BL42" s="74"/>
      <c r="BM42" s="74"/>
      <c r="BN42" s="75">
        <f t="shared" si="71"/>
        <v>0</v>
      </c>
      <c r="BO42" s="76"/>
      <c r="BP42" s="76"/>
      <c r="BQ42" s="76"/>
      <c r="BR42" s="74"/>
      <c r="BS42" s="75">
        <f t="shared" si="72"/>
        <v>0</v>
      </c>
      <c r="BT42" s="76"/>
      <c r="BU42" s="76"/>
      <c r="BV42" s="76"/>
      <c r="BW42" s="76"/>
      <c r="BX42" s="75"/>
      <c r="BY42" s="76"/>
      <c r="BZ42" s="76"/>
      <c r="CA42" s="76"/>
      <c r="CB42" s="76"/>
      <c r="CC42" s="75"/>
      <c r="CD42" s="76"/>
      <c r="CE42" s="76"/>
      <c r="CF42" s="76"/>
      <c r="CG42" s="76"/>
      <c r="CH42" s="221">
        <f t="shared" si="58"/>
        <v>0</v>
      </c>
      <c r="CI42" s="283">
        <v>0</v>
      </c>
      <c r="CJ42" s="283">
        <v>0</v>
      </c>
      <c r="CK42" s="283">
        <v>0</v>
      </c>
      <c r="CL42" s="283">
        <v>0</v>
      </c>
      <c r="CM42" s="221">
        <f t="shared" si="59"/>
        <v>0</v>
      </c>
      <c r="CN42" s="1215">
        <v>0</v>
      </c>
      <c r="CO42" s="1215">
        <v>0</v>
      </c>
      <c r="CP42" s="1215">
        <v>0</v>
      </c>
      <c r="CQ42" s="1215">
        <v>0</v>
      </c>
      <c r="CR42" s="221">
        <f t="shared" si="60"/>
        <v>0</v>
      </c>
      <c r="CS42" s="1215">
        <v>0</v>
      </c>
      <c r="CT42" s="1215">
        <v>0</v>
      </c>
      <c r="CU42" s="1215">
        <v>0</v>
      </c>
      <c r="CV42" s="1215">
        <v>0</v>
      </c>
      <c r="CW42" s="221">
        <f t="shared" si="61"/>
        <v>0</v>
      </c>
      <c r="CX42" s="1215">
        <v>0</v>
      </c>
      <c r="CY42" s="1215">
        <v>0</v>
      </c>
      <c r="CZ42" s="1215">
        <v>0</v>
      </c>
      <c r="DA42" s="1215">
        <v>0</v>
      </c>
      <c r="DB42" s="221">
        <f t="shared" si="62"/>
        <v>0</v>
      </c>
      <c r="DC42" s="9"/>
      <c r="DD42" s="9"/>
      <c r="DE42" s="9"/>
      <c r="DF42" s="9"/>
      <c r="DG42" s="9"/>
      <c r="DH42" s="9"/>
      <c r="DI42" s="9"/>
      <c r="DJ42" s="9"/>
    </row>
    <row r="43" spans="1:114" s="725" customFormat="1" hidden="1" outlineLevel="1">
      <c r="A43" s="9"/>
      <c r="B43" s="9" t="s">
        <v>292</v>
      </c>
      <c r="C43" s="432"/>
      <c r="D43" s="73"/>
      <c r="E43" s="73"/>
      <c r="F43" s="72"/>
      <c r="G43" s="74"/>
      <c r="H43" s="74"/>
      <c r="I43" s="74"/>
      <c r="J43" s="74"/>
      <c r="K43" s="75">
        <f t="shared" si="45"/>
        <v>0</v>
      </c>
      <c r="L43" s="74"/>
      <c r="M43" s="74"/>
      <c r="N43" s="74"/>
      <c r="O43" s="74"/>
      <c r="P43" s="75">
        <f t="shared" si="46"/>
        <v>0</v>
      </c>
      <c r="Q43" s="74"/>
      <c r="R43" s="74"/>
      <c r="S43" s="74"/>
      <c r="T43" s="74"/>
      <c r="U43" s="75">
        <f t="shared" si="47"/>
        <v>0</v>
      </c>
      <c r="V43" s="74"/>
      <c r="W43" s="74"/>
      <c r="X43" s="74"/>
      <c r="Y43" s="74"/>
      <c r="Z43" s="75">
        <f t="shared" si="48"/>
        <v>0</v>
      </c>
      <c r="AA43" s="74"/>
      <c r="AB43" s="74"/>
      <c r="AC43" s="74"/>
      <c r="AD43" s="74"/>
      <c r="AE43" s="75">
        <f t="shared" si="63"/>
        <v>0</v>
      </c>
      <c r="AF43" s="74"/>
      <c r="AG43" s="74"/>
      <c r="AH43" s="74"/>
      <c r="AI43" s="74"/>
      <c r="AJ43" s="75">
        <f t="shared" si="64"/>
        <v>0</v>
      </c>
      <c r="AK43" s="74"/>
      <c r="AL43" s="74"/>
      <c r="AM43" s="74"/>
      <c r="AN43" s="74"/>
      <c r="AO43" s="75">
        <f t="shared" si="65"/>
        <v>0</v>
      </c>
      <c r="AP43" s="74"/>
      <c r="AQ43" s="74"/>
      <c r="AR43" s="74"/>
      <c r="AS43" s="74">
        <f>295/4</f>
        <v>73.75</v>
      </c>
      <c r="AT43" s="75">
        <f t="shared" si="66"/>
        <v>73.75</v>
      </c>
      <c r="AU43" s="74">
        <f>295/4</f>
        <v>73.75</v>
      </c>
      <c r="AV43" s="74">
        <f>295/4</f>
        <v>73.75</v>
      </c>
      <c r="AW43" s="74">
        <f>295/4</f>
        <v>73.75</v>
      </c>
      <c r="AX43" s="74"/>
      <c r="AY43" s="75">
        <f t="shared" si="67"/>
        <v>221.25</v>
      </c>
      <c r="AZ43" s="74"/>
      <c r="BA43" s="74"/>
      <c r="BB43" s="74"/>
      <c r="BC43" s="74"/>
      <c r="BD43" s="75">
        <f t="shared" si="68"/>
        <v>0</v>
      </c>
      <c r="BE43" s="74"/>
      <c r="BF43" s="74"/>
      <c r="BG43" s="74"/>
      <c r="BH43" s="74"/>
      <c r="BI43" s="75">
        <f t="shared" si="69"/>
        <v>0</v>
      </c>
      <c r="BJ43" s="74"/>
      <c r="BK43" s="74"/>
      <c r="BL43" s="74"/>
      <c r="BM43" s="74"/>
      <c r="BN43" s="75">
        <f t="shared" si="71"/>
        <v>0</v>
      </c>
      <c r="BO43" s="76"/>
      <c r="BP43" s="76"/>
      <c r="BQ43" s="76"/>
      <c r="BR43" s="74"/>
      <c r="BS43" s="75">
        <f t="shared" si="72"/>
        <v>0</v>
      </c>
      <c r="BT43" s="76"/>
      <c r="BU43" s="76"/>
      <c r="BV43" s="76"/>
      <c r="BW43" s="76"/>
      <c r="BX43" s="75"/>
      <c r="BY43" s="76"/>
      <c r="BZ43" s="76"/>
      <c r="CA43" s="76"/>
      <c r="CB43" s="76"/>
      <c r="CC43" s="75"/>
      <c r="CD43" s="76"/>
      <c r="CE43" s="76"/>
      <c r="CF43" s="76"/>
      <c r="CG43" s="76"/>
      <c r="CH43" s="221">
        <f t="shared" si="58"/>
        <v>0</v>
      </c>
      <c r="CI43" s="283">
        <v>0</v>
      </c>
      <c r="CJ43" s="283">
        <v>0</v>
      </c>
      <c r="CK43" s="283">
        <v>0</v>
      </c>
      <c r="CL43" s="283">
        <v>0</v>
      </c>
      <c r="CM43" s="221">
        <f t="shared" si="59"/>
        <v>0</v>
      </c>
      <c r="CN43" s="1215">
        <v>0</v>
      </c>
      <c r="CO43" s="1215">
        <v>0</v>
      </c>
      <c r="CP43" s="1215">
        <v>0</v>
      </c>
      <c r="CQ43" s="1215">
        <v>0</v>
      </c>
      <c r="CR43" s="221">
        <f t="shared" si="60"/>
        <v>0</v>
      </c>
      <c r="CS43" s="1215">
        <v>0</v>
      </c>
      <c r="CT43" s="1215">
        <v>0</v>
      </c>
      <c r="CU43" s="1215">
        <v>0</v>
      </c>
      <c r="CV43" s="1215">
        <v>0</v>
      </c>
      <c r="CW43" s="221">
        <f t="shared" si="61"/>
        <v>0</v>
      </c>
      <c r="CX43" s="1215">
        <v>0</v>
      </c>
      <c r="CY43" s="1215">
        <v>0</v>
      </c>
      <c r="CZ43" s="1215">
        <v>0</v>
      </c>
      <c r="DA43" s="1215">
        <v>0</v>
      </c>
      <c r="DB43" s="221">
        <f t="shared" si="62"/>
        <v>0</v>
      </c>
      <c r="DC43" s="9"/>
      <c r="DD43" s="9"/>
      <c r="DE43" s="9"/>
      <c r="DF43" s="9"/>
      <c r="DG43" s="9"/>
      <c r="DH43" s="9"/>
      <c r="DI43" s="9"/>
      <c r="DJ43" s="9"/>
    </row>
    <row r="44" spans="1:114" s="725" customFormat="1" hidden="1" outlineLevel="1">
      <c r="A44" s="9"/>
      <c r="B44" s="9" t="s">
        <v>293</v>
      </c>
      <c r="C44" s="432"/>
      <c r="D44" s="73"/>
      <c r="E44" s="73"/>
      <c r="F44" s="72"/>
      <c r="G44" s="74"/>
      <c r="H44" s="74"/>
      <c r="I44" s="74"/>
      <c r="J44" s="74"/>
      <c r="K44" s="75">
        <f t="shared" si="45"/>
        <v>0</v>
      </c>
      <c r="L44" s="74"/>
      <c r="M44" s="74"/>
      <c r="N44" s="74"/>
      <c r="O44" s="74"/>
      <c r="P44" s="75">
        <f t="shared" si="46"/>
        <v>0</v>
      </c>
      <c r="Q44" s="74"/>
      <c r="R44" s="74"/>
      <c r="S44" s="74"/>
      <c r="T44" s="74"/>
      <c r="U44" s="75">
        <f t="shared" si="47"/>
        <v>0</v>
      </c>
      <c r="V44" s="74"/>
      <c r="W44" s="74"/>
      <c r="X44" s="74"/>
      <c r="Y44" s="74"/>
      <c r="Z44" s="75">
        <f t="shared" si="48"/>
        <v>0</v>
      </c>
      <c r="AA44" s="74"/>
      <c r="AB44" s="74"/>
      <c r="AC44" s="74"/>
      <c r="AD44" s="74"/>
      <c r="AE44" s="75">
        <f t="shared" si="63"/>
        <v>0</v>
      </c>
      <c r="AF44" s="74"/>
      <c r="AG44" s="74"/>
      <c r="AH44" s="74"/>
      <c r="AI44" s="74"/>
      <c r="AJ44" s="75">
        <f t="shared" si="64"/>
        <v>0</v>
      </c>
      <c r="AK44" s="74"/>
      <c r="AL44" s="74"/>
      <c r="AM44" s="74"/>
      <c r="AN44" s="74"/>
      <c r="AO44" s="75">
        <f t="shared" si="65"/>
        <v>0</v>
      </c>
      <c r="AP44" s="74"/>
      <c r="AQ44" s="74"/>
      <c r="AR44" s="74"/>
      <c r="AS44" s="74"/>
      <c r="AT44" s="75">
        <f t="shared" si="66"/>
        <v>0</v>
      </c>
      <c r="AU44" s="74"/>
      <c r="AV44" s="74"/>
      <c r="AW44" s="74"/>
      <c r="AX44" s="74"/>
      <c r="AY44" s="75">
        <f t="shared" si="67"/>
        <v>0</v>
      </c>
      <c r="AZ44" s="74"/>
      <c r="BA44" s="74"/>
      <c r="BB44" s="74"/>
      <c r="BC44" s="74"/>
      <c r="BD44" s="75">
        <f t="shared" si="68"/>
        <v>0</v>
      </c>
      <c r="BE44" s="74"/>
      <c r="BF44" s="74"/>
      <c r="BG44" s="74"/>
      <c r="BH44" s="74"/>
      <c r="BI44" s="75">
        <f t="shared" si="69"/>
        <v>0</v>
      </c>
      <c r="BJ44" s="74"/>
      <c r="BK44" s="74"/>
      <c r="BL44" s="74"/>
      <c r="BM44" s="74"/>
      <c r="BN44" s="75">
        <f t="shared" si="71"/>
        <v>0</v>
      </c>
      <c r="BO44" s="76"/>
      <c r="BP44" s="76"/>
      <c r="BQ44" s="76"/>
      <c r="BR44" s="74"/>
      <c r="BS44" s="75">
        <f t="shared" si="72"/>
        <v>0</v>
      </c>
      <c r="BT44" s="76"/>
      <c r="BU44" s="76"/>
      <c r="BV44" s="76"/>
      <c r="BW44" s="76"/>
      <c r="BX44" s="75"/>
      <c r="BY44" s="76"/>
      <c r="BZ44" s="76"/>
      <c r="CA44" s="76"/>
      <c r="CB44" s="76"/>
      <c r="CC44" s="75"/>
      <c r="CD44" s="76"/>
      <c r="CE44" s="76"/>
      <c r="CF44" s="76"/>
      <c r="CG44" s="76"/>
      <c r="CH44" s="221">
        <f t="shared" si="58"/>
        <v>0</v>
      </c>
      <c r="CI44" s="283">
        <v>0</v>
      </c>
      <c r="CJ44" s="283">
        <v>0</v>
      </c>
      <c r="CK44" s="283">
        <v>0</v>
      </c>
      <c r="CL44" s="283">
        <v>0</v>
      </c>
      <c r="CM44" s="221">
        <f t="shared" si="59"/>
        <v>0</v>
      </c>
      <c r="CN44" s="1215">
        <v>0</v>
      </c>
      <c r="CO44" s="1215">
        <v>0</v>
      </c>
      <c r="CP44" s="1215">
        <v>0</v>
      </c>
      <c r="CQ44" s="1215">
        <v>0</v>
      </c>
      <c r="CR44" s="221">
        <f t="shared" si="60"/>
        <v>0</v>
      </c>
      <c r="CS44" s="1215">
        <v>0</v>
      </c>
      <c r="CT44" s="1215">
        <v>0</v>
      </c>
      <c r="CU44" s="1215">
        <v>0</v>
      </c>
      <c r="CV44" s="1215">
        <v>0</v>
      </c>
      <c r="CW44" s="221">
        <f t="shared" si="61"/>
        <v>0</v>
      </c>
      <c r="CX44" s="1215">
        <v>0</v>
      </c>
      <c r="CY44" s="1215">
        <v>0</v>
      </c>
      <c r="CZ44" s="1215">
        <v>0</v>
      </c>
      <c r="DA44" s="1215">
        <v>0</v>
      </c>
      <c r="DB44" s="221">
        <f t="shared" si="62"/>
        <v>0</v>
      </c>
      <c r="DC44" s="9"/>
      <c r="DD44" s="9"/>
      <c r="DE44" s="9"/>
      <c r="DF44" s="9"/>
      <c r="DG44" s="9"/>
      <c r="DH44" s="9"/>
      <c r="DI44" s="9"/>
      <c r="DJ44" s="9"/>
    </row>
    <row r="45" spans="1:114" s="725" customFormat="1" hidden="1" outlineLevel="1">
      <c r="A45" s="9"/>
      <c r="B45" s="9" t="s">
        <v>294</v>
      </c>
      <c r="C45" s="432"/>
      <c r="D45" s="73"/>
      <c r="E45" s="73"/>
      <c r="F45" s="72"/>
      <c r="G45" s="74"/>
      <c r="H45" s="74"/>
      <c r="I45" s="74"/>
      <c r="J45" s="74"/>
      <c r="K45" s="75">
        <f t="shared" si="45"/>
        <v>0</v>
      </c>
      <c r="L45" s="74"/>
      <c r="M45" s="74"/>
      <c r="N45" s="74"/>
      <c r="O45" s="74"/>
      <c r="P45" s="75">
        <f t="shared" si="46"/>
        <v>0</v>
      </c>
      <c r="Q45" s="74"/>
      <c r="R45" s="74"/>
      <c r="S45" s="74"/>
      <c r="T45" s="74"/>
      <c r="U45" s="75">
        <f t="shared" si="47"/>
        <v>0</v>
      </c>
      <c r="V45" s="74"/>
      <c r="W45" s="74"/>
      <c r="X45" s="74"/>
      <c r="Y45" s="74"/>
      <c r="Z45" s="75">
        <f t="shared" si="48"/>
        <v>0</v>
      </c>
      <c r="AA45" s="74"/>
      <c r="AB45" s="74"/>
      <c r="AC45" s="74"/>
      <c r="AD45" s="74"/>
      <c r="AE45" s="75">
        <f t="shared" si="63"/>
        <v>0</v>
      </c>
      <c r="AF45" s="74"/>
      <c r="AG45" s="74"/>
      <c r="AH45" s="74"/>
      <c r="AI45" s="74"/>
      <c r="AJ45" s="75">
        <f t="shared" si="64"/>
        <v>0</v>
      </c>
      <c r="AK45" s="74"/>
      <c r="AL45" s="74"/>
      <c r="AM45" s="74"/>
      <c r="AN45" s="74"/>
      <c r="AO45" s="75">
        <f t="shared" si="65"/>
        <v>0</v>
      </c>
      <c r="AP45" s="74"/>
      <c r="AQ45" s="74"/>
      <c r="AR45" s="74"/>
      <c r="AS45" s="74"/>
      <c r="AT45" s="75">
        <f t="shared" si="66"/>
        <v>0</v>
      </c>
      <c r="AU45" s="74"/>
      <c r="AV45" s="74"/>
      <c r="AW45" s="74"/>
      <c r="AX45" s="74"/>
      <c r="AY45" s="75">
        <f t="shared" si="67"/>
        <v>0</v>
      </c>
      <c r="AZ45" s="74"/>
      <c r="BA45" s="74"/>
      <c r="BB45" s="74"/>
      <c r="BC45" s="74"/>
      <c r="BD45" s="75">
        <f t="shared" si="68"/>
        <v>0</v>
      </c>
      <c r="BE45" s="74"/>
      <c r="BF45" s="74"/>
      <c r="BG45" s="74"/>
      <c r="BH45" s="74"/>
      <c r="BI45" s="75">
        <f t="shared" si="69"/>
        <v>0</v>
      </c>
      <c r="BJ45" s="74"/>
      <c r="BK45" s="74"/>
      <c r="BL45" s="74"/>
      <c r="BM45" s="74"/>
      <c r="BN45" s="75">
        <f t="shared" si="71"/>
        <v>0</v>
      </c>
      <c r="BO45" s="76"/>
      <c r="BP45" s="76"/>
      <c r="BQ45" s="76"/>
      <c r="BR45" s="74"/>
      <c r="BS45" s="75">
        <f t="shared" si="72"/>
        <v>0</v>
      </c>
      <c r="BT45" s="76"/>
      <c r="BU45" s="76"/>
      <c r="BV45" s="76"/>
      <c r="BW45" s="76"/>
      <c r="BX45" s="75"/>
      <c r="BY45" s="76"/>
      <c r="BZ45" s="76"/>
      <c r="CA45" s="76"/>
      <c r="CB45" s="76"/>
      <c r="CC45" s="75"/>
      <c r="CD45" s="76"/>
      <c r="CE45" s="76"/>
      <c r="CF45" s="76"/>
      <c r="CG45" s="76"/>
      <c r="CH45" s="221">
        <f t="shared" si="58"/>
        <v>0</v>
      </c>
      <c r="CI45" s="283">
        <v>0</v>
      </c>
      <c r="CJ45" s="283">
        <v>0</v>
      </c>
      <c r="CK45" s="283">
        <v>0</v>
      </c>
      <c r="CL45" s="283">
        <v>0</v>
      </c>
      <c r="CM45" s="221">
        <f t="shared" si="59"/>
        <v>0</v>
      </c>
      <c r="CN45" s="1215">
        <v>0</v>
      </c>
      <c r="CO45" s="1215">
        <v>0</v>
      </c>
      <c r="CP45" s="1215">
        <v>0</v>
      </c>
      <c r="CQ45" s="1215">
        <v>0</v>
      </c>
      <c r="CR45" s="221">
        <f t="shared" si="60"/>
        <v>0</v>
      </c>
      <c r="CS45" s="1215">
        <v>0</v>
      </c>
      <c r="CT45" s="1215">
        <v>0</v>
      </c>
      <c r="CU45" s="1215">
        <v>0</v>
      </c>
      <c r="CV45" s="1215">
        <v>0</v>
      </c>
      <c r="CW45" s="221">
        <f t="shared" si="61"/>
        <v>0</v>
      </c>
      <c r="CX45" s="1215">
        <v>0</v>
      </c>
      <c r="CY45" s="1215">
        <v>0</v>
      </c>
      <c r="CZ45" s="1215">
        <v>0</v>
      </c>
      <c r="DA45" s="1215">
        <v>0</v>
      </c>
      <c r="DB45" s="221">
        <f t="shared" si="62"/>
        <v>0</v>
      </c>
      <c r="DC45" s="9"/>
      <c r="DD45" s="9"/>
      <c r="DE45" s="9"/>
      <c r="DF45" s="9"/>
      <c r="DG45" s="9"/>
      <c r="DH45" s="9"/>
      <c r="DI45" s="9"/>
      <c r="DJ45" s="9"/>
    </row>
    <row r="46" spans="1:114" s="725" customFormat="1" hidden="1" outlineLevel="1">
      <c r="A46" s="9"/>
      <c r="B46" s="9" t="s">
        <v>295</v>
      </c>
      <c r="C46" s="432"/>
      <c r="D46" s="73"/>
      <c r="E46" s="73"/>
      <c r="F46" s="72"/>
      <c r="G46" s="74"/>
      <c r="H46" s="74"/>
      <c r="I46" s="74"/>
      <c r="J46" s="74"/>
      <c r="K46" s="75">
        <f t="shared" si="45"/>
        <v>0</v>
      </c>
      <c r="L46" s="74"/>
      <c r="M46" s="74"/>
      <c r="N46" s="74"/>
      <c r="O46" s="74"/>
      <c r="P46" s="75">
        <f t="shared" si="46"/>
        <v>0</v>
      </c>
      <c r="Q46" s="74"/>
      <c r="R46" s="74"/>
      <c r="S46" s="74"/>
      <c r="T46" s="74"/>
      <c r="U46" s="75">
        <f t="shared" si="47"/>
        <v>0</v>
      </c>
      <c r="V46" s="74"/>
      <c r="W46" s="74"/>
      <c r="X46" s="74"/>
      <c r="Y46" s="74"/>
      <c r="Z46" s="75">
        <f t="shared" si="48"/>
        <v>0</v>
      </c>
      <c r="AA46" s="74"/>
      <c r="AB46" s="74"/>
      <c r="AC46" s="74"/>
      <c r="AD46" s="74"/>
      <c r="AE46" s="75">
        <f t="shared" si="63"/>
        <v>0</v>
      </c>
      <c r="AF46" s="74"/>
      <c r="AG46" s="74"/>
      <c r="AH46" s="74"/>
      <c r="AI46" s="74"/>
      <c r="AJ46" s="75">
        <f t="shared" si="64"/>
        <v>0</v>
      </c>
      <c r="AK46" s="74"/>
      <c r="AL46" s="74">
        <f>235/4*(2/3)</f>
        <v>39.166666666666664</v>
      </c>
      <c r="AM46" s="74">
        <f>235/4</f>
        <v>58.75</v>
      </c>
      <c r="AN46" s="74">
        <f>235/4</f>
        <v>58.75</v>
      </c>
      <c r="AO46" s="75">
        <f t="shared" si="65"/>
        <v>156.66666666666666</v>
      </c>
      <c r="AP46" s="74">
        <f>235/4</f>
        <v>58.75</v>
      </c>
      <c r="AQ46" s="74">
        <f>235/4*(1/3)</f>
        <v>19.583333333333332</v>
      </c>
      <c r="AR46" s="74"/>
      <c r="AS46" s="74"/>
      <c r="AT46" s="75">
        <f t="shared" si="66"/>
        <v>78.333333333333329</v>
      </c>
      <c r="AU46" s="74"/>
      <c r="AV46" s="74"/>
      <c r="AW46" s="74"/>
      <c r="AX46" s="74"/>
      <c r="AY46" s="75">
        <f t="shared" si="67"/>
        <v>0</v>
      </c>
      <c r="AZ46" s="74"/>
      <c r="BA46" s="74"/>
      <c r="BB46" s="74"/>
      <c r="BC46" s="74"/>
      <c r="BD46" s="75">
        <f t="shared" si="68"/>
        <v>0</v>
      </c>
      <c r="BE46" s="74"/>
      <c r="BF46" s="74"/>
      <c r="BG46" s="74"/>
      <c r="BH46" s="74"/>
      <c r="BI46" s="75">
        <f t="shared" si="69"/>
        <v>0</v>
      </c>
      <c r="BJ46" s="74"/>
      <c r="BK46" s="74"/>
      <c r="BL46" s="74"/>
      <c r="BM46" s="74"/>
      <c r="BN46" s="75">
        <f t="shared" si="71"/>
        <v>0</v>
      </c>
      <c r="BO46" s="76"/>
      <c r="BP46" s="76"/>
      <c r="BQ46" s="76"/>
      <c r="BR46" s="74"/>
      <c r="BS46" s="75">
        <f t="shared" si="72"/>
        <v>0</v>
      </c>
      <c r="BT46" s="76"/>
      <c r="BU46" s="76"/>
      <c r="BV46" s="76"/>
      <c r="BW46" s="76"/>
      <c r="BX46" s="75"/>
      <c r="BY46" s="76"/>
      <c r="BZ46" s="76"/>
      <c r="CA46" s="76"/>
      <c r="CB46" s="76"/>
      <c r="CC46" s="75"/>
      <c r="CD46" s="76"/>
      <c r="CE46" s="76"/>
      <c r="CF46" s="76"/>
      <c r="CG46" s="76"/>
      <c r="CH46" s="221">
        <f t="shared" si="58"/>
        <v>0</v>
      </c>
      <c r="CI46" s="283">
        <v>0</v>
      </c>
      <c r="CJ46" s="283">
        <v>0</v>
      </c>
      <c r="CK46" s="283">
        <v>0</v>
      </c>
      <c r="CL46" s="283">
        <v>0</v>
      </c>
      <c r="CM46" s="221">
        <f t="shared" si="59"/>
        <v>0</v>
      </c>
      <c r="CN46" s="1215">
        <v>0</v>
      </c>
      <c r="CO46" s="1215">
        <v>0</v>
      </c>
      <c r="CP46" s="1215">
        <v>0</v>
      </c>
      <c r="CQ46" s="1215">
        <v>0</v>
      </c>
      <c r="CR46" s="221">
        <f t="shared" si="60"/>
        <v>0</v>
      </c>
      <c r="CS46" s="1215">
        <v>0</v>
      </c>
      <c r="CT46" s="1215">
        <v>0</v>
      </c>
      <c r="CU46" s="1215">
        <v>0</v>
      </c>
      <c r="CV46" s="1215">
        <v>0</v>
      </c>
      <c r="CW46" s="221">
        <f t="shared" si="61"/>
        <v>0</v>
      </c>
      <c r="CX46" s="1215">
        <v>0</v>
      </c>
      <c r="CY46" s="1215">
        <v>0</v>
      </c>
      <c r="CZ46" s="1215">
        <v>0</v>
      </c>
      <c r="DA46" s="1215">
        <v>0</v>
      </c>
      <c r="DB46" s="221">
        <f t="shared" si="62"/>
        <v>0</v>
      </c>
      <c r="DC46" s="9"/>
      <c r="DD46" s="9"/>
      <c r="DE46" s="9"/>
      <c r="DF46" s="9"/>
      <c r="DG46" s="9"/>
      <c r="DH46" s="9"/>
      <c r="DI46" s="9"/>
      <c r="DJ46" s="9"/>
    </row>
    <row r="47" spans="1:114" s="725" customFormat="1" hidden="1" outlineLevel="1">
      <c r="A47" s="9"/>
      <c r="B47" s="9" t="s">
        <v>296</v>
      </c>
      <c r="C47" s="432"/>
      <c r="D47" s="73"/>
      <c r="E47" s="73"/>
      <c r="F47" s="72"/>
      <c r="G47" s="74"/>
      <c r="H47" s="74"/>
      <c r="I47" s="74"/>
      <c r="J47" s="74"/>
      <c r="K47" s="75">
        <f t="shared" si="45"/>
        <v>0</v>
      </c>
      <c r="L47" s="74"/>
      <c r="M47" s="74"/>
      <c r="N47" s="74"/>
      <c r="O47" s="74"/>
      <c r="P47" s="75">
        <f t="shared" si="46"/>
        <v>0</v>
      </c>
      <c r="Q47" s="74"/>
      <c r="R47" s="74"/>
      <c r="S47" s="74"/>
      <c r="T47" s="74"/>
      <c r="U47" s="75">
        <f t="shared" si="47"/>
        <v>0</v>
      </c>
      <c r="V47" s="74"/>
      <c r="W47" s="74"/>
      <c r="X47" s="74"/>
      <c r="Y47" s="74"/>
      <c r="Z47" s="75">
        <f t="shared" si="48"/>
        <v>0</v>
      </c>
      <c r="AA47" s="74"/>
      <c r="AB47" s="74"/>
      <c r="AC47" s="74"/>
      <c r="AD47" s="74"/>
      <c r="AE47" s="75">
        <f t="shared" si="63"/>
        <v>0</v>
      </c>
      <c r="AF47" s="74"/>
      <c r="AG47" s="74"/>
      <c r="AH47" s="74"/>
      <c r="AI47" s="74"/>
      <c r="AJ47" s="75">
        <f t="shared" si="64"/>
        <v>0</v>
      </c>
      <c r="AK47" s="74"/>
      <c r="AL47" s="74">
        <f>55/4</f>
        <v>13.75</v>
      </c>
      <c r="AM47" s="74">
        <f>55/4</f>
        <v>13.75</v>
      </c>
      <c r="AN47" s="74">
        <f>55/4</f>
        <v>13.75</v>
      </c>
      <c r="AO47" s="75">
        <f t="shared" si="65"/>
        <v>41.25</v>
      </c>
      <c r="AP47" s="74">
        <f>55/4</f>
        <v>13.75</v>
      </c>
      <c r="AQ47" s="74"/>
      <c r="AR47" s="74"/>
      <c r="AS47" s="74"/>
      <c r="AT47" s="75">
        <f t="shared" si="66"/>
        <v>13.75</v>
      </c>
      <c r="AU47" s="74"/>
      <c r="AV47" s="74"/>
      <c r="AW47" s="74"/>
      <c r="AX47" s="74"/>
      <c r="AY47" s="75">
        <f t="shared" si="67"/>
        <v>0</v>
      </c>
      <c r="AZ47" s="74"/>
      <c r="BA47" s="74"/>
      <c r="BB47" s="74"/>
      <c r="BC47" s="74"/>
      <c r="BD47" s="75">
        <f t="shared" si="68"/>
        <v>0</v>
      </c>
      <c r="BE47" s="74"/>
      <c r="BF47" s="74"/>
      <c r="BG47" s="74"/>
      <c r="BH47" s="74"/>
      <c r="BI47" s="75">
        <f t="shared" si="69"/>
        <v>0</v>
      </c>
      <c r="BJ47" s="74"/>
      <c r="BK47" s="74"/>
      <c r="BL47" s="74"/>
      <c r="BM47" s="74"/>
      <c r="BN47" s="75">
        <f t="shared" si="71"/>
        <v>0</v>
      </c>
      <c r="BO47" s="76"/>
      <c r="BP47" s="76"/>
      <c r="BQ47" s="76"/>
      <c r="BR47" s="74"/>
      <c r="BS47" s="75">
        <f t="shared" si="72"/>
        <v>0</v>
      </c>
      <c r="BT47" s="76"/>
      <c r="BU47" s="76"/>
      <c r="BV47" s="76"/>
      <c r="BW47" s="76"/>
      <c r="BX47" s="75"/>
      <c r="BY47" s="76"/>
      <c r="BZ47" s="76"/>
      <c r="CA47" s="76"/>
      <c r="CB47" s="76"/>
      <c r="CC47" s="75"/>
      <c r="CD47" s="76"/>
      <c r="CE47" s="76"/>
      <c r="CF47" s="76"/>
      <c r="CG47" s="76"/>
      <c r="CH47" s="221">
        <f t="shared" si="58"/>
        <v>0</v>
      </c>
      <c r="CI47" s="283">
        <v>0</v>
      </c>
      <c r="CJ47" s="283">
        <v>0</v>
      </c>
      <c r="CK47" s="283">
        <v>0</v>
      </c>
      <c r="CL47" s="283">
        <v>0</v>
      </c>
      <c r="CM47" s="221">
        <f t="shared" si="59"/>
        <v>0</v>
      </c>
      <c r="CN47" s="1215">
        <v>0</v>
      </c>
      <c r="CO47" s="1215">
        <v>0</v>
      </c>
      <c r="CP47" s="1215">
        <v>0</v>
      </c>
      <c r="CQ47" s="1215">
        <v>0</v>
      </c>
      <c r="CR47" s="221">
        <f t="shared" si="60"/>
        <v>0</v>
      </c>
      <c r="CS47" s="1215">
        <v>0</v>
      </c>
      <c r="CT47" s="1215">
        <v>0</v>
      </c>
      <c r="CU47" s="1215">
        <v>0</v>
      </c>
      <c r="CV47" s="1215">
        <v>0</v>
      </c>
      <c r="CW47" s="221">
        <f t="shared" si="61"/>
        <v>0</v>
      </c>
      <c r="CX47" s="1215">
        <v>0</v>
      </c>
      <c r="CY47" s="1215">
        <v>0</v>
      </c>
      <c r="CZ47" s="1215">
        <v>0</v>
      </c>
      <c r="DA47" s="1215">
        <v>0</v>
      </c>
      <c r="DB47" s="221">
        <f t="shared" si="62"/>
        <v>0</v>
      </c>
      <c r="DC47" s="9"/>
      <c r="DD47" s="9"/>
      <c r="DE47" s="9"/>
      <c r="DF47" s="9"/>
      <c r="DG47" s="9"/>
      <c r="DH47" s="9"/>
      <c r="DI47" s="9"/>
      <c r="DJ47" s="9"/>
    </row>
    <row r="48" spans="1:114" s="725" customFormat="1" hidden="1" outlineLevel="1">
      <c r="A48" s="9"/>
      <c r="B48" s="9" t="s">
        <v>297</v>
      </c>
      <c r="C48" s="432"/>
      <c r="D48" s="73"/>
      <c r="E48" s="73"/>
      <c r="F48" s="72"/>
      <c r="G48" s="74"/>
      <c r="H48" s="74"/>
      <c r="I48" s="74"/>
      <c r="J48" s="74"/>
      <c r="K48" s="75">
        <f t="shared" si="45"/>
        <v>0</v>
      </c>
      <c r="L48" s="74"/>
      <c r="M48" s="74"/>
      <c r="N48" s="74"/>
      <c r="O48" s="74"/>
      <c r="P48" s="75">
        <f t="shared" si="46"/>
        <v>0</v>
      </c>
      <c r="Q48" s="74"/>
      <c r="R48" s="74"/>
      <c r="S48" s="74"/>
      <c r="T48" s="74"/>
      <c r="U48" s="75">
        <f t="shared" si="47"/>
        <v>0</v>
      </c>
      <c r="V48" s="74"/>
      <c r="W48" s="74"/>
      <c r="X48" s="74"/>
      <c r="Y48" s="74"/>
      <c r="Z48" s="75">
        <f t="shared" si="48"/>
        <v>0</v>
      </c>
      <c r="AA48" s="74"/>
      <c r="AB48" s="74"/>
      <c r="AC48" s="74"/>
      <c r="AD48" s="74"/>
      <c r="AE48" s="75">
        <f t="shared" si="63"/>
        <v>0</v>
      </c>
      <c r="AF48" s="74"/>
      <c r="AG48" s="74"/>
      <c r="AH48" s="74"/>
      <c r="AI48" s="74">
        <f>50/4*(2/3)</f>
        <v>8.3333333333333321</v>
      </c>
      <c r="AJ48" s="75">
        <f t="shared" si="64"/>
        <v>8.3333333333333321</v>
      </c>
      <c r="AK48" s="74">
        <f>50/4</f>
        <v>12.5</v>
      </c>
      <c r="AL48" s="74">
        <f>50/4</f>
        <v>12.5</v>
      </c>
      <c r="AM48" s="74">
        <f>50/4</f>
        <v>12.5</v>
      </c>
      <c r="AN48" s="74">
        <f>50/4*(1/3)</f>
        <v>4.1666666666666661</v>
      </c>
      <c r="AO48" s="75">
        <f t="shared" si="65"/>
        <v>41.666666666666664</v>
      </c>
      <c r="AP48" s="74"/>
      <c r="AQ48" s="74"/>
      <c r="AR48" s="74"/>
      <c r="AS48" s="74"/>
      <c r="AT48" s="75">
        <f t="shared" si="66"/>
        <v>0</v>
      </c>
      <c r="AU48" s="74"/>
      <c r="AV48" s="74"/>
      <c r="AW48" s="74"/>
      <c r="AX48" s="74"/>
      <c r="AY48" s="75">
        <f t="shared" si="67"/>
        <v>0</v>
      </c>
      <c r="AZ48" s="74"/>
      <c r="BA48" s="74"/>
      <c r="BB48" s="74"/>
      <c r="BC48" s="74"/>
      <c r="BD48" s="75">
        <f t="shared" si="68"/>
        <v>0</v>
      </c>
      <c r="BE48" s="74"/>
      <c r="BF48" s="74"/>
      <c r="BG48" s="74"/>
      <c r="BH48" s="74"/>
      <c r="BI48" s="75">
        <f t="shared" si="69"/>
        <v>0</v>
      </c>
      <c r="BJ48" s="74"/>
      <c r="BK48" s="74"/>
      <c r="BL48" s="74"/>
      <c r="BM48" s="74"/>
      <c r="BN48" s="75">
        <f t="shared" si="71"/>
        <v>0</v>
      </c>
      <c r="BO48" s="76"/>
      <c r="BP48" s="76"/>
      <c r="BQ48" s="76"/>
      <c r="BR48" s="74"/>
      <c r="BS48" s="75">
        <f t="shared" si="72"/>
        <v>0</v>
      </c>
      <c r="BT48" s="76"/>
      <c r="BU48" s="76"/>
      <c r="BV48" s="76"/>
      <c r="BW48" s="76"/>
      <c r="BX48" s="75"/>
      <c r="BY48" s="76"/>
      <c r="BZ48" s="76"/>
      <c r="CA48" s="76"/>
      <c r="CB48" s="76"/>
      <c r="CC48" s="75"/>
      <c r="CD48" s="76"/>
      <c r="CE48" s="76"/>
      <c r="CF48" s="76"/>
      <c r="CG48" s="76"/>
      <c r="CH48" s="221">
        <f t="shared" si="58"/>
        <v>0</v>
      </c>
      <c r="CI48" s="283">
        <v>0</v>
      </c>
      <c r="CJ48" s="283">
        <v>0</v>
      </c>
      <c r="CK48" s="283">
        <v>0</v>
      </c>
      <c r="CL48" s="283">
        <v>0</v>
      </c>
      <c r="CM48" s="221">
        <f t="shared" si="59"/>
        <v>0</v>
      </c>
      <c r="CN48" s="1215">
        <v>0</v>
      </c>
      <c r="CO48" s="1215">
        <v>0</v>
      </c>
      <c r="CP48" s="1215">
        <v>0</v>
      </c>
      <c r="CQ48" s="1215">
        <v>0</v>
      </c>
      <c r="CR48" s="221">
        <f t="shared" si="60"/>
        <v>0</v>
      </c>
      <c r="CS48" s="1215">
        <v>0</v>
      </c>
      <c r="CT48" s="1215">
        <v>0</v>
      </c>
      <c r="CU48" s="1215">
        <v>0</v>
      </c>
      <c r="CV48" s="1215">
        <v>0</v>
      </c>
      <c r="CW48" s="221">
        <f t="shared" si="61"/>
        <v>0</v>
      </c>
      <c r="CX48" s="1215">
        <v>0</v>
      </c>
      <c r="CY48" s="1215">
        <v>0</v>
      </c>
      <c r="CZ48" s="1215">
        <v>0</v>
      </c>
      <c r="DA48" s="1215">
        <v>0</v>
      </c>
      <c r="DB48" s="221">
        <f t="shared" si="62"/>
        <v>0</v>
      </c>
      <c r="DC48" s="9"/>
      <c r="DD48" s="9"/>
      <c r="DE48" s="9"/>
      <c r="DF48" s="9"/>
      <c r="DG48" s="9"/>
      <c r="DH48" s="9"/>
      <c r="DI48" s="9"/>
      <c r="DJ48" s="9"/>
    </row>
    <row r="49" spans="1:114" s="725" customFormat="1" hidden="1" outlineLevel="1">
      <c r="A49" s="9"/>
      <c r="B49" s="9" t="s">
        <v>298</v>
      </c>
      <c r="C49" s="432"/>
      <c r="D49" s="73"/>
      <c r="E49" s="73"/>
      <c r="F49" s="72"/>
      <c r="G49" s="74"/>
      <c r="H49" s="74"/>
      <c r="I49" s="74"/>
      <c r="J49" s="74"/>
      <c r="K49" s="75">
        <f t="shared" si="45"/>
        <v>0</v>
      </c>
      <c r="L49" s="74"/>
      <c r="M49" s="74"/>
      <c r="N49" s="74"/>
      <c r="O49" s="74"/>
      <c r="P49" s="75">
        <f t="shared" si="46"/>
        <v>0</v>
      </c>
      <c r="Q49" s="74"/>
      <c r="R49" s="74"/>
      <c r="S49" s="74"/>
      <c r="T49" s="74"/>
      <c r="U49" s="75">
        <f t="shared" si="47"/>
        <v>0</v>
      </c>
      <c r="V49" s="74"/>
      <c r="W49" s="74"/>
      <c r="X49" s="74"/>
      <c r="Y49" s="74"/>
      <c r="Z49" s="75">
        <f t="shared" si="48"/>
        <v>0</v>
      </c>
      <c r="AA49" s="74"/>
      <c r="AB49" s="74"/>
      <c r="AC49" s="74"/>
      <c r="AD49" s="74"/>
      <c r="AE49" s="75">
        <f t="shared" si="63"/>
        <v>0</v>
      </c>
      <c r="AF49" s="74"/>
      <c r="AG49" s="74"/>
      <c r="AH49" s="74"/>
      <c r="AI49" s="74"/>
      <c r="AJ49" s="75">
        <f t="shared" si="64"/>
        <v>0</v>
      </c>
      <c r="AK49" s="74"/>
      <c r="AL49" s="74"/>
      <c r="AM49" s="74"/>
      <c r="AN49" s="74"/>
      <c r="AO49" s="75">
        <f t="shared" si="65"/>
        <v>0</v>
      </c>
      <c r="AP49" s="74"/>
      <c r="AQ49" s="74"/>
      <c r="AR49" s="74"/>
      <c r="AS49" s="74"/>
      <c r="AT49" s="75">
        <f t="shared" si="66"/>
        <v>0</v>
      </c>
      <c r="AU49" s="74"/>
      <c r="AV49" s="74"/>
      <c r="AW49" s="74"/>
      <c r="AX49" s="74"/>
      <c r="AY49" s="75">
        <f t="shared" si="67"/>
        <v>0</v>
      </c>
      <c r="AZ49" s="74"/>
      <c r="BA49" s="74"/>
      <c r="BB49" s="74"/>
      <c r="BC49" s="74"/>
      <c r="BD49" s="75">
        <f t="shared" si="68"/>
        <v>0</v>
      </c>
      <c r="BE49" s="74"/>
      <c r="BF49" s="74"/>
      <c r="BG49" s="74"/>
      <c r="BH49" s="74"/>
      <c r="BI49" s="75">
        <f t="shared" si="69"/>
        <v>0</v>
      </c>
      <c r="BJ49" s="74"/>
      <c r="BK49" s="74"/>
      <c r="BL49" s="74"/>
      <c r="BM49" s="74"/>
      <c r="BN49" s="75">
        <f t="shared" si="71"/>
        <v>0</v>
      </c>
      <c r="BO49" s="76"/>
      <c r="BP49" s="76"/>
      <c r="BQ49" s="76"/>
      <c r="BR49" s="74"/>
      <c r="BS49" s="75">
        <f t="shared" si="72"/>
        <v>0</v>
      </c>
      <c r="BT49" s="76"/>
      <c r="BU49" s="76"/>
      <c r="BV49" s="76"/>
      <c r="BW49" s="76"/>
      <c r="BX49" s="75"/>
      <c r="BY49" s="76"/>
      <c r="BZ49" s="76"/>
      <c r="CA49" s="76"/>
      <c r="CB49" s="76"/>
      <c r="CC49" s="75"/>
      <c r="CD49" s="76"/>
      <c r="CE49" s="76"/>
      <c r="CF49" s="76"/>
      <c r="CG49" s="76"/>
      <c r="CH49" s="221">
        <f t="shared" si="58"/>
        <v>0</v>
      </c>
      <c r="CI49" s="283">
        <v>0</v>
      </c>
      <c r="CJ49" s="283">
        <v>0</v>
      </c>
      <c r="CK49" s="283">
        <v>0</v>
      </c>
      <c r="CL49" s="283">
        <v>0</v>
      </c>
      <c r="CM49" s="221">
        <f t="shared" si="59"/>
        <v>0</v>
      </c>
      <c r="CN49" s="1215">
        <v>0</v>
      </c>
      <c r="CO49" s="1215">
        <v>0</v>
      </c>
      <c r="CP49" s="1215">
        <v>0</v>
      </c>
      <c r="CQ49" s="1215">
        <v>0</v>
      </c>
      <c r="CR49" s="221">
        <f t="shared" si="60"/>
        <v>0</v>
      </c>
      <c r="CS49" s="1215">
        <v>0</v>
      </c>
      <c r="CT49" s="1215">
        <v>0</v>
      </c>
      <c r="CU49" s="1215">
        <v>0</v>
      </c>
      <c r="CV49" s="1215">
        <v>0</v>
      </c>
      <c r="CW49" s="221">
        <f t="shared" si="61"/>
        <v>0</v>
      </c>
      <c r="CX49" s="1215">
        <v>0</v>
      </c>
      <c r="CY49" s="1215">
        <v>0</v>
      </c>
      <c r="CZ49" s="1215">
        <v>0</v>
      </c>
      <c r="DA49" s="1215">
        <v>0</v>
      </c>
      <c r="DB49" s="221">
        <f t="shared" si="62"/>
        <v>0</v>
      </c>
      <c r="DC49" s="9"/>
      <c r="DD49" s="9"/>
      <c r="DE49" s="9"/>
      <c r="DF49" s="9"/>
      <c r="DG49" s="9"/>
      <c r="DH49" s="9"/>
      <c r="DI49" s="9"/>
      <c r="DJ49" s="9"/>
    </row>
    <row r="50" spans="1:114" s="725" customFormat="1" hidden="1" outlineLevel="1">
      <c r="A50" s="9"/>
      <c r="B50" s="9" t="s">
        <v>299</v>
      </c>
      <c r="C50" s="432"/>
      <c r="D50" s="73"/>
      <c r="E50" s="73"/>
      <c r="F50" s="72"/>
      <c r="G50" s="74"/>
      <c r="H50" s="74"/>
      <c r="I50" s="74"/>
      <c r="J50" s="74"/>
      <c r="K50" s="75">
        <f t="shared" si="45"/>
        <v>0</v>
      </c>
      <c r="L50" s="74"/>
      <c r="M50" s="74"/>
      <c r="N50" s="74"/>
      <c r="O50" s="74"/>
      <c r="P50" s="75">
        <f t="shared" si="46"/>
        <v>0</v>
      </c>
      <c r="Q50" s="74"/>
      <c r="R50" s="74"/>
      <c r="S50" s="74"/>
      <c r="T50" s="74"/>
      <c r="U50" s="75">
        <f t="shared" si="47"/>
        <v>0</v>
      </c>
      <c r="V50" s="74"/>
      <c r="W50" s="74"/>
      <c r="X50" s="74"/>
      <c r="Y50" s="74"/>
      <c r="Z50" s="75">
        <f t="shared" si="48"/>
        <v>0</v>
      </c>
      <c r="AA50" s="74"/>
      <c r="AB50" s="74"/>
      <c r="AC50" s="74"/>
      <c r="AD50" s="74"/>
      <c r="AE50" s="75">
        <f t="shared" si="63"/>
        <v>0</v>
      </c>
      <c r="AF50" s="74"/>
      <c r="AG50" s="74"/>
      <c r="AH50" s="74"/>
      <c r="AI50" s="74"/>
      <c r="AJ50" s="75">
        <f t="shared" si="64"/>
        <v>0</v>
      </c>
      <c r="AK50" s="74"/>
      <c r="AL50" s="74"/>
      <c r="AM50" s="74"/>
      <c r="AN50" s="74"/>
      <c r="AO50" s="75">
        <f t="shared" si="65"/>
        <v>0</v>
      </c>
      <c r="AP50" s="74"/>
      <c r="AQ50" s="74"/>
      <c r="AR50" s="74"/>
      <c r="AS50" s="74"/>
      <c r="AT50" s="75">
        <f t="shared" si="66"/>
        <v>0</v>
      </c>
      <c r="AU50" s="74"/>
      <c r="AV50" s="74"/>
      <c r="AW50" s="74"/>
      <c r="AX50" s="74"/>
      <c r="AY50" s="75">
        <f t="shared" si="67"/>
        <v>0</v>
      </c>
      <c r="AZ50" s="74"/>
      <c r="BA50" s="74"/>
      <c r="BB50" s="74"/>
      <c r="BC50" s="74"/>
      <c r="BD50" s="75">
        <f t="shared" si="68"/>
        <v>0</v>
      </c>
      <c r="BE50" s="74"/>
      <c r="BF50" s="74"/>
      <c r="BG50" s="74"/>
      <c r="BH50" s="74"/>
      <c r="BI50" s="75">
        <f t="shared" si="69"/>
        <v>0</v>
      </c>
      <c r="BJ50" s="74"/>
      <c r="BK50" s="74"/>
      <c r="BL50" s="74"/>
      <c r="BM50" s="74"/>
      <c r="BN50" s="75">
        <f t="shared" si="71"/>
        <v>0</v>
      </c>
      <c r="BO50" s="76"/>
      <c r="BP50" s="76"/>
      <c r="BQ50" s="76"/>
      <c r="BR50" s="74"/>
      <c r="BS50" s="75">
        <f t="shared" si="72"/>
        <v>0</v>
      </c>
      <c r="BT50" s="76"/>
      <c r="BU50" s="76"/>
      <c r="BV50" s="76"/>
      <c r="BW50" s="76"/>
      <c r="BX50" s="75"/>
      <c r="BY50" s="76"/>
      <c r="BZ50" s="76"/>
      <c r="CA50" s="76"/>
      <c r="CB50" s="76"/>
      <c r="CC50" s="75"/>
      <c r="CD50" s="76"/>
      <c r="CE50" s="76"/>
      <c r="CF50" s="76"/>
      <c r="CG50" s="76"/>
      <c r="CH50" s="221">
        <f t="shared" si="58"/>
        <v>0</v>
      </c>
      <c r="CI50" s="283">
        <v>0</v>
      </c>
      <c r="CJ50" s="283">
        <v>0</v>
      </c>
      <c r="CK50" s="283">
        <v>0</v>
      </c>
      <c r="CL50" s="283">
        <v>0</v>
      </c>
      <c r="CM50" s="221">
        <f t="shared" si="59"/>
        <v>0</v>
      </c>
      <c r="CN50" s="1215">
        <v>0</v>
      </c>
      <c r="CO50" s="1215">
        <v>0</v>
      </c>
      <c r="CP50" s="1215">
        <v>0</v>
      </c>
      <c r="CQ50" s="1215">
        <v>0</v>
      </c>
      <c r="CR50" s="221">
        <f t="shared" si="60"/>
        <v>0</v>
      </c>
      <c r="CS50" s="1215">
        <v>0</v>
      </c>
      <c r="CT50" s="1215">
        <v>0</v>
      </c>
      <c r="CU50" s="1215">
        <v>0</v>
      </c>
      <c r="CV50" s="1215">
        <v>0</v>
      </c>
      <c r="CW50" s="221">
        <f t="shared" si="61"/>
        <v>0</v>
      </c>
      <c r="CX50" s="1215">
        <v>0</v>
      </c>
      <c r="CY50" s="1215">
        <v>0</v>
      </c>
      <c r="CZ50" s="1215">
        <v>0</v>
      </c>
      <c r="DA50" s="1215">
        <v>0</v>
      </c>
      <c r="DB50" s="221">
        <f t="shared" si="62"/>
        <v>0</v>
      </c>
      <c r="DC50" s="9"/>
      <c r="DD50" s="9"/>
      <c r="DE50" s="9"/>
      <c r="DF50" s="9"/>
      <c r="DG50" s="9"/>
      <c r="DH50" s="9"/>
      <c r="DI50" s="9"/>
      <c r="DJ50" s="9"/>
    </row>
    <row r="51" spans="1:114" s="725" customFormat="1" hidden="1" outlineLevel="1">
      <c r="A51" s="9"/>
      <c r="B51" s="9" t="s">
        <v>300</v>
      </c>
      <c r="C51" s="432"/>
      <c r="D51" s="73"/>
      <c r="E51" s="73"/>
      <c r="F51" s="72"/>
      <c r="G51" s="74"/>
      <c r="H51" s="74"/>
      <c r="I51" s="74"/>
      <c r="J51" s="74"/>
      <c r="K51" s="75">
        <f t="shared" si="45"/>
        <v>0</v>
      </c>
      <c r="L51" s="74"/>
      <c r="M51" s="74"/>
      <c r="N51" s="74"/>
      <c r="O51" s="74"/>
      <c r="P51" s="75">
        <f t="shared" si="46"/>
        <v>0</v>
      </c>
      <c r="Q51" s="74"/>
      <c r="R51" s="74"/>
      <c r="S51" s="74"/>
      <c r="T51" s="74"/>
      <c r="U51" s="75">
        <f t="shared" si="47"/>
        <v>0</v>
      </c>
      <c r="V51" s="74"/>
      <c r="W51" s="74"/>
      <c r="X51" s="74"/>
      <c r="Y51" s="74"/>
      <c r="Z51" s="75">
        <f t="shared" si="48"/>
        <v>0</v>
      </c>
      <c r="AA51" s="74"/>
      <c r="AB51" s="74"/>
      <c r="AC51" s="74"/>
      <c r="AD51" s="74"/>
      <c r="AE51" s="75">
        <f t="shared" si="63"/>
        <v>0</v>
      </c>
      <c r="AF51" s="74"/>
      <c r="AG51" s="74"/>
      <c r="AH51" s="74"/>
      <c r="AI51" s="74"/>
      <c r="AJ51" s="75">
        <f t="shared" si="64"/>
        <v>0</v>
      </c>
      <c r="AK51" s="74"/>
      <c r="AL51" s="74"/>
      <c r="AM51" s="74"/>
      <c r="AN51" s="74"/>
      <c r="AO51" s="75">
        <f t="shared" si="65"/>
        <v>0</v>
      </c>
      <c r="AP51" s="74"/>
      <c r="AQ51" s="74"/>
      <c r="AR51" s="74"/>
      <c r="AS51" s="74"/>
      <c r="AT51" s="75">
        <f t="shared" si="66"/>
        <v>0</v>
      </c>
      <c r="AU51" s="74"/>
      <c r="AV51" s="74"/>
      <c r="AW51" s="74"/>
      <c r="AX51" s="74"/>
      <c r="AY51" s="75">
        <f t="shared" si="67"/>
        <v>0</v>
      </c>
      <c r="AZ51" s="74"/>
      <c r="BA51" s="74"/>
      <c r="BB51" s="74"/>
      <c r="BC51" s="74"/>
      <c r="BD51" s="75">
        <f t="shared" si="68"/>
        <v>0</v>
      </c>
      <c r="BE51" s="74"/>
      <c r="BF51" s="74"/>
      <c r="BG51" s="74"/>
      <c r="BH51" s="74"/>
      <c r="BI51" s="75">
        <f t="shared" si="69"/>
        <v>0</v>
      </c>
      <c r="BJ51" s="74"/>
      <c r="BK51" s="74"/>
      <c r="BL51" s="74"/>
      <c r="BM51" s="74"/>
      <c r="BN51" s="75">
        <f t="shared" si="71"/>
        <v>0</v>
      </c>
      <c r="BO51" s="76"/>
      <c r="BP51" s="76"/>
      <c r="BQ51" s="76"/>
      <c r="BR51" s="74"/>
      <c r="BS51" s="75">
        <f t="shared" si="72"/>
        <v>0</v>
      </c>
      <c r="BT51" s="76"/>
      <c r="BU51" s="76"/>
      <c r="BV51" s="76"/>
      <c r="BW51" s="76"/>
      <c r="BX51" s="75"/>
      <c r="BY51" s="76"/>
      <c r="BZ51" s="76"/>
      <c r="CA51" s="76"/>
      <c r="CB51" s="76"/>
      <c r="CC51" s="75"/>
      <c r="CD51" s="76"/>
      <c r="CE51" s="76"/>
      <c r="CF51" s="76"/>
      <c r="CG51" s="76"/>
      <c r="CH51" s="221">
        <f t="shared" si="58"/>
        <v>0</v>
      </c>
      <c r="CI51" s="283">
        <v>0</v>
      </c>
      <c r="CJ51" s="283">
        <v>0</v>
      </c>
      <c r="CK51" s="283">
        <v>0</v>
      </c>
      <c r="CL51" s="283">
        <v>0</v>
      </c>
      <c r="CM51" s="221">
        <f t="shared" si="59"/>
        <v>0</v>
      </c>
      <c r="CN51" s="1215">
        <v>0</v>
      </c>
      <c r="CO51" s="1215">
        <v>0</v>
      </c>
      <c r="CP51" s="1215">
        <v>0</v>
      </c>
      <c r="CQ51" s="1215">
        <v>0</v>
      </c>
      <c r="CR51" s="221">
        <f t="shared" si="60"/>
        <v>0</v>
      </c>
      <c r="CS51" s="1215">
        <v>0</v>
      </c>
      <c r="CT51" s="1215">
        <v>0</v>
      </c>
      <c r="CU51" s="1215">
        <v>0</v>
      </c>
      <c r="CV51" s="1215">
        <v>0</v>
      </c>
      <c r="CW51" s="221">
        <f t="shared" si="61"/>
        <v>0</v>
      </c>
      <c r="CX51" s="1215">
        <v>0</v>
      </c>
      <c r="CY51" s="1215">
        <v>0</v>
      </c>
      <c r="CZ51" s="1215">
        <v>0</v>
      </c>
      <c r="DA51" s="1215">
        <v>0</v>
      </c>
      <c r="DB51" s="221">
        <f t="shared" si="62"/>
        <v>0</v>
      </c>
      <c r="DC51" s="9"/>
      <c r="DD51" s="9"/>
      <c r="DE51" s="9"/>
      <c r="DF51" s="9"/>
      <c r="DG51" s="9"/>
      <c r="DH51" s="9"/>
      <c r="DI51" s="9"/>
      <c r="DJ51" s="9"/>
    </row>
    <row r="52" spans="1:114" s="725" customFormat="1" hidden="1" outlineLevel="1">
      <c r="A52" s="9"/>
      <c r="B52" s="9" t="s">
        <v>301</v>
      </c>
      <c r="C52" s="432"/>
      <c r="D52" s="73"/>
      <c r="E52" s="73"/>
      <c r="F52" s="72"/>
      <c r="G52" s="74"/>
      <c r="H52" s="74"/>
      <c r="I52" s="74"/>
      <c r="J52" s="74"/>
      <c r="K52" s="75">
        <f t="shared" si="45"/>
        <v>0</v>
      </c>
      <c r="L52" s="74"/>
      <c r="M52" s="74"/>
      <c r="N52" s="74"/>
      <c r="O52" s="74"/>
      <c r="P52" s="75">
        <f t="shared" si="46"/>
        <v>0</v>
      </c>
      <c r="Q52" s="74"/>
      <c r="R52" s="74"/>
      <c r="S52" s="74"/>
      <c r="T52" s="74"/>
      <c r="U52" s="75">
        <f t="shared" si="47"/>
        <v>0</v>
      </c>
      <c r="V52" s="74"/>
      <c r="W52" s="74"/>
      <c r="X52" s="74"/>
      <c r="Y52" s="74"/>
      <c r="Z52" s="75">
        <f t="shared" si="48"/>
        <v>0</v>
      </c>
      <c r="AA52" s="74"/>
      <c r="AB52" s="74"/>
      <c r="AC52" s="74"/>
      <c r="AD52" s="74"/>
      <c r="AE52" s="75">
        <f t="shared" si="63"/>
        <v>0</v>
      </c>
      <c r="AF52" s="74"/>
      <c r="AG52" s="74">
        <f>60/4</f>
        <v>15</v>
      </c>
      <c r="AH52" s="74">
        <f>60/4</f>
        <v>15</v>
      </c>
      <c r="AI52" s="74">
        <f>60/4</f>
        <v>15</v>
      </c>
      <c r="AJ52" s="75">
        <f t="shared" si="64"/>
        <v>45</v>
      </c>
      <c r="AK52" s="74">
        <f>60/4</f>
        <v>15</v>
      </c>
      <c r="AL52" s="74"/>
      <c r="AM52" s="74"/>
      <c r="AN52" s="74"/>
      <c r="AO52" s="75">
        <f t="shared" si="65"/>
        <v>15</v>
      </c>
      <c r="AP52" s="74"/>
      <c r="AQ52" s="74"/>
      <c r="AR52" s="74"/>
      <c r="AS52" s="74"/>
      <c r="AT52" s="75">
        <f t="shared" si="66"/>
        <v>0</v>
      </c>
      <c r="AU52" s="74"/>
      <c r="AV52" s="74"/>
      <c r="AW52" s="74"/>
      <c r="AX52" s="74"/>
      <c r="AY52" s="75">
        <f t="shared" si="67"/>
        <v>0</v>
      </c>
      <c r="AZ52" s="74"/>
      <c r="BA52" s="74"/>
      <c r="BB52" s="74"/>
      <c r="BC52" s="74"/>
      <c r="BD52" s="75">
        <f t="shared" si="68"/>
        <v>0</v>
      </c>
      <c r="BE52" s="74"/>
      <c r="BF52" s="74"/>
      <c r="BG52" s="74"/>
      <c r="BH52" s="74"/>
      <c r="BI52" s="75">
        <f t="shared" si="69"/>
        <v>0</v>
      </c>
      <c r="BJ52" s="74"/>
      <c r="BK52" s="74"/>
      <c r="BL52" s="74"/>
      <c r="BM52" s="74"/>
      <c r="BN52" s="75">
        <f t="shared" si="71"/>
        <v>0</v>
      </c>
      <c r="BO52" s="76"/>
      <c r="BP52" s="76"/>
      <c r="BQ52" s="76"/>
      <c r="BR52" s="74"/>
      <c r="BS52" s="75">
        <f t="shared" si="72"/>
        <v>0</v>
      </c>
      <c r="BT52" s="76"/>
      <c r="BU52" s="76"/>
      <c r="BV52" s="76"/>
      <c r="BW52" s="76"/>
      <c r="BX52" s="75"/>
      <c r="BY52" s="76"/>
      <c r="BZ52" s="76"/>
      <c r="CA52" s="76"/>
      <c r="CB52" s="76"/>
      <c r="CC52" s="75"/>
      <c r="CD52" s="76"/>
      <c r="CE52" s="76"/>
      <c r="CF52" s="76"/>
      <c r="CG52" s="76"/>
      <c r="CH52" s="221">
        <f t="shared" si="58"/>
        <v>0</v>
      </c>
      <c r="CI52" s="283">
        <v>0</v>
      </c>
      <c r="CJ52" s="283">
        <v>0</v>
      </c>
      <c r="CK52" s="283">
        <v>0</v>
      </c>
      <c r="CL52" s="283">
        <v>0</v>
      </c>
      <c r="CM52" s="221">
        <f t="shared" si="59"/>
        <v>0</v>
      </c>
      <c r="CN52" s="1215">
        <v>0</v>
      </c>
      <c r="CO52" s="1215">
        <v>0</v>
      </c>
      <c r="CP52" s="1215">
        <v>0</v>
      </c>
      <c r="CQ52" s="1215">
        <v>0</v>
      </c>
      <c r="CR52" s="221">
        <f t="shared" si="60"/>
        <v>0</v>
      </c>
      <c r="CS52" s="1215">
        <v>0</v>
      </c>
      <c r="CT52" s="1215">
        <v>0</v>
      </c>
      <c r="CU52" s="1215">
        <v>0</v>
      </c>
      <c r="CV52" s="1215">
        <v>0</v>
      </c>
      <c r="CW52" s="221">
        <f t="shared" si="61"/>
        <v>0</v>
      </c>
      <c r="CX52" s="1215">
        <v>0</v>
      </c>
      <c r="CY52" s="1215">
        <v>0</v>
      </c>
      <c r="CZ52" s="1215">
        <v>0</v>
      </c>
      <c r="DA52" s="1215">
        <v>0</v>
      </c>
      <c r="DB52" s="221">
        <f t="shared" si="62"/>
        <v>0</v>
      </c>
      <c r="DC52" s="9"/>
      <c r="DD52" s="9"/>
      <c r="DE52" s="9"/>
      <c r="DF52" s="9"/>
      <c r="DG52" s="9"/>
      <c r="DH52" s="9"/>
      <c r="DI52" s="9"/>
      <c r="DJ52" s="9"/>
    </row>
    <row r="53" spans="1:114" s="725" customFormat="1" hidden="1" outlineLevel="1">
      <c r="A53" s="9"/>
      <c r="B53" s="9" t="s">
        <v>302</v>
      </c>
      <c r="C53" s="432"/>
      <c r="D53" s="73"/>
      <c r="E53" s="73"/>
      <c r="F53" s="72"/>
      <c r="G53" s="74"/>
      <c r="H53" s="74"/>
      <c r="I53" s="74"/>
      <c r="J53" s="74"/>
      <c r="K53" s="75">
        <f t="shared" si="45"/>
        <v>0</v>
      </c>
      <c r="L53" s="74"/>
      <c r="M53" s="74"/>
      <c r="N53" s="74"/>
      <c r="O53" s="74"/>
      <c r="P53" s="75">
        <f t="shared" si="46"/>
        <v>0</v>
      </c>
      <c r="Q53" s="74"/>
      <c r="R53" s="74"/>
      <c r="S53" s="74"/>
      <c r="T53" s="74"/>
      <c r="U53" s="75">
        <f t="shared" si="47"/>
        <v>0</v>
      </c>
      <c r="V53" s="74"/>
      <c r="W53" s="74"/>
      <c r="X53" s="74"/>
      <c r="Y53" s="74"/>
      <c r="Z53" s="75">
        <f t="shared" si="48"/>
        <v>0</v>
      </c>
      <c r="AA53" s="74"/>
      <c r="AB53" s="74"/>
      <c r="AC53" s="74"/>
      <c r="AD53" s="74"/>
      <c r="AE53" s="75">
        <f t="shared" si="63"/>
        <v>0</v>
      </c>
      <c r="AF53" s="74">
        <f>18/4*(1/3)</f>
        <v>1.5</v>
      </c>
      <c r="AG53" s="74">
        <f>18/4</f>
        <v>4.5</v>
      </c>
      <c r="AH53" s="74">
        <f>18/4</f>
        <v>4.5</v>
      </c>
      <c r="AI53" s="74">
        <f>18/4</f>
        <v>4.5</v>
      </c>
      <c r="AJ53" s="75">
        <f t="shared" si="64"/>
        <v>15</v>
      </c>
      <c r="AK53" s="74">
        <f>18/4*(2/3)</f>
        <v>3</v>
      </c>
      <c r="AL53" s="74"/>
      <c r="AM53" s="74"/>
      <c r="AN53" s="74"/>
      <c r="AO53" s="75">
        <f t="shared" si="65"/>
        <v>3</v>
      </c>
      <c r="AP53" s="74"/>
      <c r="AQ53" s="74"/>
      <c r="AR53" s="74"/>
      <c r="AS53" s="74"/>
      <c r="AT53" s="75">
        <f t="shared" si="66"/>
        <v>0</v>
      </c>
      <c r="AU53" s="74"/>
      <c r="AV53" s="74"/>
      <c r="AW53" s="74"/>
      <c r="AX53" s="74"/>
      <c r="AY53" s="75">
        <f t="shared" si="67"/>
        <v>0</v>
      </c>
      <c r="AZ53" s="74"/>
      <c r="BA53" s="74"/>
      <c r="BB53" s="74"/>
      <c r="BC53" s="74"/>
      <c r="BD53" s="75">
        <f t="shared" si="68"/>
        <v>0</v>
      </c>
      <c r="BE53" s="74"/>
      <c r="BF53" s="74"/>
      <c r="BG53" s="74"/>
      <c r="BH53" s="74"/>
      <c r="BI53" s="75">
        <f t="shared" si="69"/>
        <v>0</v>
      </c>
      <c r="BJ53" s="74"/>
      <c r="BK53" s="74"/>
      <c r="BL53" s="74"/>
      <c r="BM53" s="74"/>
      <c r="BN53" s="75">
        <f t="shared" si="71"/>
        <v>0</v>
      </c>
      <c r="BO53" s="76"/>
      <c r="BP53" s="76"/>
      <c r="BQ53" s="76"/>
      <c r="BR53" s="74"/>
      <c r="BS53" s="75">
        <f t="shared" si="72"/>
        <v>0</v>
      </c>
      <c r="BT53" s="76"/>
      <c r="BU53" s="76"/>
      <c r="BV53" s="76"/>
      <c r="BW53" s="76"/>
      <c r="BX53" s="75"/>
      <c r="BY53" s="76"/>
      <c r="BZ53" s="76"/>
      <c r="CA53" s="76"/>
      <c r="CB53" s="76"/>
      <c r="CC53" s="75"/>
      <c r="CD53" s="76"/>
      <c r="CE53" s="76"/>
      <c r="CF53" s="76"/>
      <c r="CG53" s="76"/>
      <c r="CH53" s="221">
        <f t="shared" si="58"/>
        <v>0</v>
      </c>
      <c r="CI53" s="283">
        <v>0</v>
      </c>
      <c r="CJ53" s="283">
        <v>0</v>
      </c>
      <c r="CK53" s="283">
        <v>0</v>
      </c>
      <c r="CL53" s="283">
        <v>0</v>
      </c>
      <c r="CM53" s="221">
        <f t="shared" si="59"/>
        <v>0</v>
      </c>
      <c r="CN53" s="1215">
        <v>0</v>
      </c>
      <c r="CO53" s="1215">
        <v>0</v>
      </c>
      <c r="CP53" s="1215">
        <v>0</v>
      </c>
      <c r="CQ53" s="1215">
        <v>0</v>
      </c>
      <c r="CR53" s="221">
        <f t="shared" si="60"/>
        <v>0</v>
      </c>
      <c r="CS53" s="1215">
        <v>0</v>
      </c>
      <c r="CT53" s="1215">
        <v>0</v>
      </c>
      <c r="CU53" s="1215">
        <v>0</v>
      </c>
      <c r="CV53" s="1215">
        <v>0</v>
      </c>
      <c r="CW53" s="221">
        <f t="shared" si="61"/>
        <v>0</v>
      </c>
      <c r="CX53" s="1215">
        <v>0</v>
      </c>
      <c r="CY53" s="1215">
        <v>0</v>
      </c>
      <c r="CZ53" s="1215">
        <v>0</v>
      </c>
      <c r="DA53" s="1215">
        <v>0</v>
      </c>
      <c r="DB53" s="221">
        <f t="shared" si="62"/>
        <v>0</v>
      </c>
      <c r="DC53" s="9"/>
      <c r="DD53" s="9"/>
      <c r="DE53" s="9"/>
      <c r="DF53" s="9"/>
      <c r="DG53" s="9"/>
      <c r="DH53" s="9"/>
      <c r="DI53" s="9"/>
      <c r="DJ53" s="9"/>
    </row>
    <row r="54" spans="1:114" s="725" customFormat="1" hidden="1" outlineLevel="1">
      <c r="A54" s="9"/>
      <c r="B54" s="9" t="s">
        <v>303</v>
      </c>
      <c r="C54" s="432"/>
      <c r="D54" s="73"/>
      <c r="E54" s="73"/>
      <c r="F54" s="72"/>
      <c r="G54" s="74"/>
      <c r="H54" s="74"/>
      <c r="I54" s="74"/>
      <c r="J54" s="74"/>
      <c r="K54" s="75">
        <f t="shared" si="45"/>
        <v>0</v>
      </c>
      <c r="L54" s="74"/>
      <c r="M54" s="74"/>
      <c r="N54" s="74"/>
      <c r="O54" s="74"/>
      <c r="P54" s="75">
        <f t="shared" si="46"/>
        <v>0</v>
      </c>
      <c r="Q54" s="74"/>
      <c r="R54" s="74"/>
      <c r="S54" s="74"/>
      <c r="T54" s="74"/>
      <c r="U54" s="75">
        <f t="shared" si="47"/>
        <v>0</v>
      </c>
      <c r="V54" s="74"/>
      <c r="W54" s="74"/>
      <c r="X54" s="74"/>
      <c r="Y54" s="74"/>
      <c r="Z54" s="75">
        <f t="shared" si="48"/>
        <v>0</v>
      </c>
      <c r="AA54" s="74"/>
      <c r="AB54" s="74"/>
      <c r="AC54" s="74"/>
      <c r="AD54" s="74">
        <f>75/4</f>
        <v>18.75</v>
      </c>
      <c r="AE54" s="75">
        <f t="shared" si="63"/>
        <v>18.75</v>
      </c>
      <c r="AF54" s="74">
        <f>75/4</f>
        <v>18.75</v>
      </c>
      <c r="AG54" s="74">
        <f>75/4</f>
        <v>18.75</v>
      </c>
      <c r="AH54" s="74">
        <f>75/4</f>
        <v>18.75</v>
      </c>
      <c r="AI54" s="74"/>
      <c r="AJ54" s="75">
        <f t="shared" si="64"/>
        <v>56.25</v>
      </c>
      <c r="AK54" s="74"/>
      <c r="AL54" s="74"/>
      <c r="AM54" s="74"/>
      <c r="AN54" s="74"/>
      <c r="AO54" s="75">
        <f t="shared" si="65"/>
        <v>0</v>
      </c>
      <c r="AP54" s="74"/>
      <c r="AQ54" s="74"/>
      <c r="AR54" s="74"/>
      <c r="AS54" s="74"/>
      <c r="AT54" s="75">
        <f t="shared" si="66"/>
        <v>0</v>
      </c>
      <c r="AU54" s="74"/>
      <c r="AV54" s="74"/>
      <c r="AW54" s="74"/>
      <c r="AX54" s="74"/>
      <c r="AY54" s="75">
        <f t="shared" si="67"/>
        <v>0</v>
      </c>
      <c r="AZ54" s="74"/>
      <c r="BA54" s="74"/>
      <c r="BB54" s="74"/>
      <c r="BC54" s="74"/>
      <c r="BD54" s="75">
        <f t="shared" si="68"/>
        <v>0</v>
      </c>
      <c r="BE54" s="74"/>
      <c r="BF54" s="74"/>
      <c r="BG54" s="74"/>
      <c r="BH54" s="74"/>
      <c r="BI54" s="75">
        <f t="shared" si="69"/>
        <v>0</v>
      </c>
      <c r="BJ54" s="74"/>
      <c r="BK54" s="74"/>
      <c r="BL54" s="74"/>
      <c r="BM54" s="74"/>
      <c r="BN54" s="75">
        <f t="shared" si="71"/>
        <v>0</v>
      </c>
      <c r="BO54" s="76"/>
      <c r="BP54" s="76"/>
      <c r="BQ54" s="76"/>
      <c r="BR54" s="74"/>
      <c r="BS54" s="75">
        <f t="shared" si="72"/>
        <v>0</v>
      </c>
      <c r="BT54" s="76"/>
      <c r="BU54" s="76"/>
      <c r="BV54" s="76"/>
      <c r="BW54" s="76"/>
      <c r="BX54" s="75"/>
      <c r="BY54" s="76"/>
      <c r="BZ54" s="76"/>
      <c r="CA54" s="76"/>
      <c r="CB54" s="76"/>
      <c r="CC54" s="75"/>
      <c r="CD54" s="76"/>
      <c r="CE54" s="76"/>
      <c r="CF54" s="76"/>
      <c r="CG54" s="76"/>
      <c r="CH54" s="221">
        <f t="shared" si="58"/>
        <v>0</v>
      </c>
      <c r="CI54" s="283">
        <v>0</v>
      </c>
      <c r="CJ54" s="283">
        <v>0</v>
      </c>
      <c r="CK54" s="283">
        <v>0</v>
      </c>
      <c r="CL54" s="283">
        <v>0</v>
      </c>
      <c r="CM54" s="221">
        <f t="shared" si="59"/>
        <v>0</v>
      </c>
      <c r="CN54" s="1215">
        <v>0</v>
      </c>
      <c r="CO54" s="1215">
        <v>0</v>
      </c>
      <c r="CP54" s="1215">
        <v>0</v>
      </c>
      <c r="CQ54" s="1215">
        <v>0</v>
      </c>
      <c r="CR54" s="221">
        <f t="shared" si="60"/>
        <v>0</v>
      </c>
      <c r="CS54" s="1215">
        <v>0</v>
      </c>
      <c r="CT54" s="1215">
        <v>0</v>
      </c>
      <c r="CU54" s="1215">
        <v>0</v>
      </c>
      <c r="CV54" s="1215">
        <v>0</v>
      </c>
      <c r="CW54" s="221">
        <f t="shared" si="61"/>
        <v>0</v>
      </c>
      <c r="CX54" s="1215">
        <v>0</v>
      </c>
      <c r="CY54" s="1215">
        <v>0</v>
      </c>
      <c r="CZ54" s="1215">
        <v>0</v>
      </c>
      <c r="DA54" s="1215">
        <v>0</v>
      </c>
      <c r="DB54" s="221">
        <f t="shared" si="62"/>
        <v>0</v>
      </c>
      <c r="DC54" s="9"/>
      <c r="DD54" s="9"/>
      <c r="DE54" s="9"/>
      <c r="DF54" s="9"/>
      <c r="DG54" s="9"/>
      <c r="DH54" s="9"/>
      <c r="DI54" s="9"/>
      <c r="DJ54" s="9"/>
    </row>
    <row r="55" spans="1:114" s="725" customFormat="1" hidden="1" outlineLevel="1">
      <c r="A55" s="9"/>
      <c r="B55" s="9" t="s">
        <v>304</v>
      </c>
      <c r="C55" s="432"/>
      <c r="D55" s="73"/>
      <c r="E55" s="73"/>
      <c r="F55" s="72"/>
      <c r="G55" s="74"/>
      <c r="H55" s="74"/>
      <c r="I55" s="74"/>
      <c r="J55" s="74"/>
      <c r="K55" s="75">
        <f t="shared" si="45"/>
        <v>0</v>
      </c>
      <c r="L55" s="74"/>
      <c r="M55" s="74"/>
      <c r="N55" s="74"/>
      <c r="O55" s="74"/>
      <c r="P55" s="75">
        <f t="shared" si="46"/>
        <v>0</v>
      </c>
      <c r="Q55" s="74"/>
      <c r="R55" s="74"/>
      <c r="S55" s="74"/>
      <c r="T55" s="74"/>
      <c r="U55" s="75">
        <f t="shared" si="47"/>
        <v>0</v>
      </c>
      <c r="V55" s="74"/>
      <c r="W55" s="74"/>
      <c r="X55" s="74"/>
      <c r="Y55" s="74"/>
      <c r="Z55" s="75">
        <f t="shared" si="48"/>
        <v>0</v>
      </c>
      <c r="AA55" s="74"/>
      <c r="AB55" s="74"/>
      <c r="AC55" s="74"/>
      <c r="AD55" s="74">
        <f>30/4</f>
        <v>7.5</v>
      </c>
      <c r="AE55" s="75">
        <f t="shared" si="63"/>
        <v>7.5</v>
      </c>
      <c r="AF55" s="74">
        <f>30/4</f>
        <v>7.5</v>
      </c>
      <c r="AG55" s="74">
        <f>30/4</f>
        <v>7.5</v>
      </c>
      <c r="AH55" s="74">
        <f>30/4</f>
        <v>7.5</v>
      </c>
      <c r="AI55" s="74"/>
      <c r="AJ55" s="75">
        <f t="shared" si="64"/>
        <v>22.5</v>
      </c>
      <c r="AK55" s="74"/>
      <c r="AL55" s="74"/>
      <c r="AM55" s="74"/>
      <c r="AN55" s="74"/>
      <c r="AO55" s="75">
        <f t="shared" si="65"/>
        <v>0</v>
      </c>
      <c r="AP55" s="74"/>
      <c r="AQ55" s="74"/>
      <c r="AR55" s="74"/>
      <c r="AS55" s="74"/>
      <c r="AT55" s="75">
        <f t="shared" si="66"/>
        <v>0</v>
      </c>
      <c r="AU55" s="74"/>
      <c r="AV55" s="74"/>
      <c r="AW55" s="74"/>
      <c r="AX55" s="74"/>
      <c r="AY55" s="75">
        <f t="shared" si="67"/>
        <v>0</v>
      </c>
      <c r="AZ55" s="74"/>
      <c r="BA55" s="74"/>
      <c r="BB55" s="74"/>
      <c r="BC55" s="74"/>
      <c r="BD55" s="75">
        <f t="shared" si="68"/>
        <v>0</v>
      </c>
      <c r="BE55" s="74"/>
      <c r="BF55" s="74"/>
      <c r="BG55" s="74"/>
      <c r="BH55" s="74"/>
      <c r="BI55" s="75">
        <f t="shared" si="69"/>
        <v>0</v>
      </c>
      <c r="BJ55" s="74"/>
      <c r="BK55" s="74"/>
      <c r="BL55" s="74"/>
      <c r="BM55" s="74"/>
      <c r="BN55" s="75">
        <f t="shared" si="71"/>
        <v>0</v>
      </c>
      <c r="BO55" s="76"/>
      <c r="BP55" s="76"/>
      <c r="BQ55" s="76"/>
      <c r="BR55" s="74"/>
      <c r="BS55" s="75">
        <f t="shared" si="72"/>
        <v>0</v>
      </c>
      <c r="BT55" s="76"/>
      <c r="BU55" s="76"/>
      <c r="BV55" s="76"/>
      <c r="BW55" s="76"/>
      <c r="BX55" s="75"/>
      <c r="BY55" s="76"/>
      <c r="BZ55" s="76"/>
      <c r="CA55" s="76"/>
      <c r="CB55" s="76"/>
      <c r="CC55" s="75"/>
      <c r="CD55" s="76"/>
      <c r="CE55" s="76"/>
      <c r="CF55" s="76"/>
      <c r="CG55" s="76"/>
      <c r="CH55" s="221">
        <f t="shared" si="58"/>
        <v>0</v>
      </c>
      <c r="CI55" s="283">
        <v>0</v>
      </c>
      <c r="CJ55" s="283">
        <v>0</v>
      </c>
      <c r="CK55" s="283">
        <v>0</v>
      </c>
      <c r="CL55" s="283">
        <v>0</v>
      </c>
      <c r="CM55" s="221">
        <f t="shared" si="59"/>
        <v>0</v>
      </c>
      <c r="CN55" s="1215">
        <v>0</v>
      </c>
      <c r="CO55" s="1215">
        <v>0</v>
      </c>
      <c r="CP55" s="1215">
        <v>0</v>
      </c>
      <c r="CQ55" s="1215">
        <v>0</v>
      </c>
      <c r="CR55" s="221">
        <f t="shared" si="60"/>
        <v>0</v>
      </c>
      <c r="CS55" s="1215">
        <v>0</v>
      </c>
      <c r="CT55" s="1215">
        <v>0</v>
      </c>
      <c r="CU55" s="1215">
        <v>0</v>
      </c>
      <c r="CV55" s="1215">
        <v>0</v>
      </c>
      <c r="CW55" s="221">
        <f t="shared" si="61"/>
        <v>0</v>
      </c>
      <c r="CX55" s="1215">
        <v>0</v>
      </c>
      <c r="CY55" s="1215">
        <v>0</v>
      </c>
      <c r="CZ55" s="1215">
        <v>0</v>
      </c>
      <c r="DA55" s="1215">
        <v>0</v>
      </c>
      <c r="DB55" s="221">
        <f t="shared" si="62"/>
        <v>0</v>
      </c>
      <c r="DC55" s="9"/>
      <c r="DD55" s="9"/>
      <c r="DE55" s="9"/>
      <c r="DF55" s="9"/>
      <c r="DG55" s="9"/>
      <c r="DH55" s="9"/>
      <c r="DI55" s="9"/>
      <c r="DJ55" s="9"/>
    </row>
    <row r="56" spans="1:114" s="725" customFormat="1" hidden="1" outlineLevel="1">
      <c r="A56" s="9"/>
      <c r="B56" s="9" t="s">
        <v>305</v>
      </c>
      <c r="C56" s="432"/>
      <c r="D56" s="73"/>
      <c r="E56" s="73"/>
      <c r="F56" s="72"/>
      <c r="G56" s="74"/>
      <c r="H56" s="74"/>
      <c r="I56" s="74"/>
      <c r="J56" s="74"/>
      <c r="K56" s="75">
        <f t="shared" si="45"/>
        <v>0</v>
      </c>
      <c r="L56" s="74"/>
      <c r="M56" s="74"/>
      <c r="N56" s="74"/>
      <c r="O56" s="74"/>
      <c r="P56" s="75">
        <f t="shared" si="46"/>
        <v>0</v>
      </c>
      <c r="Q56" s="74"/>
      <c r="R56" s="74"/>
      <c r="S56" s="74"/>
      <c r="T56" s="74"/>
      <c r="U56" s="75">
        <f t="shared" si="47"/>
        <v>0</v>
      </c>
      <c r="V56" s="74"/>
      <c r="W56" s="74"/>
      <c r="X56" s="74"/>
      <c r="Y56" s="74"/>
      <c r="Z56" s="75">
        <f t="shared" si="48"/>
        <v>0</v>
      </c>
      <c r="AA56" s="74"/>
      <c r="AB56" s="74"/>
      <c r="AC56" s="74"/>
      <c r="AD56" s="74">
        <f>15/4</f>
        <v>3.75</v>
      </c>
      <c r="AE56" s="75">
        <f t="shared" si="63"/>
        <v>3.75</v>
      </c>
      <c r="AF56" s="74">
        <f>15/4</f>
        <v>3.75</v>
      </c>
      <c r="AG56" s="74">
        <f>15/4</f>
        <v>3.75</v>
      </c>
      <c r="AH56" s="74">
        <f>15/4</f>
        <v>3.75</v>
      </c>
      <c r="AI56" s="74"/>
      <c r="AJ56" s="75">
        <f t="shared" si="64"/>
        <v>11.25</v>
      </c>
      <c r="AK56" s="74"/>
      <c r="AL56" s="74"/>
      <c r="AM56" s="74"/>
      <c r="AN56" s="74"/>
      <c r="AO56" s="75">
        <f t="shared" si="65"/>
        <v>0</v>
      </c>
      <c r="AP56" s="74"/>
      <c r="AQ56" s="74"/>
      <c r="AR56" s="74"/>
      <c r="AS56" s="74"/>
      <c r="AT56" s="75">
        <f t="shared" si="66"/>
        <v>0</v>
      </c>
      <c r="AU56" s="74"/>
      <c r="AV56" s="74"/>
      <c r="AW56" s="74"/>
      <c r="AX56" s="74"/>
      <c r="AY56" s="75">
        <f t="shared" si="67"/>
        <v>0</v>
      </c>
      <c r="AZ56" s="74"/>
      <c r="BA56" s="74"/>
      <c r="BB56" s="74"/>
      <c r="BC56" s="74"/>
      <c r="BD56" s="75">
        <f t="shared" si="68"/>
        <v>0</v>
      </c>
      <c r="BE56" s="74"/>
      <c r="BF56" s="74"/>
      <c r="BG56" s="74"/>
      <c r="BH56" s="74"/>
      <c r="BI56" s="75">
        <f t="shared" si="69"/>
        <v>0</v>
      </c>
      <c r="BJ56" s="74"/>
      <c r="BK56" s="74"/>
      <c r="BL56" s="74"/>
      <c r="BM56" s="74"/>
      <c r="BN56" s="75">
        <f t="shared" si="71"/>
        <v>0</v>
      </c>
      <c r="BO56" s="76"/>
      <c r="BP56" s="76"/>
      <c r="BQ56" s="76"/>
      <c r="BR56" s="74"/>
      <c r="BS56" s="75">
        <f t="shared" si="72"/>
        <v>0</v>
      </c>
      <c r="BT56" s="76"/>
      <c r="BU56" s="76"/>
      <c r="BV56" s="76"/>
      <c r="BW56" s="76"/>
      <c r="BX56" s="75"/>
      <c r="BY56" s="76"/>
      <c r="BZ56" s="76"/>
      <c r="CA56" s="76"/>
      <c r="CB56" s="76"/>
      <c r="CC56" s="75"/>
      <c r="CD56" s="76"/>
      <c r="CE56" s="76"/>
      <c r="CF56" s="76"/>
      <c r="CG56" s="76"/>
      <c r="CH56" s="221">
        <f t="shared" si="58"/>
        <v>0</v>
      </c>
      <c r="CI56" s="283">
        <v>0</v>
      </c>
      <c r="CJ56" s="283">
        <v>0</v>
      </c>
      <c r="CK56" s="283">
        <v>0</v>
      </c>
      <c r="CL56" s="283">
        <v>0</v>
      </c>
      <c r="CM56" s="221">
        <f t="shared" si="59"/>
        <v>0</v>
      </c>
      <c r="CN56" s="1215">
        <v>0</v>
      </c>
      <c r="CO56" s="1215">
        <v>0</v>
      </c>
      <c r="CP56" s="1215">
        <v>0</v>
      </c>
      <c r="CQ56" s="1215">
        <v>0</v>
      </c>
      <c r="CR56" s="221">
        <f t="shared" si="60"/>
        <v>0</v>
      </c>
      <c r="CS56" s="1215">
        <v>0</v>
      </c>
      <c r="CT56" s="1215">
        <v>0</v>
      </c>
      <c r="CU56" s="1215">
        <v>0</v>
      </c>
      <c r="CV56" s="1215">
        <v>0</v>
      </c>
      <c r="CW56" s="221">
        <f t="shared" si="61"/>
        <v>0</v>
      </c>
      <c r="CX56" s="1215">
        <v>0</v>
      </c>
      <c r="CY56" s="1215">
        <v>0</v>
      </c>
      <c r="CZ56" s="1215">
        <v>0</v>
      </c>
      <c r="DA56" s="1215">
        <v>0</v>
      </c>
      <c r="DB56" s="221">
        <f t="shared" si="62"/>
        <v>0</v>
      </c>
      <c r="DC56" s="9"/>
      <c r="DD56" s="9"/>
      <c r="DE56" s="9"/>
      <c r="DF56" s="9"/>
      <c r="DG56" s="9"/>
      <c r="DH56" s="9"/>
      <c r="DI56" s="9"/>
      <c r="DJ56" s="9"/>
    </row>
    <row r="57" spans="1:114" s="725" customFormat="1" hidden="1" outlineLevel="1">
      <c r="A57" s="9"/>
      <c r="B57" s="9" t="s">
        <v>306</v>
      </c>
      <c r="C57" s="432"/>
      <c r="D57" s="73"/>
      <c r="E57" s="73"/>
      <c r="F57" s="72"/>
      <c r="G57" s="74"/>
      <c r="H57" s="74"/>
      <c r="I57" s="74"/>
      <c r="J57" s="74"/>
      <c r="K57" s="75">
        <f t="shared" si="45"/>
        <v>0</v>
      </c>
      <c r="L57" s="74"/>
      <c r="M57" s="74"/>
      <c r="N57" s="74"/>
      <c r="O57" s="74"/>
      <c r="P57" s="75">
        <f t="shared" si="46"/>
        <v>0</v>
      </c>
      <c r="Q57" s="74"/>
      <c r="R57" s="74"/>
      <c r="S57" s="74"/>
      <c r="T57" s="74"/>
      <c r="U57" s="75">
        <f t="shared" si="47"/>
        <v>0</v>
      </c>
      <c r="V57" s="74"/>
      <c r="W57" s="74"/>
      <c r="X57" s="74"/>
      <c r="Y57" s="74"/>
      <c r="Z57" s="75">
        <f t="shared" si="48"/>
        <v>0</v>
      </c>
      <c r="AA57" s="74"/>
      <c r="AB57" s="74"/>
      <c r="AC57" s="74">
        <f>25/4</f>
        <v>6.25</v>
      </c>
      <c r="AD57" s="74">
        <f>25/4</f>
        <v>6.25</v>
      </c>
      <c r="AE57" s="75">
        <f t="shared" si="63"/>
        <v>12.5</v>
      </c>
      <c r="AF57" s="74">
        <f>25/4</f>
        <v>6.25</v>
      </c>
      <c r="AG57" s="74">
        <f>25/4</f>
        <v>6.25</v>
      </c>
      <c r="AH57" s="74"/>
      <c r="AI57" s="74"/>
      <c r="AJ57" s="75">
        <f t="shared" si="64"/>
        <v>12.5</v>
      </c>
      <c r="AK57" s="74"/>
      <c r="AL57" s="74"/>
      <c r="AM57" s="74"/>
      <c r="AN57" s="74"/>
      <c r="AO57" s="75">
        <f t="shared" si="65"/>
        <v>0</v>
      </c>
      <c r="AP57" s="74"/>
      <c r="AQ57" s="74"/>
      <c r="AR57" s="74"/>
      <c r="AS57" s="74"/>
      <c r="AT57" s="75">
        <f t="shared" si="66"/>
        <v>0</v>
      </c>
      <c r="AU57" s="74"/>
      <c r="AV57" s="74"/>
      <c r="AW57" s="74"/>
      <c r="AX57" s="74"/>
      <c r="AY57" s="75">
        <f t="shared" si="67"/>
        <v>0</v>
      </c>
      <c r="AZ57" s="74"/>
      <c r="BA57" s="74"/>
      <c r="BB57" s="74"/>
      <c r="BC57" s="74"/>
      <c r="BD57" s="75">
        <f t="shared" si="68"/>
        <v>0</v>
      </c>
      <c r="BE57" s="74"/>
      <c r="BF57" s="74"/>
      <c r="BG57" s="74"/>
      <c r="BH57" s="74"/>
      <c r="BI57" s="75">
        <f t="shared" si="69"/>
        <v>0</v>
      </c>
      <c r="BJ57" s="74"/>
      <c r="BK57" s="74"/>
      <c r="BL57" s="74"/>
      <c r="BM57" s="74"/>
      <c r="BN57" s="75">
        <f t="shared" si="71"/>
        <v>0</v>
      </c>
      <c r="BO57" s="76"/>
      <c r="BP57" s="76"/>
      <c r="BQ57" s="76"/>
      <c r="BR57" s="74"/>
      <c r="BS57" s="75">
        <f t="shared" si="72"/>
        <v>0</v>
      </c>
      <c r="BT57" s="76"/>
      <c r="BU57" s="76"/>
      <c r="BV57" s="76"/>
      <c r="BW57" s="76"/>
      <c r="BX57" s="75"/>
      <c r="BY57" s="76"/>
      <c r="BZ57" s="76"/>
      <c r="CA57" s="76"/>
      <c r="CB57" s="76"/>
      <c r="CC57" s="75"/>
      <c r="CD57" s="76"/>
      <c r="CE57" s="76"/>
      <c r="CF57" s="76"/>
      <c r="CG57" s="76"/>
      <c r="CH57" s="221">
        <f t="shared" si="58"/>
        <v>0</v>
      </c>
      <c r="CI57" s="283">
        <v>0</v>
      </c>
      <c r="CJ57" s="283">
        <v>0</v>
      </c>
      <c r="CK57" s="283">
        <v>0</v>
      </c>
      <c r="CL57" s="283">
        <v>0</v>
      </c>
      <c r="CM57" s="221">
        <f t="shared" si="59"/>
        <v>0</v>
      </c>
      <c r="CN57" s="1215">
        <v>0</v>
      </c>
      <c r="CO57" s="1215">
        <v>0</v>
      </c>
      <c r="CP57" s="1215">
        <v>0</v>
      </c>
      <c r="CQ57" s="1215">
        <v>0</v>
      </c>
      <c r="CR57" s="221">
        <f t="shared" si="60"/>
        <v>0</v>
      </c>
      <c r="CS57" s="1215">
        <v>0</v>
      </c>
      <c r="CT57" s="1215">
        <v>0</v>
      </c>
      <c r="CU57" s="1215">
        <v>0</v>
      </c>
      <c r="CV57" s="1215">
        <v>0</v>
      </c>
      <c r="CW57" s="221">
        <f t="shared" si="61"/>
        <v>0</v>
      </c>
      <c r="CX57" s="1215">
        <v>0</v>
      </c>
      <c r="CY57" s="1215">
        <v>0</v>
      </c>
      <c r="CZ57" s="1215">
        <v>0</v>
      </c>
      <c r="DA57" s="1215">
        <v>0</v>
      </c>
      <c r="DB57" s="221">
        <f t="shared" si="62"/>
        <v>0</v>
      </c>
      <c r="DC57" s="9"/>
      <c r="DD57" s="9"/>
      <c r="DE57" s="9"/>
      <c r="DF57" s="9"/>
      <c r="DG57" s="9"/>
      <c r="DH57" s="9"/>
      <c r="DI57" s="9"/>
      <c r="DJ57" s="9"/>
    </row>
    <row r="58" spans="1:114" s="725" customFormat="1" hidden="1" outlineLevel="1">
      <c r="A58" s="9"/>
      <c r="B58" s="9" t="s">
        <v>307</v>
      </c>
      <c r="C58" s="432"/>
      <c r="D58" s="73"/>
      <c r="E58" s="73"/>
      <c r="F58" s="72"/>
      <c r="G58" s="74"/>
      <c r="H58" s="74"/>
      <c r="I58" s="74"/>
      <c r="J58" s="74"/>
      <c r="K58" s="75">
        <f>SUM(G58:J58)</f>
        <v>0</v>
      </c>
      <c r="L58" s="74"/>
      <c r="M58" s="74"/>
      <c r="N58" s="74"/>
      <c r="O58" s="74"/>
      <c r="P58" s="75">
        <f>SUM(L58:O58)</f>
        <v>0</v>
      </c>
      <c r="Q58" s="74"/>
      <c r="R58" s="74"/>
      <c r="S58" s="74"/>
      <c r="T58" s="74"/>
      <c r="U58" s="75">
        <f>SUM(Q58:T58)</f>
        <v>0</v>
      </c>
      <c r="V58" s="74"/>
      <c r="W58" s="74"/>
      <c r="X58" s="74"/>
      <c r="Y58" s="74"/>
      <c r="Z58" s="75">
        <f>SUM(V58:Y58)</f>
        <v>0</v>
      </c>
      <c r="AA58" s="74">
        <f>1/3*(115/4)</f>
        <v>9.5833333333333321</v>
      </c>
      <c r="AB58" s="74">
        <f>(115/4)</f>
        <v>28.75</v>
      </c>
      <c r="AC58" s="74">
        <f>(115/4)</f>
        <v>28.75</v>
      </c>
      <c r="AD58" s="74">
        <f>(115/4)</f>
        <v>28.75</v>
      </c>
      <c r="AE58" s="75">
        <f t="shared" si="63"/>
        <v>95.833333333333329</v>
      </c>
      <c r="AF58" s="74">
        <f>2/3*(115/4)</f>
        <v>19.166666666666664</v>
      </c>
      <c r="AG58" s="74"/>
      <c r="AH58" s="74"/>
      <c r="AI58" s="74"/>
      <c r="AJ58" s="75">
        <f t="shared" si="64"/>
        <v>19.166666666666664</v>
      </c>
      <c r="AK58" s="74"/>
      <c r="AL58" s="74"/>
      <c r="AM58" s="74"/>
      <c r="AN58" s="74"/>
      <c r="AO58" s="75">
        <f t="shared" si="65"/>
        <v>0</v>
      </c>
      <c r="AP58" s="74"/>
      <c r="AQ58" s="74"/>
      <c r="AR58" s="74"/>
      <c r="AS58" s="74"/>
      <c r="AT58" s="75">
        <f t="shared" si="66"/>
        <v>0</v>
      </c>
      <c r="AU58" s="74"/>
      <c r="AV58" s="74"/>
      <c r="AW58" s="74"/>
      <c r="AX58" s="74"/>
      <c r="AY58" s="75">
        <f t="shared" si="67"/>
        <v>0</v>
      </c>
      <c r="AZ58" s="74"/>
      <c r="BA58" s="74"/>
      <c r="BB58" s="74"/>
      <c r="BC58" s="74"/>
      <c r="BD58" s="75">
        <f t="shared" si="68"/>
        <v>0</v>
      </c>
      <c r="BE58" s="74"/>
      <c r="BF58" s="74"/>
      <c r="BG58" s="74"/>
      <c r="BH58" s="74"/>
      <c r="BI58" s="75">
        <f t="shared" si="69"/>
        <v>0</v>
      </c>
      <c r="BJ58" s="74"/>
      <c r="BK58" s="74"/>
      <c r="BL58" s="74"/>
      <c r="BM58" s="74"/>
      <c r="BN58" s="75">
        <f t="shared" si="71"/>
        <v>0</v>
      </c>
      <c r="BO58" s="76"/>
      <c r="BP58" s="76"/>
      <c r="BQ58" s="76"/>
      <c r="BR58" s="74"/>
      <c r="BS58" s="75">
        <f t="shared" si="72"/>
        <v>0</v>
      </c>
      <c r="BT58" s="76"/>
      <c r="BU58" s="76"/>
      <c r="BV58" s="76"/>
      <c r="BW58" s="76"/>
      <c r="BX58" s="75"/>
      <c r="BY58" s="76"/>
      <c r="BZ58" s="76"/>
      <c r="CA58" s="76"/>
      <c r="CB58" s="76"/>
      <c r="CC58" s="75"/>
      <c r="CD58" s="76"/>
      <c r="CE58" s="76"/>
      <c r="CF58" s="76"/>
      <c r="CG58" s="76"/>
      <c r="CH58" s="221">
        <f t="shared" si="58"/>
        <v>0</v>
      </c>
      <c r="CI58" s="283">
        <v>0</v>
      </c>
      <c r="CJ58" s="283">
        <v>0</v>
      </c>
      <c r="CK58" s="283">
        <v>0</v>
      </c>
      <c r="CL58" s="283">
        <v>0</v>
      </c>
      <c r="CM58" s="221">
        <f t="shared" si="59"/>
        <v>0</v>
      </c>
      <c r="CN58" s="1215">
        <v>0</v>
      </c>
      <c r="CO58" s="1215">
        <v>0</v>
      </c>
      <c r="CP58" s="1215">
        <v>0</v>
      </c>
      <c r="CQ58" s="1215">
        <v>0</v>
      </c>
      <c r="CR58" s="221">
        <f t="shared" si="60"/>
        <v>0</v>
      </c>
      <c r="CS58" s="1215">
        <v>0</v>
      </c>
      <c r="CT58" s="1215">
        <v>0</v>
      </c>
      <c r="CU58" s="1215">
        <v>0</v>
      </c>
      <c r="CV58" s="1215">
        <v>0</v>
      </c>
      <c r="CW58" s="221">
        <f t="shared" si="61"/>
        <v>0</v>
      </c>
      <c r="CX58" s="1215">
        <v>0</v>
      </c>
      <c r="CY58" s="1215">
        <v>0</v>
      </c>
      <c r="CZ58" s="1215">
        <v>0</v>
      </c>
      <c r="DA58" s="1215">
        <v>0</v>
      </c>
      <c r="DB58" s="221">
        <f t="shared" si="62"/>
        <v>0</v>
      </c>
      <c r="DC58" s="9"/>
      <c r="DD58" s="9"/>
      <c r="DE58" s="9"/>
      <c r="DF58" s="9"/>
      <c r="DG58" s="9"/>
      <c r="DH58" s="9"/>
      <c r="DI58" s="9"/>
      <c r="DJ58" s="9"/>
    </row>
    <row r="59" spans="1:114" s="725" customFormat="1" hidden="1" outlineLevel="1">
      <c r="A59" s="9"/>
      <c r="B59" s="9" t="s">
        <v>554</v>
      </c>
      <c r="C59" s="432"/>
      <c r="D59" s="73"/>
      <c r="E59" s="73"/>
      <c r="F59" s="72"/>
      <c r="G59" s="74"/>
      <c r="H59" s="74"/>
      <c r="I59" s="74"/>
      <c r="J59" s="74"/>
      <c r="K59" s="75"/>
      <c r="L59" s="74"/>
      <c r="M59" s="74"/>
      <c r="N59" s="74"/>
      <c r="O59" s="74"/>
      <c r="P59" s="75"/>
      <c r="Q59" s="74"/>
      <c r="R59" s="74"/>
      <c r="S59" s="74"/>
      <c r="T59" s="74"/>
      <c r="U59" s="75"/>
      <c r="V59" s="74"/>
      <c r="W59" s="74"/>
      <c r="X59" s="74"/>
      <c r="Y59" s="74"/>
      <c r="Z59" s="75"/>
      <c r="AA59" s="74"/>
      <c r="AB59" s="74"/>
      <c r="AC59" s="74"/>
      <c r="AD59" s="74"/>
      <c r="AE59" s="75"/>
      <c r="AF59" s="74"/>
      <c r="AG59" s="74"/>
      <c r="AH59" s="74"/>
      <c r="AI59" s="74"/>
      <c r="AJ59" s="75"/>
      <c r="AK59" s="74"/>
      <c r="AL59" s="74"/>
      <c r="AM59" s="74"/>
      <c r="AN59" s="74"/>
      <c r="AO59" s="75"/>
      <c r="AP59" s="74"/>
      <c r="AQ59" s="74"/>
      <c r="AR59" s="74"/>
      <c r="AS59" s="74"/>
      <c r="AT59" s="75"/>
      <c r="AU59" s="74"/>
      <c r="AV59" s="74"/>
      <c r="AW59" s="74"/>
      <c r="AX59" s="74"/>
      <c r="AY59" s="75"/>
      <c r="AZ59" s="74"/>
      <c r="BA59" s="74"/>
      <c r="BB59" s="74"/>
      <c r="BC59" s="74"/>
      <c r="BD59" s="75"/>
      <c r="BE59" s="74"/>
      <c r="BF59" s="74"/>
      <c r="BG59" s="74"/>
      <c r="BH59" s="74"/>
      <c r="BI59" s="75"/>
      <c r="BJ59" s="74"/>
      <c r="BK59" s="74"/>
      <c r="BL59" s="74"/>
      <c r="BM59" s="74"/>
      <c r="BN59" s="75"/>
      <c r="BO59" s="76"/>
      <c r="BP59" s="76"/>
      <c r="BQ59" s="76"/>
      <c r="BR59" s="74"/>
      <c r="BS59" s="75">
        <f>SUM(BO59:BR59)</f>
        <v>0</v>
      </c>
      <c r="BT59" s="76"/>
      <c r="BU59" s="76"/>
      <c r="BV59" s="76"/>
      <c r="BW59" s="76"/>
      <c r="BX59" s="75">
        <f>SUM(BT59:BW59)</f>
        <v>0</v>
      </c>
      <c r="BY59" s="76"/>
      <c r="BZ59" s="76"/>
      <c r="CA59" s="76"/>
      <c r="CB59" s="76"/>
      <c r="CC59" s="75"/>
      <c r="CD59" s="76"/>
      <c r="CE59" s="76"/>
      <c r="CF59" s="76"/>
      <c r="CG59" s="76"/>
      <c r="CH59" s="221">
        <f t="shared" si="58"/>
        <v>0</v>
      </c>
      <c r="CI59" s="283">
        <v>0</v>
      </c>
      <c r="CJ59" s="283">
        <v>0</v>
      </c>
      <c r="CK59" s="283">
        <v>0</v>
      </c>
      <c r="CL59" s="283">
        <v>0</v>
      </c>
      <c r="CM59" s="221">
        <f t="shared" si="59"/>
        <v>0</v>
      </c>
      <c r="CN59" s="1215">
        <v>0</v>
      </c>
      <c r="CO59" s="1215">
        <v>0</v>
      </c>
      <c r="CP59" s="1215">
        <v>0</v>
      </c>
      <c r="CQ59" s="1215">
        <v>0</v>
      </c>
      <c r="CR59" s="221">
        <f t="shared" si="60"/>
        <v>0</v>
      </c>
      <c r="CS59" s="1215">
        <v>0</v>
      </c>
      <c r="CT59" s="1215">
        <v>0</v>
      </c>
      <c r="CU59" s="1215">
        <v>0</v>
      </c>
      <c r="CV59" s="1215">
        <v>0</v>
      </c>
      <c r="CW59" s="221">
        <f t="shared" si="61"/>
        <v>0</v>
      </c>
      <c r="CX59" s="1215">
        <v>0</v>
      </c>
      <c r="CY59" s="1215">
        <v>0</v>
      </c>
      <c r="CZ59" s="1215">
        <v>0</v>
      </c>
      <c r="DA59" s="1215">
        <v>0</v>
      </c>
      <c r="DB59" s="221">
        <f t="shared" si="62"/>
        <v>0</v>
      </c>
      <c r="DC59" s="9"/>
      <c r="DD59" s="9"/>
      <c r="DE59" s="9"/>
      <c r="DF59" s="9"/>
      <c r="DG59" s="9"/>
      <c r="DH59" s="9"/>
      <c r="DI59" s="9"/>
      <c r="DJ59" s="9"/>
    </row>
    <row r="60" spans="1:114" s="725" customFormat="1" hidden="1" outlineLevel="1">
      <c r="A60" s="9"/>
      <c r="B60" s="9" t="s">
        <v>555</v>
      </c>
      <c r="C60" s="432"/>
      <c r="D60" s="73"/>
      <c r="E60" s="73"/>
      <c r="F60" s="72"/>
      <c r="G60" s="74"/>
      <c r="H60" s="74"/>
      <c r="I60" s="74"/>
      <c r="J60" s="74"/>
      <c r="K60" s="75"/>
      <c r="L60" s="74"/>
      <c r="M60" s="74"/>
      <c r="N60" s="74"/>
      <c r="O60" s="74"/>
      <c r="P60" s="75"/>
      <c r="Q60" s="74"/>
      <c r="R60" s="74"/>
      <c r="S60" s="74"/>
      <c r="T60" s="74"/>
      <c r="U60" s="75"/>
      <c r="V60" s="74"/>
      <c r="W60" s="74"/>
      <c r="X60" s="74"/>
      <c r="Y60" s="74"/>
      <c r="Z60" s="75"/>
      <c r="AA60" s="74"/>
      <c r="AB60" s="74"/>
      <c r="AC60" s="74"/>
      <c r="AD60" s="74"/>
      <c r="AE60" s="75"/>
      <c r="AF60" s="74"/>
      <c r="AG60" s="74"/>
      <c r="AH60" s="74"/>
      <c r="AI60" s="74"/>
      <c r="AJ60" s="75"/>
      <c r="AK60" s="74"/>
      <c r="AL60" s="74"/>
      <c r="AM60" s="74"/>
      <c r="AN60" s="74"/>
      <c r="AO60" s="75"/>
      <c r="AP60" s="74"/>
      <c r="AQ60" s="74"/>
      <c r="AR60" s="74"/>
      <c r="AS60" s="74"/>
      <c r="AT60" s="75"/>
      <c r="AU60" s="74"/>
      <c r="AV60" s="74"/>
      <c r="AW60" s="74"/>
      <c r="AX60" s="74"/>
      <c r="AY60" s="75"/>
      <c r="AZ60" s="74"/>
      <c r="BA60" s="74"/>
      <c r="BB60" s="74"/>
      <c r="BC60" s="74"/>
      <c r="BD60" s="75"/>
      <c r="BE60" s="74"/>
      <c r="BF60" s="74"/>
      <c r="BG60" s="74"/>
      <c r="BH60" s="74"/>
      <c r="BI60" s="75"/>
      <c r="BJ60" s="74"/>
      <c r="BK60" s="74"/>
      <c r="BL60" s="74"/>
      <c r="BM60" s="74"/>
      <c r="BN60" s="75"/>
      <c r="BO60" s="76"/>
      <c r="BP60" s="76"/>
      <c r="BQ60" s="76"/>
      <c r="BR60" s="74"/>
      <c r="BS60" s="75">
        <f>SUM(BO60:BR60)</f>
        <v>0</v>
      </c>
      <c r="BT60" s="76"/>
      <c r="BU60" s="76">
        <f>138/4</f>
        <v>34.5</v>
      </c>
      <c r="BV60" s="76">
        <f>138/4</f>
        <v>34.5</v>
      </c>
      <c r="BW60" s="76">
        <f>138/4</f>
        <v>34.5</v>
      </c>
      <c r="BX60" s="75">
        <f>SUM(BT60:BW60)</f>
        <v>103.5</v>
      </c>
      <c r="BY60" s="76">
        <f>138/4</f>
        <v>34.5</v>
      </c>
      <c r="BZ60" s="283">
        <v>0</v>
      </c>
      <c r="CA60" s="283">
        <v>0</v>
      </c>
      <c r="CB60" s="283">
        <v>0</v>
      </c>
      <c r="CC60" s="75">
        <f>SUM(BY60:CB60)</f>
        <v>34.5</v>
      </c>
      <c r="CD60" s="283">
        <v>0</v>
      </c>
      <c r="CE60" s="283">
        <v>0</v>
      </c>
      <c r="CF60" s="283">
        <v>0</v>
      </c>
      <c r="CG60" s="283">
        <v>0</v>
      </c>
      <c r="CH60" s="221">
        <f>SUM(CD60:CG60)</f>
        <v>0</v>
      </c>
      <c r="CI60" s="283">
        <v>0</v>
      </c>
      <c r="CJ60" s="283">
        <v>0</v>
      </c>
      <c r="CK60" s="283">
        <v>0</v>
      </c>
      <c r="CL60" s="283">
        <v>0</v>
      </c>
      <c r="CM60" s="221">
        <f>SUM(CI60:CL60)</f>
        <v>0</v>
      </c>
      <c r="CN60" s="1215">
        <v>0</v>
      </c>
      <c r="CO60" s="1215">
        <v>0</v>
      </c>
      <c r="CP60" s="1215">
        <v>0</v>
      </c>
      <c r="CQ60" s="1215">
        <v>0</v>
      </c>
      <c r="CR60" s="221">
        <f>SUM(CN60:CQ60)</f>
        <v>0</v>
      </c>
      <c r="CS60" s="1215">
        <v>0</v>
      </c>
      <c r="CT60" s="1215">
        <v>0</v>
      </c>
      <c r="CU60" s="1215">
        <v>0</v>
      </c>
      <c r="CV60" s="1215">
        <v>0</v>
      </c>
      <c r="CW60" s="221">
        <f>SUM(CS60:CV60)</f>
        <v>0</v>
      </c>
      <c r="CX60" s="1215">
        <v>0</v>
      </c>
      <c r="CY60" s="1215">
        <v>0</v>
      </c>
      <c r="CZ60" s="1215">
        <v>0</v>
      </c>
      <c r="DA60" s="1215">
        <v>0</v>
      </c>
      <c r="DB60" s="221">
        <f>SUM(CX60:DA60)</f>
        <v>0</v>
      </c>
      <c r="DC60" s="9"/>
      <c r="DD60" s="9"/>
      <c r="DE60" s="9"/>
      <c r="DF60" s="9"/>
      <c r="DG60" s="9"/>
      <c r="DH60" s="9"/>
      <c r="DI60" s="9"/>
      <c r="DJ60" s="9"/>
    </row>
    <row r="61" spans="1:114" s="725" customFormat="1" hidden="1" outlineLevel="1">
      <c r="A61" s="9"/>
      <c r="B61" s="9" t="s">
        <v>155</v>
      </c>
      <c r="C61" s="432"/>
      <c r="D61" s="73"/>
      <c r="E61" s="73"/>
      <c r="F61" s="72"/>
      <c r="G61" s="74"/>
      <c r="H61" s="74"/>
      <c r="I61" s="74"/>
      <c r="J61" s="74"/>
      <c r="K61" s="75"/>
      <c r="L61" s="74"/>
      <c r="M61" s="74"/>
      <c r="N61" s="74"/>
      <c r="O61" s="74"/>
      <c r="P61" s="75"/>
      <c r="Q61" s="74"/>
      <c r="R61" s="74"/>
      <c r="S61" s="74"/>
      <c r="T61" s="74"/>
      <c r="U61" s="75"/>
      <c r="V61" s="74"/>
      <c r="W61" s="74"/>
      <c r="X61" s="74"/>
      <c r="Y61" s="74"/>
      <c r="Z61" s="75"/>
      <c r="AA61" s="74"/>
      <c r="AB61" s="74"/>
      <c r="AC61" s="74"/>
      <c r="AD61" s="74"/>
      <c r="AE61" s="75"/>
      <c r="AF61" s="74"/>
      <c r="AG61" s="74"/>
      <c r="AH61" s="74"/>
      <c r="AI61" s="74"/>
      <c r="AJ61" s="75"/>
      <c r="AK61" s="74"/>
      <c r="AL61" s="74"/>
      <c r="AM61" s="74"/>
      <c r="AN61" s="74"/>
      <c r="AO61" s="75"/>
      <c r="AP61" s="74"/>
      <c r="AQ61" s="74"/>
      <c r="AR61" s="74"/>
      <c r="AS61" s="74"/>
      <c r="AT61" s="75"/>
      <c r="AU61" s="74"/>
      <c r="AV61" s="74"/>
      <c r="AW61" s="74"/>
      <c r="AX61" s="74"/>
      <c r="AY61" s="75"/>
      <c r="AZ61" s="74"/>
      <c r="BA61" s="74"/>
      <c r="BB61" s="74"/>
      <c r="BC61" s="74"/>
      <c r="BD61" s="75"/>
      <c r="BE61" s="74"/>
      <c r="BF61" s="74"/>
      <c r="BG61" s="74"/>
      <c r="BH61" s="74"/>
      <c r="BI61" s="75"/>
      <c r="BJ61" s="74"/>
      <c r="BK61" s="74"/>
      <c r="BL61" s="74"/>
      <c r="BM61" s="74"/>
      <c r="BN61" s="75"/>
      <c r="BO61" s="76"/>
      <c r="BP61" s="76"/>
      <c r="BQ61" s="76"/>
      <c r="BR61" s="74"/>
      <c r="BS61" s="75">
        <f>SUM(BO61:BR61)</f>
        <v>0</v>
      </c>
      <c r="BT61" s="76">
        <v>0</v>
      </c>
      <c r="BU61" s="76">
        <v>73.75</v>
      </c>
      <c r="BV61" s="76">
        <v>73.75</v>
      </c>
      <c r="BW61" s="76">
        <v>73.75</v>
      </c>
      <c r="BX61" s="75">
        <f>SUM(BT61:BW61)</f>
        <v>221.25</v>
      </c>
      <c r="BY61" s="76">
        <v>73.75</v>
      </c>
      <c r="BZ61" s="276">
        <v>0</v>
      </c>
      <c r="CA61" s="276">
        <v>0</v>
      </c>
      <c r="CB61" s="276">
        <v>0</v>
      </c>
      <c r="CC61" s="75">
        <f>SUM(BY61:CB61)</f>
        <v>73.75</v>
      </c>
      <c r="CD61" s="276">
        <v>0</v>
      </c>
      <c r="CE61" s="276">
        <v>0</v>
      </c>
      <c r="CF61" s="276">
        <v>0</v>
      </c>
      <c r="CG61" s="276">
        <v>0</v>
      </c>
      <c r="CH61" s="221">
        <f>SUM(CD61:CG61)</f>
        <v>0</v>
      </c>
      <c r="CI61" s="276">
        <v>0</v>
      </c>
      <c r="CJ61" s="276">
        <v>0</v>
      </c>
      <c r="CK61" s="276">
        <v>0</v>
      </c>
      <c r="CL61" s="276">
        <v>0</v>
      </c>
      <c r="CM61" s="221">
        <f>SUM(CI61:CL61)</f>
        <v>0</v>
      </c>
      <c r="CN61" s="1216">
        <v>0</v>
      </c>
      <c r="CO61" s="1216">
        <v>0</v>
      </c>
      <c r="CP61" s="1216">
        <v>0</v>
      </c>
      <c r="CQ61" s="1216">
        <v>0</v>
      </c>
      <c r="CR61" s="221">
        <f>SUM(CN61:CQ61)</f>
        <v>0</v>
      </c>
      <c r="CS61" s="1216">
        <v>0</v>
      </c>
      <c r="CT61" s="1216">
        <v>0</v>
      </c>
      <c r="CU61" s="1216">
        <v>0</v>
      </c>
      <c r="CV61" s="1216">
        <v>0</v>
      </c>
      <c r="CW61" s="221">
        <f>SUM(CS61:CV61)</f>
        <v>0</v>
      </c>
      <c r="CX61" s="1216">
        <v>0</v>
      </c>
      <c r="CY61" s="1216">
        <v>0</v>
      </c>
      <c r="CZ61" s="1216">
        <v>0</v>
      </c>
      <c r="DA61" s="1216">
        <v>0</v>
      </c>
      <c r="DB61" s="221">
        <f>SUM(CX61:DA61)</f>
        <v>0</v>
      </c>
      <c r="DC61" s="9"/>
      <c r="DD61" s="9"/>
      <c r="DE61" s="9"/>
      <c r="DF61" s="9"/>
      <c r="DG61" s="9"/>
      <c r="DH61" s="9"/>
      <c r="DI61" s="9"/>
      <c r="DJ61" s="9"/>
    </row>
    <row r="62" spans="1:114" s="725" customFormat="1" hidden="1" outlineLevel="1">
      <c r="A62" s="9"/>
      <c r="B62" s="9" t="s">
        <v>553</v>
      </c>
      <c r="C62" s="432"/>
      <c r="D62" s="73"/>
      <c r="E62" s="73"/>
      <c r="F62" s="72"/>
      <c r="G62" s="74"/>
      <c r="H62" s="74"/>
      <c r="I62" s="74"/>
      <c r="J62" s="74"/>
      <c r="K62" s="75"/>
      <c r="L62" s="74"/>
      <c r="M62" s="74"/>
      <c r="N62" s="74"/>
      <c r="O62" s="74"/>
      <c r="P62" s="75"/>
      <c r="Q62" s="74"/>
      <c r="R62" s="74"/>
      <c r="S62" s="74"/>
      <c r="T62" s="74"/>
      <c r="U62" s="75"/>
      <c r="V62" s="74"/>
      <c r="W62" s="74"/>
      <c r="X62" s="74"/>
      <c r="Y62" s="74"/>
      <c r="Z62" s="75"/>
      <c r="AA62" s="74"/>
      <c r="AB62" s="74"/>
      <c r="AC62" s="74"/>
      <c r="AD62" s="74"/>
      <c r="AE62" s="75"/>
      <c r="AF62" s="74"/>
      <c r="AG62" s="74"/>
      <c r="AH62" s="74"/>
      <c r="AI62" s="74"/>
      <c r="AJ62" s="75"/>
      <c r="AK62" s="74"/>
      <c r="AL62" s="74"/>
      <c r="AM62" s="74"/>
      <c r="AN62" s="74"/>
      <c r="AO62" s="75"/>
      <c r="AP62" s="74"/>
      <c r="AQ62" s="74"/>
      <c r="AR62" s="74"/>
      <c r="AS62" s="74"/>
      <c r="AT62" s="75"/>
      <c r="AU62" s="74"/>
      <c r="AV62" s="74"/>
      <c r="AW62" s="74"/>
      <c r="AX62" s="74"/>
      <c r="AY62" s="75"/>
      <c r="AZ62" s="74"/>
      <c r="BA62" s="74"/>
      <c r="BB62" s="74"/>
      <c r="BC62" s="74"/>
      <c r="BD62" s="75"/>
      <c r="BE62" s="74"/>
      <c r="BF62" s="74"/>
      <c r="BG62" s="74"/>
      <c r="BH62" s="74"/>
      <c r="BI62" s="75"/>
      <c r="BJ62" s="74"/>
      <c r="BK62" s="74"/>
      <c r="BL62" s="74"/>
      <c r="BM62" s="74"/>
      <c r="BN62" s="75"/>
      <c r="BO62" s="76"/>
      <c r="BP62" s="76"/>
      <c r="BQ62" s="76"/>
      <c r="BR62" s="74"/>
      <c r="BS62" s="75"/>
      <c r="BT62" s="76">
        <f>-5.1*2/3</f>
        <v>-3.4</v>
      </c>
      <c r="BU62" s="76">
        <v>-5.0999999999999996</v>
      </c>
      <c r="BV62" s="76">
        <v>-5.0999999999999996</v>
      </c>
      <c r="BW62" s="76">
        <v>-5.0999999999999996</v>
      </c>
      <c r="BX62" s="75"/>
      <c r="BY62" s="1128">
        <v>-15</v>
      </c>
      <c r="BZ62" s="1128">
        <v>-15</v>
      </c>
      <c r="CA62" s="1128">
        <v>-15</v>
      </c>
      <c r="CB62" s="1128">
        <v>-15</v>
      </c>
      <c r="CC62" s="274">
        <f>SUM(BY62:CB62)</f>
        <v>-60</v>
      </c>
      <c r="CD62" s="276">
        <v>0</v>
      </c>
      <c r="CE62" s="276">
        <v>0</v>
      </c>
      <c r="CF62" s="276">
        <v>0</v>
      </c>
      <c r="CG62" s="276">
        <v>0</v>
      </c>
      <c r="CH62" s="221">
        <f>SUM(CD62:CG62)</f>
        <v>0</v>
      </c>
      <c r="CI62" s="276">
        <v>0</v>
      </c>
      <c r="CJ62" s="276">
        <v>0</v>
      </c>
      <c r="CK62" s="276">
        <v>0</v>
      </c>
      <c r="CL62" s="276">
        <v>0</v>
      </c>
      <c r="CM62" s="221">
        <f>SUM(CI62:CL62)</f>
        <v>0</v>
      </c>
      <c r="CN62" s="1216">
        <v>0</v>
      </c>
      <c r="CO62" s="1216">
        <v>0</v>
      </c>
      <c r="CP62" s="1216">
        <v>0</v>
      </c>
      <c r="CQ62" s="1216">
        <v>0</v>
      </c>
      <c r="CR62" s="221">
        <f>SUM(CN62:CQ62)</f>
        <v>0</v>
      </c>
      <c r="CS62" s="1216">
        <v>0</v>
      </c>
      <c r="CT62" s="1216">
        <v>0</v>
      </c>
      <c r="CU62" s="1216">
        <v>0</v>
      </c>
      <c r="CV62" s="1216">
        <v>0</v>
      </c>
      <c r="CW62" s="221">
        <f>SUM(CS62:CV62)</f>
        <v>0</v>
      </c>
      <c r="CX62" s="1216">
        <v>0</v>
      </c>
      <c r="CY62" s="1216">
        <v>0</v>
      </c>
      <c r="CZ62" s="1216">
        <v>0</v>
      </c>
      <c r="DA62" s="1216">
        <v>0</v>
      </c>
      <c r="DB62" s="221">
        <f>SUM(CX62:DA62)</f>
        <v>0</v>
      </c>
      <c r="DC62" s="9"/>
      <c r="DD62" s="9"/>
      <c r="DE62" s="9"/>
      <c r="DF62" s="9"/>
      <c r="DG62" s="9"/>
      <c r="DH62" s="9"/>
      <c r="DI62" s="9"/>
      <c r="DJ62" s="9"/>
    </row>
    <row r="63" spans="1:114" s="725" customFormat="1" hidden="1" outlineLevel="1">
      <c r="A63" s="9"/>
      <c r="B63" s="9" t="s">
        <v>571</v>
      </c>
      <c r="C63" s="432"/>
      <c r="D63" s="73"/>
      <c r="E63" s="73"/>
      <c r="F63" s="72"/>
      <c r="G63" s="74"/>
      <c r="H63" s="74"/>
      <c r="I63" s="74"/>
      <c r="J63" s="74"/>
      <c r="K63" s="75"/>
      <c r="L63" s="74"/>
      <c r="M63" s="74"/>
      <c r="N63" s="74"/>
      <c r="O63" s="74"/>
      <c r="P63" s="75"/>
      <c r="Q63" s="74"/>
      <c r="R63" s="74"/>
      <c r="S63" s="74"/>
      <c r="T63" s="74"/>
      <c r="U63" s="75"/>
      <c r="V63" s="74"/>
      <c r="W63" s="74"/>
      <c r="X63" s="74"/>
      <c r="Y63" s="74"/>
      <c r="Z63" s="75"/>
      <c r="AA63" s="74"/>
      <c r="AB63" s="74"/>
      <c r="AC63" s="74"/>
      <c r="AD63" s="74"/>
      <c r="AE63" s="75"/>
      <c r="AF63" s="74"/>
      <c r="AG63" s="74"/>
      <c r="AH63" s="74"/>
      <c r="AI63" s="74"/>
      <c r="AJ63" s="75"/>
      <c r="AK63" s="74"/>
      <c r="AL63" s="74"/>
      <c r="AM63" s="74"/>
      <c r="AN63" s="74"/>
      <c r="AO63" s="75"/>
      <c r="AP63" s="74"/>
      <c r="AQ63" s="74"/>
      <c r="AR63" s="74"/>
      <c r="AS63" s="74"/>
      <c r="AT63" s="75"/>
      <c r="AU63" s="74"/>
      <c r="AV63" s="74"/>
      <c r="AW63" s="74"/>
      <c r="AX63" s="74"/>
      <c r="AY63" s="75"/>
      <c r="AZ63" s="74"/>
      <c r="BA63" s="74"/>
      <c r="BB63" s="74"/>
      <c r="BC63" s="74"/>
      <c r="BD63" s="75"/>
      <c r="BE63" s="74"/>
      <c r="BF63" s="74"/>
      <c r="BG63" s="74"/>
      <c r="BH63" s="74"/>
      <c r="BI63" s="75"/>
      <c r="BJ63" s="74"/>
      <c r="BK63" s="74"/>
      <c r="BL63" s="74"/>
      <c r="BM63" s="74"/>
      <c r="BN63" s="75"/>
      <c r="BO63" s="76"/>
      <c r="BP63" s="76"/>
      <c r="BQ63" s="76"/>
      <c r="BR63" s="74"/>
      <c r="BS63" s="75"/>
      <c r="BT63" s="76"/>
      <c r="BU63" s="76"/>
      <c r="BV63" s="76"/>
      <c r="BW63" s="76"/>
      <c r="BX63" s="75"/>
      <c r="BY63" s="283">
        <v>0</v>
      </c>
      <c r="BZ63" s="283">
        <v>0</v>
      </c>
      <c r="CA63" s="283">
        <v>0</v>
      </c>
      <c r="CB63" s="283">
        <v>0</v>
      </c>
      <c r="CC63" s="221">
        <f t="shared" ref="CC63:CC66" si="73">SUM(BY63:CB63)</f>
        <v>0</v>
      </c>
      <c r="CD63" s="1221">
        <f>-52/4+-56/4</f>
        <v>-27</v>
      </c>
      <c r="CE63" s="1221">
        <f>-52/4+-56/4</f>
        <v>-27</v>
      </c>
      <c r="CF63" s="1221">
        <f>-52/4+-56/4</f>
        <v>-27</v>
      </c>
      <c r="CG63" s="1221">
        <f>-52/4+-56/4</f>
        <v>-27</v>
      </c>
      <c r="CH63" s="274">
        <f t="shared" ref="CH63:CH66" si="74">SUM(CD63:CG63)</f>
        <v>-108</v>
      </c>
      <c r="CI63" s="276">
        <v>0</v>
      </c>
      <c r="CJ63" s="276">
        <v>0</v>
      </c>
      <c r="CK63" s="276">
        <v>0</v>
      </c>
      <c r="CL63" s="276">
        <v>0</v>
      </c>
      <c r="CM63" s="221">
        <f t="shared" ref="CM63:CM66" si="75">SUM(CI63:CL63)</f>
        <v>0</v>
      </c>
      <c r="CN63" s="1215">
        <v>0</v>
      </c>
      <c r="CO63" s="1215">
        <v>0</v>
      </c>
      <c r="CP63" s="1215">
        <v>0</v>
      </c>
      <c r="CQ63" s="1215">
        <v>0</v>
      </c>
      <c r="CR63" s="221">
        <f t="shared" ref="CR63:CR66" si="76">SUM(CN63:CQ63)</f>
        <v>0</v>
      </c>
      <c r="CS63" s="1215">
        <v>0</v>
      </c>
      <c r="CT63" s="1215">
        <v>0</v>
      </c>
      <c r="CU63" s="1215">
        <v>0</v>
      </c>
      <c r="CV63" s="1215">
        <v>0</v>
      </c>
      <c r="CW63" s="221">
        <f t="shared" ref="CW63:CW66" si="77">SUM(CS63:CV63)</f>
        <v>0</v>
      </c>
      <c r="CX63" s="1215">
        <v>0</v>
      </c>
      <c r="CY63" s="1215">
        <v>0</v>
      </c>
      <c r="CZ63" s="1215">
        <v>0</v>
      </c>
      <c r="DA63" s="1215">
        <v>0</v>
      </c>
      <c r="DB63" s="221">
        <f t="shared" ref="DB63:DB66" si="78">SUM(CX63:DA63)</f>
        <v>0</v>
      </c>
      <c r="DC63" s="9"/>
      <c r="DD63" s="9"/>
      <c r="DE63" s="9"/>
      <c r="DF63" s="9"/>
      <c r="DG63" s="9"/>
      <c r="DH63" s="9"/>
      <c r="DI63" s="9"/>
      <c r="DJ63" s="9"/>
    </row>
    <row r="64" spans="1:114" s="725" customFormat="1" hidden="1" outlineLevel="1">
      <c r="A64" s="9"/>
      <c r="B64" s="9" t="s">
        <v>572</v>
      </c>
      <c r="C64" s="432"/>
      <c r="D64" s="73"/>
      <c r="E64" s="73"/>
      <c r="F64" s="72"/>
      <c r="G64" s="74"/>
      <c r="H64" s="74"/>
      <c r="I64" s="74"/>
      <c r="J64" s="74"/>
      <c r="K64" s="75"/>
      <c r="L64" s="74"/>
      <c r="M64" s="74"/>
      <c r="N64" s="74"/>
      <c r="O64" s="74"/>
      <c r="P64" s="75"/>
      <c r="Q64" s="74"/>
      <c r="R64" s="74"/>
      <c r="S64" s="74"/>
      <c r="T64" s="74"/>
      <c r="U64" s="75"/>
      <c r="V64" s="74"/>
      <c r="W64" s="74"/>
      <c r="X64" s="74"/>
      <c r="Y64" s="74"/>
      <c r="Z64" s="75"/>
      <c r="AA64" s="74"/>
      <c r="AB64" s="74"/>
      <c r="AC64" s="74"/>
      <c r="AD64" s="74"/>
      <c r="AE64" s="75"/>
      <c r="AF64" s="74"/>
      <c r="AG64" s="74"/>
      <c r="AH64" s="74"/>
      <c r="AI64" s="74"/>
      <c r="AJ64" s="75"/>
      <c r="AK64" s="74"/>
      <c r="AL64" s="74"/>
      <c r="AM64" s="74"/>
      <c r="AN64" s="74"/>
      <c r="AO64" s="75"/>
      <c r="AP64" s="74"/>
      <c r="AQ64" s="74"/>
      <c r="AR64" s="74"/>
      <c r="AS64" s="74"/>
      <c r="AT64" s="75"/>
      <c r="AU64" s="74"/>
      <c r="AV64" s="74"/>
      <c r="AW64" s="74"/>
      <c r="AX64" s="74"/>
      <c r="AY64" s="75"/>
      <c r="AZ64" s="74"/>
      <c r="BA64" s="74"/>
      <c r="BB64" s="74"/>
      <c r="BC64" s="74"/>
      <c r="BD64" s="75"/>
      <c r="BE64" s="74"/>
      <c r="BF64" s="74"/>
      <c r="BG64" s="74"/>
      <c r="BH64" s="74"/>
      <c r="BI64" s="75"/>
      <c r="BJ64" s="74"/>
      <c r="BK64" s="74"/>
      <c r="BL64" s="74"/>
      <c r="BM64" s="74"/>
      <c r="BN64" s="75"/>
      <c r="BO64" s="76"/>
      <c r="BP64" s="76"/>
      <c r="BQ64" s="76"/>
      <c r="BR64" s="74"/>
      <c r="BS64" s="75"/>
      <c r="BT64" s="76"/>
      <c r="BU64" s="76"/>
      <c r="BV64" s="76"/>
      <c r="BW64" s="76"/>
      <c r="BX64" s="75"/>
      <c r="BY64" s="276">
        <v>0</v>
      </c>
      <c r="BZ64" s="276">
        <v>0</v>
      </c>
      <c r="CA64" s="276">
        <v>0</v>
      </c>
      <c r="CB64" s="276">
        <v>0</v>
      </c>
      <c r="CC64" s="221">
        <f t="shared" si="73"/>
        <v>0</v>
      </c>
      <c r="CD64" s="276">
        <v>0</v>
      </c>
      <c r="CE64" s="276">
        <v>0</v>
      </c>
      <c r="CF64" s="276">
        <v>0</v>
      </c>
      <c r="CG64" s="276">
        <v>0</v>
      </c>
      <c r="CH64" s="221">
        <f t="shared" si="74"/>
        <v>0</v>
      </c>
      <c r="CI64" s="276">
        <v>0</v>
      </c>
      <c r="CJ64" s="276">
        <v>0</v>
      </c>
      <c r="CK64" s="276">
        <v>0</v>
      </c>
      <c r="CL64" s="276">
        <v>0</v>
      </c>
      <c r="CM64" s="221">
        <f t="shared" si="75"/>
        <v>0</v>
      </c>
      <c r="CN64" s="1216">
        <v>0</v>
      </c>
      <c r="CO64" s="1216">
        <v>0</v>
      </c>
      <c r="CP64" s="1216">
        <v>0</v>
      </c>
      <c r="CQ64" s="1216">
        <v>0</v>
      </c>
      <c r="CR64" s="221">
        <f t="shared" si="76"/>
        <v>0</v>
      </c>
      <c r="CS64" s="1216">
        <v>0</v>
      </c>
      <c r="CT64" s="1216">
        <v>0</v>
      </c>
      <c r="CU64" s="1216">
        <v>0</v>
      </c>
      <c r="CV64" s="1216">
        <v>0</v>
      </c>
      <c r="CW64" s="221">
        <f t="shared" si="77"/>
        <v>0</v>
      </c>
      <c r="CX64" s="1216">
        <v>0</v>
      </c>
      <c r="CY64" s="1216">
        <v>0</v>
      </c>
      <c r="CZ64" s="1216">
        <v>0</v>
      </c>
      <c r="DA64" s="1216">
        <v>0</v>
      </c>
      <c r="DB64" s="221">
        <f t="shared" si="78"/>
        <v>0</v>
      </c>
      <c r="DC64" s="9"/>
      <c r="DD64" s="9"/>
      <c r="DE64" s="9"/>
      <c r="DF64" s="9"/>
      <c r="DG64" s="9"/>
      <c r="DH64" s="9"/>
      <c r="DI64" s="9"/>
      <c r="DJ64" s="9"/>
    </row>
    <row r="65" spans="1:114" s="725" customFormat="1" hidden="1" outlineLevel="1">
      <c r="A65" s="9"/>
      <c r="B65" s="9" t="s">
        <v>573</v>
      </c>
      <c r="C65" s="432"/>
      <c r="D65" s="73"/>
      <c r="E65" s="73"/>
      <c r="F65" s="72"/>
      <c r="G65" s="74"/>
      <c r="H65" s="74"/>
      <c r="I65" s="74"/>
      <c r="J65" s="74"/>
      <c r="K65" s="75"/>
      <c r="L65" s="74"/>
      <c r="M65" s="74"/>
      <c r="N65" s="74"/>
      <c r="O65" s="74"/>
      <c r="P65" s="75"/>
      <c r="Q65" s="74"/>
      <c r="R65" s="74"/>
      <c r="S65" s="74"/>
      <c r="T65" s="74"/>
      <c r="U65" s="75"/>
      <c r="V65" s="74"/>
      <c r="W65" s="74"/>
      <c r="X65" s="74"/>
      <c r="Y65" s="74"/>
      <c r="Z65" s="75"/>
      <c r="AA65" s="74"/>
      <c r="AB65" s="74"/>
      <c r="AC65" s="74"/>
      <c r="AD65" s="74"/>
      <c r="AE65" s="75"/>
      <c r="AF65" s="74"/>
      <c r="AG65" s="74"/>
      <c r="AH65" s="74"/>
      <c r="AI65" s="74"/>
      <c r="AJ65" s="75"/>
      <c r="AK65" s="74"/>
      <c r="AL65" s="74"/>
      <c r="AM65" s="74"/>
      <c r="AN65" s="74"/>
      <c r="AO65" s="75"/>
      <c r="AP65" s="74"/>
      <c r="AQ65" s="74"/>
      <c r="AR65" s="74"/>
      <c r="AS65" s="74"/>
      <c r="AT65" s="75"/>
      <c r="AU65" s="74"/>
      <c r="AV65" s="74"/>
      <c r="AW65" s="74"/>
      <c r="AX65" s="74"/>
      <c r="AY65" s="75"/>
      <c r="AZ65" s="74"/>
      <c r="BA65" s="74"/>
      <c r="BB65" s="74"/>
      <c r="BC65" s="74"/>
      <c r="BD65" s="75"/>
      <c r="BE65" s="74"/>
      <c r="BF65" s="74"/>
      <c r="BG65" s="74"/>
      <c r="BH65" s="74"/>
      <c r="BI65" s="75"/>
      <c r="BJ65" s="74"/>
      <c r="BK65" s="74"/>
      <c r="BL65" s="74"/>
      <c r="BM65" s="74"/>
      <c r="BN65" s="75"/>
      <c r="BO65" s="76"/>
      <c r="BP65" s="76"/>
      <c r="BQ65" s="76"/>
      <c r="BR65" s="74"/>
      <c r="BS65" s="75"/>
      <c r="BT65" s="76"/>
      <c r="BU65" s="76"/>
      <c r="BV65" s="76"/>
      <c r="BW65" s="76"/>
      <c r="BX65" s="75"/>
      <c r="BY65" s="1129">
        <v>0</v>
      </c>
      <c r="BZ65" s="1130">
        <v>0</v>
      </c>
      <c r="CA65" s="1130">
        <v>0</v>
      </c>
      <c r="CB65" s="280">
        <v>0</v>
      </c>
      <c r="CC65" s="221">
        <f t="shared" si="73"/>
        <v>0</v>
      </c>
      <c r="CD65" s="76">
        <v>10</v>
      </c>
      <c r="CE65" s="76">
        <f>(155+22.9)/4</f>
        <v>44.475000000000001</v>
      </c>
      <c r="CF65" s="76">
        <f>(155+22.9)/4</f>
        <v>44.475000000000001</v>
      </c>
      <c r="CG65" s="76">
        <f>(155+22.9)/4</f>
        <v>44.475000000000001</v>
      </c>
      <c r="CH65" s="75">
        <f t="shared" si="74"/>
        <v>143.42500000000001</v>
      </c>
      <c r="CI65" s="76"/>
      <c r="CJ65" s="276">
        <v>0</v>
      </c>
      <c r="CK65" s="276">
        <v>0</v>
      </c>
      <c r="CL65" s="276">
        <v>0</v>
      </c>
      <c r="CM65" s="75">
        <f t="shared" si="75"/>
        <v>0</v>
      </c>
      <c r="CN65" s="1216">
        <v>0</v>
      </c>
      <c r="CO65" s="1216">
        <v>0</v>
      </c>
      <c r="CP65" s="1216">
        <v>0</v>
      </c>
      <c r="CQ65" s="1216">
        <v>0</v>
      </c>
      <c r="CR65" s="221">
        <f t="shared" si="76"/>
        <v>0</v>
      </c>
      <c r="CS65" s="1216">
        <v>0</v>
      </c>
      <c r="CT65" s="1216">
        <v>0</v>
      </c>
      <c r="CU65" s="1216">
        <v>0</v>
      </c>
      <c r="CV65" s="1216">
        <v>0</v>
      </c>
      <c r="CW65" s="221">
        <f t="shared" si="77"/>
        <v>0</v>
      </c>
      <c r="CX65" s="1216">
        <v>0</v>
      </c>
      <c r="CY65" s="1216">
        <v>0</v>
      </c>
      <c r="CZ65" s="1216">
        <v>0</v>
      </c>
      <c r="DA65" s="1216">
        <v>0</v>
      </c>
      <c r="DB65" s="221">
        <f t="shared" si="78"/>
        <v>0</v>
      </c>
      <c r="DC65" s="9"/>
      <c r="DD65" s="9"/>
      <c r="DE65" s="9"/>
      <c r="DF65" s="9"/>
      <c r="DG65" s="9"/>
      <c r="DH65" s="9"/>
      <c r="DI65" s="9"/>
      <c r="DJ65" s="9"/>
    </row>
    <row r="66" spans="1:114" s="725" customFormat="1" hidden="1" outlineLevel="1">
      <c r="A66" s="9"/>
      <c r="B66" s="9" t="s">
        <v>629</v>
      </c>
      <c r="C66" s="432"/>
      <c r="D66" s="73"/>
      <c r="E66" s="73"/>
      <c r="F66" s="72"/>
      <c r="G66" s="74"/>
      <c r="H66" s="74"/>
      <c r="I66" s="74"/>
      <c r="J66" s="74"/>
      <c r="K66" s="75"/>
      <c r="L66" s="74"/>
      <c r="M66" s="74"/>
      <c r="N66" s="74"/>
      <c r="O66" s="74"/>
      <c r="P66" s="75"/>
      <c r="Q66" s="74"/>
      <c r="R66" s="74"/>
      <c r="S66" s="74"/>
      <c r="T66" s="74"/>
      <c r="U66" s="75"/>
      <c r="V66" s="74"/>
      <c r="W66" s="74"/>
      <c r="X66" s="74"/>
      <c r="Y66" s="74"/>
      <c r="Z66" s="75"/>
      <c r="AA66" s="74"/>
      <c r="AB66" s="74"/>
      <c r="AC66" s="74"/>
      <c r="AD66" s="74"/>
      <c r="AE66" s="75"/>
      <c r="AF66" s="74"/>
      <c r="AG66" s="74"/>
      <c r="AH66" s="74"/>
      <c r="AI66" s="74"/>
      <c r="AJ66" s="75"/>
      <c r="AK66" s="74"/>
      <c r="AL66" s="74"/>
      <c r="AM66" s="74"/>
      <c r="AN66" s="74"/>
      <c r="AO66" s="75"/>
      <c r="AP66" s="74"/>
      <c r="AQ66" s="74"/>
      <c r="AR66" s="74"/>
      <c r="AS66" s="74"/>
      <c r="AT66" s="75"/>
      <c r="AU66" s="74"/>
      <c r="AV66" s="74"/>
      <c r="AW66" s="74"/>
      <c r="AX66" s="74"/>
      <c r="AY66" s="75"/>
      <c r="AZ66" s="74"/>
      <c r="BA66" s="74"/>
      <c r="BB66" s="74"/>
      <c r="BC66" s="74"/>
      <c r="BD66" s="75"/>
      <c r="BE66" s="74"/>
      <c r="BF66" s="74"/>
      <c r="BG66" s="74"/>
      <c r="BH66" s="74"/>
      <c r="BI66" s="75"/>
      <c r="BJ66" s="74"/>
      <c r="BK66" s="74"/>
      <c r="BL66" s="74"/>
      <c r="BM66" s="74"/>
      <c r="BN66" s="75"/>
      <c r="BO66" s="76"/>
      <c r="BP66" s="76"/>
      <c r="BQ66" s="76"/>
      <c r="BR66" s="74"/>
      <c r="BS66" s="75"/>
      <c r="BT66" s="76"/>
      <c r="BU66" s="76"/>
      <c r="BV66" s="76"/>
      <c r="BW66" s="76"/>
      <c r="BX66" s="75"/>
      <c r="BY66" s="1129">
        <v>0</v>
      </c>
      <c r="BZ66" s="1130">
        <v>0</v>
      </c>
      <c r="CA66" s="1130">
        <v>0</v>
      </c>
      <c r="CB66" s="280">
        <v>0</v>
      </c>
      <c r="CC66" s="221">
        <f t="shared" si="73"/>
        <v>0</v>
      </c>
      <c r="CD66" s="276">
        <v>0</v>
      </c>
      <c r="CE66" s="276">
        <v>0</v>
      </c>
      <c r="CF66" s="321">
        <f>-1000/4</f>
        <v>-250</v>
      </c>
      <c r="CG66" s="321">
        <f>-1000/4</f>
        <v>-250</v>
      </c>
      <c r="CH66" s="274">
        <f t="shared" si="74"/>
        <v>-500</v>
      </c>
      <c r="CI66" s="1216">
        <v>0</v>
      </c>
      <c r="CJ66" s="1216">
        <f>CI66</f>
        <v>0</v>
      </c>
      <c r="CK66" s="1216"/>
      <c r="CL66" s="1216"/>
      <c r="CM66" s="274">
        <f t="shared" si="75"/>
        <v>0</v>
      </c>
      <c r="CN66" s="1216">
        <v>-190</v>
      </c>
      <c r="CO66" s="1216">
        <v>-250</v>
      </c>
      <c r="CP66" s="1216">
        <v>-300</v>
      </c>
      <c r="CQ66" s="1216">
        <v>-300</v>
      </c>
      <c r="CR66" s="221">
        <f t="shared" si="76"/>
        <v>-1040</v>
      </c>
      <c r="CS66" s="1216">
        <v>-75</v>
      </c>
      <c r="CT66" s="1216">
        <v>-75</v>
      </c>
      <c r="CU66" s="1216">
        <v>-35</v>
      </c>
      <c r="CV66" s="1216">
        <v>-75</v>
      </c>
      <c r="CW66" s="221">
        <f t="shared" si="77"/>
        <v>-260</v>
      </c>
      <c r="CX66" s="1216">
        <v>0</v>
      </c>
      <c r="CY66" s="1216">
        <v>0</v>
      </c>
      <c r="CZ66" s="1216">
        <v>0</v>
      </c>
      <c r="DA66" s="1216">
        <v>0</v>
      </c>
      <c r="DB66" s="221">
        <f t="shared" si="78"/>
        <v>0</v>
      </c>
      <c r="DC66" s="9"/>
      <c r="DD66" s="9"/>
      <c r="DE66" s="9"/>
      <c r="DF66" s="9"/>
      <c r="DG66" s="9"/>
      <c r="DH66" s="9"/>
      <c r="DI66" s="9"/>
      <c r="DJ66" s="9"/>
    </row>
    <row r="67" spans="1:114" s="725" customFormat="1" ht="11.25" hidden="1" customHeight="1" outlineLevel="1">
      <c r="A67" s="37"/>
      <c r="B67" s="245" t="s">
        <v>308</v>
      </c>
      <c r="C67" s="37"/>
      <c r="D67" s="106"/>
      <c r="E67" s="18"/>
      <c r="F67" s="18"/>
      <c r="G67" s="273">
        <f t="shared" ref="G67:AL67" si="79">IF(ISERROR(G68-SUM(G15:G58)),"NM",(G68-SUM(G15:G58)))</f>
        <v>60.895000000000003</v>
      </c>
      <c r="H67" s="273">
        <f t="shared" si="79"/>
        <v>49.753999999999998</v>
      </c>
      <c r="I67" s="273">
        <f t="shared" si="79"/>
        <v>38.271000000000001</v>
      </c>
      <c r="J67" s="273">
        <f t="shared" si="79"/>
        <v>76.161000000000001</v>
      </c>
      <c r="K67" s="274">
        <f t="shared" si="79"/>
        <v>225.08100000000002</v>
      </c>
      <c r="L67" s="273">
        <f t="shared" si="79"/>
        <v>97.111999999999995</v>
      </c>
      <c r="M67" s="273">
        <f t="shared" si="79"/>
        <v>97.712000000000003</v>
      </c>
      <c r="N67" s="273">
        <f t="shared" si="79"/>
        <v>91.694000000000003</v>
      </c>
      <c r="O67" s="273">
        <f t="shared" si="79"/>
        <v>56.747999999999998</v>
      </c>
      <c r="P67" s="274">
        <f t="shared" si="79"/>
        <v>343.26600000000002</v>
      </c>
      <c r="Q67" s="273">
        <f t="shared" si="79"/>
        <v>44.513999999999996</v>
      </c>
      <c r="R67" s="273">
        <f t="shared" si="79"/>
        <v>45.218999999999994</v>
      </c>
      <c r="S67" s="273">
        <f t="shared" si="79"/>
        <v>63.171000000000006</v>
      </c>
      <c r="T67" s="273">
        <f t="shared" si="79"/>
        <v>96.316000000000003</v>
      </c>
      <c r="U67" s="274">
        <f t="shared" si="79"/>
        <v>249.22000000000003</v>
      </c>
      <c r="V67" s="273">
        <f t="shared" si="79"/>
        <v>88.468000000000004</v>
      </c>
      <c r="W67" s="273">
        <f t="shared" si="79"/>
        <v>88.671000000000006</v>
      </c>
      <c r="X67" s="273">
        <f t="shared" si="79"/>
        <v>62.771333333333338</v>
      </c>
      <c r="Y67" s="273">
        <f t="shared" si="79"/>
        <v>9.6559999999999988</v>
      </c>
      <c r="Z67" s="274">
        <f t="shared" si="79"/>
        <v>249.56633333333335</v>
      </c>
      <c r="AA67" s="273">
        <f t="shared" si="79"/>
        <v>15.681666666666672</v>
      </c>
      <c r="AB67" s="273">
        <f t="shared" si="79"/>
        <v>10.733999999999995</v>
      </c>
      <c r="AC67" s="273">
        <f t="shared" si="79"/>
        <v>4.8526666666666713</v>
      </c>
      <c r="AD67" s="273">
        <f t="shared" si="79"/>
        <v>-1.232999999999997</v>
      </c>
      <c r="AE67" s="274">
        <f t="shared" si="79"/>
        <v>30.035333333333341</v>
      </c>
      <c r="AF67" s="273">
        <f t="shared" si="79"/>
        <v>-0.39066666666666094</v>
      </c>
      <c r="AG67" s="273">
        <f t="shared" si="79"/>
        <v>15.766999999999996</v>
      </c>
      <c r="AH67" s="273">
        <f t="shared" si="79"/>
        <v>71.076999999999998</v>
      </c>
      <c r="AI67" s="273">
        <f t="shared" si="79"/>
        <v>88.294666666666672</v>
      </c>
      <c r="AJ67" s="274">
        <f t="shared" si="79"/>
        <v>174.74800000000002</v>
      </c>
      <c r="AK67" s="273">
        <f t="shared" si="79"/>
        <v>93.671000000000006</v>
      </c>
      <c r="AL67" s="273">
        <f t="shared" si="79"/>
        <v>81.38633333333334</v>
      </c>
      <c r="AM67" s="273">
        <f t="shared" ref="AM67:BL67" si="80">IF(ISERROR(AM68-SUM(AM15:AM58)),"NM",(AM68-SUM(AM15:AM58)))</f>
        <v>135.09899999999999</v>
      </c>
      <c r="AN67" s="273">
        <f t="shared" si="80"/>
        <v>18.414333333333332</v>
      </c>
      <c r="AO67" s="274">
        <f t="shared" si="80"/>
        <v>328.57066666666668</v>
      </c>
      <c r="AP67" s="273">
        <f t="shared" si="80"/>
        <v>15.790999999999997</v>
      </c>
      <c r="AQ67" s="273">
        <f t="shared" si="80"/>
        <v>12.97366666666667</v>
      </c>
      <c r="AR67" s="273">
        <f t="shared" si="80"/>
        <v>11.105</v>
      </c>
      <c r="AS67" s="273">
        <f t="shared" si="80"/>
        <v>13.768000000000001</v>
      </c>
      <c r="AT67" s="274">
        <f t="shared" si="80"/>
        <v>53.637666666666689</v>
      </c>
      <c r="AU67" s="273">
        <f t="shared" si="80"/>
        <v>7.6046666666666738</v>
      </c>
      <c r="AV67" s="273">
        <f t="shared" si="80"/>
        <v>1.1539999999999964</v>
      </c>
      <c r="AW67" s="273">
        <f t="shared" si="80"/>
        <v>-15.483000000000004</v>
      </c>
      <c r="AX67" s="273">
        <f t="shared" si="80"/>
        <v>-25.397000000000006</v>
      </c>
      <c r="AY67" s="274">
        <f t="shared" si="80"/>
        <v>-32.121333333333268</v>
      </c>
      <c r="AZ67" s="273">
        <f t="shared" si="80"/>
        <v>-18.927666666666653</v>
      </c>
      <c r="BA67" s="273">
        <f t="shared" si="80"/>
        <v>-17.668999999999997</v>
      </c>
      <c r="BB67" s="273">
        <f t="shared" si="80"/>
        <v>-0.34700000000000131</v>
      </c>
      <c r="BC67" s="273">
        <f t="shared" si="80"/>
        <v>-3.1289999999999907</v>
      </c>
      <c r="BD67" s="274">
        <f t="shared" si="80"/>
        <v>-40.072666666666692</v>
      </c>
      <c r="BE67" s="273">
        <f t="shared" si="80"/>
        <v>-12.369</v>
      </c>
      <c r="BF67" s="273">
        <f t="shared" si="80"/>
        <v>10.890666666666647</v>
      </c>
      <c r="BG67" s="273">
        <f t="shared" si="80"/>
        <v>-8.8789999999999907</v>
      </c>
      <c r="BH67" s="273">
        <f t="shared" si="80"/>
        <v>-8.7879999999999967</v>
      </c>
      <c r="BI67" s="274">
        <f t="shared" si="80"/>
        <v>-19.145333333333383</v>
      </c>
      <c r="BJ67" s="273">
        <f t="shared" si="80"/>
        <v>51.948666666666668</v>
      </c>
      <c r="BK67" s="273">
        <f t="shared" si="80"/>
        <v>-34.123666666666651</v>
      </c>
      <c r="BL67" s="273">
        <f t="shared" si="80"/>
        <v>-20.663999999999987</v>
      </c>
      <c r="BM67" s="273">
        <f>IF(ISERROR(BM68-SUM(BM15:BM58)),"NM",(BM68-SUM(BM15:BM58)))</f>
        <v>-14.256</v>
      </c>
      <c r="BN67" s="274">
        <f>IF(ISERROR(BN68-SUM(BN15:BN58)),"NM",(BN68-SUM(BN15:BN58)))</f>
        <v>-17.094999999999914</v>
      </c>
      <c r="BO67" s="579">
        <f>BO68-SUM(BO53:BO66)</f>
        <v>50.683</v>
      </c>
      <c r="BP67" s="579">
        <f>BP68-SUM(BP53:BP66)</f>
        <v>23.652999999999999</v>
      </c>
      <c r="BQ67" s="579">
        <f>BQ68-SUM(BQ53:BQ66)</f>
        <v>0.97899999999999998</v>
      </c>
      <c r="BR67" s="273">
        <f>BR68-SUM(BR53:BR66)</f>
        <v>0.192</v>
      </c>
      <c r="BS67" s="274"/>
      <c r="BT67" s="579">
        <f>BT68-SUM(BT53:BT66)</f>
        <v>144.4</v>
      </c>
      <c r="BU67" s="579">
        <f>BU68-SUM(BU53:BU66)</f>
        <v>53.849999999999994</v>
      </c>
      <c r="BV67" s="579">
        <f>BV68-SUM(BV53:BV66)</f>
        <v>15.849999999999994</v>
      </c>
      <c r="BW67" s="579">
        <f>BW68-SUM(BW53:BW66)</f>
        <v>19.849999999999994</v>
      </c>
      <c r="BX67" s="274">
        <f>SUM(BT67:BW67)</f>
        <v>233.95</v>
      </c>
      <c r="BY67" s="579">
        <f>BY68-SUM(BY53:BY66)</f>
        <v>36.75</v>
      </c>
      <c r="BZ67" s="579">
        <f>BZ68-SUM(BZ53:BZ66)</f>
        <v>34</v>
      </c>
      <c r="CA67" s="579">
        <f>CA68-SUM(CA53:CA66)</f>
        <v>37</v>
      </c>
      <c r="CB67" s="1105">
        <f>CB68-SUM(CB53:CB66)</f>
        <v>-150</v>
      </c>
      <c r="CC67" s="63">
        <f>SUM(BY67:CB67)</f>
        <v>-42.25</v>
      </c>
      <c r="CD67" s="276">
        <v>0</v>
      </c>
      <c r="CE67" s="276">
        <v>0</v>
      </c>
      <c r="CF67" s="276">
        <v>0</v>
      </c>
      <c r="CG67" s="276">
        <v>0</v>
      </c>
      <c r="CH67" s="1045">
        <f>SUM(CD67:CG67)</f>
        <v>0</v>
      </c>
      <c r="CI67" s="276">
        <v>0</v>
      </c>
      <c r="CJ67" s="276">
        <v>0</v>
      </c>
      <c r="CK67" s="276">
        <v>0</v>
      </c>
      <c r="CL67" s="276">
        <v>0</v>
      </c>
      <c r="CM67" s="1045">
        <f>SUM(CI67:CL67)</f>
        <v>0</v>
      </c>
      <c r="CN67" s="1216">
        <v>0</v>
      </c>
      <c r="CO67" s="1216">
        <v>0</v>
      </c>
      <c r="CP67" s="1216">
        <v>0</v>
      </c>
      <c r="CQ67" s="1216">
        <v>0</v>
      </c>
      <c r="CR67" s="1045">
        <f>SUM(CN67:CQ67)</f>
        <v>0</v>
      </c>
      <c r="CS67" s="1216">
        <v>0</v>
      </c>
      <c r="CT67" s="1216">
        <v>0</v>
      </c>
      <c r="CU67" s="1216">
        <v>0</v>
      </c>
      <c r="CV67" s="1216">
        <v>0</v>
      </c>
      <c r="CW67" s="1045">
        <f>SUM(CS67:CV67)</f>
        <v>0</v>
      </c>
      <c r="CX67" s="1216">
        <v>0</v>
      </c>
      <c r="CY67" s="1216">
        <v>0</v>
      </c>
      <c r="CZ67" s="1216">
        <v>0</v>
      </c>
      <c r="DA67" s="1216">
        <v>0</v>
      </c>
      <c r="DB67" s="1045">
        <f>SUM(CX67:DA67)</f>
        <v>0</v>
      </c>
      <c r="DC67" s="37"/>
      <c r="DD67" s="37"/>
      <c r="DE67" s="37"/>
      <c r="DF67" s="37"/>
      <c r="DG67" s="37"/>
      <c r="DH67" s="37"/>
      <c r="DI67" s="37"/>
      <c r="DJ67" s="37"/>
    </row>
    <row r="68" spans="1:114" s="725" customFormat="1" ht="11.25" hidden="1" customHeight="1" outlineLevel="1">
      <c r="A68" s="16"/>
      <c r="B68" s="1297" t="s">
        <v>680</v>
      </c>
      <c r="C68" s="1185"/>
      <c r="D68" s="1186">
        <f>SUM(D15:D67)</f>
        <v>0</v>
      </c>
      <c r="E68" s="1186">
        <f>SUM(E15:E67)</f>
        <v>0</v>
      </c>
      <c r="F68" s="1187">
        <f>SUM(F15:F67)</f>
        <v>0</v>
      </c>
      <c r="G68" s="1188">
        <f>(G242-G262)/1000</f>
        <v>60.895000000000003</v>
      </c>
      <c r="H68" s="1188">
        <f>(H242-H262)/1000</f>
        <v>49.753999999999998</v>
      </c>
      <c r="I68" s="1188">
        <f>(I242-I262)/1000</f>
        <v>38.271000000000001</v>
      </c>
      <c r="J68" s="1188">
        <f>(J242-J262)/1000</f>
        <v>76.161000000000001</v>
      </c>
      <c r="K68" s="1189">
        <f>SUM(G68:J68)</f>
        <v>225.08100000000002</v>
      </c>
      <c r="L68" s="1188">
        <f>(L242-L262)/1000</f>
        <v>97.111999999999995</v>
      </c>
      <c r="M68" s="1188">
        <f>(M242-M262)/1000</f>
        <v>97.712000000000003</v>
      </c>
      <c r="N68" s="1188">
        <f>(N242-N262)/1000</f>
        <v>91.694000000000003</v>
      </c>
      <c r="O68" s="1188">
        <f>(O242-O262)/1000</f>
        <v>56.747999999999998</v>
      </c>
      <c r="P68" s="1189">
        <f>SUM(L68:O68)</f>
        <v>343.26600000000002</v>
      </c>
      <c r="Q68" s="1188">
        <f>(Q242-Q262)/1000</f>
        <v>82.013999999999996</v>
      </c>
      <c r="R68" s="1188">
        <f>(R242-R262)/1000</f>
        <v>82.718999999999994</v>
      </c>
      <c r="S68" s="1188">
        <f>(S242-S262)/1000</f>
        <v>125.67100000000001</v>
      </c>
      <c r="T68" s="1188">
        <f>(T242-T262)/1000</f>
        <v>158.816</v>
      </c>
      <c r="U68" s="1189">
        <f>SUM(Q68:T68)</f>
        <v>449.22</v>
      </c>
      <c r="V68" s="1188">
        <f>(V242-V262)/1000</f>
        <v>113.468</v>
      </c>
      <c r="W68" s="1188">
        <f>(W242-W262)/1000</f>
        <v>113.67100000000001</v>
      </c>
      <c r="X68" s="1188">
        <f>(X242-X262)/1000</f>
        <v>91.938000000000002</v>
      </c>
      <c r="Y68" s="1188">
        <f>(Y242-Y262)/1000</f>
        <v>47.155999999999999</v>
      </c>
      <c r="Z68" s="1189">
        <f>SUM(V68:Y68)</f>
        <v>366.233</v>
      </c>
      <c r="AA68" s="1188">
        <f>(AA242-AA262)/1000</f>
        <v>62.765000000000001</v>
      </c>
      <c r="AB68" s="1188">
        <f>(AB242-AB262)/1000</f>
        <v>76.983999999999995</v>
      </c>
      <c r="AC68" s="1188">
        <f>(AC242-AC262)/1000</f>
        <v>48.186</v>
      </c>
      <c r="AD68" s="1188">
        <f>(AD242-AD262)/1000</f>
        <v>63.767000000000003</v>
      </c>
      <c r="AE68" s="1189">
        <f>SUM(AA68:AD68)</f>
        <v>251.702</v>
      </c>
      <c r="AF68" s="1188">
        <f>(AF242-AF262)/1000</f>
        <v>56.526000000000003</v>
      </c>
      <c r="AG68" s="1188">
        <f>(AG242-AG262)/1000</f>
        <v>71.516999999999996</v>
      </c>
      <c r="AH68" s="1188">
        <f>(AH242-AH262)/1000</f>
        <v>120.577</v>
      </c>
      <c r="AI68" s="1188">
        <f>(AI242-AI262)/1000</f>
        <v>116.128</v>
      </c>
      <c r="AJ68" s="1189">
        <f>SUM(AF68:AI68)</f>
        <v>364.74799999999999</v>
      </c>
      <c r="AK68" s="1188">
        <f>(AK242-AK262)/1000</f>
        <v>124.17100000000001</v>
      </c>
      <c r="AL68" s="1188">
        <f>(AL242-AL262)/1000</f>
        <v>146.803</v>
      </c>
      <c r="AM68" s="1188">
        <f>(AM242-AM262)/1000</f>
        <v>220.09899999999999</v>
      </c>
      <c r="AN68" s="1188">
        <f>(AN242-AN262)/1000</f>
        <v>95.081000000000003</v>
      </c>
      <c r="AO68" s="1189">
        <f>SUM(AK68:AN68)</f>
        <v>586.154</v>
      </c>
      <c r="AP68" s="1188">
        <f>(AP242-AP262)/1000</f>
        <v>88.290999999999997</v>
      </c>
      <c r="AQ68" s="1188">
        <f>(AQ242-AQ262)/1000</f>
        <v>32.557000000000002</v>
      </c>
      <c r="AR68" s="1188">
        <f>(AR242-AR262)/1000</f>
        <v>11.105</v>
      </c>
      <c r="AS68" s="1188">
        <f>(AS242-AS262)/1000</f>
        <v>87.518000000000001</v>
      </c>
      <c r="AT68" s="1189">
        <f>SUM(AP68:AS68)</f>
        <v>219.471</v>
      </c>
      <c r="AU68" s="1188">
        <f>(AU242-AU262)/1000</f>
        <v>87.188000000000002</v>
      </c>
      <c r="AV68" s="1188">
        <f>(AV242-AV262)/1000</f>
        <v>166.154</v>
      </c>
      <c r="AW68" s="1188">
        <f>(AW242-AW262)/1000</f>
        <v>190.767</v>
      </c>
      <c r="AX68" s="1188">
        <f>(AX242-AX262)/1000</f>
        <v>107.10299999999999</v>
      </c>
      <c r="AY68" s="1189">
        <f>SUM(AU68:AX68)</f>
        <v>551.21199999999999</v>
      </c>
      <c r="AZ68" s="1188">
        <f>(AZ242-AZ262)/1000</f>
        <v>140.239</v>
      </c>
      <c r="BA68" s="1188">
        <f>(BA242-BA262)/1000</f>
        <v>56.081000000000003</v>
      </c>
      <c r="BB68" s="1188">
        <f>(BB242-BB262)/1000</f>
        <v>47.152999999999999</v>
      </c>
      <c r="BC68" s="1188">
        <f>(BC242-BC262)/1000</f>
        <v>160.62100000000001</v>
      </c>
      <c r="BD68" s="1189">
        <f>SUM(AZ68:BC68)</f>
        <v>404.09399999999999</v>
      </c>
      <c r="BE68" s="1188">
        <f>(BE242-BE262)/1000</f>
        <v>118.881</v>
      </c>
      <c r="BF68" s="1188">
        <f>(BF242-BF262)/1000</f>
        <v>175.47399999999999</v>
      </c>
      <c r="BG68" s="1188">
        <f>(BG242-BG262)/1000</f>
        <v>157.37100000000001</v>
      </c>
      <c r="BH68" s="1188">
        <f>(BH242-BH262)/1000</f>
        <v>91.212000000000003</v>
      </c>
      <c r="BI68" s="1189">
        <f>SUM(BE68:BH68)</f>
        <v>542.93799999999999</v>
      </c>
      <c r="BJ68" s="1188">
        <f>(BJ242-BJ262)/1000</f>
        <v>215.28200000000001</v>
      </c>
      <c r="BK68" s="1188">
        <f>(BK242-BK262)/1000</f>
        <v>122.54300000000001</v>
      </c>
      <c r="BL68" s="1188">
        <f>(BL242-BL262)/1000</f>
        <v>148.08600000000001</v>
      </c>
      <c r="BM68" s="1188">
        <f>(BM242-BM262)/1000</f>
        <v>104.494</v>
      </c>
      <c r="BN68" s="1189">
        <f>SUM(BJ68:BM68)</f>
        <v>590.40500000000009</v>
      </c>
      <c r="BO68" s="1188">
        <f>(BO242-BO262)/1000</f>
        <v>50.683</v>
      </c>
      <c r="BP68" s="1188">
        <f>(BP242-BP262)/1000</f>
        <v>23.652999999999999</v>
      </c>
      <c r="BQ68" s="1188">
        <f>(BQ242-BQ262)/1000</f>
        <v>0.97899999999999998</v>
      </c>
      <c r="BR68" s="1188">
        <f>(BR242-BR262)/1000</f>
        <v>0.192</v>
      </c>
      <c r="BS68" s="1189">
        <f>SUM(BS14:BS66)</f>
        <v>78.416666666666671</v>
      </c>
      <c r="BT68" s="1188">
        <f>(BT242-BT262)/1000</f>
        <v>141</v>
      </c>
      <c r="BU68" s="1188">
        <f>(BU242-BU262)/1000</f>
        <v>157</v>
      </c>
      <c r="BV68" s="1188">
        <f>(BV242-BV262)/1000</f>
        <v>119</v>
      </c>
      <c r="BW68" s="1188">
        <f>(BW242-BW262)/1000</f>
        <v>123</v>
      </c>
      <c r="BX68" s="1189">
        <f t="shared" ref="BX68:CC68" si="81">SUM(BX14:BX67)</f>
        <v>558.70000000000005</v>
      </c>
      <c r="BY68" s="1190">
        <f>BY242-(BY262)/1000</f>
        <v>130</v>
      </c>
      <c r="BZ68" s="1191">
        <f>BZ242-(BZ262)/1000</f>
        <v>19</v>
      </c>
      <c r="CA68" s="1191">
        <f>CA242-(CA262)/1000</f>
        <v>22</v>
      </c>
      <c r="CB68" s="1192">
        <f>CB242-(CB262)/1000</f>
        <v>-165</v>
      </c>
      <c r="CC68" s="1193">
        <f t="shared" si="81"/>
        <v>6</v>
      </c>
      <c r="CD68" s="1191">
        <f>CD242-(CD262)/1000</f>
        <v>25</v>
      </c>
      <c r="CE68" s="1191">
        <f>CE242-(CE262)/1000</f>
        <v>251</v>
      </c>
      <c r="CF68" s="1191">
        <f>CF242-(CF262)/1000</f>
        <v>59</v>
      </c>
      <c r="CG68" s="1191">
        <f>CG242-(CG262)/1000</f>
        <v>65</v>
      </c>
      <c r="CH68" s="1194">
        <f t="shared" ref="CH68" si="82">SUM(CH14:CH67)</f>
        <v>-464.57499999999999</v>
      </c>
      <c r="CI68" s="1217">
        <f t="shared" ref="CI68:CV68" si="83">SUM(CI14:CI67)</f>
        <v>0</v>
      </c>
      <c r="CJ68" s="1217">
        <f t="shared" si="83"/>
        <v>0</v>
      </c>
      <c r="CK68" s="1217">
        <f t="shared" ref="CK68" si="84">SUM(CK14:CK67)</f>
        <v>0</v>
      </c>
      <c r="CL68" s="1217">
        <f t="shared" si="83"/>
        <v>0</v>
      </c>
      <c r="CM68" s="1194">
        <f t="shared" ref="CM68" si="85">SUM(CM14:CM67)</f>
        <v>0</v>
      </c>
      <c r="CN68" s="1217">
        <f t="shared" si="83"/>
        <v>-190</v>
      </c>
      <c r="CO68" s="1217">
        <f t="shared" si="83"/>
        <v>-250</v>
      </c>
      <c r="CP68" s="1217">
        <f t="shared" si="83"/>
        <v>-300</v>
      </c>
      <c r="CQ68" s="1217">
        <f t="shared" si="83"/>
        <v>-300</v>
      </c>
      <c r="CR68" s="1218">
        <f t="shared" ref="CR68" si="86">SUM(CR14:CR67)</f>
        <v>-1040</v>
      </c>
      <c r="CS68" s="1217">
        <f t="shared" si="83"/>
        <v>-75</v>
      </c>
      <c r="CT68" s="1217">
        <f t="shared" si="83"/>
        <v>-75</v>
      </c>
      <c r="CU68" s="1217">
        <f t="shared" si="83"/>
        <v>-35</v>
      </c>
      <c r="CV68" s="1217">
        <f t="shared" si="83"/>
        <v>-75</v>
      </c>
      <c r="CW68" s="1218">
        <f>SUM(CS68:CV68)</f>
        <v>-260</v>
      </c>
      <c r="CX68" s="1217"/>
      <c r="CY68" s="1217"/>
      <c r="CZ68" s="1217"/>
      <c r="DA68" s="1217"/>
      <c r="DB68" s="1218">
        <f>SUM(CX68:DA68)</f>
        <v>0</v>
      </c>
      <c r="DC68" s="16"/>
      <c r="DD68" s="16"/>
      <c r="DE68" s="16"/>
      <c r="DF68" s="16"/>
      <c r="DG68" s="16"/>
      <c r="DH68" s="16"/>
      <c r="DI68" s="16"/>
      <c r="DJ68" s="16"/>
    </row>
    <row r="69" spans="1:114" s="725" customFormat="1" ht="3" hidden="1" customHeight="1" outlineLevel="1">
      <c r="A69" s="16"/>
      <c r="B69" s="21"/>
      <c r="C69" s="431"/>
      <c r="D69" s="71"/>
      <c r="E69" s="71"/>
      <c r="F69" s="56"/>
      <c r="G69" s="76">
        <f>G12-G168</f>
        <v>55.247190959374848</v>
      </c>
      <c r="H69" s="76">
        <f>H12-H168</f>
        <v>45.163927330142258</v>
      </c>
      <c r="I69" s="321">
        <f>I12-I168</f>
        <v>34.744587655346436</v>
      </c>
      <c r="J69" s="76">
        <f>J12-J168</f>
        <v>69.16171379177473</v>
      </c>
      <c r="K69" s="56"/>
      <c r="L69" s="76">
        <f>L12-L168</f>
        <v>88.029666542334951</v>
      </c>
      <c r="M69" s="76">
        <f>M12-M168</f>
        <v>88.923514781881011</v>
      </c>
      <c r="N69" s="76">
        <f>N12-N168</f>
        <v>83.011082861075806</v>
      </c>
      <c r="O69" s="76">
        <f>O12-O168</f>
        <v>51.752405892283264</v>
      </c>
      <c r="P69" s="56"/>
      <c r="Q69" s="76">
        <f>Q12-Q168</f>
        <v>74.258785160107209</v>
      </c>
      <c r="R69" s="76">
        <f>R12-R168</f>
        <v>74.906608749827001</v>
      </c>
      <c r="S69" s="76">
        <f>S12-S168</f>
        <v>113.38412215949177</v>
      </c>
      <c r="T69" s="76">
        <f>T12-T168</f>
        <v>142.55369641473555</v>
      </c>
      <c r="U69" s="56"/>
      <c r="V69" s="76">
        <f>V12-V168</f>
        <v>101.58676447269863</v>
      </c>
      <c r="W69" s="76">
        <f>W12-W168</f>
        <v>102.25443160302279</v>
      </c>
      <c r="X69" s="76">
        <f>X12-X168</f>
        <v>82.308753858256978</v>
      </c>
      <c r="Y69" s="321">
        <f>Y12-Y168</f>
        <v>42.28845419325819</v>
      </c>
      <c r="Z69" s="56"/>
      <c r="AA69" s="76">
        <f t="shared" ref="AA69:BL69" si="87">SUM(AA15:AA67)</f>
        <v>62.765000000000001</v>
      </c>
      <c r="AB69" s="76">
        <f t="shared" si="87"/>
        <v>76.983999999999995</v>
      </c>
      <c r="AC69" s="76">
        <f t="shared" si="87"/>
        <v>48.186</v>
      </c>
      <c r="AD69" s="76">
        <f t="shared" si="87"/>
        <v>63.767000000000003</v>
      </c>
      <c r="AE69" s="75">
        <f t="shared" si="87"/>
        <v>251.702</v>
      </c>
      <c r="AF69" s="76">
        <f t="shared" si="87"/>
        <v>56.526000000000003</v>
      </c>
      <c r="AG69" s="76">
        <f t="shared" si="87"/>
        <v>71.516999999999996</v>
      </c>
      <c r="AH69" s="76">
        <f t="shared" si="87"/>
        <v>120.577</v>
      </c>
      <c r="AI69" s="76">
        <f t="shared" si="87"/>
        <v>116.128</v>
      </c>
      <c r="AJ69" s="75">
        <f t="shared" si="87"/>
        <v>364.74799999999999</v>
      </c>
      <c r="AK69" s="76">
        <f t="shared" si="87"/>
        <v>124.17100000000001</v>
      </c>
      <c r="AL69" s="76">
        <f t="shared" si="87"/>
        <v>146.803</v>
      </c>
      <c r="AM69" s="76">
        <f t="shared" si="87"/>
        <v>220.09899999999999</v>
      </c>
      <c r="AN69" s="76">
        <f t="shared" si="87"/>
        <v>95.081000000000003</v>
      </c>
      <c r="AO69" s="75">
        <f t="shared" si="87"/>
        <v>586.154</v>
      </c>
      <c r="AP69" s="76">
        <f t="shared" si="87"/>
        <v>88.290999999999997</v>
      </c>
      <c r="AQ69" s="76">
        <f t="shared" si="87"/>
        <v>32.557000000000002</v>
      </c>
      <c r="AR69" s="76">
        <f t="shared" si="87"/>
        <v>11.105</v>
      </c>
      <c r="AS69" s="76">
        <f t="shared" si="87"/>
        <v>87.518000000000001</v>
      </c>
      <c r="AT69" s="75">
        <f t="shared" si="87"/>
        <v>219.471</v>
      </c>
      <c r="AU69" s="76">
        <f t="shared" si="87"/>
        <v>87.188000000000002</v>
      </c>
      <c r="AV69" s="76">
        <f t="shared" si="87"/>
        <v>166.154</v>
      </c>
      <c r="AW69" s="76">
        <f t="shared" si="87"/>
        <v>190.767</v>
      </c>
      <c r="AX69" s="76">
        <f t="shared" si="87"/>
        <v>107.10299999999999</v>
      </c>
      <c r="AY69" s="75">
        <f t="shared" si="87"/>
        <v>551.21199999999999</v>
      </c>
      <c r="AZ69" s="76">
        <f t="shared" si="87"/>
        <v>140.239</v>
      </c>
      <c r="BA69" s="76">
        <f t="shared" si="87"/>
        <v>56.081000000000003</v>
      </c>
      <c r="BB69" s="76">
        <f t="shared" si="87"/>
        <v>47.152999999999999</v>
      </c>
      <c r="BC69" s="76">
        <f t="shared" si="87"/>
        <v>160.62100000000001</v>
      </c>
      <c r="BD69" s="75">
        <f t="shared" si="87"/>
        <v>404.09399999999999</v>
      </c>
      <c r="BE69" s="76">
        <f t="shared" si="87"/>
        <v>118.881</v>
      </c>
      <c r="BF69" s="76">
        <f t="shared" si="87"/>
        <v>175.47399999999999</v>
      </c>
      <c r="BG69" s="76">
        <f t="shared" si="87"/>
        <v>157.37100000000001</v>
      </c>
      <c r="BH69" s="76">
        <f t="shared" si="87"/>
        <v>91.212000000000003</v>
      </c>
      <c r="BI69" s="75">
        <f t="shared" si="87"/>
        <v>542.93799999999999</v>
      </c>
      <c r="BJ69" s="76">
        <f t="shared" si="87"/>
        <v>215.28200000000001</v>
      </c>
      <c r="BK69" s="76">
        <f t="shared" si="87"/>
        <v>122.54300000000001</v>
      </c>
      <c r="BL69" s="76">
        <f t="shared" si="87"/>
        <v>148.08600000000001</v>
      </c>
      <c r="BM69" s="76">
        <f>SUM(BM15:BM67)</f>
        <v>104.494</v>
      </c>
      <c r="BN69" s="58"/>
      <c r="BO69" s="76">
        <f>SUM(BO15:BO67)</f>
        <v>106.09966666666668</v>
      </c>
      <c r="BP69" s="76">
        <f>SUM(BP15:BP67)</f>
        <v>46.652999999999999</v>
      </c>
      <c r="BQ69" s="59"/>
      <c r="BR69" s="76"/>
      <c r="BS69" s="58"/>
      <c r="BT69" s="76"/>
      <c r="BU69" s="76"/>
      <c r="BV69" s="59"/>
      <c r="BW69" s="59"/>
      <c r="BX69" s="58"/>
      <c r="BY69" s="76"/>
      <c r="BZ69" s="59"/>
      <c r="CA69" s="59"/>
      <c r="CB69" s="59"/>
      <c r="CC69" s="58"/>
      <c r="CD69" s="76"/>
      <c r="CE69" s="59"/>
      <c r="CF69" s="59"/>
      <c r="CG69" s="59"/>
      <c r="CH69" s="58"/>
      <c r="CI69" s="59"/>
      <c r="CJ69" s="1219"/>
      <c r="CK69" s="1219"/>
      <c r="CL69" s="1219"/>
      <c r="CM69" s="58"/>
      <c r="CN69" s="1219"/>
      <c r="CO69" s="1219"/>
      <c r="CP69" s="1219"/>
      <c r="CQ69" s="1219"/>
      <c r="CR69" s="1220"/>
      <c r="CS69" s="1219"/>
      <c r="CT69" s="1219"/>
      <c r="CU69" s="1219"/>
      <c r="CV69" s="1219"/>
      <c r="CW69" s="1220"/>
      <c r="CX69" s="1219"/>
      <c r="CY69" s="1219"/>
      <c r="CZ69" s="1219"/>
      <c r="DA69" s="1219"/>
      <c r="DB69" s="1220"/>
      <c r="DC69" s="16"/>
      <c r="DD69" s="16"/>
      <c r="DE69" s="16"/>
      <c r="DF69" s="16"/>
      <c r="DG69" s="16"/>
      <c r="DH69" s="16"/>
      <c r="DI69" s="16"/>
      <c r="DJ69" s="16"/>
    </row>
    <row r="70" spans="1:114" s="725" customFormat="1" ht="11.25" hidden="1" customHeight="1" outlineLevel="1">
      <c r="A70" s="16"/>
      <c r="B70" s="9" t="s">
        <v>415</v>
      </c>
      <c r="C70" s="431"/>
      <c r="D70" s="71"/>
      <c r="E70" s="71"/>
      <c r="F70" s="56"/>
      <c r="G70" s="76">
        <f>G71/G97</f>
        <v>7311.6669543396511</v>
      </c>
      <c r="H70" s="76">
        <f>H71/H97</f>
        <v>5529.8357704479804</v>
      </c>
      <c r="I70" s="76">
        <f>I71/I97</f>
        <v>4166.7129135726873</v>
      </c>
      <c r="J70" s="76">
        <f>J71/J97</f>
        <v>8241.5471742899717</v>
      </c>
      <c r="K70" s="56"/>
      <c r="L70" s="76">
        <f>L71/L97</f>
        <v>10848.118269164514</v>
      </c>
      <c r="M70" s="76">
        <f>M71/M97</f>
        <v>10384.433697115366</v>
      </c>
      <c r="N70" s="76">
        <f>N71/N97</f>
        <v>9525.2312623568068</v>
      </c>
      <c r="O70" s="76">
        <f>O71/O97</f>
        <v>5668.481509660066</v>
      </c>
      <c r="P70" s="56"/>
      <c r="Q70" s="76">
        <f>Q71/Q97</f>
        <v>8327.2434833088155</v>
      </c>
      <c r="R70" s="76">
        <f>R71/R97</f>
        <v>7991.2454267274943</v>
      </c>
      <c r="S70" s="76">
        <f>S71/S97</f>
        <v>12129.013115364536</v>
      </c>
      <c r="T70" s="76">
        <f>T71/T97</f>
        <v>15439.488711627806</v>
      </c>
      <c r="U70" s="56"/>
      <c r="V70" s="76">
        <f>V71/V97</f>
        <v>11171.576070660127</v>
      </c>
      <c r="W70" s="76">
        <f>W71/W97</f>
        <v>10753.237722355299</v>
      </c>
      <c r="X70" s="76">
        <f>X71/X97</f>
        <v>8496.2783883382817</v>
      </c>
      <c r="Y70" s="76">
        <f>Y71/Y97</f>
        <v>4279.4962738066024</v>
      </c>
      <c r="Z70" s="56"/>
      <c r="AA70" s="76">
        <f>AA71/AA97</f>
        <v>5848.3116377120286</v>
      </c>
      <c r="AB70" s="76">
        <f>AB71/AB97</f>
        <v>6607.5902735324726</v>
      </c>
      <c r="AC70" s="76">
        <f>AC71/AC97</f>
        <v>4121.4619271813635</v>
      </c>
      <c r="AD70" s="76">
        <f>AD71/AD97</f>
        <v>5297.8920293456085</v>
      </c>
      <c r="AE70" s="56"/>
      <c r="AF70" s="76">
        <f>AF71/AF97</f>
        <v>4784.7287628224558</v>
      </c>
      <c r="AG70" s="76">
        <f>AG71/AG97</f>
        <v>5751.8569425703026</v>
      </c>
      <c r="AH70" s="76">
        <f>AH71/AH97</f>
        <v>10517.638456707091</v>
      </c>
      <c r="AI70" s="76">
        <f>AI71/AI97</f>
        <v>9559.8536451757864</v>
      </c>
      <c r="AJ70" s="56"/>
      <c r="AK70" s="76">
        <f>AK71/AK97</f>
        <v>9031.5554872701687</v>
      </c>
      <c r="AL70" s="76">
        <f>AL71/AL97</f>
        <v>10245.905731388557</v>
      </c>
      <c r="AM70" s="76">
        <f>AM71/AM97</f>
        <v>13902.35054077186</v>
      </c>
      <c r="AN70" s="76">
        <f>AN71/AN97</f>
        <v>6144.9772778431416</v>
      </c>
      <c r="AO70" s="58"/>
      <c r="AP70" s="76">
        <f>AP71/AP97</f>
        <v>5745.933918024205</v>
      </c>
      <c r="AQ70" s="76">
        <f>AQ71/AQ97</f>
        <v>1999.5428806242958</v>
      </c>
      <c r="AR70" s="76">
        <f>AR71/AR97</f>
        <v>657.94768305355751</v>
      </c>
      <c r="AS70" s="76">
        <f>AS71/AS97</f>
        <v>5222.5045010444346</v>
      </c>
      <c r="AT70" s="58"/>
      <c r="AU70" s="76">
        <f>AU71/AU97</f>
        <v>5173.3554271767116</v>
      </c>
      <c r="AV70" s="76">
        <f>AV71/AV97</f>
        <v>9548.7714518257781</v>
      </c>
      <c r="AW70" s="76">
        <f>AW71/AW97</f>
        <v>10789.581890140724</v>
      </c>
      <c r="AX70" s="76">
        <f>AX71/AX97</f>
        <v>5902.1840715109083</v>
      </c>
      <c r="AY70" s="58"/>
      <c r="AZ70" s="76">
        <f>AZ71/AZ97</f>
        <v>7876.6097819235692</v>
      </c>
      <c r="BA70" s="76">
        <f>BA71/BA97</f>
        <v>3034.2012922273439</v>
      </c>
      <c r="BB70" s="76">
        <f>BB71/BB97</f>
        <v>2472.0690987950011</v>
      </c>
      <c r="BC70" s="76">
        <f>BC71/BC97</f>
        <v>8247.2271560846402</v>
      </c>
      <c r="BD70" s="75">
        <f>SUM(AZ70:BC70)</f>
        <v>21630.107329030558</v>
      </c>
      <c r="BE70" s="76">
        <f>BE71/BE97</f>
        <v>6189.0982726359198</v>
      </c>
      <c r="BF70" s="76">
        <f>BF71/BF97</f>
        <v>8550.2124921445811</v>
      </c>
      <c r="BG70" s="76">
        <f>BG71/BG97</f>
        <v>7463.6853565591055</v>
      </c>
      <c r="BH70" s="76">
        <f>BH71/BH97</f>
        <v>4366.7530566779124</v>
      </c>
      <c r="BI70" s="75">
        <f>SUM(BE70:BH70)</f>
        <v>26569.749178017519</v>
      </c>
      <c r="BJ70" s="76">
        <f>BJ71/BJ97</f>
        <v>10500.021897607321</v>
      </c>
      <c r="BK70" s="76">
        <f>BK71/BK97</f>
        <v>5610.4075859808245</v>
      </c>
      <c r="BL70" s="76">
        <f>BL71/BL97</f>
        <v>6893.2676549553253</v>
      </c>
      <c r="BM70" s="76">
        <f>BM71/BM97</f>
        <v>4785.9950894748017</v>
      </c>
      <c r="BN70" s="75">
        <f>SUM(BJ70:BM70)</f>
        <v>27789.69222801827</v>
      </c>
      <c r="BO70" s="76">
        <f>BO71/BO97</f>
        <v>2314.7799055138735</v>
      </c>
      <c r="BP70" s="76">
        <f>BP71/BP97</f>
        <v>1031.8310152145643</v>
      </c>
      <c r="BQ70" s="76">
        <f>BQ71/BQ97</f>
        <v>41.923192041299622</v>
      </c>
      <c r="BR70" s="76">
        <f>BR71/BR97</f>
        <v>7.958133645412353</v>
      </c>
      <c r="BS70" s="75">
        <f>SUM(BO70:BR70)</f>
        <v>3396.49224641515</v>
      </c>
      <c r="BT70" s="76">
        <f t="shared" ref="BT70:BW71" si="88">BT237-BT257</f>
        <v>7492</v>
      </c>
      <c r="BU70" s="76">
        <f t="shared" si="88"/>
        <v>7978</v>
      </c>
      <c r="BV70" s="76">
        <f t="shared" si="88"/>
        <v>7862</v>
      </c>
      <c r="BW70" s="76">
        <f t="shared" si="88"/>
        <v>9083</v>
      </c>
      <c r="BX70" s="75">
        <f>SUM(BT70:BW70)</f>
        <v>32415</v>
      </c>
      <c r="BY70" s="76">
        <f t="shared" ref="BY70:CB71" si="89">BY237-BY257</f>
        <v>9132</v>
      </c>
      <c r="BZ70" s="76">
        <f t="shared" si="89"/>
        <v>933</v>
      </c>
      <c r="CA70" s="76">
        <f t="shared" si="89"/>
        <v>831</v>
      </c>
      <c r="CB70" s="76">
        <f t="shared" si="89"/>
        <v>183</v>
      </c>
      <c r="CC70" s="75">
        <f>SUM(BY70:CB70)</f>
        <v>11079</v>
      </c>
      <c r="CD70" s="76">
        <f t="shared" ref="CD70:CG71" si="90">CD237-CD257</f>
        <v>871</v>
      </c>
      <c r="CE70" s="76">
        <f t="shared" si="90"/>
        <v>9557</v>
      </c>
      <c r="CF70" s="76">
        <f t="shared" si="90"/>
        <v>1592</v>
      </c>
      <c r="CG70" s="76">
        <f t="shared" si="90"/>
        <v>1693</v>
      </c>
      <c r="CH70" s="75">
        <f>SUM(CD70:CG70)</f>
        <v>13713</v>
      </c>
      <c r="CI70" s="76">
        <f>CI237-CI257</f>
        <v>1152</v>
      </c>
      <c r="CJ70" s="266">
        <f>CJ71/CJ97</f>
        <v>0</v>
      </c>
      <c r="CK70" s="266">
        <f>CK71/CK97</f>
        <v>0</v>
      </c>
      <c r="CL70" s="266">
        <f>CL71/CL97</f>
        <v>0</v>
      </c>
      <c r="CM70" s="1285">
        <f>SUM(CI70:CL70)</f>
        <v>1152</v>
      </c>
      <c r="CN70" s="1379">
        <f ca="1">CN68/(CN202/1000000)-CN71</f>
        <v>-3682.5226245035883</v>
      </c>
      <c r="CO70" s="1379">
        <f ca="1">CO68/(CO202/1000000)-CO71</f>
        <v>-5556.5019838398512</v>
      </c>
      <c r="CP70" s="1379">
        <f ca="1">CP68/(CP202/1000000)-CP71</f>
        <v>-6934.6655039545331</v>
      </c>
      <c r="CQ70" s="1379">
        <f ca="1">CQ68/(CQ202/1000000)-CQ71</f>
        <v>-4937.6031485597414</v>
      </c>
      <c r="CR70" s="221">
        <f ca="1">SUM(CN70:CQ70)</f>
        <v>-21111.293260857714</v>
      </c>
      <c r="CS70" s="1379">
        <f ca="1">CS68/(CS202/1000000)-CS71</f>
        <v>-1894.6559614343087</v>
      </c>
      <c r="CT70" s="1379">
        <f ca="1">CT68/(CT202/1000000)-CT71</f>
        <v>-1693.6136950798473</v>
      </c>
      <c r="CU70" s="1379">
        <f ca="1">CU68/(CU202/1000000)-CU71</f>
        <v>-656.49776789219277</v>
      </c>
      <c r="CV70" s="1379">
        <f ca="1">CV68/(CV202/1000000)-CV71</f>
        <v>-1161.5467852138245</v>
      </c>
      <c r="CW70" s="221">
        <f ca="1">SUM(CS70:CV70)</f>
        <v>-5406.3142096201736</v>
      </c>
      <c r="CX70" s="266">
        <f ca="1">CX71/CX97</f>
        <v>0</v>
      </c>
      <c r="CY70" s="266">
        <f ca="1">CY71/CY97</f>
        <v>0</v>
      </c>
      <c r="CZ70" s="266">
        <f ca="1">CZ71/CZ97</f>
        <v>0</v>
      </c>
      <c r="DA70" s="266">
        <f ca="1">DA71/DA97</f>
        <v>0</v>
      </c>
      <c r="DB70" s="221">
        <f ca="1">SUM(CX70:DA70)</f>
        <v>0</v>
      </c>
      <c r="DC70" s="16"/>
      <c r="DD70" s="16"/>
      <c r="DE70" s="16"/>
      <c r="DF70" s="16"/>
      <c r="DG70" s="16"/>
      <c r="DH70" s="16"/>
      <c r="DI70" s="16"/>
      <c r="DJ70" s="16"/>
    </row>
    <row r="71" spans="1:114" s="725" customFormat="1" ht="11.25" hidden="1" customHeight="1" outlineLevel="1">
      <c r="A71" s="16"/>
      <c r="B71" s="9" t="s">
        <v>416</v>
      </c>
      <c r="C71" s="431"/>
      <c r="D71" s="71"/>
      <c r="E71" s="71"/>
      <c r="F71" s="56"/>
      <c r="G71" s="76">
        <f>G68/(G208/1000000)</f>
        <v>12981.866211990065</v>
      </c>
      <c r="H71" s="76">
        <f>H68/(H208/1000000)</f>
        <v>10250.202927977598</v>
      </c>
      <c r="I71" s="76">
        <f>I68/(I208/1000000)</f>
        <v>7859.3411316174706</v>
      </c>
      <c r="J71" s="76">
        <f>J68/(J208/1000000)</f>
        <v>15068.898106381319</v>
      </c>
      <c r="K71" s="56"/>
      <c r="L71" s="76">
        <f>L68/(L208/1000000)</f>
        <v>19517.288144883278</v>
      </c>
      <c r="M71" s="76">
        <f>M68/(M208/1000000)</f>
        <v>19404.416089480845</v>
      </c>
      <c r="N71" s="76">
        <f>N68/(N208/1000000)</f>
        <v>17912.531299182981</v>
      </c>
      <c r="O71" s="76">
        <f>O68/(O208/1000000)</f>
        <v>10385.401117402136</v>
      </c>
      <c r="P71" s="56"/>
      <c r="Q71" s="76">
        <f>Q68/(Q208/1000000)</f>
        <v>14957.106003548939</v>
      </c>
      <c r="R71" s="76">
        <f>R68/(R208/1000000)</f>
        <v>14761.041415353968</v>
      </c>
      <c r="S71" s="76">
        <f>S68/(S208/1000000)</f>
        <v>22580.529209545206</v>
      </c>
      <c r="T71" s="76">
        <f>T68/(T208/1000000)</f>
        <v>27912.070489392172</v>
      </c>
      <c r="U71" s="56"/>
      <c r="V71" s="76">
        <f>V68/(V208/1000000)</f>
        <v>20144.612794824639</v>
      </c>
      <c r="W71" s="76">
        <f>W68/(W208/1000000)</f>
        <v>19947.415380112841</v>
      </c>
      <c r="X71" s="76">
        <f>X68/(X208/1000000)</f>
        <v>16119.088091943197</v>
      </c>
      <c r="Y71" s="76">
        <f>Y68/(Y208/1000000)</f>
        <v>7960.9428392223608</v>
      </c>
      <c r="Z71" s="56"/>
      <c r="AA71" s="76">
        <f>AA68/(AA208/1000000)</f>
        <v>10430.471705338126</v>
      </c>
      <c r="AB71" s="76">
        <f>AB68/(AB208/1000000)</f>
        <v>12382.84279650027</v>
      </c>
      <c r="AC71" s="76">
        <f>AC68/(AC208/1000000)</f>
        <v>7796.7889033317833</v>
      </c>
      <c r="AD71" s="76">
        <f>AD68/(AD208/1000000)</f>
        <v>9755.6367450410362</v>
      </c>
      <c r="AE71" s="56"/>
      <c r="AF71" s="76">
        <f>AF68/(AF208/1000000)</f>
        <v>8674.8733317600654</v>
      </c>
      <c r="AG71" s="76">
        <f>AG68/(AG208/1000000)</f>
        <v>10822.073850526886</v>
      </c>
      <c r="AH71" s="76">
        <f>AH68/(AH208/1000000)</f>
        <v>19708.074822458984</v>
      </c>
      <c r="AI71" s="76">
        <f>AI68/(AI208/1000000)</f>
        <v>17751.365426514873</v>
      </c>
      <c r="AJ71" s="56"/>
      <c r="AK71" s="76">
        <f>AK68/(AK208/1000000)</f>
        <v>16538.102638758468</v>
      </c>
      <c r="AL71" s="76">
        <f>AL68/(AL208/1000000)</f>
        <v>19358.299301022835</v>
      </c>
      <c r="AM71" s="76">
        <f>AM68/(AM208/1000000)</f>
        <v>25789.822216166322</v>
      </c>
      <c r="AN71" s="76">
        <f>AN68/(AN208/1000000)</f>
        <v>11045.640641920452</v>
      </c>
      <c r="AO71" s="58"/>
      <c r="AP71" s="76">
        <f>AP68/(AP208/1000000)</f>
        <v>10055.740884481766</v>
      </c>
      <c r="AQ71" s="76">
        <f>AQ68/(AQ208/1000000)</f>
        <v>3623.0038957232819</v>
      </c>
      <c r="AR71" s="76">
        <f>AR68/(AR208/1000000)</f>
        <v>1207.0983468844991</v>
      </c>
      <c r="AS71" s="76">
        <f>AS68/(AS208/1000000)</f>
        <v>9455.8335143342229</v>
      </c>
      <c r="AT71" s="58"/>
      <c r="AU71" s="76">
        <f>AU68/(AU208/1000000)</f>
        <v>9284.5270094631323</v>
      </c>
      <c r="AV71" s="76">
        <f>AV68/(AV208/1000000)</f>
        <v>17688.293632645073</v>
      </c>
      <c r="AW71" s="76">
        <f>AW68/(AW208/1000000)</f>
        <v>20200.358398682318</v>
      </c>
      <c r="AX71" s="76">
        <f>AX68/(AX208/1000000)</f>
        <v>10906.1872721003</v>
      </c>
      <c r="AY71" s="58"/>
      <c r="AZ71" s="76">
        <f>AZ68/(AZ208/1000000)</f>
        <v>14387.567007991767</v>
      </c>
      <c r="BA71" s="76">
        <f>BA68/(BA208/1000000)</f>
        <v>5733.2574387396498</v>
      </c>
      <c r="BB71" s="76">
        <f>BB68/(BB208/1000000)</f>
        <v>4762.0983927121633</v>
      </c>
      <c r="BC71" s="76">
        <f>BC68/(BC208/1000000)</f>
        <v>15705.204959288458</v>
      </c>
      <c r="BD71" s="75">
        <f>SUM(AZ71:BC71)</f>
        <v>40588.127798732035</v>
      </c>
      <c r="BE71" s="76">
        <f>BE68/(BE208/1000000)</f>
        <v>11652.248727734788</v>
      </c>
      <c r="BF71" s="76">
        <f>BF68/(BF208/1000000)</f>
        <v>16872.264908519788</v>
      </c>
      <c r="BG71" s="76">
        <f>BG68/(BG208/1000000)</f>
        <v>15151.948668788084</v>
      </c>
      <c r="BH71" s="76">
        <f>BH68/(BH208/1000000)</f>
        <v>8750.2828524555516</v>
      </c>
      <c r="BI71" s="75">
        <f>SUM(BE71:BH71)</f>
        <v>52426.745157498211</v>
      </c>
      <c r="BJ71" s="76">
        <f>BJ68/(BJ208/1000000)</f>
        <v>20713.65542086323</v>
      </c>
      <c r="BK71" s="76">
        <f>BK68/(BK208/1000000)</f>
        <v>11352.91685361531</v>
      </c>
      <c r="BL71" s="76">
        <f>BL68/(BL208/1000000)</f>
        <v>14163.079079957428</v>
      </c>
      <c r="BM71" s="76">
        <f>BM68/(BM208/1000000)</f>
        <v>9739.5629400239395</v>
      </c>
      <c r="BN71" s="75">
        <f>SUM(BJ71:BM71)</f>
        <v>55969.214294459904</v>
      </c>
      <c r="BO71" s="76">
        <f>BO68/(BO208/1000000)</f>
        <v>4607.4839995395114</v>
      </c>
      <c r="BP71" s="76">
        <f>BP68/(BP208/1000000)</f>
        <v>2160.8091700247546</v>
      </c>
      <c r="BQ71" s="76">
        <f>BQ68/(BQ208/1000000)</f>
        <v>88.822384328608535</v>
      </c>
      <c r="BR71" s="76">
        <f>BR68/(BR208/1000000)</f>
        <v>16.890920018250533</v>
      </c>
      <c r="BS71" s="75">
        <f>SUM(BO71:BR71)</f>
        <v>6874.0064739111249</v>
      </c>
      <c r="BT71" s="76">
        <f t="shared" si="88"/>
        <v>13539</v>
      </c>
      <c r="BU71" s="76">
        <f t="shared" si="88"/>
        <v>15622</v>
      </c>
      <c r="BV71" s="76">
        <f t="shared" si="88"/>
        <v>15572</v>
      </c>
      <c r="BW71" s="76">
        <f t="shared" si="88"/>
        <v>18082</v>
      </c>
      <c r="BX71" s="75">
        <f>SUM(BT71:BW71)</f>
        <v>62815</v>
      </c>
      <c r="BY71" s="76">
        <f t="shared" si="89"/>
        <v>17525</v>
      </c>
      <c r="BZ71" s="76">
        <f t="shared" si="89"/>
        <v>2229</v>
      </c>
      <c r="CA71" s="76">
        <f t="shared" si="89"/>
        <v>2135</v>
      </c>
      <c r="CB71" s="76">
        <f t="shared" si="89"/>
        <v>438</v>
      </c>
      <c r="CC71" s="75">
        <f>SUM(BY71:CB71)</f>
        <v>22327</v>
      </c>
      <c r="CD71" s="76">
        <f t="shared" si="90"/>
        <v>2437</v>
      </c>
      <c r="CE71" s="76">
        <f t="shared" si="90"/>
        <v>23817</v>
      </c>
      <c r="CF71" s="76">
        <f t="shared" si="90"/>
        <v>4272</v>
      </c>
      <c r="CG71" s="76">
        <f t="shared" si="90"/>
        <v>4555</v>
      </c>
      <c r="CH71" s="75">
        <f>SUM(CD71:CG71)</f>
        <v>35081</v>
      </c>
      <c r="CI71" s="76">
        <f>CI238-CI258</f>
        <v>2959</v>
      </c>
      <c r="CJ71" s="266">
        <f>CJ68/(CJ208/1000000)</f>
        <v>0</v>
      </c>
      <c r="CK71" s="266">
        <f>CK68/(CK208/1000000)</f>
        <v>0</v>
      </c>
      <c r="CL71" s="266">
        <f>CL68/(CL208/1000000)</f>
        <v>0</v>
      </c>
      <c r="CM71" s="1285">
        <f>SUM(CI71:CL71)</f>
        <v>2959</v>
      </c>
      <c r="CN71" s="1379">
        <f ca="1">CN68/(CN208/1000000)</f>
        <v>-13987.694433955388</v>
      </c>
      <c r="CO71" s="1379">
        <f ca="1">CO68/(CO208/1000000)</f>
        <v>-17394.925461201885</v>
      </c>
      <c r="CP71" s="1379">
        <f ca="1">CP68/(CP208/1000000)</f>
        <v>-20582.191159018977</v>
      </c>
      <c r="CQ71" s="1379">
        <f ca="1">CQ68/(CQ208/1000000)</f>
        <v>-18255.743205192033</v>
      </c>
      <c r="CR71" s="221">
        <f ca="1">SUM(CN71:CQ71)</f>
        <v>-70220.554259368277</v>
      </c>
      <c r="CS71" s="1379">
        <f ca="1">CS68/(CS208/1000000)</f>
        <v>-5186.9489829065014</v>
      </c>
      <c r="CT71" s="1379">
        <f ca="1">CT68/(CT208/1000000)</f>
        <v>-5322.3310812859372</v>
      </c>
      <c r="CU71" s="1379">
        <f ca="1">CU68/(CU208/1000000)</f>
        <v>-2635.366149987301</v>
      </c>
      <c r="CV71" s="1379">
        <f ca="1">CV68/(CV208/1000000)</f>
        <v>-4806.9434186663138</v>
      </c>
      <c r="CW71" s="221">
        <f ca="1">SUM(CS71:CV71)</f>
        <v>-17951.589632846055</v>
      </c>
      <c r="CX71" s="266">
        <f ca="1">CX68/(CX208/1000000)</f>
        <v>0</v>
      </c>
      <c r="CY71" s="266">
        <f ca="1">CY68/(CY208/1000000)</f>
        <v>0</v>
      </c>
      <c r="CZ71" s="266">
        <f ca="1">CZ68/(CZ208/1000000)</f>
        <v>0</v>
      </c>
      <c r="DA71" s="266">
        <f ca="1">DA68/(DA208/1000000)</f>
        <v>0</v>
      </c>
      <c r="DB71" s="221">
        <f ca="1">SUM(CX71:DA71)</f>
        <v>0</v>
      </c>
      <c r="DC71" s="16"/>
      <c r="DD71" s="16"/>
      <c r="DE71" s="16"/>
      <c r="DF71" s="16"/>
      <c r="DG71" s="16"/>
      <c r="DH71" s="16"/>
      <c r="DI71" s="16"/>
      <c r="DJ71" s="16"/>
    </row>
    <row r="72" spans="1:114" s="725" customFormat="1" ht="11.25" hidden="1" customHeight="1" outlineLevel="1">
      <c r="A72" s="16"/>
      <c r="B72" s="9"/>
      <c r="C72" s="431"/>
      <c r="D72" s="71"/>
      <c r="E72" s="71"/>
      <c r="F72" s="56"/>
      <c r="G72" s="57"/>
      <c r="H72" s="57"/>
      <c r="I72" s="57"/>
      <c r="J72" s="57"/>
      <c r="K72" s="56"/>
      <c r="L72" s="57"/>
      <c r="M72" s="57"/>
      <c r="N72" s="57"/>
      <c r="O72" s="57"/>
      <c r="P72" s="56"/>
      <c r="Q72" s="57"/>
      <c r="R72" s="57"/>
      <c r="S72" s="57"/>
      <c r="T72" s="57"/>
      <c r="U72" s="56"/>
      <c r="V72" s="57"/>
      <c r="W72" s="57"/>
      <c r="X72" s="57"/>
      <c r="Y72" s="57"/>
      <c r="Z72" s="56"/>
      <c r="AA72" s="57"/>
      <c r="AB72" s="57"/>
      <c r="AC72" s="57"/>
      <c r="AD72" s="57"/>
      <c r="AE72" s="56"/>
      <c r="AF72" s="57"/>
      <c r="AG72" s="57"/>
      <c r="AH72" s="57"/>
      <c r="AI72" s="57"/>
      <c r="AJ72" s="56"/>
      <c r="AK72" s="57"/>
      <c r="AL72" s="57"/>
      <c r="AM72" s="57"/>
      <c r="AN72" s="57"/>
      <c r="AO72" s="58"/>
      <c r="AP72" s="59"/>
      <c r="AQ72" s="59"/>
      <c r="AR72" s="59"/>
      <c r="AS72" s="59"/>
      <c r="AT72" s="58"/>
      <c r="AU72" s="59"/>
      <c r="AV72" s="59"/>
      <c r="AW72" s="59"/>
      <c r="AX72" s="59"/>
      <c r="AY72" s="58"/>
      <c r="AZ72" s="59"/>
      <c r="BA72" s="59"/>
      <c r="BB72" s="59"/>
      <c r="BC72" s="59"/>
      <c r="BD72" s="58"/>
      <c r="BE72" s="59"/>
      <c r="BF72" s="59"/>
      <c r="BG72" s="59"/>
      <c r="BH72" s="59"/>
      <c r="BI72" s="58"/>
      <c r="BJ72" s="59"/>
      <c r="BK72" s="59"/>
      <c r="BL72" s="59"/>
      <c r="BM72" s="59"/>
      <c r="BN72" s="58"/>
      <c r="BO72" s="59"/>
      <c r="BP72" s="59"/>
      <c r="BQ72" s="59"/>
      <c r="BR72" s="59"/>
      <c r="BS72" s="58"/>
      <c r="BT72" s="59"/>
      <c r="BU72" s="59"/>
      <c r="BV72" s="59"/>
      <c r="BW72" s="59"/>
      <c r="BX72" s="58"/>
      <c r="BY72" s="59"/>
      <c r="BZ72" s="59"/>
      <c r="CA72" s="59"/>
      <c r="CB72" s="59"/>
      <c r="CC72" s="58"/>
      <c r="CD72" s="59"/>
      <c r="CE72" s="59"/>
      <c r="CF72" s="59"/>
      <c r="CG72" s="59"/>
      <c r="CH72" s="58"/>
      <c r="CI72" s="59"/>
      <c r="CJ72" s="59"/>
      <c r="CK72" s="59"/>
      <c r="CL72" s="59"/>
      <c r="CM72" s="1286"/>
      <c r="CN72" s="59"/>
      <c r="CO72" s="59"/>
      <c r="CP72" s="59"/>
      <c r="CQ72" s="59"/>
      <c r="CR72" s="58"/>
      <c r="CS72" s="59"/>
      <c r="CT72" s="59"/>
      <c r="CU72" s="59"/>
      <c r="CV72" s="59"/>
      <c r="CW72" s="58"/>
      <c r="CX72" s="59"/>
      <c r="CY72" s="59"/>
      <c r="CZ72" s="59"/>
      <c r="DA72" s="59"/>
      <c r="DB72" s="58"/>
      <c r="DC72" s="16"/>
      <c r="DD72" s="16"/>
      <c r="DE72" s="16"/>
      <c r="DF72" s="16"/>
      <c r="DG72" s="16"/>
      <c r="DH72" s="16"/>
      <c r="DI72" s="16"/>
      <c r="DJ72" s="16"/>
    </row>
    <row r="73" spans="1:114" s="725" customFormat="1" ht="11.25" customHeight="1" collapsed="1">
      <c r="A73" s="16"/>
      <c r="B73" s="86" t="s">
        <v>241</v>
      </c>
      <c r="C73" s="434"/>
      <c r="D73" s="88"/>
      <c r="E73" s="88"/>
      <c r="F73" s="87"/>
      <c r="G73" s="89"/>
      <c r="H73" s="89"/>
      <c r="I73" s="89"/>
      <c r="J73" s="89"/>
      <c r="K73" s="87"/>
      <c r="L73" s="89"/>
      <c r="M73" s="89"/>
      <c r="N73" s="89"/>
      <c r="O73" s="89"/>
      <c r="P73" s="87"/>
      <c r="Q73" s="90"/>
      <c r="R73" s="90"/>
      <c r="S73" s="90"/>
      <c r="T73" s="90"/>
      <c r="U73" s="91"/>
      <c r="V73" s="90"/>
      <c r="W73" s="90"/>
      <c r="X73" s="90"/>
      <c r="Y73" s="90"/>
      <c r="Z73" s="92"/>
      <c r="AA73" s="90"/>
      <c r="AB73" s="90"/>
      <c r="AC73" s="90"/>
      <c r="AD73" s="90"/>
      <c r="AE73" s="92"/>
      <c r="AF73" s="90"/>
      <c r="AG73" s="90"/>
      <c r="AH73" s="90"/>
      <c r="AI73" s="90"/>
      <c r="AJ73" s="91"/>
      <c r="AK73" s="93"/>
      <c r="AL73" s="93"/>
      <c r="AM73" s="93"/>
      <c r="AN73" s="93"/>
      <c r="AO73" s="92"/>
      <c r="AP73" s="93"/>
      <c r="AQ73" s="93"/>
      <c r="AR73" s="93"/>
      <c r="AS73" s="93"/>
      <c r="AT73" s="87"/>
      <c r="AU73" s="89"/>
      <c r="AV73" s="89"/>
      <c r="AW73" s="89"/>
      <c r="AX73" s="89"/>
      <c r="AY73" s="87"/>
      <c r="AZ73" s="89"/>
      <c r="BA73" s="89"/>
      <c r="BB73" s="89"/>
      <c r="BC73" s="89"/>
      <c r="BD73" s="87"/>
      <c r="BE73" s="189"/>
      <c r="BF73" s="189"/>
      <c r="BG73" s="189"/>
      <c r="BH73" s="189"/>
      <c r="BI73" s="87"/>
      <c r="BJ73" s="189"/>
      <c r="BK73" s="189"/>
      <c r="BL73" s="89"/>
      <c r="BM73" s="89"/>
      <c r="BN73" s="87"/>
      <c r="BO73" s="89"/>
      <c r="BP73" s="89"/>
      <c r="BQ73" s="89"/>
      <c r="BR73" s="89"/>
      <c r="BS73" s="87"/>
      <c r="BT73" s="89"/>
      <c r="BU73" s="89"/>
      <c r="BV73" s="89"/>
      <c r="BW73" s="89"/>
      <c r="BX73" s="87"/>
      <c r="BY73" s="89"/>
      <c r="BZ73" s="89"/>
      <c r="CA73" s="89"/>
      <c r="CB73" s="89"/>
      <c r="CC73" s="87"/>
      <c r="CD73" s="89"/>
      <c r="CE73" s="89"/>
      <c r="CF73" s="89"/>
      <c r="CG73" s="89"/>
      <c r="CH73" s="87"/>
      <c r="CI73" s="89"/>
      <c r="CJ73" s="89"/>
      <c r="CK73" s="89"/>
      <c r="CL73" s="89"/>
      <c r="CM73" s="1284"/>
      <c r="CN73" s="89"/>
      <c r="CO73" s="89"/>
      <c r="CP73" s="89"/>
      <c r="CQ73" s="89"/>
      <c r="CR73" s="87"/>
      <c r="CS73" s="89"/>
      <c r="CT73" s="89"/>
      <c r="CU73" s="89"/>
      <c r="CV73" s="89"/>
      <c r="CW73" s="87"/>
      <c r="CX73" s="89"/>
      <c r="CY73" s="89"/>
      <c r="CZ73" s="89"/>
      <c r="DA73" s="89"/>
      <c r="DB73" s="87"/>
      <c r="DC73" s="16"/>
      <c r="DD73" s="16"/>
      <c r="DE73" s="16"/>
      <c r="DF73" s="16"/>
      <c r="DG73" s="16"/>
      <c r="DH73" s="16"/>
      <c r="DI73" s="16"/>
      <c r="DJ73" s="16"/>
    </row>
    <row r="74" spans="1:114" s="725" customFormat="1" ht="11.25" customHeight="1">
      <c r="A74" s="16"/>
      <c r="B74" s="16" t="s">
        <v>242</v>
      </c>
      <c r="C74" s="435"/>
      <c r="D74" s="410">
        <v>37</v>
      </c>
      <c r="E74" s="280">
        <f t="shared" ref="E74:J74" si="91">D78</f>
        <v>41</v>
      </c>
      <c r="F74" s="281">
        <f t="shared" si="91"/>
        <v>46</v>
      </c>
      <c r="G74" s="282">
        <f t="shared" si="91"/>
        <v>52</v>
      </c>
      <c r="H74" s="282">
        <f t="shared" si="91"/>
        <v>52</v>
      </c>
      <c r="I74" s="282">
        <f t="shared" si="91"/>
        <v>53</v>
      </c>
      <c r="J74" s="282">
        <f t="shared" si="91"/>
        <v>54</v>
      </c>
      <c r="K74" s="281">
        <f>F78</f>
        <v>52</v>
      </c>
      <c r="L74" s="282">
        <f>K78</f>
        <v>57</v>
      </c>
      <c r="M74" s="282">
        <f>L78</f>
        <v>59</v>
      </c>
      <c r="N74" s="282">
        <f>M78</f>
        <v>59</v>
      </c>
      <c r="O74" s="282">
        <f>N78</f>
        <v>61</v>
      </c>
      <c r="P74" s="281">
        <f>K78</f>
        <v>57</v>
      </c>
      <c r="Q74" s="282">
        <f>P78</f>
        <v>63</v>
      </c>
      <c r="R74" s="282">
        <f>Q78</f>
        <v>70</v>
      </c>
      <c r="S74" s="282">
        <f>R78</f>
        <v>70</v>
      </c>
      <c r="T74" s="282">
        <f>S78</f>
        <v>72</v>
      </c>
      <c r="U74" s="281">
        <f>P78</f>
        <v>63</v>
      </c>
      <c r="V74" s="282">
        <f>U78</f>
        <v>72</v>
      </c>
      <c r="W74" s="282">
        <f>V78</f>
        <v>72</v>
      </c>
      <c r="X74" s="282">
        <f>W78</f>
        <v>72</v>
      </c>
      <c r="Y74" s="282">
        <f>X78</f>
        <v>71</v>
      </c>
      <c r="Z74" s="281">
        <f>U78</f>
        <v>72</v>
      </c>
      <c r="AA74" s="282">
        <f>Z78</f>
        <v>71</v>
      </c>
      <c r="AB74" s="282">
        <f>AA78</f>
        <v>68</v>
      </c>
      <c r="AC74" s="282">
        <f>AB78</f>
        <v>67</v>
      </c>
      <c r="AD74" s="282">
        <f>AC78</f>
        <v>68</v>
      </c>
      <c r="AE74" s="281">
        <f>Z78</f>
        <v>71</v>
      </c>
      <c r="AF74" s="282">
        <f>AE78</f>
        <v>70</v>
      </c>
      <c r="AG74" s="282">
        <f>AF78</f>
        <v>71</v>
      </c>
      <c r="AH74" s="282">
        <f>AG78</f>
        <v>75</v>
      </c>
      <c r="AI74" s="282">
        <f>AH78</f>
        <v>76</v>
      </c>
      <c r="AJ74" s="281">
        <f>AE78</f>
        <v>70</v>
      </c>
      <c r="AK74" s="282">
        <f>AJ78</f>
        <v>77</v>
      </c>
      <c r="AL74" s="282">
        <f>AK78</f>
        <v>77</v>
      </c>
      <c r="AM74" s="282">
        <f>AL78</f>
        <v>79</v>
      </c>
      <c r="AN74" s="282">
        <f>AM78</f>
        <v>125</v>
      </c>
      <c r="AO74" s="281">
        <f>AJ78</f>
        <v>77</v>
      </c>
      <c r="AP74" s="282">
        <f>AO78</f>
        <v>115</v>
      </c>
      <c r="AQ74" s="282">
        <f>AP78</f>
        <v>115</v>
      </c>
      <c r="AR74" s="282">
        <f>AQ78</f>
        <v>116</v>
      </c>
      <c r="AS74" s="282">
        <f>AR78</f>
        <v>116</v>
      </c>
      <c r="AT74" s="281">
        <f>AO78</f>
        <v>115</v>
      </c>
      <c r="AU74" s="282">
        <f>AT78</f>
        <v>118</v>
      </c>
      <c r="AV74" s="282">
        <f>AU78</f>
        <v>119</v>
      </c>
      <c r="AW74" s="282">
        <f>AV78</f>
        <v>122</v>
      </c>
      <c r="AX74" s="282">
        <f>AW78</f>
        <v>122</v>
      </c>
      <c r="AY74" s="281">
        <f>AT78</f>
        <v>118</v>
      </c>
      <c r="AZ74" s="282">
        <f>AY78</f>
        <v>122</v>
      </c>
      <c r="BA74" s="282">
        <f>AZ78</f>
        <v>122</v>
      </c>
      <c r="BB74" s="282">
        <f>BA78</f>
        <v>122</v>
      </c>
      <c r="BC74" s="282">
        <f>BB78</f>
        <v>123</v>
      </c>
      <c r="BD74" s="281">
        <f>AY78</f>
        <v>122</v>
      </c>
      <c r="BE74" s="282">
        <f>BD78</f>
        <v>130</v>
      </c>
      <c r="BF74" s="282">
        <f>BE78</f>
        <v>129</v>
      </c>
      <c r="BG74" s="282">
        <f>BF78</f>
        <v>130</v>
      </c>
      <c r="BH74" s="282">
        <f>BG78</f>
        <v>130</v>
      </c>
      <c r="BI74" s="281">
        <f>BD78</f>
        <v>130</v>
      </c>
      <c r="BJ74" s="282">
        <f>BI78</f>
        <v>131</v>
      </c>
      <c r="BK74" s="282">
        <f>BJ78</f>
        <v>134</v>
      </c>
      <c r="BL74" s="282">
        <f>BK78</f>
        <v>134</v>
      </c>
      <c r="BM74" s="282">
        <f>BL78</f>
        <v>135</v>
      </c>
      <c r="BN74" s="281">
        <f>BI78</f>
        <v>131</v>
      </c>
      <c r="BO74" s="282">
        <f>BN78</f>
        <v>134</v>
      </c>
      <c r="BP74" s="282">
        <f>BO78</f>
        <v>134</v>
      </c>
      <c r="BQ74" s="282">
        <f>BP78</f>
        <v>134</v>
      </c>
      <c r="BR74" s="282">
        <f>BQ78</f>
        <v>134</v>
      </c>
      <c r="BS74" s="281">
        <f>BN78</f>
        <v>134</v>
      </c>
      <c r="BT74" s="282">
        <f>BS78</f>
        <v>134</v>
      </c>
      <c r="BU74" s="282">
        <f>BT78</f>
        <v>134</v>
      </c>
      <c r="BV74" s="282">
        <f>BU78</f>
        <v>134</v>
      </c>
      <c r="BW74" s="282">
        <f>BV78</f>
        <v>134</v>
      </c>
      <c r="BX74" s="281">
        <f>BS78</f>
        <v>134</v>
      </c>
      <c r="BY74" s="282">
        <f>BX78</f>
        <v>134</v>
      </c>
      <c r="BZ74" s="282">
        <f>BY78</f>
        <v>134</v>
      </c>
      <c r="CA74" s="282">
        <f>BZ78</f>
        <v>134</v>
      </c>
      <c r="CB74" s="282">
        <f>CA78</f>
        <v>134</v>
      </c>
      <c r="CC74" s="281">
        <f>BX78</f>
        <v>134</v>
      </c>
      <c r="CD74" s="282">
        <f>CC78</f>
        <v>125</v>
      </c>
      <c r="CE74" s="282">
        <f t="shared" ref="CE74:CG74" si="92">CD78</f>
        <v>125</v>
      </c>
      <c r="CF74" s="282">
        <f t="shared" si="92"/>
        <v>125</v>
      </c>
      <c r="CG74" s="282">
        <f t="shared" si="92"/>
        <v>155</v>
      </c>
      <c r="CH74" s="281">
        <f>CC78</f>
        <v>125</v>
      </c>
      <c r="CI74" s="282">
        <f>CH78</f>
        <v>155</v>
      </c>
      <c r="CJ74" s="282">
        <f>CI78</f>
        <v>155</v>
      </c>
      <c r="CK74" s="282">
        <f>CJ78</f>
        <v>143</v>
      </c>
      <c r="CL74" s="282">
        <f>CK78</f>
        <v>133</v>
      </c>
      <c r="CM74" s="281">
        <f>CH78</f>
        <v>155</v>
      </c>
      <c r="CN74" s="282">
        <f>CM78</f>
        <v>125</v>
      </c>
      <c r="CO74" s="282">
        <f>CN78</f>
        <v>121</v>
      </c>
      <c r="CP74" s="282">
        <f>CO78</f>
        <v>117</v>
      </c>
      <c r="CQ74" s="282">
        <f>CP78</f>
        <v>113</v>
      </c>
      <c r="CR74" s="281">
        <f>CM78</f>
        <v>125</v>
      </c>
      <c r="CS74" s="282">
        <f>CR78</f>
        <v>109</v>
      </c>
      <c r="CT74" s="282">
        <f>CS78</f>
        <v>109</v>
      </c>
      <c r="CU74" s="282">
        <f>CT78</f>
        <v>109</v>
      </c>
      <c r="CV74" s="282">
        <f>CU78</f>
        <v>109</v>
      </c>
      <c r="CW74" s="281">
        <f>CR78</f>
        <v>109</v>
      </c>
      <c r="CX74" s="282">
        <f>CW78</f>
        <v>109</v>
      </c>
      <c r="CY74" s="282">
        <f>CX78</f>
        <v>109</v>
      </c>
      <c r="CZ74" s="282">
        <f>CY78</f>
        <v>109</v>
      </c>
      <c r="DA74" s="282">
        <f>CZ78</f>
        <v>109</v>
      </c>
      <c r="DB74" s="281">
        <f>CW78</f>
        <v>109</v>
      </c>
      <c r="DC74" s="16"/>
      <c r="DD74" s="16"/>
      <c r="DE74" s="16"/>
      <c r="DF74" s="16"/>
      <c r="DG74" s="16"/>
      <c r="DH74" s="16"/>
      <c r="DI74" s="16"/>
      <c r="DJ74" s="16"/>
    </row>
    <row r="75" spans="1:114" s="725" customFormat="1" ht="11.25" customHeight="1">
      <c r="A75" s="16"/>
      <c r="B75" s="14" t="s">
        <v>243</v>
      </c>
      <c r="C75" s="435"/>
      <c r="D75" s="410"/>
      <c r="E75" s="322">
        <v>0</v>
      </c>
      <c r="F75" s="323"/>
      <c r="G75" s="275">
        <v>0</v>
      </c>
      <c r="H75" s="275">
        <v>0</v>
      </c>
      <c r="I75" s="275">
        <v>0</v>
      </c>
      <c r="J75" s="275">
        <v>0</v>
      </c>
      <c r="K75" s="281">
        <f>SUM(G75:J75)</f>
        <v>0</v>
      </c>
      <c r="L75" s="275"/>
      <c r="M75" s="276">
        <v>0</v>
      </c>
      <c r="N75" s="276">
        <v>0</v>
      </c>
      <c r="O75" s="275">
        <v>0</v>
      </c>
      <c r="P75" s="281">
        <f>SUM(L75:O75)</f>
        <v>0</v>
      </c>
      <c r="Q75" s="278">
        <v>0</v>
      </c>
      <c r="R75" s="278">
        <v>0</v>
      </c>
      <c r="S75" s="279">
        <v>0</v>
      </c>
      <c r="T75" s="279">
        <v>0</v>
      </c>
      <c r="U75" s="281">
        <f>SUM(Q75:T75)</f>
        <v>0</v>
      </c>
      <c r="V75" s="282">
        <v>0</v>
      </c>
      <c r="W75" s="282">
        <v>0</v>
      </c>
      <c r="X75" s="282">
        <v>0</v>
      </c>
      <c r="Y75" s="282">
        <v>0</v>
      </c>
      <c r="Z75" s="281">
        <f>SUM(V75:Y75)</f>
        <v>0</v>
      </c>
      <c r="AA75" s="282">
        <v>0</v>
      </c>
      <c r="AB75" s="282">
        <v>0</v>
      </c>
      <c r="AC75" s="282">
        <v>0</v>
      </c>
      <c r="AD75" s="282">
        <v>0</v>
      </c>
      <c r="AE75" s="281">
        <f>SUM(AA75:AD75)</f>
        <v>0</v>
      </c>
      <c r="AF75" s="278">
        <v>0</v>
      </c>
      <c r="AG75" s="278">
        <v>0</v>
      </c>
      <c r="AH75" s="278">
        <v>0</v>
      </c>
      <c r="AI75" s="278">
        <v>-1</v>
      </c>
      <c r="AJ75" s="281">
        <f>SUM(AF75:AI75)</f>
        <v>-1</v>
      </c>
      <c r="AK75" s="278">
        <v>0</v>
      </c>
      <c r="AL75" s="278">
        <v>0</v>
      </c>
      <c r="AM75" s="278"/>
      <c r="AN75" s="278">
        <v>0</v>
      </c>
      <c r="AO75" s="281">
        <f>SUM(AK75:AN75)</f>
        <v>0</v>
      </c>
      <c r="AP75" s="278">
        <v>0</v>
      </c>
      <c r="AQ75" s="278">
        <v>0</v>
      </c>
      <c r="AR75" s="278">
        <v>0</v>
      </c>
      <c r="AS75" s="278">
        <v>0</v>
      </c>
      <c r="AT75" s="281">
        <f>SUM(AP75:AS75)</f>
        <v>0</v>
      </c>
      <c r="AU75" s="283">
        <v>0</v>
      </c>
      <c r="AV75" s="283">
        <v>0</v>
      </c>
      <c r="AW75" s="283">
        <v>0</v>
      </c>
      <c r="AX75" s="283">
        <v>0</v>
      </c>
      <c r="AY75" s="281">
        <f>SUM(AU75:AX75)</f>
        <v>0</v>
      </c>
      <c r="AZ75" s="283">
        <v>0</v>
      </c>
      <c r="BA75" s="283">
        <v>0</v>
      </c>
      <c r="BB75" s="283">
        <v>0</v>
      </c>
      <c r="BC75" s="283">
        <v>0</v>
      </c>
      <c r="BD75" s="281">
        <f>SUM(AZ75:BC75)</f>
        <v>0</v>
      </c>
      <c r="BE75" s="283">
        <v>0</v>
      </c>
      <c r="BF75" s="283">
        <v>0</v>
      </c>
      <c r="BG75" s="283">
        <v>0</v>
      </c>
      <c r="BH75" s="276">
        <v>0</v>
      </c>
      <c r="BI75" s="281">
        <f>SUM(BE75:BH75)</f>
        <v>0</v>
      </c>
      <c r="BJ75" s="276">
        <v>0</v>
      </c>
      <c r="BK75" s="276">
        <v>0</v>
      </c>
      <c r="BL75" s="276">
        <v>0</v>
      </c>
      <c r="BM75" s="283">
        <v>0</v>
      </c>
      <c r="BN75" s="281">
        <f>SUM(BJ75:BM75)</f>
        <v>0</v>
      </c>
      <c r="BO75" s="283">
        <v>0</v>
      </c>
      <c r="BP75" s="283">
        <v>0</v>
      </c>
      <c r="BQ75" s="283">
        <v>0</v>
      </c>
      <c r="BR75" s="283">
        <v>0</v>
      </c>
      <c r="BS75" s="281">
        <f>SUM(BO75:BR75)</f>
        <v>0</v>
      </c>
      <c r="BT75" s="283">
        <v>0</v>
      </c>
      <c r="BU75" s="283">
        <v>0</v>
      </c>
      <c r="BV75" s="283">
        <v>0</v>
      </c>
      <c r="BW75" s="283">
        <v>0</v>
      </c>
      <c r="BX75" s="281">
        <f>SUM(BT75:BW75)</f>
        <v>0</v>
      </c>
      <c r="BY75" s="283">
        <v>0</v>
      </c>
      <c r="BZ75" s="283">
        <v>0</v>
      </c>
      <c r="CA75" s="283">
        <v>0</v>
      </c>
      <c r="CB75" s="283">
        <v>0</v>
      </c>
      <c r="CC75" s="281">
        <f>SUM(BY75:CB75)</f>
        <v>0</v>
      </c>
      <c r="CD75" s="283">
        <v>0</v>
      </c>
      <c r="CE75" s="283">
        <v>0</v>
      </c>
      <c r="CF75" s="283">
        <v>0</v>
      </c>
      <c r="CG75" s="283">
        <v>0</v>
      </c>
      <c r="CH75" s="281">
        <f>SUM(CD75:CG75)</f>
        <v>0</v>
      </c>
      <c r="CI75" s="283">
        <v>0</v>
      </c>
      <c r="CJ75" s="283">
        <v>0</v>
      </c>
      <c r="CK75" s="283">
        <v>0</v>
      </c>
      <c r="CL75" s="283">
        <v>0</v>
      </c>
      <c r="CM75" s="281">
        <f>SUM(CI75:CL75)</f>
        <v>0</v>
      </c>
      <c r="CN75" s="283">
        <v>0</v>
      </c>
      <c r="CO75" s="283">
        <v>0</v>
      </c>
      <c r="CP75" s="283">
        <v>0</v>
      </c>
      <c r="CQ75" s="283">
        <v>0</v>
      </c>
      <c r="CR75" s="281">
        <f>SUM(CN75:CQ75)</f>
        <v>0</v>
      </c>
      <c r="CS75" s="283">
        <v>0</v>
      </c>
      <c r="CT75" s="283">
        <v>0</v>
      </c>
      <c r="CU75" s="283">
        <v>0</v>
      </c>
      <c r="CV75" s="283">
        <v>0</v>
      </c>
      <c r="CW75" s="281">
        <f>SUM(CS75:CV75)</f>
        <v>0</v>
      </c>
      <c r="CX75" s="283">
        <v>0</v>
      </c>
      <c r="CY75" s="283">
        <v>0</v>
      </c>
      <c r="CZ75" s="283">
        <v>0</v>
      </c>
      <c r="DA75" s="283">
        <v>0</v>
      </c>
      <c r="DB75" s="281">
        <f>SUM(CX75:DA75)</f>
        <v>0</v>
      </c>
      <c r="DC75" s="16"/>
      <c r="DD75" s="16"/>
      <c r="DE75" s="16"/>
      <c r="DF75" s="16"/>
      <c r="DG75" s="16"/>
      <c r="DH75" s="16"/>
      <c r="DI75" s="16"/>
      <c r="DJ75" s="16"/>
    </row>
    <row r="76" spans="1:114" s="725" customFormat="1" ht="11.25" customHeight="1">
      <c r="A76" s="16"/>
      <c r="B76" s="14" t="s">
        <v>244</v>
      </c>
      <c r="C76" s="436"/>
      <c r="D76" s="322">
        <v>4</v>
      </c>
      <c r="E76" s="322">
        <v>5</v>
      </c>
      <c r="F76" s="323">
        <v>6</v>
      </c>
      <c r="G76" s="276">
        <v>0</v>
      </c>
      <c r="H76" s="276">
        <v>1</v>
      </c>
      <c r="I76" s="276">
        <v>1</v>
      </c>
      <c r="J76" s="276">
        <v>3</v>
      </c>
      <c r="K76" s="281">
        <f>SUM(G76:J76)</f>
        <v>5</v>
      </c>
      <c r="L76" s="276">
        <v>2</v>
      </c>
      <c r="M76" s="276">
        <v>0</v>
      </c>
      <c r="N76" s="276">
        <v>2</v>
      </c>
      <c r="O76" s="276">
        <v>2</v>
      </c>
      <c r="P76" s="281">
        <f>SUM(L76:O76)</f>
        <v>6</v>
      </c>
      <c r="Q76" s="278">
        <v>7</v>
      </c>
      <c r="R76" s="278">
        <v>0</v>
      </c>
      <c r="S76" s="278">
        <v>2</v>
      </c>
      <c r="T76" s="278">
        <v>1</v>
      </c>
      <c r="U76" s="281">
        <f>SUM(Q76:T76)</f>
        <v>10</v>
      </c>
      <c r="V76" s="282">
        <v>0</v>
      </c>
      <c r="W76" s="282">
        <v>0</v>
      </c>
      <c r="X76" s="278">
        <v>2</v>
      </c>
      <c r="Y76" s="282">
        <v>0</v>
      </c>
      <c r="Z76" s="281">
        <f>SUM(V76:Y76)</f>
        <v>2</v>
      </c>
      <c r="AA76" s="278">
        <v>1</v>
      </c>
      <c r="AB76" s="282">
        <v>0</v>
      </c>
      <c r="AC76" s="278">
        <v>2</v>
      </c>
      <c r="AD76" s="278">
        <v>2</v>
      </c>
      <c r="AE76" s="281">
        <f>SUM(AA76:AD76)</f>
        <v>5</v>
      </c>
      <c r="AF76" s="278">
        <v>1</v>
      </c>
      <c r="AG76" s="278">
        <v>4</v>
      </c>
      <c r="AH76" s="278">
        <v>1</v>
      </c>
      <c r="AI76" s="278">
        <v>2</v>
      </c>
      <c r="AJ76" s="281">
        <f>SUM(AF76:AI76)</f>
        <v>8</v>
      </c>
      <c r="AK76" s="278">
        <v>0</v>
      </c>
      <c r="AL76" s="278">
        <v>2</v>
      </c>
      <c r="AM76" s="278">
        <v>49</v>
      </c>
      <c r="AN76" s="278">
        <v>0</v>
      </c>
      <c r="AO76" s="281">
        <f>SUM(AK76:AN76)</f>
        <v>51</v>
      </c>
      <c r="AP76" s="278">
        <v>0</v>
      </c>
      <c r="AQ76" s="278">
        <v>1</v>
      </c>
      <c r="AR76" s="278">
        <v>0</v>
      </c>
      <c r="AS76" s="278">
        <v>3</v>
      </c>
      <c r="AT76" s="281">
        <f>SUM(AP76:AS76)</f>
        <v>4</v>
      </c>
      <c r="AU76" s="276">
        <v>1</v>
      </c>
      <c r="AV76" s="276">
        <v>3</v>
      </c>
      <c r="AW76" s="276">
        <v>0</v>
      </c>
      <c r="AX76" s="278">
        <v>0</v>
      </c>
      <c r="AY76" s="281">
        <f>SUM(AU76:AX76)</f>
        <v>4</v>
      </c>
      <c r="AZ76" s="276">
        <v>0</v>
      </c>
      <c r="BA76" s="276">
        <v>0</v>
      </c>
      <c r="BB76" s="276">
        <v>1</v>
      </c>
      <c r="BC76" s="278">
        <v>7</v>
      </c>
      <c r="BD76" s="281">
        <f>SUM(AZ76:BC76)</f>
        <v>8</v>
      </c>
      <c r="BE76" s="276">
        <v>1</v>
      </c>
      <c r="BF76" s="276">
        <v>3</v>
      </c>
      <c r="BG76" s="276">
        <v>0</v>
      </c>
      <c r="BH76" s="278">
        <v>1</v>
      </c>
      <c r="BI76" s="281">
        <f>SUM(BE76:BH76)</f>
        <v>5</v>
      </c>
      <c r="BJ76" s="276">
        <v>3</v>
      </c>
      <c r="BK76" s="276">
        <v>0</v>
      </c>
      <c r="BL76" s="276">
        <v>0</v>
      </c>
      <c r="BM76" s="278">
        <v>0</v>
      </c>
      <c r="BN76" s="281">
        <f>SUM(BJ76:BM76)</f>
        <v>3</v>
      </c>
      <c r="BO76" s="276">
        <v>0</v>
      </c>
      <c r="BP76" s="276">
        <v>0</v>
      </c>
      <c r="BQ76" s="276">
        <v>0</v>
      </c>
      <c r="BR76" s="278">
        <v>0</v>
      </c>
      <c r="BS76" s="281">
        <f>SUM(BO76:BR76)</f>
        <v>0</v>
      </c>
      <c r="BT76" s="276">
        <v>0</v>
      </c>
      <c r="BU76" s="276">
        <v>0</v>
      </c>
      <c r="BV76" s="276">
        <v>0</v>
      </c>
      <c r="BW76" s="276">
        <v>0</v>
      </c>
      <c r="BX76" s="281">
        <f>SUM(BT76:BW76)</f>
        <v>0</v>
      </c>
      <c r="BY76" s="276">
        <v>0</v>
      </c>
      <c r="BZ76" s="276">
        <v>0</v>
      </c>
      <c r="CA76" s="276">
        <v>0</v>
      </c>
      <c r="CB76" s="276">
        <v>0</v>
      </c>
      <c r="CC76" s="281">
        <f>SUM(BY76:CB76)</f>
        <v>0</v>
      </c>
      <c r="CD76" s="276">
        <v>0</v>
      </c>
      <c r="CE76" s="276">
        <v>0</v>
      </c>
      <c r="CF76" s="276">
        <v>0</v>
      </c>
      <c r="CG76" s="1222">
        <v>30</v>
      </c>
      <c r="CH76" s="281">
        <f>SUM(CD76:CG76)</f>
        <v>30</v>
      </c>
      <c r="CI76" s="276">
        <v>0</v>
      </c>
      <c r="CJ76" s="276">
        <v>0</v>
      </c>
      <c r="CK76" s="276">
        <v>0</v>
      </c>
      <c r="CL76" s="278">
        <v>0</v>
      </c>
      <c r="CM76" s="281">
        <f>SUM(CI76:CL76)</f>
        <v>0</v>
      </c>
      <c r="CN76" s="276">
        <v>0</v>
      </c>
      <c r="CO76" s="276">
        <v>0</v>
      </c>
      <c r="CP76" s="276">
        <v>0</v>
      </c>
      <c r="CQ76" s="278">
        <v>0</v>
      </c>
      <c r="CR76" s="281">
        <f>SUM(CN76:CQ76)</f>
        <v>0</v>
      </c>
      <c r="CS76" s="276">
        <v>0</v>
      </c>
      <c r="CT76" s="276">
        <v>0</v>
      </c>
      <c r="CU76" s="276">
        <v>0</v>
      </c>
      <c r="CV76" s="278">
        <v>0</v>
      </c>
      <c r="CW76" s="281">
        <f>SUM(CS76:CV76)</f>
        <v>0</v>
      </c>
      <c r="CX76" s="276">
        <v>0</v>
      </c>
      <c r="CY76" s="276">
        <v>0</v>
      </c>
      <c r="CZ76" s="276">
        <v>0</v>
      </c>
      <c r="DA76" s="278">
        <v>0</v>
      </c>
      <c r="DB76" s="281">
        <f>SUM(CX76:DA76)</f>
        <v>0</v>
      </c>
      <c r="DC76" s="16"/>
      <c r="DD76" s="16"/>
      <c r="DE76" s="16"/>
      <c r="DF76" s="16"/>
      <c r="DG76" s="16"/>
      <c r="DH76" s="16"/>
      <c r="DI76" s="16"/>
      <c r="DJ76" s="16"/>
    </row>
    <row r="77" spans="1:114" s="725" customFormat="1" ht="11.25" customHeight="1">
      <c r="A77" s="16"/>
      <c r="B77" s="14" t="s">
        <v>245</v>
      </c>
      <c r="C77" s="277"/>
      <c r="D77" s="411"/>
      <c r="E77" s="324">
        <v>0</v>
      </c>
      <c r="F77" s="325"/>
      <c r="G77" s="277">
        <v>0</v>
      </c>
      <c r="H77" s="277">
        <v>0</v>
      </c>
      <c r="I77" s="277">
        <v>0</v>
      </c>
      <c r="J77" s="277">
        <v>0</v>
      </c>
      <c r="K77" s="284">
        <f>SUM(G77:J77)</f>
        <v>0</v>
      </c>
      <c r="L77" s="277"/>
      <c r="M77" s="277">
        <v>0</v>
      </c>
      <c r="N77" s="277">
        <v>0</v>
      </c>
      <c r="O77" s="277">
        <v>0</v>
      </c>
      <c r="P77" s="284">
        <f>SUM(L77:O77)</f>
        <v>0</v>
      </c>
      <c r="Q77" s="277">
        <v>0</v>
      </c>
      <c r="R77" s="277">
        <v>0</v>
      </c>
      <c r="S77" s="277">
        <v>0</v>
      </c>
      <c r="T77" s="277">
        <v>-1</v>
      </c>
      <c r="U77" s="284">
        <f>SUM(Q77:T77)</f>
        <v>-1</v>
      </c>
      <c r="V77" s="285">
        <v>0</v>
      </c>
      <c r="W77" s="285">
        <v>0</v>
      </c>
      <c r="X77" s="277">
        <v>-3</v>
      </c>
      <c r="Y77" s="285">
        <v>0</v>
      </c>
      <c r="Z77" s="284">
        <f>SUM(V77:Y77)</f>
        <v>-3</v>
      </c>
      <c r="AA77" s="277">
        <v>-4</v>
      </c>
      <c r="AB77" s="277">
        <v>-1</v>
      </c>
      <c r="AC77" s="277">
        <v>-1</v>
      </c>
      <c r="AD77" s="285">
        <v>0</v>
      </c>
      <c r="AE77" s="284">
        <f>SUM(AA77:AD77)</f>
        <v>-6</v>
      </c>
      <c r="AF77" s="277">
        <v>0</v>
      </c>
      <c r="AG77" s="277">
        <v>0</v>
      </c>
      <c r="AH77" s="277">
        <v>0</v>
      </c>
      <c r="AI77" s="277">
        <v>0</v>
      </c>
      <c r="AJ77" s="284">
        <f>SUM(AF77:AI77)</f>
        <v>0</v>
      </c>
      <c r="AK77" s="277">
        <v>0</v>
      </c>
      <c r="AL77" s="277">
        <v>0</v>
      </c>
      <c r="AM77" s="277">
        <v>-3</v>
      </c>
      <c r="AN77" s="277">
        <v>-10</v>
      </c>
      <c r="AO77" s="284">
        <f>SUM(AK77:AN77)</f>
        <v>-13</v>
      </c>
      <c r="AP77" s="277">
        <v>0</v>
      </c>
      <c r="AQ77" s="277">
        <v>0</v>
      </c>
      <c r="AR77" s="277">
        <v>0</v>
      </c>
      <c r="AS77" s="286">
        <f>AS78-SUM(AS74:AS76)</f>
        <v>-1</v>
      </c>
      <c r="AT77" s="284">
        <f>SUM(AP77:AS77)</f>
        <v>-1</v>
      </c>
      <c r="AU77" s="287">
        <f>AU78-AU74-AU75-AU76</f>
        <v>0</v>
      </c>
      <c r="AV77" s="287">
        <f>AV78-AV74-AV75-AV76</f>
        <v>0</v>
      </c>
      <c r="AW77" s="287">
        <f>AW78-AW74-AW75-AW76</f>
        <v>0</v>
      </c>
      <c r="AX77" s="288">
        <v>0</v>
      </c>
      <c r="AY77" s="284">
        <f>SUM(AU77:AX77)</f>
        <v>0</v>
      </c>
      <c r="AZ77" s="289">
        <v>0</v>
      </c>
      <c r="BA77" s="289">
        <v>0</v>
      </c>
      <c r="BB77" s="289">
        <v>0</v>
      </c>
      <c r="BC77" s="289">
        <v>0</v>
      </c>
      <c r="BD77" s="284">
        <f>SUM(AZ77:BC77)</f>
        <v>0</v>
      </c>
      <c r="BE77" s="286">
        <f>BE78-BE76-BE75-BE74</f>
        <v>-2</v>
      </c>
      <c r="BF77" s="289">
        <v>-2</v>
      </c>
      <c r="BG77" s="289">
        <v>0</v>
      </c>
      <c r="BH77" s="289">
        <v>0</v>
      </c>
      <c r="BI77" s="284">
        <f>SUM(BE77:BH77)</f>
        <v>-4</v>
      </c>
      <c r="BJ77" s="289">
        <v>0</v>
      </c>
      <c r="BK77" s="289">
        <v>0</v>
      </c>
      <c r="BL77" s="289">
        <v>0</v>
      </c>
      <c r="BM77" s="288">
        <v>0</v>
      </c>
      <c r="BN77" s="284">
        <f>SUM(BJ77:BM77)</f>
        <v>0</v>
      </c>
      <c r="BO77" s="288">
        <v>0</v>
      </c>
      <c r="BP77" s="288">
        <v>0</v>
      </c>
      <c r="BQ77" s="288">
        <v>0</v>
      </c>
      <c r="BR77" s="288">
        <v>0</v>
      </c>
      <c r="BS77" s="284">
        <f>SUM(BO77:BR77)</f>
        <v>0</v>
      </c>
      <c r="BT77" s="288">
        <v>0</v>
      </c>
      <c r="BU77" s="288">
        <v>0</v>
      </c>
      <c r="BV77" s="288">
        <v>0</v>
      </c>
      <c r="BW77" s="288">
        <v>0</v>
      </c>
      <c r="BX77" s="284">
        <f>SUM(BT77:BW77)</f>
        <v>0</v>
      </c>
      <c r="BY77" s="1130">
        <v>0</v>
      </c>
      <c r="BZ77" s="1130">
        <v>0</v>
      </c>
      <c r="CA77" s="1130">
        <v>0</v>
      </c>
      <c r="CB77" s="1130">
        <v>0</v>
      </c>
      <c r="CC77" s="281">
        <f>SUM(BY77:CB77)</f>
        <v>0</v>
      </c>
      <c r="CD77" s="1130">
        <v>0</v>
      </c>
      <c r="CE77" s="1130">
        <v>0</v>
      </c>
      <c r="CF77" s="1130">
        <v>0</v>
      </c>
      <c r="CG77" s="1130">
        <v>0</v>
      </c>
      <c r="CH77" s="281">
        <f>SUM(CD77:CG77)</f>
        <v>0</v>
      </c>
      <c r="CI77" s="1130">
        <v>0</v>
      </c>
      <c r="CJ77" s="1130">
        <f>CJ78-CJ74</f>
        <v>-12</v>
      </c>
      <c r="CK77" s="1130">
        <f>CK78-CK74</f>
        <v>-10</v>
      </c>
      <c r="CL77" s="1130">
        <f>CL78-CL74</f>
        <v>-8</v>
      </c>
      <c r="CM77" s="281">
        <f>SUM(CI77:CL77)</f>
        <v>-30</v>
      </c>
      <c r="CN77" s="1130">
        <v>-4</v>
      </c>
      <c r="CO77" s="1130">
        <v>-4</v>
      </c>
      <c r="CP77" s="1130">
        <v>-4</v>
      </c>
      <c r="CQ77" s="1130">
        <v>-4</v>
      </c>
      <c r="CR77" s="281">
        <f>SUM(CN77:CQ77)</f>
        <v>-16</v>
      </c>
      <c r="CS77" s="1130">
        <v>0</v>
      </c>
      <c r="CT77" s="1130">
        <v>0</v>
      </c>
      <c r="CU77" s="1130">
        <v>0</v>
      </c>
      <c r="CV77" s="1130">
        <v>0</v>
      </c>
      <c r="CW77" s="281">
        <f>SUM(CS77:CV77)</f>
        <v>0</v>
      </c>
      <c r="CX77" s="1130">
        <v>0</v>
      </c>
      <c r="CY77" s="1130">
        <v>0</v>
      </c>
      <c r="CZ77" s="1130">
        <v>0</v>
      </c>
      <c r="DA77" s="1130">
        <v>0</v>
      </c>
      <c r="DB77" s="281">
        <f>SUM(CX77:DA77)</f>
        <v>0</v>
      </c>
      <c r="DC77" s="16"/>
      <c r="DD77" s="16"/>
      <c r="DE77" s="16"/>
      <c r="DF77" s="16"/>
      <c r="DG77" s="16"/>
      <c r="DH77" s="16"/>
      <c r="DI77" s="16"/>
      <c r="DJ77" s="16"/>
    </row>
    <row r="78" spans="1:114" s="725" customFormat="1" ht="11.25" customHeight="1">
      <c r="A78" s="16"/>
      <c r="B78" s="16" t="s">
        <v>246</v>
      </c>
      <c r="C78" s="437"/>
      <c r="D78" s="412">
        <v>41</v>
      </c>
      <c r="E78" s="382">
        <f>SUM(E74:E77)</f>
        <v>46</v>
      </c>
      <c r="F78" s="297">
        <f>SUM(F74:F77)</f>
        <v>52</v>
      </c>
      <c r="G78" s="290">
        <f>G234</f>
        <v>52</v>
      </c>
      <c r="H78" s="290">
        <f>H234</f>
        <v>53</v>
      </c>
      <c r="I78" s="290">
        <f>I234</f>
        <v>54</v>
      </c>
      <c r="J78" s="290">
        <f>J234</f>
        <v>57</v>
      </c>
      <c r="K78" s="297">
        <f>SUM(K74:K77)</f>
        <v>57</v>
      </c>
      <c r="L78" s="290">
        <f>L234</f>
        <v>59</v>
      </c>
      <c r="M78" s="290">
        <f>M234</f>
        <v>59</v>
      </c>
      <c r="N78" s="290">
        <f>N234</f>
        <v>61</v>
      </c>
      <c r="O78" s="290">
        <f>O234</f>
        <v>63</v>
      </c>
      <c r="P78" s="297">
        <f>SUM(P74:P77)</f>
        <v>63</v>
      </c>
      <c r="Q78" s="290">
        <f>Q234</f>
        <v>70</v>
      </c>
      <c r="R78" s="290">
        <f>R234</f>
        <v>70</v>
      </c>
      <c r="S78" s="290">
        <f>S234</f>
        <v>72</v>
      </c>
      <c r="T78" s="290">
        <f>T234</f>
        <v>72</v>
      </c>
      <c r="U78" s="297">
        <f>T78</f>
        <v>72</v>
      </c>
      <c r="V78" s="290">
        <f>V234</f>
        <v>72</v>
      </c>
      <c r="W78" s="290">
        <f>W234</f>
        <v>72</v>
      </c>
      <c r="X78" s="290">
        <f>X234</f>
        <v>71</v>
      </c>
      <c r="Y78" s="290">
        <f>Y234</f>
        <v>71</v>
      </c>
      <c r="Z78" s="291">
        <f>Y78</f>
        <v>71</v>
      </c>
      <c r="AA78" s="290">
        <f>AA234</f>
        <v>68</v>
      </c>
      <c r="AB78" s="290">
        <f>AB234</f>
        <v>67</v>
      </c>
      <c r="AC78" s="290">
        <f>AC234</f>
        <v>68</v>
      </c>
      <c r="AD78" s="290">
        <f>AD234</f>
        <v>70</v>
      </c>
      <c r="AE78" s="291">
        <f>SUM(AE74:AE77)</f>
        <v>70</v>
      </c>
      <c r="AF78" s="290">
        <f>AF234</f>
        <v>71</v>
      </c>
      <c r="AG78" s="290">
        <f>AG234</f>
        <v>75</v>
      </c>
      <c r="AH78" s="290">
        <f>AH234</f>
        <v>76</v>
      </c>
      <c r="AI78" s="290">
        <f>AI234</f>
        <v>77</v>
      </c>
      <c r="AJ78" s="291">
        <f>SUM(AJ74:AJ77)</f>
        <v>77</v>
      </c>
      <c r="AK78" s="290">
        <f>AK234</f>
        <v>77</v>
      </c>
      <c r="AL78" s="290">
        <f>AL234</f>
        <v>79</v>
      </c>
      <c r="AM78" s="290">
        <f>AM234</f>
        <v>125</v>
      </c>
      <c r="AN78" s="290">
        <f>AN234</f>
        <v>115</v>
      </c>
      <c r="AO78" s="291">
        <f>SUM(AO74:AO77)</f>
        <v>115</v>
      </c>
      <c r="AP78" s="290">
        <f>AP234</f>
        <v>115</v>
      </c>
      <c r="AQ78" s="290">
        <f>AQ234</f>
        <v>116</v>
      </c>
      <c r="AR78" s="290">
        <f>AR234</f>
        <v>116</v>
      </c>
      <c r="AS78" s="290">
        <f>AS234</f>
        <v>118</v>
      </c>
      <c r="AT78" s="291">
        <f>SUM(AT74:AT77)</f>
        <v>118</v>
      </c>
      <c r="AU78" s="290">
        <f>AU234</f>
        <v>119</v>
      </c>
      <c r="AV78" s="290">
        <f>AV234</f>
        <v>122</v>
      </c>
      <c r="AW78" s="290">
        <f>AW234</f>
        <v>122</v>
      </c>
      <c r="AX78" s="290">
        <f>AX234</f>
        <v>122</v>
      </c>
      <c r="AY78" s="291">
        <f>SUM(AY74:AY77)</f>
        <v>122</v>
      </c>
      <c r="AZ78" s="290">
        <f>AZ234</f>
        <v>122</v>
      </c>
      <c r="BA78" s="290">
        <f>BA234</f>
        <v>122</v>
      </c>
      <c r="BB78" s="290">
        <f>BB234</f>
        <v>123</v>
      </c>
      <c r="BC78" s="290">
        <f>BC234</f>
        <v>130</v>
      </c>
      <c r="BD78" s="291">
        <f>SUM(BD74:BD77)</f>
        <v>130</v>
      </c>
      <c r="BE78" s="290">
        <f>BE234</f>
        <v>129</v>
      </c>
      <c r="BF78" s="290">
        <f>BF234</f>
        <v>130</v>
      </c>
      <c r="BG78" s="290">
        <f>BG234</f>
        <v>130</v>
      </c>
      <c r="BH78" s="290">
        <f>BH234</f>
        <v>131</v>
      </c>
      <c r="BI78" s="291">
        <f>SUM(BI74:BI77)</f>
        <v>131</v>
      </c>
      <c r="BJ78" s="290">
        <f>BJ234</f>
        <v>134</v>
      </c>
      <c r="BK78" s="290">
        <f>BK234</f>
        <v>134</v>
      </c>
      <c r="BL78" s="290">
        <f>BL234</f>
        <v>135</v>
      </c>
      <c r="BM78" s="290">
        <f>BM234</f>
        <v>135</v>
      </c>
      <c r="BN78" s="291">
        <f t="shared" ref="BN78:BX78" si="93">SUM(BN74:BN77)</f>
        <v>134</v>
      </c>
      <c r="BO78" s="290">
        <f t="shared" si="93"/>
        <v>134</v>
      </c>
      <c r="BP78" s="290">
        <f t="shared" si="93"/>
        <v>134</v>
      </c>
      <c r="BQ78" s="290">
        <f t="shared" si="93"/>
        <v>134</v>
      </c>
      <c r="BR78" s="290">
        <f t="shared" si="93"/>
        <v>134</v>
      </c>
      <c r="BS78" s="291">
        <f t="shared" si="93"/>
        <v>134</v>
      </c>
      <c r="BT78" s="290">
        <f t="shared" si="93"/>
        <v>134</v>
      </c>
      <c r="BU78" s="290">
        <f>SUM(BU74:BU77)</f>
        <v>134</v>
      </c>
      <c r="BV78" s="290">
        <f>SUM(BV74:BV77)</f>
        <v>134</v>
      </c>
      <c r="BW78" s="290">
        <f>SUM(BW74:BW77)</f>
        <v>134</v>
      </c>
      <c r="BX78" s="291">
        <f t="shared" si="93"/>
        <v>134</v>
      </c>
      <c r="BY78" s="1131">
        <f>SUM(BY74:BY77)</f>
        <v>134</v>
      </c>
      <c r="BZ78" s="1132">
        <f t="shared" ref="BZ78" si="94">SUM(BZ74:BZ77)</f>
        <v>134</v>
      </c>
      <c r="CA78" s="1132">
        <f>SUM(CA74:CA77)</f>
        <v>134</v>
      </c>
      <c r="CB78" s="1132">
        <f>SUM(CB74:CB77)</f>
        <v>134</v>
      </c>
      <c r="CC78" s="1133">
        <v>125</v>
      </c>
      <c r="CD78" s="1132">
        <f>SUM(CD74:CD77)</f>
        <v>125</v>
      </c>
      <c r="CE78" s="1132">
        <f t="shared" ref="CE78" si="95">SUM(CE74:CE77)</f>
        <v>125</v>
      </c>
      <c r="CF78" s="1132">
        <f>CF234</f>
        <v>155</v>
      </c>
      <c r="CG78" s="1132">
        <f>CG234</f>
        <v>155</v>
      </c>
      <c r="CH78" s="1133">
        <f>CG78</f>
        <v>155</v>
      </c>
      <c r="CI78" s="1132">
        <f>CI234</f>
        <v>155</v>
      </c>
      <c r="CJ78" s="1132">
        <f>CJ234</f>
        <v>143</v>
      </c>
      <c r="CK78" s="1132">
        <f>CK234</f>
        <v>133</v>
      </c>
      <c r="CL78" s="1132">
        <f>CL234</f>
        <v>125</v>
      </c>
      <c r="CM78" s="1133">
        <f t="shared" ref="CM78:CR78" si="96">SUM(CM74:CM77)</f>
        <v>125</v>
      </c>
      <c r="CN78" s="1132">
        <f t="shared" si="96"/>
        <v>121</v>
      </c>
      <c r="CO78" s="1132">
        <f t="shared" si="96"/>
        <v>117</v>
      </c>
      <c r="CP78" s="1132">
        <f t="shared" si="96"/>
        <v>113</v>
      </c>
      <c r="CQ78" s="1132">
        <f t="shared" si="96"/>
        <v>109</v>
      </c>
      <c r="CR78" s="1133">
        <f t="shared" si="96"/>
        <v>109</v>
      </c>
      <c r="CS78" s="1132">
        <f t="shared" ref="CS78:CW78" si="97">SUM(CS74:CS77)</f>
        <v>109</v>
      </c>
      <c r="CT78" s="1132">
        <f t="shared" si="97"/>
        <v>109</v>
      </c>
      <c r="CU78" s="1132">
        <f t="shared" si="97"/>
        <v>109</v>
      </c>
      <c r="CV78" s="1132">
        <f t="shared" si="97"/>
        <v>109</v>
      </c>
      <c r="CW78" s="1133">
        <f t="shared" si="97"/>
        <v>109</v>
      </c>
      <c r="CX78" s="1132">
        <f t="shared" ref="CX78:DB78" si="98">SUM(CX74:CX77)</f>
        <v>109</v>
      </c>
      <c r="CY78" s="1132">
        <f t="shared" si="98"/>
        <v>109</v>
      </c>
      <c r="CZ78" s="1132">
        <f t="shared" si="98"/>
        <v>109</v>
      </c>
      <c r="DA78" s="1132">
        <f t="shared" si="98"/>
        <v>109</v>
      </c>
      <c r="DB78" s="1133">
        <f t="shared" si="98"/>
        <v>109</v>
      </c>
      <c r="DC78" s="16"/>
      <c r="DD78" s="16"/>
      <c r="DE78" s="16"/>
      <c r="DF78" s="16"/>
      <c r="DG78" s="16"/>
      <c r="DH78" s="16"/>
      <c r="DI78" s="16"/>
      <c r="DJ78" s="16"/>
    </row>
    <row r="79" spans="1:114" s="725" customFormat="1" ht="11.25" customHeight="1">
      <c r="A79" s="16"/>
      <c r="B79" s="1227" t="s">
        <v>657</v>
      </c>
      <c r="C79" s="1228"/>
      <c r="D79" s="1229"/>
      <c r="E79" s="1229"/>
      <c r="F79" s="1230"/>
      <c r="G79" s="1228"/>
      <c r="H79" s="1228"/>
      <c r="I79" s="1228"/>
      <c r="J79" s="1228"/>
      <c r="K79" s="1230"/>
      <c r="L79" s="1228"/>
      <c r="M79" s="1228"/>
      <c r="N79" s="1228"/>
      <c r="O79" s="1228"/>
      <c r="P79" s="1230"/>
      <c r="Q79" s="1231"/>
      <c r="R79" s="1231"/>
      <c r="S79" s="1231"/>
      <c r="T79" s="1231"/>
      <c r="U79" s="1232"/>
      <c r="V79" s="1231"/>
      <c r="W79" s="1231"/>
      <c r="X79" s="1231"/>
      <c r="Y79" s="1231"/>
      <c r="Z79" s="1232"/>
      <c r="AA79" s="1231"/>
      <c r="AB79" s="1231"/>
      <c r="AC79" s="1231"/>
      <c r="AD79" s="1231"/>
      <c r="AE79" s="1232"/>
      <c r="AF79" s="1231"/>
      <c r="AG79" s="1231"/>
      <c r="AH79" s="1231"/>
      <c r="AI79" s="1231"/>
      <c r="AJ79" s="1232"/>
      <c r="AK79" s="1231"/>
      <c r="AL79" s="1231"/>
      <c r="AM79" s="1231"/>
      <c r="AN79" s="1231"/>
      <c r="AO79" s="1232"/>
      <c r="AP79" s="1231"/>
      <c r="AQ79" s="1228"/>
      <c r="AR79" s="1228"/>
      <c r="AS79" s="1228"/>
      <c r="AT79" s="1230"/>
      <c r="AU79" s="1228"/>
      <c r="AV79" s="1228"/>
      <c r="AW79" s="1228"/>
      <c r="AX79" s="1228"/>
      <c r="AY79" s="1230"/>
      <c r="AZ79" s="1228"/>
      <c r="BA79" s="1228"/>
      <c r="BB79" s="1228"/>
      <c r="BC79" s="1228"/>
      <c r="BD79" s="1230"/>
      <c r="BE79" s="1228"/>
      <c r="BF79" s="1228"/>
      <c r="BG79" s="1228"/>
      <c r="BH79" s="1228"/>
      <c r="BI79" s="1230"/>
      <c r="BJ79" s="1228"/>
      <c r="BK79" s="1228"/>
      <c r="BL79" s="1228"/>
      <c r="BM79" s="1228"/>
      <c r="BN79" s="1230"/>
      <c r="BO79" s="1228"/>
      <c r="BP79" s="1228"/>
      <c r="BQ79" s="1228"/>
      <c r="BR79" s="1228"/>
      <c r="BS79" s="1230"/>
      <c r="BT79" s="1228"/>
      <c r="BU79" s="1228"/>
      <c r="BV79" s="1228"/>
      <c r="BW79" s="1228"/>
      <c r="BX79" s="1230"/>
      <c r="BY79" s="1228"/>
      <c r="BZ79" s="1228"/>
      <c r="CA79" s="1228"/>
      <c r="CB79" s="1228"/>
      <c r="CC79" s="1230"/>
      <c r="CD79" s="1228"/>
      <c r="CE79" s="1228"/>
      <c r="CF79" s="1228"/>
      <c r="CG79" s="1228"/>
      <c r="CH79" s="1230"/>
      <c r="CI79" s="1228"/>
      <c r="CJ79" s="1228"/>
      <c r="CK79" s="1228"/>
      <c r="CL79" s="1228"/>
      <c r="CM79" s="1230"/>
      <c r="CN79" s="1228"/>
      <c r="CO79" s="1228"/>
      <c r="CP79" s="1228"/>
      <c r="CQ79" s="1228"/>
      <c r="CR79" s="1230"/>
      <c r="CS79" s="1228"/>
      <c r="CT79" s="1228"/>
      <c r="CU79" s="1228"/>
      <c r="CV79" s="1228"/>
      <c r="CW79" s="1230"/>
      <c r="CX79" s="1228"/>
      <c r="CY79" s="1228"/>
      <c r="CZ79" s="1228"/>
      <c r="DA79" s="1228"/>
      <c r="DB79" s="1230"/>
      <c r="DC79" s="16"/>
      <c r="DD79" s="16"/>
      <c r="DE79" s="16"/>
      <c r="DF79" s="16"/>
      <c r="DG79" s="16"/>
      <c r="DH79" s="16"/>
      <c r="DI79" s="16"/>
      <c r="DJ79" s="16"/>
    </row>
    <row r="80" spans="1:114" s="725" customFormat="1" ht="11.25" customHeight="1">
      <c r="A80" s="16"/>
      <c r="B80" s="86" t="s">
        <v>247</v>
      </c>
      <c r="C80" s="434"/>
      <c r="D80" s="88"/>
      <c r="E80" s="88"/>
      <c r="F80" s="87"/>
      <c r="G80" s="89"/>
      <c r="H80" s="89"/>
      <c r="I80" s="89"/>
      <c r="J80" s="89"/>
      <c r="K80" s="87"/>
      <c r="L80" s="89"/>
      <c r="M80" s="89"/>
      <c r="N80" s="89"/>
      <c r="O80" s="89"/>
      <c r="P80" s="87"/>
      <c r="Q80" s="90"/>
      <c r="R80" s="90"/>
      <c r="S80" s="90"/>
      <c r="T80" s="90"/>
      <c r="U80" s="91"/>
      <c r="V80" s="90"/>
      <c r="W80" s="90"/>
      <c r="X80" s="90"/>
      <c r="Y80" s="90"/>
      <c r="Z80" s="92"/>
      <c r="AA80" s="90"/>
      <c r="AB80" s="90"/>
      <c r="AC80" s="90"/>
      <c r="AD80" s="90"/>
      <c r="AE80" s="92"/>
      <c r="AF80" s="90"/>
      <c r="AG80" s="90"/>
      <c r="AH80" s="90"/>
      <c r="AI80" s="90"/>
      <c r="AJ80" s="91"/>
      <c r="AK80" s="93"/>
      <c r="AL80" s="93"/>
      <c r="AM80" s="93"/>
      <c r="AN80" s="93"/>
      <c r="AO80" s="92"/>
      <c r="AP80" s="93"/>
      <c r="AQ80" s="93"/>
      <c r="AR80" s="93"/>
      <c r="AS80" s="93"/>
      <c r="AT80" s="87"/>
      <c r="AU80" s="89"/>
      <c r="AV80" s="89"/>
      <c r="AW80" s="89"/>
      <c r="AX80" s="89"/>
      <c r="AY80" s="87"/>
      <c r="AZ80" s="89"/>
      <c r="BA80" s="89"/>
      <c r="BB80" s="89"/>
      <c r="BC80" s="89"/>
      <c r="BD80" s="87"/>
      <c r="BE80" s="89"/>
      <c r="BF80" s="89"/>
      <c r="BG80" s="89"/>
      <c r="BH80" s="89"/>
      <c r="BI80" s="87"/>
      <c r="BJ80" s="89"/>
      <c r="BK80" s="89"/>
      <c r="BL80" s="89"/>
      <c r="BM80" s="89"/>
      <c r="BN80" s="87"/>
      <c r="BO80" s="89"/>
      <c r="BP80" s="89"/>
      <c r="BQ80" s="89"/>
      <c r="BR80" s="89"/>
      <c r="BS80" s="87"/>
      <c r="BT80" s="89"/>
      <c r="BU80" s="89"/>
      <c r="BV80" s="89"/>
      <c r="BW80" s="89"/>
      <c r="BX80" s="87"/>
      <c r="BY80" s="89"/>
      <c r="BZ80" s="89"/>
      <c r="CA80" s="89"/>
      <c r="CB80" s="89"/>
      <c r="CC80" s="87"/>
      <c r="CD80" s="89"/>
      <c r="CE80" s="89"/>
      <c r="CF80" s="89"/>
      <c r="CG80" s="89"/>
      <c r="CH80" s="87"/>
      <c r="CI80" s="89"/>
      <c r="CJ80" s="89"/>
      <c r="CK80" s="89"/>
      <c r="CL80" s="89"/>
      <c r="CM80" s="87"/>
      <c r="CN80" s="89"/>
      <c r="CO80" s="89"/>
      <c r="CP80" s="89"/>
      <c r="CQ80" s="89"/>
      <c r="CR80" s="87"/>
      <c r="CS80" s="89"/>
      <c r="CT80" s="89"/>
      <c r="CU80" s="89"/>
      <c r="CV80" s="89"/>
      <c r="CW80" s="87"/>
      <c r="CX80" s="89"/>
      <c r="CY80" s="89"/>
      <c r="CZ80" s="89"/>
      <c r="DA80" s="89"/>
      <c r="DB80" s="87"/>
      <c r="DC80" s="16"/>
      <c r="DD80" s="16"/>
      <c r="DE80" s="16"/>
      <c r="DF80" s="16"/>
      <c r="DG80" s="16"/>
      <c r="DH80" s="16"/>
      <c r="DI80" s="16"/>
      <c r="DJ80" s="16"/>
    </row>
    <row r="81" spans="1:114" s="725" customFormat="1" ht="11.25" customHeight="1">
      <c r="A81" s="16"/>
      <c r="B81" s="16" t="s">
        <v>248</v>
      </c>
      <c r="C81" s="435"/>
      <c r="D81" s="410">
        <v>3288</v>
      </c>
      <c r="E81" s="280">
        <f t="shared" ref="E81:J81" si="99">D85</f>
        <v>3644</v>
      </c>
      <c r="F81" s="281">
        <f t="shared" si="99"/>
        <v>4115</v>
      </c>
      <c r="G81" s="282">
        <f t="shared" si="99"/>
        <v>4688</v>
      </c>
      <c r="H81" s="282">
        <f t="shared" si="99"/>
        <v>4688</v>
      </c>
      <c r="I81" s="282">
        <f t="shared" si="99"/>
        <v>4848</v>
      </c>
      <c r="J81" s="282">
        <f t="shared" si="99"/>
        <v>4935</v>
      </c>
      <c r="K81" s="281">
        <f>F85</f>
        <v>4688</v>
      </c>
      <c r="L81" s="282">
        <f>K85</f>
        <v>5391</v>
      </c>
      <c r="M81" s="282">
        <f>L85</f>
        <v>5917</v>
      </c>
      <c r="N81" s="282">
        <f>M85</f>
        <v>5914</v>
      </c>
      <c r="O81" s="282">
        <f>N85</f>
        <v>6023</v>
      </c>
      <c r="P81" s="281">
        <f>K85</f>
        <v>5391</v>
      </c>
      <c r="Q81" s="282">
        <f>P85</f>
        <v>6310</v>
      </c>
      <c r="R81" s="282">
        <f>Q85</f>
        <v>6972</v>
      </c>
      <c r="S81" s="282">
        <f>R85</f>
        <v>6962</v>
      </c>
      <c r="T81" s="282">
        <f>S85</f>
        <v>7581</v>
      </c>
      <c r="U81" s="281">
        <f>P85</f>
        <v>6310</v>
      </c>
      <c r="V81" s="282">
        <f>U85</f>
        <v>7810</v>
      </c>
      <c r="W81" s="282">
        <f>V85</f>
        <v>7810</v>
      </c>
      <c r="X81" s="282">
        <f>W85</f>
        <v>7810</v>
      </c>
      <c r="Y81" s="282">
        <f>X85</f>
        <v>7971</v>
      </c>
      <c r="Z81" s="281">
        <f>U85</f>
        <v>7810</v>
      </c>
      <c r="AA81" s="282">
        <f>Z85</f>
        <v>7888</v>
      </c>
      <c r="AB81" s="282">
        <f>AA85</f>
        <v>7703</v>
      </c>
      <c r="AC81" s="282">
        <f>AB85</f>
        <v>7575</v>
      </c>
      <c r="AD81" s="282">
        <f>AC85</f>
        <v>7684</v>
      </c>
      <c r="AE81" s="281">
        <f>Z85</f>
        <v>7888</v>
      </c>
      <c r="AF81" s="282">
        <f>AE85</f>
        <v>7974</v>
      </c>
      <c r="AG81" s="282">
        <f>AF85</f>
        <v>8074</v>
      </c>
      <c r="AH81" s="282">
        <f>AG85</f>
        <v>8546</v>
      </c>
      <c r="AI81" s="282">
        <f>AH85</f>
        <v>8929</v>
      </c>
      <c r="AJ81" s="281">
        <f>AE85</f>
        <v>7974</v>
      </c>
      <c r="AK81" s="282">
        <f>AJ85</f>
        <v>9117</v>
      </c>
      <c r="AL81" s="282">
        <f>AK85</f>
        <v>9133</v>
      </c>
      <c r="AM81" s="282">
        <f>AL85</f>
        <v>9550</v>
      </c>
      <c r="AN81" s="282">
        <f>AM85</f>
        <v>18553</v>
      </c>
      <c r="AO81" s="281">
        <f>AJ85</f>
        <v>9117</v>
      </c>
      <c r="AP81" s="282">
        <f>AO85</f>
        <v>16971</v>
      </c>
      <c r="AQ81" s="282">
        <f>AP85</f>
        <v>16966</v>
      </c>
      <c r="AR81" s="282">
        <f>AQ85</f>
        <v>17108</v>
      </c>
      <c r="AS81" s="282">
        <f>AR85</f>
        <v>16958</v>
      </c>
      <c r="AT81" s="281">
        <f>AO85</f>
        <v>16971</v>
      </c>
      <c r="AU81" s="282">
        <f>AT85</f>
        <v>17245</v>
      </c>
      <c r="AV81" s="282">
        <f>AU85</f>
        <v>17276</v>
      </c>
      <c r="AW81" s="282">
        <f>AV85</f>
        <v>18130</v>
      </c>
      <c r="AX81" s="282">
        <f>AW85</f>
        <v>18176</v>
      </c>
      <c r="AY81" s="281">
        <f>AT85</f>
        <v>17245</v>
      </c>
      <c r="AZ81" s="282">
        <f>AY85</f>
        <v>18140</v>
      </c>
      <c r="BA81" s="282">
        <f>AZ85</f>
        <v>18205</v>
      </c>
      <c r="BB81" s="282">
        <f>BA85</f>
        <v>18279</v>
      </c>
      <c r="BC81" s="282">
        <f>BB85</f>
        <v>18421</v>
      </c>
      <c r="BD81" s="281">
        <f>AY85</f>
        <v>18140</v>
      </c>
      <c r="BE81" s="282">
        <f>BD85</f>
        <v>19372</v>
      </c>
      <c r="BF81" s="282">
        <f>BE85</f>
        <v>19242</v>
      </c>
      <c r="BG81" s="282">
        <f>BF85</f>
        <v>19361</v>
      </c>
      <c r="BH81" s="282">
        <f>BG85</f>
        <v>19358</v>
      </c>
      <c r="BI81" s="281">
        <f>BD85</f>
        <v>19372</v>
      </c>
      <c r="BJ81" s="282">
        <f>BI85</f>
        <v>19695</v>
      </c>
      <c r="BK81" s="282">
        <f>BJ85</f>
        <v>20217</v>
      </c>
      <c r="BL81" s="282">
        <f>BK85</f>
        <v>20235</v>
      </c>
      <c r="BM81" s="282">
        <f>BL85</f>
        <v>20357</v>
      </c>
      <c r="BN81" s="281">
        <f>BI85</f>
        <v>19695</v>
      </c>
      <c r="BO81" s="282">
        <f>BN85</f>
        <v>20334</v>
      </c>
      <c r="BP81" s="282">
        <f>BO85</f>
        <v>20341</v>
      </c>
      <c r="BQ81" s="282">
        <f>BP85</f>
        <v>20176</v>
      </c>
      <c r="BR81" s="282">
        <f>BQ85</f>
        <v>20196</v>
      </c>
      <c r="BS81" s="281">
        <f>BN85</f>
        <v>20334</v>
      </c>
      <c r="BT81" s="282">
        <f>BS85</f>
        <v>20180</v>
      </c>
      <c r="BU81" s="282">
        <f>BT85</f>
        <v>29672</v>
      </c>
      <c r="BV81" s="282">
        <f>BU85</f>
        <v>30117</v>
      </c>
      <c r="BW81" s="282">
        <f>BV85</f>
        <v>30062</v>
      </c>
      <c r="BX81" s="281">
        <f>BS85</f>
        <v>20180</v>
      </c>
      <c r="BY81" s="282">
        <f>BX85</f>
        <v>30137</v>
      </c>
      <c r="BZ81" s="282">
        <f>BY85</f>
        <v>30256</v>
      </c>
      <c r="CA81" s="282">
        <f>BZ85</f>
        <v>29964</v>
      </c>
      <c r="CB81" s="282">
        <f>CA85</f>
        <v>30019</v>
      </c>
      <c r="CC81" s="281">
        <f>BX85</f>
        <v>30137</v>
      </c>
      <c r="CD81" s="282">
        <f>CC85</f>
        <v>29853</v>
      </c>
      <c r="CE81" s="282">
        <f>CD85</f>
        <v>29936</v>
      </c>
      <c r="CF81" s="282">
        <f>CE85</f>
        <v>26366</v>
      </c>
      <c r="CG81" s="282">
        <f>CF85</f>
        <v>26246</v>
      </c>
      <c r="CH81" s="281">
        <f>CC85</f>
        <v>29853</v>
      </c>
      <c r="CI81" s="282">
        <f>CH85</f>
        <v>26222</v>
      </c>
      <c r="CJ81" s="282">
        <f>CI85</f>
        <v>26009</v>
      </c>
      <c r="CK81" s="282">
        <f>CJ85</f>
        <v>23829</v>
      </c>
      <c r="CL81" s="282">
        <f>CK85</f>
        <v>22012</v>
      </c>
      <c r="CM81" s="281">
        <f>CH85</f>
        <v>26222</v>
      </c>
      <c r="CN81" s="282">
        <f>CM85</f>
        <v>26222</v>
      </c>
      <c r="CO81" s="282">
        <f>CN85</f>
        <v>26222</v>
      </c>
      <c r="CP81" s="282">
        <f>CO85</f>
        <v>26222</v>
      </c>
      <c r="CQ81" s="282">
        <f>CP85</f>
        <v>26222</v>
      </c>
      <c r="CR81" s="281">
        <f>CM85</f>
        <v>26222</v>
      </c>
      <c r="CS81" s="282">
        <f>CR85</f>
        <v>26222</v>
      </c>
      <c r="CT81" s="282">
        <f>CS85</f>
        <v>26222</v>
      </c>
      <c r="CU81" s="282">
        <f>CT85</f>
        <v>26222</v>
      </c>
      <c r="CV81" s="282">
        <f>CU85</f>
        <v>26222</v>
      </c>
      <c r="CW81" s="281">
        <f>CR85</f>
        <v>26222</v>
      </c>
      <c r="CX81" s="282">
        <f>CW85</f>
        <v>26222</v>
      </c>
      <c r="CY81" s="282">
        <f>CX85</f>
        <v>26222</v>
      </c>
      <c r="CZ81" s="282">
        <f>CY85</f>
        <v>26222</v>
      </c>
      <c r="DA81" s="282">
        <f>CZ85</f>
        <v>26222</v>
      </c>
      <c r="DB81" s="281">
        <f>CW85</f>
        <v>26222</v>
      </c>
      <c r="DC81" s="16"/>
      <c r="DD81" s="16"/>
      <c r="DE81" s="16"/>
      <c r="DF81" s="16"/>
      <c r="DG81" s="16"/>
      <c r="DH81" s="16"/>
      <c r="DI81" s="16"/>
      <c r="DJ81" s="16"/>
    </row>
    <row r="82" spans="1:114" s="725" customFormat="1" ht="11.25" customHeight="1">
      <c r="A82" s="16"/>
      <c r="B82" s="14" t="s">
        <v>243</v>
      </c>
      <c r="C82" s="438"/>
      <c r="D82" s="413"/>
      <c r="E82" s="280"/>
      <c r="F82" s="281"/>
      <c r="G82" s="279">
        <v>0</v>
      </c>
      <c r="H82" s="279">
        <v>0</v>
      </c>
      <c r="I82" s="279">
        <v>0</v>
      </c>
      <c r="J82" s="279">
        <v>0</v>
      </c>
      <c r="K82" s="281">
        <f>SUM(G82:J82)</f>
        <v>0</v>
      </c>
      <c r="L82" s="279">
        <v>0</v>
      </c>
      <c r="M82" s="279">
        <v>0</v>
      </c>
      <c r="N82" s="279">
        <v>0</v>
      </c>
      <c r="O82" s="279">
        <v>0</v>
      </c>
      <c r="P82" s="281">
        <f>SUM(L82:O82)</f>
        <v>0</v>
      </c>
      <c r="Q82" s="279">
        <v>0</v>
      </c>
      <c r="R82" s="279">
        <v>0</v>
      </c>
      <c r="S82" s="279">
        <v>0</v>
      </c>
      <c r="T82" s="279">
        <v>0</v>
      </c>
      <c r="U82" s="281">
        <f>SUM(Q82:T82)</f>
        <v>0</v>
      </c>
      <c r="V82" s="278">
        <v>0</v>
      </c>
      <c r="W82" s="278">
        <v>0</v>
      </c>
      <c r="X82" s="293">
        <f>X85-X84-X83-X81</f>
        <v>21</v>
      </c>
      <c r="Y82" s="278">
        <v>0</v>
      </c>
      <c r="Z82" s="281">
        <f>SUM(V82:Y82)</f>
        <v>21</v>
      </c>
      <c r="AA82" s="293">
        <f>AA85-AA84-AA83-AA81</f>
        <v>-24</v>
      </c>
      <c r="AB82" s="278">
        <v>0</v>
      </c>
      <c r="AC82" s="293">
        <f>AC85-AC84-AC83-AC81</f>
        <v>26</v>
      </c>
      <c r="AD82" s="278">
        <v>0</v>
      </c>
      <c r="AE82" s="281">
        <f>SUM(AA82:AD82)</f>
        <v>2</v>
      </c>
      <c r="AF82" s="278">
        <v>0</v>
      </c>
      <c r="AG82" s="278">
        <v>0</v>
      </c>
      <c r="AH82" s="278">
        <v>0</v>
      </c>
      <c r="AI82" s="293">
        <f>AI85-AI84-AI83-AI81</f>
        <v>64</v>
      </c>
      <c r="AJ82" s="281">
        <f>SUM(AF82:AI82)</f>
        <v>64</v>
      </c>
      <c r="AK82" s="293">
        <f>AK85-AK84-AK83-AK81</f>
        <v>16</v>
      </c>
      <c r="AL82" s="278">
        <v>0</v>
      </c>
      <c r="AM82" s="278">
        <v>0</v>
      </c>
      <c r="AN82" s="278">
        <v>0</v>
      </c>
      <c r="AO82" s="281">
        <f>SUM(AK82:AN82)</f>
        <v>16</v>
      </c>
      <c r="AP82" s="278">
        <v>0</v>
      </c>
      <c r="AQ82" s="293">
        <f>AQ85-AQ84-AQ83-AQ81</f>
        <v>142</v>
      </c>
      <c r="AR82" s="278">
        <v>0</v>
      </c>
      <c r="AS82" s="278">
        <v>0</v>
      </c>
      <c r="AT82" s="281">
        <f>SUM(AP82:AS82)</f>
        <v>142</v>
      </c>
      <c r="AU82" s="278">
        <v>0</v>
      </c>
      <c r="AV82" s="279">
        <v>0</v>
      </c>
      <c r="AW82" s="279">
        <v>0</v>
      </c>
      <c r="AX82" s="279">
        <v>0</v>
      </c>
      <c r="AY82" s="281">
        <f>SUM(AU82:AX82)</f>
        <v>0</v>
      </c>
      <c r="AZ82" s="278">
        <v>0</v>
      </c>
      <c r="BA82" s="279">
        <v>0</v>
      </c>
      <c r="BB82" s="279">
        <v>0</v>
      </c>
      <c r="BC82" s="279">
        <v>0</v>
      </c>
      <c r="BD82" s="281">
        <f>SUM(AZ82:BC82)</f>
        <v>0</v>
      </c>
      <c r="BE82" s="278">
        <v>0</v>
      </c>
      <c r="BF82" s="279">
        <v>0</v>
      </c>
      <c r="BG82" s="279">
        <v>0</v>
      </c>
      <c r="BH82" s="279">
        <v>0</v>
      </c>
      <c r="BI82" s="281">
        <f>SUM(BE82:BH82)</f>
        <v>0</v>
      </c>
      <c r="BJ82" s="278">
        <v>0</v>
      </c>
      <c r="BK82" s="292">
        <v>0</v>
      </c>
      <c r="BL82" s="292">
        <v>0</v>
      </c>
      <c r="BM82" s="292"/>
      <c r="BN82" s="281">
        <f>SUM(BJ82:BM82)</f>
        <v>0</v>
      </c>
      <c r="BO82" s="282">
        <v>0</v>
      </c>
      <c r="BP82" s="282">
        <v>0</v>
      </c>
      <c r="BQ82" s="292"/>
      <c r="BR82" s="292"/>
      <c r="BS82" s="281">
        <f>SUM(BO82:BR82)</f>
        <v>0</v>
      </c>
      <c r="BT82" s="282">
        <v>0</v>
      </c>
      <c r="BU82" s="282">
        <v>0</v>
      </c>
      <c r="BV82" s="282">
        <v>1</v>
      </c>
      <c r="BW82" s="282">
        <v>2</v>
      </c>
      <c r="BX82" s="281">
        <f>SUM(BT82:BW82)</f>
        <v>3</v>
      </c>
      <c r="BY82" s="282">
        <v>0</v>
      </c>
      <c r="BZ82" s="282">
        <v>0</v>
      </c>
      <c r="CA82" s="282">
        <v>1</v>
      </c>
      <c r="CB82" s="282">
        <v>1</v>
      </c>
      <c r="CC82" s="281">
        <f>SUM(BY82:CB82)</f>
        <v>2</v>
      </c>
      <c r="CD82" s="282">
        <v>0</v>
      </c>
      <c r="CE82" s="1224">
        <v>1</v>
      </c>
      <c r="CF82" s="1224">
        <v>2</v>
      </c>
      <c r="CG82" s="1224">
        <v>2</v>
      </c>
      <c r="CH82" s="281">
        <f>SUM(CD82:CG82)</f>
        <v>5</v>
      </c>
      <c r="CI82" s="278">
        <v>0</v>
      </c>
      <c r="CJ82" s="282">
        <f t="shared" ref="CJ82:CJ83" si="100">100*CJ75</f>
        <v>0</v>
      </c>
      <c r="CK82" s="282">
        <f t="shared" ref="CK82:CL82" si="101">100*CK75</f>
        <v>0</v>
      </c>
      <c r="CL82" s="282">
        <f t="shared" si="101"/>
        <v>0</v>
      </c>
      <c r="CM82" s="281">
        <f>SUM(CI82:CL82)</f>
        <v>0</v>
      </c>
      <c r="CN82" s="278">
        <v>0</v>
      </c>
      <c r="CO82" s="282">
        <f t="shared" ref="CO82:CQ83" si="102">100*CO75</f>
        <v>0</v>
      </c>
      <c r="CP82" s="282">
        <f t="shared" si="102"/>
        <v>0</v>
      </c>
      <c r="CQ82" s="282">
        <f t="shared" si="102"/>
        <v>0</v>
      </c>
      <c r="CR82" s="281">
        <f>SUM(CN82:CQ82)</f>
        <v>0</v>
      </c>
      <c r="CS82" s="278">
        <v>0</v>
      </c>
      <c r="CT82" s="282">
        <f t="shared" ref="CT82:CV83" si="103">100*CT75</f>
        <v>0</v>
      </c>
      <c r="CU82" s="282">
        <f t="shared" si="103"/>
        <v>0</v>
      </c>
      <c r="CV82" s="282">
        <f t="shared" si="103"/>
        <v>0</v>
      </c>
      <c r="CW82" s="281">
        <f>SUM(CS82:CV82)</f>
        <v>0</v>
      </c>
      <c r="CX82" s="278">
        <v>0</v>
      </c>
      <c r="CY82" s="282">
        <f t="shared" ref="CY82:DA82" si="104">100*CY75</f>
        <v>0</v>
      </c>
      <c r="CZ82" s="282">
        <f t="shared" si="104"/>
        <v>0</v>
      </c>
      <c r="DA82" s="282">
        <f t="shared" si="104"/>
        <v>0</v>
      </c>
      <c r="DB82" s="281">
        <f>SUM(CX82:DA82)</f>
        <v>0</v>
      </c>
      <c r="DC82" s="16"/>
      <c r="DD82" s="16"/>
      <c r="DE82" s="16"/>
      <c r="DF82" s="16"/>
      <c r="DG82" s="16"/>
      <c r="DH82" s="16"/>
      <c r="DI82" s="16"/>
      <c r="DJ82" s="16"/>
    </row>
    <row r="83" spans="1:114" s="725" customFormat="1" ht="11.25" customHeight="1">
      <c r="A83" s="16"/>
      <c r="B83" s="14" t="s">
        <v>244</v>
      </c>
      <c r="C83" s="438"/>
      <c r="D83" s="413"/>
      <c r="E83" s="280"/>
      <c r="F83" s="281"/>
      <c r="G83" s="279">
        <v>0</v>
      </c>
      <c r="H83" s="279">
        <v>0</v>
      </c>
      <c r="I83" s="279">
        <v>0</v>
      </c>
      <c r="J83" s="279">
        <v>0</v>
      </c>
      <c r="K83" s="281">
        <f>SUM(G83:J83)</f>
        <v>0</v>
      </c>
      <c r="L83" s="279">
        <v>0</v>
      </c>
      <c r="M83" s="279">
        <v>0</v>
      </c>
      <c r="N83" s="278">
        <f>90+197</f>
        <v>287</v>
      </c>
      <c r="O83" s="278">
        <v>140</v>
      </c>
      <c r="P83" s="281">
        <f>SUM(L83:O83)</f>
        <v>427</v>
      </c>
      <c r="Q83" s="278">
        <v>676</v>
      </c>
      <c r="R83" s="279">
        <v>0</v>
      </c>
      <c r="S83" s="300">
        <f>S85-S84-S82-S81</f>
        <v>619</v>
      </c>
      <c r="T83" s="278">
        <v>326</v>
      </c>
      <c r="U83" s="281">
        <f>SUM(Q83:T83)</f>
        <v>1621</v>
      </c>
      <c r="V83" s="278">
        <v>0</v>
      </c>
      <c r="W83" s="278">
        <v>0</v>
      </c>
      <c r="X83" s="278">
        <f>170+143</f>
        <v>313</v>
      </c>
      <c r="Y83" s="278">
        <v>0</v>
      </c>
      <c r="Z83" s="281">
        <f>SUM(V83:Y83)</f>
        <v>313</v>
      </c>
      <c r="AA83" s="278">
        <v>222</v>
      </c>
      <c r="AB83" s="278">
        <v>0</v>
      </c>
      <c r="AC83" s="278">
        <f>104+83</f>
        <v>187</v>
      </c>
      <c r="AD83" s="278">
        <f>251+123</f>
        <v>374</v>
      </c>
      <c r="AE83" s="281">
        <f>SUM(AA83:AD83)</f>
        <v>783</v>
      </c>
      <c r="AF83" s="278">
        <v>118</v>
      </c>
      <c r="AG83" s="278">
        <f>134+60+148+135</f>
        <v>477</v>
      </c>
      <c r="AH83" s="278">
        <f>336+71</f>
        <v>407</v>
      </c>
      <c r="AI83" s="278">
        <f>99+25</f>
        <v>124</v>
      </c>
      <c r="AJ83" s="281">
        <f>SUM(AF83:AI83)</f>
        <v>1126</v>
      </c>
      <c r="AK83" s="278">
        <v>0</v>
      </c>
      <c r="AL83" s="278">
        <f>157+301</f>
        <v>458</v>
      </c>
      <c r="AM83" s="278">
        <v>9550</v>
      </c>
      <c r="AN83" s="278">
        <v>0</v>
      </c>
      <c r="AO83" s="281">
        <f>SUM(AK83:AN83)</f>
        <v>10008</v>
      </c>
      <c r="AP83" s="278">
        <v>0</v>
      </c>
      <c r="AQ83" s="278">
        <v>0</v>
      </c>
      <c r="AR83" s="278">
        <v>0</v>
      </c>
      <c r="AS83" s="278">
        <f>388+123+91</f>
        <v>602</v>
      </c>
      <c r="AT83" s="281">
        <f>SUM(AP83:AS83)</f>
        <v>602</v>
      </c>
      <c r="AU83" s="278">
        <v>74</v>
      </c>
      <c r="AV83" s="293">
        <f>+AV85-AV81-AV82-AV84</f>
        <v>854</v>
      </c>
      <c r="AW83" s="293">
        <f>+AW85-AW81-AW82-AW84</f>
        <v>46</v>
      </c>
      <c r="AX83" s="278">
        <v>0</v>
      </c>
      <c r="AY83" s="281">
        <f>SUM(AU83:AX83)</f>
        <v>974</v>
      </c>
      <c r="AZ83" s="293">
        <f>+AZ85-AZ81-AZ82-AZ84</f>
        <v>65</v>
      </c>
      <c r="BA83" s="293">
        <f>+BA85-BA81-BA82-BA84</f>
        <v>74</v>
      </c>
      <c r="BB83" s="293">
        <f>+BB85-BB81-BB82-BB84</f>
        <v>142</v>
      </c>
      <c r="BC83" s="293">
        <f>+BC85-BC81-BC82-BC84</f>
        <v>951</v>
      </c>
      <c r="BD83" s="281">
        <f>SUM(AZ83:BC83)</f>
        <v>1232</v>
      </c>
      <c r="BE83" s="278">
        <v>0</v>
      </c>
      <c r="BF83" s="293">
        <f>BF85-BF81-BF82-BF84</f>
        <v>288</v>
      </c>
      <c r="BG83" s="278">
        <v>0</v>
      </c>
      <c r="BH83" s="293">
        <f>BH85-BH81-BH82-BH84</f>
        <v>337</v>
      </c>
      <c r="BI83" s="281">
        <f>SUM(BE83:BH83)</f>
        <v>625</v>
      </c>
      <c r="BJ83" s="293">
        <f>BJ85-BJ81-BJ82-BJ84</f>
        <v>522</v>
      </c>
      <c r="BK83" s="293">
        <f>BK85-BK81-BK82-BK84</f>
        <v>18</v>
      </c>
      <c r="BL83" s="293">
        <f>BL85-BL81-BL82-BL84</f>
        <v>122</v>
      </c>
      <c r="BM83" s="293">
        <f>BM85-BM81-BM82-BM84</f>
        <v>-23</v>
      </c>
      <c r="BN83" s="281">
        <f>SUM(BJ83:BM83)</f>
        <v>639</v>
      </c>
      <c r="BO83" s="578">
        <f>BO85-BO81-BO82-BO84</f>
        <v>7</v>
      </c>
      <c r="BP83" s="578">
        <f>BP85-BP81-BP82-BP84</f>
        <v>-165</v>
      </c>
      <c r="BQ83" s="578">
        <f>BQ85-BQ81-BQ82-BQ84</f>
        <v>20</v>
      </c>
      <c r="BR83" s="293">
        <f>BR85-BR81-BR82-BR84</f>
        <v>-16</v>
      </c>
      <c r="BS83" s="281">
        <f>SUM(BO83:BR83)</f>
        <v>-154</v>
      </c>
      <c r="BT83" s="578">
        <f>BT85-BT81-BT82-BT84</f>
        <v>9492</v>
      </c>
      <c r="BU83" s="578">
        <f>BU85-BU81-BU82-BU84</f>
        <v>445</v>
      </c>
      <c r="BV83" s="578">
        <f>BV85-BV81-BV82-BV84</f>
        <v>-57</v>
      </c>
      <c r="BW83" s="578">
        <f>BW85-BW81-BW82-BW84</f>
        <v>71</v>
      </c>
      <c r="BX83" s="281">
        <f>SUM(BT83:BW83)</f>
        <v>9951</v>
      </c>
      <c r="BY83" s="578">
        <f>BY85-BY81-BY82-BY84</f>
        <v>119</v>
      </c>
      <c r="BZ83" s="578">
        <f>BZ85-BZ81-BZ82-BZ84</f>
        <v>-292</v>
      </c>
      <c r="CA83" s="578">
        <f>CA85-CA81-CA82-CA84</f>
        <v>53</v>
      </c>
      <c r="CB83" s="578">
        <f>CB85-CB81-CB82-CB84</f>
        <v>-168</v>
      </c>
      <c r="CC83" s="281">
        <f>SUM(BY83:CB83)</f>
        <v>-288</v>
      </c>
      <c r="CD83" s="578">
        <f>CD85-CD81-CD82-CD84</f>
        <v>83</v>
      </c>
      <c r="CE83" s="578">
        <f>CE85-CE81-CE82-CE84</f>
        <v>-3572</v>
      </c>
      <c r="CF83" s="578">
        <f>CF85-CF81-CF82-CF84</f>
        <v>-124</v>
      </c>
      <c r="CG83" s="578">
        <f>CG85-CG81-CG82-CG84</f>
        <v>-28</v>
      </c>
      <c r="CH83" s="281">
        <f>SUM(CD83:CG83)</f>
        <v>-3641</v>
      </c>
      <c r="CI83" s="278">
        <v>0</v>
      </c>
      <c r="CJ83" s="282">
        <f t="shared" si="100"/>
        <v>0</v>
      </c>
      <c r="CK83" s="282">
        <f t="shared" ref="CK83:CL83" si="105">100*CK76</f>
        <v>0</v>
      </c>
      <c r="CL83" s="282">
        <f t="shared" si="105"/>
        <v>0</v>
      </c>
      <c r="CM83" s="281">
        <f>SUM(CI83:CL83)</f>
        <v>0</v>
      </c>
      <c r="CN83" s="278">
        <v>0</v>
      </c>
      <c r="CO83" s="282">
        <f t="shared" si="102"/>
        <v>0</v>
      </c>
      <c r="CP83" s="282">
        <f t="shared" si="102"/>
        <v>0</v>
      </c>
      <c r="CQ83" s="282">
        <f t="shared" si="102"/>
        <v>0</v>
      </c>
      <c r="CR83" s="281">
        <f>SUM(CN83:CQ83)</f>
        <v>0</v>
      </c>
      <c r="CS83" s="278">
        <v>0</v>
      </c>
      <c r="CT83" s="282">
        <f t="shared" si="103"/>
        <v>0</v>
      </c>
      <c r="CU83" s="282">
        <f t="shared" si="103"/>
        <v>0</v>
      </c>
      <c r="CV83" s="282">
        <f t="shared" si="103"/>
        <v>0</v>
      </c>
      <c r="CW83" s="281">
        <f>SUM(CS83:CV83)</f>
        <v>0</v>
      </c>
      <c r="CX83" s="278">
        <v>0</v>
      </c>
      <c r="CY83" s="282">
        <f t="shared" ref="CY83:DA83" si="106">100*CY76</f>
        <v>0</v>
      </c>
      <c r="CZ83" s="282">
        <f t="shared" si="106"/>
        <v>0</v>
      </c>
      <c r="DA83" s="282">
        <f t="shared" si="106"/>
        <v>0</v>
      </c>
      <c r="DB83" s="281">
        <f>SUM(CX83:DA83)</f>
        <v>0</v>
      </c>
      <c r="DC83" s="16"/>
      <c r="DD83" s="16"/>
      <c r="DE83" s="16"/>
      <c r="DF83" s="16"/>
      <c r="DG83" s="16"/>
      <c r="DH83" s="16"/>
      <c r="DI83" s="16"/>
      <c r="DJ83" s="16"/>
    </row>
    <row r="84" spans="1:114" s="725" customFormat="1" ht="11.25" customHeight="1">
      <c r="A84" s="16"/>
      <c r="B84" s="14" t="s">
        <v>245</v>
      </c>
      <c r="C84" s="285"/>
      <c r="D84" s="414">
        <f>D85-D81</f>
        <v>356</v>
      </c>
      <c r="E84" s="294">
        <f t="shared" ref="E84:J84" si="107">E85-SUM(E81:E83)</f>
        <v>471</v>
      </c>
      <c r="F84" s="295">
        <f t="shared" si="107"/>
        <v>573</v>
      </c>
      <c r="G84" s="286">
        <f t="shared" si="107"/>
        <v>0</v>
      </c>
      <c r="H84" s="286">
        <f t="shared" si="107"/>
        <v>160</v>
      </c>
      <c r="I84" s="286">
        <f t="shared" si="107"/>
        <v>87</v>
      </c>
      <c r="J84" s="286">
        <f t="shared" si="107"/>
        <v>456</v>
      </c>
      <c r="K84" s="284">
        <f>SUM(G84:J84)</f>
        <v>703</v>
      </c>
      <c r="L84" s="286">
        <f>L85-SUM(L81:L83)</f>
        <v>526</v>
      </c>
      <c r="M84" s="286">
        <f>M85-SUM(M81:M83)</f>
        <v>-3</v>
      </c>
      <c r="N84" s="286">
        <f>N85-SUM(N81:N83)</f>
        <v>-178</v>
      </c>
      <c r="O84" s="286">
        <f>O85-SUM(O81:O83)</f>
        <v>147</v>
      </c>
      <c r="P84" s="284">
        <f>SUM(L84:O84)</f>
        <v>492</v>
      </c>
      <c r="Q84" s="286">
        <f>Q85-SUM(Q81:Q83)</f>
        <v>-14</v>
      </c>
      <c r="R84" s="286">
        <f>R85-SUM(R81:R83)</f>
        <v>-10</v>
      </c>
      <c r="S84" s="277">
        <v>0</v>
      </c>
      <c r="T84" s="286">
        <f>T85-SUM(T81:T83)</f>
        <v>-97</v>
      </c>
      <c r="U84" s="284">
        <f>SUM(Q84:T84)</f>
        <v>-121</v>
      </c>
      <c r="V84" s="286">
        <f>V85-SUM(V81:V83)</f>
        <v>0</v>
      </c>
      <c r="W84" s="286">
        <f>W85-SUM(W81:W83)</f>
        <v>0</v>
      </c>
      <c r="X84" s="277">
        <f>-50-48-75</f>
        <v>-173</v>
      </c>
      <c r="Y84" s="286">
        <f>Y85-SUM(Y81:Y83)</f>
        <v>-83</v>
      </c>
      <c r="Z84" s="284">
        <f>SUM(V84:Y84)</f>
        <v>-256</v>
      </c>
      <c r="AA84" s="277">
        <f>-137-74-97-75</f>
        <v>-383</v>
      </c>
      <c r="AB84" s="286">
        <f>AB85-SUM(AB81:AB83)</f>
        <v>-128</v>
      </c>
      <c r="AC84" s="277">
        <v>-104</v>
      </c>
      <c r="AD84" s="286">
        <f>AD85-SUM(AD81:AD83)</f>
        <v>-84</v>
      </c>
      <c r="AE84" s="284">
        <f>SUM(AA84:AD84)</f>
        <v>-699</v>
      </c>
      <c r="AF84" s="286">
        <f>AF85-SUM(AF81:AF83)</f>
        <v>-18</v>
      </c>
      <c r="AG84" s="286">
        <f>AG85-SUM(AG81:AG83)</f>
        <v>-5</v>
      </c>
      <c r="AH84" s="286">
        <f>AH85-SUM(AH81:AH83)</f>
        <v>-24</v>
      </c>
      <c r="AI84" s="277">
        <v>0</v>
      </c>
      <c r="AJ84" s="284">
        <f>SUM(AF84:AI84)</f>
        <v>-47</v>
      </c>
      <c r="AK84" s="277">
        <v>0</v>
      </c>
      <c r="AL84" s="286">
        <f>AL85-SUM(AL81:AL83)</f>
        <v>-41</v>
      </c>
      <c r="AM84" s="286">
        <f>AM85-SUM(AM81:AM83)</f>
        <v>-547</v>
      </c>
      <c r="AN84" s="286">
        <f>AN85-SUM(AN81:AN83)</f>
        <v>-1582</v>
      </c>
      <c r="AO84" s="284">
        <f>SUM(AK84:AN84)</f>
        <v>-2170</v>
      </c>
      <c r="AP84" s="286">
        <f>AP85-SUM(AP81:AP83)</f>
        <v>-5</v>
      </c>
      <c r="AQ84" s="277">
        <v>0</v>
      </c>
      <c r="AR84" s="286">
        <f>AR85-SUM(AR81:AR83)</f>
        <v>-150</v>
      </c>
      <c r="AS84" s="286">
        <f>AS85-SUM(AS81:AS83)</f>
        <v>-315</v>
      </c>
      <c r="AT84" s="284">
        <f>SUM(AP84:AS84)</f>
        <v>-470</v>
      </c>
      <c r="AU84" s="286">
        <f>AU85-SUM(AU81:AU83)</f>
        <v>-43</v>
      </c>
      <c r="AV84" s="277">
        <v>0</v>
      </c>
      <c r="AW84" s="277">
        <v>0</v>
      </c>
      <c r="AX84" s="286">
        <f>AX85-SUM(AX81:AX83)</f>
        <v>-36</v>
      </c>
      <c r="AY84" s="284">
        <f>SUM(AU84:AX84)</f>
        <v>-79</v>
      </c>
      <c r="AZ84" s="277">
        <v>0</v>
      </c>
      <c r="BA84" s="299">
        <v>0</v>
      </c>
      <c r="BB84" s="299">
        <v>0</v>
      </c>
      <c r="BC84" s="299">
        <v>0</v>
      </c>
      <c r="BD84" s="284">
        <f>SUM(AZ84:BC84)</f>
        <v>0</v>
      </c>
      <c r="BE84" s="286">
        <f>+BE85-BE81-BE82-BE83</f>
        <v>-130</v>
      </c>
      <c r="BF84" s="277">
        <f>-80-89</f>
        <v>-169</v>
      </c>
      <c r="BG84" s="298">
        <f>+BG85-BG81+BG82-BG83</f>
        <v>-3</v>
      </c>
      <c r="BH84" s="299">
        <v>0</v>
      </c>
      <c r="BI84" s="284">
        <f>SUM(BE84:BH84)</f>
        <v>-302</v>
      </c>
      <c r="BJ84" s="286">
        <v>0</v>
      </c>
      <c r="BK84" s="296">
        <v>0</v>
      </c>
      <c r="BL84" s="296"/>
      <c r="BM84" s="296"/>
      <c r="BN84" s="284">
        <f>SUM(BJ84:BM84)</f>
        <v>0</v>
      </c>
      <c r="BO84" s="286">
        <v>0</v>
      </c>
      <c r="BP84" s="286">
        <v>0</v>
      </c>
      <c r="BQ84" s="296"/>
      <c r="BR84" s="296"/>
      <c r="BS84" s="284">
        <f>SUM(BO84:BR84)</f>
        <v>0</v>
      </c>
      <c r="BT84" s="286">
        <v>0</v>
      </c>
      <c r="BU84" s="286">
        <v>0</v>
      </c>
      <c r="BV84" s="286">
        <v>1</v>
      </c>
      <c r="BW84" s="286">
        <v>2</v>
      </c>
      <c r="BX84" s="284">
        <f>SUM(BT84:BW84)</f>
        <v>3</v>
      </c>
      <c r="BY84" s="1134">
        <v>0</v>
      </c>
      <c r="BZ84" s="1134">
        <v>0</v>
      </c>
      <c r="CA84" s="1134">
        <v>1</v>
      </c>
      <c r="CB84" s="1134">
        <v>1</v>
      </c>
      <c r="CC84" s="284">
        <f>SUM(BY84:CB84)</f>
        <v>2</v>
      </c>
      <c r="CD84" s="1134">
        <v>0</v>
      </c>
      <c r="CE84" s="1223">
        <v>1</v>
      </c>
      <c r="CF84" s="1223">
        <v>2</v>
      </c>
      <c r="CG84" s="1223">
        <v>2</v>
      </c>
      <c r="CH84" s="284">
        <f>SUM(CD84:CG84)</f>
        <v>5</v>
      </c>
      <c r="CI84" s="286">
        <v>0</v>
      </c>
      <c r="CJ84" s="296"/>
      <c r="CK84" s="296"/>
      <c r="CL84" s="296"/>
      <c r="CM84" s="284">
        <f>SUM(CI84:CL84)</f>
        <v>0</v>
      </c>
      <c r="CN84" s="286">
        <v>0</v>
      </c>
      <c r="CO84" s="296">
        <v>0</v>
      </c>
      <c r="CP84" s="296">
        <v>0</v>
      </c>
      <c r="CQ84" s="296">
        <v>0</v>
      </c>
      <c r="CR84" s="284">
        <f>SUM(CN84:CQ84)</f>
        <v>0</v>
      </c>
      <c r="CS84" s="286">
        <v>0</v>
      </c>
      <c r="CT84" s="296">
        <v>0</v>
      </c>
      <c r="CU84" s="296">
        <v>0</v>
      </c>
      <c r="CV84" s="296">
        <v>0</v>
      </c>
      <c r="CW84" s="284">
        <f>SUM(CS84:CV84)</f>
        <v>0</v>
      </c>
      <c r="CX84" s="286">
        <v>0</v>
      </c>
      <c r="CY84" s="296">
        <v>0</v>
      </c>
      <c r="CZ84" s="296">
        <v>0</v>
      </c>
      <c r="DA84" s="296">
        <v>0</v>
      </c>
      <c r="DB84" s="284">
        <f>SUM(CX84:DA84)</f>
        <v>0</v>
      </c>
      <c r="DC84" s="16"/>
      <c r="DD84" s="16"/>
      <c r="DE84" s="16"/>
      <c r="DF84" s="16"/>
      <c r="DG84" s="16"/>
      <c r="DH84" s="16"/>
      <c r="DI84" s="16"/>
      <c r="DJ84" s="16"/>
    </row>
    <row r="85" spans="1:114" s="725" customFormat="1" ht="11.25" customHeight="1">
      <c r="A85" s="16"/>
      <c r="B85" s="16" t="s">
        <v>249</v>
      </c>
      <c r="C85" s="279"/>
      <c r="D85" s="384">
        <v>3644</v>
      </c>
      <c r="E85" s="384">
        <v>4115</v>
      </c>
      <c r="F85" s="383">
        <v>4688</v>
      </c>
      <c r="G85" s="282">
        <f>G235</f>
        <v>4688</v>
      </c>
      <c r="H85" s="282">
        <f>H235</f>
        <v>4848</v>
      </c>
      <c r="I85" s="282">
        <f>I235</f>
        <v>4935</v>
      </c>
      <c r="J85" s="282">
        <f>J235</f>
        <v>5391</v>
      </c>
      <c r="K85" s="297">
        <f>SUM(K81:K84)</f>
        <v>5391</v>
      </c>
      <c r="L85" s="282">
        <f>L235</f>
        <v>5917</v>
      </c>
      <c r="M85" s="282">
        <f>M235</f>
        <v>5914</v>
      </c>
      <c r="N85" s="282">
        <f>N235</f>
        <v>6023</v>
      </c>
      <c r="O85" s="282">
        <f>O235</f>
        <v>6310</v>
      </c>
      <c r="P85" s="297">
        <f>SUM(P81:P84)</f>
        <v>6310</v>
      </c>
      <c r="Q85" s="282">
        <f>Q235</f>
        <v>6972</v>
      </c>
      <c r="R85" s="282">
        <f>R235</f>
        <v>6962</v>
      </c>
      <c r="S85" s="282">
        <f>S235</f>
        <v>7581</v>
      </c>
      <c r="T85" s="282">
        <f>T235</f>
        <v>7810</v>
      </c>
      <c r="U85" s="297">
        <f>SUM(U81:U84)</f>
        <v>7810</v>
      </c>
      <c r="V85" s="282">
        <f>V235</f>
        <v>7810</v>
      </c>
      <c r="W85" s="282">
        <f>W235</f>
        <v>7810</v>
      </c>
      <c r="X85" s="282">
        <f>X235</f>
        <v>7971</v>
      </c>
      <c r="Y85" s="282">
        <f>Y235</f>
        <v>7888</v>
      </c>
      <c r="Z85" s="297">
        <f>SUM(Z81:Z84)</f>
        <v>7888</v>
      </c>
      <c r="AA85" s="278">
        <f>AA235</f>
        <v>7703</v>
      </c>
      <c r="AB85" s="278">
        <f>AB235</f>
        <v>7575</v>
      </c>
      <c r="AC85" s="278">
        <f>AC235</f>
        <v>7684</v>
      </c>
      <c r="AD85" s="278">
        <f>AD235</f>
        <v>7974</v>
      </c>
      <c r="AE85" s="297">
        <f>SUM(AE81:AE84)</f>
        <v>7974</v>
      </c>
      <c r="AF85" s="278">
        <f>AF235</f>
        <v>8074</v>
      </c>
      <c r="AG85" s="278">
        <f>AG235</f>
        <v>8546</v>
      </c>
      <c r="AH85" s="278">
        <f>AH235</f>
        <v>8929</v>
      </c>
      <c r="AI85" s="278">
        <f>AI235</f>
        <v>9117</v>
      </c>
      <c r="AJ85" s="297">
        <f>SUM(AJ81:AJ84)</f>
        <v>9117</v>
      </c>
      <c r="AK85" s="278">
        <f>AK235</f>
        <v>9133</v>
      </c>
      <c r="AL85" s="278">
        <f>AL235</f>
        <v>9550</v>
      </c>
      <c r="AM85" s="278">
        <f>AM235</f>
        <v>18553</v>
      </c>
      <c r="AN85" s="278">
        <f>AN235</f>
        <v>16971</v>
      </c>
      <c r="AO85" s="297">
        <f>SUM(AO81:AO84)</f>
        <v>16971</v>
      </c>
      <c r="AP85" s="278">
        <f>AP235</f>
        <v>16966</v>
      </c>
      <c r="AQ85" s="278">
        <f>AQ235</f>
        <v>17108</v>
      </c>
      <c r="AR85" s="278">
        <f>AR235</f>
        <v>16958</v>
      </c>
      <c r="AS85" s="278">
        <f>AS235</f>
        <v>17245</v>
      </c>
      <c r="AT85" s="297">
        <f>SUM(AT81:AT84)</f>
        <v>17245</v>
      </c>
      <c r="AU85" s="278">
        <f>AU235</f>
        <v>17276</v>
      </c>
      <c r="AV85" s="278">
        <f>AV235</f>
        <v>18130</v>
      </c>
      <c r="AW85" s="278">
        <f>AW235</f>
        <v>18176</v>
      </c>
      <c r="AX85" s="278">
        <f>AX235</f>
        <v>18140</v>
      </c>
      <c r="AY85" s="297">
        <f>SUM(AY81:AY84)</f>
        <v>18140</v>
      </c>
      <c r="AZ85" s="278">
        <f>AZ235</f>
        <v>18205</v>
      </c>
      <c r="BA85" s="278">
        <f>BA235</f>
        <v>18279</v>
      </c>
      <c r="BB85" s="278">
        <f>BB235</f>
        <v>18421</v>
      </c>
      <c r="BC85" s="278">
        <f>BC235</f>
        <v>19372</v>
      </c>
      <c r="BD85" s="297">
        <f>SUM(BD81:BD84)</f>
        <v>19372</v>
      </c>
      <c r="BE85" s="278">
        <f>BE235</f>
        <v>19242</v>
      </c>
      <c r="BF85" s="278">
        <f>BF235</f>
        <v>19361</v>
      </c>
      <c r="BG85" s="278">
        <f>BG235</f>
        <v>19358</v>
      </c>
      <c r="BH85" s="278">
        <f>BH235</f>
        <v>19695</v>
      </c>
      <c r="BI85" s="297">
        <f>SUM(BI81:BI84)</f>
        <v>19695</v>
      </c>
      <c r="BJ85" s="278">
        <f>BJ235</f>
        <v>20217</v>
      </c>
      <c r="BK85" s="278">
        <f>BK235</f>
        <v>20235</v>
      </c>
      <c r="BL85" s="278">
        <f>BL235</f>
        <v>20357</v>
      </c>
      <c r="BM85" s="278">
        <f>BM235</f>
        <v>20334</v>
      </c>
      <c r="BN85" s="297">
        <f>SUM(BN81:BN84)</f>
        <v>20334</v>
      </c>
      <c r="BO85" s="278">
        <f>BO235</f>
        <v>20341</v>
      </c>
      <c r="BP85" s="278">
        <f>BP235</f>
        <v>20176</v>
      </c>
      <c r="BQ85" s="1055">
        <f>BQ235</f>
        <v>20196</v>
      </c>
      <c r="BR85" s="278">
        <f>BR235</f>
        <v>20180</v>
      </c>
      <c r="BS85" s="297">
        <f>SUM(BS81:BS84)</f>
        <v>20180</v>
      </c>
      <c r="BT85" s="278">
        <f>BT235</f>
        <v>29672</v>
      </c>
      <c r="BU85" s="278">
        <f>BU235</f>
        <v>30117</v>
      </c>
      <c r="BV85" s="278">
        <f>BV235</f>
        <v>30062</v>
      </c>
      <c r="BW85" s="278">
        <f>BW235</f>
        <v>30137</v>
      </c>
      <c r="BX85" s="297">
        <f>SUM(BX81:BX84)</f>
        <v>30137</v>
      </c>
      <c r="BY85" s="1135">
        <f>BY235</f>
        <v>30256</v>
      </c>
      <c r="BZ85" s="1135">
        <f>BZ235</f>
        <v>29964</v>
      </c>
      <c r="CA85" s="1135">
        <f>CA235</f>
        <v>30019</v>
      </c>
      <c r="CB85" s="1135">
        <f>CB235</f>
        <v>29853</v>
      </c>
      <c r="CC85" s="1136">
        <f t="shared" ref="CC85" si="108">SUM(CC81:CC84)</f>
        <v>29853</v>
      </c>
      <c r="CD85" s="1135">
        <f>CD235</f>
        <v>29936</v>
      </c>
      <c r="CE85" s="1135">
        <f>CE235</f>
        <v>26366</v>
      </c>
      <c r="CF85" s="1135">
        <f>CF235</f>
        <v>26246</v>
      </c>
      <c r="CG85" s="1135">
        <f>CG235</f>
        <v>26222</v>
      </c>
      <c r="CH85" s="1136">
        <f t="shared" ref="CH85" si="109">SUM(CH81:CH84)</f>
        <v>26222</v>
      </c>
      <c r="CI85" s="1135">
        <f>CI235</f>
        <v>26009</v>
      </c>
      <c r="CJ85" s="1135">
        <f>CJ235</f>
        <v>23829</v>
      </c>
      <c r="CK85" s="1135">
        <f>CK235</f>
        <v>22012</v>
      </c>
      <c r="CL85" s="1135">
        <f>CL235</f>
        <v>20850</v>
      </c>
      <c r="CM85" s="1136">
        <f t="shared" ref="CM85:CR85" si="110">SUM(CM81:CM84)</f>
        <v>26222</v>
      </c>
      <c r="CN85" s="1135">
        <f t="shared" si="110"/>
        <v>26222</v>
      </c>
      <c r="CO85" s="1135">
        <f t="shared" si="110"/>
        <v>26222</v>
      </c>
      <c r="CP85" s="1135">
        <f t="shared" si="110"/>
        <v>26222</v>
      </c>
      <c r="CQ85" s="282">
        <f t="shared" si="110"/>
        <v>26222</v>
      </c>
      <c r="CR85" s="297">
        <f t="shared" si="110"/>
        <v>26222</v>
      </c>
      <c r="CS85" s="282">
        <f t="shared" ref="CS85:CW85" si="111">SUM(CS81:CS84)</f>
        <v>26222</v>
      </c>
      <c r="CT85" s="282">
        <f t="shared" si="111"/>
        <v>26222</v>
      </c>
      <c r="CU85" s="282">
        <f t="shared" si="111"/>
        <v>26222</v>
      </c>
      <c r="CV85" s="282">
        <f t="shared" si="111"/>
        <v>26222</v>
      </c>
      <c r="CW85" s="297">
        <f t="shared" si="111"/>
        <v>26222</v>
      </c>
      <c r="CX85" s="282">
        <f t="shared" ref="CX85:DB85" si="112">SUM(CX81:CX84)</f>
        <v>26222</v>
      </c>
      <c r="CY85" s="282">
        <f t="shared" si="112"/>
        <v>26222</v>
      </c>
      <c r="CZ85" s="282">
        <f t="shared" si="112"/>
        <v>26222</v>
      </c>
      <c r="DA85" s="282">
        <f t="shared" si="112"/>
        <v>26222</v>
      </c>
      <c r="DB85" s="297">
        <f t="shared" si="112"/>
        <v>26222</v>
      </c>
      <c r="DC85" s="16"/>
      <c r="DD85" s="16"/>
      <c r="DE85" s="16"/>
      <c r="DF85" s="16"/>
      <c r="DG85" s="16"/>
      <c r="DH85" s="16"/>
      <c r="DI85" s="16"/>
      <c r="DJ85" s="16"/>
    </row>
    <row r="86" spans="1:114" s="725" customFormat="1" ht="11.25" customHeight="1">
      <c r="A86" s="16"/>
      <c r="B86" s="77" t="s">
        <v>250</v>
      </c>
      <c r="C86" s="54"/>
      <c r="D86" s="97"/>
      <c r="E86" s="97">
        <f>E85/D85-1</f>
        <v>0.12925356750823269</v>
      </c>
      <c r="F86" s="96">
        <f>F85/E85-1</f>
        <v>0.13924665856622109</v>
      </c>
      <c r="G86" s="54"/>
      <c r="H86" s="54"/>
      <c r="I86" s="54"/>
      <c r="J86" s="54"/>
      <c r="K86" s="96">
        <f t="shared" ref="K86:Z86" si="113">K85/F85-1</f>
        <v>0.14995733788395915</v>
      </c>
      <c r="L86" s="98">
        <f t="shared" si="113"/>
        <v>0.26215870307167233</v>
      </c>
      <c r="M86" s="98">
        <f t="shared" si="113"/>
        <v>0.21988448844884489</v>
      </c>
      <c r="N86" s="98">
        <f t="shared" si="113"/>
        <v>0.22046605876393111</v>
      </c>
      <c r="O86" s="98">
        <f t="shared" si="113"/>
        <v>0.17046930068632915</v>
      </c>
      <c r="P86" s="96">
        <f t="shared" si="113"/>
        <v>0.17046930068632915</v>
      </c>
      <c r="Q86" s="98">
        <f t="shared" si="113"/>
        <v>0.17829981409498052</v>
      </c>
      <c r="R86" s="98">
        <f t="shared" si="113"/>
        <v>0.17720662833953327</v>
      </c>
      <c r="S86" s="98">
        <f t="shared" si="113"/>
        <v>0.25867507886435326</v>
      </c>
      <c r="T86" s="98">
        <f t="shared" si="113"/>
        <v>0.23771790808240878</v>
      </c>
      <c r="U86" s="96">
        <f t="shared" si="113"/>
        <v>0.23771790808240878</v>
      </c>
      <c r="V86" s="98">
        <f t="shared" si="113"/>
        <v>0.12019506597819851</v>
      </c>
      <c r="W86" s="98">
        <f t="shared" si="113"/>
        <v>0.12180407928756098</v>
      </c>
      <c r="X86" s="98">
        <f t="shared" si="113"/>
        <v>5.144440047487131E-2</v>
      </c>
      <c r="Y86" s="98">
        <f t="shared" si="113"/>
        <v>9.9871959026889279E-3</v>
      </c>
      <c r="Z86" s="96">
        <f t="shared" si="113"/>
        <v>9.9871959026889279E-3</v>
      </c>
      <c r="AA86" s="98">
        <f t="shared" ref="AA86:BY86" si="114">AA85/V85-1</f>
        <v>-1.3700384122919296E-2</v>
      </c>
      <c r="AB86" s="98">
        <f t="shared" si="114"/>
        <v>-3.0089628681177927E-2</v>
      </c>
      <c r="AC86" s="98">
        <f t="shared" si="114"/>
        <v>-3.6005520010036429E-2</v>
      </c>
      <c r="AD86" s="98">
        <f t="shared" si="114"/>
        <v>1.0902636916835684E-2</v>
      </c>
      <c r="AE86" s="96">
        <f t="shared" si="114"/>
        <v>1.0902636916835684E-2</v>
      </c>
      <c r="AF86" s="98">
        <f t="shared" si="114"/>
        <v>4.8163053355835483E-2</v>
      </c>
      <c r="AG86" s="98">
        <f t="shared" si="114"/>
        <v>0.12818481848184815</v>
      </c>
      <c r="AH86" s="98">
        <f t="shared" si="114"/>
        <v>0.16202498698594492</v>
      </c>
      <c r="AI86" s="98">
        <f t="shared" si="114"/>
        <v>0.14334085778781036</v>
      </c>
      <c r="AJ86" s="96">
        <f t="shared" si="114"/>
        <v>0.14334085778781036</v>
      </c>
      <c r="AK86" s="98">
        <f t="shared" si="114"/>
        <v>0.13116175377755757</v>
      </c>
      <c r="AL86" s="98">
        <f t="shared" si="114"/>
        <v>0.11748186285981754</v>
      </c>
      <c r="AM86" s="98">
        <f t="shared" si="114"/>
        <v>1.0778362638593348</v>
      </c>
      <c r="AN86" s="98">
        <f t="shared" si="114"/>
        <v>0.86146758802237589</v>
      </c>
      <c r="AO86" s="96">
        <f t="shared" si="114"/>
        <v>0.86146758802237589</v>
      </c>
      <c r="AP86" s="98">
        <f t="shared" si="114"/>
        <v>0.85765903865104565</v>
      </c>
      <c r="AQ86" s="98">
        <f t="shared" si="114"/>
        <v>0.79141361256544496</v>
      </c>
      <c r="AR86" s="98">
        <f t="shared" si="114"/>
        <v>-8.5969924001509157E-2</v>
      </c>
      <c r="AS86" s="98">
        <f t="shared" si="114"/>
        <v>1.6145188851570236E-2</v>
      </c>
      <c r="AT86" s="96">
        <f t="shared" si="114"/>
        <v>1.6145188851570236E-2</v>
      </c>
      <c r="AU86" s="98">
        <f t="shared" si="114"/>
        <v>1.8271837793233603E-2</v>
      </c>
      <c r="AV86" s="98">
        <f t="shared" si="114"/>
        <v>5.9738134206219318E-2</v>
      </c>
      <c r="AW86" s="98">
        <f t="shared" si="114"/>
        <v>7.1824507607029187E-2</v>
      </c>
      <c r="AX86" s="98">
        <f t="shared" si="114"/>
        <v>5.1899101188750407E-2</v>
      </c>
      <c r="AY86" s="96">
        <f t="shared" si="114"/>
        <v>5.1899101188750407E-2</v>
      </c>
      <c r="AZ86" s="98">
        <f t="shared" si="114"/>
        <v>5.3774021764297242E-2</v>
      </c>
      <c r="BA86" s="98">
        <f t="shared" si="114"/>
        <v>8.2184225041368464E-3</v>
      </c>
      <c r="BB86" s="98">
        <f t="shared" si="114"/>
        <v>1.3479313380281743E-2</v>
      </c>
      <c r="BC86" s="98">
        <f t="shared" si="114"/>
        <v>6.7916207276736529E-2</v>
      </c>
      <c r="BD86" s="96">
        <f t="shared" si="114"/>
        <v>6.7916207276736529E-2</v>
      </c>
      <c r="BE86" s="98">
        <f t="shared" si="114"/>
        <v>5.6962372974457498E-2</v>
      </c>
      <c r="BF86" s="98">
        <f t="shared" si="114"/>
        <v>5.919361015372826E-2</v>
      </c>
      <c r="BG86" s="98">
        <f t="shared" si="114"/>
        <v>5.0865859616741727E-2</v>
      </c>
      <c r="BH86" s="98">
        <f t="shared" si="114"/>
        <v>1.6673549452818515E-2</v>
      </c>
      <c r="BI86" s="96">
        <f t="shared" si="114"/>
        <v>1.6673549452818515E-2</v>
      </c>
      <c r="BJ86" s="98">
        <f t="shared" si="114"/>
        <v>5.0670408481446882E-2</v>
      </c>
      <c r="BK86" s="98">
        <f t="shared" si="114"/>
        <v>4.5142296368989143E-2</v>
      </c>
      <c r="BL86" s="98">
        <f t="shared" si="114"/>
        <v>5.1606570926748585E-2</v>
      </c>
      <c r="BM86" s="98">
        <f t="shared" si="114"/>
        <v>3.2444782939832439E-2</v>
      </c>
      <c r="BN86" s="96">
        <f t="shared" si="114"/>
        <v>3.2444782939832439E-2</v>
      </c>
      <c r="BO86" s="98">
        <f t="shared" si="114"/>
        <v>6.1334520453084629E-3</v>
      </c>
      <c r="BP86" s="98">
        <f t="shared" si="114"/>
        <v>-2.9157400543612377E-3</v>
      </c>
      <c r="BQ86" s="98">
        <f t="shared" si="114"/>
        <v>-7.9088274303679151E-3</v>
      </c>
      <c r="BR86" s="98">
        <f t="shared" si="114"/>
        <v>-7.5735221796007224E-3</v>
      </c>
      <c r="BS86" s="96">
        <f t="shared" si="114"/>
        <v>-7.5735221796007224E-3</v>
      </c>
      <c r="BT86" s="98">
        <f t="shared" si="114"/>
        <v>0.45872867607295609</v>
      </c>
      <c r="BU86" s="98">
        <f t="shared" si="114"/>
        <v>0.49271411578112612</v>
      </c>
      <c r="BV86" s="98">
        <f t="shared" si="114"/>
        <v>0.48851257674787085</v>
      </c>
      <c r="BW86" s="98">
        <f t="shared" si="114"/>
        <v>0.49340931615460848</v>
      </c>
      <c r="BX86" s="96">
        <f t="shared" ref="BX86:CI86" si="115">BX85/BS85-1</f>
        <v>0.49340931615460848</v>
      </c>
      <c r="BY86" s="98">
        <f t="shared" si="114"/>
        <v>1.9681854947425137E-2</v>
      </c>
      <c r="BZ86" s="98">
        <f t="shared" si="115"/>
        <v>-5.0801872696483175E-3</v>
      </c>
      <c r="CA86" s="98">
        <f t="shared" si="115"/>
        <v>-1.430377220411172E-3</v>
      </c>
      <c r="CB86" s="98">
        <f t="shared" si="115"/>
        <v>-9.4236320801672768E-3</v>
      </c>
      <c r="CC86" s="96">
        <f t="shared" si="115"/>
        <v>-9.4236320801672768E-3</v>
      </c>
      <c r="CD86" s="98">
        <f t="shared" si="115"/>
        <v>-1.057641459545211E-2</v>
      </c>
      <c r="CE86" s="98">
        <f t="shared" si="115"/>
        <v>-0.12007742624482709</v>
      </c>
      <c r="CF86" s="98">
        <f t="shared" si="115"/>
        <v>-0.12568706485892267</v>
      </c>
      <c r="CG86" s="98">
        <f t="shared" si="115"/>
        <v>-0.12162931698656754</v>
      </c>
      <c r="CH86" s="96">
        <f t="shared" si="115"/>
        <v>-0.12162931698656754</v>
      </c>
      <c r="CI86" s="98">
        <f t="shared" si="115"/>
        <v>-0.13117985034740776</v>
      </c>
      <c r="CJ86" s="98">
        <f t="shared" ref="CJ86:CM86" si="116">CJ85/CE85-1</f>
        <v>-9.6222407646211039E-2</v>
      </c>
      <c r="CK86" s="98">
        <f t="shared" si="116"/>
        <v>-0.16131982016307245</v>
      </c>
      <c r="CL86" s="98">
        <f t="shared" si="116"/>
        <v>-0.20486614293341465</v>
      </c>
      <c r="CM86" s="96">
        <f t="shared" si="116"/>
        <v>0</v>
      </c>
      <c r="CN86" s="98">
        <f t="shared" ref="CN86:CR86" si="117">CN85/CI85-1</f>
        <v>8.1894728747740064E-3</v>
      </c>
      <c r="CO86" s="98">
        <f t="shared" si="117"/>
        <v>0.1004238532880104</v>
      </c>
      <c r="CP86" s="98">
        <f t="shared" si="117"/>
        <v>0.19125931310194444</v>
      </c>
      <c r="CQ86" s="98">
        <f t="shared" si="117"/>
        <v>0.25764988009592327</v>
      </c>
      <c r="CR86" s="96">
        <f t="shared" si="117"/>
        <v>0</v>
      </c>
      <c r="CS86" s="98">
        <f t="shared" ref="CS86" si="118">CS85/CN85-1</f>
        <v>0</v>
      </c>
      <c r="CT86" s="98">
        <f t="shared" ref="CT86" si="119">CT85/CO85-1</f>
        <v>0</v>
      </c>
      <c r="CU86" s="98">
        <f t="shared" ref="CU86" si="120">CU85/CP85-1</f>
        <v>0</v>
      </c>
      <c r="CV86" s="98">
        <f t="shared" ref="CV86" si="121">CV85/CQ85-1</f>
        <v>0</v>
      </c>
      <c r="CW86" s="96">
        <f t="shared" ref="CW86" si="122">CW85/CR85-1</f>
        <v>0</v>
      </c>
      <c r="CX86" s="98">
        <f t="shared" ref="CX86" si="123">CX85/CS85-1</f>
        <v>0</v>
      </c>
      <c r="CY86" s="98">
        <f t="shared" ref="CY86" si="124">CY85/CT85-1</f>
        <v>0</v>
      </c>
      <c r="CZ86" s="98">
        <f t="shared" ref="CZ86" si="125">CZ85/CU85-1</f>
        <v>0</v>
      </c>
      <c r="DA86" s="98">
        <f t="shared" ref="DA86" si="126">DA85/CV85-1</f>
        <v>0</v>
      </c>
      <c r="DB86" s="96">
        <f t="shared" ref="DB86" si="127">DB85/CW85-1</f>
        <v>0</v>
      </c>
      <c r="DC86" s="16"/>
      <c r="DD86" s="16"/>
      <c r="DE86" s="16"/>
      <c r="DF86" s="16"/>
      <c r="DG86" s="16"/>
      <c r="DH86" s="16"/>
      <c r="DI86" s="16"/>
      <c r="DJ86" s="16"/>
    </row>
    <row r="87" spans="1:114" s="725" customFormat="1" ht="11.25" customHeight="1">
      <c r="A87" s="16"/>
      <c r="B87" s="16" t="s">
        <v>251</v>
      </c>
      <c r="C87" s="439"/>
      <c r="D87" s="99">
        <v>2776</v>
      </c>
      <c r="E87" s="99">
        <v>3123</v>
      </c>
      <c r="F87" s="91">
        <v>3587</v>
      </c>
      <c r="G87" s="90">
        <v>3281</v>
      </c>
      <c r="H87" s="90">
        <v>3722</v>
      </c>
      <c r="I87" s="90">
        <v>3788</v>
      </c>
      <c r="J87" s="90">
        <v>4139</v>
      </c>
      <c r="K87" s="91">
        <f>+J87</f>
        <v>4139</v>
      </c>
      <c r="L87" s="90">
        <v>4510</v>
      </c>
      <c r="M87" s="90">
        <v>4502</v>
      </c>
      <c r="N87" s="100">
        <f>AVERAGE(M87,O87)</f>
        <v>4720.5</v>
      </c>
      <c r="O87" s="90">
        <v>4939</v>
      </c>
      <c r="P87" s="91">
        <f>+O87</f>
        <v>4939</v>
      </c>
      <c r="Q87" s="90">
        <f>Q236</f>
        <v>5403</v>
      </c>
      <c r="R87" s="90">
        <f>R236</f>
        <v>5390</v>
      </c>
      <c r="S87" s="90">
        <f>S236</f>
        <v>5887</v>
      </c>
      <c r="T87" s="90">
        <f>T236</f>
        <v>6180</v>
      </c>
      <c r="U87" s="91">
        <f>T87</f>
        <v>6180</v>
      </c>
      <c r="V87" s="90">
        <f>V236</f>
        <v>6187</v>
      </c>
      <c r="W87" s="90">
        <f>W236</f>
        <v>6241</v>
      </c>
      <c r="X87" s="90">
        <f>X236</f>
        <v>6440</v>
      </c>
      <c r="Y87" s="90">
        <f>Y236</f>
        <v>6346</v>
      </c>
      <c r="Z87" s="91">
        <f>Y87</f>
        <v>6346</v>
      </c>
      <c r="AA87" s="90">
        <f>AA236</f>
        <v>6298</v>
      </c>
      <c r="AB87" s="90">
        <f>AB236</f>
        <v>6187</v>
      </c>
      <c r="AC87" s="90">
        <f>AC236</f>
        <v>6239</v>
      </c>
      <c r="AD87" s="90">
        <f>AD236</f>
        <v>6476</v>
      </c>
      <c r="AE87" s="91">
        <f>AD87</f>
        <v>6476</v>
      </c>
      <c r="AF87" s="90">
        <f>AF236</f>
        <v>6528</v>
      </c>
      <c r="AG87" s="90">
        <f>AG236</f>
        <v>6874</v>
      </c>
      <c r="AH87" s="90">
        <f>AH236</f>
        <v>7187</v>
      </c>
      <c r="AI87" s="90">
        <f>AI236</f>
        <v>7341</v>
      </c>
      <c r="AJ87" s="91">
        <f>AI87</f>
        <v>7341</v>
      </c>
      <c r="AK87" s="90">
        <f>AK236</f>
        <v>7343</v>
      </c>
      <c r="AL87" s="90">
        <f>AL236</f>
        <v>7777</v>
      </c>
      <c r="AM87" s="90">
        <f>AM236</f>
        <v>11722</v>
      </c>
      <c r="AN87" s="90">
        <f>AN236</f>
        <v>14604</v>
      </c>
      <c r="AO87" s="91">
        <f>AN87</f>
        <v>14604</v>
      </c>
      <c r="AP87" s="90">
        <f>AP236</f>
        <v>14689</v>
      </c>
      <c r="AQ87" s="90">
        <f>AQ236</f>
        <v>14784</v>
      </c>
      <c r="AR87" s="90">
        <f>AR236</f>
        <v>14729</v>
      </c>
      <c r="AS87" s="90">
        <f>AS236</f>
        <v>15063</v>
      </c>
      <c r="AT87" s="91">
        <f>AS87</f>
        <v>15063</v>
      </c>
      <c r="AU87" s="90">
        <f>AU236</f>
        <v>15126</v>
      </c>
      <c r="AV87" s="90">
        <f>AV236</f>
        <v>16077</v>
      </c>
      <c r="AW87" s="90">
        <f>AW236</f>
        <v>15907</v>
      </c>
      <c r="AX87" s="90">
        <f>AX236</f>
        <v>15897</v>
      </c>
      <c r="AY87" s="91">
        <f>AX87</f>
        <v>15897</v>
      </c>
      <c r="AZ87" s="90">
        <f>AZ236</f>
        <v>15953</v>
      </c>
      <c r="BA87" s="90">
        <f>BA236</f>
        <v>15972</v>
      </c>
      <c r="BB87" s="90">
        <f>BB236</f>
        <v>16071</v>
      </c>
      <c r="BC87" s="90">
        <f>BC236</f>
        <v>16622</v>
      </c>
      <c r="BD87" s="91">
        <f>BC87</f>
        <v>16622</v>
      </c>
      <c r="BE87" s="90">
        <f>BE236</f>
        <v>16610</v>
      </c>
      <c r="BF87" s="90">
        <f>BF236</f>
        <v>16617</v>
      </c>
      <c r="BG87" s="90">
        <f>BG236</f>
        <v>16542</v>
      </c>
      <c r="BH87" s="90">
        <f>BH236</f>
        <v>16832</v>
      </c>
      <c r="BI87" s="91">
        <f>BH87</f>
        <v>16832</v>
      </c>
      <c r="BJ87" s="90">
        <f>BJ236</f>
        <v>17198</v>
      </c>
      <c r="BK87" s="90">
        <f>BK236</f>
        <v>17180</v>
      </c>
      <c r="BL87" s="90">
        <f>BL236</f>
        <v>17274</v>
      </c>
      <c r="BM87" s="90">
        <f>BM236</f>
        <v>17265</v>
      </c>
      <c r="BN87" s="91">
        <f>BM87</f>
        <v>17265</v>
      </c>
      <c r="BO87" s="90">
        <f>BO236</f>
        <v>17169</v>
      </c>
      <c r="BP87" s="90">
        <f>BP236</f>
        <v>17299</v>
      </c>
      <c r="BQ87" s="90">
        <f>BQ236</f>
        <v>17370</v>
      </c>
      <c r="BR87" s="90">
        <f>BR236</f>
        <v>17320</v>
      </c>
      <c r="BS87" s="91">
        <f>BR87</f>
        <v>17320</v>
      </c>
      <c r="BT87" s="90">
        <f>BT236</f>
        <v>25899</v>
      </c>
      <c r="BU87" s="90">
        <f>BU236</f>
        <v>26780</v>
      </c>
      <c r="BV87" s="90">
        <f>BV236</f>
        <v>26871</v>
      </c>
      <c r="BW87" s="90">
        <f>BW236</f>
        <v>27000</v>
      </c>
      <c r="BX87" s="91">
        <f>BW87</f>
        <v>27000</v>
      </c>
      <c r="BY87" s="90">
        <f>BY236</f>
        <v>26498</v>
      </c>
      <c r="BZ87" s="90">
        <f>BZ85*BZ88</f>
        <v>26242.268376520358</v>
      </c>
      <c r="CA87" s="90">
        <f>CA85*CA88</f>
        <v>26290.437004230567</v>
      </c>
      <c r="CB87" s="90">
        <f>CB85*CB88</f>
        <v>26145.055327868853</v>
      </c>
      <c r="CC87" s="91">
        <f>CB87</f>
        <v>26145.055327868853</v>
      </c>
      <c r="CD87" s="90">
        <f>CD236</f>
        <v>26285</v>
      </c>
      <c r="CE87" s="90">
        <f>CE236</f>
        <v>23371</v>
      </c>
      <c r="CF87" s="90">
        <f>CF236</f>
        <v>23231</v>
      </c>
      <c r="CG87" s="90">
        <f>CG236</f>
        <v>23229</v>
      </c>
      <c r="CH87" s="91">
        <f>CG87</f>
        <v>23229</v>
      </c>
      <c r="CI87" s="90">
        <f>CI236</f>
        <v>23336</v>
      </c>
      <c r="CJ87" s="90">
        <f>CJ236</f>
        <v>21459</v>
      </c>
      <c r="CK87" s="90">
        <f>CK236</f>
        <v>19616</v>
      </c>
      <c r="CL87" s="90">
        <f>CL236</f>
        <v>18457</v>
      </c>
      <c r="CM87" s="91">
        <f>CL87</f>
        <v>18457</v>
      </c>
      <c r="CN87" s="90">
        <f>CN85*CN88</f>
        <v>18457</v>
      </c>
      <c r="CO87" s="90">
        <f>CO85*CO88</f>
        <v>18457</v>
      </c>
      <c r="CP87" s="90">
        <f>CP85*CP88</f>
        <v>18457</v>
      </c>
      <c r="CQ87" s="90">
        <f>CQ85*CQ88</f>
        <v>18457</v>
      </c>
      <c r="CR87" s="91">
        <f>CQ87</f>
        <v>18457</v>
      </c>
      <c r="CS87" s="90">
        <f>CS85*CS88</f>
        <v>18457</v>
      </c>
      <c r="CT87" s="90">
        <f>CT85*CT88</f>
        <v>18457</v>
      </c>
      <c r="CU87" s="90">
        <f>CU85*CU88</f>
        <v>18457</v>
      </c>
      <c r="CV87" s="90">
        <f>CV85*CV88</f>
        <v>18457</v>
      </c>
      <c r="CW87" s="91">
        <f>CV87</f>
        <v>18457</v>
      </c>
      <c r="CX87" s="90">
        <f>CX85*CX88</f>
        <v>18457</v>
      </c>
      <c r="CY87" s="90">
        <f>CY85*CY88</f>
        <v>18457</v>
      </c>
      <c r="CZ87" s="90">
        <f>CZ85*CZ88</f>
        <v>18457</v>
      </c>
      <c r="DA87" s="90">
        <f>DA85*DA88</f>
        <v>18457</v>
      </c>
      <c r="DB87" s="91">
        <f>DA87</f>
        <v>18457</v>
      </c>
      <c r="DC87" s="16"/>
      <c r="DD87" s="16"/>
      <c r="DE87" s="16"/>
      <c r="DF87" s="16"/>
      <c r="DG87" s="16"/>
      <c r="DH87" s="16"/>
      <c r="DI87" s="16"/>
      <c r="DJ87" s="16"/>
    </row>
    <row r="88" spans="1:114" s="725" customFormat="1" ht="11.25" customHeight="1">
      <c r="A88" s="16"/>
      <c r="B88" s="77" t="s">
        <v>252</v>
      </c>
      <c r="C88" s="440"/>
      <c r="D88" s="327">
        <f t="shared" ref="D88:Z88" si="128">D87/D85</f>
        <v>0.76180021953896815</v>
      </c>
      <c r="E88" s="327">
        <f t="shared" si="128"/>
        <v>0.75893074119076553</v>
      </c>
      <c r="F88" s="326">
        <f t="shared" si="128"/>
        <v>0.76514505119453924</v>
      </c>
      <c r="G88" s="328">
        <f t="shared" si="128"/>
        <v>0.69987201365187712</v>
      </c>
      <c r="H88" s="328">
        <f t="shared" si="128"/>
        <v>0.76773927392739272</v>
      </c>
      <c r="I88" s="328">
        <f t="shared" si="128"/>
        <v>0.7675785207700101</v>
      </c>
      <c r="J88" s="328">
        <f t="shared" si="128"/>
        <v>0.7677610832869598</v>
      </c>
      <c r="K88" s="326">
        <f t="shared" si="128"/>
        <v>0.7677610832869598</v>
      </c>
      <c r="L88" s="328">
        <f t="shared" si="128"/>
        <v>0.76221057968565153</v>
      </c>
      <c r="M88" s="328">
        <f t="shared" si="128"/>
        <v>0.76124450456543791</v>
      </c>
      <c r="N88" s="328">
        <f t="shared" si="128"/>
        <v>0.78374564170679062</v>
      </c>
      <c r="O88" s="328">
        <f t="shared" si="128"/>
        <v>0.78272583201267831</v>
      </c>
      <c r="P88" s="326">
        <f t="shared" si="128"/>
        <v>0.78272583201267831</v>
      </c>
      <c r="Q88" s="328">
        <f t="shared" si="128"/>
        <v>0.77495697074010328</v>
      </c>
      <c r="R88" s="328">
        <f t="shared" si="128"/>
        <v>0.77420281528296464</v>
      </c>
      <c r="S88" s="328">
        <f t="shared" si="128"/>
        <v>0.77654662973222532</v>
      </c>
      <c r="T88" s="328">
        <f t="shared" si="128"/>
        <v>0.7912932138284251</v>
      </c>
      <c r="U88" s="326">
        <f t="shared" si="128"/>
        <v>0.7912932138284251</v>
      </c>
      <c r="V88" s="328">
        <f t="shared" si="128"/>
        <v>0.79218950064020488</v>
      </c>
      <c r="W88" s="328">
        <f t="shared" si="128"/>
        <v>0.79910371318822027</v>
      </c>
      <c r="X88" s="328">
        <f t="shared" si="128"/>
        <v>0.80792874168862128</v>
      </c>
      <c r="Y88" s="328">
        <f t="shared" si="128"/>
        <v>0.80451318458417853</v>
      </c>
      <c r="Z88" s="326">
        <f t="shared" si="128"/>
        <v>0.80451318458417853</v>
      </c>
      <c r="AA88" s="102">
        <f t="shared" ref="AA88:BP88" si="129">AA87/AA85</f>
        <v>0.81760353109178241</v>
      </c>
      <c r="AB88" s="102">
        <f t="shared" si="129"/>
        <v>0.81676567656765675</v>
      </c>
      <c r="AC88" s="102">
        <f t="shared" si="129"/>
        <v>0.81194690265486724</v>
      </c>
      <c r="AD88" s="102">
        <f t="shared" si="129"/>
        <v>0.81213945322297465</v>
      </c>
      <c r="AE88" s="101">
        <f t="shared" si="129"/>
        <v>0.81213945322297465</v>
      </c>
      <c r="AF88" s="102">
        <f t="shared" si="129"/>
        <v>0.80852117909338617</v>
      </c>
      <c r="AG88" s="102">
        <f t="shared" si="129"/>
        <v>0.80435291364381001</v>
      </c>
      <c r="AH88" s="102">
        <f t="shared" si="129"/>
        <v>0.80490536454250194</v>
      </c>
      <c r="AI88" s="102">
        <f t="shared" si="129"/>
        <v>0.80519907864429086</v>
      </c>
      <c r="AJ88" s="101">
        <f t="shared" si="129"/>
        <v>0.80519907864429086</v>
      </c>
      <c r="AK88" s="102">
        <f t="shared" si="129"/>
        <v>0.80400744552720904</v>
      </c>
      <c r="AL88" s="102">
        <f t="shared" si="129"/>
        <v>0.81434554973821993</v>
      </c>
      <c r="AM88" s="102">
        <f t="shared" si="129"/>
        <v>0.63181156686250206</v>
      </c>
      <c r="AN88" s="102">
        <f t="shared" si="129"/>
        <v>0.86052678097931767</v>
      </c>
      <c r="AO88" s="101">
        <f t="shared" si="129"/>
        <v>0.86052678097931767</v>
      </c>
      <c r="AP88" s="102">
        <f t="shared" si="129"/>
        <v>0.86579040433808796</v>
      </c>
      <c r="AQ88" s="102">
        <f t="shared" si="129"/>
        <v>0.86415711947626839</v>
      </c>
      <c r="AR88" s="102">
        <f t="shared" si="129"/>
        <v>0.8685576129260526</v>
      </c>
      <c r="AS88" s="102">
        <f t="shared" si="129"/>
        <v>0.87347057118005222</v>
      </c>
      <c r="AT88" s="101">
        <f t="shared" si="129"/>
        <v>0.87347057118005222</v>
      </c>
      <c r="AU88" s="102">
        <f t="shared" si="129"/>
        <v>0.87554989580921505</v>
      </c>
      <c r="AV88" s="102">
        <f t="shared" si="129"/>
        <v>0.88676227247655814</v>
      </c>
      <c r="AW88" s="102">
        <f t="shared" si="129"/>
        <v>0.87516505281690138</v>
      </c>
      <c r="AX88" s="102">
        <f t="shared" si="129"/>
        <v>0.87635060639470785</v>
      </c>
      <c r="AY88" s="101">
        <f t="shared" si="129"/>
        <v>0.87635060639470785</v>
      </c>
      <c r="AZ88" s="102">
        <f t="shared" si="129"/>
        <v>0.87629772040648168</v>
      </c>
      <c r="BA88" s="102">
        <f t="shared" si="129"/>
        <v>0.8737895946167733</v>
      </c>
      <c r="BB88" s="102">
        <f t="shared" si="129"/>
        <v>0.87242820693773415</v>
      </c>
      <c r="BC88" s="102">
        <f t="shared" si="129"/>
        <v>0.85804253561841837</v>
      </c>
      <c r="BD88" s="101">
        <f t="shared" si="129"/>
        <v>0.85804253561841837</v>
      </c>
      <c r="BE88" s="102">
        <f t="shared" si="129"/>
        <v>0.8632158819249558</v>
      </c>
      <c r="BF88" s="102">
        <f t="shared" si="129"/>
        <v>0.85827178348225819</v>
      </c>
      <c r="BG88" s="102">
        <f t="shared" si="129"/>
        <v>0.85453042669697288</v>
      </c>
      <c r="BH88" s="102">
        <f t="shared" si="129"/>
        <v>0.85463315562325459</v>
      </c>
      <c r="BI88" s="101">
        <f t="shared" si="129"/>
        <v>0.85463315562325459</v>
      </c>
      <c r="BJ88" s="102">
        <f t="shared" si="129"/>
        <v>0.85067022802591874</v>
      </c>
      <c r="BK88" s="102">
        <f t="shared" si="129"/>
        <v>0.8490239683716333</v>
      </c>
      <c r="BL88" s="102">
        <f t="shared" si="129"/>
        <v>0.84855332318121535</v>
      </c>
      <c r="BM88" s="102">
        <f t="shared" si="129"/>
        <v>0.8490705222779581</v>
      </c>
      <c r="BN88" s="101">
        <f t="shared" si="129"/>
        <v>0.8490705222779581</v>
      </c>
      <c r="BO88" s="102">
        <f t="shared" si="129"/>
        <v>0.84405879750258095</v>
      </c>
      <c r="BP88" s="102">
        <f t="shared" si="129"/>
        <v>0.85740483743061058</v>
      </c>
      <c r="BQ88" s="102">
        <f t="shared" ref="BQ88:BV88" si="130">BQ87/BQ85</f>
        <v>0.86007130124777187</v>
      </c>
      <c r="BR88" s="102">
        <f t="shared" si="130"/>
        <v>0.85827552031714571</v>
      </c>
      <c r="BS88" s="101">
        <f t="shared" si="130"/>
        <v>0.85827552031714571</v>
      </c>
      <c r="BT88" s="102">
        <f t="shared" si="130"/>
        <v>0.87284308438932323</v>
      </c>
      <c r="BU88" s="102">
        <f t="shared" si="130"/>
        <v>0.88919879138028357</v>
      </c>
      <c r="BV88" s="102">
        <f t="shared" si="130"/>
        <v>0.89385270441088416</v>
      </c>
      <c r="BW88" s="102">
        <f>BW87/BW85</f>
        <v>0.89590868367787102</v>
      </c>
      <c r="BX88" s="101">
        <f>BX87/BX85</f>
        <v>0.89590868367787102</v>
      </c>
      <c r="BY88" s="102">
        <f>BY87/BY85</f>
        <v>0.8757932310946589</v>
      </c>
      <c r="BZ88" s="806">
        <f>BY88</f>
        <v>0.8757932310946589</v>
      </c>
      <c r="CA88" s="806">
        <f>BZ88</f>
        <v>0.8757932310946589</v>
      </c>
      <c r="CB88" s="806">
        <f>CA88</f>
        <v>0.8757932310946589</v>
      </c>
      <c r="CC88" s="1137">
        <f t="shared" ref="CC88:CH88" si="131">CC87/CC85</f>
        <v>0.8757932310946589</v>
      </c>
      <c r="CD88" s="1138">
        <f t="shared" si="131"/>
        <v>0.87803981827899524</v>
      </c>
      <c r="CE88" s="1138">
        <f t="shared" si="131"/>
        <v>0.88640673594781161</v>
      </c>
      <c r="CF88" s="1138">
        <f t="shared" si="131"/>
        <v>0.88512535243465673</v>
      </c>
      <c r="CG88" s="1138">
        <f t="shared" si="131"/>
        <v>0.88585920219662884</v>
      </c>
      <c r="CH88" s="1137">
        <f t="shared" si="131"/>
        <v>0.88585920219662884</v>
      </c>
      <c r="CI88" s="1138">
        <f t="shared" ref="CI88:CJ88" si="132">CI87/CI85</f>
        <v>0.89722788265600373</v>
      </c>
      <c r="CJ88" s="1138">
        <f t="shared" si="132"/>
        <v>0.90054135716983508</v>
      </c>
      <c r="CK88" s="1138">
        <f t="shared" ref="CK88:CL88" si="133">CK87/CK85</f>
        <v>0.89115028166454657</v>
      </c>
      <c r="CL88" s="1138">
        <f t="shared" si="133"/>
        <v>0.88522781774580339</v>
      </c>
      <c r="CM88" s="1137">
        <f>CM87/CM85</f>
        <v>0.70387460910685684</v>
      </c>
      <c r="CN88" s="806">
        <f>CM88</f>
        <v>0.70387460910685684</v>
      </c>
      <c r="CO88" s="806">
        <f>CN88</f>
        <v>0.70387460910685684</v>
      </c>
      <c r="CP88" s="806">
        <f>CO88</f>
        <v>0.70387460910685684</v>
      </c>
      <c r="CQ88" s="806">
        <f>CP88</f>
        <v>0.70387460910685684</v>
      </c>
      <c r="CR88" s="1137">
        <f>CR87/CR85</f>
        <v>0.70387460910685684</v>
      </c>
      <c r="CS88" s="806">
        <f>CR88</f>
        <v>0.70387460910685684</v>
      </c>
      <c r="CT88" s="806">
        <f>CS88</f>
        <v>0.70387460910685684</v>
      </c>
      <c r="CU88" s="806">
        <f>CT88</f>
        <v>0.70387460910685684</v>
      </c>
      <c r="CV88" s="806">
        <f>CU88</f>
        <v>0.70387460910685684</v>
      </c>
      <c r="CW88" s="1137">
        <f>CW87/CW85</f>
        <v>0.70387460910685684</v>
      </c>
      <c r="CX88" s="806">
        <f>CW88</f>
        <v>0.70387460910685684</v>
      </c>
      <c r="CY88" s="806">
        <f>CX88</f>
        <v>0.70387460910685684</v>
      </c>
      <c r="CZ88" s="806">
        <f>CY88</f>
        <v>0.70387460910685684</v>
      </c>
      <c r="DA88" s="806">
        <f>CZ88</f>
        <v>0.70387460910685684</v>
      </c>
      <c r="DB88" s="1137">
        <f>DB87/DB85</f>
        <v>0.70387460910685684</v>
      </c>
      <c r="DC88" s="16"/>
      <c r="DD88" s="16"/>
      <c r="DE88" s="16"/>
      <c r="DF88" s="16"/>
      <c r="DG88" s="16"/>
      <c r="DH88" s="16"/>
      <c r="DI88" s="16"/>
      <c r="DJ88" s="16"/>
    </row>
    <row r="89" spans="1:114" s="725" customFormat="1" ht="11.25" customHeight="1">
      <c r="A89" s="16"/>
      <c r="B89" s="103" t="s">
        <v>253</v>
      </c>
      <c r="C89" s="439"/>
      <c r="D89" s="99"/>
      <c r="E89" s="99">
        <f>AVERAGE(D85,E85)</f>
        <v>3879.5</v>
      </c>
      <c r="F89" s="91">
        <f>AVERAGE(E85,F85)</f>
        <v>4401.5</v>
      </c>
      <c r="G89" s="90">
        <f>AVERAGE(G85,F85)</f>
        <v>4688</v>
      </c>
      <c r="H89" s="90">
        <f>AVERAGE(H85,G85)</f>
        <v>4768</v>
      </c>
      <c r="I89" s="90">
        <f>AVERAGE(I85,H85)</f>
        <v>4891.5</v>
      </c>
      <c r="J89" s="90">
        <f>AVERAGE(J85,I85)</f>
        <v>5163</v>
      </c>
      <c r="K89" s="91">
        <f>AVERAGE(F85,G85:J85)</f>
        <v>4910</v>
      </c>
      <c r="L89" s="90">
        <f>AVERAGE(L85,K85)</f>
        <v>5654</v>
      </c>
      <c r="M89" s="90">
        <f>AVERAGE(M85,L85)</f>
        <v>5915.5</v>
      </c>
      <c r="N89" s="90">
        <f>AVERAGE(N85,M85)</f>
        <v>5968.5</v>
      </c>
      <c r="O89" s="90">
        <f>AVERAGE(O85,N85)</f>
        <v>6166.5</v>
      </c>
      <c r="P89" s="91">
        <f>AVERAGE(K85,L85:O85)</f>
        <v>5911</v>
      </c>
      <c r="Q89" s="90">
        <f>AVERAGE(Q85,P85)</f>
        <v>6641</v>
      </c>
      <c r="R89" s="90">
        <f>AVERAGE(R85,Q85)</f>
        <v>6967</v>
      </c>
      <c r="S89" s="90">
        <f>AVERAGE(S85,R85)</f>
        <v>7271.5</v>
      </c>
      <c r="T89" s="90">
        <f>AVERAGE(T85,S85)</f>
        <v>7695.5</v>
      </c>
      <c r="U89" s="91">
        <f>AVERAGE(P85,Q85:T85)</f>
        <v>7127</v>
      </c>
      <c r="V89" s="90">
        <f>AVERAGE(V85,U85)</f>
        <v>7810</v>
      </c>
      <c r="W89" s="90">
        <f>AVERAGE(W85,V85)</f>
        <v>7810</v>
      </c>
      <c r="X89" s="90">
        <f>AVERAGE(X85,W85)</f>
        <v>7890.5</v>
      </c>
      <c r="Y89" s="90">
        <f>AVERAGE(Y85,X85)</f>
        <v>7929.5</v>
      </c>
      <c r="Z89" s="91">
        <f>AVERAGE(U85,V85:Y85)</f>
        <v>7857.8</v>
      </c>
      <c r="AA89" s="90">
        <f>AVERAGE(AA85,Z85)</f>
        <v>7795.5</v>
      </c>
      <c r="AB89" s="90">
        <f>AVERAGE(AB85,AA85)</f>
        <v>7639</v>
      </c>
      <c r="AC89" s="90">
        <f>AVERAGE(AC85,AB85)</f>
        <v>7629.5</v>
      </c>
      <c r="AD89" s="90">
        <f>AVERAGE(AD85,AC85)</f>
        <v>7829</v>
      </c>
      <c r="AE89" s="91">
        <f>AVERAGE(Z85,AA85:AD85)</f>
        <v>7764.8</v>
      </c>
      <c r="AF89" s="90">
        <f>AVERAGE(AF85,AE85)</f>
        <v>8024</v>
      </c>
      <c r="AG89" s="90">
        <f>AVERAGE(AG85,AF85)</f>
        <v>8310</v>
      </c>
      <c r="AH89" s="90">
        <f>AVERAGE(AH85,AG85)</f>
        <v>8737.5</v>
      </c>
      <c r="AI89" s="90">
        <f>AVERAGE(AI85,AH85)</f>
        <v>9023</v>
      </c>
      <c r="AJ89" s="91">
        <f>AVERAGE(AE85,AF85:AI85)</f>
        <v>8528</v>
      </c>
      <c r="AK89" s="90">
        <f>AVERAGE(AK85,AJ85)</f>
        <v>9125</v>
      </c>
      <c r="AL89" s="90">
        <f>AVERAGE(AL85,AK85)</f>
        <v>9341.5</v>
      </c>
      <c r="AM89" s="90">
        <f>AVERAGE(AM85,AL85)</f>
        <v>14051.5</v>
      </c>
      <c r="AN89" s="90">
        <f>AVERAGE(AN85,AM85)</f>
        <v>17762</v>
      </c>
      <c r="AO89" s="91">
        <f>AVERAGE(AJ85,AK85:AN85)</f>
        <v>12664.8</v>
      </c>
      <c r="AP89" s="90">
        <f>AVERAGE(AP85,AO85)</f>
        <v>16968.5</v>
      </c>
      <c r="AQ89" s="90">
        <f>AVERAGE(AQ85,AP85)</f>
        <v>17037</v>
      </c>
      <c r="AR89" s="90">
        <f>AVERAGE(AR85,AQ85)</f>
        <v>17033</v>
      </c>
      <c r="AS89" s="90">
        <f>AVERAGE(AS85,AR85)</f>
        <v>17101.5</v>
      </c>
      <c r="AT89" s="91">
        <f>AVERAGE(AO85,AP85:AS85)</f>
        <v>17049.599999999999</v>
      </c>
      <c r="AU89" s="90">
        <f>AVERAGE(AU85,AT85)</f>
        <v>17260.5</v>
      </c>
      <c r="AV89" s="90">
        <f>AVERAGE(AV85,AU85)</f>
        <v>17703</v>
      </c>
      <c r="AW89" s="90">
        <f>AVERAGE(AW85,AV85)</f>
        <v>18153</v>
      </c>
      <c r="AX89" s="90">
        <f>AVERAGE(AX85,AW85)</f>
        <v>18158</v>
      </c>
      <c r="AY89" s="91">
        <f>AVERAGE(AT85,AU85:AX85)</f>
        <v>17793.400000000001</v>
      </c>
      <c r="AZ89" s="90">
        <f>AVERAGE(AZ85,AY85)</f>
        <v>18172.5</v>
      </c>
      <c r="BA89" s="90">
        <f>AVERAGE(BA85,AZ85)</f>
        <v>18242</v>
      </c>
      <c r="BB89" s="90">
        <f>AVERAGE(BB85,BA85)</f>
        <v>18350</v>
      </c>
      <c r="BC89" s="90">
        <f>AVERAGE(BC85,BB85)</f>
        <v>18896.5</v>
      </c>
      <c r="BD89" s="91">
        <f>AVERAGE(AY85,AZ85:BC85)</f>
        <v>18483.400000000001</v>
      </c>
      <c r="BE89" s="90">
        <f>AVERAGE(BE85,BD85)</f>
        <v>19307</v>
      </c>
      <c r="BF89" s="90">
        <f>AVERAGE(BF85,BE85)</f>
        <v>19301.5</v>
      </c>
      <c r="BG89" s="90">
        <f>AVERAGE(BG85,BF85)</f>
        <v>19359.5</v>
      </c>
      <c r="BH89" s="90">
        <f>AVERAGE(BH85,BG85)</f>
        <v>19526.5</v>
      </c>
      <c r="BI89" s="91">
        <f>AVERAGE(BD85,BE85:BH85)</f>
        <v>19405.599999999999</v>
      </c>
      <c r="BJ89" s="90">
        <f>AVERAGE(BJ85,BI85)</f>
        <v>19956</v>
      </c>
      <c r="BK89" s="90">
        <f>AVERAGE(BK85,BJ85)</f>
        <v>20226</v>
      </c>
      <c r="BL89" s="90">
        <f>AVERAGE(BL85,BK85)</f>
        <v>20296</v>
      </c>
      <c r="BM89" s="90">
        <f>AVERAGE(BM85,BL85)</f>
        <v>20345.5</v>
      </c>
      <c r="BN89" s="91">
        <f>AVERAGE(BI85,BJ85:BM85)</f>
        <v>20167.599999999999</v>
      </c>
      <c r="BO89" s="90">
        <f>AVERAGE(BO85,BN85)</f>
        <v>20337.5</v>
      </c>
      <c r="BP89" s="90">
        <f>AVERAGE(BP85,BO85)</f>
        <v>20258.5</v>
      </c>
      <c r="BQ89" s="90">
        <f>AVERAGE(BQ85,BP85)</f>
        <v>20186</v>
      </c>
      <c r="BR89" s="90">
        <f>AVERAGE(BR85,BQ85)</f>
        <v>20188</v>
      </c>
      <c r="BS89" s="91">
        <f>AVERAGE(BN85,BO85:BR85)</f>
        <v>20245.400000000001</v>
      </c>
      <c r="BT89" s="90">
        <f>AVERAGE(BT85,BS85)</f>
        <v>24926</v>
      </c>
      <c r="BU89" s="90">
        <f>AVERAGE(BU85,BT85)</f>
        <v>29894.5</v>
      </c>
      <c r="BV89" s="90">
        <f>AVERAGE(BV85,BU85)</f>
        <v>30089.5</v>
      </c>
      <c r="BW89" s="90">
        <f>AVERAGE(BW85,BV85)</f>
        <v>30099.5</v>
      </c>
      <c r="BX89" s="91">
        <f>AVERAGE(BS85,BT85:BW85)</f>
        <v>28033.599999999999</v>
      </c>
      <c r="BY89" s="90">
        <f>AVERAGE(BY85,BX85)</f>
        <v>30196.5</v>
      </c>
      <c r="BZ89" s="90">
        <f>AVERAGE(BZ85,BY85)</f>
        <v>30110</v>
      </c>
      <c r="CA89" s="90">
        <f>AVERAGE(CA85,BZ85)</f>
        <v>29991.5</v>
      </c>
      <c r="CB89" s="90">
        <f>AVERAGE(CB85,CA85)</f>
        <v>29936</v>
      </c>
      <c r="CC89" s="91">
        <f>AVERAGE(BX85,BY85:CB85)</f>
        <v>30045.8</v>
      </c>
      <c r="CD89" s="90">
        <f>AVERAGE(CD85,CC85)</f>
        <v>29894.5</v>
      </c>
      <c r="CE89" s="90">
        <f>AVERAGE(CE85,CD85)</f>
        <v>28151</v>
      </c>
      <c r="CF89" s="90">
        <f>AVERAGE(CF85,CE85)</f>
        <v>26306</v>
      </c>
      <c r="CG89" s="90">
        <f>AVERAGE(CG85,CF85)</f>
        <v>26234</v>
      </c>
      <c r="CH89" s="91">
        <f>AVERAGE(CC85,CD85:CG85)</f>
        <v>27724.6</v>
      </c>
      <c r="CI89" s="90">
        <f>AVERAGE(CI85,CH85)</f>
        <v>26115.5</v>
      </c>
      <c r="CJ89" s="90">
        <f>AVERAGE(CJ85,CI85)</f>
        <v>24919</v>
      </c>
      <c r="CK89" s="90">
        <f>AVERAGE(CK85,CJ85)</f>
        <v>22920.5</v>
      </c>
      <c r="CL89" s="90">
        <f>AVERAGE(CL85,CK85)</f>
        <v>21431</v>
      </c>
      <c r="CM89" s="91">
        <f>AVERAGE(CH85,CI85:CL85)</f>
        <v>23784.400000000001</v>
      </c>
      <c r="CN89" s="90">
        <f>AVERAGE(CN85,CM85)</f>
        <v>26222</v>
      </c>
      <c r="CO89" s="90">
        <f>AVERAGE(CO85,CN85)</f>
        <v>26222</v>
      </c>
      <c r="CP89" s="90">
        <f>AVERAGE(CP85,CO85)</f>
        <v>26222</v>
      </c>
      <c r="CQ89" s="90">
        <f>AVERAGE(CQ85,CP85)</f>
        <v>26222</v>
      </c>
      <c r="CR89" s="91">
        <f>AVERAGE(CM85,CN85:CQ85)</f>
        <v>26222</v>
      </c>
      <c r="CS89" s="90">
        <f>AVERAGE(CS85,CR85)</f>
        <v>26222</v>
      </c>
      <c r="CT89" s="90">
        <f>AVERAGE(CT85,CS85)</f>
        <v>26222</v>
      </c>
      <c r="CU89" s="90">
        <f>AVERAGE(CU85,CT85)</f>
        <v>26222</v>
      </c>
      <c r="CV89" s="90">
        <f>AVERAGE(CV85,CU85)</f>
        <v>26222</v>
      </c>
      <c r="CW89" s="91">
        <f>AVERAGE(CR85,CS85:CV85)</f>
        <v>26222</v>
      </c>
      <c r="CX89" s="90">
        <f>AVERAGE(CX85,CW85)</f>
        <v>26222</v>
      </c>
      <c r="CY89" s="90">
        <f>AVERAGE(CY85,CX85)</f>
        <v>26222</v>
      </c>
      <c r="CZ89" s="90">
        <f>AVERAGE(CZ85,CY85)</f>
        <v>26222</v>
      </c>
      <c r="DA89" s="90">
        <f>AVERAGE(DA85,CZ85)</f>
        <v>26222</v>
      </c>
      <c r="DB89" s="91">
        <f>AVERAGE(CW85,CX85:DA85)</f>
        <v>26222</v>
      </c>
      <c r="DC89" s="16"/>
      <c r="DD89" s="16"/>
      <c r="DE89" s="16"/>
      <c r="DF89" s="16"/>
      <c r="DG89" s="16"/>
      <c r="DH89" s="16"/>
      <c r="DI89" s="16"/>
      <c r="DJ89" s="16"/>
    </row>
    <row r="90" spans="1:114" s="725" customFormat="1" ht="11.25" customHeight="1">
      <c r="A90" s="16"/>
      <c r="B90" s="103" t="s">
        <v>254</v>
      </c>
      <c r="C90" s="439"/>
      <c r="D90" s="99"/>
      <c r="E90" s="99">
        <f>AVERAGE(D87,E87)</f>
        <v>2949.5</v>
      </c>
      <c r="F90" s="91">
        <f>AVERAGE(E87,F87)</f>
        <v>3355</v>
      </c>
      <c r="G90" s="90">
        <f>AVERAGE(G87,F87)</f>
        <v>3434</v>
      </c>
      <c r="H90" s="90">
        <f>AVERAGE(H87,G87)</f>
        <v>3501.5</v>
      </c>
      <c r="I90" s="90">
        <f>AVERAGE(I87,H87)</f>
        <v>3755</v>
      </c>
      <c r="J90" s="90">
        <f>+J87</f>
        <v>4139</v>
      </c>
      <c r="K90" s="91">
        <f>AVERAGE(G87:J87)</f>
        <v>3732.5</v>
      </c>
      <c r="L90" s="90">
        <f>+L87</f>
        <v>4510</v>
      </c>
      <c r="M90" s="90">
        <f>AVERAGE(M87,L87)</f>
        <v>4506</v>
      </c>
      <c r="N90" s="90">
        <f>AVERAGE(N87,M87)</f>
        <v>4611.25</v>
      </c>
      <c r="O90" s="90">
        <f>AVERAGE(O87,N87)</f>
        <v>4829.75</v>
      </c>
      <c r="P90" s="91">
        <f>+AVERAGE(L90:O90)</f>
        <v>4614.25</v>
      </c>
      <c r="Q90" s="90">
        <f>AVERAGE(Q87,O87)</f>
        <v>5171</v>
      </c>
      <c r="R90" s="90">
        <f>+AVERAGE(R87,Q87)</f>
        <v>5396.5</v>
      </c>
      <c r="S90" s="90">
        <f>+S87</f>
        <v>5887</v>
      </c>
      <c r="T90" s="90">
        <f>+T87</f>
        <v>6180</v>
      </c>
      <c r="U90" s="91">
        <f>+AVERAGE(Q90:T90)</f>
        <v>5658.625</v>
      </c>
      <c r="V90" s="90">
        <f>AVERAGE(V87,T87)</f>
        <v>6183.5</v>
      </c>
      <c r="W90" s="90">
        <f>AVERAGE(V87:W87)</f>
        <v>6214</v>
      </c>
      <c r="X90" s="90">
        <f>AVERAGE(W87:X87)</f>
        <v>6340.5</v>
      </c>
      <c r="Y90" s="90">
        <f>AVERAGE(X87:Y87)</f>
        <v>6393</v>
      </c>
      <c r="Z90" s="91">
        <f>AVERAGE(V90:Y90,T90)</f>
        <v>6262.2</v>
      </c>
      <c r="AA90" s="90">
        <f>AVERAGE(AA87,Z87)</f>
        <v>6322</v>
      </c>
      <c r="AB90" s="90">
        <f>AVERAGE(AB87,AA87)</f>
        <v>6242.5</v>
      </c>
      <c r="AC90" s="90">
        <f>AVERAGE(AC87,AB87)</f>
        <v>6213</v>
      </c>
      <c r="AD90" s="90">
        <f>AVERAGE(AD87,AC87)</f>
        <v>6357.5</v>
      </c>
      <c r="AE90" s="91">
        <f>AVERAGE(AA87:AD87,Z87)</f>
        <v>6309.2</v>
      </c>
      <c r="AF90" s="90">
        <f>AVERAGE(AF87,AE87)</f>
        <v>6502</v>
      </c>
      <c r="AG90" s="90">
        <f>AVERAGE(AG87,AF87)</f>
        <v>6701</v>
      </c>
      <c r="AH90" s="90">
        <f>AVERAGE(AH87,AG87)</f>
        <v>7030.5</v>
      </c>
      <c r="AI90" s="90">
        <f>AVERAGE(AI87,AH87)</f>
        <v>7264</v>
      </c>
      <c r="AJ90" s="91">
        <f>AVERAGE(AF87:AI87,AE87)</f>
        <v>6881.2</v>
      </c>
      <c r="AK90" s="90">
        <f>AVERAGE(AK87,AJ87)</f>
        <v>7342</v>
      </c>
      <c r="AL90" s="90">
        <f>AVERAGE(AL87,AK87)</f>
        <v>7560</v>
      </c>
      <c r="AM90" s="90">
        <f>AVERAGE(AM87,AL87)</f>
        <v>9749.5</v>
      </c>
      <c r="AN90" s="90">
        <f>AVERAGE(AN87,AM87)</f>
        <v>13163</v>
      </c>
      <c r="AO90" s="91">
        <f>AVERAGE(AK87:AN87,AJ87)</f>
        <v>9757.4</v>
      </c>
      <c r="AP90" s="90">
        <f>AVERAGE(AP87,AO87)</f>
        <v>14646.5</v>
      </c>
      <c r="AQ90" s="90">
        <f>AVERAGE(AQ87,AP87)</f>
        <v>14736.5</v>
      </c>
      <c r="AR90" s="90">
        <f>AVERAGE(AR87,AQ87)</f>
        <v>14756.5</v>
      </c>
      <c r="AS90" s="90">
        <f>AVERAGE(AS87,AR87)</f>
        <v>14896</v>
      </c>
      <c r="AT90" s="91">
        <f>AVERAGE(AP87:AS87,AO87)</f>
        <v>14773.8</v>
      </c>
      <c r="AU90" s="90">
        <f>AVERAGE(AU87,AT87)</f>
        <v>15094.5</v>
      </c>
      <c r="AV90" s="90">
        <f>AVERAGE(AV87,AU87)</f>
        <v>15601.5</v>
      </c>
      <c r="AW90" s="90">
        <f>AVERAGE(AW87,AV87)</f>
        <v>15992</v>
      </c>
      <c r="AX90" s="90">
        <f>AVERAGE(AX87,AW87)</f>
        <v>15902</v>
      </c>
      <c r="AY90" s="91">
        <f>AVERAGE(AU87:AX87,AT87)</f>
        <v>15614</v>
      </c>
      <c r="AZ90" s="90">
        <f>AVERAGE(AZ87,AY87)</f>
        <v>15925</v>
      </c>
      <c r="BA90" s="90">
        <f>AVERAGE(BA87,AZ87)</f>
        <v>15962.5</v>
      </c>
      <c r="BB90" s="90">
        <f>AVERAGE(BB87,BA87)</f>
        <v>16021.5</v>
      </c>
      <c r="BC90" s="90">
        <f>AVERAGE(BC87,BB87)</f>
        <v>16346.5</v>
      </c>
      <c r="BD90" s="91">
        <f>AVERAGE(AZ87:BC87,AY87)</f>
        <v>16103</v>
      </c>
      <c r="BE90" s="90">
        <f>AVERAGE(BE87,BD87)</f>
        <v>16616</v>
      </c>
      <c r="BF90" s="90">
        <f>AVERAGE(BF87,BE87)</f>
        <v>16613.5</v>
      </c>
      <c r="BG90" s="90">
        <f>AVERAGE(BG87,BF87)</f>
        <v>16579.5</v>
      </c>
      <c r="BH90" s="90">
        <f>AVERAGE(BH87,BG87)</f>
        <v>16687</v>
      </c>
      <c r="BI90" s="91">
        <f>AVERAGE(BE87:BH87,BD87)</f>
        <v>16644.599999999999</v>
      </c>
      <c r="BJ90" s="90">
        <f>AVERAGE(BJ87,BI87)</f>
        <v>17015</v>
      </c>
      <c r="BK90" s="90">
        <f>AVERAGE(BK87,BJ87)</f>
        <v>17189</v>
      </c>
      <c r="BL90" s="90">
        <f>AVERAGE(BL87,BK87)</f>
        <v>17227</v>
      </c>
      <c r="BM90" s="90">
        <f>AVERAGE(BM87,BL87)</f>
        <v>17269.5</v>
      </c>
      <c r="BN90" s="91">
        <f>AVERAGE(BJ87:BM87,BI87)</f>
        <v>17149.8</v>
      </c>
      <c r="BO90" s="90">
        <f>AVERAGE(BO87,BN87)</f>
        <v>17217</v>
      </c>
      <c r="BP90" s="90">
        <f>AVERAGE(BP87,BO87)</f>
        <v>17234</v>
      </c>
      <c r="BQ90" s="90">
        <f>AVERAGE(BQ87,BP87)</f>
        <v>17334.5</v>
      </c>
      <c r="BR90" s="90">
        <f>AVERAGE(BR87,BQ87)</f>
        <v>17345</v>
      </c>
      <c r="BS90" s="91">
        <f>AVERAGE(BO87:BR87,BN87)</f>
        <v>17284.599999999999</v>
      </c>
      <c r="BT90" s="90">
        <f>AVERAGE(BT87,BS87)</f>
        <v>21609.5</v>
      </c>
      <c r="BU90" s="90">
        <f>AVERAGE(BU87,BT87)</f>
        <v>26339.5</v>
      </c>
      <c r="BV90" s="90">
        <f>AVERAGE(BV87,BU87)</f>
        <v>26825.5</v>
      </c>
      <c r="BW90" s="90">
        <f>AVERAGE(BW87,BV87)</f>
        <v>26935.5</v>
      </c>
      <c r="BX90" s="91">
        <f>AVERAGE(BT87:BW87,BS87)</f>
        <v>24774</v>
      </c>
      <c r="BY90" s="90">
        <f>AVERAGE(BY87,BX87)</f>
        <v>26749</v>
      </c>
      <c r="BZ90" s="90">
        <f>AVERAGE(BZ87,BY87)</f>
        <v>26370.134188260177</v>
      </c>
      <c r="CA90" s="90">
        <f>AVERAGE(CA87,BZ87)</f>
        <v>26266.352690375461</v>
      </c>
      <c r="CB90" s="90">
        <f>AVERAGE(CB87,CA87)</f>
        <v>26217.74616604971</v>
      </c>
      <c r="CC90" s="91">
        <f>AVERAGE(BY87:CB87,BX87)</f>
        <v>26435.152141723956</v>
      </c>
      <c r="CD90" s="90">
        <f>AVERAGE(CD87,CC87)</f>
        <v>26215.027663934427</v>
      </c>
      <c r="CE90" s="90">
        <f>AVERAGE(CE87,CD87)</f>
        <v>24828</v>
      </c>
      <c r="CF90" s="90">
        <f>AVERAGE(CF87,CE87)</f>
        <v>23301</v>
      </c>
      <c r="CG90" s="90">
        <f>AVERAGE(CG87,CF87)</f>
        <v>23230</v>
      </c>
      <c r="CH90" s="91">
        <f>AVERAGE(CD87:CG87,CC87)</f>
        <v>24452.211065573771</v>
      </c>
      <c r="CI90" s="90">
        <f>AVERAGE(CI87,CH87)</f>
        <v>23282.5</v>
      </c>
      <c r="CJ90" s="90">
        <f>AVERAGE(CJ87,CI87)</f>
        <v>22397.5</v>
      </c>
      <c r="CK90" s="90">
        <f>AVERAGE(CK87,CJ87)</f>
        <v>20537.5</v>
      </c>
      <c r="CL90" s="90">
        <f>AVERAGE(CL87,CK87)</f>
        <v>19036.5</v>
      </c>
      <c r="CM90" s="91">
        <f>AVERAGE(CI87:CL87,CH87)</f>
        <v>21219.4</v>
      </c>
      <c r="CN90" s="90">
        <f>AVERAGE(CN87,CM87)</f>
        <v>18457</v>
      </c>
      <c r="CO90" s="90">
        <f>AVERAGE(CO87,CN87)</f>
        <v>18457</v>
      </c>
      <c r="CP90" s="90">
        <f>AVERAGE(CP87,CO87)</f>
        <v>18457</v>
      </c>
      <c r="CQ90" s="90">
        <f>AVERAGE(CQ87,CP87)</f>
        <v>18457</v>
      </c>
      <c r="CR90" s="91">
        <f>AVERAGE(CN87:CQ87,CM87)</f>
        <v>18457</v>
      </c>
      <c r="CS90" s="90">
        <f>AVERAGE(CS87,CR87)</f>
        <v>18457</v>
      </c>
      <c r="CT90" s="90">
        <f>AVERAGE(CT87,CS87)</f>
        <v>18457</v>
      </c>
      <c r="CU90" s="90">
        <f>AVERAGE(CU87,CT87)</f>
        <v>18457</v>
      </c>
      <c r="CV90" s="90">
        <f>AVERAGE(CV87,CU87)</f>
        <v>18457</v>
      </c>
      <c r="CW90" s="91">
        <f>AVERAGE(CS87:CV87,CR87)</f>
        <v>18457</v>
      </c>
      <c r="CX90" s="90">
        <f>AVERAGE(CX87,CW87)</f>
        <v>18457</v>
      </c>
      <c r="CY90" s="90">
        <f>AVERAGE(CY87,CX87)</f>
        <v>18457</v>
      </c>
      <c r="CZ90" s="90">
        <f>AVERAGE(CZ87,CY87)</f>
        <v>18457</v>
      </c>
      <c r="DA90" s="90">
        <f>AVERAGE(DA87,CZ87)</f>
        <v>18457</v>
      </c>
      <c r="DB90" s="91">
        <f>AVERAGE(CX87:DA87,CW87)</f>
        <v>18457</v>
      </c>
      <c r="DC90" s="16"/>
      <c r="DD90" s="16"/>
      <c r="DE90" s="16"/>
      <c r="DF90" s="16"/>
      <c r="DG90" s="16"/>
      <c r="DH90" s="16"/>
      <c r="DI90" s="16"/>
      <c r="DJ90" s="16"/>
    </row>
    <row r="91" spans="1:114" s="725" customFormat="1" ht="5.25" customHeight="1">
      <c r="A91" s="16"/>
      <c r="B91" s="77"/>
      <c r="C91" s="52"/>
      <c r="D91" s="1053"/>
      <c r="E91" s="1053"/>
      <c r="F91" s="78"/>
      <c r="G91" s="52"/>
      <c r="H91" s="52"/>
      <c r="I91" s="52"/>
      <c r="J91" s="52"/>
      <c r="K91" s="78"/>
      <c r="L91" s="52"/>
      <c r="M91" s="52"/>
      <c r="N91" s="52"/>
      <c r="O91" s="52"/>
      <c r="P91" s="78"/>
      <c r="Q91" s="52"/>
      <c r="R91" s="52"/>
      <c r="S91" s="52"/>
      <c r="T91" s="52"/>
      <c r="U91" s="78"/>
      <c r="V91" s="52"/>
      <c r="W91" s="52"/>
      <c r="X91" s="52"/>
      <c r="Y91" s="52"/>
      <c r="Z91" s="78"/>
      <c r="AA91" s="52"/>
      <c r="AB91" s="52"/>
      <c r="AC91" s="52"/>
      <c r="AD91" s="52"/>
      <c r="AE91" s="78"/>
      <c r="AF91" s="52"/>
      <c r="AG91" s="52"/>
      <c r="AH91" s="52"/>
      <c r="AI91" s="52"/>
      <c r="AJ91" s="78"/>
      <c r="AK91" s="52"/>
      <c r="AL91" s="52"/>
      <c r="AM91" s="52"/>
      <c r="AN91" s="52"/>
      <c r="AO91" s="78"/>
      <c r="AP91" s="52"/>
      <c r="AQ91" s="52"/>
      <c r="AR91" s="52"/>
      <c r="AS91" s="16"/>
      <c r="AT91" s="78"/>
      <c r="AU91" s="16"/>
      <c r="AV91" s="16"/>
      <c r="AW91" s="16"/>
      <c r="AX91" s="16"/>
      <c r="AY91" s="78"/>
      <c r="AZ91" s="16"/>
      <c r="BA91" s="16"/>
      <c r="BB91" s="16"/>
      <c r="BC91" s="16"/>
      <c r="BD91" s="78"/>
      <c r="BE91" s="16"/>
      <c r="BF91" s="16"/>
      <c r="BG91" s="16"/>
      <c r="BH91" s="16"/>
      <c r="BI91" s="78"/>
      <c r="BJ91" s="16"/>
      <c r="BK91" s="16"/>
      <c r="BL91" s="16"/>
      <c r="BM91" s="16"/>
      <c r="BN91" s="78"/>
      <c r="BO91" s="16"/>
      <c r="BP91" s="16"/>
      <c r="BQ91" s="16"/>
      <c r="BR91" s="16"/>
      <c r="BS91" s="78"/>
      <c r="BT91" s="16"/>
      <c r="BU91" s="16"/>
      <c r="BV91" s="16"/>
      <c r="BW91" s="16"/>
      <c r="BX91" s="78"/>
      <c r="BY91" s="16"/>
      <c r="BZ91" s="16"/>
      <c r="CA91" s="16"/>
      <c r="CB91" s="16"/>
      <c r="CC91" s="78"/>
      <c r="CD91" s="16"/>
      <c r="CE91" s="16"/>
      <c r="CF91" s="16"/>
      <c r="CG91" s="16"/>
      <c r="CH91" s="78"/>
      <c r="CI91" s="16"/>
      <c r="CJ91" s="16"/>
      <c r="CK91" s="16"/>
      <c r="CL91" s="16"/>
      <c r="CM91" s="78"/>
      <c r="CN91" s="16"/>
      <c r="CO91" s="16"/>
      <c r="CP91" s="16"/>
      <c r="CQ91" s="16"/>
      <c r="CR91" s="78"/>
      <c r="CS91" s="16"/>
      <c r="CT91" s="16"/>
      <c r="CU91" s="16"/>
      <c r="CV91" s="16"/>
      <c r="CW91" s="78"/>
      <c r="CX91" s="16"/>
      <c r="CY91" s="16"/>
      <c r="CZ91" s="16"/>
      <c r="DA91" s="16"/>
      <c r="DB91" s="78"/>
      <c r="DC91" s="16"/>
      <c r="DD91" s="16"/>
      <c r="DE91" s="16"/>
      <c r="DF91" s="16"/>
      <c r="DG91" s="16"/>
      <c r="DH91" s="16"/>
      <c r="DI91" s="16"/>
      <c r="DJ91" s="16"/>
    </row>
    <row r="92" spans="1:114" s="725" customFormat="1" ht="11.25" customHeight="1">
      <c r="A92" s="16"/>
      <c r="B92" s="86" t="s">
        <v>261</v>
      </c>
      <c r="C92" s="1056"/>
      <c r="D92" s="1057"/>
      <c r="E92" s="1057"/>
      <c r="F92" s="1058"/>
      <c r="G92" s="1059"/>
      <c r="H92" s="1059"/>
      <c r="I92" s="1059"/>
      <c r="J92" s="1059"/>
      <c r="K92" s="1058"/>
      <c r="L92" s="1059"/>
      <c r="M92" s="1059"/>
      <c r="N92" s="1059"/>
      <c r="O92" s="1059"/>
      <c r="P92" s="1058"/>
      <c r="Q92" s="1059"/>
      <c r="R92" s="1059"/>
      <c r="S92" s="1059"/>
      <c r="T92" s="1059"/>
      <c r="U92" s="1058"/>
      <c r="V92" s="980"/>
      <c r="W92" s="980"/>
      <c r="X92" s="980"/>
      <c r="Y92" s="980"/>
      <c r="Z92" s="979"/>
      <c r="AA92" s="980"/>
      <c r="AB92" s="980"/>
      <c r="AC92" s="980"/>
      <c r="AD92" s="980"/>
      <c r="AE92" s="979"/>
      <c r="AF92" s="980"/>
      <c r="AG92" s="980"/>
      <c r="AH92" s="980"/>
      <c r="AI92" s="980"/>
      <c r="AJ92" s="979"/>
      <c r="AK92" s="980"/>
      <c r="AL92" s="980"/>
      <c r="AM92" s="980"/>
      <c r="AN92" s="980"/>
      <c r="AO92" s="979"/>
      <c r="AP92" s="980"/>
      <c r="AQ92" s="980"/>
      <c r="AR92" s="980"/>
      <c r="AS92" s="980"/>
      <c r="AT92" s="979"/>
      <c r="AU92" s="980"/>
      <c r="AV92" s="980"/>
      <c r="AW92" s="980"/>
      <c r="AX92" s="980"/>
      <c r="AY92" s="979"/>
      <c r="AZ92" s="1060"/>
      <c r="BA92" s="980"/>
      <c r="BB92" s="980"/>
      <c r="BC92" s="1060"/>
      <c r="BD92" s="979"/>
      <c r="BE92" s="980"/>
      <c r="BF92" s="980"/>
      <c r="BG92" s="980"/>
      <c r="BH92" s="980"/>
      <c r="BI92" s="979"/>
      <c r="BJ92" s="980"/>
      <c r="BK92" s="980"/>
      <c r="BL92" s="980"/>
      <c r="BM92" s="980"/>
      <c r="BN92" s="979"/>
      <c r="BO92" s="980"/>
      <c r="BP92" s="980"/>
      <c r="BQ92" s="980"/>
      <c r="BR92" s="980"/>
      <c r="BS92" s="979"/>
      <c r="BT92" s="980"/>
      <c r="BU92" s="980"/>
      <c r="BV92" s="980"/>
      <c r="BW92" s="980"/>
      <c r="BX92" s="979"/>
      <c r="BY92" s="980"/>
      <c r="BZ92" s="980"/>
      <c r="CA92" s="980"/>
      <c r="CB92" s="980"/>
      <c r="CC92" s="979"/>
      <c r="CD92" s="980"/>
      <c r="CE92" s="980"/>
      <c r="CF92" s="980"/>
      <c r="CG92" s="980"/>
      <c r="CH92" s="979"/>
      <c r="CI92" s="980"/>
      <c r="CJ92" s="980"/>
      <c r="CK92" s="980"/>
      <c r="CL92" s="980"/>
      <c r="CM92" s="979"/>
      <c r="CN92" s="980"/>
      <c r="CO92" s="980"/>
      <c r="CP92" s="980"/>
      <c r="CQ92" s="980"/>
      <c r="CR92" s="979"/>
      <c r="CS92" s="980"/>
      <c r="CT92" s="980"/>
      <c r="CU92" s="980"/>
      <c r="CV92" s="980"/>
      <c r="CW92" s="979"/>
      <c r="CX92" s="980"/>
      <c r="CY92" s="980"/>
      <c r="CZ92" s="980"/>
      <c r="DA92" s="980"/>
      <c r="DB92" s="979"/>
      <c r="DC92" s="16"/>
      <c r="DD92" s="16"/>
      <c r="DE92" s="16"/>
      <c r="DF92" s="16"/>
      <c r="DG92" s="16"/>
      <c r="DH92" s="16"/>
      <c r="DI92" s="16"/>
      <c r="DJ92" s="16"/>
    </row>
    <row r="93" spans="1:114" s="725" customFormat="1" ht="11.25" customHeight="1">
      <c r="A93" s="16"/>
      <c r="B93" s="16" t="s">
        <v>264</v>
      </c>
      <c r="C93" s="439"/>
      <c r="D93" s="99">
        <v>100114</v>
      </c>
      <c r="E93" s="99">
        <v>120414</v>
      </c>
      <c r="F93" s="91">
        <v>143310</v>
      </c>
      <c r="G93" s="90">
        <f>G237</f>
        <v>42882</v>
      </c>
      <c r="H93" s="90">
        <f>H237</f>
        <v>39677</v>
      </c>
      <c r="I93" s="90">
        <f>I237</f>
        <v>40772</v>
      </c>
      <c r="J93" s="90">
        <f>J237</f>
        <v>46243</v>
      </c>
      <c r="K93" s="91">
        <f>SUM(G93:J93)</f>
        <v>169574</v>
      </c>
      <c r="L93" s="90">
        <f>L237</f>
        <v>53515</v>
      </c>
      <c r="M93" s="90">
        <f>M237</f>
        <v>50771</v>
      </c>
      <c r="N93" s="90">
        <f>N237</f>
        <v>52032</v>
      </c>
      <c r="O93" s="90">
        <f>O237</f>
        <v>53649</v>
      </c>
      <c r="P93" s="91">
        <f>SUM(L93:O93)</f>
        <v>209967</v>
      </c>
      <c r="Q93" s="90">
        <f>Q237</f>
        <v>61648</v>
      </c>
      <c r="R93" s="90">
        <f>R237</f>
        <v>57979</v>
      </c>
      <c r="S93" s="90">
        <f>S237</f>
        <v>64264</v>
      </c>
      <c r="T93" s="90">
        <f>T237</f>
        <v>70976</v>
      </c>
      <c r="U93" s="91">
        <f>SUM(Q93:T93)</f>
        <v>254867</v>
      </c>
      <c r="V93" s="90">
        <f>V237</f>
        <v>72633</v>
      </c>
      <c r="W93" s="90">
        <f>W237</f>
        <v>69145</v>
      </c>
      <c r="X93" s="90">
        <f>X237</f>
        <v>69208</v>
      </c>
      <c r="Y93" s="90">
        <f>Y237</f>
        <v>70706</v>
      </c>
      <c r="Z93" s="91">
        <f>SUM(V93:Y93)</f>
        <v>281692</v>
      </c>
      <c r="AA93" s="90">
        <f>AA237</f>
        <v>75885</v>
      </c>
      <c r="AB93" s="90">
        <f>AB237</f>
        <v>70844</v>
      </c>
      <c r="AC93" s="90">
        <f>AC237</f>
        <v>71337</v>
      </c>
      <c r="AD93" s="90">
        <f>AD237</f>
        <v>73962</v>
      </c>
      <c r="AE93" s="91">
        <f>SUM(AA93:AD93)</f>
        <v>292028</v>
      </c>
      <c r="AF93" s="90">
        <f>AF237</f>
        <v>78966</v>
      </c>
      <c r="AG93" s="90">
        <f>AG237</f>
        <v>78248</v>
      </c>
      <c r="AH93" s="90">
        <f>AH237</f>
        <v>83423</v>
      </c>
      <c r="AI93" s="90">
        <f>AI237</f>
        <v>85598</v>
      </c>
      <c r="AJ93" s="91">
        <f>SUM(AF93:AI93)</f>
        <v>326235</v>
      </c>
      <c r="AK93" s="90">
        <f>AK237</f>
        <v>89024</v>
      </c>
      <c r="AL93" s="90">
        <f>AL237</f>
        <v>86739</v>
      </c>
      <c r="AM93" s="90">
        <f>AM237</f>
        <v>141847</v>
      </c>
      <c r="AN93" s="90">
        <f>AN237</f>
        <v>163107</v>
      </c>
      <c r="AO93" s="91">
        <f>SUM(AK93:AN93)</f>
        <v>480717</v>
      </c>
      <c r="AP93" s="90">
        <f>AP237</f>
        <v>177280</v>
      </c>
      <c r="AQ93" s="90">
        <f>AQ237</f>
        <v>165155</v>
      </c>
      <c r="AR93" s="90">
        <f>AR237</f>
        <v>164437</v>
      </c>
      <c r="AS93" s="90">
        <f>AS237</f>
        <v>163664</v>
      </c>
      <c r="AT93" s="91">
        <f>SUM(AP93:AS93)</f>
        <v>670536</v>
      </c>
      <c r="AU93" s="90">
        <f>AU237</f>
        <v>170886</v>
      </c>
      <c r="AV93" s="90">
        <f>AV237</f>
        <v>173494</v>
      </c>
      <c r="AW93" s="90">
        <f>AW237</f>
        <v>175107</v>
      </c>
      <c r="AX93" s="90">
        <f>AX237</f>
        <v>171648</v>
      </c>
      <c r="AY93" s="91">
        <f>SUM(AU93:AX93)</f>
        <v>691135</v>
      </c>
      <c r="AZ93" s="90">
        <f>AZ237</f>
        <v>177413</v>
      </c>
      <c r="BA93" s="90">
        <f>BA237</f>
        <v>171082</v>
      </c>
      <c r="BB93" s="90">
        <f>BB237</f>
        <v>169775</v>
      </c>
      <c r="BC93" s="90">
        <f>BC237</f>
        <v>175112</v>
      </c>
      <c r="BD93" s="91">
        <f>SUM(AZ93:BC93)</f>
        <v>693382</v>
      </c>
      <c r="BE93" s="90">
        <f>BE237</f>
        <v>179079</v>
      </c>
      <c r="BF93" s="90">
        <f>BF237</f>
        <v>168336</v>
      </c>
      <c r="BG93" s="90">
        <f>BG237</f>
        <v>164842</v>
      </c>
      <c r="BH93" s="90">
        <f>BH237</f>
        <v>165542</v>
      </c>
      <c r="BI93" s="91">
        <f>SUM(BE93:BH93)</f>
        <v>677799</v>
      </c>
      <c r="BJ93" s="90">
        <f>BJ237</f>
        <v>181888</v>
      </c>
      <c r="BK93" s="90">
        <f>BK237</f>
        <v>173449</v>
      </c>
      <c r="BL93" s="90">
        <f>BL237</f>
        <v>173108</v>
      </c>
      <c r="BM93" s="90">
        <f>BM237</f>
        <v>173392</v>
      </c>
      <c r="BN93" s="91">
        <f>SUM(BJ93:BM93)</f>
        <v>701837</v>
      </c>
      <c r="BO93" s="90">
        <f>BO237</f>
        <v>173956</v>
      </c>
      <c r="BP93" s="90">
        <f>BP237</f>
        <v>164588</v>
      </c>
      <c r="BQ93" s="90">
        <f>BQ237</f>
        <v>161256</v>
      </c>
      <c r="BR93" s="90">
        <f>BR237</f>
        <v>155145</v>
      </c>
      <c r="BS93" s="91">
        <f>SUM(BO93:BR93)</f>
        <v>654945</v>
      </c>
      <c r="BT93" s="90">
        <f>BT237</f>
        <v>213720</v>
      </c>
      <c r="BU93" s="90">
        <f>BU237</f>
        <v>238906</v>
      </c>
      <c r="BV93" s="90">
        <f>BV237</f>
        <v>236258</v>
      </c>
      <c r="BW93" s="90">
        <f>BW237</f>
        <v>238740</v>
      </c>
      <c r="BX93" s="91">
        <f>SUM(BT93:BW93)</f>
        <v>927624</v>
      </c>
      <c r="BY93" s="90">
        <f>BY237</f>
        <v>246015</v>
      </c>
      <c r="BZ93" s="90">
        <f>BZ237</f>
        <v>233517</v>
      </c>
      <c r="CA93" s="90">
        <f>CA237</f>
        <v>230510</v>
      </c>
      <c r="CB93" s="90">
        <f>CB237</f>
        <v>230250</v>
      </c>
      <c r="CC93" s="91">
        <f>SUM(BY93:CB93)</f>
        <v>940292</v>
      </c>
      <c r="CD93" s="90">
        <f>CD237</f>
        <v>239700</v>
      </c>
      <c r="CE93" s="90">
        <f>CE237</f>
        <v>212259</v>
      </c>
      <c r="CF93" s="90">
        <f>CF237</f>
        <v>201957</v>
      </c>
      <c r="CG93" s="90">
        <f>CG237</f>
        <v>203496</v>
      </c>
      <c r="CH93" s="91">
        <f>SUM(CD93:CG93)</f>
        <v>857412</v>
      </c>
      <c r="CI93" s="90">
        <f>CI237</f>
        <v>212242</v>
      </c>
      <c r="CJ93" s="90">
        <f>CJ237</f>
        <v>189435</v>
      </c>
      <c r="CK93" s="90">
        <f>CK237</f>
        <v>171994</v>
      </c>
      <c r="CL93" s="90">
        <f>CL237</f>
        <v>164365</v>
      </c>
      <c r="CM93" s="91">
        <f>SUM(CI93:CL93)</f>
        <v>738036</v>
      </c>
      <c r="CN93" s="90">
        <f ca="1">CN181+CN70</f>
        <v>155674.65975099281</v>
      </c>
      <c r="CO93" s="90">
        <f ca="1">CO181+CO70</f>
        <v>147447.39249593922</v>
      </c>
      <c r="CP93" s="90">
        <f ca="1">CP181+CP70</f>
        <v>138369.54399947109</v>
      </c>
      <c r="CQ93" s="90">
        <f ca="1">CQ181+CQ70</f>
        <v>134702.482158789</v>
      </c>
      <c r="CR93" s="91">
        <f ca="1">SUM(CN93:CQ93)</f>
        <v>576194.07840519212</v>
      </c>
      <c r="CS93" s="90">
        <f ca="1">CS181+CS70</f>
        <v>137047.2289193777</v>
      </c>
      <c r="CT93" s="90">
        <f ca="1">CT181+CT70</f>
        <v>136553.56176132811</v>
      </c>
      <c r="CU93" s="90">
        <f ca="1">CU181+CU70</f>
        <v>136899.4418112337</v>
      </c>
      <c r="CV93" s="90">
        <f ca="1">CV181+CV70</f>
        <v>135706.61309601646</v>
      </c>
      <c r="CW93" s="91">
        <f ca="1">SUM(CS93:CV93)</f>
        <v>546206.84558795602</v>
      </c>
      <c r="CX93" s="90">
        <f ca="1">CX181+CX70</f>
        <v>136457.55540158658</v>
      </c>
      <c r="CY93" s="90">
        <f ca="1">CY181+CY70</f>
        <v>136048.18273538182</v>
      </c>
      <c r="CZ93" s="90">
        <f ca="1">CZ181+CZ70</f>
        <v>135640.03818717567</v>
      </c>
      <c r="DA93" s="90">
        <f ca="1">DA181+DA70</f>
        <v>135233.11807261413</v>
      </c>
      <c r="DB93" s="91">
        <f ca="1">SUM(CX93:DA93)</f>
        <v>543378.89439675817</v>
      </c>
      <c r="DC93" s="16"/>
      <c r="DD93" s="16"/>
      <c r="DE93" s="16"/>
      <c r="DF93" s="16"/>
      <c r="DG93" s="16"/>
      <c r="DH93" s="16"/>
      <c r="DI93" s="16"/>
      <c r="DJ93" s="16"/>
    </row>
    <row r="94" spans="1:114" s="725" customFormat="1" ht="11.25" customHeight="1">
      <c r="A94" s="16"/>
      <c r="B94" s="77" t="s">
        <v>256</v>
      </c>
      <c r="C94" s="54"/>
      <c r="D94" s="97">
        <v>7.5999999999999998E-2</v>
      </c>
      <c r="E94" s="97"/>
      <c r="F94" s="96">
        <v>6.3E-2</v>
      </c>
      <c r="G94" s="98">
        <v>6.7000000000000004E-2</v>
      </c>
      <c r="H94" s="98">
        <v>5.1999999999999998E-2</v>
      </c>
      <c r="I94" s="98">
        <v>1.9E-2</v>
      </c>
      <c r="J94" s="98">
        <v>2.1999999999999999E-2</v>
      </c>
      <c r="K94" s="96">
        <v>3.9E-2</v>
      </c>
      <c r="L94" s="98">
        <v>3.1E-2</v>
      </c>
      <c r="M94" s="98">
        <v>4.5999999999999999E-2</v>
      </c>
      <c r="N94" s="98">
        <v>6.0999999999999999E-2</v>
      </c>
      <c r="O94" s="98">
        <v>3.6935319940315292E-2</v>
      </c>
      <c r="P94" s="96">
        <v>4.3999999999999997E-2</v>
      </c>
      <c r="Q94" s="98">
        <v>-4.0000000000000001E-3</v>
      </c>
      <c r="R94" s="98">
        <v>-8.8830237734139894E-3</v>
      </c>
      <c r="S94" s="98">
        <v>0.01</v>
      </c>
      <c r="T94" s="98">
        <v>4.2468517618923007E-2</v>
      </c>
      <c r="U94" s="96">
        <v>1.0070000000000001E-2</v>
      </c>
      <c r="V94" s="98">
        <f>V93/Q93-1</f>
        <v>0.17818907344926038</v>
      </c>
      <c r="W94" s="98">
        <f>W93/R93-1</f>
        <v>0.19258697114472478</v>
      </c>
      <c r="X94" s="98">
        <f>X93/S93-1</f>
        <v>7.6932652807170321E-2</v>
      </c>
      <c r="Y94" s="98">
        <f>Y93/T93-1</f>
        <v>-3.8041027953110707E-3</v>
      </c>
      <c r="Z94" s="96">
        <f>Z93/U93-1</f>
        <v>0.10525097403743922</v>
      </c>
      <c r="AA94" s="98">
        <f t="shared" ref="AA94:CL94" si="134">AA93/V93-1</f>
        <v>4.4773037049275155E-2</v>
      </c>
      <c r="AB94" s="98">
        <f t="shared" si="134"/>
        <v>2.4571552534528918E-2</v>
      </c>
      <c r="AC94" s="98">
        <f t="shared" si="134"/>
        <v>3.0762339613917389E-2</v>
      </c>
      <c r="AD94" s="98">
        <f t="shared" si="134"/>
        <v>4.6049840183294277E-2</v>
      </c>
      <c r="AE94" s="96">
        <f t="shared" si="134"/>
        <v>3.66925578291184E-2</v>
      </c>
      <c r="AF94" s="98">
        <f t="shared" si="134"/>
        <v>4.0600909270606778E-2</v>
      </c>
      <c r="AG94" s="98">
        <f t="shared" si="134"/>
        <v>0.10451132064818469</v>
      </c>
      <c r="AH94" s="98">
        <f t="shared" si="134"/>
        <v>0.1694211979758049</v>
      </c>
      <c r="AI94" s="98">
        <f t="shared" si="134"/>
        <v>0.15732403125929539</v>
      </c>
      <c r="AJ94" s="96">
        <f t="shared" si="134"/>
        <v>0.11713602805210455</v>
      </c>
      <c r="AK94" s="98">
        <f t="shared" si="134"/>
        <v>0.12737127371273704</v>
      </c>
      <c r="AL94" s="98">
        <f t="shared" si="134"/>
        <v>0.10851395562825883</v>
      </c>
      <c r="AM94" s="98">
        <f t="shared" si="134"/>
        <v>0.70033444014240676</v>
      </c>
      <c r="AN94" s="98">
        <f t="shared" si="134"/>
        <v>0.90550012850767536</v>
      </c>
      <c r="AO94" s="96">
        <f t="shared" si="134"/>
        <v>0.47352981746287193</v>
      </c>
      <c r="AP94" s="98">
        <f t="shared" si="134"/>
        <v>0.99137311286843999</v>
      </c>
      <c r="AQ94" s="98">
        <f t="shared" si="134"/>
        <v>0.90404546974256106</v>
      </c>
      <c r="AR94" s="98">
        <f t="shared" si="134"/>
        <v>0.15925609988226741</v>
      </c>
      <c r="AS94" s="98">
        <f t="shared" si="134"/>
        <v>3.4149362075202028E-3</v>
      </c>
      <c r="AT94" s="96">
        <f t="shared" si="134"/>
        <v>0.39486641828768287</v>
      </c>
      <c r="AU94" s="98">
        <f t="shared" si="134"/>
        <v>-3.6067238267147972E-2</v>
      </c>
      <c r="AV94" s="98">
        <f t="shared" si="134"/>
        <v>5.0491962096212539E-2</v>
      </c>
      <c r="AW94" s="98">
        <f t="shared" si="134"/>
        <v>6.4888072635720606E-2</v>
      </c>
      <c r="AX94" s="98">
        <f t="shared" si="134"/>
        <v>4.8782872226023954E-2</v>
      </c>
      <c r="AY94" s="96">
        <f t="shared" si="134"/>
        <v>3.0720199959435535E-2</v>
      </c>
      <c r="AZ94" s="98">
        <f t="shared" si="134"/>
        <v>3.8195054012616581E-2</v>
      </c>
      <c r="BA94" s="98">
        <f t="shared" si="134"/>
        <v>-1.3902498069097491E-2</v>
      </c>
      <c r="BB94" s="98">
        <f t="shared" si="134"/>
        <v>-3.0449953457029166E-2</v>
      </c>
      <c r="BC94" s="98">
        <f t="shared" si="134"/>
        <v>2.0180835197613822E-2</v>
      </c>
      <c r="BD94" s="96">
        <f t="shared" si="134"/>
        <v>3.2511737938318852E-3</v>
      </c>
      <c r="BE94" s="98">
        <f t="shared" si="134"/>
        <v>9.3905181694688977E-3</v>
      </c>
      <c r="BF94" s="98">
        <f t="shared" si="134"/>
        <v>-1.6050782665622321E-2</v>
      </c>
      <c r="BG94" s="98">
        <f t="shared" si="134"/>
        <v>-2.9056103666617594E-2</v>
      </c>
      <c r="BH94" s="98">
        <f t="shared" si="134"/>
        <v>-5.4650737813513595E-2</v>
      </c>
      <c r="BI94" s="96">
        <f t="shared" si="134"/>
        <v>-2.2473903274097151E-2</v>
      </c>
      <c r="BJ94" s="98">
        <f t="shared" si="134"/>
        <v>1.5685814640465923E-2</v>
      </c>
      <c r="BK94" s="98">
        <f t="shared" si="134"/>
        <v>3.0373776257009766E-2</v>
      </c>
      <c r="BL94" s="98">
        <f t="shared" si="134"/>
        <v>5.0144987321192325E-2</v>
      </c>
      <c r="BM94" s="98">
        <f t="shared" si="134"/>
        <v>4.7419990093148456E-2</v>
      </c>
      <c r="BN94" s="96">
        <f t="shared" si="134"/>
        <v>3.5464791184407263E-2</v>
      </c>
      <c r="BO94" s="98">
        <f t="shared" si="134"/>
        <v>-4.3609254046446111E-2</v>
      </c>
      <c r="BP94" s="98">
        <f t="shared" si="134"/>
        <v>-5.1087063055999193E-2</v>
      </c>
      <c r="BQ94" s="98">
        <f t="shared" si="134"/>
        <v>-6.8465928784342767E-2</v>
      </c>
      <c r="BR94" s="98">
        <f t="shared" si="134"/>
        <v>-0.10523553566485189</v>
      </c>
      <c r="BS94" s="96">
        <f t="shared" si="134"/>
        <v>-6.6813234411978839E-2</v>
      </c>
      <c r="BT94" s="98">
        <f t="shared" si="134"/>
        <v>0.22858653912483606</v>
      </c>
      <c r="BU94" s="98">
        <f t="shared" si="134"/>
        <v>0.45153960191508502</v>
      </c>
      <c r="BV94" s="98">
        <f t="shared" si="134"/>
        <v>0.46511137570074923</v>
      </c>
      <c r="BW94" s="98">
        <f t="shared" si="134"/>
        <v>0.53881852460601376</v>
      </c>
      <c r="BX94" s="96">
        <f t="shared" si="134"/>
        <v>0.41633877653848805</v>
      </c>
      <c r="BY94" s="98">
        <f t="shared" si="134"/>
        <v>0.15110892756878158</v>
      </c>
      <c r="BZ94" s="98">
        <f t="shared" si="134"/>
        <v>-2.2556988941257239E-2</v>
      </c>
      <c r="CA94" s="98">
        <f t="shared" si="134"/>
        <v>-2.4329334879665487E-2</v>
      </c>
      <c r="CB94" s="98">
        <f t="shared" si="134"/>
        <v>-3.5561698919326479E-2</v>
      </c>
      <c r="CC94" s="96">
        <f t="shared" ref="CC94:CH94" si="135">CC93/BX93-1</f>
        <v>1.3656395263598187E-2</v>
      </c>
      <c r="CD94" s="98">
        <f t="shared" si="134"/>
        <v>-2.5669166514236896E-2</v>
      </c>
      <c r="CE94" s="98">
        <f t="shared" si="134"/>
        <v>-9.1034057477614061E-2</v>
      </c>
      <c r="CF94" s="98">
        <f t="shared" si="134"/>
        <v>-0.12386881263285754</v>
      </c>
      <c r="CG94" s="98">
        <f t="shared" si="134"/>
        <v>-0.11619543973941371</v>
      </c>
      <c r="CH94" s="96">
        <f t="shared" si="135"/>
        <v>-8.8142832226584922E-2</v>
      </c>
      <c r="CI94" s="98">
        <f t="shared" si="134"/>
        <v>-0.11455152273675429</v>
      </c>
      <c r="CJ94" s="98">
        <f t="shared" si="134"/>
        <v>-0.10752900937062737</v>
      </c>
      <c r="CK94" s="98">
        <f t="shared" si="134"/>
        <v>-0.14836326544759526</v>
      </c>
      <c r="CL94" s="98">
        <f t="shared" si="134"/>
        <v>-0.19229370601879148</v>
      </c>
      <c r="CM94" s="96">
        <f t="shared" ref="CM94:CR94" si="136">CM93/CH93-1</f>
        <v>-0.13922828231935169</v>
      </c>
      <c r="CN94" s="98">
        <f t="shared" ca="1" si="136"/>
        <v>-0.26652283831196077</v>
      </c>
      <c r="CO94" s="98">
        <f t="shared" ca="1" si="136"/>
        <v>-0.22164651465706331</v>
      </c>
      <c r="CP94" s="98">
        <f t="shared" ca="1" si="136"/>
        <v>-0.19549784295108497</v>
      </c>
      <c r="CQ94" s="98">
        <f t="shared" ca="1" si="136"/>
        <v>-0.18046736130691443</v>
      </c>
      <c r="CR94" s="96">
        <f t="shared" ca="1" si="136"/>
        <v>-0.21928729979947847</v>
      </c>
      <c r="CS94" s="98">
        <f t="shared" ref="CS94" ca="1" si="137">CS93/CN93-1</f>
        <v>-0.11965615252611028</v>
      </c>
      <c r="CT94" s="98">
        <f t="shared" ref="CT94" ca="1" si="138">CT93/CO93-1</f>
        <v>-7.3882830684246503E-2</v>
      </c>
      <c r="CU94" s="98">
        <f t="shared" ref="CU94" ca="1" si="139">CU93/CP93-1</f>
        <v>-1.0624463633724268E-2</v>
      </c>
      <c r="CV94" s="98">
        <f t="shared" ref="CV94" ca="1" si="140">CV93/CQ93-1</f>
        <v>7.4544352942491621E-3</v>
      </c>
      <c r="CW94" s="96">
        <f t="shared" ref="CW94" ca="1" si="141">CW93/CR93-1</f>
        <v>-5.2043632416764352E-2</v>
      </c>
      <c r="CX94" s="98">
        <f t="shared" ref="CX94" ca="1" si="142">CX93/CS93-1</f>
        <v>-4.3027029618964985E-3</v>
      </c>
      <c r="CY94" s="98">
        <f t="shared" ref="CY94" ca="1" si="143">CY93/CT93-1</f>
        <v>-3.700958213229133E-3</v>
      </c>
      <c r="CZ94" s="98">
        <f t="shared" ref="CZ94" ca="1" si="144">CZ93/CU93-1</f>
        <v>-9.199479613617334E-3</v>
      </c>
      <c r="DA94" s="98">
        <f t="shared" ref="DA94" ca="1" si="145">DA93/CV93-1</f>
        <v>-3.4891079557582971E-3</v>
      </c>
      <c r="DB94" s="96">
        <f t="shared" ref="DB94" ca="1" si="146">DB93/CW93-1</f>
        <v>-5.1774363760559439E-3</v>
      </c>
      <c r="DC94" s="16"/>
      <c r="DD94" s="16"/>
      <c r="DE94" s="16"/>
      <c r="DF94" s="16"/>
      <c r="DG94" s="16"/>
      <c r="DH94" s="16"/>
      <c r="DI94" s="16"/>
      <c r="DJ94" s="16"/>
    </row>
    <row r="95" spans="1:114" s="725" customFormat="1" ht="11.25" customHeight="1">
      <c r="A95" s="16"/>
      <c r="B95" s="77" t="s">
        <v>373</v>
      </c>
      <c r="C95" s="52"/>
      <c r="D95" s="1053"/>
      <c r="E95" s="97"/>
      <c r="F95" s="96"/>
      <c r="G95" s="54"/>
      <c r="H95" s="54"/>
      <c r="I95" s="54"/>
      <c r="J95" s="54"/>
      <c r="K95" s="96">
        <f t="shared" ref="K95:AP95" si="147">K93/F274-1</f>
        <v>0.18326704347219325</v>
      </c>
      <c r="L95" s="54">
        <f t="shared" si="147"/>
        <v>0.24795951681358153</v>
      </c>
      <c r="M95" s="54">
        <f t="shared" si="147"/>
        <v>0.27960783325352212</v>
      </c>
      <c r="N95" s="54">
        <f t="shared" si="147"/>
        <v>0.2761699205336996</v>
      </c>
      <c r="O95" s="54">
        <f t="shared" si="147"/>
        <v>0.16015396924939984</v>
      </c>
      <c r="P95" s="96">
        <f t="shared" si="147"/>
        <v>0.238202790522132</v>
      </c>
      <c r="Q95" s="54">
        <f t="shared" si="147"/>
        <v>0.15197608147248443</v>
      </c>
      <c r="R95" s="54">
        <f t="shared" si="147"/>
        <v>0.14197081010813251</v>
      </c>
      <c r="S95" s="54">
        <f t="shared" si="147"/>
        <v>0.23508610086100856</v>
      </c>
      <c r="T95" s="54">
        <f t="shared" si="147"/>
        <v>0.32296967324647241</v>
      </c>
      <c r="U95" s="96">
        <f t="shared" si="147"/>
        <v>0.21384312772959557</v>
      </c>
      <c r="V95" s="54">
        <f t="shared" si="147"/>
        <v>0.17818907344926038</v>
      </c>
      <c r="W95" s="54">
        <f t="shared" si="147"/>
        <v>0.19258697114472478</v>
      </c>
      <c r="X95" s="54">
        <f t="shared" si="147"/>
        <v>9.3385152534875226E-2</v>
      </c>
      <c r="Y95" s="54">
        <f t="shared" si="147"/>
        <v>9.5809238238024896E-3</v>
      </c>
      <c r="Z95" s="96">
        <f t="shared" si="147"/>
        <v>0.12272171095372286</v>
      </c>
      <c r="AA95" s="54">
        <f t="shared" si="147"/>
        <v>0.10487463964357469</v>
      </c>
      <c r="AB95" s="54">
        <f t="shared" si="147"/>
        <v>8.8283638262899977E-2</v>
      </c>
      <c r="AC95" s="54">
        <f t="shared" si="147"/>
        <v>7.6476180416182427E-2</v>
      </c>
      <c r="AD95" s="54">
        <f t="shared" si="147"/>
        <v>9.1416176014874395E-2</v>
      </c>
      <c r="AE95" s="96">
        <f t="shared" si="147"/>
        <v>9.2142563297056723E-2</v>
      </c>
      <c r="AF95" s="54">
        <f t="shared" si="147"/>
        <v>4.6045833885282716E-2</v>
      </c>
      <c r="AG95" s="54">
        <f t="shared" si="147"/>
        <v>0.10451132064818469</v>
      </c>
      <c r="AH95" s="54">
        <f t="shared" si="147"/>
        <v>0.1694211979758049</v>
      </c>
      <c r="AI95" s="54">
        <f t="shared" si="147"/>
        <v>0.15732403125929539</v>
      </c>
      <c r="AJ95" s="96">
        <f t="shared" si="147"/>
        <v>0.11864912407032135</v>
      </c>
      <c r="AK95" s="54">
        <f t="shared" si="147"/>
        <v>0.12737127371273704</v>
      </c>
      <c r="AL95" s="54">
        <f t="shared" si="147"/>
        <v>0.10851395562825883</v>
      </c>
      <c r="AM95" s="54">
        <f t="shared" si="147"/>
        <v>0.71269364050180517</v>
      </c>
      <c r="AN95" s="54">
        <f t="shared" si="147"/>
        <v>1.0205765395240514</v>
      </c>
      <c r="AO95" s="96">
        <f t="shared" si="147"/>
        <v>0.56095192944629901</v>
      </c>
      <c r="AP95" s="98">
        <f t="shared" si="147"/>
        <v>1.1114313618065315</v>
      </c>
      <c r="AQ95" s="98">
        <f t="shared" ref="AQ95:BV95" si="148">AQ93/AL274-1</f>
        <v>1.013176981118276</v>
      </c>
      <c r="AR95" s="98">
        <f t="shared" si="148"/>
        <v>0.22617183422069109</v>
      </c>
      <c r="AS95" s="98">
        <f t="shared" si="148"/>
        <v>1.8583751353638878E-2</v>
      </c>
      <c r="AT95" s="96">
        <f t="shared" si="148"/>
        <v>0.4607163552236595</v>
      </c>
      <c r="AU95" s="98">
        <f t="shared" si="148"/>
        <v>-2.2016447952018181E-2</v>
      </c>
      <c r="AV95" s="98">
        <f t="shared" si="148"/>
        <v>5.7838642017462583E-2</v>
      </c>
      <c r="AW95" s="98">
        <f t="shared" si="148"/>
        <v>7.1764331444100327E-2</v>
      </c>
      <c r="AX95" s="98">
        <f t="shared" si="148"/>
        <v>3.9969463983859477E-2</v>
      </c>
      <c r="AY95" s="96">
        <f t="shared" si="148"/>
        <v>3.3819178311688791E-2</v>
      </c>
      <c r="AZ95" s="98">
        <f t="shared" si="148"/>
        <v>2.9555478180129935E-2</v>
      </c>
      <c r="BA95" s="98">
        <f t="shared" si="148"/>
        <v>-1.3902498069097491E-2</v>
      </c>
      <c r="BB95" s="98">
        <f t="shared" si="148"/>
        <v>-3.0449953457029166E-2</v>
      </c>
      <c r="BC95" s="98">
        <f t="shared" si="148"/>
        <v>2.0180835197613822E-2</v>
      </c>
      <c r="BD95" s="96">
        <f t="shared" si="148"/>
        <v>1.1738902549782715E-3</v>
      </c>
      <c r="BE95" s="98">
        <f t="shared" si="148"/>
        <v>1.389958329558838E-2</v>
      </c>
      <c r="BF95" s="98">
        <f t="shared" si="148"/>
        <v>5.8798221712319521E-3</v>
      </c>
      <c r="BG95" s="98">
        <f t="shared" si="148"/>
        <v>-7.2510027341821104E-3</v>
      </c>
      <c r="BH95" s="98">
        <f t="shared" si="148"/>
        <v>-3.4796804851029095E-2</v>
      </c>
      <c r="BI95" s="96">
        <f t="shared" si="148"/>
        <v>-7.1503971787634235E-4</v>
      </c>
      <c r="BJ95" s="98">
        <f t="shared" si="148"/>
        <v>3.1520444620881216E-2</v>
      </c>
      <c r="BK95" s="98">
        <f t="shared" si="148"/>
        <v>3.0373776257009766E-2</v>
      </c>
      <c r="BL95" s="98">
        <f t="shared" si="148"/>
        <v>5.0144987321192325E-2</v>
      </c>
      <c r="BM95" s="98">
        <f t="shared" si="148"/>
        <v>4.7419990093148456E-2</v>
      </c>
      <c r="BN95" s="96">
        <f t="shared" si="148"/>
        <v>3.9681505073698276E-2</v>
      </c>
      <c r="BO95" s="98">
        <f t="shared" si="148"/>
        <v>-4.3609254046446111E-2</v>
      </c>
      <c r="BP95" s="98">
        <f t="shared" si="148"/>
        <v>-5.1087063055999193E-2</v>
      </c>
      <c r="BQ95" s="98">
        <f t="shared" si="148"/>
        <v>-6.8465928784342767E-2</v>
      </c>
      <c r="BR95" s="98">
        <f t="shared" si="148"/>
        <v>-0.10523553566485189</v>
      </c>
      <c r="BS95" s="96">
        <f t="shared" si="148"/>
        <v>-6.6813234411978839E-2</v>
      </c>
      <c r="BT95" s="98">
        <f t="shared" si="148"/>
        <v>0.24696601941747565</v>
      </c>
      <c r="BU95" s="98">
        <f t="shared" si="148"/>
        <v>0.47825979345720948</v>
      </c>
      <c r="BV95" s="98">
        <f t="shared" si="148"/>
        <v>0.49043629665144217</v>
      </c>
      <c r="BW95" s="98">
        <f t="shared" ref="BW95:CM95" si="149">BW93/BR274-1</f>
        <v>0.56406208030607763</v>
      </c>
      <c r="BX95" s="96">
        <f t="shared" si="149"/>
        <v>0.44153585797602779</v>
      </c>
      <c r="BY95" s="98">
        <f t="shared" si="149"/>
        <v>0.15665080678527099</v>
      </c>
      <c r="BZ95" s="98">
        <f t="shared" si="149"/>
        <v>-1.929764144604218E-2</v>
      </c>
      <c r="CA95" s="98">
        <f t="shared" si="149"/>
        <v>-1.9143947678599504E-2</v>
      </c>
      <c r="CB95" s="98">
        <f t="shared" si="149"/>
        <v>-3.5561698919326479E-2</v>
      </c>
      <c r="CC95" s="96">
        <f t="shared" si="149"/>
        <v>1.701896151345994E-2</v>
      </c>
      <c r="CD95" s="98">
        <f t="shared" si="149"/>
        <v>-2.5669166514236896E-2</v>
      </c>
      <c r="CE95" s="98">
        <f t="shared" si="149"/>
        <v>-9.1034057477614061E-2</v>
      </c>
      <c r="CF95" s="98">
        <f t="shared" si="149"/>
        <v>-0.12386881263285754</v>
      </c>
      <c r="CG95" s="98">
        <f t="shared" si="149"/>
        <v>-0.11619543973941371</v>
      </c>
      <c r="CH95" s="96">
        <f t="shared" si="149"/>
        <v>-8.8142832226584922E-2</v>
      </c>
      <c r="CI95" s="98">
        <f t="shared" si="149"/>
        <v>-0.11455152273675429</v>
      </c>
      <c r="CJ95" s="98">
        <f t="shared" si="149"/>
        <v>-0.10752900937062737</v>
      </c>
      <c r="CK95" s="98">
        <f t="shared" si="149"/>
        <v>-0.14836326544759526</v>
      </c>
      <c r="CL95" s="98">
        <f t="shared" si="149"/>
        <v>-0.19229370601879148</v>
      </c>
      <c r="CM95" s="96">
        <f t="shared" si="149"/>
        <v>-0.13922828231935169</v>
      </c>
      <c r="CN95" s="54"/>
      <c r="CO95" s="54"/>
      <c r="CP95" s="54"/>
      <c r="CQ95" s="54"/>
      <c r="CR95" s="96"/>
      <c r="CS95" s="54"/>
      <c r="CT95" s="54"/>
      <c r="CU95" s="54"/>
      <c r="CV95" s="54"/>
      <c r="CW95" s="96"/>
      <c r="CX95" s="54"/>
      <c r="CY95" s="54"/>
      <c r="CZ95" s="54"/>
      <c r="DA95" s="54"/>
      <c r="DB95" s="96"/>
      <c r="DC95" s="16"/>
      <c r="DD95" s="16"/>
      <c r="DE95" s="16"/>
      <c r="DF95" s="16"/>
      <c r="DG95" s="16"/>
      <c r="DH95" s="16"/>
      <c r="DI95" s="16"/>
      <c r="DJ95" s="16"/>
    </row>
    <row r="96" spans="1:114" s="725" customFormat="1" ht="11.25" customHeight="1">
      <c r="A96" s="16"/>
      <c r="B96" s="77"/>
      <c r="C96" s="54"/>
      <c r="D96" s="97"/>
      <c r="E96" s="97"/>
      <c r="F96" s="96"/>
      <c r="G96" s="54"/>
      <c r="H96" s="54"/>
      <c r="I96" s="54"/>
      <c r="J96" s="54"/>
      <c r="K96" s="96"/>
      <c r="L96" s="54"/>
      <c r="M96" s="54"/>
      <c r="N96" s="54"/>
      <c r="O96" s="54"/>
      <c r="P96" s="96"/>
      <c r="Q96" s="54"/>
      <c r="R96" s="54"/>
      <c r="S96" s="54"/>
      <c r="T96" s="54"/>
      <c r="U96" s="96"/>
      <c r="V96" s="54"/>
      <c r="W96" s="54"/>
      <c r="X96" s="54"/>
      <c r="Y96" s="54"/>
      <c r="Z96" s="96"/>
      <c r="AA96" s="54"/>
      <c r="AB96" s="54"/>
      <c r="AC96" s="54"/>
      <c r="AD96" s="54"/>
      <c r="AE96" s="96"/>
      <c r="AF96" s="54"/>
      <c r="AG96" s="54"/>
      <c r="AH96" s="54"/>
      <c r="AI96" s="54"/>
      <c r="AJ96" s="96"/>
      <c r="AK96" s="54"/>
      <c r="AL96" s="54"/>
      <c r="AM96" s="54"/>
      <c r="AN96" s="54"/>
      <c r="AO96" s="96"/>
      <c r="AP96" s="54"/>
      <c r="AQ96" s="54"/>
      <c r="AR96" s="54"/>
      <c r="AS96" s="54"/>
      <c r="AT96" s="96"/>
      <c r="AU96" s="54"/>
      <c r="AV96" s="54"/>
      <c r="AW96" s="54"/>
      <c r="AX96" s="54"/>
      <c r="AY96" s="96"/>
      <c r="AZ96" s="54"/>
      <c r="BA96" s="54"/>
      <c r="BB96" s="54"/>
      <c r="BC96" s="54"/>
      <c r="BD96" s="96"/>
      <c r="BE96" s="54"/>
      <c r="BF96" s="54"/>
      <c r="BG96" s="54"/>
      <c r="BH96" s="54"/>
      <c r="BI96" s="96"/>
      <c r="BJ96" s="54"/>
      <c r="BK96" s="54"/>
      <c r="BL96" s="54"/>
      <c r="BM96" s="54">
        <f>1.3%/BM95</f>
        <v>0.27414598726114714</v>
      </c>
      <c r="BN96" s="96"/>
      <c r="BQ96" s="54"/>
      <c r="BR96" s="54"/>
      <c r="BS96" s="96"/>
      <c r="BU96" s="54"/>
      <c r="BV96" s="54"/>
      <c r="BW96" s="54"/>
      <c r="BX96" s="96"/>
      <c r="BZ96" s="54"/>
      <c r="CA96" s="54"/>
      <c r="CB96" s="54"/>
      <c r="CC96" s="96"/>
      <c r="CD96" s="54"/>
      <c r="CE96" s="54"/>
      <c r="CF96" s="54"/>
      <c r="CG96" s="54"/>
      <c r="CH96" s="96"/>
      <c r="CI96" s="54"/>
      <c r="CJ96" s="54"/>
      <c r="CK96" s="54"/>
      <c r="CL96" s="54"/>
      <c r="CM96" s="96"/>
      <c r="CN96" s="54"/>
      <c r="CO96" s="54"/>
      <c r="CP96" s="54"/>
      <c r="CQ96" s="54"/>
      <c r="CR96" s="96"/>
      <c r="CS96" s="54"/>
      <c r="CT96" s="54"/>
      <c r="CU96" s="54"/>
      <c r="CV96" s="54"/>
      <c r="CW96" s="96"/>
      <c r="CX96" s="54"/>
      <c r="CY96" s="54"/>
      <c r="CZ96" s="54"/>
      <c r="DA96" s="54"/>
      <c r="DB96" s="96"/>
      <c r="DC96" s="16"/>
      <c r="DD96" s="90"/>
      <c r="DE96" s="16"/>
      <c r="DF96" s="16"/>
      <c r="DG96" s="16"/>
      <c r="DH96" s="16"/>
      <c r="DI96" s="16"/>
      <c r="DJ96" s="16"/>
    </row>
    <row r="97" spans="1:114" s="725" customFormat="1" ht="11.25" customHeight="1">
      <c r="A97" s="16"/>
      <c r="B97" s="16" t="s">
        <v>266</v>
      </c>
      <c r="C97" s="40"/>
      <c r="D97" s="1061">
        <f t="shared" ref="D97:AI97" si="150">+D102/D93</f>
        <v>1.7687336436462433</v>
      </c>
      <c r="E97" s="1061">
        <f t="shared" si="150"/>
        <v>1.8021658611124953</v>
      </c>
      <c r="F97" s="1062">
        <f t="shared" si="150"/>
        <v>1.8311283232154072</v>
      </c>
      <c r="G97" s="1063">
        <f t="shared" si="150"/>
        <v>1.7755002098782706</v>
      </c>
      <c r="H97" s="1063">
        <f t="shared" si="150"/>
        <v>1.8536179650679234</v>
      </c>
      <c r="I97" s="1063">
        <f t="shared" si="150"/>
        <v>1.886220935936427</v>
      </c>
      <c r="J97" s="1063">
        <f t="shared" si="150"/>
        <v>1.8284064615185001</v>
      </c>
      <c r="K97" s="1062">
        <f t="shared" si="150"/>
        <v>1.8348272730489343</v>
      </c>
      <c r="L97" s="1063">
        <f t="shared" si="150"/>
        <v>1.7991404279174064</v>
      </c>
      <c r="M97" s="1063">
        <f t="shared" si="150"/>
        <v>1.8686060940300566</v>
      </c>
      <c r="N97" s="1063">
        <f t="shared" si="150"/>
        <v>1.8805350553505535</v>
      </c>
      <c r="O97" s="1063">
        <f t="shared" si="150"/>
        <v>1.8321310742045518</v>
      </c>
      <c r="P97" s="1062">
        <f t="shared" si="150"/>
        <v>1.8445374749365377</v>
      </c>
      <c r="Q97" s="1063">
        <f t="shared" si="150"/>
        <v>1.7961653257202179</v>
      </c>
      <c r="R97" s="1063">
        <f t="shared" si="150"/>
        <v>1.8471515548733162</v>
      </c>
      <c r="S97" s="1063">
        <f t="shared" si="150"/>
        <v>1.8616955060375948</v>
      </c>
      <c r="T97" s="1063">
        <f t="shared" si="150"/>
        <v>1.807836451758341</v>
      </c>
      <c r="U97" s="1062">
        <f t="shared" si="150"/>
        <v>1.8275374999509548</v>
      </c>
      <c r="V97" s="1063">
        <f t="shared" si="150"/>
        <v>1.8032024011124419</v>
      </c>
      <c r="W97" s="1063">
        <f t="shared" si="150"/>
        <v>1.8550148239207462</v>
      </c>
      <c r="X97" s="1063">
        <f t="shared" si="150"/>
        <v>1.8971939660154895</v>
      </c>
      <c r="Y97" s="1063">
        <f t="shared" si="150"/>
        <v>1.860252312392159</v>
      </c>
      <c r="Z97" s="1062">
        <f t="shared" si="150"/>
        <v>1.8533327180040611</v>
      </c>
      <c r="AA97" s="1063">
        <f t="shared" si="150"/>
        <v>1.7835013507280755</v>
      </c>
      <c r="AB97" s="1063">
        <f t="shared" si="150"/>
        <v>1.8740330867822257</v>
      </c>
      <c r="AC97" s="1063">
        <f t="shared" si="150"/>
        <v>1.8917532276378317</v>
      </c>
      <c r="AD97" s="1063">
        <f t="shared" si="150"/>
        <v>1.841418566290798</v>
      </c>
      <c r="AE97" s="1062">
        <f t="shared" si="150"/>
        <v>1.8465763556919199</v>
      </c>
      <c r="AF97" s="1063">
        <f t="shared" si="150"/>
        <v>1.8130334574373781</v>
      </c>
      <c r="AG97" s="1063">
        <f t="shared" si="150"/>
        <v>1.881492178713833</v>
      </c>
      <c r="AH97" s="1063">
        <f t="shared" si="150"/>
        <v>1.8738117785263058</v>
      </c>
      <c r="AI97" s="1063">
        <f t="shared" si="150"/>
        <v>1.8568658146218369</v>
      </c>
      <c r="AJ97" s="1062">
        <f t="shared" ref="AJ97:BO97" si="151">+AJ102/AJ93</f>
        <v>1.8564960841111469</v>
      </c>
      <c r="AK97" s="1063">
        <f t="shared" si="151"/>
        <v>1.8311466570812365</v>
      </c>
      <c r="AL97" s="1063">
        <f t="shared" si="151"/>
        <v>1.8893692571968781</v>
      </c>
      <c r="AM97" s="1063">
        <f t="shared" si="151"/>
        <v>1.8550691942727022</v>
      </c>
      <c r="AN97" s="1063">
        <f t="shared" si="151"/>
        <v>1.7975071578779573</v>
      </c>
      <c r="AO97" s="1062">
        <f t="shared" si="151"/>
        <v>1.8372972039682391</v>
      </c>
      <c r="AP97" s="1063">
        <f t="shared" si="151"/>
        <v>1.750062048736462</v>
      </c>
      <c r="AQ97" s="1063">
        <f t="shared" si="151"/>
        <v>1.8119160788350337</v>
      </c>
      <c r="AR97" s="1063">
        <f t="shared" si="151"/>
        <v>1.8346418385156624</v>
      </c>
      <c r="AS97" s="1063">
        <f t="shared" si="151"/>
        <v>1.8105936552937727</v>
      </c>
      <c r="AT97" s="1062">
        <f t="shared" si="151"/>
        <v>1.8008130808785807</v>
      </c>
      <c r="AU97" s="1063">
        <f t="shared" si="151"/>
        <v>1.7946818346734079</v>
      </c>
      <c r="AV97" s="1063">
        <f t="shared" si="151"/>
        <v>1.8524156454978271</v>
      </c>
      <c r="AW97" s="1063">
        <f t="shared" si="151"/>
        <v>1.8722095632955851</v>
      </c>
      <c r="AX97" s="1063">
        <f t="shared" si="151"/>
        <v>1.8478222874720358</v>
      </c>
      <c r="AY97" s="1062">
        <f t="shared" si="151"/>
        <v>1.8420149464287006</v>
      </c>
      <c r="AZ97" s="1063">
        <f t="shared" si="151"/>
        <v>1.8266192443620253</v>
      </c>
      <c r="BA97" s="1063">
        <f t="shared" si="151"/>
        <v>1.8895441951812582</v>
      </c>
      <c r="BB97" s="1063">
        <f t="shared" si="151"/>
        <v>1.9263613606243557</v>
      </c>
      <c r="BC97" s="1063">
        <f t="shared" si="151"/>
        <v>1.9043012472017908</v>
      </c>
      <c r="BD97" s="1062">
        <f t="shared" si="151"/>
        <v>1.8861853927560854</v>
      </c>
      <c r="BE97" s="1063">
        <f t="shared" si="151"/>
        <v>1.8827053981762238</v>
      </c>
      <c r="BF97" s="1063">
        <f t="shared" si="151"/>
        <v>1.9733152742134779</v>
      </c>
      <c r="BG97" s="1063">
        <f t="shared" si="151"/>
        <v>2.0300894189587604</v>
      </c>
      <c r="BH97" s="1063">
        <f t="shared" si="151"/>
        <v>2.0038419253120052</v>
      </c>
      <c r="BI97" s="1062">
        <f t="shared" si="151"/>
        <v>1.9706387881953205</v>
      </c>
      <c r="BJ97" s="1063">
        <f t="shared" si="151"/>
        <v>1.9727249736101338</v>
      </c>
      <c r="BK97" s="1063">
        <f t="shared" si="151"/>
        <v>2.0235458261506265</v>
      </c>
      <c r="BL97" s="1063">
        <f t="shared" si="151"/>
        <v>2.054624858469857</v>
      </c>
      <c r="BM97" s="1063">
        <f t="shared" si="151"/>
        <v>2.035013149395589</v>
      </c>
      <c r="BN97" s="1062">
        <f t="shared" si="151"/>
        <v>2.0208737926327625</v>
      </c>
      <c r="BO97" s="1063">
        <f t="shared" si="151"/>
        <v>1.9904631056129136</v>
      </c>
      <c r="BP97" s="1063">
        <f t="shared" ref="BP97:CH97" si="152">+BP102/BP93</f>
        <v>2.0941502418159281</v>
      </c>
      <c r="BQ97" s="1063">
        <f t="shared" si="152"/>
        <v>2.1186932579252864</v>
      </c>
      <c r="BR97" s="1063">
        <f t="shared" si="152"/>
        <v>2.1224725257017627</v>
      </c>
      <c r="BS97" s="1062">
        <f t="shared" si="152"/>
        <v>2.0793623892082542</v>
      </c>
      <c r="BT97" s="1063">
        <f t="shared" si="152"/>
        <v>2.0478382930937675</v>
      </c>
      <c r="BU97" s="1063">
        <f t="shared" si="152"/>
        <v>2.1471289963416575</v>
      </c>
      <c r="BV97" s="1063">
        <f t="shared" si="152"/>
        <v>2.1762141387804856</v>
      </c>
      <c r="BW97" s="1063">
        <f t="shared" si="152"/>
        <v>2.1445421797771633</v>
      </c>
      <c r="BX97" s="1062">
        <f t="shared" si="152"/>
        <v>2.1309948858589256</v>
      </c>
      <c r="BY97" s="1063">
        <f t="shared" si="152"/>
        <v>2.0719021197894438</v>
      </c>
      <c r="BZ97" s="1063">
        <f t="shared" si="152"/>
        <v>2.1902302616083626</v>
      </c>
      <c r="CA97" s="1063">
        <f t="shared" si="152"/>
        <v>2.2231790377857794</v>
      </c>
      <c r="CB97" s="1063">
        <f t="shared" si="152"/>
        <v>2.189441910966341</v>
      </c>
      <c r="CC97" s="1062">
        <f t="shared" si="152"/>
        <v>2.1671555219017073</v>
      </c>
      <c r="CD97" s="1063">
        <f t="shared" si="152"/>
        <v>2.1409762202753444</v>
      </c>
      <c r="CE97" s="1063">
        <f t="shared" si="152"/>
        <v>2.2052633810580469</v>
      </c>
      <c r="CF97" s="1063">
        <f t="shared" si="152"/>
        <v>2.2074847616076689</v>
      </c>
      <c r="CG97" s="1063">
        <f t="shared" si="152"/>
        <v>2.1629909187404177</v>
      </c>
      <c r="CH97" s="1062">
        <f t="shared" si="152"/>
        <v>2.1777815099392126</v>
      </c>
      <c r="CI97" s="1063">
        <f>CI199</f>
        <v>2.1130939409730445</v>
      </c>
      <c r="CJ97" s="1063">
        <f>CJ199</f>
        <v>2.1924407541947759</v>
      </c>
      <c r="CK97" s="1063">
        <f>CK199</f>
        <v>2.1887748845194785</v>
      </c>
      <c r="CL97" s="1063">
        <f>CL199</f>
        <v>2.1612117735370044</v>
      </c>
      <c r="CM97" s="1062">
        <f>+CM102/CM93</f>
        <v>2.1632305199204374</v>
      </c>
      <c r="CN97" s="1063">
        <f ca="1">CN199</f>
        <v>2.1487349529825588</v>
      </c>
      <c r="CO97" s="1063">
        <f ca="1">CO199</f>
        <v>2.042309003316459</v>
      </c>
      <c r="CP97" s="1063">
        <f ca="1">CP199</f>
        <v>2.006914244590067</v>
      </c>
      <c r="CQ97" s="1063">
        <f ca="1">CQ199</f>
        <v>2.0668931363309699</v>
      </c>
      <c r="CR97" s="1062">
        <f ca="1">+CR102/CR93</f>
        <v>1.899864530469519</v>
      </c>
      <c r="CS97" s="1063">
        <f ca="1">CS199</f>
        <v>2.0690745835161368</v>
      </c>
      <c r="CT97" s="1063">
        <f ca="1">CT199</f>
        <v>2.0524979645302959</v>
      </c>
      <c r="CU97" s="1063">
        <f ca="1">CU199</f>
        <v>2.0502439722465806</v>
      </c>
      <c r="CV97" s="1063">
        <f ca="1">CV199</f>
        <v>2.0135099530073401</v>
      </c>
      <c r="CW97" s="1062">
        <f ca="1">+CW102/CW93</f>
        <v>2.0009610581067663</v>
      </c>
      <c r="CX97" s="1063">
        <f ca="1">CX199</f>
        <v>2.0829994590576542</v>
      </c>
      <c r="CY97" s="1063">
        <f ca="1">CY199</f>
        <v>2.0657408922014904</v>
      </c>
      <c r="CZ97" s="1063">
        <f ca="1">CZ199</f>
        <v>2.0559131934504173</v>
      </c>
      <c r="DA97" s="1063">
        <f ca="1">DA199</f>
        <v>2.0228158118687825</v>
      </c>
      <c r="DB97" s="1062">
        <f ca="1">+DB102/DB93</f>
        <v>2.0569388203926842</v>
      </c>
      <c r="DC97" s="16"/>
      <c r="DD97" s="90"/>
      <c r="DE97" s="90"/>
      <c r="DF97" s="16"/>
      <c r="DG97" s="16"/>
      <c r="DH97" s="16"/>
      <c r="DI97" s="16"/>
      <c r="DJ97" s="16"/>
    </row>
    <row r="98" spans="1:114" s="725" customFormat="1" ht="11.25" customHeight="1">
      <c r="A98" s="16"/>
      <c r="B98" s="77"/>
      <c r="C98" s="54"/>
      <c r="D98" s="97"/>
      <c r="E98" s="97"/>
      <c r="F98" s="96"/>
      <c r="G98" s="54"/>
      <c r="H98" s="54"/>
      <c r="I98" s="54"/>
      <c r="J98" s="54"/>
      <c r="K98" s="96"/>
      <c r="L98" s="54"/>
      <c r="M98" s="54"/>
      <c r="N98" s="54"/>
      <c r="O98" s="54"/>
      <c r="P98" s="96"/>
      <c r="Q98" s="54"/>
      <c r="R98" s="54"/>
      <c r="S98" s="54"/>
      <c r="T98" s="54"/>
      <c r="U98" s="96"/>
      <c r="V98" s="54"/>
      <c r="W98" s="54"/>
      <c r="X98" s="54"/>
      <c r="Y98" s="54"/>
      <c r="Z98" s="96"/>
      <c r="AA98" s="54"/>
      <c r="AB98" s="54"/>
      <c r="AC98" s="54"/>
      <c r="AD98" s="54"/>
      <c r="AE98" s="96"/>
      <c r="AF98" s="54"/>
      <c r="AG98" s="54"/>
      <c r="AH98" s="54"/>
      <c r="AI98" s="54"/>
      <c r="AJ98" s="96"/>
      <c r="AK98" s="54"/>
      <c r="AL98" s="54"/>
      <c r="AM98" s="54"/>
      <c r="AN98" s="54"/>
      <c r="AO98" s="96"/>
      <c r="AP98" s="54"/>
      <c r="AQ98" s="54"/>
      <c r="AR98" s="54"/>
      <c r="AS98" s="54"/>
      <c r="AT98" s="96"/>
      <c r="AU98" s="54"/>
      <c r="AV98" s="54"/>
      <c r="AW98" s="54"/>
      <c r="AX98" s="54"/>
      <c r="AY98" s="96"/>
      <c r="AZ98" s="54"/>
      <c r="BA98" s="54"/>
      <c r="BB98" s="54"/>
      <c r="BC98" s="54"/>
      <c r="BD98" s="96"/>
      <c r="BE98" s="54"/>
      <c r="BF98" s="54"/>
      <c r="BG98" s="54"/>
      <c r="BH98" s="54"/>
      <c r="BI98" s="96"/>
      <c r="BJ98" s="1064"/>
      <c r="BK98" s="1064"/>
      <c r="BL98" s="1064"/>
      <c r="BM98" s="1064"/>
      <c r="BN98" s="96"/>
      <c r="BO98" s="54"/>
      <c r="BP98" s="54"/>
      <c r="BQ98" s="1064"/>
      <c r="BR98" s="1064"/>
      <c r="BS98" s="96"/>
      <c r="BT98" s="54"/>
      <c r="BU98" s="54"/>
      <c r="BV98" s="54"/>
      <c r="BW98" s="54"/>
      <c r="BX98" s="96"/>
      <c r="BY98" s="54"/>
      <c r="BZ98" s="54"/>
      <c r="CA98" s="54"/>
      <c r="CB98" s="54"/>
      <c r="CC98" s="96"/>
      <c r="CD98" s="54"/>
      <c r="CE98" s="54"/>
      <c r="CF98" s="54"/>
      <c r="CG98" s="54"/>
      <c r="CH98" s="96"/>
      <c r="CI98" s="54"/>
      <c r="CJ98" s="54"/>
      <c r="CK98" s="54"/>
      <c r="CL98" s="54"/>
      <c r="CM98" s="96"/>
      <c r="CN98" s="54"/>
      <c r="CO98" s="54"/>
      <c r="CP98" s="54"/>
      <c r="CQ98" s="54"/>
      <c r="CR98" s="96"/>
      <c r="CS98" s="54"/>
      <c r="CT98" s="54"/>
      <c r="CU98" s="54"/>
      <c r="CV98" s="54"/>
      <c r="CW98" s="96"/>
      <c r="CX98" s="54"/>
      <c r="CY98" s="54"/>
      <c r="CZ98" s="54"/>
      <c r="DA98" s="54"/>
      <c r="DB98" s="96"/>
      <c r="DC98" s="16"/>
      <c r="DD98" s="16"/>
      <c r="DE98" s="16"/>
      <c r="DF98" s="16"/>
      <c r="DG98" s="16"/>
      <c r="DH98" s="16"/>
      <c r="DI98" s="16"/>
      <c r="DJ98" s="16"/>
    </row>
    <row r="99" spans="1:114" s="725" customFormat="1" ht="11.25" customHeight="1">
      <c r="A99" s="16"/>
      <c r="B99" s="16" t="s">
        <v>46</v>
      </c>
      <c r="C99" s="441"/>
      <c r="D99" s="105">
        <v>100114</v>
      </c>
      <c r="E99" s="105">
        <v>120414</v>
      </c>
      <c r="F99" s="104">
        <v>143310</v>
      </c>
      <c r="G99" s="1065">
        <v>42882</v>
      </c>
      <c r="H99" s="1065">
        <v>39677</v>
      </c>
      <c r="I99" s="1065">
        <v>40772</v>
      </c>
      <c r="J99" s="1065">
        <v>46243</v>
      </c>
      <c r="K99" s="91">
        <f>SUM(G99:J99)</f>
        <v>169574</v>
      </c>
      <c r="L99" s="1065">
        <v>53515</v>
      </c>
      <c r="M99" s="1065">
        <v>50771</v>
      </c>
      <c r="N99" s="1065">
        <v>52032</v>
      </c>
      <c r="O99" s="1065">
        <v>53649</v>
      </c>
      <c r="P99" s="91">
        <f>SUM(L99:O99)</f>
        <v>209967</v>
      </c>
      <c r="Q99" s="1065">
        <v>61648</v>
      </c>
      <c r="R99" s="1065">
        <v>57979</v>
      </c>
      <c r="S99" s="1065">
        <v>64264</v>
      </c>
      <c r="T99" s="1065">
        <v>70976</v>
      </c>
      <c r="U99" s="91">
        <f>SUM(Q99:T99)</f>
        <v>254867</v>
      </c>
      <c r="V99" s="1065">
        <v>72633</v>
      </c>
      <c r="W99" s="1065">
        <v>69145</v>
      </c>
      <c r="X99" s="1065">
        <v>69208</v>
      </c>
      <c r="Y99" s="1065">
        <v>70706</v>
      </c>
      <c r="Z99" s="91">
        <f>SUM(V99:Y99)</f>
        <v>281692</v>
      </c>
      <c r="AA99" s="90">
        <f>+AA102-AA93</f>
        <v>59456</v>
      </c>
      <c r="AB99" s="90">
        <f>+AB102-AB93</f>
        <v>61920</v>
      </c>
      <c r="AC99" s="90">
        <f>+AC102-AC93</f>
        <v>63615</v>
      </c>
      <c r="AD99" s="90">
        <f>+AD102-AD93</f>
        <v>62233</v>
      </c>
      <c r="AE99" s="91">
        <f>SUM(AA99:AD99)</f>
        <v>247224</v>
      </c>
      <c r="AF99" s="90">
        <f>+AF102-AF93</f>
        <v>64202</v>
      </c>
      <c r="AG99" s="90">
        <f>+AG102-AG93</f>
        <v>68975</v>
      </c>
      <c r="AH99" s="90">
        <f>+AH102-AH93</f>
        <v>72896</v>
      </c>
      <c r="AI99" s="90">
        <f>+AI102-AI93</f>
        <v>73346</v>
      </c>
      <c r="AJ99" s="91">
        <f>SUM(AF99:AI99)</f>
        <v>279419</v>
      </c>
      <c r="AK99" s="90">
        <f>+AK102-AK93</f>
        <v>73992</v>
      </c>
      <c r="AL99" s="90">
        <f>+AL102-AL93</f>
        <v>77143</v>
      </c>
      <c r="AM99" s="90">
        <f>+AM102-AM93</f>
        <v>121289</v>
      </c>
      <c r="AN99" s="90">
        <f>+AN102-AN93</f>
        <v>130079</v>
      </c>
      <c r="AO99" s="91">
        <f>SUM(AK99:AN99)</f>
        <v>402503</v>
      </c>
      <c r="AP99" s="90">
        <f>+AP102-AP93</f>
        <v>132971</v>
      </c>
      <c r="AQ99" s="90">
        <f>+AQ102-AQ93</f>
        <v>134092</v>
      </c>
      <c r="AR99" s="90">
        <f>+AR102-AR93</f>
        <v>137246</v>
      </c>
      <c r="AS99" s="90">
        <f>+AS102-AS93</f>
        <v>132665</v>
      </c>
      <c r="AT99" s="91">
        <f>SUM(AP99:AS99)</f>
        <v>536974</v>
      </c>
      <c r="AU99" s="90">
        <f>+AU102-AU93</f>
        <v>135800</v>
      </c>
      <c r="AV99" s="90">
        <f>+AV102-AV93</f>
        <v>147889</v>
      </c>
      <c r="AW99" s="90">
        <f>+AW102-AW93</f>
        <v>152730</v>
      </c>
      <c r="AX99" s="90">
        <f>+AX102-AX93</f>
        <v>145527</v>
      </c>
      <c r="AY99" s="91">
        <f>SUM(AU99:AX99)</f>
        <v>581946</v>
      </c>
      <c r="AZ99" s="90">
        <f>+AZ102-AZ93</f>
        <v>146653</v>
      </c>
      <c r="BA99" s="90">
        <f>+BA102-BA93</f>
        <v>152185</v>
      </c>
      <c r="BB99" s="90">
        <f>+BB102-BB93</f>
        <v>157273</v>
      </c>
      <c r="BC99" s="90">
        <f>+BC102-BC93</f>
        <v>158354</v>
      </c>
      <c r="BD99" s="91">
        <f>SUM(AZ99:BC99)</f>
        <v>614465</v>
      </c>
      <c r="BE99" s="90">
        <f>+BE102-BE93</f>
        <v>158074</v>
      </c>
      <c r="BF99" s="90">
        <f>+BF102-BF93</f>
        <v>163844</v>
      </c>
      <c r="BG99" s="90">
        <f>+BG102-BG93</f>
        <v>169802</v>
      </c>
      <c r="BH99" s="90">
        <f>+BH102-BH93</f>
        <v>166178</v>
      </c>
      <c r="BI99" s="91">
        <f>SUM(BE99:BH99)</f>
        <v>657898</v>
      </c>
      <c r="BJ99" s="90">
        <f>+BJ102-BJ93</f>
        <v>176927</v>
      </c>
      <c r="BK99" s="90">
        <f>+BK102-BK93</f>
        <v>177533</v>
      </c>
      <c r="BL99" s="90">
        <f>+BL102-BL93</f>
        <v>182564</v>
      </c>
      <c r="BM99" s="90">
        <f>+BM102-BM93</f>
        <v>179463</v>
      </c>
      <c r="BN99" s="91">
        <f>SUM(BJ99:BM99)</f>
        <v>716487</v>
      </c>
      <c r="BO99" s="90">
        <f>+BO102-BO93</f>
        <v>172297</v>
      </c>
      <c r="BP99" s="90">
        <f>+BP102-BP93</f>
        <v>180084</v>
      </c>
      <c r="BQ99" s="90">
        <f>+BQ102-BQ93</f>
        <v>180396</v>
      </c>
      <c r="BR99" s="90">
        <f>+BR102-BR93</f>
        <v>174146</v>
      </c>
      <c r="BS99" s="91">
        <f>SUM(BO99:BR99)</f>
        <v>706923</v>
      </c>
      <c r="BT99" s="90">
        <f>+BT102-BT93</f>
        <v>223944</v>
      </c>
      <c r="BU99" s="90">
        <f>+BU102-BU93</f>
        <v>274056</v>
      </c>
      <c r="BV99" s="90">
        <f>+BV102-BV93</f>
        <v>277890</v>
      </c>
      <c r="BW99" s="90">
        <f>+BW102-BW93</f>
        <v>273248</v>
      </c>
      <c r="BX99" s="91">
        <f>SUM(BT99:BW99)</f>
        <v>1049138</v>
      </c>
      <c r="BY99" s="90">
        <f>+BY102-BY93</f>
        <v>263704</v>
      </c>
      <c r="BZ99" s="90">
        <f>+BZ102-BZ93</f>
        <v>277939</v>
      </c>
      <c r="CA99" s="90">
        <f>+CA102-CA93</f>
        <v>281955</v>
      </c>
      <c r="CB99" s="90">
        <f>+CB102-CB93</f>
        <v>273869</v>
      </c>
      <c r="CC99" s="91">
        <f>SUM(BY99:CB99)</f>
        <v>1097467</v>
      </c>
      <c r="CD99" s="90">
        <f>+CD102-CD93</f>
        <v>273492</v>
      </c>
      <c r="CE99" s="90">
        <f>+CE102-CE93</f>
        <v>255828</v>
      </c>
      <c r="CF99" s="90">
        <f>+CF102-CF93</f>
        <v>243860</v>
      </c>
      <c r="CG99" s="90">
        <f>+CG102-CG93</f>
        <v>236664</v>
      </c>
      <c r="CH99" s="91">
        <f>SUM(CD99:CG99)</f>
        <v>1009844</v>
      </c>
      <c r="CI99" s="90">
        <f>+CI102-CI93</f>
        <v>236770</v>
      </c>
      <c r="CJ99" s="90">
        <f>+CJ102-CJ93</f>
        <v>226080</v>
      </c>
      <c r="CK99" s="90">
        <f>+CK102-CK93</f>
        <v>204603</v>
      </c>
      <c r="CL99" s="90">
        <f>+CL102-CL93</f>
        <v>191053</v>
      </c>
      <c r="CM99" s="91">
        <f>SUM(CI99:CL99)</f>
        <v>858506</v>
      </c>
      <c r="CN99" s="90">
        <f ca="1">+CN102-CN93</f>
        <v>158766.2991601417</v>
      </c>
      <c r="CO99" s="90">
        <f ca="1">+CO102-CO93</f>
        <v>130243.98782019131</v>
      </c>
      <c r="CP99" s="90">
        <f ca="1">+CP102-CP93</f>
        <v>112079.16153381526</v>
      </c>
      <c r="CQ99" s="90">
        <f ca="1">+CQ102-CQ93</f>
        <v>117407.16530925717</v>
      </c>
      <c r="CR99" s="91">
        <f ca="1">SUM(CN99:CQ99)</f>
        <v>518496.61382340547</v>
      </c>
      <c r="CS99" s="90">
        <f ca="1">+CS102-CS93</f>
        <v>140059.99570752235</v>
      </c>
      <c r="CT99" s="90">
        <f ca="1">+CT102-CT93</f>
        <v>136553.82230243998</v>
      </c>
      <c r="CU99" s="90">
        <f ca="1">+CU102-CU93</f>
        <v>139853.06185760937</v>
      </c>
      <c r="CV99" s="90">
        <f ca="1">+CV102-CV93</f>
        <v>130264.90223730798</v>
      </c>
      <c r="CW99" s="91">
        <f ca="1">SUM(CS99:CV99)</f>
        <v>546731.78210487962</v>
      </c>
      <c r="CX99" s="90">
        <f ca="1">+CX102-CX93</f>
        <v>147783.45868424815</v>
      </c>
      <c r="CY99" s="90">
        <f ca="1">+CY102-CY93</f>
        <v>144992.11165079725</v>
      </c>
      <c r="CZ99" s="90">
        <f ca="1">+CZ102-CZ93</f>
        <v>143224.10588195719</v>
      </c>
      <c r="DA99" s="90">
        <f ca="1">+DA102-DA93</f>
        <v>138318.57145298773</v>
      </c>
      <c r="DB99" s="91">
        <f ca="1">SUM(CX99:DA99)</f>
        <v>574318.24766999029</v>
      </c>
      <c r="DC99" s="16"/>
      <c r="DD99" s="16"/>
      <c r="DE99" s="16"/>
      <c r="DF99" s="16"/>
      <c r="DG99" s="16"/>
      <c r="DH99" s="16"/>
      <c r="DI99" s="16"/>
      <c r="DJ99" s="16"/>
    </row>
    <row r="100" spans="1:114" s="725" customFormat="1" ht="11.25" customHeight="1">
      <c r="A100" s="16"/>
      <c r="B100" s="77" t="s">
        <v>256</v>
      </c>
      <c r="C100" s="1066"/>
      <c r="D100" s="1067">
        <v>7.5999999999999998E-2</v>
      </c>
      <c r="E100" s="96">
        <f>E99/D99-1</f>
        <v>0.20276884351838897</v>
      </c>
      <c r="F100" s="96">
        <f>F99/E99-1</f>
        <v>0.19014400318899805</v>
      </c>
      <c r="G100" s="115">
        <v>6.7000000000000004E-2</v>
      </c>
      <c r="H100" s="115">
        <v>5.1999999999999998E-2</v>
      </c>
      <c r="I100" s="115">
        <v>1.9E-2</v>
      </c>
      <c r="J100" s="115">
        <v>2.1999999999999999E-2</v>
      </c>
      <c r="K100" s="96">
        <f t="shared" ref="K100:Z100" si="153">K99/F99-1</f>
        <v>0.18326704347219325</v>
      </c>
      <c r="L100" s="98">
        <f t="shared" si="153"/>
        <v>0.24795951681358153</v>
      </c>
      <c r="M100" s="98">
        <f t="shared" si="153"/>
        <v>0.27960783325352212</v>
      </c>
      <c r="N100" s="98">
        <f t="shared" si="153"/>
        <v>0.2761699205336996</v>
      </c>
      <c r="O100" s="98">
        <f t="shared" si="153"/>
        <v>0.16015396924939984</v>
      </c>
      <c r="P100" s="96">
        <f t="shared" si="153"/>
        <v>0.238202790522132</v>
      </c>
      <c r="Q100" s="98">
        <f t="shared" si="153"/>
        <v>0.15197608147248443</v>
      </c>
      <c r="R100" s="98">
        <f t="shared" si="153"/>
        <v>0.14197081010813251</v>
      </c>
      <c r="S100" s="98">
        <f t="shared" si="153"/>
        <v>0.23508610086100856</v>
      </c>
      <c r="T100" s="98">
        <f t="shared" si="153"/>
        <v>0.32296967324647241</v>
      </c>
      <c r="U100" s="96">
        <f t="shared" si="153"/>
        <v>0.21384312772959557</v>
      </c>
      <c r="V100" s="98">
        <f t="shared" si="153"/>
        <v>0.17818907344926038</v>
      </c>
      <c r="W100" s="98">
        <f t="shared" si="153"/>
        <v>0.19258697114472478</v>
      </c>
      <c r="X100" s="98">
        <f t="shared" si="153"/>
        <v>7.6932652807170321E-2</v>
      </c>
      <c r="Y100" s="98">
        <f t="shared" si="153"/>
        <v>-3.8041027953110707E-3</v>
      </c>
      <c r="Z100" s="96">
        <f t="shared" si="153"/>
        <v>0.10525097403743922</v>
      </c>
      <c r="AA100" s="98">
        <f t="shared" ref="AA100:CG100" si="154">AA99/V99-1</f>
        <v>-0.18141891426761936</v>
      </c>
      <c r="AB100" s="98">
        <f t="shared" si="154"/>
        <v>-0.10449056330898832</v>
      </c>
      <c r="AC100" s="98">
        <f t="shared" si="154"/>
        <v>-8.0814356721766289E-2</v>
      </c>
      <c r="AD100" s="98">
        <f t="shared" si="154"/>
        <v>-0.11983424320425429</v>
      </c>
      <c r="AE100" s="96">
        <f t="shared" si="154"/>
        <v>-0.12236059242009001</v>
      </c>
      <c r="AF100" s="98">
        <f t="shared" si="154"/>
        <v>7.9823735199138879E-2</v>
      </c>
      <c r="AG100" s="98">
        <f t="shared" si="154"/>
        <v>0.11393733850129206</v>
      </c>
      <c r="AH100" s="98">
        <f t="shared" si="154"/>
        <v>0.14589326416725612</v>
      </c>
      <c r="AI100" s="98">
        <f t="shared" si="154"/>
        <v>0.17857085469124101</v>
      </c>
      <c r="AJ100" s="96">
        <f t="shared" si="154"/>
        <v>0.13022602983529108</v>
      </c>
      <c r="AK100" s="98">
        <f t="shared" si="154"/>
        <v>0.15248746144979908</v>
      </c>
      <c r="AL100" s="98">
        <f t="shared" si="154"/>
        <v>0.11841971728887279</v>
      </c>
      <c r="AM100" s="98">
        <f t="shared" si="154"/>
        <v>0.66386358647936783</v>
      </c>
      <c r="AN100" s="98">
        <f t="shared" si="154"/>
        <v>0.77349821394486407</v>
      </c>
      <c r="AO100" s="96">
        <f t="shared" si="154"/>
        <v>0.44049975126959873</v>
      </c>
      <c r="AP100" s="98">
        <f t="shared" si="154"/>
        <v>0.79709968645258944</v>
      </c>
      <c r="AQ100" s="98">
        <f t="shared" si="154"/>
        <v>0.73822641069183215</v>
      </c>
      <c r="AR100" s="98">
        <f t="shared" si="154"/>
        <v>0.13156180692395858</v>
      </c>
      <c r="AS100" s="98">
        <f t="shared" si="154"/>
        <v>1.9880226631508569E-2</v>
      </c>
      <c r="AT100" s="96">
        <f t="shared" si="154"/>
        <v>0.33408695090471374</v>
      </c>
      <c r="AU100" s="98">
        <f t="shared" si="154"/>
        <v>2.1275315670334027E-2</v>
      </c>
      <c r="AV100" s="98">
        <f t="shared" si="154"/>
        <v>0.10289204426811449</v>
      </c>
      <c r="AW100" s="98">
        <f t="shared" si="154"/>
        <v>0.11281931713856874</v>
      </c>
      <c r="AX100" s="98">
        <f t="shared" si="154"/>
        <v>9.695096672068737E-2</v>
      </c>
      <c r="AY100" s="96">
        <f t="shared" si="154"/>
        <v>8.3750796127931793E-2</v>
      </c>
      <c r="AZ100" s="98">
        <f t="shared" si="154"/>
        <v>7.9918998527245932E-2</v>
      </c>
      <c r="BA100" s="98">
        <f t="shared" si="154"/>
        <v>2.9048813637254867E-2</v>
      </c>
      <c r="BB100" s="98">
        <f t="shared" si="154"/>
        <v>2.9745302167223153E-2</v>
      </c>
      <c r="BC100" s="98">
        <f t="shared" si="154"/>
        <v>8.814171940602078E-2</v>
      </c>
      <c r="BD100" s="96">
        <f t="shared" si="154"/>
        <v>5.5879755166286849E-2</v>
      </c>
      <c r="BE100" s="98">
        <f t="shared" si="154"/>
        <v>7.7877711332192234E-2</v>
      </c>
      <c r="BF100" s="98">
        <f t="shared" si="154"/>
        <v>7.6610704077274328E-2</v>
      </c>
      <c r="BG100" s="98">
        <f t="shared" si="154"/>
        <v>7.966402370400516E-2</v>
      </c>
      <c r="BH100" s="98">
        <f t="shared" si="154"/>
        <v>4.9408287760334346E-2</v>
      </c>
      <c r="BI100" s="96">
        <f t="shared" si="154"/>
        <v>7.0684253781745143E-2</v>
      </c>
      <c r="BJ100" s="98">
        <f t="shared" si="154"/>
        <v>0.11926692561711594</v>
      </c>
      <c r="BK100" s="98">
        <f t="shared" si="154"/>
        <v>8.3548985620468308E-2</v>
      </c>
      <c r="BL100" s="98">
        <f t="shared" si="154"/>
        <v>7.51581253459912E-2</v>
      </c>
      <c r="BM100" s="98">
        <f t="shared" si="154"/>
        <v>7.9944396971921572E-2</v>
      </c>
      <c r="BN100" s="96">
        <f t="shared" si="154"/>
        <v>8.9054838288002092E-2</v>
      </c>
      <c r="BO100" s="98">
        <f t="shared" si="154"/>
        <v>-2.6168984948594654E-2</v>
      </c>
      <c r="BP100" s="98">
        <f t="shared" si="154"/>
        <v>1.4369159536536946E-2</v>
      </c>
      <c r="BQ100" s="98">
        <f t="shared" si="154"/>
        <v>-1.187528757038625E-2</v>
      </c>
      <c r="BR100" s="98">
        <f t="shared" si="154"/>
        <v>-2.962727693173528E-2</v>
      </c>
      <c r="BS100" s="96">
        <f t="shared" si="154"/>
        <v>-1.3348462707627684E-2</v>
      </c>
      <c r="BT100" s="98">
        <f t="shared" si="154"/>
        <v>0.29975565448034502</v>
      </c>
      <c r="BU100" s="98">
        <f t="shared" si="154"/>
        <v>0.52182314919704131</v>
      </c>
      <c r="BV100" s="98">
        <f t="shared" si="154"/>
        <v>0.54044435575068173</v>
      </c>
      <c r="BW100" s="98">
        <f t="shared" si="154"/>
        <v>0.56907422507551142</v>
      </c>
      <c r="BX100" s="96">
        <f t="shared" si="154"/>
        <v>0.48409091230586632</v>
      </c>
      <c r="BY100" s="98">
        <f t="shared" si="154"/>
        <v>0.17754438609652423</v>
      </c>
      <c r="BZ100" s="98">
        <f t="shared" si="154"/>
        <v>1.4168637066876766E-2</v>
      </c>
      <c r="CA100" s="98">
        <f t="shared" si="154"/>
        <v>1.4628090251538328E-2</v>
      </c>
      <c r="CB100" s="98">
        <f t="shared" si="154"/>
        <v>2.2726607331069459E-3</v>
      </c>
      <c r="CC100" s="96">
        <f t="shared" ref="CC100:CH100" si="155">CC99/BX99-1</f>
        <v>4.6065436577456875E-2</v>
      </c>
      <c r="CD100" s="98">
        <f t="shared" si="154"/>
        <v>3.7117374025422478E-2</v>
      </c>
      <c r="CE100" s="98">
        <f t="shared" si="154"/>
        <v>-7.955342719085845E-2</v>
      </c>
      <c r="CF100" s="98">
        <f t="shared" si="154"/>
        <v>-0.1351102126225816</v>
      </c>
      <c r="CG100" s="98">
        <f t="shared" si="154"/>
        <v>-0.13584962153438318</v>
      </c>
      <c r="CH100" s="96">
        <f t="shared" si="155"/>
        <v>-7.9841125063441543E-2</v>
      </c>
      <c r="CI100" s="98">
        <f t="shared" ref="CI100:CR100" si="156">CI99/CD99-1</f>
        <v>-0.13427083790385097</v>
      </c>
      <c r="CJ100" s="98">
        <f t="shared" si="156"/>
        <v>-0.11628125146582857</v>
      </c>
      <c r="CK100" s="98">
        <f t="shared" si="156"/>
        <v>-0.16098171081768231</v>
      </c>
      <c r="CL100" s="98">
        <f t="shared" si="156"/>
        <v>-0.19272470675725928</v>
      </c>
      <c r="CM100" s="96">
        <f t="shared" si="156"/>
        <v>-0.14986275107838443</v>
      </c>
      <c r="CN100" s="98">
        <f t="shared" ca="1" si="156"/>
        <v>-0.3294492580979782</v>
      </c>
      <c r="CO100" s="98">
        <f t="shared" ca="1" si="156"/>
        <v>-0.42390309704444751</v>
      </c>
      <c r="CP100" s="98">
        <f t="shared" ca="1" si="156"/>
        <v>-0.45221154365373306</v>
      </c>
      <c r="CQ100" s="98">
        <f t="shared" ca="1" si="156"/>
        <v>-0.38547332253742594</v>
      </c>
      <c r="CR100" s="96">
        <f t="shared" ca="1" si="156"/>
        <v>-0.39604776923701701</v>
      </c>
      <c r="CS100" s="98">
        <f t="shared" ref="CS100" ca="1" si="157">CS99/CN99-1</f>
        <v>-0.11782288528216556</v>
      </c>
      <c r="CT100" s="98">
        <f t="shared" ref="CT100" ca="1" si="158">CT99/CO99-1</f>
        <v>4.844626295502974E-2</v>
      </c>
      <c r="CU100" s="98">
        <f t="shared" ref="CU100" ca="1" si="159">CU99/CP99-1</f>
        <v>0.24780610368337275</v>
      </c>
      <c r="CV100" s="98">
        <f t="shared" ref="CV100" ca="1" si="160">CV99/CQ99-1</f>
        <v>0.10951407347398945</v>
      </c>
      <c r="CW100" s="96">
        <f t="shared" ref="CW100" ca="1" si="161">CW99/CR99-1</f>
        <v>5.4455839302917308E-2</v>
      </c>
      <c r="CX100" s="98">
        <f t="shared" ref="CX100" ca="1" si="162">CX99/CS99-1</f>
        <v>5.5143961255390783E-2</v>
      </c>
      <c r="CY100" s="98">
        <f t="shared" ref="CY100" ca="1" si="163">CY99/CT99-1</f>
        <v>6.1794603813199123E-2</v>
      </c>
      <c r="CZ100" s="98">
        <f t="shared" ref="CZ100" ca="1" si="164">CZ99/CU99-1</f>
        <v>2.4104184631867698E-2</v>
      </c>
      <c r="DA100" s="98">
        <f t="shared" ref="DA100" ca="1" si="165">DA99/CV99-1</f>
        <v>6.1825319616853669E-2</v>
      </c>
      <c r="DB100" s="96">
        <f t="shared" ref="DB100" ca="1" si="166">DB99/CW99-1</f>
        <v>5.0457036645838782E-2</v>
      </c>
      <c r="DC100" s="16"/>
      <c r="DD100" s="16"/>
      <c r="DE100" s="16"/>
      <c r="DF100" s="16"/>
      <c r="DG100" s="16"/>
      <c r="DH100" s="16"/>
      <c r="DI100" s="16"/>
      <c r="DJ100" s="16"/>
    </row>
    <row r="101" spans="1:114" s="725" customFormat="1" ht="11.25" customHeight="1">
      <c r="A101" s="16"/>
      <c r="B101" s="77"/>
      <c r="C101" s="54"/>
      <c r="D101" s="97"/>
      <c r="E101" s="97"/>
      <c r="F101" s="96"/>
      <c r="G101" s="54"/>
      <c r="H101" s="54"/>
      <c r="I101" s="54"/>
      <c r="J101" s="54"/>
      <c r="K101" s="96"/>
      <c r="L101" s="54"/>
      <c r="M101" s="54"/>
      <c r="N101" s="54"/>
      <c r="O101" s="54"/>
      <c r="P101" s="96"/>
      <c r="Q101" s="54"/>
      <c r="R101" s="54"/>
      <c r="S101" s="54"/>
      <c r="T101" s="54"/>
      <c r="U101" s="96"/>
      <c r="V101" s="54"/>
      <c r="W101" s="54"/>
      <c r="X101" s="54"/>
      <c r="Y101" s="54"/>
      <c r="Z101" s="96"/>
      <c r="AA101" s="54"/>
      <c r="AB101" s="54"/>
      <c r="AC101" s="54"/>
      <c r="AD101" s="54"/>
      <c r="AE101" s="96"/>
      <c r="AF101" s="54"/>
      <c r="AG101" s="54"/>
      <c r="AH101" s="54"/>
      <c r="AI101" s="54"/>
      <c r="AJ101" s="96"/>
      <c r="AK101" s="54"/>
      <c r="AL101" s="54"/>
      <c r="AM101" s="54"/>
      <c r="AN101" s="54"/>
      <c r="AO101" s="96"/>
      <c r="AP101" s="54"/>
      <c r="AQ101" s="54"/>
      <c r="AR101" s="54"/>
      <c r="AS101" s="54"/>
      <c r="AT101" s="96"/>
      <c r="AU101" s="54"/>
      <c r="AV101" s="54"/>
      <c r="AW101" s="54"/>
      <c r="AX101" s="54"/>
      <c r="AY101" s="96"/>
      <c r="AZ101" s="54"/>
      <c r="BA101" s="54"/>
      <c r="BB101" s="54"/>
      <c r="BC101" s="54"/>
      <c r="BD101" s="96"/>
      <c r="BE101" s="54"/>
      <c r="BF101" s="54"/>
      <c r="BG101" s="54"/>
      <c r="BH101" s="54"/>
      <c r="BI101" s="96"/>
      <c r="BJ101" s="54"/>
      <c r="BK101" s="54"/>
      <c r="BL101" s="54"/>
      <c r="BM101" s="54"/>
      <c r="BN101" s="96"/>
      <c r="BO101" s="54"/>
      <c r="BP101" s="54"/>
      <c r="BQ101" s="54"/>
      <c r="BR101" s="54"/>
      <c r="BS101" s="96"/>
      <c r="BT101" s="54"/>
      <c r="BU101" s="54"/>
      <c r="BV101" s="54"/>
      <c r="BW101" s="54"/>
      <c r="BX101" s="96"/>
      <c r="BY101" s="54"/>
      <c r="BZ101" s="54"/>
      <c r="CA101" s="54"/>
      <c r="CB101" s="54"/>
      <c r="CC101" s="96"/>
      <c r="CD101" s="54"/>
      <c r="CE101" s="54"/>
      <c r="CF101" s="54"/>
      <c r="CG101" s="54"/>
      <c r="CH101" s="96"/>
      <c r="CI101" s="54"/>
      <c r="CJ101" s="54"/>
      <c r="CK101" s="54"/>
      <c r="CL101" s="54"/>
      <c r="CM101" s="96"/>
      <c r="CN101" s="54"/>
      <c r="CO101" s="54"/>
      <c r="CP101" s="54"/>
      <c r="CQ101" s="54"/>
      <c r="CR101" s="96"/>
      <c r="CS101" s="54"/>
      <c r="CT101" s="54"/>
      <c r="CU101" s="54"/>
      <c r="CV101" s="54"/>
      <c r="CW101" s="96"/>
      <c r="CX101" s="54"/>
      <c r="CY101" s="54"/>
      <c r="CZ101" s="54"/>
      <c r="DA101" s="54"/>
      <c r="DB101" s="96"/>
      <c r="DC101" s="16"/>
      <c r="DD101" s="16"/>
      <c r="DE101" s="16"/>
      <c r="DF101" s="16"/>
      <c r="DG101" s="16"/>
      <c r="DH101" s="16"/>
      <c r="DI101" s="16"/>
      <c r="DJ101" s="16"/>
    </row>
    <row r="102" spans="1:114" s="725" customFormat="1" ht="11.25" customHeight="1">
      <c r="A102" s="16"/>
      <c r="B102" s="16" t="s">
        <v>238</v>
      </c>
      <c r="C102" s="441"/>
      <c r="D102" s="105">
        <v>177075</v>
      </c>
      <c r="E102" s="105">
        <v>217006</v>
      </c>
      <c r="F102" s="104">
        <v>262419</v>
      </c>
      <c r="G102" s="90">
        <f>G238</f>
        <v>76137</v>
      </c>
      <c r="H102" s="90">
        <f>H238</f>
        <v>73546</v>
      </c>
      <c r="I102" s="90">
        <f>I238</f>
        <v>76905</v>
      </c>
      <c r="J102" s="90">
        <f>J238</f>
        <v>84551</v>
      </c>
      <c r="K102" s="91">
        <f>SUM(G102:J102)</f>
        <v>311139</v>
      </c>
      <c r="L102" s="90">
        <f>L238</f>
        <v>96281</v>
      </c>
      <c r="M102" s="90">
        <f>M238</f>
        <v>94871</v>
      </c>
      <c r="N102" s="90">
        <f>N238</f>
        <v>97848</v>
      </c>
      <c r="O102" s="90">
        <f>O238</f>
        <v>98292</v>
      </c>
      <c r="P102" s="91">
        <f>SUM(L102:O102)</f>
        <v>387292</v>
      </c>
      <c r="Q102" s="90">
        <f>Q238</f>
        <v>110730</v>
      </c>
      <c r="R102" s="90">
        <f>R238</f>
        <v>107096</v>
      </c>
      <c r="S102" s="90">
        <f>S238</f>
        <v>119640</v>
      </c>
      <c r="T102" s="90">
        <f>T238</f>
        <v>128313</v>
      </c>
      <c r="U102" s="91">
        <f>SUM(Q102:T102)</f>
        <v>465779</v>
      </c>
      <c r="V102" s="90">
        <f>V238</f>
        <v>130972</v>
      </c>
      <c r="W102" s="90">
        <f>W238</f>
        <v>128265</v>
      </c>
      <c r="X102" s="90">
        <f>X238</f>
        <v>131301</v>
      </c>
      <c r="Y102" s="90">
        <f>Y238</f>
        <v>131531</v>
      </c>
      <c r="Z102" s="91">
        <f>SUM(V102:Y102)</f>
        <v>522069</v>
      </c>
      <c r="AA102" s="90">
        <f>AA238</f>
        <v>135341</v>
      </c>
      <c r="AB102" s="90">
        <f>AB238</f>
        <v>132764</v>
      </c>
      <c r="AC102" s="90">
        <f>AC238</f>
        <v>134952</v>
      </c>
      <c r="AD102" s="90">
        <f>AD238</f>
        <v>136195</v>
      </c>
      <c r="AE102" s="91">
        <f>SUM(AA102:AD102)</f>
        <v>539252</v>
      </c>
      <c r="AF102" s="90">
        <f>AF238</f>
        <v>143168</v>
      </c>
      <c r="AG102" s="90">
        <f>AG238</f>
        <v>147223</v>
      </c>
      <c r="AH102" s="90">
        <f>AH238</f>
        <v>156319</v>
      </c>
      <c r="AI102" s="90">
        <f>AI238</f>
        <v>158944</v>
      </c>
      <c r="AJ102" s="91">
        <f>SUM(AF102:AI102)</f>
        <v>605654</v>
      </c>
      <c r="AK102" s="90">
        <f>AK238</f>
        <v>163016</v>
      </c>
      <c r="AL102" s="90">
        <f>AL238</f>
        <v>163882</v>
      </c>
      <c r="AM102" s="90">
        <f>AM238</f>
        <v>263136</v>
      </c>
      <c r="AN102" s="90">
        <f>AN238</f>
        <v>293186</v>
      </c>
      <c r="AO102" s="91">
        <f>SUM(AK102:AN102)</f>
        <v>883220</v>
      </c>
      <c r="AP102" s="90">
        <f>AP238</f>
        <v>310251</v>
      </c>
      <c r="AQ102" s="90">
        <f>AQ238</f>
        <v>299247</v>
      </c>
      <c r="AR102" s="90">
        <f>AR238</f>
        <v>301683</v>
      </c>
      <c r="AS102" s="90">
        <f>AS238</f>
        <v>296329</v>
      </c>
      <c r="AT102" s="91">
        <f>SUM(AP102:AS102)</f>
        <v>1207510</v>
      </c>
      <c r="AU102" s="90">
        <f>AU238</f>
        <v>306686</v>
      </c>
      <c r="AV102" s="90">
        <f>AV238</f>
        <v>321383</v>
      </c>
      <c r="AW102" s="90">
        <f>AW238</f>
        <v>327837</v>
      </c>
      <c r="AX102" s="90">
        <f>AX238</f>
        <v>317175</v>
      </c>
      <c r="AY102" s="91">
        <f>SUM(AU102:AX102)</f>
        <v>1273081</v>
      </c>
      <c r="AZ102" s="90">
        <f>AZ238</f>
        <v>324066</v>
      </c>
      <c r="BA102" s="90">
        <f>BA238</f>
        <v>323267</v>
      </c>
      <c r="BB102" s="90">
        <f>BB238</f>
        <v>327048</v>
      </c>
      <c r="BC102" s="90">
        <f>BC238</f>
        <v>333466</v>
      </c>
      <c r="BD102" s="91">
        <f>SUM(AZ102:BC102)</f>
        <v>1307847</v>
      </c>
      <c r="BE102" s="90">
        <f>BE238</f>
        <v>337153</v>
      </c>
      <c r="BF102" s="90">
        <f>BF238</f>
        <v>332180</v>
      </c>
      <c r="BG102" s="90">
        <f>BG238</f>
        <v>334644</v>
      </c>
      <c r="BH102" s="90">
        <f>BH238</f>
        <v>331720</v>
      </c>
      <c r="BI102" s="91">
        <f>SUM(BE102:BH102)</f>
        <v>1335697</v>
      </c>
      <c r="BJ102" s="90">
        <f>BJ238</f>
        <v>358815</v>
      </c>
      <c r="BK102" s="90">
        <f>BK238</f>
        <v>350982</v>
      </c>
      <c r="BL102" s="90">
        <f>BL238</f>
        <v>355672</v>
      </c>
      <c r="BM102" s="90">
        <f>BM238</f>
        <v>352855</v>
      </c>
      <c r="BN102" s="91">
        <f>SUM(BJ102:BM102)</f>
        <v>1418324</v>
      </c>
      <c r="BO102" s="90">
        <f>BO238</f>
        <v>346253</v>
      </c>
      <c r="BP102" s="90">
        <f>BP238</f>
        <v>344672</v>
      </c>
      <c r="BQ102" s="90">
        <f>BQ238</f>
        <v>341652</v>
      </c>
      <c r="BR102" s="90">
        <f>BR238</f>
        <v>329291</v>
      </c>
      <c r="BS102" s="91">
        <f>SUM(BO102:BR102)</f>
        <v>1361868</v>
      </c>
      <c r="BT102" s="90">
        <f>BT238</f>
        <v>437664</v>
      </c>
      <c r="BU102" s="90">
        <f>BU238</f>
        <v>512962</v>
      </c>
      <c r="BV102" s="90">
        <f>BV238</f>
        <v>514148</v>
      </c>
      <c r="BW102" s="90">
        <f>BW238</f>
        <v>511988</v>
      </c>
      <c r="BX102" s="91">
        <f>SUM(BT102:BW102)</f>
        <v>1976762</v>
      </c>
      <c r="BY102" s="90">
        <f>BY238</f>
        <v>509719</v>
      </c>
      <c r="BZ102" s="90">
        <f>BZ238</f>
        <v>511456</v>
      </c>
      <c r="CA102" s="90">
        <f>CA238</f>
        <v>512465</v>
      </c>
      <c r="CB102" s="90">
        <f>CB238</f>
        <v>504119</v>
      </c>
      <c r="CC102" s="91">
        <f>SUM(BY102:CB102)</f>
        <v>2037759</v>
      </c>
      <c r="CD102" s="90">
        <f>CD238</f>
        <v>513192</v>
      </c>
      <c r="CE102" s="90">
        <f>CE238</f>
        <v>468087</v>
      </c>
      <c r="CF102" s="90">
        <f>CF238</f>
        <v>445817</v>
      </c>
      <c r="CG102" s="90">
        <f>CG238</f>
        <v>440160</v>
      </c>
      <c r="CH102" s="91">
        <f>SUM(CD102:CG102)</f>
        <v>1867256</v>
      </c>
      <c r="CI102" s="90">
        <f>CI238</f>
        <v>449012</v>
      </c>
      <c r="CJ102" s="90">
        <f>CJ238</f>
        <v>415515</v>
      </c>
      <c r="CK102" s="90">
        <f>CK238</f>
        <v>376597</v>
      </c>
      <c r="CL102" s="90">
        <f>CL238</f>
        <v>355418</v>
      </c>
      <c r="CM102" s="91">
        <f>SUM(CI102:CL102)</f>
        <v>1596542</v>
      </c>
      <c r="CN102" s="90">
        <f ca="1">CN71+CN189</f>
        <v>314440.95891113451</v>
      </c>
      <c r="CO102" s="90">
        <f ca="1">CO71+CO189</f>
        <v>277691.38031613053</v>
      </c>
      <c r="CP102" s="90">
        <f ca="1">CP71+CP189</f>
        <v>250448.70553328635</v>
      </c>
      <c r="CQ102" s="90">
        <f ca="1">CQ71+CQ189</f>
        <v>252109.64746804617</v>
      </c>
      <c r="CR102" s="91">
        <f ca="1">SUM(CN102:CQ102)</f>
        <v>1094690.6922285976</v>
      </c>
      <c r="CS102" s="90">
        <f ca="1">CS71+CS189</f>
        <v>277107.22462690005</v>
      </c>
      <c r="CT102" s="90">
        <f ca="1">CT71+CT189</f>
        <v>273107.38406376808</v>
      </c>
      <c r="CU102" s="90">
        <f ca="1">CU71+CU189</f>
        <v>276752.50366884307</v>
      </c>
      <c r="CV102" s="90">
        <f ca="1">CV71+CV189</f>
        <v>265971.51533332444</v>
      </c>
      <c r="CW102" s="91">
        <f ca="1">SUM(CS102:CV102)</f>
        <v>1092938.6276928356</v>
      </c>
      <c r="CX102" s="90">
        <f ca="1">CX71+CX189</f>
        <v>284241.01408583473</v>
      </c>
      <c r="CY102" s="90">
        <f ca="1">CY71+CY189</f>
        <v>281040.29438617907</v>
      </c>
      <c r="CZ102" s="90">
        <f ca="1">CZ71+CZ189</f>
        <v>278864.14406913286</v>
      </c>
      <c r="DA102" s="90">
        <f ca="1">DA71+DA189</f>
        <v>273551.68952560186</v>
      </c>
      <c r="DB102" s="91">
        <f ca="1">SUM(CX102:DA102)</f>
        <v>1117697.1420667486</v>
      </c>
      <c r="DC102" s="16"/>
      <c r="DD102" s="16"/>
      <c r="DE102" s="16"/>
      <c r="DF102" s="16"/>
      <c r="DG102" s="16"/>
      <c r="DH102" s="16"/>
      <c r="DI102" s="16"/>
      <c r="DJ102" s="16"/>
    </row>
    <row r="103" spans="1:114" s="725" customFormat="1" ht="11.25" customHeight="1">
      <c r="A103" s="16"/>
      <c r="B103" s="77" t="s">
        <v>256</v>
      </c>
      <c r="C103" s="52"/>
      <c r="D103" s="1053" t="s">
        <v>257</v>
      </c>
      <c r="E103" s="96">
        <f>E102/D102-1</f>
        <v>0.22550331780319066</v>
      </c>
      <c r="F103" s="96">
        <f>F102/E102-1</f>
        <v>0.20927071140890119</v>
      </c>
      <c r="G103" s="115">
        <v>5.5E-2</v>
      </c>
      <c r="H103" s="115">
        <v>3.1E-2</v>
      </c>
      <c r="I103" s="115">
        <v>4.3999999999999997E-2</v>
      </c>
      <c r="J103" s="115">
        <v>4.7E-2</v>
      </c>
      <c r="K103" s="96">
        <f t="shared" ref="K103:Z103" si="167">K102/F102-1</f>
        <v>0.18565728853474783</v>
      </c>
      <c r="L103" s="98">
        <f t="shared" si="167"/>
        <v>0.26457569906878398</v>
      </c>
      <c r="M103" s="98">
        <f t="shared" si="167"/>
        <v>0.28995458624534298</v>
      </c>
      <c r="N103" s="98">
        <f t="shared" si="167"/>
        <v>0.27232299590403741</v>
      </c>
      <c r="O103" s="98">
        <f t="shared" si="167"/>
        <v>0.16251729725254571</v>
      </c>
      <c r="P103" s="96">
        <f t="shared" si="167"/>
        <v>0.24475555941235272</v>
      </c>
      <c r="Q103" s="98">
        <f t="shared" si="167"/>
        <v>0.15007114591663973</v>
      </c>
      <c r="R103" s="98">
        <f t="shared" si="167"/>
        <v>0.12885918773914051</v>
      </c>
      <c r="S103" s="98">
        <f t="shared" si="167"/>
        <v>0.22271277900416964</v>
      </c>
      <c r="T103" s="98">
        <f t="shared" si="167"/>
        <v>0.305426687828104</v>
      </c>
      <c r="U103" s="96">
        <f t="shared" si="167"/>
        <v>0.20265587721925571</v>
      </c>
      <c r="V103" s="98">
        <f t="shared" si="167"/>
        <v>0.18280502122279429</v>
      </c>
      <c r="W103" s="98">
        <f t="shared" si="167"/>
        <v>0.19766377829237314</v>
      </c>
      <c r="X103" s="98">
        <f t="shared" si="167"/>
        <v>9.7467402206619758E-2</v>
      </c>
      <c r="Y103" s="98">
        <f t="shared" si="167"/>
        <v>2.5079298278428475E-2</v>
      </c>
      <c r="Z103" s="96">
        <f t="shared" si="167"/>
        <v>0.12085130501804509</v>
      </c>
      <c r="AA103" s="98">
        <f t="shared" ref="AA103:CG103" si="168">AA102/V102-1</f>
        <v>3.3358275051156072E-2</v>
      </c>
      <c r="AB103" s="98">
        <f t="shared" si="168"/>
        <v>3.5075819592250479E-2</v>
      </c>
      <c r="AC103" s="98">
        <f t="shared" si="168"/>
        <v>2.7806338108620654E-2</v>
      </c>
      <c r="AD103" s="98">
        <f t="shared" si="168"/>
        <v>3.5459321376709596E-2</v>
      </c>
      <c r="AE103" s="96">
        <f t="shared" si="168"/>
        <v>3.2913273915899932E-2</v>
      </c>
      <c r="AF103" s="98">
        <f t="shared" si="168"/>
        <v>5.7831699189454744E-2</v>
      </c>
      <c r="AG103" s="98">
        <f t="shared" si="168"/>
        <v>0.10890753517519802</v>
      </c>
      <c r="AH103" s="98">
        <f t="shared" si="168"/>
        <v>0.15833036931649769</v>
      </c>
      <c r="AI103" s="98">
        <f t="shared" si="168"/>
        <v>0.16703256360365648</v>
      </c>
      <c r="AJ103" s="96">
        <f t="shared" si="168"/>
        <v>0.12313723453969572</v>
      </c>
      <c r="AK103" s="98">
        <f t="shared" si="168"/>
        <v>0.13863433169423334</v>
      </c>
      <c r="AL103" s="98">
        <f t="shared" si="168"/>
        <v>0.11315487389877932</v>
      </c>
      <c r="AM103" s="98">
        <f t="shared" si="168"/>
        <v>0.68332704277790923</v>
      </c>
      <c r="AN103" s="98">
        <f t="shared" si="168"/>
        <v>0.84458677269981886</v>
      </c>
      <c r="AO103" s="96">
        <f t="shared" si="168"/>
        <v>0.45829136767857559</v>
      </c>
      <c r="AP103" s="98">
        <f t="shared" si="168"/>
        <v>0.90319355155322167</v>
      </c>
      <c r="AQ103" s="98">
        <f t="shared" si="168"/>
        <v>0.82599065181044895</v>
      </c>
      <c r="AR103" s="98">
        <f t="shared" si="168"/>
        <v>0.14649078803356441</v>
      </c>
      <c r="AS103" s="98">
        <f t="shared" si="168"/>
        <v>1.0720157169851197E-2</v>
      </c>
      <c r="AT103" s="96">
        <f t="shared" si="168"/>
        <v>0.36716786304657956</v>
      </c>
      <c r="AU103" s="98">
        <f t="shared" si="168"/>
        <v>-1.1490696242719589E-2</v>
      </c>
      <c r="AV103" s="98">
        <f t="shared" si="168"/>
        <v>7.3972337233121799E-2</v>
      </c>
      <c r="AW103" s="98">
        <f t="shared" si="168"/>
        <v>8.6693648631179121E-2</v>
      </c>
      <c r="AX103" s="98">
        <f t="shared" si="168"/>
        <v>7.0347485396299314E-2</v>
      </c>
      <c r="AY103" s="96">
        <f t="shared" si="168"/>
        <v>5.4302655878626371E-2</v>
      </c>
      <c r="AZ103" s="98">
        <f t="shared" si="168"/>
        <v>5.6670340348108583E-2</v>
      </c>
      <c r="BA103" s="98">
        <f t="shared" si="168"/>
        <v>5.8621644579830434E-3</v>
      </c>
      <c r="BB103" s="98">
        <f t="shared" si="168"/>
        <v>-2.4066838093320664E-3</v>
      </c>
      <c r="BC103" s="98">
        <f t="shared" si="168"/>
        <v>5.1362812327579332E-2</v>
      </c>
      <c r="BD103" s="96">
        <f t="shared" si="168"/>
        <v>2.7308553030011451E-2</v>
      </c>
      <c r="BE103" s="98">
        <f t="shared" si="168"/>
        <v>4.0383748989403445E-2</v>
      </c>
      <c r="BF103" s="98">
        <f t="shared" si="168"/>
        <v>2.7571635830443642E-2</v>
      </c>
      <c r="BG103" s="98">
        <f t="shared" si="168"/>
        <v>2.3225948484626002E-2</v>
      </c>
      <c r="BH103" s="98">
        <f t="shared" si="168"/>
        <v>-5.2359161053900927E-3</v>
      </c>
      <c r="BI103" s="96">
        <f t="shared" si="168"/>
        <v>2.1294539804732615E-2</v>
      </c>
      <c r="BJ103" s="98">
        <f t="shared" si="168"/>
        <v>6.4249761977499764E-2</v>
      </c>
      <c r="BK103" s="98">
        <f t="shared" si="168"/>
        <v>5.6601842374616185E-2</v>
      </c>
      <c r="BL103" s="98">
        <f t="shared" si="168"/>
        <v>6.2836925210074002E-2</v>
      </c>
      <c r="BM103" s="98">
        <f t="shared" si="168"/>
        <v>6.371337272398403E-2</v>
      </c>
      <c r="BN103" s="96">
        <f t="shared" si="168"/>
        <v>6.1860586645025029E-2</v>
      </c>
      <c r="BO103" s="98">
        <f t="shared" si="168"/>
        <v>-3.50096846564385E-2</v>
      </c>
      <c r="BP103" s="98">
        <f t="shared" si="168"/>
        <v>-1.7978129932589182E-2</v>
      </c>
      <c r="BQ103" s="98">
        <f t="shared" si="168"/>
        <v>-3.9418340493488357E-2</v>
      </c>
      <c r="BR103" s="98">
        <f t="shared" si="168"/>
        <v>-6.678097235408309E-2</v>
      </c>
      <c r="BS103" s="96">
        <f t="shared" si="168"/>
        <v>-3.9804727269650675E-2</v>
      </c>
      <c r="BT103" s="98">
        <f t="shared" si="168"/>
        <v>0.26400060071681697</v>
      </c>
      <c r="BU103" s="98">
        <f t="shared" si="168"/>
        <v>0.4882613035001393</v>
      </c>
      <c r="BV103" s="98">
        <f t="shared" si="168"/>
        <v>0.50488801470502143</v>
      </c>
      <c r="BW103" s="98">
        <f t="shared" si="168"/>
        <v>0.55481929357316173</v>
      </c>
      <c r="BX103" s="96">
        <f t="shared" si="168"/>
        <v>0.45150778195831021</v>
      </c>
      <c r="BY103" s="98">
        <f t="shared" si="168"/>
        <v>0.16463542809095566</v>
      </c>
      <c r="BZ103" s="98">
        <f t="shared" si="168"/>
        <v>-2.9358899879523559E-3</v>
      </c>
      <c r="CA103" s="98">
        <f t="shared" si="168"/>
        <v>-3.273376537495043E-3</v>
      </c>
      <c r="CB103" s="98">
        <f t="shared" si="168"/>
        <v>-1.5369500847676076E-2</v>
      </c>
      <c r="CC103" s="96">
        <f t="shared" ref="CC103:CH103" si="169">CC102/BX102-1</f>
        <v>3.0857027806078907E-2</v>
      </c>
      <c r="CD103" s="98">
        <f t="shared" si="168"/>
        <v>6.8135580584596234E-3</v>
      </c>
      <c r="CE103" s="98">
        <f t="shared" si="168"/>
        <v>-8.4795172996308565E-2</v>
      </c>
      <c r="CF103" s="98">
        <f t="shared" si="168"/>
        <v>-0.13005375976895983</v>
      </c>
      <c r="CG103" s="98">
        <f t="shared" si="168"/>
        <v>-0.12687282169487757</v>
      </c>
      <c r="CH103" s="96">
        <f t="shared" si="169"/>
        <v>-8.3671817913698376E-2</v>
      </c>
      <c r="CI103" s="98">
        <f t="shared" ref="CI103:CR103" si="170">CI102/CD102-1</f>
        <v>-0.12506040624171855</v>
      </c>
      <c r="CJ103" s="98">
        <f t="shared" si="170"/>
        <v>-0.11231245473597862</v>
      </c>
      <c r="CK103" s="98">
        <f t="shared" si="170"/>
        <v>-0.15526550131556216</v>
      </c>
      <c r="CL103" s="98">
        <f t="shared" si="170"/>
        <v>-0.19252544529262083</v>
      </c>
      <c r="CM103" s="96">
        <f t="shared" si="170"/>
        <v>-0.14497958501673047</v>
      </c>
      <c r="CN103" s="98">
        <f t="shared" ca="1" si="170"/>
        <v>-0.2997047764622448</v>
      </c>
      <c r="CO103" s="98">
        <f t="shared" ca="1" si="170"/>
        <v>-0.33169348804223553</v>
      </c>
      <c r="CP103" s="98">
        <f t="shared" ca="1" si="170"/>
        <v>-0.33496893089088242</v>
      </c>
      <c r="CQ103" s="98">
        <f t="shared" ca="1" si="170"/>
        <v>-0.29066719336655389</v>
      </c>
      <c r="CR103" s="96">
        <f t="shared" ca="1" si="170"/>
        <v>-0.31433642695989361</v>
      </c>
      <c r="CS103" s="98">
        <f t="shared" ref="CS103" ca="1" si="171">CS102/CN102-1</f>
        <v>-0.11873050639940808</v>
      </c>
      <c r="CT103" s="98">
        <f t="shared" ref="CT103" ca="1" si="172">CT102/CO102-1</f>
        <v>-1.650752085694529E-2</v>
      </c>
      <c r="CU103" s="98">
        <f t="shared" ref="CU103" ca="1" si="173">CU102/CP102-1</f>
        <v>0.10502668831746376</v>
      </c>
      <c r="CV103" s="98">
        <f t="shared" ref="CV103" ca="1" si="174">CV102/CQ102-1</f>
        <v>5.4983488353158805E-2</v>
      </c>
      <c r="CW103" s="96">
        <f t="shared" ref="CW103" ca="1" si="175">CW102/CR102-1</f>
        <v>-1.6005110376841047E-3</v>
      </c>
      <c r="CX103" s="98">
        <f t="shared" ref="CX103" ca="1" si="176">CX102/CS102-1</f>
        <v>2.5743787331924173E-2</v>
      </c>
      <c r="CY103" s="98">
        <f t="shared" ref="CY103" ca="1" si="177">CY102/CT102-1</f>
        <v>2.9046854040968517E-2</v>
      </c>
      <c r="CZ103" s="98">
        <f t="shared" ref="CZ103" ca="1" si="178">CZ102/CU102-1</f>
        <v>7.6300679209628797E-3</v>
      </c>
      <c r="DA103" s="98">
        <f t="shared" ref="DA103" ca="1" si="179">DA102/CV102-1</f>
        <v>2.8499947382627511E-2</v>
      </c>
      <c r="DB103" s="96">
        <f t="shared" ref="DB103" ca="1" si="180">DB102/CW102-1</f>
        <v>2.2653160705077724E-2</v>
      </c>
      <c r="DC103" s="16"/>
      <c r="DD103" s="16"/>
      <c r="DE103" s="16"/>
      <c r="DF103" s="16"/>
      <c r="DG103" s="16"/>
      <c r="DH103" s="16"/>
      <c r="DI103" s="16"/>
      <c r="DJ103" s="16"/>
    </row>
    <row r="104" spans="1:114" s="725" customFormat="1" ht="11.25" customHeight="1">
      <c r="A104" s="16"/>
      <c r="B104" s="77" t="s">
        <v>373</v>
      </c>
      <c r="C104" s="52"/>
      <c r="D104" s="1053"/>
      <c r="E104" s="97"/>
      <c r="F104" s="96"/>
      <c r="G104" s="54"/>
      <c r="H104" s="54"/>
      <c r="I104" s="54"/>
      <c r="J104" s="54"/>
      <c r="K104" s="96">
        <f t="shared" ref="K104:AP104" si="181">K102/F275-1</f>
        <v>0.18565728853474783</v>
      </c>
      <c r="L104" s="54">
        <f t="shared" si="181"/>
        <v>0.26457569906878398</v>
      </c>
      <c r="M104" s="54">
        <f t="shared" si="181"/>
        <v>0.28995458624534298</v>
      </c>
      <c r="N104" s="54">
        <f t="shared" si="181"/>
        <v>0.27232299590403741</v>
      </c>
      <c r="O104" s="54">
        <f t="shared" si="181"/>
        <v>0.16251729725254571</v>
      </c>
      <c r="P104" s="96">
        <f t="shared" si="181"/>
        <v>0.24435962189706917</v>
      </c>
      <c r="Q104" s="54">
        <f t="shared" si="181"/>
        <v>0.15007114591663973</v>
      </c>
      <c r="R104" s="54">
        <f t="shared" si="181"/>
        <v>0.12885918773914051</v>
      </c>
      <c r="S104" s="54">
        <f t="shared" si="181"/>
        <v>0.22271277900416964</v>
      </c>
      <c r="T104" s="54">
        <f t="shared" si="181"/>
        <v>0.305426687828104</v>
      </c>
      <c r="U104" s="96">
        <f t="shared" si="181"/>
        <v>0.20259687951026439</v>
      </c>
      <c r="V104" s="54">
        <f t="shared" si="181"/>
        <v>0.18280502122279429</v>
      </c>
      <c r="W104" s="54">
        <f t="shared" si="181"/>
        <v>0.19766377829237314</v>
      </c>
      <c r="X104" s="54">
        <f t="shared" si="181"/>
        <v>0.11371135332287197</v>
      </c>
      <c r="Y104" s="54">
        <f t="shared" si="181"/>
        <v>3.874432379072057E-2</v>
      </c>
      <c r="Z104" s="96">
        <f t="shared" si="181"/>
        <v>0.13812678626318653</v>
      </c>
      <c r="AA104" s="54">
        <f t="shared" si="181"/>
        <v>9.5780942588109541E-2</v>
      </c>
      <c r="AB104" s="54">
        <f t="shared" si="181"/>
        <v>0.10372691978351778</v>
      </c>
      <c r="AC104" s="54">
        <f t="shared" si="181"/>
        <v>7.9210216958423674E-2</v>
      </c>
      <c r="AD104" s="54">
        <f t="shared" si="181"/>
        <v>8.5106722012859182E-2</v>
      </c>
      <c r="AE104" s="96">
        <f t="shared" si="181"/>
        <v>9.2098441398528852E-2</v>
      </c>
      <c r="AF104" s="54">
        <f t="shared" si="181"/>
        <v>6.434322333157394E-2</v>
      </c>
      <c r="AG104" s="54">
        <f t="shared" si="181"/>
        <v>0.10890753517519802</v>
      </c>
      <c r="AH104" s="54">
        <f t="shared" si="181"/>
        <v>0.15833036931649769</v>
      </c>
      <c r="AI104" s="54">
        <f t="shared" si="181"/>
        <v>0.16703256360365648</v>
      </c>
      <c r="AJ104" s="96">
        <f t="shared" si="181"/>
        <v>0.12482054805969045</v>
      </c>
      <c r="AK104" s="54">
        <f t="shared" si="181"/>
        <v>0.13863433169423334</v>
      </c>
      <c r="AL104" s="54">
        <f t="shared" si="181"/>
        <v>0.11315487389877932</v>
      </c>
      <c r="AM104" s="54">
        <f t="shared" si="181"/>
        <v>0.69351070607997212</v>
      </c>
      <c r="AN104" s="54">
        <f t="shared" si="181"/>
        <v>0.95803252412595596</v>
      </c>
      <c r="AO104" s="96">
        <f t="shared" si="181"/>
        <v>0.54687907749807785</v>
      </c>
      <c r="AP104" s="98">
        <f t="shared" si="181"/>
        <v>1.0204420537133032</v>
      </c>
      <c r="AQ104" s="98">
        <f t="shared" ref="AQ104:BR104" si="182">AQ102/AL275-1</f>
        <v>0.93358231618668541</v>
      </c>
      <c r="AR104" s="98">
        <f t="shared" si="182"/>
        <v>0.21850273643395202</v>
      </c>
      <c r="AS104" s="98">
        <f t="shared" si="182"/>
        <v>2.3762225730779907E-2</v>
      </c>
      <c r="AT104" s="96">
        <f t="shared" si="182"/>
        <v>0.43347088208478946</v>
      </c>
      <c r="AU104" s="98">
        <f t="shared" si="182"/>
        <v>1.7736809268871223E-3</v>
      </c>
      <c r="AV104" s="98">
        <f t="shared" si="182"/>
        <v>7.7378218644925667E-2</v>
      </c>
      <c r="AW104" s="98">
        <f t="shared" si="182"/>
        <v>8.9803937212038942E-2</v>
      </c>
      <c r="AX104" s="98">
        <f t="shared" si="182"/>
        <v>6.0232788244260593E-2</v>
      </c>
      <c r="AY104" s="96">
        <f t="shared" si="182"/>
        <v>5.4087911796753652E-2</v>
      </c>
      <c r="AZ104" s="98">
        <f t="shared" si="182"/>
        <v>4.7320182015616163E-2</v>
      </c>
      <c r="BA104" s="98">
        <f t="shared" si="182"/>
        <v>5.8621644579830434E-3</v>
      </c>
      <c r="BB104" s="98">
        <f t="shared" si="182"/>
        <v>-2.4066838093320664E-3</v>
      </c>
      <c r="BC104" s="98">
        <f t="shared" si="182"/>
        <v>5.1362812327579332E-2</v>
      </c>
      <c r="BD104" s="96">
        <f t="shared" si="182"/>
        <v>2.504843685339142E-2</v>
      </c>
      <c r="BE104" s="98">
        <f t="shared" si="182"/>
        <v>4.7049251093933986E-2</v>
      </c>
      <c r="BF104" s="98">
        <f t="shared" si="182"/>
        <v>5.3155535264763243E-2</v>
      </c>
      <c r="BG104" s="98">
        <f t="shared" si="182"/>
        <v>4.857727462156225E-2</v>
      </c>
      <c r="BH104" s="98">
        <f t="shared" si="182"/>
        <v>1.768024616743924E-2</v>
      </c>
      <c r="BI104" s="96">
        <f t="shared" si="182"/>
        <v>4.5772312847674801E-2</v>
      </c>
      <c r="BJ104" s="98">
        <f t="shared" si="182"/>
        <v>8.1259850112551213E-2</v>
      </c>
      <c r="BK104" s="98">
        <f t="shared" si="182"/>
        <v>5.6601842374616185E-2</v>
      </c>
      <c r="BL104" s="98">
        <f t="shared" si="182"/>
        <v>6.2836925210074002E-2</v>
      </c>
      <c r="BM104" s="98">
        <f t="shared" si="182"/>
        <v>6.371337272398403E-2</v>
      </c>
      <c r="BN104" s="96">
        <f t="shared" si="182"/>
        <v>6.5617421043615787E-2</v>
      </c>
      <c r="BO104" s="98">
        <f t="shared" si="182"/>
        <v>-3.50096846564385E-2</v>
      </c>
      <c r="BP104" s="98">
        <f t="shared" si="182"/>
        <v>-1.7978129932589182E-2</v>
      </c>
      <c r="BQ104" s="98">
        <f t="shared" si="182"/>
        <v>-3.9418340493488357E-2</v>
      </c>
      <c r="BR104" s="98">
        <f t="shared" si="182"/>
        <v>-6.678097235408309E-2</v>
      </c>
      <c r="BS104" s="96"/>
      <c r="BT104" s="98">
        <f>BT102/BO275-1</f>
        <v>0.28406710440614713</v>
      </c>
      <c r="BU104" s="98">
        <f>BU102/BP275-1</f>
        <v>0.51640080880700956</v>
      </c>
      <c r="BV104" s="98">
        <f>BV102/BQ275-1</f>
        <v>0.53210839675548738</v>
      </c>
      <c r="BW104" s="98">
        <f>BW102/BR275-1</f>
        <v>0.58187963838372614</v>
      </c>
      <c r="BX104" s="96"/>
      <c r="BY104" s="98">
        <f t="shared" ref="BY104:CM104" si="183">BY102/BT275-1</f>
        <v>0.17011888993211866</v>
      </c>
      <c r="BZ104" s="98">
        <f t="shared" si="183"/>
        <v>4.6359779272675539E-4</v>
      </c>
      <c r="CA104" s="98">
        <f t="shared" si="183"/>
        <v>2.3412378635079278E-3</v>
      </c>
      <c r="CB104" s="98">
        <f t="shared" si="183"/>
        <v>-1.5369500847676076E-2</v>
      </c>
      <c r="CC104" s="96">
        <f t="shared" si="183"/>
        <v>3.4516212552734515E-2</v>
      </c>
      <c r="CD104" s="98">
        <f t="shared" si="183"/>
        <v>6.8135580584596234E-3</v>
      </c>
      <c r="CE104" s="98">
        <f t="shared" si="183"/>
        <v>-8.4795172996308565E-2</v>
      </c>
      <c r="CF104" s="98">
        <f t="shared" si="183"/>
        <v>-0.13005375976895983</v>
      </c>
      <c r="CG104" s="98">
        <f t="shared" si="183"/>
        <v>-0.12687282169487757</v>
      </c>
      <c r="CH104" s="96">
        <f t="shared" si="183"/>
        <v>-8.3826479819714694E-2</v>
      </c>
      <c r="CI104" s="98">
        <f t="shared" si="183"/>
        <v>-0.12506040624171855</v>
      </c>
      <c r="CJ104" s="98">
        <f t="shared" si="183"/>
        <v>-0.11041197892469712</v>
      </c>
      <c r="CK104" s="98">
        <f t="shared" si="183"/>
        <v>-0.15526550131556216</v>
      </c>
      <c r="CL104" s="98">
        <f t="shared" si="183"/>
        <v>-0.19252544529262083</v>
      </c>
      <c r="CM104" s="96">
        <f t="shared" si="183"/>
        <v>-0.14502170993301733</v>
      </c>
      <c r="CN104" s="54"/>
      <c r="CO104" s="54"/>
      <c r="CP104" s="54"/>
      <c r="CQ104" s="54"/>
      <c r="CR104" s="96"/>
      <c r="CS104" s="54"/>
      <c r="CT104" s="54"/>
      <c r="CU104" s="54"/>
      <c r="CV104" s="54"/>
      <c r="CW104" s="96"/>
      <c r="CX104" s="54"/>
      <c r="CY104" s="54"/>
      <c r="CZ104" s="54"/>
      <c r="DA104" s="54"/>
      <c r="DB104" s="96"/>
      <c r="DC104" s="16"/>
      <c r="DD104" s="16"/>
      <c r="DE104" s="16"/>
      <c r="DF104" s="16"/>
      <c r="DG104" s="16"/>
      <c r="DH104" s="16"/>
      <c r="DI104" s="16"/>
      <c r="DJ104" s="16"/>
    </row>
    <row r="105" spans="1:114" s="725" customFormat="1" ht="11.25" customHeight="1">
      <c r="A105" s="16"/>
      <c r="B105" s="16"/>
      <c r="C105" s="40"/>
      <c r="D105" s="1061"/>
      <c r="E105" s="1061"/>
      <c r="F105" s="1062"/>
      <c r="G105" s="1063"/>
      <c r="H105" s="1063"/>
      <c r="I105" s="1063"/>
      <c r="J105" s="1063"/>
      <c r="K105" s="1062"/>
      <c r="L105" s="1063"/>
      <c r="M105" s="1063"/>
      <c r="N105" s="1063"/>
      <c r="O105" s="1063"/>
      <c r="P105" s="1062"/>
      <c r="Q105" s="1063"/>
      <c r="R105" s="1063"/>
      <c r="S105" s="1063"/>
      <c r="T105" s="1063"/>
      <c r="U105" s="1062"/>
      <c r="V105" s="1063"/>
      <c r="W105" s="1063"/>
      <c r="X105" s="1063"/>
      <c r="Y105" s="1063"/>
      <c r="Z105" s="1062"/>
      <c r="AA105" s="1063"/>
      <c r="AB105" s="1063"/>
      <c r="AC105" s="1063"/>
      <c r="AD105" s="1063"/>
      <c r="AE105" s="1062"/>
      <c r="AF105" s="1063"/>
      <c r="AG105" s="1063"/>
      <c r="AH105" s="1063"/>
      <c r="AI105" s="1063"/>
      <c r="AJ105" s="1062"/>
      <c r="AK105" s="1063"/>
      <c r="AL105" s="1063"/>
      <c r="AM105" s="1063"/>
      <c r="AN105" s="1063"/>
      <c r="AO105" s="1062"/>
      <c r="AP105" s="1063"/>
      <c r="AQ105" s="1063"/>
      <c r="AR105" s="1063"/>
      <c r="AS105" s="1068"/>
      <c r="AT105" s="1062"/>
      <c r="AU105" s="1068"/>
      <c r="AV105" s="1068"/>
      <c r="AW105" s="1068"/>
      <c r="AX105" s="1068"/>
      <c r="AY105" s="1062"/>
      <c r="AZ105" s="1068"/>
      <c r="BA105" s="1068"/>
      <c r="BB105" s="1068"/>
      <c r="BC105" s="1068"/>
      <c r="BD105" s="1062"/>
      <c r="BE105" s="1068"/>
      <c r="BF105" s="1068"/>
      <c r="BG105" s="1068"/>
      <c r="BH105" s="1068"/>
      <c r="BI105" s="1062"/>
      <c r="BJ105" s="1068"/>
      <c r="BK105" s="1068"/>
      <c r="BL105" s="1068"/>
      <c r="BM105" s="1068"/>
      <c r="BN105" s="1062"/>
      <c r="BO105" s="1068"/>
      <c r="BP105" s="1068"/>
      <c r="BQ105" s="1068"/>
      <c r="BR105" s="1068"/>
      <c r="BS105" s="1062"/>
      <c r="BT105" s="1068"/>
      <c r="BU105" s="1068"/>
      <c r="BV105" s="1068"/>
      <c r="BW105" s="1068"/>
      <c r="BX105" s="1062"/>
      <c r="BY105" s="1068"/>
      <c r="BZ105" s="1068"/>
      <c r="CA105" s="1068"/>
      <c r="CB105" s="1068"/>
      <c r="CC105" s="1062"/>
      <c r="CD105" s="1068"/>
      <c r="CE105" s="1068"/>
      <c r="CF105" s="1068"/>
      <c r="CG105" s="1068"/>
      <c r="CH105" s="1062"/>
      <c r="CI105" s="1068"/>
      <c r="CJ105" s="1068"/>
      <c r="CK105" s="1068"/>
      <c r="CL105" s="1068"/>
      <c r="CM105" s="1062"/>
      <c r="CN105" s="1068"/>
      <c r="CO105" s="1068"/>
      <c r="CP105" s="1068"/>
      <c r="CQ105" s="1068"/>
      <c r="CR105" s="1062"/>
      <c r="CS105" s="1068"/>
      <c r="CT105" s="1068"/>
      <c r="CU105" s="1068"/>
      <c r="CV105" s="1068"/>
      <c r="CW105" s="1062"/>
      <c r="CX105" s="1068"/>
      <c r="CY105" s="1068"/>
      <c r="CZ105" s="1068"/>
      <c r="DA105" s="1068"/>
      <c r="DB105" s="1062"/>
      <c r="DC105" s="16"/>
      <c r="DD105" s="16"/>
      <c r="DE105" s="16"/>
      <c r="DF105" s="16"/>
      <c r="DG105" s="16"/>
      <c r="DH105" s="16"/>
      <c r="DI105" s="16"/>
      <c r="DJ105" s="16"/>
    </row>
    <row r="106" spans="1:114" s="725" customFormat="1" ht="11.25" customHeight="1">
      <c r="A106" s="16"/>
      <c r="B106" s="16" t="s">
        <v>262</v>
      </c>
      <c r="C106" s="579"/>
      <c r="D106" s="1069"/>
      <c r="E106" s="1069">
        <f t="shared" ref="E106:O106" si="184">+E93/E90</f>
        <v>40.825224614341415</v>
      </c>
      <c r="F106" s="1054">
        <f t="shared" si="184"/>
        <v>42.715350223546942</v>
      </c>
      <c r="G106" s="1070">
        <f t="shared" si="184"/>
        <v>12.487478159580665</v>
      </c>
      <c r="H106" s="1070">
        <f t="shared" si="184"/>
        <v>11.331429387405398</v>
      </c>
      <c r="I106" s="1070">
        <f t="shared" si="184"/>
        <v>10.858055925432756</v>
      </c>
      <c r="J106" s="1070">
        <f t="shared" si="184"/>
        <v>11.172505436095676</v>
      </c>
      <c r="K106" s="1054">
        <f t="shared" si="184"/>
        <v>45.431748158070995</v>
      </c>
      <c r="L106" s="1070">
        <f t="shared" si="184"/>
        <v>11.865853658536585</v>
      </c>
      <c r="M106" s="1070">
        <f t="shared" si="184"/>
        <v>11.267421216156237</v>
      </c>
      <c r="N106" s="1070">
        <f t="shared" si="184"/>
        <v>11.283708322038493</v>
      </c>
      <c r="O106" s="1070">
        <f t="shared" si="184"/>
        <v>11.108028365857447</v>
      </c>
      <c r="P106" s="1054">
        <f>SUM(L106:O106)</f>
        <v>45.525011562588759</v>
      </c>
      <c r="Q106" s="1070">
        <f>+Q93/Q90</f>
        <v>11.921871978340747</v>
      </c>
      <c r="R106" s="1070">
        <f>+R93/R90</f>
        <v>10.743815435930696</v>
      </c>
      <c r="S106" s="1070">
        <f>+S93/S90</f>
        <v>10.916256157635468</v>
      </c>
      <c r="T106" s="1070">
        <f>+T93/T90</f>
        <v>11.484789644012945</v>
      </c>
      <c r="U106" s="1054">
        <f>SUM(Q106:T106)</f>
        <v>45.066733215919854</v>
      </c>
      <c r="V106" s="1070">
        <f>+V93/V90</f>
        <v>11.746260208619713</v>
      </c>
      <c r="W106" s="1070">
        <f>+W93/W90</f>
        <v>11.127293208883167</v>
      </c>
      <c r="X106" s="1070">
        <f>+X93/X90</f>
        <v>10.915227505717215</v>
      </c>
      <c r="Y106" s="1070">
        <f>+Y93/Y90</f>
        <v>11.059909275770373</v>
      </c>
      <c r="Z106" s="91">
        <f>SUM(V106:Y106)</f>
        <v>44.848690198990468</v>
      </c>
      <c r="AA106" s="1070">
        <f>+AA93/AA90</f>
        <v>12.003321733628599</v>
      </c>
      <c r="AB106" s="1070">
        <f>+AB93/AB90</f>
        <v>11.348658390068081</v>
      </c>
      <c r="AC106" s="1070">
        <f>+AC93/AC90</f>
        <v>11.481892805408016</v>
      </c>
      <c r="AD106" s="1070">
        <f>+AD93/AD90</f>
        <v>11.633818324813213</v>
      </c>
      <c r="AE106" s="1054">
        <f>SUM(AA106:AD106)</f>
        <v>46.467691253917913</v>
      </c>
      <c r="AF106" s="1070">
        <f>+AF93/AF90</f>
        <v>12.144878498923408</v>
      </c>
      <c r="AG106" s="1070">
        <f>+AG93/AG90</f>
        <v>11.677063124906731</v>
      </c>
      <c r="AH106" s="1070">
        <f>+AH93/AH90</f>
        <v>11.865870137259085</v>
      </c>
      <c r="AI106" s="1070">
        <f>+AI93/AI90</f>
        <v>11.783865638766519</v>
      </c>
      <c r="AJ106" s="1054">
        <f>SUM(AF106:AI106)</f>
        <v>47.471677399855743</v>
      </c>
      <c r="AK106" s="1070">
        <f>+AK93/AK90</f>
        <v>12.125306456006538</v>
      </c>
      <c r="AL106" s="1070">
        <f>+AL93/AL90</f>
        <v>11.473412698412698</v>
      </c>
      <c r="AM106" s="1070">
        <f>+AM93/AM90</f>
        <v>14.549156366993179</v>
      </c>
      <c r="AN106" s="1070">
        <f>+AN93/AN90</f>
        <v>12.391324166223505</v>
      </c>
      <c r="AO106" s="1054">
        <f>SUM(AK106:AN106)</f>
        <v>50.539199687635922</v>
      </c>
      <c r="AP106" s="1070">
        <f>+AP93/AP90</f>
        <v>12.103915611238179</v>
      </c>
      <c r="AQ106" s="1070">
        <f>+AQ93/AQ90</f>
        <v>11.207206595867405</v>
      </c>
      <c r="AR106" s="1070">
        <f>+AR93/AR90</f>
        <v>11.143360552976654</v>
      </c>
      <c r="AS106" s="1070">
        <f>+AS93/AS90</f>
        <v>10.987110633727175</v>
      </c>
      <c r="AT106" s="1054">
        <f>SUM(AP106:AS106)</f>
        <v>45.441593393809413</v>
      </c>
      <c r="AU106" s="1070">
        <f>+AU93/AU90</f>
        <v>11.321077213554606</v>
      </c>
      <c r="AV106" s="1070">
        <f>+AV93/AV90</f>
        <v>11.120340992853251</v>
      </c>
      <c r="AW106" s="1070">
        <f>+AW93/AW90</f>
        <v>10.949662331165582</v>
      </c>
      <c r="AX106" s="1070">
        <f>+AX93/AX90</f>
        <v>10.794113947931077</v>
      </c>
      <c r="AY106" s="1054">
        <f>SUM(AU106:AX106)</f>
        <v>44.18519448550451</v>
      </c>
      <c r="AZ106" s="1070">
        <f>+AZ93/AZ90</f>
        <v>11.140533751962323</v>
      </c>
      <c r="BA106" s="1070">
        <f>+BA93/BA90</f>
        <v>10.717744714173845</v>
      </c>
      <c r="BB106" s="1070">
        <f>+BB93/BB90</f>
        <v>10.596698186811473</v>
      </c>
      <c r="BC106" s="1070">
        <f>+BC93/BC90</f>
        <v>10.712507264552045</v>
      </c>
      <c r="BD106" s="1054">
        <f>SUM(AZ106:BC106)</f>
        <v>43.167483917499688</v>
      </c>
      <c r="BE106" s="1070">
        <f>+BE93/BE90</f>
        <v>10.777503610977371</v>
      </c>
      <c r="BF106" s="1070">
        <f>+BF93/BF90</f>
        <v>10.132482619556384</v>
      </c>
      <c r="BG106" s="1070">
        <f>+BG93/BG90</f>
        <v>9.9425193763382484</v>
      </c>
      <c r="BH106" s="1070">
        <f>+BH93/BH90</f>
        <v>9.9204170911487992</v>
      </c>
      <c r="BI106" s="1054">
        <f>SUM(BE106:BH106)</f>
        <v>40.7729226980208</v>
      </c>
      <c r="BJ106" s="1070">
        <f>+BJ93/BJ90</f>
        <v>10.689861886570673</v>
      </c>
      <c r="BK106" s="1070">
        <f>+BK93/BK90</f>
        <v>10.090697539123859</v>
      </c>
      <c r="BL106" s="1070">
        <f>+BL93/BL90</f>
        <v>10.048644569571023</v>
      </c>
      <c r="BM106" s="1070">
        <f>+BM93/BM90</f>
        <v>10.040360172558557</v>
      </c>
      <c r="BN106" s="91">
        <f>SUM(BJ106:BM106)</f>
        <v>40.869564167824116</v>
      </c>
      <c r="BO106" s="1070">
        <f>+BO93/BO90</f>
        <v>10.103734680838706</v>
      </c>
      <c r="BP106" s="1070">
        <f>+BP93/BP90</f>
        <v>9.5501914819542773</v>
      </c>
      <c r="BQ106" s="1070">
        <f>+BQ93/BQ90</f>
        <v>9.3026046323805129</v>
      </c>
      <c r="BR106" s="1070">
        <f>+BR93/BR90</f>
        <v>8.9446526376477369</v>
      </c>
      <c r="BS106" s="91">
        <f>SUM(BO106:BR106)</f>
        <v>37.901183432821234</v>
      </c>
      <c r="BT106" s="1070">
        <f>+BT93/BT90</f>
        <v>9.8900946343043561</v>
      </c>
      <c r="BU106" s="1070">
        <f>+BU93/BU90</f>
        <v>9.0702556996146466</v>
      </c>
      <c r="BV106" s="1070">
        <f>+BV93/BV90</f>
        <v>8.807217013662374</v>
      </c>
      <c r="BW106" s="1070">
        <f>+BW93/BW90</f>
        <v>8.8633958901821011</v>
      </c>
      <c r="BX106" s="91">
        <f>SUM(BT106:BW106)</f>
        <v>36.630963237763481</v>
      </c>
      <c r="BY106" s="1070">
        <f>+BY93/BY90</f>
        <v>9.1971662492055781</v>
      </c>
      <c r="BZ106" s="1070">
        <f>+BZ93/BZ90</f>
        <v>8.8553588060223198</v>
      </c>
      <c r="CA106" s="1070">
        <f>+CA93/CA90</f>
        <v>8.7758663228665039</v>
      </c>
      <c r="CB106" s="1070">
        <f>+CB93/CB90</f>
        <v>8.7822194379987888</v>
      </c>
      <c r="CC106" s="91">
        <f>SUM(BY106:CB106)</f>
        <v>35.610610816093192</v>
      </c>
      <c r="CD106" s="1070">
        <f>+CD93/CD90</f>
        <v>9.1436104158596621</v>
      </c>
      <c r="CE106" s="1070">
        <f>+CE93/CE90</f>
        <v>8.5491783470275493</v>
      </c>
      <c r="CF106" s="1070">
        <f>+CF93/CF90</f>
        <v>8.66731041586198</v>
      </c>
      <c r="CG106" s="1070">
        <f>+CG93/CG90</f>
        <v>8.7600516573396465</v>
      </c>
      <c r="CH106" s="91">
        <f>SUM(CD106:CG106)</f>
        <v>35.12015083608884</v>
      </c>
      <c r="CI106" s="1070">
        <f>+CI93/CI90</f>
        <v>9.1159454525931487</v>
      </c>
      <c r="CJ106" s="1070">
        <f>+CJ93/CJ90</f>
        <v>8.4578636008483095</v>
      </c>
      <c r="CK106" s="1070">
        <f>+CK93/CK90</f>
        <v>8.3746317711503355</v>
      </c>
      <c r="CL106" s="1070">
        <f>+CL93/CL90</f>
        <v>8.634202715835368</v>
      </c>
      <c r="CM106" s="91">
        <f>SUM(CI106:CL106)</f>
        <v>34.582643540427156</v>
      </c>
      <c r="CN106" s="1070">
        <f ca="1">+CN93/CN90</f>
        <v>8.4344508723515634</v>
      </c>
      <c r="CO106" s="1070">
        <f ca="1">+CO93/CO90</f>
        <v>7.9886976483685981</v>
      </c>
      <c r="CP106" s="1070">
        <f ca="1">+CP93/CP90</f>
        <v>7.496859944707758</v>
      </c>
      <c r="CQ106" s="1070">
        <f ca="1">+CQ93/CQ90</f>
        <v>7.298178585836756</v>
      </c>
      <c r="CR106" s="91">
        <f ca="1">SUM(CN106:CQ106)</f>
        <v>31.218187051264675</v>
      </c>
      <c r="CS106" s="1070">
        <f ca="1">+CS93/CS90</f>
        <v>7.4252169322954815</v>
      </c>
      <c r="CT106" s="1070">
        <f ca="1">+CT93/CT90</f>
        <v>7.3984700526265428</v>
      </c>
      <c r="CU106" s="1070">
        <f ca="1">+CU93/CU90</f>
        <v>7.4172098288580868</v>
      </c>
      <c r="CV106" s="1070">
        <f ca="1">+CV93/CV90</f>
        <v>7.3525823858707513</v>
      </c>
      <c r="CW106" s="91">
        <f ca="1">SUM(CS106:CV106)</f>
        <v>29.593479199650861</v>
      </c>
      <c r="CX106" s="1070">
        <f ca="1">+CX93/CX90</f>
        <v>7.3932684294081694</v>
      </c>
      <c r="CY106" s="1070">
        <f ca="1">+CY93/CY90</f>
        <v>7.3710886241199445</v>
      </c>
      <c r="CZ106" s="1070">
        <f ca="1">+CZ93/CZ90</f>
        <v>7.3489753582475847</v>
      </c>
      <c r="DA106" s="1070">
        <f ca="1">+DA93/DA90</f>
        <v>7.3269284321728412</v>
      </c>
      <c r="DB106" s="91">
        <f ca="1">SUM(CX106:DA106)</f>
        <v>29.44026084394854</v>
      </c>
      <c r="DC106" s="16"/>
      <c r="DD106" s="16"/>
      <c r="DE106" s="16"/>
      <c r="DF106" s="16"/>
      <c r="DG106" s="16"/>
      <c r="DH106" s="16"/>
      <c r="DI106" s="16"/>
      <c r="DJ106" s="16"/>
    </row>
    <row r="107" spans="1:114" s="725" customFormat="1" ht="11.25" customHeight="1">
      <c r="A107" s="16"/>
      <c r="B107" s="77" t="s">
        <v>256</v>
      </c>
      <c r="C107" s="52"/>
      <c r="D107" s="1053"/>
      <c r="E107" s="1053"/>
      <c r="F107" s="78">
        <f>+F106/E106-1</f>
        <v>4.6297984323680819E-2</v>
      </c>
      <c r="G107" s="52"/>
      <c r="H107" s="52"/>
      <c r="I107" s="52"/>
      <c r="J107" s="52"/>
      <c r="K107" s="78">
        <f t="shared" ref="K107:T107" si="185">+K106/F106-1</f>
        <v>6.3593015632741556E-2</v>
      </c>
      <c r="L107" s="79">
        <f t="shared" si="185"/>
        <v>-4.9779826887397238E-2</v>
      </c>
      <c r="M107" s="79">
        <f t="shared" si="185"/>
        <v>-5.6487287755863091E-3</v>
      </c>
      <c r="N107" s="79">
        <f t="shared" si="185"/>
        <v>3.9201529217466335E-2</v>
      </c>
      <c r="O107" s="79">
        <f t="shared" si="185"/>
        <v>-5.7710484552480068E-3</v>
      </c>
      <c r="P107" s="78">
        <f t="shared" si="185"/>
        <v>2.0528244740500856E-3</v>
      </c>
      <c r="Q107" s="79">
        <f t="shared" si="185"/>
        <v>4.7209683699294125E-3</v>
      </c>
      <c r="R107" s="79">
        <f t="shared" si="185"/>
        <v>-4.6470773585241321E-2</v>
      </c>
      <c r="S107" s="79">
        <f t="shared" si="185"/>
        <v>-3.2564840734614187E-2</v>
      </c>
      <c r="T107" s="79">
        <f t="shared" si="185"/>
        <v>3.3917925463130993E-2</v>
      </c>
      <c r="U107" s="78">
        <f>U106/P106-1</f>
        <v>-1.0066517963182808E-2</v>
      </c>
      <c r="V107" s="79">
        <f>+V106/Q106-1</f>
        <v>-1.4730217707427107E-2</v>
      </c>
      <c r="W107" s="79">
        <f>+W106/R106-1</f>
        <v>3.5692885385018913E-2</v>
      </c>
      <c r="X107" s="79">
        <f>+X106/S106-1</f>
        <v>-9.4231200092664835E-5</v>
      </c>
      <c r="Y107" s="79">
        <f>+Y106/T106-1</f>
        <v>-3.6995050097766824E-2</v>
      </c>
      <c r="Z107" s="96">
        <f>Z106/U106-1</f>
        <v>-4.8382254796396351E-3</v>
      </c>
      <c r="AA107" s="98">
        <f t="shared" ref="AA107:BR107" si="186">AA106/V106-1</f>
        <v>2.1884542011103125E-2</v>
      </c>
      <c r="AB107" s="98">
        <f t="shared" si="186"/>
        <v>1.9893893063606338E-2</v>
      </c>
      <c r="AC107" s="98">
        <f t="shared" si="186"/>
        <v>5.1915115776926424E-2</v>
      </c>
      <c r="AD107" s="98">
        <f t="shared" si="186"/>
        <v>5.1890936420259548E-2</v>
      </c>
      <c r="AE107" s="96">
        <f t="shared" si="186"/>
        <v>3.609918255681599E-2</v>
      </c>
      <c r="AF107" s="98">
        <f t="shared" si="186"/>
        <v>1.1793132637461623E-2</v>
      </c>
      <c r="AG107" s="98">
        <f t="shared" si="186"/>
        <v>2.8937758416101245E-2</v>
      </c>
      <c r="AH107" s="98">
        <f t="shared" si="186"/>
        <v>3.3441988908850862E-2</v>
      </c>
      <c r="AI107" s="98">
        <f t="shared" si="186"/>
        <v>1.289751221516644E-2</v>
      </c>
      <c r="AJ107" s="96">
        <f t="shared" si="186"/>
        <v>2.1606112093059515E-2</v>
      </c>
      <c r="AK107" s="98">
        <f t="shared" si="186"/>
        <v>-1.6115470334763238E-3</v>
      </c>
      <c r="AL107" s="98">
        <f t="shared" si="186"/>
        <v>-1.7440209435851561E-2</v>
      </c>
      <c r="AM107" s="98">
        <f t="shared" si="186"/>
        <v>0.22613480500755845</v>
      </c>
      <c r="AN107" s="98">
        <f t="shared" si="186"/>
        <v>5.1550021536105328E-2</v>
      </c>
      <c r="AO107" s="96">
        <f t="shared" si="186"/>
        <v>6.4617946021631401E-2</v>
      </c>
      <c r="AP107" s="98">
        <f t="shared" si="186"/>
        <v>-1.7641487945867507E-3</v>
      </c>
      <c r="AQ107" s="98">
        <f t="shared" si="186"/>
        <v>-2.3201998354170805E-2</v>
      </c>
      <c r="AR107" s="98">
        <f t="shared" si="186"/>
        <v>-0.23408888653798887</v>
      </c>
      <c r="AS107" s="98">
        <f t="shared" si="186"/>
        <v>-0.11332231435958717</v>
      </c>
      <c r="AT107" s="96">
        <f t="shared" si="186"/>
        <v>-0.10086440476566561</v>
      </c>
      <c r="AU107" s="98">
        <f t="shared" si="186"/>
        <v>-6.4676458662412339E-2</v>
      </c>
      <c r="AV107" s="98">
        <f t="shared" si="186"/>
        <v>-7.7508701451247664E-3</v>
      </c>
      <c r="AW107" s="98">
        <f t="shared" si="186"/>
        <v>-1.7382388453663578E-2</v>
      </c>
      <c r="AX107" s="98">
        <f t="shared" si="186"/>
        <v>-1.756573609112988E-2</v>
      </c>
      <c r="AY107" s="96">
        <f t="shared" si="186"/>
        <v>-2.7648654337813383E-2</v>
      </c>
      <c r="AZ107" s="98">
        <f t="shared" si="186"/>
        <v>-1.5947551472939359E-2</v>
      </c>
      <c r="BA107" s="98">
        <f t="shared" si="186"/>
        <v>-3.6203591143306069E-2</v>
      </c>
      <c r="BB107" s="98">
        <f t="shared" si="186"/>
        <v>-3.2235162480717006E-2</v>
      </c>
      <c r="BC107" s="98">
        <f t="shared" si="186"/>
        <v>-7.5602947840543999E-3</v>
      </c>
      <c r="BD107" s="96">
        <f t="shared" si="186"/>
        <v>-2.3032841200658183E-2</v>
      </c>
      <c r="BE107" s="98">
        <f t="shared" si="186"/>
        <v>-3.2586422613818389E-2</v>
      </c>
      <c r="BF107" s="98">
        <f t="shared" si="186"/>
        <v>-5.4606832894934731E-2</v>
      </c>
      <c r="BG107" s="98">
        <f t="shared" si="186"/>
        <v>-6.1734211821509399E-2</v>
      </c>
      <c r="BH107" s="98">
        <f t="shared" si="186"/>
        <v>-7.3940689498927292E-2</v>
      </c>
      <c r="BI107" s="96">
        <f t="shared" si="186"/>
        <v>-5.5471410473107441E-2</v>
      </c>
      <c r="BJ107" s="98">
        <f t="shared" si="186"/>
        <v>-8.1319132491340929E-3</v>
      </c>
      <c r="BK107" s="98">
        <f t="shared" si="186"/>
        <v>-4.1238738817944709E-3</v>
      </c>
      <c r="BL107" s="98">
        <f t="shared" si="186"/>
        <v>1.0673873413346024E-2</v>
      </c>
      <c r="BM107" s="98">
        <f t="shared" si="186"/>
        <v>1.2090528080394236E-2</v>
      </c>
      <c r="BN107" s="96">
        <f t="shared" si="186"/>
        <v>2.3702365052189478E-3</v>
      </c>
      <c r="BO107" s="79">
        <f>+BO106/BJ106-1</f>
        <v>-5.4830194435748547E-2</v>
      </c>
      <c r="BP107" s="79">
        <f t="shared" si="186"/>
        <v>-5.3564786286965815E-2</v>
      </c>
      <c r="BQ107" s="98">
        <f t="shared" si="186"/>
        <v>-7.4242842606817239E-2</v>
      </c>
      <c r="BR107" s="98">
        <f t="shared" si="186"/>
        <v>-0.10913030171024274</v>
      </c>
      <c r="BS107" s="96">
        <f>BS106/BN106-1</f>
        <v>-7.2630594317417141E-2</v>
      </c>
      <c r="BT107" s="79">
        <f>+BT106/BO106-1</f>
        <v>-2.1144661185483082E-2</v>
      </c>
      <c r="BU107" s="79">
        <f>+BU106/BP106-1</f>
        <v>-5.025404812526546E-2</v>
      </c>
      <c r="BV107" s="79">
        <f>+BV106/BQ106-1</f>
        <v>-5.3252571542575677E-2</v>
      </c>
      <c r="BW107" s="79">
        <f>+BW106/BR106-1</f>
        <v>-9.084393856015005E-3</v>
      </c>
      <c r="BX107" s="96">
        <f>BX106/BS106-1</f>
        <v>-3.3513998245178311E-2</v>
      </c>
      <c r="BY107" s="79">
        <f>+BY106/BT106-1</f>
        <v>-7.0062867011941088E-2</v>
      </c>
      <c r="BZ107" s="79">
        <f>+BZ106/BU106-1</f>
        <v>-2.3692484612253706E-2</v>
      </c>
      <c r="CA107" s="79">
        <f>+CA106/BV106-1</f>
        <v>-3.5596591689788237E-3</v>
      </c>
      <c r="CB107" s="79">
        <f>+CB106/BW106-1</f>
        <v>-9.1586174406618204E-3</v>
      </c>
      <c r="CC107" s="96">
        <f>CC106/BX106-1</f>
        <v>-2.7854916482741854E-2</v>
      </c>
      <c r="CD107" s="79">
        <f>+CD106/BY106-1</f>
        <v>-5.8230798372860271E-3</v>
      </c>
      <c r="CE107" s="79">
        <f>+CE106/BZ106-1</f>
        <v>-3.4575725919377187E-2</v>
      </c>
      <c r="CF107" s="79">
        <f>+CF106/CA106-1</f>
        <v>-1.2369822307077505E-2</v>
      </c>
      <c r="CG107" s="79">
        <f>+CG106/CB106-1</f>
        <v>-2.5241661080828148E-3</v>
      </c>
      <c r="CH107" s="96">
        <f>CH106/CC106-1</f>
        <v>-1.3772860638006867E-2</v>
      </c>
      <c r="CI107" s="79">
        <f>+CI106/CD106-1</f>
        <v>-3.0256060799056517E-3</v>
      </c>
      <c r="CJ107" s="79">
        <f>+CJ106/CE106-1</f>
        <v>-1.0681113724921754E-2</v>
      </c>
      <c r="CK107" s="79">
        <f>+CK106/CF106-1</f>
        <v>-3.3768104598632553E-2</v>
      </c>
      <c r="CL107" s="79">
        <f>+CL106/CG106-1</f>
        <v>-1.4366232806268364E-2</v>
      </c>
      <c r="CM107" s="96">
        <f>CM106/CH106-1</f>
        <v>-1.5304811706826404E-2</v>
      </c>
      <c r="CN107" s="79">
        <f ca="1">+CN106/CI106-1</f>
        <v>-7.4758518881628988E-2</v>
      </c>
      <c r="CO107" s="79">
        <f ca="1">+CO106/CJ106-1</f>
        <v>-5.5470976433416919E-2</v>
      </c>
      <c r="CP107" s="79">
        <f ca="1">+CP106/CK106-1</f>
        <v>-0.10481318467832856</v>
      </c>
      <c r="CQ107" s="79">
        <f ca="1">+CQ106/CL106-1</f>
        <v>-0.15473624768483907</v>
      </c>
      <c r="CR107" s="96">
        <f ca="1">CR106/CM106-1</f>
        <v>-9.7287429320706109E-2</v>
      </c>
      <c r="CS107" s="79">
        <f ca="1">+CS106/CN106-1</f>
        <v>-0.11965615252611017</v>
      </c>
      <c r="CT107" s="79">
        <f ca="1">+CT106/CO106-1</f>
        <v>-7.3882830684246503E-2</v>
      </c>
      <c r="CU107" s="79">
        <f ca="1">+CU106/CP106-1</f>
        <v>-1.0624463633724157E-2</v>
      </c>
      <c r="CV107" s="79">
        <f ca="1">+CV106/CQ106-1</f>
        <v>7.4544352942491621E-3</v>
      </c>
      <c r="CW107" s="96">
        <f ca="1">CW106/CR106-1</f>
        <v>-5.2043632416764463E-2</v>
      </c>
      <c r="CX107" s="79">
        <f ca="1">+CX106/CS106-1</f>
        <v>-4.3027029618964985E-3</v>
      </c>
      <c r="CY107" s="79">
        <f ca="1">+CY106/CT106-1</f>
        <v>-3.700958213229133E-3</v>
      </c>
      <c r="CZ107" s="79">
        <f ca="1">+CZ106/CU106-1</f>
        <v>-9.199479613617334E-3</v>
      </c>
      <c r="DA107" s="79">
        <f ca="1">+DA106/CV106-1</f>
        <v>-3.4891079557582971E-3</v>
      </c>
      <c r="DB107" s="96">
        <f ca="1">DB106/CW106-1</f>
        <v>-5.1774363760557218E-3</v>
      </c>
      <c r="DC107" s="16"/>
      <c r="DD107" s="16"/>
      <c r="DE107" s="16"/>
      <c r="DF107" s="16"/>
      <c r="DG107" s="16"/>
      <c r="DH107" s="16"/>
      <c r="DI107" s="16"/>
      <c r="DJ107" s="16"/>
    </row>
    <row r="108" spans="1:114" s="725" customFormat="1" ht="11.25" customHeight="1">
      <c r="A108" s="16"/>
      <c r="B108" s="77"/>
      <c r="C108" s="52"/>
      <c r="D108" s="1053"/>
      <c r="E108" s="1053"/>
      <c r="F108" s="78"/>
      <c r="G108" s="52"/>
      <c r="H108" s="52"/>
      <c r="I108" s="52"/>
      <c r="J108" s="52"/>
      <c r="K108" s="78"/>
      <c r="L108" s="52"/>
      <c r="M108" s="52"/>
      <c r="N108" s="52"/>
      <c r="O108" s="52"/>
      <c r="P108" s="78"/>
      <c r="Q108" s="52"/>
      <c r="R108" s="52"/>
      <c r="S108" s="52"/>
      <c r="T108" s="52"/>
      <c r="U108" s="78"/>
      <c r="V108" s="52"/>
      <c r="W108" s="52"/>
      <c r="X108" s="52"/>
      <c r="Y108" s="52"/>
      <c r="Z108" s="96"/>
      <c r="AA108" s="52"/>
      <c r="AB108" s="52"/>
      <c r="AC108" s="52"/>
      <c r="AD108" s="52"/>
      <c r="AE108" s="96"/>
      <c r="AF108" s="52"/>
      <c r="AG108" s="52"/>
      <c r="AH108" s="52"/>
      <c r="AI108" s="52"/>
      <c r="AJ108" s="96"/>
      <c r="AK108" s="52"/>
      <c r="AL108" s="52"/>
      <c r="AM108" s="52"/>
      <c r="AN108" s="52"/>
      <c r="AO108" s="96"/>
      <c r="AP108" s="52"/>
      <c r="AQ108" s="52"/>
      <c r="AR108" s="52"/>
      <c r="AS108" s="52"/>
      <c r="AT108" s="96"/>
      <c r="AU108" s="52"/>
      <c r="AV108" s="52"/>
      <c r="AW108" s="52"/>
      <c r="AX108" s="52"/>
      <c r="AY108" s="96"/>
      <c r="AZ108" s="52"/>
      <c r="BA108" s="52"/>
      <c r="BB108" s="52"/>
      <c r="BC108" s="52"/>
      <c r="BD108" s="96"/>
      <c r="BE108" s="52"/>
      <c r="BF108" s="52"/>
      <c r="BG108" s="52"/>
      <c r="BH108" s="52"/>
      <c r="BI108" s="96"/>
      <c r="BJ108" s="52"/>
      <c r="BK108" s="52"/>
      <c r="BL108" s="52"/>
      <c r="BM108" s="52"/>
      <c r="BN108" s="96"/>
      <c r="BO108" s="52"/>
      <c r="BP108" s="52"/>
      <c r="BQ108" s="52"/>
      <c r="BR108" s="52"/>
      <c r="BS108" s="96"/>
      <c r="BT108" s="52"/>
      <c r="BU108" s="52"/>
      <c r="BV108" s="52"/>
      <c r="BW108" s="52"/>
      <c r="BX108" s="96"/>
      <c r="BY108" s="52"/>
      <c r="BZ108" s="52"/>
      <c r="CA108" s="52"/>
      <c r="CB108" s="52"/>
      <c r="CC108" s="96"/>
      <c r="CD108" s="52"/>
      <c r="CE108" s="52"/>
      <c r="CF108" s="52"/>
      <c r="CG108" s="52"/>
      <c r="CH108" s="96"/>
      <c r="CI108" s="52"/>
      <c r="CJ108" s="52"/>
      <c r="CK108" s="52"/>
      <c r="CL108" s="52"/>
      <c r="CM108" s="96"/>
      <c r="CN108" s="52"/>
      <c r="CO108" s="52"/>
      <c r="CP108" s="52"/>
      <c r="CQ108" s="52"/>
      <c r="CR108" s="96"/>
      <c r="CS108" s="52"/>
      <c r="CT108" s="52"/>
      <c r="CU108" s="52"/>
      <c r="CV108" s="52"/>
      <c r="CW108" s="96"/>
      <c r="CX108" s="52"/>
      <c r="CY108" s="52"/>
      <c r="CZ108" s="52"/>
      <c r="DA108" s="52"/>
      <c r="DB108" s="96"/>
      <c r="DC108" s="16"/>
      <c r="DD108" s="16"/>
      <c r="DE108" s="16"/>
      <c r="DF108" s="16"/>
      <c r="DG108" s="16"/>
      <c r="DH108" s="16"/>
      <c r="DI108" s="16"/>
      <c r="DJ108" s="16"/>
    </row>
    <row r="109" spans="1:114" s="725" customFormat="1" ht="11.25" customHeight="1">
      <c r="A109" s="16"/>
      <c r="B109" s="16" t="s">
        <v>263</v>
      </c>
      <c r="C109" s="579"/>
      <c r="D109" s="1069"/>
      <c r="E109" s="1069">
        <f t="shared" ref="E109:O109" si="187">+E102/E90</f>
        <v>73.573826072215624</v>
      </c>
      <c r="F109" s="1054">
        <f t="shared" si="187"/>
        <v>78.217287630402382</v>
      </c>
      <c r="G109" s="1070">
        <f t="shared" si="187"/>
        <v>22.171520093185791</v>
      </c>
      <c r="H109" s="1070">
        <f t="shared" si="187"/>
        <v>21.004141082393261</v>
      </c>
      <c r="I109" s="1070">
        <f t="shared" si="187"/>
        <v>20.48069241011984</v>
      </c>
      <c r="J109" s="1070">
        <f t="shared" si="187"/>
        <v>20.427881130707899</v>
      </c>
      <c r="K109" s="1054">
        <f t="shared" si="187"/>
        <v>83.359410582719363</v>
      </c>
      <c r="L109" s="1070">
        <f t="shared" si="187"/>
        <v>21.348337028824833</v>
      </c>
      <c r="M109" s="1070">
        <f t="shared" si="187"/>
        <v>21.054371948513094</v>
      </c>
      <c r="N109" s="1070">
        <f t="shared" si="187"/>
        <v>21.219409053944158</v>
      </c>
      <c r="O109" s="1070">
        <f t="shared" si="187"/>
        <v>20.351363942233036</v>
      </c>
      <c r="P109" s="1054">
        <f>SUM(L109:O109)</f>
        <v>83.973481973515121</v>
      </c>
      <c r="Q109" s="1070">
        <f>+Q102/Q90</f>
        <v>21.413653065171147</v>
      </c>
      <c r="R109" s="1070">
        <f>+R102/R90</f>
        <v>19.845455387751322</v>
      </c>
      <c r="S109" s="1070">
        <f>+S102/S90</f>
        <v>20.322745031425175</v>
      </c>
      <c r="T109" s="1070">
        <f>+T102/T90</f>
        <v>20.762621359223299</v>
      </c>
      <c r="U109" s="1054">
        <f>SUM(Q109:T109)</f>
        <v>82.34447484357095</v>
      </c>
      <c r="V109" s="1070">
        <f>+V102/V90</f>
        <v>21.180884612274603</v>
      </c>
      <c r="W109" s="1070">
        <f>+W102/W90</f>
        <v>20.641293852590923</v>
      </c>
      <c r="X109" s="1070">
        <f>+X102/X90</f>
        <v>20.708303761533003</v>
      </c>
      <c r="Y109" s="1070">
        <f>+Y102/Y90</f>
        <v>20.574221805099327</v>
      </c>
      <c r="Z109" s="1054">
        <f>SUM(V109:Y109)</f>
        <v>83.10470403149786</v>
      </c>
      <c r="AA109" s="1070">
        <f>+AA102/AA90</f>
        <v>21.40794052515027</v>
      </c>
      <c r="AB109" s="1070">
        <f>+AB102/AB90</f>
        <v>21.26776131357629</v>
      </c>
      <c r="AC109" s="1070">
        <f>+AC102/AC90</f>
        <v>21.720907774022212</v>
      </c>
      <c r="AD109" s="1070">
        <f>+AD102/AD90</f>
        <v>21.42272906016516</v>
      </c>
      <c r="AE109" s="1054">
        <f>SUM(AA109:AD109)</f>
        <v>85.819338672913943</v>
      </c>
      <c r="AF109" s="1070">
        <f>+AF102/AF90</f>
        <v>22.019071055059982</v>
      </c>
      <c r="AG109" s="1070">
        <f>+AG102/AG90</f>
        <v>21.970302939859721</v>
      </c>
      <c r="AH109" s="1070">
        <f>+AH102/AH90</f>
        <v>22.234407225659627</v>
      </c>
      <c r="AI109" s="1070">
        <f>+AI102/AI90</f>
        <v>21.881057268722468</v>
      </c>
      <c r="AJ109" s="1054">
        <f>SUM(AF109:AI109)</f>
        <v>88.104838489301798</v>
      </c>
      <c r="AK109" s="1070">
        <f>+AK102/AK90</f>
        <v>22.203214383001907</v>
      </c>
      <c r="AL109" s="1070">
        <f>+AL102/AL90</f>
        <v>21.677513227513227</v>
      </c>
      <c r="AM109" s="1070">
        <f>+AM102/AM90</f>
        <v>26.989691779065595</v>
      </c>
      <c r="AN109" s="1070">
        <f>+AN102/AN90</f>
        <v>22.273493884372865</v>
      </c>
      <c r="AO109" s="1054">
        <f>SUM(AK109:AN109)</f>
        <v>93.143913273953601</v>
      </c>
      <c r="AP109" s="1070">
        <f>+AP102/AP90</f>
        <v>21.182603352336734</v>
      </c>
      <c r="AQ109" s="1070">
        <f>+AQ102/AQ90</f>
        <v>20.306517829878192</v>
      </c>
      <c r="AR109" s="1070">
        <f>+AR102/AR90</f>
        <v>20.444075492155999</v>
      </c>
      <c r="AS109" s="1070">
        <f>+AS102/AS90</f>
        <v>19.893192803437163</v>
      </c>
      <c r="AT109" s="1054">
        <f>SUM(AP109:AS109)</f>
        <v>81.826389477808092</v>
      </c>
      <c r="AU109" s="1070">
        <f>+AU102/AU90</f>
        <v>20.317731624101494</v>
      </c>
      <c r="AV109" s="1070">
        <f>+AV102/AV90</f>
        <v>20.5994936384322</v>
      </c>
      <c r="AW109" s="1070">
        <f>+AW102/AW90</f>
        <v>20.500062531265634</v>
      </c>
      <c r="AX109" s="1070">
        <f>+AX102/AX90</f>
        <v>19.945604326499812</v>
      </c>
      <c r="AY109" s="1054">
        <f>SUM(AU109:AX109)</f>
        <v>81.362892120299136</v>
      </c>
      <c r="AZ109" s="1070">
        <f>+AZ102/AZ90</f>
        <v>20.349513343799057</v>
      </c>
      <c r="BA109" s="1070">
        <f>+BA102/BA90</f>
        <v>20.2516523101018</v>
      </c>
      <c r="BB109" s="1070">
        <f>+BB102/BB90</f>
        <v>20.413069937271793</v>
      </c>
      <c r="BC109" s="1070">
        <f>+BC102/BC90</f>
        <v>20.399840944544703</v>
      </c>
      <c r="BD109" s="1054">
        <f>SUM(AZ109:BC109)</f>
        <v>81.414076535717356</v>
      </c>
      <c r="BE109" s="1070">
        <f>+BE102/BE90</f>
        <v>20.290864227250843</v>
      </c>
      <c r="BF109" s="1070">
        <f>+BF102/BF90</f>
        <v>19.994582718873204</v>
      </c>
      <c r="BG109" s="1070">
        <f>+BG102/BG90</f>
        <v>20.184203383696733</v>
      </c>
      <c r="BH109" s="1070">
        <f>+BH102/BH90</f>
        <v>19.878947683825732</v>
      </c>
      <c r="BI109" s="1054">
        <f>SUM(BE109:BH109)</f>
        <v>80.348598013646509</v>
      </c>
      <c r="BJ109" s="1070">
        <f>+BJ102/BJ90</f>
        <v>21.088157508081103</v>
      </c>
      <c r="BK109" s="1070">
        <f>+BK102/BK90</f>
        <v>20.418988888242481</v>
      </c>
      <c r="BL109" s="1070">
        <f>+BL102/BL90</f>
        <v>20.646194926568757</v>
      </c>
      <c r="BM109" s="1070">
        <f>+BM102/BM90</f>
        <v>20.432264975824431</v>
      </c>
      <c r="BN109" s="1054">
        <f>SUM(BJ109:BM109)</f>
        <v>82.585606298716783</v>
      </c>
      <c r="BO109" s="1070">
        <f>+BO102/BO90</f>
        <v>20.111111111111111</v>
      </c>
      <c r="BP109" s="1070">
        <f>+BP102/BP90</f>
        <v>19.999535801322967</v>
      </c>
      <c r="BQ109" s="1070">
        <f>+BQ102/BQ90</f>
        <v>19.709365715769131</v>
      </c>
      <c r="BR109" s="1070">
        <f>+BR102/BR90</f>
        <v>18.984779475353129</v>
      </c>
      <c r="BS109" s="1054">
        <f>SUM(BO109:BR109)</f>
        <v>78.804792103556338</v>
      </c>
      <c r="BT109" s="1070">
        <f>+BT102/BT90</f>
        <v>20.253314514449663</v>
      </c>
      <c r="BU109" s="1070">
        <f>+BU102/BU90</f>
        <v>19.475009016875795</v>
      </c>
      <c r="BV109" s="1070">
        <f>+BV102/BV90</f>
        <v>19.166390188440104</v>
      </c>
      <c r="BW109" s="1070">
        <f>+BW102/BW90</f>
        <v>19.007926342559077</v>
      </c>
      <c r="BX109" s="1054">
        <f>SUM(BT109:BW109)</f>
        <v>77.902640062324636</v>
      </c>
      <c r="BY109" s="1070">
        <f>+BY102/BY90</f>
        <v>19.055628247784963</v>
      </c>
      <c r="BZ109" s="1070">
        <f>+BZ102/BZ90</f>
        <v>19.395274834350182</v>
      </c>
      <c r="CA109" s="1070">
        <f>+CA102/CA90</f>
        <v>19.51032204740698</v>
      </c>
      <c r="CB109" s="1070">
        <f>+CB102/CB90</f>
        <v>19.228159308857816</v>
      </c>
      <c r="CC109" s="1054">
        <f>SUM(BY109:CB109)</f>
        <v>77.189384438399941</v>
      </c>
      <c r="CD109" s="1070">
        <f>+CD102/CD90</f>
        <v>19.576252467817486</v>
      </c>
      <c r="CE109" s="1070">
        <f>+CE102/CE90</f>
        <v>18.85318994683422</v>
      </c>
      <c r="CF109" s="1070">
        <f>+CF102/CF90</f>
        <v>19.132955667138749</v>
      </c>
      <c r="CG109" s="1070">
        <f>+CG102/CG90</f>
        <v>18.9479121825226</v>
      </c>
      <c r="CH109" s="1054">
        <f>SUM(CD109:CG109)</f>
        <v>76.510310264313048</v>
      </c>
      <c r="CI109" s="1070">
        <f>+CI102/CI90</f>
        <v>19.285386019542575</v>
      </c>
      <c r="CJ109" s="1070">
        <f>+CJ102/CJ90</f>
        <v>18.551847304386651</v>
      </c>
      <c r="CK109" s="1070">
        <f>+CK102/CK90</f>
        <v>18.337041996348145</v>
      </c>
      <c r="CL109" s="1070">
        <f>+CL102/CL90</f>
        <v>18.670343813200954</v>
      </c>
      <c r="CM109" s="1054">
        <f>SUM(CI109:CL109)</f>
        <v>74.844619133478332</v>
      </c>
      <c r="CN109" s="1070">
        <f ca="1">+CN102/CN90</f>
        <v>17.036406724339521</v>
      </c>
      <c r="CO109" s="1070">
        <f ca="1">+CO102/CO90</f>
        <v>15.045315073746032</v>
      </c>
      <c r="CP109" s="1070">
        <f ca="1">+CP102/CP90</f>
        <v>13.569307337773546</v>
      </c>
      <c r="CQ109" s="1070">
        <f ca="1">+CQ102/CQ90</f>
        <v>13.659297148401484</v>
      </c>
      <c r="CR109" s="1054">
        <f ca="1">SUM(CN109:CQ109)</f>
        <v>59.310326284260583</v>
      </c>
      <c r="CS109" s="1070">
        <f ca="1">+CS102/CS90</f>
        <v>15.013665526732408</v>
      </c>
      <c r="CT109" s="1070">
        <f ca="1">+CT102/CT90</f>
        <v>14.796954221366857</v>
      </c>
      <c r="CU109" s="1070">
        <f ca="1">+CU102/CU90</f>
        <v>14.994446750221762</v>
      </c>
      <c r="CV109" s="1070">
        <f ca="1">+CV102/CV90</f>
        <v>14.410332954072951</v>
      </c>
      <c r="CW109" s="1054">
        <f ca="1">SUM(CS109:CV109)</f>
        <v>59.215399452393974</v>
      </c>
      <c r="CX109" s="1070">
        <f ca="1">+CX102/CX90</f>
        <v>15.40017413912525</v>
      </c>
      <c r="CY109" s="1070">
        <f ca="1">+CY102/CY90</f>
        <v>15.226759190885792</v>
      </c>
      <c r="CZ109" s="1070">
        <f ca="1">+CZ102/CZ90</f>
        <v>15.108855397363214</v>
      </c>
      <c r="DA109" s="1070">
        <f ca="1">+DA102/DA90</f>
        <v>14.821026685030171</v>
      </c>
      <c r="DB109" s="1054">
        <f ca="1">SUM(CX109:DA109)</f>
        <v>60.556815412404426</v>
      </c>
      <c r="DC109" s="16"/>
      <c r="DD109" s="16"/>
      <c r="DE109" s="16"/>
      <c r="DF109" s="16"/>
      <c r="DG109" s="16"/>
      <c r="DH109" s="16"/>
      <c r="DI109" s="16"/>
      <c r="DJ109" s="16"/>
    </row>
    <row r="110" spans="1:114" s="725" customFormat="1" ht="11.25" customHeight="1">
      <c r="A110" s="16"/>
      <c r="B110" s="77" t="s">
        <v>256</v>
      </c>
      <c r="C110" s="52"/>
      <c r="D110" s="1053"/>
      <c r="E110" s="1053"/>
      <c r="F110" s="78">
        <f>+F109/E109-1</f>
        <v>6.3112954784069863E-2</v>
      </c>
      <c r="G110" s="52"/>
      <c r="H110" s="52"/>
      <c r="I110" s="52"/>
      <c r="J110" s="52"/>
      <c r="K110" s="78">
        <f t="shared" ref="K110:Y110" si="188">+K109/F109-1</f>
        <v>6.5741514543624868E-2</v>
      </c>
      <c r="L110" s="79">
        <f t="shared" si="188"/>
        <v>-3.7127948868690974E-2</v>
      </c>
      <c r="M110" s="79">
        <f t="shared" si="188"/>
        <v>2.3914744203437088E-3</v>
      </c>
      <c r="N110" s="79">
        <f t="shared" si="188"/>
        <v>3.6068929166638286E-2</v>
      </c>
      <c r="O110" s="79">
        <f t="shared" si="188"/>
        <v>-3.7457232096304027E-3</v>
      </c>
      <c r="P110" s="78">
        <f t="shared" si="188"/>
        <v>7.3665514967431456E-3</v>
      </c>
      <c r="Q110" s="79">
        <f t="shared" si="188"/>
        <v>3.0595374364814631E-3</v>
      </c>
      <c r="R110" s="79">
        <f t="shared" si="188"/>
        <v>-5.7418789965242745E-2</v>
      </c>
      <c r="S110" s="79">
        <f t="shared" si="188"/>
        <v>-4.2256785768136962E-2</v>
      </c>
      <c r="T110" s="79">
        <f t="shared" si="188"/>
        <v>2.0207855265013785E-2</v>
      </c>
      <c r="U110" s="78">
        <f t="shared" si="188"/>
        <v>-1.9399066129685449E-2</v>
      </c>
      <c r="V110" s="79">
        <f t="shared" si="188"/>
        <v>-1.087009545676898E-2</v>
      </c>
      <c r="W110" s="79">
        <f t="shared" si="188"/>
        <v>4.0101799091533774E-2</v>
      </c>
      <c r="X110" s="79">
        <f t="shared" si="188"/>
        <v>1.8971784053366525E-2</v>
      </c>
      <c r="Y110" s="79">
        <f t="shared" si="188"/>
        <v>-9.0739772625232362E-3</v>
      </c>
      <c r="Z110" s="96">
        <f>Z109/U109-1</f>
        <v>9.2323035561414635E-3</v>
      </c>
      <c r="AA110" s="98">
        <f t="shared" ref="AA110:BR110" si="189">AA109/V109-1</f>
        <v>1.0719850328823499E-2</v>
      </c>
      <c r="AB110" s="98">
        <f t="shared" si="189"/>
        <v>3.0350203115137253E-2</v>
      </c>
      <c r="AC110" s="98">
        <f t="shared" si="189"/>
        <v>4.8898452724562835E-2</v>
      </c>
      <c r="AD110" s="98">
        <f t="shared" si="189"/>
        <v>4.1241280623091736E-2</v>
      </c>
      <c r="AE110" s="96">
        <f t="shared" si="189"/>
        <v>3.2665234453963077E-2</v>
      </c>
      <c r="AF110" s="98">
        <f t="shared" si="189"/>
        <v>2.854690899349932E-2</v>
      </c>
      <c r="AG110" s="98">
        <f t="shared" si="189"/>
        <v>3.3033172411755629E-2</v>
      </c>
      <c r="AH110" s="98">
        <f t="shared" si="189"/>
        <v>2.3640791488998003E-2</v>
      </c>
      <c r="AI110" s="98">
        <f t="shared" si="189"/>
        <v>2.1394482807027382E-2</v>
      </c>
      <c r="AJ110" s="96">
        <f t="shared" si="189"/>
        <v>2.6631524452765287E-2</v>
      </c>
      <c r="AK110" s="98">
        <f t="shared" si="189"/>
        <v>8.3629017537325545E-3</v>
      </c>
      <c r="AL110" s="98">
        <f t="shared" si="189"/>
        <v>-1.3326612434428453E-2</v>
      </c>
      <c r="AM110" s="98">
        <f t="shared" si="189"/>
        <v>0.21387053430946112</v>
      </c>
      <c r="AN110" s="98">
        <f t="shared" si="189"/>
        <v>1.7934993306349956E-2</v>
      </c>
      <c r="AO110" s="96">
        <f t="shared" si="189"/>
        <v>5.7194075502035924E-2</v>
      </c>
      <c r="AP110" s="98">
        <f t="shared" si="189"/>
        <v>-4.596681422157145E-2</v>
      </c>
      <c r="AQ110" s="98">
        <f t="shared" si="189"/>
        <v>-6.324504952417509E-2</v>
      </c>
      <c r="AR110" s="98">
        <f t="shared" si="189"/>
        <v>-0.24252282465806696</v>
      </c>
      <c r="AS110" s="98">
        <f t="shared" si="189"/>
        <v>-0.10686698249014837</v>
      </c>
      <c r="AT110" s="96">
        <f t="shared" si="189"/>
        <v>-0.12150577958710584</v>
      </c>
      <c r="AU110" s="98">
        <f t="shared" si="189"/>
        <v>-4.0829340655138768E-2</v>
      </c>
      <c r="AV110" s="98">
        <f t="shared" si="189"/>
        <v>1.4427673469595836E-2</v>
      </c>
      <c r="AW110" s="98">
        <f t="shared" si="189"/>
        <v>2.7385458995745626E-3</v>
      </c>
      <c r="AX110" s="98">
        <f t="shared" si="189"/>
        <v>2.6346461113870845E-3</v>
      </c>
      <c r="AY110" s="96">
        <f t="shared" si="189"/>
        <v>-5.6643994738966308E-3</v>
      </c>
      <c r="AZ110" s="98">
        <f t="shared" si="189"/>
        <v>1.564235628541466E-3</v>
      </c>
      <c r="BA110" s="98">
        <f t="shared" si="189"/>
        <v>-1.6885916442209825E-2</v>
      </c>
      <c r="BB110" s="98">
        <f t="shared" si="189"/>
        <v>-4.2435282263731944E-3</v>
      </c>
      <c r="BC110" s="98">
        <f t="shared" si="189"/>
        <v>2.2773770631827395E-2</v>
      </c>
      <c r="BD110" s="96">
        <f t="shared" si="189"/>
        <v>6.2908795501681603E-4</v>
      </c>
      <c r="BE110" s="98">
        <f t="shared" si="189"/>
        <v>-2.8820893923777735E-3</v>
      </c>
      <c r="BF110" s="98">
        <f t="shared" si="189"/>
        <v>-1.2693758874201433E-2</v>
      </c>
      <c r="BG110" s="98">
        <f t="shared" si="189"/>
        <v>-1.1211765514856586E-2</v>
      </c>
      <c r="BH110" s="98">
        <f t="shared" si="189"/>
        <v>-2.5534182454411081E-2</v>
      </c>
      <c r="BI110" s="96">
        <f t="shared" si="189"/>
        <v>-1.3087153566169962E-2</v>
      </c>
      <c r="BJ110" s="98">
        <f t="shared" si="189"/>
        <v>3.9293214517668762E-2</v>
      </c>
      <c r="BK110" s="98">
        <f t="shared" si="189"/>
        <v>2.122605784459175E-2</v>
      </c>
      <c r="BL110" s="98">
        <f t="shared" si="189"/>
        <v>2.2888767720463221E-2</v>
      </c>
      <c r="BM110" s="98">
        <f t="shared" si="189"/>
        <v>2.7834335136809107E-2</v>
      </c>
      <c r="BN110" s="96">
        <f t="shared" si="189"/>
        <v>2.7841285851563091E-2</v>
      </c>
      <c r="BO110" s="79">
        <f>+BO109/BJ109-1</f>
        <v>-4.6331520266556403E-2</v>
      </c>
      <c r="BP110" s="79">
        <f t="shared" si="189"/>
        <v>-2.0542304480171469E-2</v>
      </c>
      <c r="BQ110" s="98">
        <f t="shared" si="189"/>
        <v>-4.5375393099386985E-2</v>
      </c>
      <c r="BR110" s="98">
        <f t="shared" si="189"/>
        <v>-7.0843124939108604E-2</v>
      </c>
      <c r="BS110" s="96">
        <f>BS109/BN109-1</f>
        <v>-4.5780546569883285E-2</v>
      </c>
      <c r="BT110" s="79">
        <f>+BT109/BO109-1</f>
        <v>7.0708874588230053E-3</v>
      </c>
      <c r="BU110" s="79">
        <f>+BU109/BP109-1</f>
        <v>-2.6226947948085555E-2</v>
      </c>
      <c r="BV110" s="79">
        <f>+BV109/BQ109-1</f>
        <v>-2.7549112191601388E-2</v>
      </c>
      <c r="BW110" s="79">
        <f>+BW109/BR109-1</f>
        <v>1.2192328721014611E-3</v>
      </c>
      <c r="BX110" s="96">
        <f>BX109/BS109-1</f>
        <v>-1.1447933775984076E-2</v>
      </c>
      <c r="BY110" s="79">
        <f>+BY109/BT109-1</f>
        <v>-5.913532156972201E-2</v>
      </c>
      <c r="BZ110" s="79">
        <f>+BZ109/BU109-1</f>
        <v>-4.0941794921132146E-3</v>
      </c>
      <c r="CA110" s="79">
        <f>+CA109/BV109-1</f>
        <v>1.7944529751581006E-2</v>
      </c>
      <c r="CB110" s="79">
        <f>+CB109/BW109-1</f>
        <v>1.1586375195785203E-2</v>
      </c>
      <c r="CC110" s="96">
        <f>CC109/BX109-1</f>
        <v>-9.1557310940176828E-3</v>
      </c>
      <c r="CD110" s="79">
        <f>+CD109/BY109-1</f>
        <v>2.7321283416254838E-2</v>
      </c>
      <c r="CE110" s="79">
        <f>+CE109/BZ109-1</f>
        <v>-2.7949327459691253E-2</v>
      </c>
      <c r="CF110" s="79">
        <f>+CF109/CA109-1</f>
        <v>-1.9341883714235508E-2</v>
      </c>
      <c r="CG110" s="79">
        <f>+CG109/CB109-1</f>
        <v>-1.4574828605986911E-2</v>
      </c>
      <c r="CH110" s="96">
        <f>CH109/CC109-1</f>
        <v>-8.7975073130531767E-3</v>
      </c>
      <c r="CI110" s="79">
        <f>+CI109/CD109-1</f>
        <v>-1.4858127149365519E-2</v>
      </c>
      <c r="CJ110" s="79">
        <f>+CJ109/CE109-1</f>
        <v>-1.5983642200463222E-2</v>
      </c>
      <c r="CK110" s="79">
        <f>+CK109/CF109-1</f>
        <v>-4.159909658692218E-2</v>
      </c>
      <c r="CL110" s="79">
        <f>+CL109/CG109-1</f>
        <v>-1.4649021308937304E-2</v>
      </c>
      <c r="CM110" s="96">
        <f>CM109/CH109-1</f>
        <v>-2.177080611855331E-2</v>
      </c>
      <c r="CN110" s="79">
        <f ca="1">+CN109/CI109-1</f>
        <v>-0.11661572617338756</v>
      </c>
      <c r="CO110" s="79">
        <f ca="1">+CO109/CJ109-1</f>
        <v>-0.18901256425345236</v>
      </c>
      <c r="CP110" s="79">
        <f ca="1">+CP109/CK109-1</f>
        <v>-0.26000565737506087</v>
      </c>
      <c r="CQ110" s="79">
        <f ca="1">+CQ109/CL109-1</f>
        <v>-0.26839605713400883</v>
      </c>
      <c r="CR110" s="96">
        <f ca="1">CR109/CM109-1</f>
        <v>-0.20755390339436164</v>
      </c>
      <c r="CS110" s="79">
        <f ca="1">+CS109/CN109-1</f>
        <v>-0.11873050639940808</v>
      </c>
      <c r="CT110" s="79">
        <f ca="1">+CT109/CO109-1</f>
        <v>-1.650752085694529E-2</v>
      </c>
      <c r="CU110" s="79">
        <f ca="1">+CU109/CP109-1</f>
        <v>0.10502668831746376</v>
      </c>
      <c r="CV110" s="79">
        <f ca="1">+CV109/CQ109-1</f>
        <v>5.4983488353158805E-2</v>
      </c>
      <c r="CW110" s="96">
        <f ca="1">CW109/CR109-1</f>
        <v>-1.6005110376842158E-3</v>
      </c>
      <c r="CX110" s="79">
        <f ca="1">+CX109/CS109-1</f>
        <v>2.5743787331924173E-2</v>
      </c>
      <c r="CY110" s="79">
        <f ca="1">+CY109/CT109-1</f>
        <v>2.9046854040968517E-2</v>
      </c>
      <c r="CZ110" s="79">
        <f ca="1">+CZ109/CU109-1</f>
        <v>7.6300679209628797E-3</v>
      </c>
      <c r="DA110" s="79">
        <f ca="1">+DA109/CV109-1</f>
        <v>2.8499947382627289E-2</v>
      </c>
      <c r="DB110" s="96">
        <f ca="1">DB109/CW109-1</f>
        <v>2.2653160705077724E-2</v>
      </c>
      <c r="DC110" s="16"/>
      <c r="DD110" s="16"/>
      <c r="DE110" s="16"/>
      <c r="DF110" s="16"/>
      <c r="DG110" s="16"/>
      <c r="DH110" s="16"/>
      <c r="DI110" s="16"/>
      <c r="DJ110" s="16"/>
    </row>
    <row r="111" spans="1:114" s="725" customFormat="1" ht="11.25" customHeight="1">
      <c r="A111" s="16"/>
      <c r="B111" s="77"/>
      <c r="C111" s="52"/>
      <c r="D111" s="1053"/>
      <c r="E111" s="1053"/>
      <c r="F111" s="78"/>
      <c r="G111" s="52"/>
      <c r="H111" s="52"/>
      <c r="I111" s="52"/>
      <c r="J111" s="52"/>
      <c r="K111" s="78"/>
      <c r="L111" s="52"/>
      <c r="M111" s="52"/>
      <c r="N111" s="52"/>
      <c r="O111" s="52"/>
      <c r="P111" s="78"/>
      <c r="Q111" s="52"/>
      <c r="R111" s="52"/>
      <c r="S111" s="52"/>
      <c r="T111" s="52"/>
      <c r="U111" s="78"/>
      <c r="V111" s="52"/>
      <c r="W111" s="52"/>
      <c r="X111" s="52"/>
      <c r="Y111" s="52"/>
      <c r="Z111" s="78"/>
      <c r="AA111" s="52"/>
      <c r="AB111" s="52"/>
      <c r="AC111" s="52"/>
      <c r="AD111" s="52"/>
      <c r="AE111" s="78"/>
      <c r="AF111" s="52"/>
      <c r="AG111" s="52"/>
      <c r="AH111" s="52"/>
      <c r="AI111" s="52"/>
      <c r="AJ111" s="78"/>
      <c r="AK111" s="52"/>
      <c r="AL111" s="52"/>
      <c r="AM111" s="52"/>
      <c r="AN111" s="52"/>
      <c r="AO111" s="78"/>
      <c r="AP111" s="52"/>
      <c r="AQ111" s="52"/>
      <c r="AR111" s="52"/>
      <c r="AS111" s="16"/>
      <c r="AT111" s="78"/>
      <c r="AU111" s="16"/>
      <c r="AV111" s="16"/>
      <c r="AW111" s="16"/>
      <c r="AX111" s="16"/>
      <c r="AY111" s="78"/>
      <c r="AZ111" s="90"/>
      <c r="BA111" s="90"/>
      <c r="BB111" s="90"/>
      <c r="BC111" s="90"/>
      <c r="BD111" s="78"/>
      <c r="BE111" s="16"/>
      <c r="BF111" s="90"/>
      <c r="BG111" s="16"/>
      <c r="BH111" s="16"/>
      <c r="BI111" s="78"/>
      <c r="BJ111" s="16"/>
      <c r="BK111" s="16"/>
      <c r="BL111" s="16"/>
      <c r="BM111" s="16"/>
      <c r="BN111" s="78"/>
      <c r="BO111" s="16"/>
      <c r="BP111" s="16"/>
      <c r="BQ111" s="16"/>
      <c r="BR111" s="16"/>
      <c r="BS111" s="78"/>
      <c r="BT111" s="16"/>
      <c r="BU111" s="16"/>
      <c r="BV111" s="16"/>
      <c r="BW111" s="16"/>
      <c r="BX111" s="78"/>
      <c r="BY111" s="16"/>
      <c r="BZ111" s="16"/>
      <c r="CA111" s="16"/>
      <c r="CB111" s="16"/>
      <c r="CC111" s="78"/>
      <c r="CD111" s="16"/>
      <c r="CE111" s="16"/>
      <c r="CF111" s="16"/>
      <c r="CG111" s="16"/>
      <c r="CH111" s="78"/>
      <c r="CI111" s="16"/>
      <c r="CJ111" s="16"/>
      <c r="CK111" s="16"/>
      <c r="CL111" s="16"/>
      <c r="CM111" s="78"/>
      <c r="CN111" s="16"/>
      <c r="CO111" s="16"/>
      <c r="CP111" s="16"/>
      <c r="CQ111" s="16"/>
      <c r="CR111" s="78"/>
      <c r="CS111" s="16"/>
      <c r="CT111" s="16"/>
      <c r="CU111" s="16"/>
      <c r="CV111" s="16"/>
      <c r="CW111" s="78"/>
      <c r="CX111" s="16"/>
      <c r="CY111" s="16"/>
      <c r="CZ111" s="16"/>
      <c r="DA111" s="16"/>
      <c r="DB111" s="78"/>
      <c r="DC111" s="16"/>
      <c r="DD111" s="16"/>
      <c r="DE111" s="16"/>
      <c r="DF111" s="16"/>
      <c r="DG111" s="16"/>
      <c r="DH111" s="16"/>
      <c r="DI111" s="16"/>
      <c r="DJ111" s="16"/>
    </row>
    <row r="112" spans="1:114" s="725" customFormat="1" ht="11.25" customHeight="1">
      <c r="A112" s="16"/>
      <c r="B112" s="86" t="s">
        <v>255</v>
      </c>
      <c r="C112" s="37"/>
      <c r="D112" s="106"/>
      <c r="E112" s="106"/>
      <c r="F112" s="18"/>
      <c r="G112" s="16"/>
      <c r="H112" s="16"/>
      <c r="I112" s="16"/>
      <c r="J112" s="16"/>
      <c r="K112" s="18"/>
      <c r="L112" s="16"/>
      <c r="M112" s="16"/>
      <c r="N112" s="16"/>
      <c r="O112" s="16"/>
      <c r="P112" s="18"/>
      <c r="Q112" s="16"/>
      <c r="R112" s="16"/>
      <c r="S112" s="16"/>
      <c r="T112" s="16"/>
      <c r="U112" s="18"/>
      <c r="V112" s="16"/>
      <c r="W112" s="16"/>
      <c r="X112" s="16"/>
      <c r="Y112" s="16"/>
      <c r="Z112" s="18"/>
      <c r="AA112" s="16"/>
      <c r="AB112" s="16"/>
      <c r="AC112" s="16"/>
      <c r="AD112" s="16"/>
      <c r="AE112" s="18"/>
      <c r="AF112" s="16"/>
      <c r="AG112" s="16"/>
      <c r="AH112" s="16"/>
      <c r="AI112" s="16"/>
      <c r="AJ112" s="18"/>
      <c r="AK112" s="16"/>
      <c r="AL112" s="16"/>
      <c r="AM112" s="16"/>
      <c r="AN112" s="16"/>
      <c r="AO112" s="18"/>
      <c r="AP112" s="16"/>
      <c r="AQ112" s="16"/>
      <c r="AR112" s="16"/>
      <c r="AS112" s="16"/>
      <c r="AT112" s="18"/>
      <c r="AU112" s="16"/>
      <c r="AV112" s="16"/>
      <c r="AW112" s="16"/>
      <c r="AX112" s="16"/>
      <c r="AY112" s="18"/>
      <c r="AZ112" s="16"/>
      <c r="BA112" s="16"/>
      <c r="BB112" s="16"/>
      <c r="BC112" s="16"/>
      <c r="BD112" s="18"/>
      <c r="BE112" s="16"/>
      <c r="BF112" s="16"/>
      <c r="BG112" s="16"/>
      <c r="BH112" s="16"/>
      <c r="BI112" s="18"/>
      <c r="BJ112" s="16"/>
      <c r="BK112" s="16"/>
      <c r="BL112" s="16"/>
      <c r="BM112" s="16"/>
      <c r="BN112" s="18"/>
      <c r="BO112" s="16"/>
      <c r="BP112" s="16"/>
      <c r="BQ112" s="16"/>
      <c r="BR112" s="16"/>
      <c r="BS112" s="18"/>
      <c r="BT112" s="16"/>
      <c r="BU112" s="16"/>
      <c r="BV112" s="16"/>
      <c r="BW112" s="16"/>
      <c r="BX112" s="18"/>
      <c r="BY112" s="16"/>
      <c r="BZ112" s="16"/>
      <c r="CA112" s="16"/>
      <c r="CB112" s="16"/>
      <c r="CC112" s="18"/>
      <c r="CD112" s="16"/>
      <c r="CE112" s="16"/>
      <c r="CF112" s="16"/>
      <c r="CG112" s="16"/>
      <c r="CH112" s="18"/>
      <c r="CI112" s="16"/>
      <c r="CJ112" s="16"/>
      <c r="CK112" s="16"/>
      <c r="CL112" s="16"/>
      <c r="CM112" s="18"/>
      <c r="CN112" s="16"/>
      <c r="CO112" s="16"/>
      <c r="CP112" s="16"/>
      <c r="CQ112" s="16"/>
      <c r="CR112" s="18"/>
      <c r="CS112" s="16"/>
      <c r="CT112" s="16"/>
      <c r="CU112" s="16"/>
      <c r="CV112" s="16"/>
      <c r="CW112" s="18"/>
      <c r="CX112" s="16"/>
      <c r="CY112" s="16"/>
      <c r="CZ112" s="16"/>
      <c r="DA112" s="16"/>
      <c r="DB112" s="18"/>
      <c r="DC112" s="16"/>
      <c r="DD112" s="16"/>
      <c r="DE112" s="16"/>
      <c r="DF112" s="16"/>
      <c r="DG112" s="16"/>
      <c r="DH112" s="16"/>
      <c r="DI112" s="16"/>
      <c r="DJ112" s="16"/>
    </row>
    <row r="113" spans="1:114" s="725" customFormat="1" ht="11.25" customHeight="1">
      <c r="A113" s="16"/>
      <c r="B113" s="16" t="s">
        <v>239</v>
      </c>
      <c r="C113" s="441"/>
      <c r="D113" s="105">
        <v>416845</v>
      </c>
      <c r="E113" s="105">
        <v>478658</v>
      </c>
      <c r="F113" s="104">
        <v>548827</v>
      </c>
      <c r="G113" s="90">
        <f>G239</f>
        <v>165743</v>
      </c>
      <c r="H113" s="90">
        <f>H239</f>
        <v>150251</v>
      </c>
      <c r="I113" s="90">
        <f>I239</f>
        <v>152720</v>
      </c>
      <c r="J113" s="90">
        <f>J239</f>
        <v>174515</v>
      </c>
      <c r="K113" s="91">
        <f>SUM(G113:J113)</f>
        <v>643229</v>
      </c>
      <c r="L113" s="90">
        <f>L239</f>
        <v>210612</v>
      </c>
      <c r="M113" s="90">
        <f>M239</f>
        <v>195922</v>
      </c>
      <c r="N113" s="90">
        <f>N239</f>
        <v>198137</v>
      </c>
      <c r="O113" s="90">
        <f>O239</f>
        <v>204495</v>
      </c>
      <c r="P113" s="91">
        <f>SUM(L113:O113)</f>
        <v>809166</v>
      </c>
      <c r="Q113" s="90">
        <f>Q239</f>
        <v>245252</v>
      </c>
      <c r="R113" s="90">
        <f>R239</f>
        <v>221735</v>
      </c>
      <c r="S113" s="90">
        <f>S239</f>
        <v>249871</v>
      </c>
      <c r="T113" s="90">
        <f>T239</f>
        <v>288854</v>
      </c>
      <c r="U113" s="91">
        <f>SUM(Q113:T113)</f>
        <v>1005712</v>
      </c>
      <c r="V113" s="90">
        <f>V239</f>
        <v>300657</v>
      </c>
      <c r="W113" s="90">
        <f>W239</f>
        <v>279830</v>
      </c>
      <c r="X113" s="90">
        <f>X239</f>
        <v>277216</v>
      </c>
      <c r="Y113" s="90">
        <f>Y239</f>
        <v>286112</v>
      </c>
      <c r="Z113" s="91">
        <f>SUM(V113:Y113)</f>
        <v>1143815</v>
      </c>
      <c r="AA113" s="90">
        <f>AA239</f>
        <v>320746</v>
      </c>
      <c r="AB113" s="90">
        <f>AB239</f>
        <v>293320</v>
      </c>
      <c r="AC113" s="90">
        <f>AC239</f>
        <v>286340</v>
      </c>
      <c r="AD113" s="90">
        <f>AD239</f>
        <v>304842</v>
      </c>
      <c r="AE113" s="91">
        <f>SUM(AA113:AD113)</f>
        <v>1205248</v>
      </c>
      <c r="AF113" s="90">
        <f>AF239</f>
        <v>333249</v>
      </c>
      <c r="AG113" s="90">
        <f>AG239</f>
        <v>321573</v>
      </c>
      <c r="AH113" s="90">
        <f>AH239</f>
        <v>335914</v>
      </c>
      <c r="AI113" s="90">
        <f>AI239</f>
        <v>343992</v>
      </c>
      <c r="AJ113" s="91">
        <f>SUM(AF113:AI113)</f>
        <v>1334728</v>
      </c>
      <c r="AK113" s="90">
        <f>AK239</f>
        <v>364180</v>
      </c>
      <c r="AL113" s="90">
        <f>AL239</f>
        <v>353474</v>
      </c>
      <c r="AM113" s="90">
        <f>AM239</f>
        <v>598042</v>
      </c>
      <c r="AN113" s="90">
        <f>AN239</f>
        <v>694373</v>
      </c>
      <c r="AO113" s="91">
        <f>SUM(AK113:AN113)</f>
        <v>2010069</v>
      </c>
      <c r="AP113" s="90">
        <f>AP239</f>
        <v>772361</v>
      </c>
      <c r="AQ113" s="90">
        <f>AQ239</f>
        <v>695023</v>
      </c>
      <c r="AR113" s="90">
        <f>AR239</f>
        <v>681204</v>
      </c>
      <c r="AS113" s="90">
        <f>AS239</f>
        <v>693614</v>
      </c>
      <c r="AT113" s="91">
        <f>SUM(AP113:AS113)</f>
        <v>2842202</v>
      </c>
      <c r="AU113" s="90">
        <f>AU239</f>
        <v>734727</v>
      </c>
      <c r="AV113" s="90">
        <f>AV239</f>
        <v>731059</v>
      </c>
      <c r="AW113" s="90">
        <f>AW239</f>
        <v>730676</v>
      </c>
      <c r="AX113" s="90">
        <f>AX239</f>
        <v>733571</v>
      </c>
      <c r="AY113" s="91">
        <f>SUM(AU113:AX113)</f>
        <v>2930033</v>
      </c>
      <c r="AZ113" s="90">
        <f>AZ239</f>
        <v>761225</v>
      </c>
      <c r="BA113" s="90">
        <f>BA239</f>
        <v>721659</v>
      </c>
      <c r="BB113" s="90">
        <f>BB239</f>
        <v>714576</v>
      </c>
      <c r="BC113" s="90">
        <f>BC239</f>
        <v>751416</v>
      </c>
      <c r="BD113" s="91">
        <f>SUM(AZ113:BC113)</f>
        <v>2948876</v>
      </c>
      <c r="BE113" s="90">
        <f>BE239</f>
        <v>792862</v>
      </c>
      <c r="BF113" s="90">
        <f>BF239</f>
        <v>737850</v>
      </c>
      <c r="BG113" s="90">
        <f>BG239</f>
        <v>717951</v>
      </c>
      <c r="BH113" s="90">
        <f>BH239</f>
        <v>732430</v>
      </c>
      <c r="BI113" s="91">
        <f>SUM(BE113:BH113)</f>
        <v>2981093</v>
      </c>
      <c r="BJ113" s="90">
        <f>BJ239</f>
        <v>804412</v>
      </c>
      <c r="BK113" s="90">
        <f>BK239</f>
        <v>750686</v>
      </c>
      <c r="BL113" s="90">
        <f>BL239</f>
        <v>747616</v>
      </c>
      <c r="BM113" s="90">
        <f>BM239</f>
        <v>756217</v>
      </c>
      <c r="BN113" s="91">
        <f>SUM(BJ113:BM113)</f>
        <v>3058931</v>
      </c>
      <c r="BO113" s="90">
        <f>BO239</f>
        <v>790522</v>
      </c>
      <c r="BP113" s="90">
        <f>BP239</f>
        <v>723662</v>
      </c>
      <c r="BQ113" s="90">
        <f>BQ239</f>
        <v>695844</v>
      </c>
      <c r="BR113" s="90">
        <f>BR239</f>
        <v>687463</v>
      </c>
      <c r="BS113" s="91">
        <f>SUM(BO113:BR113)</f>
        <v>2897491</v>
      </c>
      <c r="BT113" s="90">
        <f>BT239</f>
        <v>973486</v>
      </c>
      <c r="BU113" s="90">
        <f>BU239</f>
        <v>1056261</v>
      </c>
      <c r="BV113" s="90">
        <f>BV239</f>
        <v>1026759</v>
      </c>
      <c r="BW113" s="90">
        <f>BW239</f>
        <v>1046254</v>
      </c>
      <c r="BX113" s="91">
        <f>SUM(BT113:BW113)</f>
        <v>4102760</v>
      </c>
      <c r="BY113" s="90">
        <f>BY239</f>
        <v>1127077</v>
      </c>
      <c r="BZ113" s="90">
        <f>BZ239</f>
        <v>1033244</v>
      </c>
      <c r="CA113" s="90">
        <f>CA239</f>
        <v>1003025</v>
      </c>
      <c r="CB113" s="90">
        <f>CB239</f>
        <v>1011868</v>
      </c>
      <c r="CC113" s="91">
        <f>SUM(BY113:CB113)</f>
        <v>4175214</v>
      </c>
      <c r="CD113" s="90">
        <f>CD239</f>
        <v>1076226</v>
      </c>
      <c r="CE113" s="90">
        <f>CE239</f>
        <v>947492</v>
      </c>
      <c r="CF113" s="90">
        <f>CF239</f>
        <v>898177</v>
      </c>
      <c r="CG113" s="90">
        <f>CG239</f>
        <v>910209</v>
      </c>
      <c r="CH113" s="91">
        <f>SUM(CD113:CG113)</f>
        <v>3832104</v>
      </c>
      <c r="CI113" s="90">
        <f>CI239</f>
        <v>972885</v>
      </c>
      <c r="CJ113" s="90">
        <f>CJ239</f>
        <v>840516</v>
      </c>
      <c r="CK113" s="90">
        <f>CK239</f>
        <v>756186</v>
      </c>
      <c r="CL113" s="90">
        <f>CL239</f>
        <v>726882</v>
      </c>
      <c r="CM113" s="91">
        <f>SUM(CI113:CL113)</f>
        <v>3296469</v>
      </c>
      <c r="CN113" s="90">
        <f ca="1">CN93*CN119</f>
        <v>713588.92844886798</v>
      </c>
      <c r="CO113" s="90">
        <f ca="1">CO93*CO119</f>
        <v>675876.38850186032</v>
      </c>
      <c r="CP113" s="90">
        <f ca="1">CP93*CP119</f>
        <v>634264.91370193393</v>
      </c>
      <c r="CQ113" s="90">
        <f ca="1">CQ93*CQ119</f>
        <v>617455.66077898629</v>
      </c>
      <c r="CR113" s="91">
        <f ca="1">SUM(CN113:CQ113)</f>
        <v>2641185.8914316483</v>
      </c>
      <c r="CS113" s="90">
        <f ca="1">CS93*CS119</f>
        <v>628203.62278544507</v>
      </c>
      <c r="CT113" s="90">
        <f ca="1">CT93*CT119</f>
        <v>625940.72772669827</v>
      </c>
      <c r="CU113" s="90">
        <f ca="1">CU93*CU119</f>
        <v>627526.18919215817</v>
      </c>
      <c r="CV113" s="90">
        <f ca="1">CV93*CV119</f>
        <v>622058.44404933031</v>
      </c>
      <c r="CW113" s="91">
        <f ca="1">SUM(CS113:CV113)</f>
        <v>2503728.9837536318</v>
      </c>
      <c r="CX113" s="90">
        <f ca="1">CX93*CX119</f>
        <v>625500.64919701486</v>
      </c>
      <c r="CY113" s="90">
        <f ca="1">CY93*CY119</f>
        <v>623624.14724942157</v>
      </c>
      <c r="CZ113" s="90">
        <f ca="1">CZ93*CZ119</f>
        <v>621753.274807674</v>
      </c>
      <c r="DA113" s="90">
        <f ca="1">DA93*DA119</f>
        <v>619888.01498325076</v>
      </c>
      <c r="DB113" s="91">
        <f ca="1">SUM(CX113:DA113)</f>
        <v>2490766.0862373612</v>
      </c>
      <c r="DC113" s="16"/>
      <c r="DD113" s="16"/>
      <c r="DE113" s="16"/>
      <c r="DF113" s="16"/>
      <c r="DG113" s="16"/>
      <c r="DH113" s="16"/>
      <c r="DI113" s="16"/>
      <c r="DJ113" s="16"/>
    </row>
    <row r="114" spans="1:114" s="725" customFormat="1" ht="11.25" customHeight="1">
      <c r="A114" s="16"/>
      <c r="B114" s="77" t="s">
        <v>256</v>
      </c>
      <c r="C114" s="52"/>
      <c r="D114" s="1053" t="s">
        <v>257</v>
      </c>
      <c r="E114" s="96">
        <f>E113/D113-1</f>
        <v>0.14828773285034003</v>
      </c>
      <c r="F114" s="96">
        <f>F113/E113-1</f>
        <v>0.14659527261635663</v>
      </c>
      <c r="G114" s="1071">
        <v>3.1E-2</v>
      </c>
      <c r="H114" s="1071">
        <v>4.4999999999999998E-2</v>
      </c>
      <c r="I114" s="1071">
        <v>1.4999999999999999E-2</v>
      </c>
      <c r="J114" s="1071">
        <v>-5.0000000000000001E-3</v>
      </c>
      <c r="K114" s="96">
        <f t="shared" ref="K114:Z114" si="190">K113/F113-1</f>
        <v>0.17200684368662622</v>
      </c>
      <c r="L114" s="79">
        <f t="shared" si="190"/>
        <v>0.27071429864307994</v>
      </c>
      <c r="M114" s="79">
        <f t="shared" si="190"/>
        <v>0.3039646990702225</v>
      </c>
      <c r="N114" s="79">
        <f t="shared" si="190"/>
        <v>0.29738737558931372</v>
      </c>
      <c r="O114" s="79">
        <f t="shared" si="190"/>
        <v>0.17179039051084444</v>
      </c>
      <c r="P114" s="96">
        <f t="shared" si="190"/>
        <v>0.25797499801781321</v>
      </c>
      <c r="Q114" s="79">
        <f t="shared" si="190"/>
        <v>0.16447305946479784</v>
      </c>
      <c r="R114" s="79">
        <f t="shared" si="190"/>
        <v>0.13175141127591594</v>
      </c>
      <c r="S114" s="79">
        <f t="shared" si="190"/>
        <v>0.26110216668264896</v>
      </c>
      <c r="T114" s="79">
        <f t="shared" si="190"/>
        <v>0.4125235335827282</v>
      </c>
      <c r="U114" s="96">
        <f t="shared" si="190"/>
        <v>0.2428994792168726</v>
      </c>
      <c r="V114" s="79">
        <f t="shared" si="190"/>
        <v>0.22591049206530434</v>
      </c>
      <c r="W114" s="79">
        <f t="shared" si="190"/>
        <v>0.26200193925180959</v>
      </c>
      <c r="X114" s="79">
        <f t="shared" si="190"/>
        <v>0.10943646921811645</v>
      </c>
      <c r="Y114" s="79">
        <f t="shared" si="190"/>
        <v>-9.4926848857900259E-3</v>
      </c>
      <c r="Z114" s="96">
        <f t="shared" si="190"/>
        <v>0.13731863595144533</v>
      </c>
      <c r="AA114" s="98">
        <f t="shared" ref="AA114:CI114" si="191">AA113/V113-1</f>
        <v>6.681700409436675E-2</v>
      </c>
      <c r="AB114" s="98">
        <f t="shared" si="191"/>
        <v>4.8207840474573826E-2</v>
      </c>
      <c r="AC114" s="98">
        <f t="shared" si="191"/>
        <v>3.2912963176728649E-2</v>
      </c>
      <c r="AD114" s="98">
        <f t="shared" si="191"/>
        <v>6.5463874286992407E-2</v>
      </c>
      <c r="AE114" s="96">
        <f t="shared" si="191"/>
        <v>5.3708860261493241E-2</v>
      </c>
      <c r="AF114" s="98">
        <f t="shared" si="191"/>
        <v>3.8981000542485322E-2</v>
      </c>
      <c r="AG114" s="98">
        <f t="shared" si="191"/>
        <v>9.6321423701077213E-2</v>
      </c>
      <c r="AH114" s="98">
        <f t="shared" si="191"/>
        <v>0.17312984563805256</v>
      </c>
      <c r="AI114" s="98">
        <f t="shared" si="191"/>
        <v>0.12842718523038155</v>
      </c>
      <c r="AJ114" s="96">
        <f t="shared" si="191"/>
        <v>0.10743017204757854</v>
      </c>
      <c r="AK114" s="98">
        <f t="shared" si="191"/>
        <v>9.2816482570090342E-2</v>
      </c>
      <c r="AL114" s="98">
        <f t="shared" si="191"/>
        <v>9.9202980349718306E-2</v>
      </c>
      <c r="AM114" s="98">
        <f t="shared" si="191"/>
        <v>0.78034258768613385</v>
      </c>
      <c r="AN114" s="98">
        <f t="shared" si="191"/>
        <v>1.0185731063513104</v>
      </c>
      <c r="AO114" s="96">
        <f t="shared" si="191"/>
        <v>0.50597649858248261</v>
      </c>
      <c r="AP114" s="98">
        <f t="shared" si="191"/>
        <v>1.1208221209292106</v>
      </c>
      <c r="AQ114" s="98">
        <f t="shared" si="191"/>
        <v>0.96626343097370659</v>
      </c>
      <c r="AR114" s="98">
        <f t="shared" si="191"/>
        <v>0.13905712307831219</v>
      </c>
      <c r="AS114" s="98">
        <f t="shared" si="191"/>
        <v>-1.0930724552942195E-3</v>
      </c>
      <c r="AT114" s="96">
        <f t="shared" si="191"/>
        <v>0.41398230608004005</v>
      </c>
      <c r="AU114" s="98">
        <f t="shared" si="191"/>
        <v>-4.8725919615309476E-2</v>
      </c>
      <c r="AV114" s="98">
        <f t="shared" si="191"/>
        <v>5.1848643857829169E-2</v>
      </c>
      <c r="AW114" s="98">
        <f t="shared" si="191"/>
        <v>7.2624353350831727E-2</v>
      </c>
      <c r="AX114" s="98">
        <f t="shared" si="191"/>
        <v>5.7606968717471174E-2</v>
      </c>
      <c r="AY114" s="96">
        <f t="shared" si="191"/>
        <v>3.0902448172227093E-2</v>
      </c>
      <c r="AZ114" s="98">
        <f t="shared" si="191"/>
        <v>3.6065096287464682E-2</v>
      </c>
      <c r="BA114" s="98">
        <f t="shared" si="191"/>
        <v>-1.2858059335840166E-2</v>
      </c>
      <c r="BB114" s="98">
        <f t="shared" si="191"/>
        <v>-2.2034390071659637E-2</v>
      </c>
      <c r="BC114" s="98">
        <f t="shared" si="191"/>
        <v>2.4326207006547529E-2</v>
      </c>
      <c r="BD114" s="96">
        <f t="shared" si="191"/>
        <v>6.4309855895821055E-3</v>
      </c>
      <c r="BE114" s="98">
        <f t="shared" si="191"/>
        <v>4.156064238562851E-2</v>
      </c>
      <c r="BF114" s="98">
        <f t="shared" si="191"/>
        <v>2.2435804167896478E-2</v>
      </c>
      <c r="BG114" s="98">
        <f t="shared" si="191"/>
        <v>4.723080540068425E-3</v>
      </c>
      <c r="BH114" s="98">
        <f t="shared" si="191"/>
        <v>-2.5266962641200097E-2</v>
      </c>
      <c r="BI114" s="96">
        <f t="shared" si="191"/>
        <v>1.0925179627763182E-2</v>
      </c>
      <c r="BJ114" s="79">
        <f t="shared" si="191"/>
        <v>1.4567478325357985E-2</v>
      </c>
      <c r="BK114" s="79">
        <f t="shared" si="191"/>
        <v>1.7396489801450254E-2</v>
      </c>
      <c r="BL114" s="79">
        <f t="shared" si="191"/>
        <v>4.1318975807541181E-2</v>
      </c>
      <c r="BM114" s="79">
        <f t="shared" si="191"/>
        <v>3.2476823723768922E-2</v>
      </c>
      <c r="BN114" s="96">
        <f t="shared" si="191"/>
        <v>2.6110557436483939E-2</v>
      </c>
      <c r="BO114" s="79">
        <f t="shared" si="191"/>
        <v>-1.7267271000432571E-2</v>
      </c>
      <c r="BP114" s="79">
        <f t="shared" si="191"/>
        <v>-3.5999072848035052E-2</v>
      </c>
      <c r="BQ114" s="79">
        <f t="shared" si="191"/>
        <v>-6.9249454265291277E-2</v>
      </c>
      <c r="BR114" s="79">
        <f t="shared" si="191"/>
        <v>-9.0918347511362518E-2</v>
      </c>
      <c r="BS114" s="96">
        <f t="shared" si="191"/>
        <v>-5.277660725266442E-2</v>
      </c>
      <c r="BT114" s="79">
        <f t="shared" si="191"/>
        <v>0.2314470691517756</v>
      </c>
      <c r="BU114" s="79">
        <f t="shared" si="191"/>
        <v>0.45960545116366491</v>
      </c>
      <c r="BV114" s="79">
        <f t="shared" si="191"/>
        <v>0.47555917705692652</v>
      </c>
      <c r="BW114" s="79">
        <f t="shared" si="191"/>
        <v>0.52190590620877053</v>
      </c>
      <c r="BX114" s="96">
        <f t="shared" si="191"/>
        <v>0.41596988567005044</v>
      </c>
      <c r="BY114" s="79">
        <f t="shared" si="191"/>
        <v>0.15777422582348377</v>
      </c>
      <c r="BZ114" s="79">
        <f t="shared" si="191"/>
        <v>-2.1791015667529168E-2</v>
      </c>
      <c r="CA114" s="79">
        <f t="shared" si="191"/>
        <v>-2.311545357771394E-2</v>
      </c>
      <c r="CB114" s="79">
        <f t="shared" si="191"/>
        <v>-3.2865824168892055E-2</v>
      </c>
      <c r="CC114" s="96">
        <f t="shared" ref="CC114:CH114" si="192">CC113/BX113-1</f>
        <v>1.7659819243631025E-2</v>
      </c>
      <c r="CD114" s="79">
        <f t="shared" si="191"/>
        <v>-4.5117591788316203E-2</v>
      </c>
      <c r="CE114" s="79">
        <f t="shared" si="191"/>
        <v>-8.2992981328708471E-2</v>
      </c>
      <c r="CF114" s="79">
        <f t="shared" si="191"/>
        <v>-0.10453179133122303</v>
      </c>
      <c r="CG114" s="79">
        <f t="shared" si="191"/>
        <v>-0.10046666165942597</v>
      </c>
      <c r="CH114" s="96">
        <f t="shared" si="192"/>
        <v>-8.2177823699575603E-2</v>
      </c>
      <c r="CI114" s="79">
        <f t="shared" si="191"/>
        <v>-9.6021653444536725E-2</v>
      </c>
      <c r="CJ114" s="79">
        <f t="shared" ref="CJ114:CR114" si="193">CJ113/CE113-1</f>
        <v>-0.11290438336154818</v>
      </c>
      <c r="CK114" s="79">
        <f t="shared" si="193"/>
        <v>-0.15808799379186955</v>
      </c>
      <c r="CL114" s="79">
        <f t="shared" si="193"/>
        <v>-0.20141198340161437</v>
      </c>
      <c r="CM114" s="96">
        <f t="shared" si="193"/>
        <v>-0.13977569502289078</v>
      </c>
      <c r="CN114" s="79">
        <f t="shared" ca="1" si="193"/>
        <v>-0.26652283831196089</v>
      </c>
      <c r="CO114" s="79">
        <f t="shared" ca="1" si="193"/>
        <v>-0.19587921169631473</v>
      </c>
      <c r="CP114" s="79">
        <f t="shared" ca="1" si="193"/>
        <v>-0.1612316100775022</v>
      </c>
      <c r="CQ114" s="79">
        <f t="shared" ca="1" si="193"/>
        <v>-0.15054209516952366</v>
      </c>
      <c r="CR114" s="96">
        <f t="shared" ca="1" si="193"/>
        <v>-0.19878333713083662</v>
      </c>
      <c r="CS114" s="79">
        <f t="shared" ref="CS114" ca="1" si="194">CS113/CN113-1</f>
        <v>-0.1196561525261125</v>
      </c>
      <c r="CT114" s="79">
        <f t="shared" ref="CT114" ca="1" si="195">CT113/CO113-1</f>
        <v>-7.3882830684245171E-2</v>
      </c>
      <c r="CU114" s="79">
        <f t="shared" ref="CU114" ca="1" si="196">CU113/CP113-1</f>
        <v>-1.0624463633727932E-2</v>
      </c>
      <c r="CV114" s="79">
        <f t="shared" ref="CV114" ca="1" si="197">CV113/CQ113-1</f>
        <v>7.4544352942478298E-3</v>
      </c>
      <c r="CW114" s="96">
        <f t="shared" ref="CW114" ca="1" si="198">CW113/CR113-1</f>
        <v>-5.2043632416765795E-2</v>
      </c>
      <c r="CX114" s="79">
        <f t="shared" ref="CX114" ca="1" si="199">CX113/CS113-1</f>
        <v>-4.3027029618919466E-3</v>
      </c>
      <c r="CY114" s="79">
        <f t="shared" ref="CY114" ca="1" si="200">CY113/CT113-1</f>
        <v>-3.7009582132322416E-3</v>
      </c>
      <c r="CZ114" s="79">
        <f t="shared" ref="CZ114" ca="1" si="201">CZ113/CU113-1</f>
        <v>-9.199479613617223E-3</v>
      </c>
      <c r="DA114" s="79">
        <f t="shared" ref="DA114" ca="1" si="202">DA113/CV113-1</f>
        <v>-3.4891079557589633E-3</v>
      </c>
      <c r="DB114" s="96">
        <f t="shared" ref="DB114" ca="1" si="203">DB113/CW113-1</f>
        <v>-5.1774363760554998E-3</v>
      </c>
      <c r="DC114" s="16"/>
      <c r="DD114" s="16"/>
      <c r="DE114" s="16"/>
      <c r="DF114" s="16"/>
      <c r="DG114" s="16"/>
      <c r="DH114" s="16"/>
      <c r="DI114" s="16"/>
      <c r="DJ114" s="16"/>
    </row>
    <row r="115" spans="1:114" s="725" customFormat="1" ht="11.25" customHeight="1">
      <c r="A115" s="16"/>
      <c r="B115" s="77"/>
      <c r="C115" s="52"/>
      <c r="D115" s="1053"/>
      <c r="E115" s="1053"/>
      <c r="F115" s="78"/>
      <c r="G115" s="52"/>
      <c r="H115" s="52"/>
      <c r="I115" s="52"/>
      <c r="J115" s="52"/>
      <c r="K115" s="78"/>
      <c r="L115" s="52"/>
      <c r="M115" s="52"/>
      <c r="N115" s="52"/>
      <c r="O115" s="52"/>
      <c r="P115" s="78"/>
      <c r="Q115" s="52"/>
      <c r="R115" s="52"/>
      <c r="S115" s="52"/>
      <c r="T115" s="52"/>
      <c r="U115" s="78"/>
      <c r="V115" s="52"/>
      <c r="W115" s="52"/>
      <c r="X115" s="52"/>
      <c r="Y115" s="52"/>
      <c r="Z115" s="96"/>
      <c r="AA115" s="52"/>
      <c r="AB115" s="52"/>
      <c r="AC115" s="52"/>
      <c r="AD115" s="52"/>
      <c r="AE115" s="96"/>
      <c r="AF115" s="52"/>
      <c r="AG115" s="52"/>
      <c r="AH115" s="52"/>
      <c r="AI115" s="52"/>
      <c r="AJ115" s="96"/>
      <c r="AK115" s="52"/>
      <c r="AL115" s="52"/>
      <c r="AM115" s="52"/>
      <c r="AN115" s="52"/>
      <c r="AO115" s="96"/>
      <c r="AP115" s="52"/>
      <c r="AQ115" s="52"/>
      <c r="AR115" s="52"/>
      <c r="AS115" s="52"/>
      <c r="AT115" s="96"/>
      <c r="AU115" s="52"/>
      <c r="AV115" s="52"/>
      <c r="AW115" s="52"/>
      <c r="AX115" s="52"/>
      <c r="AY115" s="96"/>
      <c r="AZ115" s="52"/>
      <c r="BA115" s="52"/>
      <c r="BB115" s="52"/>
      <c r="BC115" s="52"/>
      <c r="BD115" s="96"/>
      <c r="BE115" s="52"/>
      <c r="BF115" s="52"/>
      <c r="BG115" s="52"/>
      <c r="BH115" s="52"/>
      <c r="BI115" s="96"/>
      <c r="BJ115" s="52"/>
      <c r="BK115" s="52"/>
      <c r="BL115" s="52"/>
      <c r="BM115" s="52"/>
      <c r="BN115" s="96"/>
      <c r="BO115" s="52"/>
      <c r="BP115" s="52"/>
      <c r="BQ115" s="52"/>
      <c r="BR115" s="52"/>
      <c r="BS115" s="96"/>
      <c r="BT115" s="52"/>
      <c r="BU115" s="52"/>
      <c r="BV115" s="52"/>
      <c r="BW115" s="52"/>
      <c r="BX115" s="96"/>
      <c r="BY115" s="52"/>
      <c r="BZ115" s="52"/>
      <c r="CA115" s="52"/>
      <c r="CB115" s="52"/>
      <c r="CC115" s="96"/>
      <c r="CD115" s="52"/>
      <c r="CE115" s="52"/>
      <c r="CF115" s="52"/>
      <c r="CG115" s="52"/>
      <c r="CH115" s="96"/>
      <c r="CI115" s="52"/>
      <c r="CJ115" s="52"/>
      <c r="CK115" s="52"/>
      <c r="CL115" s="52"/>
      <c r="CM115" s="96"/>
      <c r="CN115" s="52"/>
      <c r="CO115" s="52"/>
      <c r="CP115" s="52"/>
      <c r="CQ115" s="52"/>
      <c r="CR115" s="96"/>
      <c r="CS115" s="52"/>
      <c r="CT115" s="52"/>
      <c r="CU115" s="52"/>
      <c r="CV115" s="52"/>
      <c r="CW115" s="96"/>
      <c r="CX115" s="52"/>
      <c r="CY115" s="52"/>
      <c r="CZ115" s="52"/>
      <c r="DA115" s="52"/>
      <c r="DB115" s="96"/>
      <c r="DC115" s="16"/>
      <c r="DD115" s="16"/>
      <c r="DE115" s="16"/>
      <c r="DF115" s="16"/>
      <c r="DG115" s="16"/>
      <c r="DH115" s="16"/>
      <c r="DI115" s="16"/>
      <c r="DJ115" s="16"/>
    </row>
    <row r="116" spans="1:114" s="725" customFormat="1" ht="11.25" customHeight="1">
      <c r="A116" s="16"/>
      <c r="B116" s="16" t="s">
        <v>240</v>
      </c>
      <c r="C116" s="439"/>
      <c r="D116" s="99">
        <f t="shared" ref="D116:J116" si="204">+D113*D97</f>
        <v>737287.77568571828</v>
      </c>
      <c r="E116" s="99">
        <f t="shared" si="204"/>
        <v>862621.10674838477</v>
      </c>
      <c r="F116" s="91">
        <f t="shared" si="204"/>
        <v>1004972.6642453423</v>
      </c>
      <c r="G116" s="90">
        <f t="shared" si="204"/>
        <v>294276.73128585418</v>
      </c>
      <c r="H116" s="90">
        <f t="shared" si="204"/>
        <v>278507.95286942058</v>
      </c>
      <c r="I116" s="90">
        <f t="shared" si="204"/>
        <v>288063.66133621114</v>
      </c>
      <c r="J116" s="90">
        <f t="shared" si="204"/>
        <v>319084.35363190103</v>
      </c>
      <c r="K116" s="91">
        <f>SUM(G116:J116)</f>
        <v>1179932.699123387</v>
      </c>
      <c r="L116" s="90">
        <f>+L113*L97</f>
        <v>378920.56380454078</v>
      </c>
      <c r="M116" s="90">
        <f>+M113*M97</f>
        <v>366101.04315455677</v>
      </c>
      <c r="N116" s="90">
        <f>+N113*N97</f>
        <v>372603.57426199265</v>
      </c>
      <c r="O116" s="90">
        <f>+O113*O97</f>
        <v>374661.64401945984</v>
      </c>
      <c r="P116" s="91">
        <f>SUM(L116:O116)</f>
        <v>1492286.8252405501</v>
      </c>
      <c r="Q116" s="90">
        <f>+Q113*Q97</f>
        <v>440513.13846353488</v>
      </c>
      <c r="R116" s="90">
        <f>+R113*R97</f>
        <v>409578.15001983475</v>
      </c>
      <c r="S116" s="90">
        <f>+S113*S97</f>
        <v>465183.71778911987</v>
      </c>
      <c r="T116" s="90">
        <f>+T113*T97</f>
        <v>522200.79043620382</v>
      </c>
      <c r="U116" s="91">
        <f>SUM(Q116:T116)</f>
        <v>1837475.7967086933</v>
      </c>
      <c r="V116" s="90">
        <f>+V113*V97</f>
        <v>542145.42431126349</v>
      </c>
      <c r="W116" s="90">
        <f>+W113*W97</f>
        <v>519088.7981777424</v>
      </c>
      <c r="X116" s="90">
        <f>+X113*X97</f>
        <v>525932.52248294989</v>
      </c>
      <c r="Y116" s="90">
        <f>+Y113*Y97</f>
        <v>532240.50960314542</v>
      </c>
      <c r="Z116" s="91">
        <f>SUM(V116:Y116)</f>
        <v>2119407.2545751012</v>
      </c>
      <c r="AA116" s="90">
        <f>+AA113*AA97</f>
        <v>572050.92424062733</v>
      </c>
      <c r="AB116" s="90">
        <f>+AB113*AB97</f>
        <v>549691.3850149624</v>
      </c>
      <c r="AC116" s="90">
        <f>+AC113*AC97</f>
        <v>541684.61920181673</v>
      </c>
      <c r="AD116" s="90">
        <f>+AD113*AD97</f>
        <v>561341.71858521947</v>
      </c>
      <c r="AE116" s="91">
        <f>SUM(AA116:AD116)</f>
        <v>2224768.6470426256</v>
      </c>
      <c r="AF116" s="90">
        <f>+AF113*AF97</f>
        <v>604191.58665754879</v>
      </c>
      <c r="AG116" s="90">
        <f>+AG113*AG97</f>
        <v>605037.08438554348</v>
      </c>
      <c r="AH116" s="90">
        <f>+AH113*AH97</f>
        <v>629439.60977188544</v>
      </c>
      <c r="AI116" s="90">
        <f>+AI113*AI97</f>
        <v>638746.98530339496</v>
      </c>
      <c r="AJ116" s="91">
        <f>SUM(AF116:AI116)</f>
        <v>2477415.2661183728</v>
      </c>
      <c r="AK116" s="90">
        <f>+AK113*AK97</f>
        <v>666866.98957584472</v>
      </c>
      <c r="AL116" s="90">
        <f>+AL113*AL97</f>
        <v>667842.90881840931</v>
      </c>
      <c r="AM116" s="90">
        <f>+AM113*AM97</f>
        <v>1109409.2910812353</v>
      </c>
      <c r="AN116" s="90">
        <f>+AN113*AN97</f>
        <v>1248140.4377371909</v>
      </c>
      <c r="AO116" s="91">
        <f>SUM(AK116:AN116)</f>
        <v>3692259.6272126799</v>
      </c>
      <c r="AP116" s="90">
        <f>+AP113*AP97</f>
        <v>1351679.6740241426</v>
      </c>
      <c r="AQ116" s="90">
        <f>+AQ113*AQ97</f>
        <v>1259323.3488601616</v>
      </c>
      <c r="AR116" s="90">
        <f>+AR113*AR97</f>
        <v>1249765.3589642234</v>
      </c>
      <c r="AS116" s="90">
        <f>+AS113*AS97</f>
        <v>1255853.107622935</v>
      </c>
      <c r="AT116" s="91">
        <f>SUM(AP116:AS116)</f>
        <v>5116621.4894714626</v>
      </c>
      <c r="AU116" s="90">
        <f>+AU113*AU97</f>
        <v>1318601.200344089</v>
      </c>
      <c r="AV116" s="90">
        <f>+AV113*AV97</f>
        <v>1354225.1293819959</v>
      </c>
      <c r="AW116" s="90">
        <f>+AW113*AW97</f>
        <v>1367978.594870565</v>
      </c>
      <c r="AX116" s="90">
        <f>+AX113*AX97</f>
        <v>1355508.8432431489</v>
      </c>
      <c r="AY116" s="91">
        <f>SUM(AU116:AX116)</f>
        <v>5396313.7678397987</v>
      </c>
      <c r="AZ116" s="90">
        <f>+AZ113*AZ97</f>
        <v>1390468.2342894827</v>
      </c>
      <c r="BA116" s="90">
        <f>+BA113*BA97</f>
        <v>1363606.5743503117</v>
      </c>
      <c r="BB116" s="90">
        <f>+BB113*BB97</f>
        <v>1376531.5956295095</v>
      </c>
      <c r="BC116" s="90">
        <f>+BC113*BC97</f>
        <v>1430922.4259673809</v>
      </c>
      <c r="BD116" s="91">
        <f>SUM(AZ116:BC116)</f>
        <v>5561528.8302366845</v>
      </c>
      <c r="BE116" s="90">
        <f>+BE113*BE97</f>
        <v>1492725.5674087971</v>
      </c>
      <c r="BF116" s="90">
        <f>+BF113*BF97</f>
        <v>1456010.6750784146</v>
      </c>
      <c r="BG116" s="90">
        <f>+BG113*BG97</f>
        <v>1457504.7284308609</v>
      </c>
      <c r="BH116" s="90">
        <f>+BH113*BH97</f>
        <v>1467673.941356272</v>
      </c>
      <c r="BI116" s="91">
        <f>SUM(BE116:BH116)</f>
        <v>5873914.9122743439</v>
      </c>
      <c r="BJ116" s="90">
        <f>+BJ113*BJ97</f>
        <v>1586883.6414716749</v>
      </c>
      <c r="BK116" s="90">
        <f>+BK113*BK97</f>
        <v>1519047.5220497092</v>
      </c>
      <c r="BL116" s="90">
        <f>+BL113*BL97</f>
        <v>1536070.4181898006</v>
      </c>
      <c r="BM116" s="90">
        <f>+BM113*BM97</f>
        <v>1538911.538796484</v>
      </c>
      <c r="BN116" s="91">
        <f>SUM(BJ116:BM116)</f>
        <v>6180913.1205076687</v>
      </c>
      <c r="BO116" s="90">
        <f>+BO113*BO97</f>
        <v>1573504.8751753317</v>
      </c>
      <c r="BP116" s="90">
        <f>+BP113*BP97</f>
        <v>1515456.9522929981</v>
      </c>
      <c r="BQ116" s="90">
        <f>+BQ113*BQ97</f>
        <v>1474279.9913677629</v>
      </c>
      <c r="BR116" s="90">
        <f>+BR113*BR97</f>
        <v>1459121.3299365109</v>
      </c>
      <c r="BS116" s="91">
        <f>SUM(BO116:BR116)</f>
        <v>6022363.1487726038</v>
      </c>
      <c r="BT116" s="90">
        <f>+BT113*BT97</f>
        <v>1993541.9085906793</v>
      </c>
      <c r="BU116" s="90">
        <f>+BU113*BU97</f>
        <v>2267928.6208048356</v>
      </c>
      <c r="BV116" s="90">
        <f>+BV113*BV97</f>
        <v>2234447.4529201128</v>
      </c>
      <c r="BW116" s="90">
        <f>+BW113*BW97</f>
        <v>2243735.8337605763</v>
      </c>
      <c r="BX116" s="91">
        <f>SUM(BT116:BW116)</f>
        <v>8739653.8160762042</v>
      </c>
      <c r="BY116" s="90">
        <f>+BY113*BY97</f>
        <v>2335193.2254659268</v>
      </c>
      <c r="BZ116" s="90">
        <f>+BZ113*BZ97</f>
        <v>2263042.2764252708</v>
      </c>
      <c r="CA116" s="90">
        <f>+CA113*CA97</f>
        <v>2229904.1543750814</v>
      </c>
      <c r="CB116" s="90">
        <f>+CB113*CB97</f>
        <v>2215426.2075656895</v>
      </c>
      <c r="CC116" s="91">
        <f>SUM(BY116:CB116)</f>
        <v>9043565.863831969</v>
      </c>
      <c r="CD116" s="90">
        <f>+CD113*CD97</f>
        <v>2304174.2736420529</v>
      </c>
      <c r="CE116" s="90">
        <f>+CE113*CE97</f>
        <v>2089469.411445451</v>
      </c>
      <c r="CF116" s="90">
        <f>+CF113*CF97</f>
        <v>1982712.0407264913</v>
      </c>
      <c r="CG116" s="90">
        <f>+CG113*CG97</f>
        <v>1968773.801155797</v>
      </c>
      <c r="CH116" s="91">
        <f>SUM(CD116:CG116)</f>
        <v>8345129.5269697923</v>
      </c>
      <c r="CI116" s="90">
        <f>+CI113*CI97</f>
        <v>2055797.3987635605</v>
      </c>
      <c r="CJ116" s="90">
        <f>+CJ113*CJ97</f>
        <v>1842781.5329527762</v>
      </c>
      <c r="CK116" s="90">
        <f>+CK113*CK97</f>
        <v>1655120.9248252464</v>
      </c>
      <c r="CL116" s="90">
        <f>+CL113*CL97</f>
        <v>1570945.9363721248</v>
      </c>
      <c r="CM116" s="91">
        <f>SUM(CI116:CL116)</f>
        <v>7124645.7929137079</v>
      </c>
      <c r="CN116" s="90">
        <f ca="1">+CN113*CN97</f>
        <v>1533313.4726194527</v>
      </c>
      <c r="CO116" s="90">
        <f ca="1">+CO113*CO97</f>
        <v>1380348.4333663622</v>
      </c>
      <c r="CP116" s="90">
        <f ca="1">+CP113*CP97</f>
        <v>1272915.2901521008</v>
      </c>
      <c r="CQ116" s="90">
        <f ca="1">+CQ113*CQ97</f>
        <v>1276214.8672527904</v>
      </c>
      <c r="CR116" s="91">
        <f ca="1">SUM(CN116:CQ116)</f>
        <v>5462792.0633907057</v>
      </c>
      <c r="CS116" s="90">
        <f ca="1">+CS113*CS97</f>
        <v>1299800.1491781231</v>
      </c>
      <c r="CT116" s="90">
        <f ca="1">+CT113*CT97</f>
        <v>1284742.0695756604</v>
      </c>
      <c r="CU116" s="90">
        <f ca="1">+CU113*CU97</f>
        <v>1286581.7868180897</v>
      </c>
      <c r="CV116" s="90">
        <f ca="1">+CV113*CV97</f>
        <v>1252520.8684455862</v>
      </c>
      <c r="CW116" s="91">
        <f ca="1">SUM(CS116:CV116)</f>
        <v>5123644.8740174593</v>
      </c>
      <c r="CX116" s="90">
        <f ca="1">+CX113*CX97</f>
        <v>1302917.5139175935</v>
      </c>
      <c r="CY116" s="90">
        <f ca="1">+CY113*CY97</f>
        <v>1288245.9023374137</v>
      </c>
      <c r="CZ116" s="90">
        <f ca="1">+CZ113*CZ97</f>
        <v>1278270.7607481</v>
      </c>
      <c r="DA116" s="90">
        <f ca="1">+DA113*DA97</f>
        <v>1253919.2782960723</v>
      </c>
      <c r="DB116" s="91">
        <f ca="1">SUM(CX116:DA116)</f>
        <v>5123353.45529918</v>
      </c>
      <c r="DC116" s="16"/>
      <c r="DD116" s="16"/>
      <c r="DE116" s="16"/>
      <c r="DF116" s="16"/>
      <c r="DG116" s="16"/>
      <c r="DH116" s="16"/>
      <c r="DI116" s="16"/>
      <c r="DJ116" s="16"/>
    </row>
    <row r="117" spans="1:114" s="725" customFormat="1" ht="11.25" customHeight="1">
      <c r="A117" s="16"/>
      <c r="B117" s="77" t="s">
        <v>256</v>
      </c>
      <c r="C117" s="52"/>
      <c r="D117" s="1053" t="s">
        <v>257</v>
      </c>
      <c r="E117" s="1053">
        <f>+E116/D116-1</f>
        <v>0.16999241706686319</v>
      </c>
      <c r="F117" s="78">
        <f>+F116/E116-1</f>
        <v>0.16502211270200173</v>
      </c>
      <c r="G117" s="52"/>
      <c r="H117" s="52"/>
      <c r="I117" s="52"/>
      <c r="J117" s="52"/>
      <c r="K117" s="78">
        <f t="shared" ref="K117:Y117" si="205">+K116/F116-1</f>
        <v>0.17409432226639354</v>
      </c>
      <c r="L117" s="79">
        <f t="shared" si="205"/>
        <v>0.28763345354840641</v>
      </c>
      <c r="M117" s="79">
        <f t="shared" si="205"/>
        <v>0.31450839871062675</v>
      </c>
      <c r="N117" s="79">
        <f t="shared" si="205"/>
        <v>0.29347649243099583</v>
      </c>
      <c r="O117" s="79">
        <f t="shared" si="205"/>
        <v>0.17417742285061499</v>
      </c>
      <c r="P117" s="78">
        <f t="shared" si="205"/>
        <v>0.2647219848633926</v>
      </c>
      <c r="Q117" s="79">
        <f t="shared" si="205"/>
        <v>0.16254745860339614</v>
      </c>
      <c r="R117" s="79">
        <f t="shared" si="205"/>
        <v>0.11875712369091307</v>
      </c>
      <c r="S117" s="79">
        <f t="shared" si="205"/>
        <v>0.24846821104842753</v>
      </c>
      <c r="T117" s="79">
        <f t="shared" si="205"/>
        <v>0.39379303638853624</v>
      </c>
      <c r="U117" s="78">
        <f t="shared" si="205"/>
        <v>0.2313154318791899</v>
      </c>
      <c r="V117" s="79">
        <f t="shared" si="205"/>
        <v>0.23071340437702204</v>
      </c>
      <c r="W117" s="79">
        <f t="shared" si="205"/>
        <v>0.26737424384724706</v>
      </c>
      <c r="X117" s="79">
        <f t="shared" si="205"/>
        <v>0.13059099527935136</v>
      </c>
      <c r="Y117" s="79">
        <f t="shared" si="205"/>
        <v>1.9225783167726052E-2</v>
      </c>
      <c r="Z117" s="96">
        <f>Z116/U116-1</f>
        <v>0.15343410692614645</v>
      </c>
      <c r="AA117" s="98">
        <f t="shared" ref="AA117:BI117" si="206">AA116/V116-1</f>
        <v>5.5161398747126666E-2</v>
      </c>
      <c r="AB117" s="98">
        <f t="shared" si="206"/>
        <v>5.8954435049745291E-2</v>
      </c>
      <c r="AC117" s="98">
        <f t="shared" si="206"/>
        <v>2.9950794152262095E-2</v>
      </c>
      <c r="AD117" s="98">
        <f t="shared" si="206"/>
        <v>5.4676802041567329E-2</v>
      </c>
      <c r="AE117" s="96">
        <f t="shared" si="206"/>
        <v>4.9712669540072474E-2</v>
      </c>
      <c r="AF117" s="98">
        <f t="shared" si="206"/>
        <v>5.6184967203027902E-2</v>
      </c>
      <c r="AG117" s="98">
        <f t="shared" si="206"/>
        <v>0.10068504051427807</v>
      </c>
      <c r="AH117" s="98">
        <f t="shared" si="206"/>
        <v>0.16200384404374901</v>
      </c>
      <c r="AI117" s="98">
        <f t="shared" si="206"/>
        <v>0.13789330839914093</v>
      </c>
      <c r="AJ117" s="96">
        <f t="shared" si="206"/>
        <v>0.11356085020866735</v>
      </c>
      <c r="AK117" s="98">
        <f t="shared" si="206"/>
        <v>0.10373431921656318</v>
      </c>
      <c r="AL117" s="98">
        <f t="shared" si="206"/>
        <v>0.10380491717569584</v>
      </c>
      <c r="AM117" s="98">
        <f t="shared" si="206"/>
        <v>0.76253491813661856</v>
      </c>
      <c r="AN117" s="98">
        <f t="shared" si="206"/>
        <v>0.95404513282257364</v>
      </c>
      <c r="AO117" s="96">
        <f t="shared" si="206"/>
        <v>0.49036767380453394</v>
      </c>
      <c r="AP117" s="98">
        <f t="shared" si="206"/>
        <v>1.0269104561373887</v>
      </c>
      <c r="AQ117" s="98">
        <f t="shared" si="206"/>
        <v>0.88565803758886585</v>
      </c>
      <c r="AR117" s="98">
        <f t="shared" si="206"/>
        <v>0.12651423510812365</v>
      </c>
      <c r="AS117" s="98">
        <f t="shared" si="206"/>
        <v>6.1793285855931135E-3</v>
      </c>
      <c r="AT117" s="96">
        <f t="shared" si="206"/>
        <v>0.38576969283550788</v>
      </c>
      <c r="AU117" s="98">
        <f t="shared" si="206"/>
        <v>-2.4472124805705153E-2</v>
      </c>
      <c r="AV117" s="98">
        <f t="shared" si="206"/>
        <v>7.5359343259800315E-2</v>
      </c>
      <c r="AW117" s="98">
        <f t="shared" si="206"/>
        <v>9.4588344170712046E-2</v>
      </c>
      <c r="AX117" s="98">
        <f t="shared" si="206"/>
        <v>7.9353019087432308E-2</v>
      </c>
      <c r="AY117" s="96">
        <f t="shared" si="206"/>
        <v>5.4663468647009106E-2</v>
      </c>
      <c r="AZ117" s="98">
        <f t="shared" si="206"/>
        <v>5.4502478783304609E-2</v>
      </c>
      <c r="BA117" s="98">
        <f t="shared" si="206"/>
        <v>6.9275372054253825E-3</v>
      </c>
      <c r="BB117" s="98">
        <f t="shared" si="206"/>
        <v>6.2522913669960101E-3</v>
      </c>
      <c r="BC117" s="98">
        <f t="shared" si="206"/>
        <v>5.5634888034960861E-2</v>
      </c>
      <c r="BD117" s="96">
        <f t="shared" si="206"/>
        <v>3.0616281688717217E-2</v>
      </c>
      <c r="BE117" s="98">
        <f t="shared" si="206"/>
        <v>7.3541653521892236E-2</v>
      </c>
      <c r="BF117" s="98">
        <f t="shared" si="206"/>
        <v>6.7764487548124919E-2</v>
      </c>
      <c r="BG117" s="98">
        <f t="shared" si="206"/>
        <v>5.8824027765465914E-2</v>
      </c>
      <c r="BH117" s="98">
        <f t="shared" si="206"/>
        <v>2.5683793000899513E-2</v>
      </c>
      <c r="BI117" s="96">
        <f t="shared" si="206"/>
        <v>5.616910234094119E-2</v>
      </c>
      <c r="BJ117" s="79">
        <f>+BJ116/BE116-1</f>
        <v>6.3077953589503855E-2</v>
      </c>
      <c r="BK117" s="79">
        <f>+BK116/BF116-1</f>
        <v>4.3294220331111077E-2</v>
      </c>
      <c r="BL117" s="79">
        <f>+BL116/BG116-1</f>
        <v>5.3904243482985503E-2</v>
      </c>
      <c r="BM117" s="79">
        <f>+BM116/BH116-1</f>
        <v>4.8537754492242069E-2</v>
      </c>
      <c r="BN117" s="96">
        <f>BN116/BI116-1</f>
        <v>5.2264667231016526E-2</v>
      </c>
      <c r="BO117" s="79">
        <f>+BO116/BJ116-1</f>
        <v>-8.4308426570808281E-3</v>
      </c>
      <c r="BP117" s="79">
        <f>+BP116/BK116-1</f>
        <v>-2.3636981098960064E-3</v>
      </c>
      <c r="BQ117" s="79">
        <f>+BQ116/BL116-1</f>
        <v>-4.0226298280553574E-2</v>
      </c>
      <c r="BR117" s="79">
        <f>+BR116/BM116-1</f>
        <v>-5.1848470070198882E-2</v>
      </c>
      <c r="BS117" s="96">
        <f>BS116/BN116-1</f>
        <v>-2.5651545110545459E-2</v>
      </c>
      <c r="BT117" s="79">
        <f>+BT116/BO116-1</f>
        <v>0.26694358564891263</v>
      </c>
      <c r="BU117" s="79">
        <f>+BU116/BP116-1</f>
        <v>0.49653120623010261</v>
      </c>
      <c r="BV117" s="79">
        <f>+BV116/BQ116-1</f>
        <v>0.515619465775361</v>
      </c>
      <c r="BW117" s="79">
        <f>+BW116/BR116-1</f>
        <v>0.53773081629764508</v>
      </c>
      <c r="BX117" s="96">
        <f>BX116/BS116-1</f>
        <v>0.45120006883965491</v>
      </c>
      <c r="BY117" s="79">
        <f>+BY116/BT116-1</f>
        <v>0.1713790492203775</v>
      </c>
      <c r="BZ117" s="79">
        <f>+BZ116/BU116-1</f>
        <v>-2.1545406388631116E-3</v>
      </c>
      <c r="CA117" s="79">
        <f>+CA116/BV116-1</f>
        <v>-2.0332984510751384E-3</v>
      </c>
      <c r="CB117" s="79">
        <f>+CB116/BW116-1</f>
        <v>-1.2617183257014219E-2</v>
      </c>
      <c r="CC117" s="96">
        <f>CC116/BX116-1</f>
        <v>3.4773922875152241E-2</v>
      </c>
      <c r="CD117" s="79">
        <f>+CD116/BY116-1</f>
        <v>-1.3283248463383579E-2</v>
      </c>
      <c r="CE117" s="79">
        <f>+CE116/BZ116-1</f>
        <v>-7.66989051808602E-2</v>
      </c>
      <c r="CF117" s="79">
        <f>+CF116/CA116-1</f>
        <v>-0.11085324594045809</v>
      </c>
      <c r="CG117" s="79">
        <f>+CG116/CB116-1</f>
        <v>-0.11133406545773161</v>
      </c>
      <c r="CH117" s="96">
        <f>CH116/CC116-1</f>
        <v>-7.7230192976803669E-2</v>
      </c>
      <c r="CI117" s="79">
        <f>+CI116/CD116-1</f>
        <v>-0.10779430953627478</v>
      </c>
      <c r="CJ117" s="79">
        <f>+CJ116/CE116-1</f>
        <v>-0.11806245027632223</v>
      </c>
      <c r="CK117" s="79">
        <f>+CK116/CF116-1</f>
        <v>-0.16522374866963097</v>
      </c>
      <c r="CL117" s="79">
        <f>+CL116/CG116-1</f>
        <v>-0.20206885349150905</v>
      </c>
      <c r="CM117" s="96">
        <f>CM116/CH116-1</f>
        <v>-0.1462510234396871</v>
      </c>
      <c r="CN117" s="79">
        <f ca="1">+CN116/CI116-1</f>
        <v>-0.25415146767787067</v>
      </c>
      <c r="CO117" s="79">
        <f ca="1">+CO116/CJ116-1</f>
        <v>-0.25094298554502847</v>
      </c>
      <c r="CP117" s="79">
        <f ca="1">+CP116/CK116-1</f>
        <v>-0.23092308781819082</v>
      </c>
      <c r="CQ117" s="79">
        <f ca="1">+CQ116/CL116-1</f>
        <v>-0.18761375696987626</v>
      </c>
      <c r="CR117" s="96">
        <f ca="1">CR116/CM116-1</f>
        <v>-0.23325422453645484</v>
      </c>
      <c r="CS117" s="79">
        <f ca="1">+CS116/CN116-1</f>
        <v>-0.15229327049634844</v>
      </c>
      <c r="CT117" s="79">
        <f ca="1">+CT116/CO116-1</f>
        <v>-6.9262485818554653E-2</v>
      </c>
      <c r="CU117" s="79">
        <f ca="1">+CU116/CP116-1</f>
        <v>1.0736375603089598E-2</v>
      </c>
      <c r="CV117" s="79">
        <f ca="1">+CV116/CQ116-1</f>
        <v>-1.8565838257478151E-2</v>
      </c>
      <c r="CW117" s="96">
        <f ca="1">CW116/CR116-1</f>
        <v>-6.2083122593310058E-2</v>
      </c>
      <c r="CX117" s="79">
        <f ca="1">+CX116/CS116-1</f>
        <v>2.3983415769275318E-3</v>
      </c>
      <c r="CY117" s="79">
        <f ca="1">+CY116/CT116-1</f>
        <v>2.7272655303571813E-3</v>
      </c>
      <c r="CZ117" s="79">
        <f ca="1">+CZ116/CU116-1</f>
        <v>-6.4597728299450319E-3</v>
      </c>
      <c r="DA117" s="79">
        <f ca="1">+DA116/CV116-1</f>
        <v>1.1164762885120805E-3</v>
      </c>
      <c r="DB117" s="96">
        <f ca="1">DB116/CW116-1</f>
        <v>-5.6877228114871059E-5</v>
      </c>
      <c r="DC117" s="16"/>
      <c r="DD117" s="16"/>
      <c r="DE117" s="16"/>
      <c r="DF117" s="16"/>
      <c r="DG117" s="16"/>
      <c r="DH117" s="16"/>
      <c r="DI117" s="16"/>
      <c r="DJ117" s="16"/>
    </row>
    <row r="118" spans="1:114" s="725" customFormat="1" ht="11.25" customHeight="1">
      <c r="A118" s="16"/>
      <c r="B118" s="77"/>
      <c r="C118" s="52"/>
      <c r="D118" s="1053"/>
      <c r="E118" s="1053"/>
      <c r="F118" s="78"/>
      <c r="G118" s="52"/>
      <c r="H118" s="52"/>
      <c r="I118" s="52"/>
      <c r="J118" s="52"/>
      <c r="K118" s="78"/>
      <c r="L118" s="52"/>
      <c r="M118" s="52"/>
      <c r="N118" s="52"/>
      <c r="O118" s="52"/>
      <c r="P118" s="78"/>
      <c r="Q118" s="52"/>
      <c r="R118" s="52"/>
      <c r="S118" s="52"/>
      <c r="T118" s="52"/>
      <c r="U118" s="78"/>
      <c r="V118" s="52"/>
      <c r="W118" s="52"/>
      <c r="X118" s="52"/>
      <c r="Y118" s="52"/>
      <c r="Z118" s="96"/>
      <c r="AA118" s="52"/>
      <c r="AB118" s="52"/>
      <c r="AC118" s="52"/>
      <c r="AD118" s="52"/>
      <c r="AE118" s="96"/>
      <c r="AF118" s="52"/>
      <c r="AG118" s="52"/>
      <c r="AH118" s="52"/>
      <c r="AI118" s="52"/>
      <c r="AJ118" s="96"/>
      <c r="AK118" s="52"/>
      <c r="AL118" s="52"/>
      <c r="AM118" s="52"/>
      <c r="AN118" s="52"/>
      <c r="AO118" s="96"/>
      <c r="AP118" s="52"/>
      <c r="AQ118" s="52"/>
      <c r="AR118" s="52"/>
      <c r="AS118" s="52"/>
      <c r="AT118" s="96"/>
      <c r="AU118" s="52"/>
      <c r="AV118" s="52"/>
      <c r="AW118" s="52"/>
      <c r="AX118" s="52"/>
      <c r="AY118" s="96"/>
      <c r="AZ118" s="52"/>
      <c r="BA118" s="52"/>
      <c r="BB118" s="52"/>
      <c r="BC118" s="52"/>
      <c r="BD118" s="96"/>
      <c r="BE118" s="52"/>
      <c r="BF118" s="52"/>
      <c r="BG118" s="52"/>
      <c r="BH118" s="52"/>
      <c r="BI118" s="96"/>
      <c r="BJ118" s="52"/>
      <c r="BK118" s="52"/>
      <c r="BL118" s="52"/>
      <c r="BM118" s="52"/>
      <c r="BN118" s="96"/>
      <c r="BO118" s="52"/>
      <c r="BP118" s="52"/>
      <c r="BQ118" s="52"/>
      <c r="BR118" s="52"/>
      <c r="BS118" s="96"/>
      <c r="BT118" s="52"/>
      <c r="BU118" s="52"/>
      <c r="BV118" s="52"/>
      <c r="BW118" s="52"/>
      <c r="BX118" s="96"/>
      <c r="BY118" s="52"/>
      <c r="BZ118" s="52"/>
      <c r="CA118" s="52"/>
      <c r="CB118" s="52"/>
      <c r="CC118" s="96"/>
      <c r="CD118" s="52"/>
      <c r="CE118" s="52"/>
      <c r="CF118" s="52"/>
      <c r="CG118" s="52"/>
      <c r="CH118" s="96"/>
      <c r="CI118" s="52"/>
      <c r="CJ118" s="52"/>
      <c r="CK118" s="52"/>
      <c r="CL118" s="52"/>
      <c r="CM118" s="96"/>
      <c r="CN118" s="52"/>
      <c r="CO118" s="52"/>
      <c r="CP118" s="52"/>
      <c r="CQ118" s="52"/>
      <c r="CR118" s="96"/>
      <c r="CS118" s="52"/>
      <c r="CT118" s="52"/>
      <c r="CU118" s="52"/>
      <c r="CV118" s="52"/>
      <c r="CW118" s="96"/>
      <c r="CX118" s="52"/>
      <c r="CY118" s="52"/>
      <c r="CZ118" s="52"/>
      <c r="DA118" s="52"/>
      <c r="DB118" s="96"/>
      <c r="DC118" s="16"/>
      <c r="DD118" s="16"/>
      <c r="DE118" s="16"/>
      <c r="DF118" s="16"/>
      <c r="DG118" s="16"/>
      <c r="DH118" s="16"/>
      <c r="DI118" s="16"/>
      <c r="DJ118" s="16"/>
    </row>
    <row r="119" spans="1:114" s="725" customFormat="1" ht="11.25" customHeight="1">
      <c r="A119" s="9"/>
      <c r="B119" s="9" t="s">
        <v>258</v>
      </c>
      <c r="C119" s="1072"/>
      <c r="D119" s="1073">
        <f t="shared" ref="D119:Z119" si="207">+D113/D93</f>
        <v>4.1637033781489103</v>
      </c>
      <c r="E119" s="1073">
        <f t="shared" si="207"/>
        <v>3.9751025628249206</v>
      </c>
      <c r="F119" s="1074">
        <f t="shared" si="207"/>
        <v>3.8296490126299632</v>
      </c>
      <c r="G119" s="1075">
        <f t="shared" si="207"/>
        <v>3.8650949116179283</v>
      </c>
      <c r="H119" s="1075">
        <f t="shared" si="207"/>
        <v>3.7868538447967337</v>
      </c>
      <c r="I119" s="1075">
        <f t="shared" si="207"/>
        <v>3.7457078387128422</v>
      </c>
      <c r="J119" s="1075">
        <f t="shared" si="207"/>
        <v>3.7738684773911726</v>
      </c>
      <c r="K119" s="1074">
        <f t="shared" si="207"/>
        <v>3.7932053262882279</v>
      </c>
      <c r="L119" s="1075">
        <f t="shared" si="207"/>
        <v>3.9355694665047185</v>
      </c>
      <c r="M119" s="1075">
        <f t="shared" si="207"/>
        <v>3.8589352189241892</v>
      </c>
      <c r="N119" s="1075">
        <f t="shared" si="207"/>
        <v>3.807983548585486</v>
      </c>
      <c r="O119" s="1075">
        <f t="shared" si="207"/>
        <v>3.8117206285298888</v>
      </c>
      <c r="P119" s="1074">
        <f t="shared" si="207"/>
        <v>3.8537770221034733</v>
      </c>
      <c r="Q119" s="1075">
        <f t="shared" si="207"/>
        <v>3.9782636906306772</v>
      </c>
      <c r="R119" s="1075">
        <f t="shared" si="207"/>
        <v>3.8244019386329535</v>
      </c>
      <c r="S119" s="1075">
        <f t="shared" si="207"/>
        <v>3.8881955682808416</v>
      </c>
      <c r="T119" s="1075">
        <f t="shared" si="207"/>
        <v>4.0697418845807034</v>
      </c>
      <c r="U119" s="1074">
        <f t="shared" si="207"/>
        <v>3.9460267512074925</v>
      </c>
      <c r="V119" s="1075">
        <f t="shared" si="207"/>
        <v>4.1393994465325674</v>
      </c>
      <c r="W119" s="1075">
        <f t="shared" si="207"/>
        <v>4.0470026755369153</v>
      </c>
      <c r="X119" s="1075">
        <f t="shared" si="207"/>
        <v>4.0055484915038724</v>
      </c>
      <c r="Y119" s="1075">
        <f t="shared" si="207"/>
        <v>4.0465024184651943</v>
      </c>
      <c r="Z119" s="1074">
        <f t="shared" si="207"/>
        <v>4.0605164505914262</v>
      </c>
      <c r="AA119" s="1076">
        <f>AA113/AA93</f>
        <v>4.226737826975028</v>
      </c>
      <c r="AB119" s="1076">
        <f>AB113/AB93</f>
        <v>4.1403647450736827</v>
      </c>
      <c r="AC119" s="1076">
        <f>AC113/AC93</f>
        <v>4.0139058272705608</v>
      </c>
      <c r="AD119" s="1076">
        <f>AD113/AD93</f>
        <v>4.1216029853167839</v>
      </c>
      <c r="AE119" s="1077">
        <f>+AE113/AE93</f>
        <v>4.1271658882025015</v>
      </c>
      <c r="AF119" s="1076">
        <f>AF113/AF93</f>
        <v>4.2201580427019225</v>
      </c>
      <c r="AG119" s="1076">
        <f>AG113/AG93</f>
        <v>4.1096641447704734</v>
      </c>
      <c r="AH119" s="1076">
        <f>AH113/AH93</f>
        <v>4.0266353403737583</v>
      </c>
      <c r="AI119" s="1076">
        <f>AI113/AI93</f>
        <v>4.018692025514615</v>
      </c>
      <c r="AJ119" s="1077">
        <f>+AJ113/AJ93</f>
        <v>4.0913084126473249</v>
      </c>
      <c r="AK119" s="1076">
        <f>AK113/AK93</f>
        <v>4.0908069734004311</v>
      </c>
      <c r="AL119" s="1076">
        <f>AL113/AL93</f>
        <v>4.075144975155351</v>
      </c>
      <c r="AM119" s="1076">
        <f>AM113/AM93</f>
        <v>4.2161060861350608</v>
      </c>
      <c r="AN119" s="1076">
        <f>AN113/AN93</f>
        <v>4.2571624761659521</v>
      </c>
      <c r="AO119" s="1077">
        <f>+AO113/AO93</f>
        <v>4.1813977870555856</v>
      </c>
      <c r="AP119" s="1076">
        <f>AP113/AP93</f>
        <v>4.3567294675090249</v>
      </c>
      <c r="AQ119" s="1076">
        <f>AQ113/AQ93</f>
        <v>4.2083073476431228</v>
      </c>
      <c r="AR119" s="1076">
        <f>AR113/AR93</f>
        <v>4.1426442953836426</v>
      </c>
      <c r="AS119" s="1076">
        <f>AS113/AS93</f>
        <v>4.2380364649525859</v>
      </c>
      <c r="AT119" s="1077">
        <f>+AT113/AT93</f>
        <v>4.2387015760525903</v>
      </c>
      <c r="AU119" s="1076">
        <f>AU113/AU93</f>
        <v>4.299515466451318</v>
      </c>
      <c r="AV119" s="1076">
        <f>AV113/AV93</f>
        <v>4.2137422619802418</v>
      </c>
      <c r="AW119" s="1076">
        <f>AW113/AW93</f>
        <v>4.1727400960555547</v>
      </c>
      <c r="AX119" s="1076">
        <f>AX113/AX93</f>
        <v>4.2736938385533181</v>
      </c>
      <c r="AY119" s="1077">
        <f>+AY113/AY93</f>
        <v>4.2394510479139385</v>
      </c>
      <c r="AZ119" s="1076">
        <f>AZ113/AZ93</f>
        <v>4.2906945939700023</v>
      </c>
      <c r="BA119" s="1076">
        <f>BA113/BA93</f>
        <v>4.218205305058393</v>
      </c>
      <c r="BB119" s="1076">
        <f>BB113/BB93</f>
        <v>4.2089589162126346</v>
      </c>
      <c r="BC119" s="1076">
        <f>BC113/BC93</f>
        <v>4.2910594362465169</v>
      </c>
      <c r="BD119" s="1077">
        <f>+BD113/BD93</f>
        <v>4.2528880184371678</v>
      </c>
      <c r="BE119" s="1076">
        <f>BE113/BE93</f>
        <v>4.4274426370484532</v>
      </c>
      <c r="BF119" s="1076">
        <f>BF113/BF93</f>
        <v>4.3831978899344168</v>
      </c>
      <c r="BG119" s="1076">
        <f>BG113/BG93</f>
        <v>4.3553887965445703</v>
      </c>
      <c r="BH119" s="1076">
        <f>BH113/BH93</f>
        <v>4.4244360947674908</v>
      </c>
      <c r="BI119" s="1077">
        <f>+BI113/BI93</f>
        <v>4.3981962204134266</v>
      </c>
      <c r="BJ119" s="1076">
        <f>BJ113/BJ93</f>
        <v>4.4225677339901477</v>
      </c>
      <c r="BK119" s="1076">
        <f>BK113/BK93</f>
        <v>4.3279926664322081</v>
      </c>
      <c r="BL119" s="1076">
        <f>BL113/BL93</f>
        <v>4.3187836495135983</v>
      </c>
      <c r="BM119" s="1076">
        <f>BM113/BM93</f>
        <v>4.361314247485466</v>
      </c>
      <c r="BN119" s="1077">
        <f>+BN113/BN93</f>
        <v>4.358463574875648</v>
      </c>
      <c r="BO119" s="1076">
        <f>BO113/BO93</f>
        <v>4.5443790383775209</v>
      </c>
      <c r="BP119" s="1076">
        <f>BP113/BP93</f>
        <v>4.3968090018713397</v>
      </c>
      <c r="BQ119" s="1076">
        <f>BQ113/BQ93</f>
        <v>4.3151510641464501</v>
      </c>
      <c r="BR119" s="1076">
        <f>BR113/BR93</f>
        <v>4.4310999387669598</v>
      </c>
      <c r="BS119" s="1077">
        <f>+BS113/BS93</f>
        <v>4.4240218644313645</v>
      </c>
      <c r="BT119" s="1076">
        <f>BT113/BT93</f>
        <v>4.5549597604342127</v>
      </c>
      <c r="BU119" s="1076">
        <f>BU113/BU93</f>
        <v>4.4212409901802383</v>
      </c>
      <c r="BV119" s="1076">
        <f>BV113/BV93</f>
        <v>4.345922677750595</v>
      </c>
      <c r="BW119" s="1076">
        <f>BW113/BW93</f>
        <v>4.3823992627963477</v>
      </c>
      <c r="BX119" s="1077">
        <f>+BX113/BX93</f>
        <v>4.4228696109630627</v>
      </c>
      <c r="BY119" s="1076">
        <f>BY113/BY93</f>
        <v>4.5813344714753166</v>
      </c>
      <c r="BZ119" s="1076">
        <f>BZ113/BZ93</f>
        <v>4.4247056959450486</v>
      </c>
      <c r="CA119" s="1076">
        <f>CA113/CA93</f>
        <v>4.3513296603184246</v>
      </c>
      <c r="CB119" s="1076">
        <f>CB113/CB93</f>
        <v>4.3946492942453856</v>
      </c>
      <c r="CC119" s="1077">
        <f>+CC113/CC93</f>
        <v>4.4403376823369758</v>
      </c>
      <c r="CD119" s="1076">
        <f>CD113/CD93</f>
        <v>4.489887359198999</v>
      </c>
      <c r="CE119" s="1076">
        <f>CE113/CE93</f>
        <v>4.4638484116103436</v>
      </c>
      <c r="CF119" s="1076">
        <f>CF113/CF93</f>
        <v>4.4473675089251676</v>
      </c>
      <c r="CG119" s="1076">
        <f>CG113/CG93</f>
        <v>4.4728594173841252</v>
      </c>
      <c r="CH119" s="1077">
        <f>+CH113/CH93</f>
        <v>4.469384613231445</v>
      </c>
      <c r="CI119" s="1076">
        <f>CI113/CI93</f>
        <v>4.5838476833049064</v>
      </c>
      <c r="CJ119" s="1076">
        <f>CJ113/CJ93</f>
        <v>4.4369625465199141</v>
      </c>
      <c r="CK119" s="1076">
        <f>CK113/CK93</f>
        <v>4.3965836017535498</v>
      </c>
      <c r="CL119" s="1076">
        <f>CL113/CL93</f>
        <v>4.4223648586986277</v>
      </c>
      <c r="CM119" s="1077">
        <f>+CM113/CM93</f>
        <v>4.466542282490285</v>
      </c>
      <c r="CN119" s="1076">
        <f ca="1">CN113/CN93</f>
        <v>4.5838476833049064</v>
      </c>
      <c r="CO119" s="1076">
        <f ca="1">CO113/CO93</f>
        <v>4.5838476833049073</v>
      </c>
      <c r="CP119" s="1076">
        <f ca="1">CP113/CP93</f>
        <v>4.5838476833049215</v>
      </c>
      <c r="CQ119" s="1076">
        <f ca="1">CQ113/CQ93</f>
        <v>4.5838476833049127</v>
      </c>
      <c r="CR119" s="1077">
        <f ca="1">+CR113/CR93</f>
        <v>4.5838476833049109</v>
      </c>
      <c r="CS119" s="1076">
        <f ca="1">CS113/CS93</f>
        <v>4.5838476833048949</v>
      </c>
      <c r="CT119" s="1076">
        <f ca="1">CT113/CT93</f>
        <v>4.5838476833049135</v>
      </c>
      <c r="CU119" s="1076">
        <f ca="1">CU113/CU93</f>
        <v>4.5838476833049047</v>
      </c>
      <c r="CV119" s="1076">
        <f ca="1">CV113/CV93</f>
        <v>4.5838476833049064</v>
      </c>
      <c r="CW119" s="1077">
        <f ca="1">+CW113/CW93</f>
        <v>4.5838476833049047</v>
      </c>
      <c r="CX119" s="1076">
        <f ca="1">CX113/CX93</f>
        <v>4.5838476833049162</v>
      </c>
      <c r="CY119" s="1076">
        <f ca="1">CY113/CY93</f>
        <v>4.5838476833048993</v>
      </c>
      <c r="CZ119" s="1076">
        <f ca="1">CZ113/CZ93</f>
        <v>4.5838476833049047</v>
      </c>
      <c r="DA119" s="1076">
        <f ca="1">DA113/DA93</f>
        <v>4.5838476833049038</v>
      </c>
      <c r="DB119" s="1077">
        <f ca="1">+DB113/DB93</f>
        <v>4.5838476833049064</v>
      </c>
      <c r="DC119" s="9"/>
      <c r="DD119" s="9"/>
      <c r="DE119" s="9"/>
      <c r="DF119" s="9"/>
      <c r="DG119" s="9"/>
      <c r="DH119" s="9"/>
      <c r="DI119" s="9"/>
      <c r="DJ119" s="9"/>
    </row>
    <row r="120" spans="1:114" s="725" customFormat="1" ht="11.25" customHeight="1">
      <c r="A120" s="16"/>
      <c r="B120" s="77"/>
      <c r="C120" s="52"/>
      <c r="D120" s="1053"/>
      <c r="E120" s="1053"/>
      <c r="F120" s="78"/>
      <c r="G120" s="52"/>
      <c r="H120" s="52"/>
      <c r="I120" s="52"/>
      <c r="J120" s="52"/>
      <c r="K120" s="78"/>
      <c r="L120" s="52"/>
      <c r="M120" s="52"/>
      <c r="N120" s="52"/>
      <c r="O120" s="52"/>
      <c r="P120" s="78"/>
      <c r="Q120" s="52"/>
      <c r="R120" s="52"/>
      <c r="S120" s="52"/>
      <c r="T120" s="52"/>
      <c r="U120" s="78"/>
      <c r="V120" s="52"/>
      <c r="W120" s="52"/>
      <c r="X120" s="52"/>
      <c r="Y120" s="52"/>
      <c r="Z120" s="78"/>
      <c r="AA120" s="52"/>
      <c r="AB120" s="52"/>
      <c r="AC120" s="52"/>
      <c r="AD120" s="52"/>
      <c r="AE120" s="78"/>
      <c r="AF120" s="52"/>
      <c r="AG120" s="52"/>
      <c r="AH120" s="52"/>
      <c r="AI120" s="52"/>
      <c r="AJ120" s="78"/>
      <c r="AK120" s="52"/>
      <c r="AL120" s="52"/>
      <c r="AM120" s="52"/>
      <c r="AN120" s="52"/>
      <c r="AO120" s="78"/>
      <c r="AP120" s="52"/>
      <c r="AQ120" s="52"/>
      <c r="AR120" s="52"/>
      <c r="AS120" s="16"/>
      <c r="AT120" s="78"/>
      <c r="AU120" s="16"/>
      <c r="AV120" s="16"/>
      <c r="AW120" s="16"/>
      <c r="AX120" s="16"/>
      <c r="AY120" s="78"/>
      <c r="AZ120" s="16"/>
      <c r="BA120" s="16"/>
      <c r="BB120" s="16"/>
      <c r="BC120" s="16"/>
      <c r="BD120" s="78"/>
      <c r="BE120" s="16"/>
      <c r="BF120" s="16"/>
      <c r="BG120" s="16"/>
      <c r="BH120" s="16"/>
      <c r="BI120" s="78"/>
      <c r="BJ120" s="16"/>
      <c r="BK120" s="16"/>
      <c r="BL120" s="16"/>
      <c r="BM120" s="16"/>
      <c r="BN120" s="78"/>
      <c r="BO120" s="16"/>
      <c r="BP120" s="16"/>
      <c r="BQ120" s="16"/>
      <c r="BR120" s="16"/>
      <c r="BS120" s="78"/>
      <c r="BT120" s="16"/>
      <c r="BU120" s="16"/>
      <c r="BV120" s="16"/>
      <c r="BW120" s="16"/>
      <c r="BX120" s="78"/>
      <c r="BY120" s="16"/>
      <c r="BZ120" s="16"/>
      <c r="CA120" s="16"/>
      <c r="CB120" s="16"/>
      <c r="CC120" s="78"/>
      <c r="CD120" s="16"/>
      <c r="CE120" s="16"/>
      <c r="CF120" s="16"/>
      <c r="CG120" s="16"/>
      <c r="CH120" s="78"/>
      <c r="CI120" s="16"/>
      <c r="CJ120" s="16"/>
      <c r="CK120" s="16"/>
      <c r="CL120" s="16"/>
      <c r="CM120" s="78"/>
      <c r="CN120" s="16"/>
      <c r="CO120" s="16"/>
      <c r="CP120" s="16"/>
      <c r="CQ120" s="16"/>
      <c r="CR120" s="78"/>
      <c r="CS120" s="16"/>
      <c r="CT120" s="16"/>
      <c r="CU120" s="16"/>
      <c r="CV120" s="16"/>
      <c r="CW120" s="78"/>
      <c r="CX120" s="16"/>
      <c r="CY120" s="16"/>
      <c r="CZ120" s="16"/>
      <c r="DA120" s="16"/>
      <c r="DB120" s="78"/>
      <c r="DC120" s="16"/>
      <c r="DD120" s="16"/>
      <c r="DE120" s="16"/>
      <c r="DF120" s="16"/>
      <c r="DG120" s="16"/>
      <c r="DH120" s="16"/>
      <c r="DI120" s="16"/>
      <c r="DJ120" s="16"/>
    </row>
    <row r="121" spans="1:114" s="725" customFormat="1" ht="11.25" customHeight="1">
      <c r="A121" s="16"/>
      <c r="B121" s="9" t="s">
        <v>175</v>
      </c>
      <c r="C121" s="1078"/>
      <c r="D121" s="1079">
        <f>IS!D6</f>
        <v>365</v>
      </c>
      <c r="E121" s="1079">
        <f>IS!E6</f>
        <v>365</v>
      </c>
      <c r="F121" s="1080">
        <f>IS!F6</f>
        <v>366</v>
      </c>
      <c r="G121" s="1078">
        <f>IS!G6</f>
        <v>90</v>
      </c>
      <c r="H121" s="1078">
        <f>IS!H6</f>
        <v>91</v>
      </c>
      <c r="I121" s="1078">
        <f>IS!I6</f>
        <v>92</v>
      </c>
      <c r="J121" s="1078">
        <f>IS!J6</f>
        <v>92</v>
      </c>
      <c r="K121" s="1080">
        <f>IS!K6</f>
        <v>365</v>
      </c>
      <c r="L121" s="1078">
        <f>IS!L6</f>
        <v>90</v>
      </c>
      <c r="M121" s="1078">
        <f>IS!M6</f>
        <v>91</v>
      </c>
      <c r="N121" s="1078">
        <f>IS!N6</f>
        <v>92</v>
      </c>
      <c r="O121" s="1078">
        <f>IS!O6</f>
        <v>92</v>
      </c>
      <c r="P121" s="1080">
        <f>IS!P6</f>
        <v>365</v>
      </c>
      <c r="Q121" s="1078">
        <f>IS!Q6</f>
        <v>90</v>
      </c>
      <c r="R121" s="1078">
        <f>IS!R6</f>
        <v>91</v>
      </c>
      <c r="S121" s="1078">
        <f>IS!S6</f>
        <v>92</v>
      </c>
      <c r="T121" s="1078">
        <f>IS!T6</f>
        <v>92</v>
      </c>
      <c r="U121" s="1080">
        <f>IS!U6</f>
        <v>365</v>
      </c>
      <c r="V121" s="1078">
        <f>IS!V6</f>
        <v>91</v>
      </c>
      <c r="W121" s="1078">
        <f>IS!W6</f>
        <v>91</v>
      </c>
      <c r="X121" s="1078">
        <f>IS!X6</f>
        <v>92</v>
      </c>
      <c r="Y121" s="1078">
        <f>IS!Y6</f>
        <v>92</v>
      </c>
      <c r="Z121" s="1080">
        <f>IS!Z6</f>
        <v>366</v>
      </c>
      <c r="AA121" s="1078">
        <f>IS!AA6</f>
        <v>90</v>
      </c>
      <c r="AB121" s="1078">
        <f>IS!AB6</f>
        <v>91</v>
      </c>
      <c r="AC121" s="1078">
        <f>IS!AC6</f>
        <v>92</v>
      </c>
      <c r="AD121" s="1078">
        <f>IS!AD6</f>
        <v>92</v>
      </c>
      <c r="AE121" s="1080">
        <f>IS!AE6</f>
        <v>365</v>
      </c>
      <c r="AF121" s="1078">
        <f>IS!AF6</f>
        <v>90</v>
      </c>
      <c r="AG121" s="1078">
        <f>IS!AG6</f>
        <v>91</v>
      </c>
      <c r="AH121" s="1078">
        <f>IS!AH6</f>
        <v>92</v>
      </c>
      <c r="AI121" s="1078">
        <f>IS!AI6</f>
        <v>92</v>
      </c>
      <c r="AJ121" s="107">
        <f>IS!AJ6</f>
        <v>365</v>
      </c>
      <c r="AK121" s="554">
        <f>IS!AK6</f>
        <v>90</v>
      </c>
      <c r="AL121" s="554">
        <f>IS!AL6</f>
        <v>91</v>
      </c>
      <c r="AM121" s="554">
        <f>IS!AM6</f>
        <v>92</v>
      </c>
      <c r="AN121" s="554">
        <f>IS!AN6</f>
        <v>92</v>
      </c>
      <c r="AO121" s="107">
        <f>IS!AO6</f>
        <v>365</v>
      </c>
      <c r="AP121" s="554">
        <f>IS!AP6</f>
        <v>91</v>
      </c>
      <c r="AQ121" s="554">
        <f>IS!AQ6</f>
        <v>91</v>
      </c>
      <c r="AR121" s="554">
        <f>IS!AR6</f>
        <v>92</v>
      </c>
      <c r="AS121" s="554">
        <f>IS!AS6</f>
        <v>92</v>
      </c>
      <c r="AT121" s="107">
        <f>IS!AT6</f>
        <v>366</v>
      </c>
      <c r="AU121" s="554">
        <f>IS!AU6</f>
        <v>90</v>
      </c>
      <c r="AV121" s="554">
        <f>IS!AV6</f>
        <v>91</v>
      </c>
      <c r="AW121" s="554">
        <f>IS!AW6</f>
        <v>92</v>
      </c>
      <c r="AX121" s="554">
        <f>IS!AX6</f>
        <v>92</v>
      </c>
      <c r="AY121" s="107">
        <f>IS!AY6</f>
        <v>365</v>
      </c>
      <c r="AZ121" s="554">
        <f>IS!AZ6</f>
        <v>90</v>
      </c>
      <c r="BA121" s="554">
        <f>IS!BA6</f>
        <v>91</v>
      </c>
      <c r="BB121" s="554">
        <f>IS!BB6</f>
        <v>92</v>
      </c>
      <c r="BC121" s="554">
        <f>IS!BC6</f>
        <v>92</v>
      </c>
      <c r="BD121" s="107">
        <f>IS!BD6</f>
        <v>365</v>
      </c>
      <c r="BE121" s="554">
        <f>IS!BE6</f>
        <v>90</v>
      </c>
      <c r="BF121" s="554">
        <f>IS!BF6</f>
        <v>91</v>
      </c>
      <c r="BG121" s="554">
        <f>IS!BG6</f>
        <v>92</v>
      </c>
      <c r="BH121" s="554">
        <f>IS!BH6</f>
        <v>92</v>
      </c>
      <c r="BI121" s="107">
        <f>IS!BI6</f>
        <v>365</v>
      </c>
      <c r="BJ121" s="554">
        <f>IS!BJ6</f>
        <v>91</v>
      </c>
      <c r="BK121" s="108">
        <f>IS!BK6</f>
        <v>91</v>
      </c>
      <c r="BL121" s="108">
        <f>IS!BL6</f>
        <v>92</v>
      </c>
      <c r="BM121" s="108">
        <f>IS!BM6</f>
        <v>92</v>
      </c>
      <c r="BN121" s="109">
        <f>IS!BN6</f>
        <v>366</v>
      </c>
      <c r="BO121" s="108">
        <f>IS!BO6</f>
        <v>90</v>
      </c>
      <c r="BP121" s="108">
        <f>IS!BP6</f>
        <v>91</v>
      </c>
      <c r="BQ121" s="108">
        <f>IS!BQ6</f>
        <v>92</v>
      </c>
      <c r="BR121" s="108">
        <f>IS!BR6</f>
        <v>92</v>
      </c>
      <c r="BS121" s="109">
        <f>IS!BS6</f>
        <v>365</v>
      </c>
      <c r="BT121" s="108">
        <f>IS!BT6</f>
        <v>90</v>
      </c>
      <c r="BU121" s="108">
        <f>IS!BU6</f>
        <v>91</v>
      </c>
      <c r="BV121" s="108">
        <f>IS!BV6</f>
        <v>92</v>
      </c>
      <c r="BW121" s="108">
        <f>IS!BW6</f>
        <v>92</v>
      </c>
      <c r="BX121" s="109">
        <f>IS!BX6</f>
        <v>365</v>
      </c>
      <c r="BY121" s="108">
        <f>IS!BY6</f>
        <v>90</v>
      </c>
      <c r="BZ121" s="108">
        <f>IS!BZ6</f>
        <v>91</v>
      </c>
      <c r="CA121" s="108">
        <f>IS!CA6</f>
        <v>92</v>
      </c>
      <c r="CB121" s="108">
        <f>IS!CB6</f>
        <v>92</v>
      </c>
      <c r="CC121" s="109">
        <f>IS!CC6</f>
        <v>365</v>
      </c>
      <c r="CD121" s="108">
        <f>IS!CD6</f>
        <v>91</v>
      </c>
      <c r="CE121" s="108">
        <f>IS!CE6</f>
        <v>91</v>
      </c>
      <c r="CF121" s="108">
        <f>IS!CF6</f>
        <v>92</v>
      </c>
      <c r="CG121" s="108">
        <f>IS!CG6</f>
        <v>92</v>
      </c>
      <c r="CH121" s="109">
        <f>IS!CH6</f>
        <v>366</v>
      </c>
      <c r="CI121" s="108">
        <f>IS!CI6</f>
        <v>90</v>
      </c>
      <c r="CJ121" s="108">
        <f>IS!CJ6</f>
        <v>91</v>
      </c>
      <c r="CK121" s="108">
        <f>IS!CK6</f>
        <v>92</v>
      </c>
      <c r="CL121" s="108">
        <f>IS!CL6</f>
        <v>92</v>
      </c>
      <c r="CM121" s="109">
        <f>IS!CM6</f>
        <v>365</v>
      </c>
      <c r="CN121" s="108">
        <f>IS!CN6</f>
        <v>90</v>
      </c>
      <c r="CO121" s="108">
        <f>IS!CO6</f>
        <v>91</v>
      </c>
      <c r="CP121" s="108">
        <f>IS!CP6</f>
        <v>92</v>
      </c>
      <c r="CQ121" s="108">
        <f>IS!CQ6</f>
        <v>92</v>
      </c>
      <c r="CR121" s="109">
        <f>IS!CR6</f>
        <v>365</v>
      </c>
      <c r="CS121" s="108">
        <f>IS!CS6</f>
        <v>90</v>
      </c>
      <c r="CT121" s="108">
        <f>IS!CT6</f>
        <v>91</v>
      </c>
      <c r="CU121" s="108">
        <f>IS!CU6</f>
        <v>92</v>
      </c>
      <c r="CV121" s="108">
        <f>IS!CV6</f>
        <v>92</v>
      </c>
      <c r="CW121" s="109">
        <f>IS!CW6</f>
        <v>365</v>
      </c>
      <c r="CX121" s="108">
        <f>IS!CX6</f>
        <v>91</v>
      </c>
      <c r="CY121" s="108">
        <f>IS!CY6</f>
        <v>91</v>
      </c>
      <c r="CZ121" s="108">
        <f>IS!CZ6</f>
        <v>92</v>
      </c>
      <c r="DA121" s="108">
        <f>IS!DA6</f>
        <v>92</v>
      </c>
      <c r="DB121" s="109">
        <f>IS!DB6</f>
        <v>366</v>
      </c>
      <c r="DC121" s="16"/>
      <c r="DD121" s="16"/>
      <c r="DE121" s="16"/>
      <c r="DF121" s="16"/>
      <c r="DG121" s="16"/>
      <c r="DH121" s="16"/>
      <c r="DI121" s="16"/>
      <c r="DJ121" s="16"/>
    </row>
    <row r="122" spans="1:114" s="725" customFormat="1" ht="11.25" customHeight="1">
      <c r="A122" s="16"/>
      <c r="B122" s="16" t="s">
        <v>259</v>
      </c>
      <c r="C122" s="439"/>
      <c r="D122" s="99">
        <f>+D113/IS!D6</f>
        <v>1142.041095890411</v>
      </c>
      <c r="E122" s="99">
        <f>+E113/IS!E6</f>
        <v>1311.3917808219178</v>
      </c>
      <c r="F122" s="91">
        <f>+F113/IS!F6</f>
        <v>1499.5273224043715</v>
      </c>
      <c r="G122" s="90">
        <f>+G113/IS!G6</f>
        <v>1841.588888888889</v>
      </c>
      <c r="H122" s="90">
        <f>+H113/IS!H6</f>
        <v>1651.1098901098901</v>
      </c>
      <c r="I122" s="90">
        <f>+I113/IS!I6</f>
        <v>1660</v>
      </c>
      <c r="J122" s="90">
        <f>+J113/IS!J6</f>
        <v>1896.9021739130435</v>
      </c>
      <c r="K122" s="91">
        <f>+K113/IS!K6</f>
        <v>1762.2712328767122</v>
      </c>
      <c r="L122" s="90">
        <f>+L113/IS!L6</f>
        <v>2340.1333333333332</v>
      </c>
      <c r="M122" s="90">
        <f>+M113/IS!M6</f>
        <v>2152.9890109890111</v>
      </c>
      <c r="N122" s="90">
        <f>+N113/IS!N6</f>
        <v>2153.663043478261</v>
      </c>
      <c r="O122" s="90">
        <f>+O113/IS!O6</f>
        <v>2222.771739130435</v>
      </c>
      <c r="P122" s="91">
        <f>+P113/IS!P6</f>
        <v>2216.8931506849317</v>
      </c>
      <c r="Q122" s="90">
        <f>+Q113/IS!Q6</f>
        <v>2725.0222222222224</v>
      </c>
      <c r="R122" s="90">
        <f>+R113/IS!R6</f>
        <v>2436.6483516483518</v>
      </c>
      <c r="S122" s="90">
        <f>+S113/IS!S6</f>
        <v>2715.9891304347825</v>
      </c>
      <c r="T122" s="90">
        <f>+T113/IS!T6</f>
        <v>3139.717391304348</v>
      </c>
      <c r="U122" s="91">
        <f>+U113/IS!U6</f>
        <v>2755.3753424657534</v>
      </c>
      <c r="V122" s="90">
        <f>+V113/IS!V6</f>
        <v>3303.9230769230771</v>
      </c>
      <c r="W122" s="90">
        <f>+W113/IS!W6</f>
        <v>3075.0549450549452</v>
      </c>
      <c r="X122" s="90">
        <f>+X113/IS!X6</f>
        <v>3013.217391304348</v>
      </c>
      <c r="Y122" s="90">
        <f>+Y113/IS!Y6</f>
        <v>3109.913043478261</v>
      </c>
      <c r="Z122" s="91">
        <f>+Z113/IS!Z6</f>
        <v>3125.1775956284155</v>
      </c>
      <c r="AA122" s="90">
        <f t="shared" ref="AA122:BR122" si="208">+AA113/AA121</f>
        <v>3563.8444444444444</v>
      </c>
      <c r="AB122" s="90">
        <f t="shared" si="208"/>
        <v>3223.2967032967031</v>
      </c>
      <c r="AC122" s="90">
        <f t="shared" si="208"/>
        <v>3112.391304347826</v>
      </c>
      <c r="AD122" s="90">
        <f t="shared" si="208"/>
        <v>3313.5</v>
      </c>
      <c r="AE122" s="91">
        <f t="shared" si="208"/>
        <v>3302.0493150684933</v>
      </c>
      <c r="AF122" s="90">
        <f t="shared" si="208"/>
        <v>3702.7666666666669</v>
      </c>
      <c r="AG122" s="90">
        <f t="shared" si="208"/>
        <v>3533.7692307692309</v>
      </c>
      <c r="AH122" s="90">
        <f t="shared" si="208"/>
        <v>3651.2391304347825</v>
      </c>
      <c r="AI122" s="90">
        <f t="shared" si="208"/>
        <v>3739.0434782608695</v>
      </c>
      <c r="AJ122" s="91">
        <f t="shared" si="208"/>
        <v>3656.7890410958903</v>
      </c>
      <c r="AK122" s="90">
        <f t="shared" si="208"/>
        <v>4046.4444444444443</v>
      </c>
      <c r="AL122" s="90">
        <f t="shared" si="208"/>
        <v>3884.3296703296705</v>
      </c>
      <c r="AM122" s="90">
        <f t="shared" si="208"/>
        <v>6500.45652173913</v>
      </c>
      <c r="AN122" s="90">
        <f t="shared" si="208"/>
        <v>7547.532608695652</v>
      </c>
      <c r="AO122" s="91">
        <f t="shared" si="208"/>
        <v>5507.0383561643839</v>
      </c>
      <c r="AP122" s="90">
        <f t="shared" si="208"/>
        <v>8487.4835164835167</v>
      </c>
      <c r="AQ122" s="90">
        <f t="shared" si="208"/>
        <v>7637.6153846153848</v>
      </c>
      <c r="AR122" s="90">
        <f t="shared" si="208"/>
        <v>7404.391304347826</v>
      </c>
      <c r="AS122" s="90">
        <f t="shared" si="208"/>
        <v>7539.282608695652</v>
      </c>
      <c r="AT122" s="91">
        <f t="shared" si="208"/>
        <v>7765.579234972678</v>
      </c>
      <c r="AU122" s="90">
        <f t="shared" si="208"/>
        <v>8163.6333333333332</v>
      </c>
      <c r="AV122" s="90">
        <f t="shared" si="208"/>
        <v>8033.6153846153848</v>
      </c>
      <c r="AW122" s="90">
        <f t="shared" si="208"/>
        <v>7942.130434782609</v>
      </c>
      <c r="AX122" s="90">
        <f t="shared" si="208"/>
        <v>7973.597826086957</v>
      </c>
      <c r="AY122" s="91">
        <f t="shared" si="208"/>
        <v>8027.4876712328769</v>
      </c>
      <c r="AZ122" s="90">
        <f t="shared" si="208"/>
        <v>8458.0555555555547</v>
      </c>
      <c r="BA122" s="90">
        <f t="shared" si="208"/>
        <v>7930.3186813186812</v>
      </c>
      <c r="BB122" s="90">
        <f t="shared" si="208"/>
        <v>7767.130434782609</v>
      </c>
      <c r="BC122" s="90">
        <f t="shared" si="208"/>
        <v>8167.565217391304</v>
      </c>
      <c r="BD122" s="91">
        <f t="shared" si="208"/>
        <v>8079.1123287671235</v>
      </c>
      <c r="BE122" s="90">
        <f t="shared" si="208"/>
        <v>8809.5777777777785</v>
      </c>
      <c r="BF122" s="90">
        <f t="shared" si="208"/>
        <v>8108.2417582417584</v>
      </c>
      <c r="BG122" s="90">
        <f t="shared" si="208"/>
        <v>7803.815217391304</v>
      </c>
      <c r="BH122" s="90">
        <f t="shared" si="208"/>
        <v>7961.195652173913</v>
      </c>
      <c r="BI122" s="91">
        <f t="shared" si="208"/>
        <v>8167.3780821917808</v>
      </c>
      <c r="BJ122" s="90">
        <f t="shared" si="208"/>
        <v>8839.6923076923085</v>
      </c>
      <c r="BK122" s="90">
        <f t="shared" si="208"/>
        <v>8249.2967032967026</v>
      </c>
      <c r="BL122" s="90">
        <f t="shared" si="208"/>
        <v>8126.260869565217</v>
      </c>
      <c r="BM122" s="90">
        <f t="shared" si="208"/>
        <v>8219.75</v>
      </c>
      <c r="BN122" s="91">
        <f t="shared" si="208"/>
        <v>8357.7349726775956</v>
      </c>
      <c r="BO122" s="90">
        <f t="shared" si="208"/>
        <v>8783.5777777777785</v>
      </c>
      <c r="BP122" s="90">
        <f t="shared" si="208"/>
        <v>7952.3296703296701</v>
      </c>
      <c r="BQ122" s="90">
        <f t="shared" si="208"/>
        <v>7563.521739130435</v>
      </c>
      <c r="BR122" s="90">
        <f t="shared" si="208"/>
        <v>7472.423913043478</v>
      </c>
      <c r="BS122" s="91">
        <f>+BS113/IS!BS6</f>
        <v>7938.3315068493148</v>
      </c>
      <c r="BT122" s="90">
        <f>+BT113/BT121</f>
        <v>10816.511111111111</v>
      </c>
      <c r="BU122" s="90">
        <f>+BU113/BU121</f>
        <v>11607.263736263736</v>
      </c>
      <c r="BV122" s="90">
        <f>+BV113/BV121</f>
        <v>11160.423913043478</v>
      </c>
      <c r="BW122" s="90">
        <f>+BW113/BW121</f>
        <v>11372.326086956522</v>
      </c>
      <c r="BX122" s="91">
        <f>+BX113/IS!BX6</f>
        <v>11240.438356164384</v>
      </c>
      <c r="BY122" s="90">
        <f>+BY113/BY121</f>
        <v>12523.077777777778</v>
      </c>
      <c r="BZ122" s="90">
        <f>+BZ113/BZ121</f>
        <v>11354.329670329671</v>
      </c>
      <c r="CA122" s="90">
        <f>+CA113/CA121</f>
        <v>10902.445652173914</v>
      </c>
      <c r="CB122" s="90">
        <f>+CB113/CB121</f>
        <v>10998.565217391304</v>
      </c>
      <c r="CC122" s="91">
        <f>+CC113/IS!CC6</f>
        <v>11438.942465753425</v>
      </c>
      <c r="CD122" s="90">
        <f>+CD113/CD121</f>
        <v>11826.65934065934</v>
      </c>
      <c r="CE122" s="90">
        <f>+CE113/CE121</f>
        <v>10412</v>
      </c>
      <c r="CF122" s="90">
        <f>+CF113/CF121</f>
        <v>9762.79347826087</v>
      </c>
      <c r="CG122" s="90">
        <f>+CG113/CG121</f>
        <v>9893.576086956522</v>
      </c>
      <c r="CH122" s="91">
        <f>+CH113/IS!CH6</f>
        <v>10470.22950819672</v>
      </c>
      <c r="CI122" s="90">
        <f>+CI113/IS!CI6</f>
        <v>10809.833333333334</v>
      </c>
      <c r="CJ122" s="90">
        <f>+CJ113/IS!CJ6</f>
        <v>9236.4395604395613</v>
      </c>
      <c r="CK122" s="90">
        <f>+CK113/IS!CK6</f>
        <v>8219.4130434782601</v>
      </c>
      <c r="CL122" s="90">
        <f>+CL113/IS!CL6</f>
        <v>7900.891304347826</v>
      </c>
      <c r="CM122" s="91">
        <f>+CM113/IS!CM6</f>
        <v>9031.4219178082185</v>
      </c>
      <c r="CN122" s="90">
        <f ca="1">+CN113/IS!CN6</f>
        <v>7928.7658716540891</v>
      </c>
      <c r="CO122" s="90">
        <f ca="1">+CO113/IS!CO6</f>
        <v>7427.2130604600034</v>
      </c>
      <c r="CP122" s="90">
        <f ca="1">+CP113/IS!CP6</f>
        <v>6894.1838445862386</v>
      </c>
      <c r="CQ122" s="90">
        <f ca="1">+CQ113/IS!CQ6</f>
        <v>6711.4745736846335</v>
      </c>
      <c r="CR122" s="91">
        <f ca="1">+CR113/IS!CR6</f>
        <v>7236.1257299497211</v>
      </c>
      <c r="CS122" s="90">
        <f ca="1">+CS113/IS!CS6</f>
        <v>6980.0402531716118</v>
      </c>
      <c r="CT122" s="90">
        <f ca="1">+CT113/IS!CT6</f>
        <v>6878.4695354582227</v>
      </c>
      <c r="CU122" s="90">
        <f ca="1">+CU113/IS!CU6</f>
        <v>6820.9368390451973</v>
      </c>
      <c r="CV122" s="90">
        <f ca="1">+CV113/IS!CV6</f>
        <v>6761.5048266231552</v>
      </c>
      <c r="CW122" s="91">
        <f ca="1">+CW113/IS!CW6</f>
        <v>6859.5314623387176</v>
      </c>
      <c r="CX122" s="90">
        <f ca="1">+CX113/IS!CX6</f>
        <v>6873.6335076595042</v>
      </c>
      <c r="CY122" s="90">
        <f ca="1">+CY113/IS!CY6</f>
        <v>6853.0126071365012</v>
      </c>
      <c r="CZ122" s="90">
        <f ca="1">+CZ113/IS!CZ6</f>
        <v>6758.1877696486308</v>
      </c>
      <c r="DA122" s="90">
        <f ca="1">+DA113/IS!DA6</f>
        <v>6737.9132063396819</v>
      </c>
      <c r="DB122" s="91">
        <f ca="1">+DB113/IS!DB6</f>
        <v>6805.371820320659</v>
      </c>
      <c r="DC122" s="16"/>
      <c r="DD122" s="16"/>
      <c r="DE122" s="16"/>
      <c r="DF122" s="16"/>
      <c r="DG122" s="16"/>
      <c r="DH122" s="16"/>
      <c r="DI122" s="16"/>
      <c r="DJ122" s="16"/>
    </row>
    <row r="123" spans="1:114" s="725" customFormat="1" ht="11.25" customHeight="1">
      <c r="A123" s="16"/>
      <c r="B123" s="77" t="s">
        <v>256</v>
      </c>
      <c r="C123" s="52"/>
      <c r="D123" s="1053"/>
      <c r="E123" s="1053"/>
      <c r="F123" s="78">
        <f>+F122/E122-1</f>
        <v>0.1434624986474593</v>
      </c>
      <c r="G123" s="52"/>
      <c r="H123" s="52"/>
      <c r="I123" s="52"/>
      <c r="J123" s="52"/>
      <c r="K123" s="78">
        <f t="shared" ref="K123:T123" si="209">+K122/F122-1</f>
        <v>0.17521782134056219</v>
      </c>
      <c r="L123" s="79">
        <f t="shared" si="209"/>
        <v>0.27071429864307994</v>
      </c>
      <c r="M123" s="79">
        <f t="shared" si="209"/>
        <v>0.3039646990702225</v>
      </c>
      <c r="N123" s="79">
        <f t="shared" si="209"/>
        <v>0.29738737558931394</v>
      </c>
      <c r="O123" s="79">
        <f t="shared" si="209"/>
        <v>0.17179039051084444</v>
      </c>
      <c r="P123" s="78">
        <f t="shared" si="209"/>
        <v>0.25797499801781343</v>
      </c>
      <c r="Q123" s="79">
        <f t="shared" si="209"/>
        <v>0.16447305946479784</v>
      </c>
      <c r="R123" s="79">
        <f t="shared" si="209"/>
        <v>0.13175141127591594</v>
      </c>
      <c r="S123" s="79">
        <f t="shared" si="209"/>
        <v>0.26110216668264874</v>
      </c>
      <c r="T123" s="79">
        <f t="shared" si="209"/>
        <v>0.4125235335827282</v>
      </c>
      <c r="U123" s="78">
        <f>U122/P122-1</f>
        <v>0.2428994792168726</v>
      </c>
      <c r="V123" s="79">
        <f>+V122/Q122-1</f>
        <v>0.21243894819645481</v>
      </c>
      <c r="W123" s="79">
        <f>+W122/R122-1</f>
        <v>0.26200193925180959</v>
      </c>
      <c r="X123" s="79">
        <f>+X122/S122-1</f>
        <v>0.10943646921811667</v>
      </c>
      <c r="Y123" s="79">
        <f>+Y122/T122-1</f>
        <v>-9.4926848857900259E-3</v>
      </c>
      <c r="Z123" s="96">
        <f>Z122/U122-1</f>
        <v>0.13421120798436492</v>
      </c>
      <c r="AA123" s="98">
        <f t="shared" ref="AA123:BI123" si="210">AA122/V122-1</f>
        <v>7.8670526362081716E-2</v>
      </c>
      <c r="AB123" s="98">
        <f t="shared" si="210"/>
        <v>4.8207840474573826E-2</v>
      </c>
      <c r="AC123" s="98">
        <f t="shared" si="210"/>
        <v>3.2912963176728427E-2</v>
      </c>
      <c r="AD123" s="98">
        <f t="shared" si="210"/>
        <v>6.5463874286992407E-2</v>
      </c>
      <c r="AE123" s="96">
        <f t="shared" si="210"/>
        <v>5.6595733851250829E-2</v>
      </c>
      <c r="AF123" s="98">
        <f t="shared" si="210"/>
        <v>3.8981000542485322E-2</v>
      </c>
      <c r="AG123" s="98">
        <f t="shared" si="210"/>
        <v>9.6321423701077435E-2</v>
      </c>
      <c r="AH123" s="98">
        <f t="shared" si="210"/>
        <v>0.17312984563805256</v>
      </c>
      <c r="AI123" s="98">
        <f t="shared" si="210"/>
        <v>0.12842718523038155</v>
      </c>
      <c r="AJ123" s="96">
        <f t="shared" si="210"/>
        <v>0.10743017204757854</v>
      </c>
      <c r="AK123" s="98">
        <f t="shared" si="210"/>
        <v>9.281648257009012E-2</v>
      </c>
      <c r="AL123" s="98">
        <f t="shared" si="210"/>
        <v>9.9202980349718528E-2</v>
      </c>
      <c r="AM123" s="98">
        <f t="shared" si="210"/>
        <v>0.78034258768613385</v>
      </c>
      <c r="AN123" s="98">
        <f t="shared" si="210"/>
        <v>1.0185731063513104</v>
      </c>
      <c r="AO123" s="96">
        <f t="shared" si="210"/>
        <v>0.50597649858248284</v>
      </c>
      <c r="AP123" s="98">
        <f t="shared" si="210"/>
        <v>1.0975163833365822</v>
      </c>
      <c r="AQ123" s="98">
        <f t="shared" si="210"/>
        <v>0.96626343097370659</v>
      </c>
      <c r="AR123" s="98">
        <f t="shared" si="210"/>
        <v>0.13905712307831219</v>
      </c>
      <c r="AS123" s="98">
        <f t="shared" si="210"/>
        <v>-1.0930724552942195E-3</v>
      </c>
      <c r="AT123" s="96">
        <f t="shared" si="210"/>
        <v>0.41011896644594148</v>
      </c>
      <c r="AU123" s="98">
        <f t="shared" si="210"/>
        <v>-3.8156207611035109E-2</v>
      </c>
      <c r="AV123" s="98">
        <f t="shared" si="210"/>
        <v>5.1848643857829169E-2</v>
      </c>
      <c r="AW123" s="98">
        <f t="shared" si="210"/>
        <v>7.2624353350831727E-2</v>
      </c>
      <c r="AX123" s="98">
        <f t="shared" si="210"/>
        <v>5.7606968717471174E-2</v>
      </c>
      <c r="AY123" s="96">
        <f t="shared" si="210"/>
        <v>3.3726838441191953E-2</v>
      </c>
      <c r="AZ123" s="98">
        <f t="shared" si="210"/>
        <v>3.606509628746446E-2</v>
      </c>
      <c r="BA123" s="98">
        <f t="shared" si="210"/>
        <v>-1.2858059335840277E-2</v>
      </c>
      <c r="BB123" s="98">
        <f t="shared" si="210"/>
        <v>-2.2034390071659637E-2</v>
      </c>
      <c r="BC123" s="98">
        <f t="shared" si="210"/>
        <v>2.4326207006547307E-2</v>
      </c>
      <c r="BD123" s="96">
        <f t="shared" si="210"/>
        <v>6.4309855895821055E-3</v>
      </c>
      <c r="BE123" s="98">
        <f t="shared" si="210"/>
        <v>4.156064238562851E-2</v>
      </c>
      <c r="BF123" s="98">
        <f t="shared" si="210"/>
        <v>2.2435804167896478E-2</v>
      </c>
      <c r="BG123" s="98">
        <f t="shared" si="210"/>
        <v>4.723080540068425E-3</v>
      </c>
      <c r="BH123" s="98">
        <f t="shared" si="210"/>
        <v>-2.5266962641200097E-2</v>
      </c>
      <c r="BI123" s="96">
        <f t="shared" si="210"/>
        <v>1.0925179627763182E-2</v>
      </c>
      <c r="BJ123" s="79">
        <f>+BJ122/BE122-1</f>
        <v>3.4183851569475898E-3</v>
      </c>
      <c r="BK123" s="79">
        <f>+BK122/BF122-1</f>
        <v>1.7396489801450032E-2</v>
      </c>
      <c r="BL123" s="79">
        <f>+BL122/BG122-1</f>
        <v>4.1318975807541181E-2</v>
      </c>
      <c r="BM123" s="79">
        <f>+BM122/BH122-1</f>
        <v>3.2476823723768922E-2</v>
      </c>
      <c r="BN123" s="96">
        <f>BN122/BI122-1</f>
        <v>2.33069766784606E-2</v>
      </c>
      <c r="BO123" s="79">
        <f>+BO122/BJ122-1</f>
        <v>-6.3480184559929764E-3</v>
      </c>
      <c r="BP123" s="79">
        <f>+BP122/BK122-1</f>
        <v>-3.5999072848034941E-2</v>
      </c>
      <c r="BQ123" s="79">
        <f>+BQ122/BL122-1</f>
        <v>-6.9249454265291166E-2</v>
      </c>
      <c r="BR123" s="79">
        <f>+BR122/BM122-1</f>
        <v>-9.0918347511362518E-2</v>
      </c>
      <c r="BS123" s="96">
        <f>BS122/BN122-1</f>
        <v>-5.0181474669795056E-2</v>
      </c>
      <c r="BT123" s="79">
        <f>+BT122/BO122-1</f>
        <v>0.2314470691517756</v>
      </c>
      <c r="BU123" s="79">
        <f>+BU122/BP122-1</f>
        <v>0.45960545116366491</v>
      </c>
      <c r="BV123" s="79">
        <f>+BV122/BQ122-1</f>
        <v>0.47555917705692652</v>
      </c>
      <c r="BW123" s="79">
        <f>+BW122/BR122-1</f>
        <v>0.52190590620877053</v>
      </c>
      <c r="BX123" s="96">
        <f>BX122/BS122-1</f>
        <v>0.41596988567005067</v>
      </c>
      <c r="BY123" s="79">
        <f>+BY122/BT122-1</f>
        <v>0.15777422582348399</v>
      </c>
      <c r="BZ123" s="79">
        <f>+BZ122/BU122-1</f>
        <v>-2.1791015667529057E-2</v>
      </c>
      <c r="CA123" s="79">
        <f>+CA122/BV122-1</f>
        <v>-2.3115453577713829E-2</v>
      </c>
      <c r="CB123" s="79">
        <f>+CB122/BW122-1</f>
        <v>-3.2865824168892166E-2</v>
      </c>
      <c r="CC123" s="96">
        <f>CC122/BX122-1</f>
        <v>1.7659819243631025E-2</v>
      </c>
      <c r="CD123" s="79">
        <f>+CD122/BY122-1</f>
        <v>-5.5610805065367752E-2</v>
      </c>
      <c r="CE123" s="79">
        <f>+CE122/BZ122-1</f>
        <v>-8.2992981328708471E-2</v>
      </c>
      <c r="CF123" s="79">
        <f>+CF122/CA122-1</f>
        <v>-0.10453179133122303</v>
      </c>
      <c r="CG123" s="79">
        <f>+CG122/CB122-1</f>
        <v>-0.10046666165942586</v>
      </c>
      <c r="CH123" s="96">
        <f>CH122/CC122-1</f>
        <v>-8.4685534563784581E-2</v>
      </c>
      <c r="CI123" s="79">
        <f>+CI122/CD122-1</f>
        <v>-8.5977449593920396E-2</v>
      </c>
      <c r="CJ123" s="79">
        <f>+CJ122/CE122-1</f>
        <v>-0.11290438336154807</v>
      </c>
      <c r="CK123" s="79">
        <f>+CK122/CF122-1</f>
        <v>-0.15808799379186966</v>
      </c>
      <c r="CL123" s="79">
        <f>+CL122/CG122-1</f>
        <v>-0.20141198340161437</v>
      </c>
      <c r="CM123" s="96">
        <f>CM122/CH122-1</f>
        <v>-0.13741891610514534</v>
      </c>
      <c r="CN123" s="79">
        <f ca="1">+CN122/CI122-1</f>
        <v>-0.26652283831196089</v>
      </c>
      <c r="CO123" s="79">
        <f ca="1">+CO122/CJ122-1</f>
        <v>-0.19587921169631484</v>
      </c>
      <c r="CP123" s="79">
        <f ca="1">+CP122/CK122-1</f>
        <v>-0.16123161007750209</v>
      </c>
      <c r="CQ123" s="79">
        <f ca="1">+CQ122/CL122-1</f>
        <v>-0.15054209516952366</v>
      </c>
      <c r="CR123" s="96">
        <f ca="1">CR122/CM122-1</f>
        <v>-0.19878333713083651</v>
      </c>
      <c r="CS123" s="79">
        <f ca="1">+CS122/CN122-1</f>
        <v>-0.1196561525261125</v>
      </c>
      <c r="CT123" s="79">
        <f ca="1">+CT122/CO122-1</f>
        <v>-7.3882830684245171E-2</v>
      </c>
      <c r="CU123" s="79">
        <f ca="1">+CU122/CP122-1</f>
        <v>-1.0624463633727932E-2</v>
      </c>
      <c r="CV123" s="79">
        <f ca="1">+CV122/CQ122-1</f>
        <v>7.4544352942478298E-3</v>
      </c>
      <c r="CW123" s="96">
        <f ca="1">CW122/CR122-1</f>
        <v>-5.2043632416765684E-2</v>
      </c>
      <c r="CX123" s="79">
        <f ca="1">+CX122/CS122-1</f>
        <v>-1.524443150077226E-2</v>
      </c>
      <c r="CY123" s="79">
        <f ca="1">+CY122/CT122-1</f>
        <v>-3.7009582132322416E-3</v>
      </c>
      <c r="CZ123" s="79">
        <f ca="1">+CZ122/CU122-1</f>
        <v>-9.199479613617112E-3</v>
      </c>
      <c r="DA123" s="79">
        <f ca="1">+DA122/CV122-1</f>
        <v>-3.4891079557589633E-3</v>
      </c>
      <c r="DB123" s="96">
        <f ca="1">DB122/CW122-1</f>
        <v>-7.8955308121865242E-3</v>
      </c>
      <c r="DC123" s="16"/>
      <c r="DD123" s="16"/>
      <c r="DE123" s="16"/>
      <c r="DF123" s="16"/>
      <c r="DG123" s="16"/>
      <c r="DH123" s="16"/>
      <c r="DI123" s="16"/>
      <c r="DJ123" s="16"/>
    </row>
    <row r="124" spans="1:114" s="725" customFormat="1" ht="11.25" customHeight="1">
      <c r="A124" s="16"/>
      <c r="B124" s="77"/>
      <c r="C124" s="52"/>
      <c r="D124" s="1053"/>
      <c r="E124" s="1053"/>
      <c r="F124" s="78"/>
      <c r="G124" s="52"/>
      <c r="H124" s="52"/>
      <c r="I124" s="52"/>
      <c r="J124" s="52"/>
      <c r="K124" s="78"/>
      <c r="L124" s="52"/>
      <c r="M124" s="52"/>
      <c r="N124" s="52"/>
      <c r="O124" s="52"/>
      <c r="P124" s="78"/>
      <c r="Q124" s="52"/>
      <c r="R124" s="52"/>
      <c r="S124" s="52"/>
      <c r="T124" s="52"/>
      <c r="U124" s="78"/>
      <c r="V124" s="52"/>
      <c r="W124" s="52"/>
      <c r="X124" s="52"/>
      <c r="Y124" s="52"/>
      <c r="Z124" s="96"/>
      <c r="AA124" s="52"/>
      <c r="AB124" s="52"/>
      <c r="AC124" s="52"/>
      <c r="AD124" s="52"/>
      <c r="AE124" s="96"/>
      <c r="AF124" s="52"/>
      <c r="AG124" s="52"/>
      <c r="AH124" s="52"/>
      <c r="AI124" s="52"/>
      <c r="AJ124" s="96"/>
      <c r="AK124" s="52"/>
      <c r="AL124" s="52"/>
      <c r="AM124" s="52"/>
      <c r="AN124" s="52"/>
      <c r="AO124" s="96"/>
      <c r="AP124" s="52"/>
      <c r="AQ124" s="52"/>
      <c r="AR124" s="52"/>
      <c r="AS124" s="52"/>
      <c r="AT124" s="96"/>
      <c r="AU124" s="52"/>
      <c r="AV124" s="52"/>
      <c r="AW124" s="52"/>
      <c r="AX124" s="52"/>
      <c r="AY124" s="96"/>
      <c r="AZ124" s="52"/>
      <c r="BA124" s="52"/>
      <c r="BB124" s="52"/>
      <c r="BC124" s="52"/>
      <c r="BD124" s="96"/>
      <c r="BE124" s="52"/>
      <c r="BF124" s="52"/>
      <c r="BG124" s="52"/>
      <c r="BH124" s="52"/>
      <c r="BI124" s="96"/>
      <c r="BJ124" s="52"/>
      <c r="BK124" s="52"/>
      <c r="BL124" s="52"/>
      <c r="BM124" s="52"/>
      <c r="BN124" s="96"/>
      <c r="BO124" s="52"/>
      <c r="BP124" s="52"/>
      <c r="BQ124" s="52"/>
      <c r="BR124" s="52"/>
      <c r="BS124" s="96"/>
      <c r="BT124" s="52"/>
      <c r="BU124" s="52"/>
      <c r="BV124" s="52"/>
      <c r="BW124" s="52"/>
      <c r="BX124" s="96"/>
      <c r="BY124" s="52"/>
      <c r="BZ124" s="52"/>
      <c r="CA124" s="52"/>
      <c r="CB124" s="52"/>
      <c r="CC124" s="96"/>
      <c r="CD124" s="52"/>
      <c r="CE124" s="52"/>
      <c r="CF124" s="52"/>
      <c r="CG124" s="52"/>
      <c r="CH124" s="96"/>
      <c r="CI124" s="52"/>
      <c r="CJ124" s="52"/>
      <c r="CK124" s="52"/>
      <c r="CL124" s="52"/>
      <c r="CM124" s="96"/>
      <c r="CN124" s="52"/>
      <c r="CO124" s="52"/>
      <c r="CP124" s="52"/>
      <c r="CQ124" s="52"/>
      <c r="CR124" s="96"/>
      <c r="CS124" s="52"/>
      <c r="CT124" s="52"/>
      <c r="CU124" s="52"/>
      <c r="CV124" s="52"/>
      <c r="CW124" s="96"/>
      <c r="CX124" s="52"/>
      <c r="CY124" s="52"/>
      <c r="CZ124" s="52"/>
      <c r="DA124" s="52"/>
      <c r="DB124" s="96"/>
      <c r="DC124" s="16"/>
      <c r="DD124" s="16"/>
      <c r="DE124" s="16"/>
      <c r="DF124" s="16"/>
      <c r="DG124" s="16"/>
      <c r="DH124" s="16"/>
      <c r="DI124" s="16"/>
      <c r="DJ124" s="16"/>
    </row>
    <row r="125" spans="1:114" s="725" customFormat="1" ht="11.25" customHeight="1">
      <c r="A125" s="16"/>
      <c r="B125" s="16" t="s">
        <v>260</v>
      </c>
      <c r="C125" s="257"/>
      <c r="D125" s="111"/>
      <c r="E125" s="111"/>
      <c r="F125" s="110"/>
      <c r="G125" s="112">
        <f>G241</f>
        <v>0.51300000000000001</v>
      </c>
      <c r="H125" s="112">
        <f>H241</f>
        <v>0.45500000000000002</v>
      </c>
      <c r="I125" s="112">
        <f>I241</f>
        <v>0.44400000000000001</v>
      </c>
      <c r="J125" s="112">
        <f>J241</f>
        <v>0.46</v>
      </c>
      <c r="K125" s="110">
        <f>+K122/K90</f>
        <v>0.47214232628980907</v>
      </c>
      <c r="L125" s="112">
        <f>L241</f>
        <v>0.52800000000000002</v>
      </c>
      <c r="M125" s="112">
        <f>M241</f>
        <v>0.47899999999999998</v>
      </c>
      <c r="N125" s="112">
        <f>N241</f>
        <v>0.45900000000000002</v>
      </c>
      <c r="O125" s="112">
        <f>O241</f>
        <v>0.45400000000000001</v>
      </c>
      <c r="P125" s="110">
        <f>+P122/P90</f>
        <v>0.48044495870074916</v>
      </c>
      <c r="Q125" s="112">
        <f>Q241</f>
        <v>0.50600000000000001</v>
      </c>
      <c r="R125" s="112">
        <f>R241</f>
        <v>0.45200000000000001</v>
      </c>
      <c r="S125" s="112">
        <f>S241</f>
        <v>0.47</v>
      </c>
      <c r="T125" s="112">
        <f>T241</f>
        <v>0.50800000000000001</v>
      </c>
      <c r="U125" s="110">
        <f>+U122/U90</f>
        <v>0.48693372373425581</v>
      </c>
      <c r="V125" s="112">
        <f>V241</f>
        <v>0.53400000000000003</v>
      </c>
      <c r="W125" s="112">
        <f>W241</f>
        <v>0.49399999999999999</v>
      </c>
      <c r="X125" s="112">
        <f>X241</f>
        <v>0.47199999999999998</v>
      </c>
      <c r="Y125" s="112">
        <f>Y241</f>
        <v>0.49</v>
      </c>
      <c r="Z125" s="110">
        <f>+Z122/Z90</f>
        <v>0.49905426138232817</v>
      </c>
      <c r="AA125" s="112">
        <f>AA241</f>
        <v>0.57799999999999996</v>
      </c>
      <c r="AB125" s="112">
        <f>AB241</f>
        <v>0.52200000000000002</v>
      </c>
      <c r="AC125" s="112">
        <f>AC241</f>
        <v>0.5</v>
      </c>
      <c r="AD125" s="112">
        <f>AD241</f>
        <v>0.51200000000000001</v>
      </c>
      <c r="AE125" s="110">
        <f>+AE122/AE90</f>
        <v>0.52337052480005286</v>
      </c>
      <c r="AF125" s="112">
        <f>AF241</f>
        <v>0.56999999999999995</v>
      </c>
      <c r="AG125" s="112">
        <f>AG241</f>
        <v>0.52100000000000002</v>
      </c>
      <c r="AH125" s="112">
        <f>AH241</f>
        <v>0.50800000000000001</v>
      </c>
      <c r="AI125" s="112">
        <f>AI241</f>
        <v>0.51200000000000001</v>
      </c>
      <c r="AJ125" s="110">
        <f>+AJ122/AJ90</f>
        <v>0.53141734597103563</v>
      </c>
      <c r="AK125" s="112">
        <f>AK241</f>
        <v>0.55100000000000005</v>
      </c>
      <c r="AL125" s="112">
        <f>AL241</f>
        <v>0.50900000000000001</v>
      </c>
      <c r="AM125" s="112">
        <f>AM241</f>
        <v>0.55500000000000005</v>
      </c>
      <c r="AN125" s="112">
        <f>AN241</f>
        <v>0.51700000000000002</v>
      </c>
      <c r="AO125" s="110">
        <f>+AO122/AO90</f>
        <v>0.56439608462955138</v>
      </c>
      <c r="AP125" s="112">
        <f>AP241</f>
        <v>0.58299999999999996</v>
      </c>
      <c r="AQ125" s="112">
        <f>AQ241</f>
        <v>0.51800000000000002</v>
      </c>
      <c r="AR125" s="112">
        <f>AR241</f>
        <v>0.501</v>
      </c>
      <c r="AS125" s="112">
        <f>AS241</f>
        <v>0.501</v>
      </c>
      <c r="AT125" s="110">
        <f>+AT122/AT90</f>
        <v>0.52563181002671477</v>
      </c>
      <c r="AU125" s="112">
        <f>AU241</f>
        <v>0.54</v>
      </c>
      <c r="AV125" s="112">
        <f>AV241</f>
        <v>0.51100000000000001</v>
      </c>
      <c r="AW125" s="112">
        <f>AW241</f>
        <v>0.499</v>
      </c>
      <c r="AX125" s="112">
        <f>AX241</f>
        <v>0.501</v>
      </c>
      <c r="AY125" s="110">
        <f>+AY122/AY90</f>
        <v>0.51412115225008814</v>
      </c>
      <c r="AZ125" s="112">
        <f>AZ241</f>
        <v>0.53100000000000003</v>
      </c>
      <c r="BA125" s="112">
        <f>BA241</f>
        <v>0.497</v>
      </c>
      <c r="BB125" s="112">
        <f>BB241</f>
        <v>0.48399999999999999</v>
      </c>
      <c r="BC125" s="112">
        <f>BC241</f>
        <v>0.49199999999999999</v>
      </c>
      <c r="BD125" s="110">
        <f>+BD122/BD90</f>
        <v>0.50171473196094662</v>
      </c>
      <c r="BE125" s="112">
        <f>BE241</f>
        <v>0.53</v>
      </c>
      <c r="BF125" s="112">
        <f>BF241</f>
        <v>0.49099999999999999</v>
      </c>
      <c r="BG125" s="112">
        <f>BG241</f>
        <v>0.47099999999999997</v>
      </c>
      <c r="BH125" s="112">
        <f>BH241</f>
        <v>0.47299999999999998</v>
      </c>
      <c r="BI125" s="110">
        <f>+BI122/BI90</f>
        <v>0.4906923616182895</v>
      </c>
      <c r="BJ125" s="112">
        <f>BJ241</f>
        <v>0.51700000000000002</v>
      </c>
      <c r="BK125" s="112">
        <f>BK241</f>
        <v>0.48099999999999998</v>
      </c>
      <c r="BL125" s="112">
        <f>BL241</f>
        <v>0.47099999999999997</v>
      </c>
      <c r="BM125" s="112">
        <f>BM241</f>
        <v>0.47599999999999998</v>
      </c>
      <c r="BN125" s="110">
        <f>+BN122/BN90</f>
        <v>0.48733716851960934</v>
      </c>
      <c r="BO125" s="112">
        <f>BO241</f>
        <v>0.51200000000000001</v>
      </c>
      <c r="BP125" s="112">
        <f>BP241</f>
        <v>0.46</v>
      </c>
      <c r="BQ125" s="112">
        <f>BQ241</f>
        <v>0.436</v>
      </c>
      <c r="BR125" s="112">
        <f>BR241</f>
        <v>0.43099999999999999</v>
      </c>
      <c r="BS125" s="110">
        <f>+BS122/BS90</f>
        <v>0.45927192453683136</v>
      </c>
      <c r="BT125" s="112">
        <f>BT241</f>
        <v>0.47899999999999998</v>
      </c>
      <c r="BU125" s="112">
        <f>BU241</f>
        <v>0.432</v>
      </c>
      <c r="BV125" s="112">
        <f>BV241</f>
        <v>0.41899999999999998</v>
      </c>
      <c r="BW125" s="112">
        <f>BW241</f>
        <v>0.42399999999999999</v>
      </c>
      <c r="BX125" s="110">
        <f>+BX122/BX90</f>
        <v>0.45371915541149532</v>
      </c>
      <c r="BY125" s="112">
        <f>BY241</f>
        <v>0.47099999999999997</v>
      </c>
      <c r="BZ125" s="112">
        <f>BZ241</f>
        <v>0.43</v>
      </c>
      <c r="CA125" s="112">
        <f>CA241</f>
        <v>0.41599999999999998</v>
      </c>
      <c r="CB125" s="112">
        <f>CB241</f>
        <v>0.41799999999999998</v>
      </c>
      <c r="CC125" s="110">
        <f>+CC122/CC90</f>
        <v>0.43271710351531345</v>
      </c>
      <c r="CD125" s="112">
        <f>CD241</f>
        <v>0.45100000000000001</v>
      </c>
      <c r="CE125" s="112">
        <f>CE241</f>
        <v>0.42499999999999999</v>
      </c>
      <c r="CF125" s="112">
        <f>CF241</f>
        <v>0.41899999999999998</v>
      </c>
      <c r="CG125" s="112">
        <f>CG241</f>
        <v>0.42599999999999999</v>
      </c>
      <c r="CH125" s="110">
        <f t="shared" ref="CH125:CW125" si="211">+CH122/CH90</f>
        <v>0.42819152346258538</v>
      </c>
      <c r="CI125" s="112">
        <f t="shared" si="211"/>
        <v>0.4642900604889223</v>
      </c>
      <c r="CJ125" s="112">
        <f t="shared" si="211"/>
        <v>0.41238707714876932</v>
      </c>
      <c r="CK125" s="112">
        <f t="shared" ref="CK125:CL125" si="212">+CK122/CK90</f>
        <v>0.40021487734525918</v>
      </c>
      <c r="CL125" s="112">
        <f t="shared" si="212"/>
        <v>0.41503907253685424</v>
      </c>
      <c r="CM125" s="110">
        <f t="shared" si="211"/>
        <v>0.42562098446743157</v>
      </c>
      <c r="CN125" s="112">
        <f t="shared" ca="1" si="211"/>
        <v>0.42958042323530848</v>
      </c>
      <c r="CO125" s="112">
        <f t="shared" ca="1" si="211"/>
        <v>0.40240629899008523</v>
      </c>
      <c r="CP125" s="112">
        <f t="shared" ca="1" si="211"/>
        <v>0.37352678358271868</v>
      </c>
      <c r="CQ125" s="112">
        <f t="shared" ca="1" si="211"/>
        <v>0.36362759785905802</v>
      </c>
      <c r="CR125" s="110">
        <f t="shared" ca="1" si="211"/>
        <v>0.39205319011484646</v>
      </c>
      <c r="CS125" s="112">
        <f t="shared" ca="1" si="211"/>
        <v>0.37817848259043246</v>
      </c>
      <c r="CT125" s="112">
        <f t="shared" ca="1" si="211"/>
        <v>0.37267538253552707</v>
      </c>
      <c r="CU125" s="112">
        <f t="shared" ca="1" si="211"/>
        <v>0.36955826185432072</v>
      </c>
      <c r="CV125" s="112">
        <f t="shared" ca="1" si="211"/>
        <v>0.36633823625850109</v>
      </c>
      <c r="CW125" s="110">
        <f t="shared" ca="1" si="211"/>
        <v>0.37164931800068901</v>
      </c>
      <c r="CX125" s="112">
        <f t="shared" ref="CX125:DB125" ca="1" si="213">+CX122/CX90</f>
        <v>0.37241336661751662</v>
      </c>
      <c r="CY125" s="112">
        <f t="shared" ca="1" si="213"/>
        <v>0.37129612651766275</v>
      </c>
      <c r="CZ125" s="112">
        <f t="shared" ca="1" si="213"/>
        <v>0.3661585181583481</v>
      </c>
      <c r="DA125" s="112">
        <f t="shared" ca="1" si="213"/>
        <v>0.36506004260387287</v>
      </c>
      <c r="DB125" s="110">
        <f t="shared" ca="1" si="213"/>
        <v>0.3687149493590865</v>
      </c>
      <c r="DC125" s="16"/>
      <c r="DD125" s="16"/>
      <c r="DE125" s="16"/>
      <c r="DF125" s="16"/>
      <c r="DG125" s="16"/>
      <c r="DH125" s="16"/>
      <c r="DI125" s="16"/>
      <c r="DJ125" s="16"/>
    </row>
    <row r="126" spans="1:114" s="725" customFormat="1" ht="11.25" customHeight="1">
      <c r="A126" s="16"/>
      <c r="B126" s="86" t="s">
        <v>267</v>
      </c>
      <c r="C126" s="446"/>
      <c r="D126" s="114"/>
      <c r="E126" s="114"/>
      <c r="F126" s="113"/>
      <c r="G126" s="21"/>
      <c r="H126" s="21"/>
      <c r="I126" s="21"/>
      <c r="J126" s="21"/>
      <c r="K126" s="113"/>
      <c r="L126" s="21"/>
      <c r="M126" s="21"/>
      <c r="N126" s="21"/>
      <c r="O126" s="21"/>
      <c r="P126" s="113"/>
      <c r="Q126" s="21"/>
      <c r="R126" s="21"/>
      <c r="S126" s="21"/>
      <c r="T126" s="21"/>
      <c r="U126" s="113"/>
      <c r="V126" s="21"/>
      <c r="W126" s="21"/>
      <c r="X126" s="21"/>
      <c r="Y126" s="21"/>
      <c r="Z126" s="113"/>
      <c r="AA126" s="21"/>
      <c r="AB126" s="21"/>
      <c r="AC126" s="21"/>
      <c r="AD126" s="21"/>
      <c r="AE126" s="113"/>
      <c r="AF126" s="21"/>
      <c r="AG126" s="21"/>
      <c r="AH126" s="21"/>
      <c r="AI126" s="21"/>
      <c r="AJ126" s="113"/>
      <c r="AK126" s="21"/>
      <c r="AL126" s="21"/>
      <c r="AM126" s="21"/>
      <c r="AN126" s="21"/>
      <c r="AO126" s="113"/>
      <c r="AP126" s="21"/>
      <c r="AQ126" s="21"/>
      <c r="AR126" s="21"/>
      <c r="AS126" s="21"/>
      <c r="AT126" s="113"/>
      <c r="AU126" s="21"/>
      <c r="AV126" s="21"/>
      <c r="AW126" s="21"/>
      <c r="AX126" s="21"/>
      <c r="AY126" s="113"/>
      <c r="AZ126" s="21"/>
      <c r="BA126" s="21"/>
      <c r="BB126" s="21"/>
      <c r="BC126" s="21"/>
      <c r="BD126" s="113"/>
      <c r="BE126" s="21"/>
      <c r="BF126" s="21"/>
      <c r="BG126" s="21"/>
      <c r="BH126" s="21"/>
      <c r="BI126" s="113"/>
      <c r="BJ126" s="21"/>
      <c r="BK126" s="21"/>
      <c r="BL126" s="21"/>
      <c r="BM126" s="21"/>
      <c r="BN126" s="113"/>
      <c r="BO126" s="1081" t="e">
        <f>BO152/#REF!*1000000</f>
        <v>#REF!</v>
      </c>
      <c r="BP126" s="1081" t="e">
        <f>BP152/#REF!*1000000</f>
        <v>#REF!</v>
      </c>
      <c r="BQ126" s="1081" t="e">
        <f>BQ152/#REF!*1000000</f>
        <v>#REF!</v>
      </c>
      <c r="BR126" s="21" t="e">
        <f>BR152/#REF!*1000000</f>
        <v>#REF!</v>
      </c>
      <c r="BS126" s="113" t="e">
        <f>BS152/#REF!*1000000</f>
        <v>#REF!</v>
      </c>
      <c r="BT126" s="1081"/>
      <c r="BU126" s="1081"/>
      <c r="BV126" s="1081"/>
      <c r="BW126" s="1081"/>
      <c r="BX126" s="113"/>
      <c r="BY126" s="1081"/>
      <c r="BZ126" s="21"/>
      <c r="CA126" s="21"/>
      <c r="CB126" s="21"/>
      <c r="CC126" s="113"/>
      <c r="CD126" s="1081"/>
      <c r="CE126" s="1081"/>
      <c r="CF126" s="1081"/>
      <c r="CG126" s="1081"/>
      <c r="CH126" s="113"/>
      <c r="CI126" s="21"/>
      <c r="CJ126" s="21"/>
      <c r="CK126" s="21"/>
      <c r="CL126" s="21"/>
      <c r="CM126" s="113"/>
      <c r="CN126" s="21"/>
      <c r="CO126" s="21"/>
      <c r="CP126" s="21"/>
      <c r="CQ126" s="21"/>
      <c r="CR126" s="113"/>
      <c r="CS126" s="21"/>
      <c r="CT126" s="21"/>
      <c r="CU126" s="21"/>
      <c r="CV126" s="21"/>
      <c r="CW126" s="113"/>
      <c r="CX126" s="21"/>
      <c r="CY126" s="21"/>
      <c r="CZ126" s="21"/>
      <c r="DA126" s="21"/>
      <c r="DB126" s="113"/>
      <c r="DC126" s="16"/>
      <c r="DD126" s="16"/>
      <c r="DE126" s="16"/>
      <c r="DF126" s="16"/>
      <c r="DG126" s="16"/>
      <c r="DH126" s="16"/>
      <c r="DI126" s="16"/>
      <c r="DJ126" s="16"/>
    </row>
    <row r="127" spans="1:114" s="725" customFormat="1" ht="11.25" customHeight="1">
      <c r="A127" s="16"/>
      <c r="B127" s="16" t="s">
        <v>270</v>
      </c>
      <c r="C127" s="1082"/>
      <c r="D127" s="1083">
        <f t="shared" ref="D127:AI127" si="214">+D149*1000000/D93</f>
        <v>4756.0925544878846</v>
      </c>
      <c r="E127" s="1083">
        <f t="shared" si="214"/>
        <v>4726.4872107894435</v>
      </c>
      <c r="F127" s="1084">
        <f t="shared" si="214"/>
        <v>4759.7900355871889</v>
      </c>
      <c r="G127" s="1081">
        <f t="shared" si="214"/>
        <v>4880.5705190989229</v>
      </c>
      <c r="H127" s="1081">
        <f t="shared" si="214"/>
        <v>5011.7414119011009</v>
      </c>
      <c r="I127" s="1081">
        <f t="shared" si="214"/>
        <v>5200.4714264691456</v>
      </c>
      <c r="J127" s="1081">
        <f t="shared" si="214"/>
        <v>5483.0690482883901</v>
      </c>
      <c r="K127" s="1084">
        <f t="shared" si="214"/>
        <v>5152.4801679502762</v>
      </c>
      <c r="L127" s="1081">
        <f t="shared" si="214"/>
        <v>5263.9079136690643</v>
      </c>
      <c r="M127" s="1081">
        <f t="shared" si="214"/>
        <v>5402.9050836107226</v>
      </c>
      <c r="N127" s="1081">
        <f t="shared" si="214"/>
        <v>5546.2600322878225</v>
      </c>
      <c r="O127" s="1081">
        <f t="shared" si="214"/>
        <v>5796.7935096646734</v>
      </c>
      <c r="P127" s="1084">
        <f t="shared" si="214"/>
        <v>5503.6463015616755</v>
      </c>
      <c r="Q127" s="1081">
        <f t="shared" si="214"/>
        <v>5678.6284550999226</v>
      </c>
      <c r="R127" s="1081">
        <f t="shared" si="214"/>
        <v>5691.0447920798906</v>
      </c>
      <c r="S127" s="1081">
        <f t="shared" si="214"/>
        <v>5647.9061994273634</v>
      </c>
      <c r="T127" s="1081">
        <f t="shared" si="214"/>
        <v>5768.7314021641114</v>
      </c>
      <c r="U127" s="1084">
        <f t="shared" si="214"/>
        <v>5698.7985772971788</v>
      </c>
      <c r="V127" s="1081">
        <f t="shared" si="214"/>
        <v>5808.3638015777951</v>
      </c>
      <c r="W127" s="1081">
        <f t="shared" si="214"/>
        <v>5930.8579940704321</v>
      </c>
      <c r="X127" s="1081">
        <f t="shared" si="214"/>
        <v>6049.0241590567557</v>
      </c>
      <c r="Y127" s="1081">
        <f t="shared" si="214"/>
        <v>6262.6917659038836</v>
      </c>
      <c r="Z127" s="1084">
        <f t="shared" si="214"/>
        <v>6011.5971060591</v>
      </c>
      <c r="AA127" s="1081">
        <f t="shared" si="214"/>
        <v>6251.8554655070175</v>
      </c>
      <c r="AB127" s="1081">
        <f t="shared" si="214"/>
        <v>6535.9645418101745</v>
      </c>
      <c r="AC127" s="1081">
        <f t="shared" si="214"/>
        <v>6539.2858965193382</v>
      </c>
      <c r="AD127" s="1081">
        <f t="shared" si="214"/>
        <v>6798.3537492225742</v>
      </c>
      <c r="AE127" s="1084">
        <f t="shared" si="214"/>
        <v>6529.4040365992305</v>
      </c>
      <c r="AF127" s="1081">
        <f t="shared" si="214"/>
        <v>6617.0257832484858</v>
      </c>
      <c r="AG127" s="1081">
        <f t="shared" si="214"/>
        <v>6752.9507719047133</v>
      </c>
      <c r="AH127" s="1081">
        <f t="shared" si="214"/>
        <v>6639.3814535559741</v>
      </c>
      <c r="AI127" s="1081">
        <f t="shared" si="214"/>
        <v>6797.5467651113358</v>
      </c>
      <c r="AJ127" s="1084">
        <f t="shared" ref="AJ127:BO127" si="215">+AJ149*1000000/AJ93</f>
        <v>6702.7096326267874</v>
      </c>
      <c r="AK127" s="1081">
        <f t="shared" si="215"/>
        <v>6816.3022106398284</v>
      </c>
      <c r="AL127" s="1081">
        <f t="shared" si="215"/>
        <v>6926.8791201189779</v>
      </c>
      <c r="AM127" s="1081">
        <f t="shared" si="215"/>
        <v>8174.8566483605573</v>
      </c>
      <c r="AN127" s="1081">
        <f t="shared" si="215"/>
        <v>7673.0568890360319</v>
      </c>
      <c r="AO127" s="1084">
        <f t="shared" si="215"/>
        <v>7527.8245558197441</v>
      </c>
      <c r="AP127" s="1081">
        <f t="shared" si="215"/>
        <v>7846.6411326714815</v>
      </c>
      <c r="AQ127" s="1081">
        <f t="shared" si="215"/>
        <v>8113.0986043413759</v>
      </c>
      <c r="AR127" s="1081">
        <f t="shared" si="215"/>
        <v>8330.198434658867</v>
      </c>
      <c r="AS127" s="1081">
        <f t="shared" si="215"/>
        <v>8554.7204394368946</v>
      </c>
      <c r="AT127" s="1084">
        <f t="shared" si="215"/>
        <v>8203.6817501222904</v>
      </c>
      <c r="AU127" s="1081">
        <f t="shared" si="215"/>
        <v>8801.4395561953588</v>
      </c>
      <c r="AV127" s="1081">
        <f t="shared" si="215"/>
        <v>8590.3762320310798</v>
      </c>
      <c r="AW127" s="1081">
        <f t="shared" si="215"/>
        <v>8761.0331340266239</v>
      </c>
      <c r="AX127" s="1081">
        <f t="shared" si="215"/>
        <v>9076.3515100671138</v>
      </c>
      <c r="AY127" s="1084">
        <f t="shared" si="215"/>
        <v>8806.4956151837196</v>
      </c>
      <c r="AZ127" s="1081">
        <f t="shared" si="215"/>
        <v>8996.8864175680483</v>
      </c>
      <c r="BA127" s="1081">
        <f t="shared" si="215"/>
        <v>9026.5994552319935</v>
      </c>
      <c r="BB127" s="1081">
        <f t="shared" si="215"/>
        <v>9136.9767928140172</v>
      </c>
      <c r="BC127" s="1081">
        <f t="shared" si="215"/>
        <v>9482.6003472063585</v>
      </c>
      <c r="BD127" s="1084">
        <f t="shared" si="215"/>
        <v>9161.1848086624668</v>
      </c>
      <c r="BE127" s="1081">
        <f t="shared" si="215"/>
        <v>9317.7736082957799</v>
      </c>
      <c r="BF127" s="1081">
        <f t="shared" si="215"/>
        <v>9464.9787092481711</v>
      </c>
      <c r="BG127" s="1081">
        <f t="shared" si="215"/>
        <v>9171.4490239138086</v>
      </c>
      <c r="BH127" s="1081">
        <f t="shared" si="215"/>
        <v>9253.9580891858259</v>
      </c>
      <c r="BI127" s="1084">
        <f t="shared" si="215"/>
        <v>9303.1606213641517</v>
      </c>
      <c r="BJ127" s="1081">
        <f t="shared" si="215"/>
        <v>9589.3591165992257</v>
      </c>
      <c r="BK127" s="1081">
        <f t="shared" si="215"/>
        <v>9827.8153232362256</v>
      </c>
      <c r="BL127" s="1081">
        <f t="shared" si="215"/>
        <v>9310.6280241236691</v>
      </c>
      <c r="BM127" s="1081">
        <f t="shared" si="215"/>
        <v>9463.0162979019933</v>
      </c>
      <c r="BN127" s="1084">
        <f t="shared" si="215"/>
        <v>9548.3276158507215</v>
      </c>
      <c r="BO127" s="1081">
        <f t="shared" si="215"/>
        <v>9723.1925448826169</v>
      </c>
      <c r="BP127" s="1081">
        <f t="shared" ref="BP127:CW127" si="216">+BP149*1000000/BP93</f>
        <v>9994.382692216137</v>
      </c>
      <c r="BQ127" s="1081">
        <f t="shared" si="216"/>
        <v>10067.427535371864</v>
      </c>
      <c r="BR127" s="1081">
        <f t="shared" si="216"/>
        <v>9988.7839113961836</v>
      </c>
      <c r="BS127" s="1084">
        <f t="shared" si="216"/>
        <v>9939.0118490278674</v>
      </c>
      <c r="BT127" s="1081">
        <f t="shared" si="216"/>
        <v>10244.527728013238</v>
      </c>
      <c r="BU127" s="1081">
        <f t="shared" si="216"/>
        <v>9887.5736158675045</v>
      </c>
      <c r="BV127" s="1081">
        <f t="shared" si="216"/>
        <v>10371.803471313342</v>
      </c>
      <c r="BW127" s="1081">
        <f t="shared" si="216"/>
        <v>10268.878676219463</v>
      </c>
      <c r="BX127" s="1084">
        <f t="shared" si="216"/>
        <v>10191.278759486184</v>
      </c>
      <c r="BY127" s="1081">
        <f t="shared" si="216"/>
        <v>10108.864522231468</v>
      </c>
      <c r="BZ127" s="1081">
        <f t="shared" si="216"/>
        <v>10188.243661245284</v>
      </c>
      <c r="CA127" s="1081">
        <f t="shared" si="216"/>
        <v>10088.371259100273</v>
      </c>
      <c r="CB127" s="1081">
        <f t="shared" si="216"/>
        <v>10749.242749082476</v>
      </c>
      <c r="CC127" s="1084">
        <f t="shared" si="216"/>
        <v>10280.363974585802</v>
      </c>
      <c r="CD127" s="1081">
        <f t="shared" si="216"/>
        <v>10531.2826178085</v>
      </c>
      <c r="CE127" s="1081">
        <f t="shared" si="216"/>
        <v>10589.594056695707</v>
      </c>
      <c r="CF127" s="1081">
        <f t="shared" si="216"/>
        <v>10703.982517368915</v>
      </c>
      <c r="CG127" s="1081">
        <f t="shared" si="216"/>
        <v>11006.567636734273</v>
      </c>
      <c r="CH127" s="1084">
        <f t="shared" si="216"/>
        <v>10699.19918712827</v>
      </c>
      <c r="CI127" s="1081">
        <f t="shared" si="216"/>
        <v>10541.721654446195</v>
      </c>
      <c r="CJ127" s="1081">
        <f t="shared" si="216"/>
        <v>10784.721476167751</v>
      </c>
      <c r="CK127" s="1081">
        <f>+CK149*1000000/CK93</f>
        <v>10794.463430482527</v>
      </c>
      <c r="CL127" s="1081">
        <f>+CL149*1000000/CL93</f>
        <v>12806.67733064096</v>
      </c>
      <c r="CM127" s="1084">
        <f t="shared" si="216"/>
        <v>11167.412244028776</v>
      </c>
      <c r="CN127" s="1081">
        <f t="shared" ca="1" si="216"/>
        <v>10538.128892840748</v>
      </c>
      <c r="CO127" s="1081">
        <f t="shared" ca="1" si="216"/>
        <v>10636.752148197216</v>
      </c>
      <c r="CP127" s="1081">
        <f t="shared" ca="1" si="216"/>
        <v>10579.377372683075</v>
      </c>
      <c r="CQ127" s="1081">
        <f t="shared" ca="1" si="216"/>
        <v>12503.474601185839</v>
      </c>
      <c r="CR127" s="1084">
        <f t="shared" ca="1" si="216"/>
        <v>11032.72998487423</v>
      </c>
      <c r="CS127" s="1081">
        <f t="shared" ca="1" si="216"/>
        <v>10539.947061667177</v>
      </c>
      <c r="CT127" s="1081">
        <f t="shared" ca="1" si="216"/>
        <v>10615.64031918298</v>
      </c>
      <c r="CU127" s="1081">
        <f t="shared" ca="1" si="216"/>
        <v>10582.489666462885</v>
      </c>
      <c r="CV127" s="1081">
        <f t="shared" ca="1" si="216"/>
        <v>12448.562681128304</v>
      </c>
      <c r="CW127" s="1084">
        <f t="shared" ca="1" si="216"/>
        <v>11043.734237545297</v>
      </c>
      <c r="CX127" s="1081">
        <f t="shared" ref="CX127:DB127" ca="1" si="217">+CX149*1000000/CX93</f>
        <v>10592.646796975512</v>
      </c>
      <c r="CY127" s="1081">
        <f t="shared" ca="1" si="217"/>
        <v>10668.718520778893</v>
      </c>
      <c r="CZ127" s="1081">
        <f t="shared" ca="1" si="217"/>
        <v>10635.402114795199</v>
      </c>
      <c r="DA127" s="1081">
        <f t="shared" ca="1" si="217"/>
        <v>12510.805494533945</v>
      </c>
      <c r="DB127" s="1084">
        <f t="shared" ca="1" si="217"/>
        <v>11099.746607426561</v>
      </c>
      <c r="DC127" s="16"/>
      <c r="DD127" s="16"/>
      <c r="DE127" s="16"/>
      <c r="DF127" s="16"/>
      <c r="DG127" s="16"/>
      <c r="DH127" s="16"/>
      <c r="DI127" s="16"/>
      <c r="DJ127" s="16"/>
    </row>
    <row r="128" spans="1:114" s="725" customFormat="1" ht="11.25" customHeight="1">
      <c r="A128" s="16"/>
      <c r="B128" s="77" t="s">
        <v>256</v>
      </c>
      <c r="C128" s="52"/>
      <c r="D128" s="1053" t="s">
        <v>257</v>
      </c>
      <c r="E128" s="1053" t="s">
        <v>257</v>
      </c>
      <c r="F128" s="96">
        <v>8.0000000000000002E-3</v>
      </c>
      <c r="G128" s="98">
        <v>2.1000000000000001E-2</v>
      </c>
      <c r="H128" s="98">
        <v>5.8000000000000003E-2</v>
      </c>
      <c r="I128" s="98">
        <v>9.6000000000000002E-2</v>
      </c>
      <c r="J128" s="98">
        <v>5.7000000000000002E-2</v>
      </c>
      <c r="K128" s="96">
        <v>5.6000000000000001E-2</v>
      </c>
      <c r="L128" s="98">
        <v>4.7E-2</v>
      </c>
      <c r="M128" s="98">
        <v>5.5275743647826614E-2</v>
      </c>
      <c r="N128" s="98">
        <v>6.9588126250631044E-2</v>
      </c>
      <c r="O128" s="98">
        <v>6.5800278773059828E-2</v>
      </c>
      <c r="P128" s="96">
        <v>5.0999999999999997E-2</v>
      </c>
      <c r="Q128" s="98">
        <v>9.2999999999999999E-2</v>
      </c>
      <c r="R128" s="98">
        <v>6.9514549394751324E-2</v>
      </c>
      <c r="S128" s="98">
        <v>3.5000000000000003E-2</v>
      </c>
      <c r="T128" s="98">
        <v>2.1393621620942493E-2</v>
      </c>
      <c r="U128" s="96">
        <v>5.3741799436927806E-2</v>
      </c>
      <c r="V128" s="98">
        <f>V127/Q127-1</f>
        <v>2.2846246677991067E-2</v>
      </c>
      <c r="W128" s="98">
        <f>W127/R127-1</f>
        <v>4.2138695222410538E-2</v>
      </c>
      <c r="X128" s="98">
        <f>X127/S127-1</f>
        <v>7.1020648266088671E-2</v>
      </c>
      <c r="Y128" s="98">
        <f>Y127/T127-1</f>
        <v>8.5627208012226896E-2</v>
      </c>
      <c r="Z128" s="96">
        <f>Z127/U127-1</f>
        <v>5.4888504045053521E-2</v>
      </c>
      <c r="AA128" s="98">
        <f t="shared" ref="AA128:BI128" si="218">AA127/V127-1</f>
        <v>7.6353974902321209E-2</v>
      </c>
      <c r="AB128" s="98">
        <f t="shared" si="218"/>
        <v>0.10202681439088868</v>
      </c>
      <c r="AC128" s="98">
        <f t="shared" si="218"/>
        <v>8.1048070659223592E-2</v>
      </c>
      <c r="AD128" s="98">
        <f t="shared" si="218"/>
        <v>8.5532228527517074E-2</v>
      </c>
      <c r="AE128" s="96">
        <f t="shared" si="218"/>
        <v>8.6134669606888981E-2</v>
      </c>
      <c r="AF128" s="98">
        <f t="shared" si="218"/>
        <v>5.8409910426784561E-2</v>
      </c>
      <c r="AG128" s="98">
        <f t="shared" si="218"/>
        <v>3.3198807720955514E-2</v>
      </c>
      <c r="AH128" s="98">
        <f t="shared" si="218"/>
        <v>1.5306802397172081E-2</v>
      </c>
      <c r="AI128" s="98">
        <f t="shared" si="218"/>
        <v>-1.1870287146065195E-4</v>
      </c>
      <c r="AJ128" s="96">
        <f t="shared" si="218"/>
        <v>2.6542329905781203E-2</v>
      </c>
      <c r="AK128" s="98">
        <f t="shared" si="218"/>
        <v>3.0115709673646185E-2</v>
      </c>
      <c r="AL128" s="98">
        <f t="shared" si="218"/>
        <v>2.5755903469322439E-2</v>
      </c>
      <c r="AM128" s="98">
        <f t="shared" si="218"/>
        <v>0.23126780793445767</v>
      </c>
      <c r="AN128" s="98">
        <f t="shared" si="218"/>
        <v>0.12879795522971382</v>
      </c>
      <c r="AO128" s="96">
        <f t="shared" si="218"/>
        <v>0.12310169594346498</v>
      </c>
      <c r="AP128" s="98">
        <f t="shared" si="218"/>
        <v>0.15115804584241554</v>
      </c>
      <c r="AQ128" s="98">
        <f t="shared" si="218"/>
        <v>0.17124876349827556</v>
      </c>
      <c r="AR128" s="98">
        <f t="shared" si="218"/>
        <v>1.9002386583679476E-2</v>
      </c>
      <c r="AS128" s="98">
        <f t="shared" si="218"/>
        <v>0.11490382036143432</v>
      </c>
      <c r="AT128" s="96">
        <f t="shared" si="218"/>
        <v>8.9781209603250201E-2</v>
      </c>
      <c r="AU128" s="98">
        <f t="shared" si="218"/>
        <v>0.12168243804961731</v>
      </c>
      <c r="AV128" s="98">
        <f t="shared" si="218"/>
        <v>5.8828032415914278E-2</v>
      </c>
      <c r="AW128" s="98">
        <f t="shared" si="218"/>
        <v>5.1719620216394091E-2</v>
      </c>
      <c r="AX128" s="98">
        <f t="shared" si="218"/>
        <v>6.0975817307310498E-2</v>
      </c>
      <c r="AY128" s="96">
        <f t="shared" si="218"/>
        <v>7.348089350887399E-2</v>
      </c>
      <c r="AZ128" s="98">
        <f t="shared" si="218"/>
        <v>2.2206237982412169E-2</v>
      </c>
      <c r="BA128" s="98">
        <f t="shared" si="218"/>
        <v>5.0780456107889727E-2</v>
      </c>
      <c r="BB128" s="98">
        <f t="shared" si="218"/>
        <v>4.2910881974328019E-2</v>
      </c>
      <c r="BC128" s="98">
        <f t="shared" si="218"/>
        <v>4.4759046263099345E-2</v>
      </c>
      <c r="BD128" s="96">
        <f t="shared" si="218"/>
        <v>4.0275861020950154E-2</v>
      </c>
      <c r="BE128" s="98">
        <f t="shared" si="218"/>
        <v>3.566647124733513E-2</v>
      </c>
      <c r="BF128" s="98">
        <f t="shared" si="218"/>
        <v>4.8565271583207892E-2</v>
      </c>
      <c r="BG128" s="98">
        <f t="shared" si="218"/>
        <v>3.7728268202348314E-3</v>
      </c>
      <c r="BH128" s="98">
        <f t="shared" si="218"/>
        <v>-2.4111767832532549E-2</v>
      </c>
      <c r="BI128" s="96">
        <f t="shared" si="218"/>
        <v>1.5497538327950533E-2</v>
      </c>
      <c r="BJ128" s="79">
        <f>+BJ127/BE127-1</f>
        <v>2.9147038736984099E-2</v>
      </c>
      <c r="BK128" s="79">
        <f>+BK127/BF127-1</f>
        <v>3.8334646609773149E-2</v>
      </c>
      <c r="BL128" s="79">
        <f>+BL127/BG127-1</f>
        <v>1.5175246555583888E-2</v>
      </c>
      <c r="BM128" s="79">
        <f>+BM127/BH127-1</f>
        <v>2.2591220610829632E-2</v>
      </c>
      <c r="BN128" s="96">
        <f>BN127/BI127-1</f>
        <v>2.6353086275169524E-2</v>
      </c>
      <c r="BO128" s="98">
        <f t="shared" ref="BO128:CH128" si="219">+BO127/BJ127-1</f>
        <v>1.3956451797881408E-2</v>
      </c>
      <c r="BP128" s="98">
        <f>+BP127/BK127-1</f>
        <v>1.6948565220399558E-2</v>
      </c>
      <c r="BQ128" s="79">
        <f>+BQ127/BL127-1</f>
        <v>8.1283401000162403E-2</v>
      </c>
      <c r="BR128" s="79">
        <f>+BR127/BM127-1</f>
        <v>5.5560256575987843E-2</v>
      </c>
      <c r="BS128" s="96">
        <f t="shared" si="219"/>
        <v>4.0916509036471371E-2</v>
      </c>
      <c r="BT128" s="98">
        <f t="shared" si="219"/>
        <v>5.3617696114122815E-2</v>
      </c>
      <c r="BU128" s="98">
        <f t="shared" si="219"/>
        <v>-1.0686910801586347E-2</v>
      </c>
      <c r="BV128" s="98">
        <f t="shared" si="219"/>
        <v>3.0233734970731563E-2</v>
      </c>
      <c r="BW128" s="98">
        <f t="shared" si="219"/>
        <v>2.8040927434992424E-2</v>
      </c>
      <c r="BX128" s="96">
        <f t="shared" si="219"/>
        <v>2.5381488048330514E-2</v>
      </c>
      <c r="BY128" s="98">
        <f t="shared" si="219"/>
        <v>-1.324250462135057E-2</v>
      </c>
      <c r="BZ128" s="98">
        <f t="shared" si="219"/>
        <v>3.0408880586766607E-2</v>
      </c>
      <c r="CA128" s="98">
        <f t="shared" si="219"/>
        <v>-2.7327186925301339E-2</v>
      </c>
      <c r="CB128" s="98">
        <f t="shared" si="219"/>
        <v>4.67786296838264E-2</v>
      </c>
      <c r="CC128" s="96">
        <f t="shared" si="219"/>
        <v>8.7413186511746677E-3</v>
      </c>
      <c r="CD128" s="98">
        <f t="shared" si="219"/>
        <v>4.1786898483805679E-2</v>
      </c>
      <c r="CE128" s="98">
        <f t="shared" si="219"/>
        <v>3.9393482212945807E-2</v>
      </c>
      <c r="CF128" s="98">
        <f t="shared" si="219"/>
        <v>6.1021867896993376E-2</v>
      </c>
      <c r="CG128" s="98">
        <f t="shared" si="219"/>
        <v>2.3938885152980927E-2</v>
      </c>
      <c r="CH128" s="96">
        <f t="shared" si="219"/>
        <v>4.0741282466056239E-2</v>
      </c>
      <c r="CI128" s="98">
        <f t="shared" ref="CI128:CM128" si="220">+CI127/CD127-1</f>
        <v>9.9124076492285162E-4</v>
      </c>
      <c r="CJ128" s="98">
        <f t="shared" si="220"/>
        <v>1.8426336120851206E-2</v>
      </c>
      <c r="CK128" s="98">
        <f t="shared" si="220"/>
        <v>8.4530139101770541E-3</v>
      </c>
      <c r="CL128" s="98">
        <f t="shared" si="220"/>
        <v>0.16354868777609144</v>
      </c>
      <c r="CM128" s="96">
        <f t="shared" si="220"/>
        <v>4.3761504829612941E-2</v>
      </c>
      <c r="CN128" s="98">
        <f t="shared" ref="CN128:CR128" ca="1" si="221">+CN127/CI127-1</f>
        <v>-3.4081355239834465E-4</v>
      </c>
      <c r="CO128" s="98">
        <f t="shared" ca="1" si="221"/>
        <v>-1.372027347182958E-2</v>
      </c>
      <c r="CP128" s="98">
        <f t="shared" ca="1" si="221"/>
        <v>-1.9925590482994249E-2</v>
      </c>
      <c r="CQ128" s="98">
        <f t="shared" ca="1" si="221"/>
        <v>-2.3675362596173533E-2</v>
      </c>
      <c r="CR128" s="96">
        <f t="shared" ca="1" si="221"/>
        <v>-1.2060292591648647E-2</v>
      </c>
      <c r="CS128" s="98">
        <f t="shared" ref="CS128" ca="1" si="222">+CS127/CN127-1</f>
        <v>1.7253241490178262E-4</v>
      </c>
      <c r="CT128" s="98">
        <f t="shared" ref="CT128" ca="1" si="223">+CT127/CO127-1</f>
        <v>-1.9848003149922633E-3</v>
      </c>
      <c r="CU128" s="98">
        <f t="shared" ref="CU128" ca="1" si="224">+CU127/CP127-1</f>
        <v>2.9418496667354965E-4</v>
      </c>
      <c r="CV128" s="98">
        <f t="shared" ref="CV128" ca="1" si="225">+CV127/CQ127-1</f>
        <v>-4.3917328429913249E-3</v>
      </c>
      <c r="CW128" s="96">
        <f t="shared" ref="CW128" ca="1" si="226">+CW127/CR127-1</f>
        <v>9.9741883343051896E-4</v>
      </c>
      <c r="CX128" s="98">
        <f t="shared" ref="CX128" ca="1" si="227">+CX127/CS127-1</f>
        <v>4.9999999999998934E-3</v>
      </c>
      <c r="CY128" s="98">
        <f t="shared" ref="CY128" ca="1" si="228">+CY127/CT127-1</f>
        <v>4.9999999999998934E-3</v>
      </c>
      <c r="CZ128" s="98">
        <f t="shared" ref="CZ128" ca="1" si="229">+CZ127/CU127-1</f>
        <v>4.9999999999998934E-3</v>
      </c>
      <c r="DA128" s="98">
        <f t="shared" ref="DA128" ca="1" si="230">+DA127/CV127-1</f>
        <v>4.9999999999998934E-3</v>
      </c>
      <c r="DB128" s="96">
        <f t="shared" ref="DB128" ca="1" si="231">+DB127/CW127-1</f>
        <v>5.0718686882955666E-3</v>
      </c>
      <c r="DC128" s="16"/>
      <c r="DD128" s="16"/>
      <c r="DE128" s="16"/>
      <c r="DF128" s="16"/>
      <c r="DG128" s="16"/>
      <c r="DH128" s="16"/>
      <c r="DI128" s="16"/>
      <c r="DJ128" s="16"/>
    </row>
    <row r="129" spans="1:114" s="725" customFormat="1" ht="11.25" customHeight="1">
      <c r="A129" s="16"/>
      <c r="B129" s="77"/>
      <c r="C129" s="52"/>
      <c r="D129" s="1053"/>
      <c r="E129" s="1053"/>
      <c r="F129" s="96"/>
      <c r="G129" s="54"/>
      <c r="H129" s="54"/>
      <c r="I129" s="54"/>
      <c r="J129" s="54"/>
      <c r="K129" s="96"/>
      <c r="L129" s="54"/>
      <c r="M129" s="54"/>
      <c r="N129" s="54"/>
      <c r="O129" s="54"/>
      <c r="P129" s="96"/>
      <c r="Q129" s="54"/>
      <c r="R129" s="54"/>
      <c r="S129" s="54"/>
      <c r="T129" s="54"/>
      <c r="U129" s="96"/>
      <c r="V129" s="54"/>
      <c r="W129" s="54"/>
      <c r="X129" s="54"/>
      <c r="Y129" s="54"/>
      <c r="Z129" s="96"/>
      <c r="AA129" s="54"/>
      <c r="AB129" s="54"/>
      <c r="AC129" s="54"/>
      <c r="AD129" s="54"/>
      <c r="AE129" s="96"/>
      <c r="AF129" s="54"/>
      <c r="AG129" s="54"/>
      <c r="AH129" s="54"/>
      <c r="AI129" s="54"/>
      <c r="AJ129" s="96"/>
      <c r="AK129" s="54"/>
      <c r="AL129" s="54"/>
      <c r="AM129" s="54"/>
      <c r="AN129" s="54"/>
      <c r="AO129" s="96"/>
      <c r="AP129" s="54"/>
      <c r="AQ129" s="54"/>
      <c r="AR129" s="54"/>
      <c r="AS129" s="54"/>
      <c r="AT129" s="96"/>
      <c r="AU129" s="54"/>
      <c r="AV129" s="54"/>
      <c r="AW129" s="54"/>
      <c r="AX129" s="54"/>
      <c r="AY129" s="96"/>
      <c r="AZ129" s="54"/>
      <c r="BA129" s="54"/>
      <c r="BB129" s="54"/>
      <c r="BC129" s="54"/>
      <c r="BD129" s="96"/>
      <c r="BE129" s="54"/>
      <c r="BF129" s="54"/>
      <c r="BG129" s="54"/>
      <c r="BH129" s="54"/>
      <c r="BI129" s="96"/>
      <c r="BJ129" s="54"/>
      <c r="BK129" s="54"/>
      <c r="BL129" s="54"/>
      <c r="BM129" s="54"/>
      <c r="BN129" s="96"/>
      <c r="BO129" s="54"/>
      <c r="BP129" s="54"/>
      <c r="BQ129" s="54"/>
      <c r="BR129" s="54"/>
      <c r="BS129" s="96"/>
      <c r="BT129" s="54"/>
      <c r="BU129" s="54"/>
      <c r="BV129" s="54"/>
      <c r="BW129" s="54"/>
      <c r="BX129" s="96"/>
      <c r="BY129" s="54"/>
      <c r="BZ129" s="54"/>
      <c r="CA129" s="54"/>
      <c r="CB129" s="54"/>
      <c r="CC129" s="96"/>
      <c r="CD129" s="54"/>
      <c r="CE129" s="54"/>
      <c r="CF129" s="54"/>
      <c r="CG129" s="54"/>
      <c r="CH129" s="96"/>
      <c r="CI129" s="54"/>
      <c r="CJ129" s="54"/>
      <c r="CK129" s="54"/>
      <c r="CL129" s="54"/>
      <c r="CM129" s="96"/>
      <c r="CN129" s="54"/>
      <c r="CO129" s="54"/>
      <c r="CP129" s="54"/>
      <c r="CQ129" s="54"/>
      <c r="CR129" s="96"/>
      <c r="CS129" s="54"/>
      <c r="CT129" s="54"/>
      <c r="CU129" s="54"/>
      <c r="CV129" s="54"/>
      <c r="CW129" s="96"/>
      <c r="CX129" s="54"/>
      <c r="CY129" s="54"/>
      <c r="CZ129" s="54"/>
      <c r="DA129" s="54"/>
      <c r="DB129" s="96"/>
      <c r="DC129" s="16"/>
      <c r="DD129" s="16"/>
      <c r="DE129" s="16"/>
      <c r="DF129" s="16"/>
      <c r="DG129" s="16"/>
      <c r="DH129" s="16"/>
      <c r="DI129" s="16"/>
      <c r="DJ129" s="16"/>
    </row>
    <row r="130" spans="1:114" s="725" customFormat="1" ht="11.25" customHeight="1">
      <c r="A130" s="16"/>
      <c r="B130" s="16" t="s">
        <v>271</v>
      </c>
      <c r="C130" s="52"/>
      <c r="D130" s="1053"/>
      <c r="E130" s="1053"/>
      <c r="F130" s="96"/>
      <c r="G130" s="1081">
        <f t="shared" ref="G130:AL130" si="232">+G153*1000000/G99</f>
        <v>4313.4947064036196</v>
      </c>
      <c r="H130" s="1081">
        <f t="shared" si="232"/>
        <v>4971.3241424502858</v>
      </c>
      <c r="I130" s="1081">
        <f t="shared" si="232"/>
        <v>4893.9603404297068</v>
      </c>
      <c r="J130" s="1081">
        <f t="shared" si="232"/>
        <v>4708.6242674566965</v>
      </c>
      <c r="K130" s="1084">
        <f t="shared" si="232"/>
        <v>4714.7320402891955</v>
      </c>
      <c r="L130" s="1081">
        <f t="shared" si="232"/>
        <v>4576.0108567691304</v>
      </c>
      <c r="M130" s="1081">
        <f t="shared" si="232"/>
        <v>4911.7318941915664</v>
      </c>
      <c r="N130" s="1081">
        <f t="shared" si="232"/>
        <v>4951.2589560270608</v>
      </c>
      <c r="O130" s="1081">
        <f t="shared" si="232"/>
        <v>4948.482264347891</v>
      </c>
      <c r="P130" s="1084">
        <f t="shared" si="232"/>
        <v>4845.3508979982571</v>
      </c>
      <c r="Q130" s="1081">
        <f t="shared" si="232"/>
        <v>4897.9507202180121</v>
      </c>
      <c r="R130" s="1081">
        <f t="shared" si="232"/>
        <v>5498.3201676469071</v>
      </c>
      <c r="S130" s="1081">
        <f t="shared" si="232"/>
        <v>5467.8932528320674</v>
      </c>
      <c r="T130" s="1081">
        <f t="shared" si="232"/>
        <v>5264.6674932371507</v>
      </c>
      <c r="U130" s="1084">
        <f t="shared" si="232"/>
        <v>5280.3607489396427</v>
      </c>
      <c r="V130" s="1081">
        <f t="shared" si="232"/>
        <v>5344.1475913152417</v>
      </c>
      <c r="W130" s="1081">
        <f t="shared" si="232"/>
        <v>5695.5064863692241</v>
      </c>
      <c r="X130" s="1081">
        <f t="shared" si="232"/>
        <v>5988.0460929372321</v>
      </c>
      <c r="Y130" s="1081">
        <f t="shared" si="232"/>
        <v>5892.847763980426</v>
      </c>
      <c r="Z130" s="1084">
        <f t="shared" si="232"/>
        <v>5726.3168851085575</v>
      </c>
      <c r="AA130" s="1081">
        <f t="shared" si="232"/>
        <v>7226.0286598492994</v>
      </c>
      <c r="AB130" s="1081">
        <f t="shared" si="232"/>
        <v>7181.1936692506451</v>
      </c>
      <c r="AC130" s="1081">
        <f t="shared" si="232"/>
        <v>7084.7357541460351</v>
      </c>
      <c r="AD130" s="1081">
        <f t="shared" si="232"/>
        <v>7479.9733260488811</v>
      </c>
      <c r="AE130" s="1084">
        <f t="shared" si="232"/>
        <v>7242.3669101705336</v>
      </c>
      <c r="AF130" s="1081">
        <f t="shared" si="232"/>
        <v>7643.0116818790684</v>
      </c>
      <c r="AG130" s="1081">
        <f t="shared" si="232"/>
        <v>7522.3690612540777</v>
      </c>
      <c r="AH130" s="1081">
        <f t="shared" si="232"/>
        <v>7629.0068728050901</v>
      </c>
      <c r="AI130" s="1081">
        <f t="shared" si="232"/>
        <v>7649.7126223652276</v>
      </c>
      <c r="AJ130" s="1084">
        <f t="shared" si="232"/>
        <v>7611.3361976100405</v>
      </c>
      <c r="AK130" s="1081">
        <f t="shared" si="232"/>
        <v>7891.9145988755545</v>
      </c>
      <c r="AL130" s="1081">
        <f t="shared" si="232"/>
        <v>8193.3392271495795</v>
      </c>
      <c r="AM130" s="1081">
        <f t="shared" ref="AM130:BR130" si="233">+AM153*1000000/AM99</f>
        <v>9424.7152008838402</v>
      </c>
      <c r="AN130" s="1081">
        <f t="shared" si="233"/>
        <v>9310.3100269836032</v>
      </c>
      <c r="AO130" s="1084">
        <f t="shared" si="233"/>
        <v>8869.9647282132046</v>
      </c>
      <c r="AP130" s="1081">
        <f t="shared" si="233"/>
        <v>9538.2648096201447</v>
      </c>
      <c r="AQ130" s="1081">
        <f t="shared" si="233"/>
        <v>9611.2922471139209</v>
      </c>
      <c r="AR130" s="1081">
        <f t="shared" si="233"/>
        <v>9758.3272372236715</v>
      </c>
      <c r="AS130" s="1081">
        <f t="shared" si="233"/>
        <v>9866.7245467907887</v>
      </c>
      <c r="AT130" s="1084">
        <f t="shared" si="233"/>
        <v>9693.8965424769176</v>
      </c>
      <c r="AU130" s="1081">
        <f t="shared" si="233"/>
        <v>10223.469808541973</v>
      </c>
      <c r="AV130" s="1081">
        <f t="shared" si="233"/>
        <v>9832.8827837094032</v>
      </c>
      <c r="AW130" s="1081">
        <f t="shared" si="233"/>
        <v>9701.0630524454918</v>
      </c>
      <c r="AX130" s="1081">
        <f t="shared" si="233"/>
        <v>10047.015729039971</v>
      </c>
      <c r="AY130" s="1084">
        <f t="shared" si="233"/>
        <v>9942.9806545624488</v>
      </c>
      <c r="AZ130" s="1081">
        <f t="shared" si="233"/>
        <v>10215.830756956901</v>
      </c>
      <c r="BA130" s="1081">
        <f t="shared" si="233"/>
        <v>10293.299970430726</v>
      </c>
      <c r="BB130" s="1081">
        <f t="shared" si="233"/>
        <v>10318.20747998703</v>
      </c>
      <c r="BC130" s="1081">
        <f t="shared" si="233"/>
        <v>10486.107783826112</v>
      </c>
      <c r="BD130" s="1084">
        <f t="shared" si="233"/>
        <v>10330.87424182012</v>
      </c>
      <c r="BE130" s="1081">
        <f t="shared" si="233"/>
        <v>10534.384136543644</v>
      </c>
      <c r="BF130" s="1081">
        <f t="shared" si="233"/>
        <v>10793.327402895437</v>
      </c>
      <c r="BG130" s="1081">
        <f t="shared" si="233"/>
        <v>10765.197111930365</v>
      </c>
      <c r="BH130" s="1081">
        <f t="shared" si="233"/>
        <v>11082.965193948659</v>
      </c>
      <c r="BI130" s="1084">
        <f t="shared" si="233"/>
        <v>10797.009814591322</v>
      </c>
      <c r="BJ130" s="1081">
        <f t="shared" si="233"/>
        <v>11098.542500579337</v>
      </c>
      <c r="BK130" s="1081">
        <f t="shared" si="233"/>
        <v>11142.232621540785</v>
      </c>
      <c r="BL130" s="1081">
        <f t="shared" si="233"/>
        <v>11055.722409675513</v>
      </c>
      <c r="BM130" s="1081">
        <f t="shared" si="233"/>
        <v>11334.684597045336</v>
      </c>
      <c r="BN130" s="1084">
        <f t="shared" si="233"/>
        <v>11157.605400851024</v>
      </c>
      <c r="BO130" s="1081">
        <f t="shared" si="233"/>
        <v>11775.775202260069</v>
      </c>
      <c r="BP130" s="1081">
        <f t="shared" si="233"/>
        <v>11412.747790750947</v>
      </c>
      <c r="BQ130" s="1081">
        <f t="shared" si="233"/>
        <v>11504.872769836793</v>
      </c>
      <c r="BR130" s="1081">
        <f t="shared" si="233"/>
        <v>12187.639960749366</v>
      </c>
      <c r="BS130" s="1084">
        <f t="shared" ref="BS130:CW130" si="234">+BS153*1000000/BS99</f>
        <v>11715.626440171751</v>
      </c>
      <c r="BT130" s="1081">
        <f t="shared" si="234"/>
        <v>11997.836366336605</v>
      </c>
      <c r="BU130" s="1081">
        <f t="shared" si="234"/>
        <v>11472.453030693983</v>
      </c>
      <c r="BV130" s="1081">
        <f t="shared" si="234"/>
        <v>11132.169568749701</v>
      </c>
      <c r="BW130" s="1081">
        <f t="shared" si="234"/>
        <v>11606.033911649351</v>
      </c>
      <c r="BX130" s="1084">
        <f t="shared" si="234"/>
        <v>11529.257553108335</v>
      </c>
      <c r="BY130" s="1081">
        <f t="shared" si="234"/>
        <v>11905.816263772987</v>
      </c>
      <c r="BZ130" s="1081">
        <f t="shared" si="234"/>
        <v>11628.53385998822</v>
      </c>
      <c r="CA130" s="1081">
        <f t="shared" si="234"/>
        <v>11530.908507724642</v>
      </c>
      <c r="CB130" s="1081">
        <f t="shared" si="234"/>
        <v>11979.564593192932</v>
      </c>
      <c r="CC130" s="1084">
        <f t="shared" si="234"/>
        <v>11757.677568803356</v>
      </c>
      <c r="CD130" s="1081">
        <f t="shared" si="234"/>
        <v>11795.137705528032</v>
      </c>
      <c r="CE130" s="1081">
        <f t="shared" si="234"/>
        <v>11742.203699428635</v>
      </c>
      <c r="CF130" s="1081">
        <f t="shared" si="234"/>
        <v>11944.446394311879</v>
      </c>
      <c r="CG130" s="1081">
        <f t="shared" si="234"/>
        <v>12242.446023444836</v>
      </c>
      <c r="CH130" s="1084">
        <f t="shared" si="234"/>
        <v>11922.613030118655</v>
      </c>
      <c r="CI130" s="1081">
        <f t="shared" si="234"/>
        <v>12075.761893642502</v>
      </c>
      <c r="CJ130" s="1081">
        <f t="shared" si="234"/>
        <v>11833.199157557237</v>
      </c>
      <c r="CK130" s="1081">
        <f t="shared" ref="CK130:CL130" si="235">+CK153*1000000/CK99</f>
        <v>12028.424844751242</v>
      </c>
      <c r="CL130" s="1081">
        <f t="shared" si="235"/>
        <v>14368.738850557495</v>
      </c>
      <c r="CM130" s="1084">
        <f t="shared" si="234"/>
        <v>12510.885516495486</v>
      </c>
      <c r="CN130" s="1081">
        <f t="shared" ca="1" si="234"/>
        <v>16666.59946851958</v>
      </c>
      <c r="CO130" s="1081">
        <f t="shared" ca="1" si="234"/>
        <v>18786.185001125959</v>
      </c>
      <c r="CP130" s="1081">
        <f t="shared" ca="1" si="234"/>
        <v>19769.817170232567</v>
      </c>
      <c r="CQ130" s="1081">
        <f t="shared" ca="1" si="234"/>
        <v>21139.263611828123</v>
      </c>
      <c r="CR130" s="1084">
        <f t="shared" ca="1" si="234"/>
        <v>18882.606474488322</v>
      </c>
      <c r="CS130" s="1081">
        <f t="shared" ca="1" si="234"/>
        <v>18360.237427821296</v>
      </c>
      <c r="CT130" s="1081">
        <f t="shared" ca="1" si="234"/>
        <v>17628.2078620377</v>
      </c>
      <c r="CU130" s="1081">
        <f t="shared" ca="1" si="234"/>
        <v>15945.717295344251</v>
      </c>
      <c r="CV130" s="1081">
        <f t="shared" ca="1" si="234"/>
        <v>18939.608416565297</v>
      </c>
      <c r="CW130" s="1084">
        <f t="shared" ca="1" si="234"/>
        <v>17697.814325056523</v>
      </c>
      <c r="CX130" s="1081">
        <f t="shared" ref="CX130:DB130" ca="1" si="236">+CX153*1000000/CX99</f>
        <v>17486.285963984312</v>
      </c>
      <c r="CY130" s="1081">
        <f t="shared" ca="1" si="236"/>
        <v>16698.851495876166</v>
      </c>
      <c r="CZ130" s="1081">
        <f t="shared" ca="1" si="236"/>
        <v>15538.629981332648</v>
      </c>
      <c r="DA130" s="1081">
        <f t="shared" ca="1" si="236"/>
        <v>17928.674698015158</v>
      </c>
      <c r="DB130" s="1084">
        <f t="shared" ca="1" si="236"/>
        <v>16908.326798265374</v>
      </c>
      <c r="DC130" s="16"/>
      <c r="DD130" s="16"/>
      <c r="DE130" s="16"/>
      <c r="DF130" s="16"/>
      <c r="DG130" s="16"/>
      <c r="DH130" s="16"/>
      <c r="DI130" s="16"/>
      <c r="DJ130" s="16"/>
    </row>
    <row r="131" spans="1:114" s="725" customFormat="1" ht="11.25" customHeight="1">
      <c r="A131" s="16"/>
      <c r="B131" s="77" t="s">
        <v>256</v>
      </c>
      <c r="C131" s="52"/>
      <c r="D131" s="1053"/>
      <c r="E131" s="1053"/>
      <c r="F131" s="96"/>
      <c r="G131" s="98"/>
      <c r="H131" s="98"/>
      <c r="I131" s="98"/>
      <c r="J131" s="98"/>
      <c r="K131" s="78" t="str">
        <f>IF(ISERROR(K130/F130-1),"NM",K130/F130-1)</f>
        <v>NM</v>
      </c>
      <c r="L131" s="98">
        <f t="shared" ref="L131:Z131" si="237">L130/G130-1</f>
        <v>6.0859272639373074E-2</v>
      </c>
      <c r="M131" s="98">
        <f t="shared" si="237"/>
        <v>-1.1987198289859946E-2</v>
      </c>
      <c r="N131" s="98">
        <f t="shared" si="237"/>
        <v>1.1708026140710981E-2</v>
      </c>
      <c r="O131" s="98">
        <f t="shared" si="237"/>
        <v>5.0940143716489583E-2</v>
      </c>
      <c r="P131" s="96">
        <f t="shared" si="237"/>
        <v>2.770440750245684E-2</v>
      </c>
      <c r="Q131" s="98">
        <f t="shared" si="237"/>
        <v>7.0353824220641403E-2</v>
      </c>
      <c r="R131" s="98">
        <f t="shared" si="237"/>
        <v>0.11942595526213839</v>
      </c>
      <c r="S131" s="98">
        <f t="shared" si="237"/>
        <v>0.10434402671993537</v>
      </c>
      <c r="T131" s="98">
        <f t="shared" si="237"/>
        <v>6.389539499156438E-2</v>
      </c>
      <c r="U131" s="96">
        <f t="shared" si="237"/>
        <v>8.9778812742148384E-2</v>
      </c>
      <c r="V131" s="98">
        <f t="shared" si="237"/>
        <v>9.1098685263490964E-2</v>
      </c>
      <c r="W131" s="98">
        <f t="shared" si="237"/>
        <v>3.586301137620107E-2</v>
      </c>
      <c r="X131" s="98">
        <f t="shared" si="237"/>
        <v>9.5128565254223751E-2</v>
      </c>
      <c r="Y131" s="98">
        <f t="shared" si="237"/>
        <v>0.11932002762761718</v>
      </c>
      <c r="Z131" s="96">
        <f t="shared" si="237"/>
        <v>8.4455619108688262E-2</v>
      </c>
      <c r="AA131" s="98">
        <f t="shared" ref="AA131:BI131" si="238">AA130/V130-1</f>
        <v>0.3521386781293796</v>
      </c>
      <c r="AB131" s="98">
        <f t="shared" si="238"/>
        <v>0.2608525135450277</v>
      </c>
      <c r="AC131" s="98">
        <f t="shared" si="238"/>
        <v>0.18314649623394264</v>
      </c>
      <c r="AD131" s="98">
        <f t="shared" si="238"/>
        <v>0.26933082706966172</v>
      </c>
      <c r="AE131" s="96">
        <f t="shared" si="238"/>
        <v>0.26475133239735738</v>
      </c>
      <c r="AF131" s="98">
        <f t="shared" si="238"/>
        <v>5.7705697231273501E-2</v>
      </c>
      <c r="AG131" s="98">
        <f t="shared" si="238"/>
        <v>4.7509565640085905E-2</v>
      </c>
      <c r="AH131" s="98">
        <f t="shared" si="238"/>
        <v>7.6823065467267915E-2</v>
      </c>
      <c r="AI131" s="98">
        <f t="shared" si="238"/>
        <v>2.2692500215907518E-2</v>
      </c>
      <c r="AJ131" s="96">
        <f t="shared" si="238"/>
        <v>5.0945953445324488E-2</v>
      </c>
      <c r="AK131" s="98">
        <f t="shared" si="238"/>
        <v>3.2566078315255487E-2</v>
      </c>
      <c r="AL131" s="98">
        <f t="shared" si="238"/>
        <v>8.9196656057665136E-2</v>
      </c>
      <c r="AM131" s="98">
        <f t="shared" si="238"/>
        <v>0.23537904186190506</v>
      </c>
      <c r="AN131" s="98">
        <f t="shared" si="238"/>
        <v>0.21707971091140577</v>
      </c>
      <c r="AO131" s="96">
        <f t="shared" si="238"/>
        <v>0.16536236186733855</v>
      </c>
      <c r="AP131" s="98">
        <f t="shared" si="238"/>
        <v>0.2086122689390435</v>
      </c>
      <c r="AQ131" s="98">
        <f t="shared" si="238"/>
        <v>0.17306167615589385</v>
      </c>
      <c r="AR131" s="98">
        <f t="shared" si="238"/>
        <v>3.5397572152476853E-2</v>
      </c>
      <c r="AS131" s="98">
        <f t="shared" si="238"/>
        <v>5.9763264401996974E-2</v>
      </c>
      <c r="AT131" s="96">
        <f t="shared" si="238"/>
        <v>9.2890089139022747E-2</v>
      </c>
      <c r="AU131" s="98">
        <f t="shared" si="238"/>
        <v>7.1837489585185432E-2</v>
      </c>
      <c r="AV131" s="98">
        <f t="shared" si="238"/>
        <v>2.3055228256327442E-2</v>
      </c>
      <c r="AW131" s="98">
        <f t="shared" si="238"/>
        <v>-5.8682378020428194E-3</v>
      </c>
      <c r="AX131" s="98">
        <f t="shared" si="238"/>
        <v>1.8272647766155004E-2</v>
      </c>
      <c r="AY131" s="96">
        <f t="shared" si="238"/>
        <v>2.5694942275697796E-2</v>
      </c>
      <c r="AZ131" s="98">
        <f t="shared" si="238"/>
        <v>-7.4720733059630007E-4</v>
      </c>
      <c r="BA131" s="98">
        <f t="shared" si="238"/>
        <v>4.6824232206257754E-2</v>
      </c>
      <c r="BB131" s="98">
        <f t="shared" si="238"/>
        <v>6.3616164971318723E-2</v>
      </c>
      <c r="BC131" s="98">
        <f t="shared" si="238"/>
        <v>4.3703729209558784E-2</v>
      </c>
      <c r="BD131" s="96">
        <f t="shared" si="238"/>
        <v>3.901180146414962E-2</v>
      </c>
      <c r="BE131" s="98">
        <f t="shared" si="238"/>
        <v>3.1182327425482326E-2</v>
      </c>
      <c r="BF131" s="98">
        <f t="shared" si="238"/>
        <v>4.8577952056301221E-2</v>
      </c>
      <c r="BG131" s="98">
        <f t="shared" si="238"/>
        <v>4.3320473329336195E-2</v>
      </c>
      <c r="BH131" s="98">
        <f t="shared" si="238"/>
        <v>5.6918870416642786E-2</v>
      </c>
      <c r="BI131" s="96">
        <f t="shared" si="238"/>
        <v>4.5120631793604815E-2</v>
      </c>
      <c r="BJ131" s="79">
        <f>+BJ130/BE130-1</f>
        <v>5.3553995821989719E-2</v>
      </c>
      <c r="BK131" s="79">
        <f>+BK130/BF130-1</f>
        <v>3.2326010841823516E-2</v>
      </c>
      <c r="BL131" s="79">
        <f>+BL130/BG130-1</f>
        <v>2.6987457333519371E-2</v>
      </c>
      <c r="BM131" s="79">
        <f>+BM130/BH130-1</f>
        <v>2.2712279493047216E-2</v>
      </c>
      <c r="BN131" s="96">
        <f>BN130/BI130-1</f>
        <v>3.3397727005155087E-2</v>
      </c>
      <c r="BO131" s="79">
        <f>+BO130/BJ130-1</f>
        <v>6.1019967409718934E-2</v>
      </c>
      <c r="BP131" s="79">
        <f>+BP130/BK130-1</f>
        <v>2.4278363089206056E-2</v>
      </c>
      <c r="BQ131" s="79">
        <f>+BQ130/BL130-1</f>
        <v>4.0626052601339113E-2</v>
      </c>
      <c r="BR131" s="79">
        <f>+BR130/BM130-1</f>
        <v>7.5251795177994962E-2</v>
      </c>
      <c r="BS131" s="96">
        <f>BS130/BN130-1</f>
        <v>5.0012616441711177E-2</v>
      </c>
      <c r="BT131" s="79">
        <f>+BT130/BO130-1</f>
        <v>1.8857456113285709E-2</v>
      </c>
      <c r="BU131" s="79">
        <f>+BU130/BP130-1</f>
        <v>5.2314517973859331E-3</v>
      </c>
      <c r="BV131" s="79">
        <f>+BV130/BQ130-1</f>
        <v>-3.2395247521922688E-2</v>
      </c>
      <c r="BW131" s="79">
        <f>+BW130/BR130-1</f>
        <v>-4.7720973951732581E-2</v>
      </c>
      <c r="BX131" s="96">
        <f>BX130/BS130-1</f>
        <v>-1.5907718466028897E-2</v>
      </c>
      <c r="BY131" s="79">
        <f>+BY130/BT130-1</f>
        <v>-7.6697247531902768E-3</v>
      </c>
      <c r="BZ131" s="79">
        <f>+BZ130/BU130-1</f>
        <v>1.3604834892472439E-2</v>
      </c>
      <c r="CA131" s="79">
        <f>+CA130/BV130-1</f>
        <v>3.5818618869612129E-2</v>
      </c>
      <c r="CB131" s="79">
        <f>+CB130/BW130-1</f>
        <v>3.2184179745387231E-2</v>
      </c>
      <c r="CC131" s="96">
        <f>CC130/BX130-1</f>
        <v>1.9812205134877692E-2</v>
      </c>
      <c r="CD131" s="79">
        <f>+CD130/BY130-1</f>
        <v>-9.2961755660322387E-3</v>
      </c>
      <c r="CE131" s="79">
        <f>+CE130/BZ130-1</f>
        <v>9.7750791982069707E-3</v>
      </c>
      <c r="CF131" s="79">
        <f>+CF130/CA130-1</f>
        <v>3.5863426226147244E-2</v>
      </c>
      <c r="CG131" s="79">
        <f>+CG130/CB130-1</f>
        <v>2.1944155666665743E-2</v>
      </c>
      <c r="CH131" s="96">
        <f>CH130/CC130-1</f>
        <v>1.4027894569325738E-2</v>
      </c>
      <c r="CI131" s="79">
        <f>+CI130/CD130-1</f>
        <v>2.3791514361290567E-2</v>
      </c>
      <c r="CJ131" s="79">
        <f>+CJ130/CE130-1</f>
        <v>7.7494361755137131E-3</v>
      </c>
      <c r="CK131" s="79">
        <f>+CK130/CF130-1</f>
        <v>7.0307528425390675E-3</v>
      </c>
      <c r="CL131" s="79">
        <f>+CL130/CG130-1</f>
        <v>0.17368202588279424</v>
      </c>
      <c r="CM131" s="96">
        <f>CM130/CH130-1</f>
        <v>4.9340902442337908E-2</v>
      </c>
      <c r="CN131" s="79">
        <f ca="1">+CN130/CI130-1</f>
        <v>0.38016960050313719</v>
      </c>
      <c r="CO131" s="79">
        <f ca="1">+CO130/CJ130-1</f>
        <v>0.58758293095474667</v>
      </c>
      <c r="CP131" s="79">
        <f ca="1">+CP130/CK130-1</f>
        <v>0.64359152801785036</v>
      </c>
      <c r="CQ131" s="79">
        <f ca="1">+CQ130/CL130-1</f>
        <v>0.47119826114787644</v>
      </c>
      <c r="CR131" s="96">
        <f ca="1">CR130/CM130-1</f>
        <v>0.50929416223909829</v>
      </c>
      <c r="CS131" s="79">
        <f ca="1">+CS130/CN130-1</f>
        <v>0.10161868727335266</v>
      </c>
      <c r="CT131" s="79">
        <f ca="1">+CT130/CO130-1</f>
        <v>-6.1639824105791385E-2</v>
      </c>
      <c r="CU131" s="79">
        <f ca="1">+CU130/CP130-1</f>
        <v>-0.19343122103558275</v>
      </c>
      <c r="CV131" s="79">
        <f ca="1">+CV130/CQ130-1</f>
        <v>-0.10405543143101947</v>
      </c>
      <c r="CW131" s="96">
        <f ca="1">CW130/CR130-1</f>
        <v>-6.2745159204187995E-2</v>
      </c>
      <c r="CX131" s="79">
        <f ca="1">+CX130/CS130-1</f>
        <v>-4.7600226700373893E-2</v>
      </c>
      <c r="CY131" s="79">
        <f ca="1">+CY130/CT130-1</f>
        <v>-5.2719843868128002E-2</v>
      </c>
      <c r="CZ131" s="79">
        <f ca="1">+CZ130/CU130-1</f>
        <v>-2.5529570509221444E-2</v>
      </c>
      <c r="DA131" s="79">
        <f ca="1">+DA130/CV130-1</f>
        <v>-5.3376695880678171E-2</v>
      </c>
      <c r="DB131" s="96">
        <f ca="1">DB130/CW130-1</f>
        <v>-4.4609323631189524E-2</v>
      </c>
      <c r="DC131" s="16"/>
      <c r="DD131" s="16"/>
      <c r="DE131" s="16"/>
      <c r="DF131" s="16"/>
      <c r="DG131" s="16"/>
      <c r="DH131" s="16"/>
      <c r="DI131" s="16"/>
      <c r="DJ131" s="16"/>
    </row>
    <row r="132" spans="1:114" s="725" customFormat="1" ht="11.25" customHeight="1">
      <c r="A132" s="16"/>
      <c r="B132" s="77"/>
      <c r="C132" s="52"/>
      <c r="D132" s="1053"/>
      <c r="E132" s="1053"/>
      <c r="F132" s="96"/>
      <c r="G132" s="54"/>
      <c r="H132" s="54"/>
      <c r="I132" s="54"/>
      <c r="J132" s="54"/>
      <c r="K132" s="96"/>
      <c r="L132" s="54"/>
      <c r="M132" s="54"/>
      <c r="N132" s="54"/>
      <c r="O132" s="54"/>
      <c r="P132" s="96"/>
      <c r="Q132" s="54"/>
      <c r="R132" s="54"/>
      <c r="S132" s="54"/>
      <c r="T132" s="54"/>
      <c r="U132" s="96"/>
      <c r="V132" s="54"/>
      <c r="W132" s="54"/>
      <c r="X132" s="54"/>
      <c r="Y132" s="54"/>
      <c r="Z132" s="96"/>
      <c r="AA132" s="54"/>
      <c r="AB132" s="54"/>
      <c r="AC132" s="54"/>
      <c r="AD132" s="54"/>
      <c r="AE132" s="96"/>
      <c r="AF132" s="54"/>
      <c r="AG132" s="54"/>
      <c r="AH132" s="54"/>
      <c r="AI132" s="54"/>
      <c r="AJ132" s="96"/>
      <c r="AK132" s="54"/>
      <c r="AL132" s="54"/>
      <c r="AM132" s="54"/>
      <c r="AN132" s="54"/>
      <c r="AO132" s="96"/>
      <c r="AP132" s="54"/>
      <c r="AQ132" s="54"/>
      <c r="AR132" s="54"/>
      <c r="AS132" s="54"/>
      <c r="AT132" s="96"/>
      <c r="AU132" s="54"/>
      <c r="AV132" s="54"/>
      <c r="AW132" s="54"/>
      <c r="AX132" s="54"/>
      <c r="AY132" s="96"/>
      <c r="AZ132" s="54"/>
      <c r="BA132" s="54"/>
      <c r="BB132" s="54"/>
      <c r="BC132" s="54"/>
      <c r="BD132" s="96"/>
      <c r="BE132" s="54"/>
      <c r="BF132" s="54"/>
      <c r="BG132" s="54"/>
      <c r="BH132" s="54"/>
      <c r="BI132" s="96"/>
      <c r="BJ132" s="54"/>
      <c r="BK132" s="54"/>
      <c r="BL132" s="54"/>
      <c r="BM132" s="54"/>
      <c r="BN132" s="96"/>
      <c r="BO132" s="54"/>
      <c r="BP132" s="54"/>
      <c r="BQ132" s="54"/>
      <c r="BR132" s="54"/>
      <c r="BS132" s="96"/>
      <c r="BT132" s="54"/>
      <c r="BU132" s="54"/>
      <c r="BV132" s="54"/>
      <c r="BW132" s="54"/>
      <c r="BX132" s="96"/>
      <c r="BY132" s="54"/>
      <c r="BZ132" s="54"/>
      <c r="CA132" s="54"/>
      <c r="CB132" s="54"/>
      <c r="CC132" s="96"/>
      <c r="CD132" s="54"/>
      <c r="CE132" s="54"/>
      <c r="CF132" s="54"/>
      <c r="CG132" s="54"/>
      <c r="CH132" s="96"/>
      <c r="CI132" s="54"/>
      <c r="CJ132" s="54"/>
      <c r="CK132" s="54"/>
      <c r="CL132" s="54"/>
      <c r="CM132" s="96"/>
      <c r="CN132" s="54"/>
      <c r="CO132" s="54"/>
      <c r="CP132" s="54"/>
      <c r="CQ132" s="54"/>
      <c r="CR132" s="96"/>
      <c r="CS132" s="54"/>
      <c r="CT132" s="54"/>
      <c r="CU132" s="54"/>
      <c r="CV132" s="54"/>
      <c r="CW132" s="96"/>
      <c r="CX132" s="54"/>
      <c r="CY132" s="54"/>
      <c r="CZ132" s="54"/>
      <c r="DA132" s="54"/>
      <c r="DB132" s="96"/>
      <c r="DC132" s="16"/>
      <c r="DD132" s="16"/>
      <c r="DE132" s="16"/>
      <c r="DF132" s="16"/>
      <c r="DG132" s="16"/>
      <c r="DH132" s="16"/>
      <c r="DI132" s="16"/>
      <c r="DJ132" s="16"/>
    </row>
    <row r="133" spans="1:114" s="725" customFormat="1" ht="11.25" customHeight="1">
      <c r="A133" s="16"/>
      <c r="B133" s="16" t="s">
        <v>272</v>
      </c>
      <c r="C133" s="1082"/>
      <c r="D133" s="1083">
        <f t="shared" ref="D133:J133" si="239">(+D8*1000000)/D102</f>
        <v>4827.6154171961034</v>
      </c>
      <c r="E133" s="1083">
        <f t="shared" si="239"/>
        <v>4976.6043335207323</v>
      </c>
      <c r="F133" s="1084">
        <f t="shared" si="239"/>
        <v>5096.8146361353411</v>
      </c>
      <c r="G133" s="1081">
        <f t="shared" si="239"/>
        <v>5235.8905656907946</v>
      </c>
      <c r="H133" s="1081">
        <f t="shared" si="239"/>
        <v>5451.1326244799175</v>
      </c>
      <c r="I133" s="1081">
        <f t="shared" si="239"/>
        <v>5416.6699174305959</v>
      </c>
      <c r="J133" s="1081">
        <f t="shared" si="239"/>
        <v>5647.5026906837293</v>
      </c>
      <c r="K133" s="1084">
        <f>+K8*1000000/K102</f>
        <v>5443.3066892932102</v>
      </c>
      <c r="L133" s="1081">
        <f>(+L8*1000000)/L102</f>
        <v>5541.2698247837061</v>
      </c>
      <c r="M133" s="1081">
        <f>(+M8*1000000)/M102</f>
        <v>5592.667938569215</v>
      </c>
      <c r="N133" s="1081">
        <f>(+N8*1000000)/N102</f>
        <v>5649.9979560134088</v>
      </c>
      <c r="O133" s="1081">
        <f>(+O8*1000000)/O102</f>
        <v>5936.1392585357917</v>
      </c>
      <c r="P133" s="1084">
        <f>+(P8*1000000)/P102</f>
        <v>5681.5451907088191</v>
      </c>
      <c r="Q133" s="1081">
        <f>(+Q8*1000000)/Q102</f>
        <v>5953.9149282037388</v>
      </c>
      <c r="R133" s="1081">
        <f>+(R8*1000000)/R102</f>
        <v>6137.4187644729964</v>
      </c>
      <c r="S133" s="1081">
        <f>+(S8*1000000)/S102</f>
        <v>6043.3132731527921</v>
      </c>
      <c r="T133" s="1081">
        <f>+(T8*1000000)/T102</f>
        <v>6196.0362550949631</v>
      </c>
      <c r="U133" s="1084">
        <f>+(U8*1000000)/U102</f>
        <v>6085.7702902020064</v>
      </c>
      <c r="V133" s="1081">
        <f t="shared" ref="V133:BA133" si="240">(+V8*1000000)/V102</f>
        <v>6279.0214702379135</v>
      </c>
      <c r="W133" s="1081">
        <f t="shared" si="240"/>
        <v>6343.6557127821306</v>
      </c>
      <c r="X133" s="1081">
        <f t="shared" si="240"/>
        <v>6428.2374087021426</v>
      </c>
      <c r="Y133" s="1081">
        <f t="shared" si="240"/>
        <v>6627.1297260721803</v>
      </c>
      <c r="Z133" s="1084">
        <f t="shared" si="240"/>
        <v>6383.525932395909</v>
      </c>
      <c r="AA133" s="1081">
        <f t="shared" si="240"/>
        <v>6754.1099888429962</v>
      </c>
      <c r="AB133" s="1081">
        <f t="shared" si="240"/>
        <v>6919.9331143984818</v>
      </c>
      <c r="AC133" s="1081">
        <f t="shared" si="240"/>
        <v>6885.9224020392439</v>
      </c>
      <c r="AD133" s="1081">
        <f t="shared" si="240"/>
        <v>7210.7639781196076</v>
      </c>
      <c r="AE133" s="1084">
        <f t="shared" si="240"/>
        <v>6943.2565850474366</v>
      </c>
      <c r="AF133" s="1081">
        <f t="shared" si="240"/>
        <v>7170.331358962896</v>
      </c>
      <c r="AG133" s="1081">
        <f t="shared" si="240"/>
        <v>7207.1211699258956</v>
      </c>
      <c r="AH133" s="1081">
        <f t="shared" si="240"/>
        <v>7187.1173689698626</v>
      </c>
      <c r="AI133" s="1081">
        <f t="shared" si="240"/>
        <v>7263.4198208173948</v>
      </c>
      <c r="AJ133" s="1084">
        <f t="shared" si="240"/>
        <v>7208.0362715345727</v>
      </c>
      <c r="AK133" s="1081">
        <f t="shared" si="240"/>
        <v>7385.7596800314077</v>
      </c>
      <c r="AL133" s="1081">
        <f t="shared" si="240"/>
        <v>7622.118353449433</v>
      </c>
      <c r="AM133" s="1081">
        <f t="shared" si="240"/>
        <v>8938.6742977015692</v>
      </c>
      <c r="AN133" s="1081">
        <f t="shared" si="240"/>
        <v>8623.6791661266234</v>
      </c>
      <c r="AO133" s="1084">
        <f t="shared" si="240"/>
        <v>8069.8965150245695</v>
      </c>
      <c r="AP133" s="1081">
        <f t="shared" si="240"/>
        <v>8791.4430573954633</v>
      </c>
      <c r="AQ133" s="1081">
        <f t="shared" si="240"/>
        <v>8991.2346656775171</v>
      </c>
      <c r="AR133" s="1081">
        <f t="shared" si="240"/>
        <v>9191.3034542881105</v>
      </c>
      <c r="AS133" s="1081">
        <f t="shared" si="240"/>
        <v>9319.1621474779713</v>
      </c>
      <c r="AT133" s="1084">
        <f t="shared" si="240"/>
        <v>8977.2324866874806</v>
      </c>
      <c r="AU133" s="1081">
        <f t="shared" si="240"/>
        <v>9431.1119516378312</v>
      </c>
      <c r="AV133" s="1081">
        <f t="shared" si="240"/>
        <v>9387.4318181111012</v>
      </c>
      <c r="AW133" s="1081">
        <f t="shared" si="240"/>
        <v>9415.5235681146423</v>
      </c>
      <c r="AX133" s="1081">
        <f t="shared" si="240"/>
        <v>9745.8689997635374</v>
      </c>
      <c r="AY133" s="1084" t="e">
        <f t="shared" si="240"/>
        <v>#REF!</v>
      </c>
      <c r="AZ133" s="1081">
        <f t="shared" si="240"/>
        <v>9753.3280257725273</v>
      </c>
      <c r="BA133" s="1081">
        <f t="shared" si="240"/>
        <v>9809.3031456969002</v>
      </c>
      <c r="BB133" s="1081">
        <f t="shared" ref="BB133:CG133" si="241">(+BB8*1000000)/BB102</f>
        <v>9943.662703945598</v>
      </c>
      <c r="BC133" s="1081">
        <f t="shared" si="241"/>
        <v>10204.035793754087</v>
      </c>
      <c r="BD133" s="1084">
        <f t="shared" si="241"/>
        <v>9929.6783186412486</v>
      </c>
      <c r="BE133" s="1081">
        <f t="shared" si="241"/>
        <v>10100.28681340519</v>
      </c>
      <c r="BF133" s="1081">
        <f t="shared" si="241"/>
        <v>10337.253898488771</v>
      </c>
      <c r="BG133" s="1081">
        <f t="shared" si="241"/>
        <v>10267.627687931055</v>
      </c>
      <c r="BH133" s="1081">
        <f t="shared" si="241"/>
        <v>10377.770408778488</v>
      </c>
      <c r="BI133" s="1084">
        <f t="shared" si="241"/>
        <v>10201.541217806134</v>
      </c>
      <c r="BJ133" s="1081">
        <f t="shared" si="241"/>
        <v>10544.405891615457</v>
      </c>
      <c r="BK133" s="1081">
        <f t="shared" si="241"/>
        <v>10674.131436939786</v>
      </c>
      <c r="BL133" s="1081">
        <f t="shared" si="241"/>
        <v>10393.455205920061</v>
      </c>
      <c r="BM133" s="1081">
        <f t="shared" si="241"/>
        <v>10616.668519949839</v>
      </c>
      <c r="BN133" s="1084">
        <f t="shared" si="241"/>
        <v>10556.632032319061</v>
      </c>
      <c r="BO133" s="1081">
        <f t="shared" si="241"/>
        <v>10952.667288331215</v>
      </c>
      <c r="BP133" s="1081">
        <f t="shared" si="241"/>
        <v>10921.107992449673</v>
      </c>
      <c r="BQ133" s="1081">
        <f t="shared" si="241"/>
        <v>11024.861885377331</v>
      </c>
      <c r="BR133" s="1081">
        <f t="shared" si="241"/>
        <v>11367.637073438582</v>
      </c>
      <c r="BS133" s="1084">
        <f t="shared" si="241"/>
        <v>11063.128535932088</v>
      </c>
      <c r="BT133" s="1081">
        <f t="shared" si="241"/>
        <v>11141.661030502562</v>
      </c>
      <c r="BU133" s="1081">
        <f t="shared" si="241"/>
        <v>10734.314140330693</v>
      </c>
      <c r="BV133" s="1081">
        <f t="shared" si="241"/>
        <v>10782.77100365148</v>
      </c>
      <c r="BW133" s="1081">
        <f t="shared" si="241"/>
        <v>10982.518436859842</v>
      </c>
      <c r="BX133" s="1084">
        <f t="shared" si="241"/>
        <v>10901.391760233444</v>
      </c>
      <c r="BY133" s="1081">
        <f t="shared" si="241"/>
        <v>11038.520591656905</v>
      </c>
      <c r="BZ133" s="1081">
        <f t="shared" si="241"/>
        <v>10970.936243888586</v>
      </c>
      <c r="CA133" s="1081">
        <f t="shared" si="241"/>
        <v>10882.04612457574</v>
      </c>
      <c r="CB133" s="1081">
        <f t="shared" si="241"/>
        <v>11417.630596246909</v>
      </c>
      <c r="CC133" s="1084">
        <f t="shared" si="241"/>
        <v>11075.994330435124</v>
      </c>
      <c r="CD133" s="1081">
        <f t="shared" si="241"/>
        <v>11204.820505481321</v>
      </c>
      <c r="CE133" s="1081">
        <f t="shared" si="241"/>
        <v>11219.540668503083</v>
      </c>
      <c r="CF133" s="1081">
        <f t="shared" si="241"/>
        <v>11382.510974182611</v>
      </c>
      <c r="CG133" s="1081">
        <f t="shared" si="241"/>
        <v>11671.071277484158</v>
      </c>
      <c r="CH133" s="1084">
        <f t="shared" ref="CH133:CW133" si="242">(+CH8*1000000)/CH102</f>
        <v>11360.842330254218</v>
      </c>
      <c r="CI133" s="1081">
        <f t="shared" si="242"/>
        <v>11350.641477155854</v>
      </c>
      <c r="CJ133" s="1081">
        <f t="shared" si="242"/>
        <v>11355.19386394806</v>
      </c>
      <c r="CK133" s="1081">
        <f t="shared" ref="CK133:CL133" si="243">(+CK8*1000000)/CK102</f>
        <v>11464.867621816027</v>
      </c>
      <c r="CL133" s="1081">
        <f t="shared" si="243"/>
        <v>13646.354948444823</v>
      </c>
      <c r="CM133" s="1084">
        <f t="shared" si="242"/>
        <v>11889.835998150062</v>
      </c>
      <c r="CN133" s="1081">
        <f t="shared" ca="1" si="242"/>
        <v>13583.36793079862</v>
      </c>
      <c r="CO133" s="1081">
        <f t="shared" ca="1" si="242"/>
        <v>14372.007546546078</v>
      </c>
      <c r="CP133" s="1081">
        <f t="shared" ca="1" si="242"/>
        <v>14575.707595084796</v>
      </c>
      <c r="CQ133" s="1081">
        <f t="shared" ca="1" si="242"/>
        <v>16433.18470401569</v>
      </c>
      <c r="CR133" s="1084">
        <f t="shared" ca="1" si="242"/>
        <v>14666.774338017178</v>
      </c>
      <c r="CS133" s="1081">
        <f t="shared" ca="1" si="242"/>
        <v>14459.367201636489</v>
      </c>
      <c r="CT133" s="1081">
        <f t="shared" ca="1" si="242"/>
        <v>14091.569813029957</v>
      </c>
      <c r="CU133" s="1081">
        <f t="shared" ca="1" si="242"/>
        <v>13280.886984212291</v>
      </c>
      <c r="CV133" s="1081">
        <f t="shared" ca="1" si="242"/>
        <v>15602.430373688223</v>
      </c>
      <c r="CW133" s="1084">
        <f t="shared" ca="1" si="242"/>
        <v>14347.216998261762</v>
      </c>
      <c r="CX133" s="1081">
        <f t="shared" ref="CX133:DB133" ca="1" si="244">(+CX8*1000000)/CX102</f>
        <v>14176.808788158507</v>
      </c>
      <c r="CY133" s="1081">
        <f t="shared" ca="1" si="244"/>
        <v>13779.737584803383</v>
      </c>
      <c r="CZ133" s="1081">
        <f t="shared" ca="1" si="244"/>
        <v>13153.690830128304</v>
      </c>
      <c r="DA133" s="1081">
        <f t="shared" ca="1" si="244"/>
        <v>15250.294802182771</v>
      </c>
      <c r="DB133" s="1084">
        <f t="shared" ca="1" si="244"/>
        <v>14084.431340971259</v>
      </c>
      <c r="DC133" s="16"/>
      <c r="DD133" s="16"/>
      <c r="DE133" s="16"/>
      <c r="DF133" s="16"/>
      <c r="DG133" s="16"/>
      <c r="DH133" s="16"/>
      <c r="DI133" s="16"/>
      <c r="DJ133" s="16"/>
    </row>
    <row r="134" spans="1:114" s="725" customFormat="1" ht="11.25" customHeight="1">
      <c r="A134" s="16"/>
      <c r="B134" s="77" t="s">
        <v>256</v>
      </c>
      <c r="C134" s="52"/>
      <c r="D134" s="1053" t="s">
        <v>257</v>
      </c>
      <c r="E134" s="1053">
        <v>-1E-3</v>
      </c>
      <c r="F134" s="96">
        <v>2.8000000000000001E-2</v>
      </c>
      <c r="G134" s="98">
        <v>4.9000000000000002E-2</v>
      </c>
      <c r="H134" s="98">
        <v>8.3000000000000004E-2</v>
      </c>
      <c r="I134" s="98">
        <v>6.0999999999999999E-2</v>
      </c>
      <c r="J134" s="98">
        <v>3.6999999999999998E-2</v>
      </c>
      <c r="K134" s="96">
        <v>5.6000000000000001E-2</v>
      </c>
      <c r="L134" s="98">
        <v>4.8000000000000001E-2</v>
      </c>
      <c r="M134" s="98">
        <v>1.5318655623898225E-2</v>
      </c>
      <c r="N134" s="98">
        <v>4.3668569990560346E-2</v>
      </c>
      <c r="O134" s="98">
        <v>6.0940074779383568E-2</v>
      </c>
      <c r="P134" s="96">
        <v>4.2999999999999997E-2</v>
      </c>
      <c r="Q134" s="98">
        <v>9.2999999999999999E-2</v>
      </c>
      <c r="R134" s="98">
        <v>0.10684341343769366</v>
      </c>
      <c r="S134" s="98">
        <v>9.1999999999999998E-2</v>
      </c>
      <c r="T134" s="98">
        <v>6.8063780448265776E-2</v>
      </c>
      <c r="U134" s="96">
        <v>8.9655846959206364E-2</v>
      </c>
      <c r="V134" s="98">
        <f>V133/Q133-1</f>
        <v>5.4603827222008627E-2</v>
      </c>
      <c r="W134" s="98">
        <f>W133/R133-1</f>
        <v>3.3603206205018221E-2</v>
      </c>
      <c r="X134" s="98">
        <f>X133/S133-1</f>
        <v>6.3694221720949518E-2</v>
      </c>
      <c r="Y134" s="98">
        <f>Y133/T133-1</f>
        <v>6.9575685684978295E-2</v>
      </c>
      <c r="Z134" s="96">
        <f>Z133/U133-1</f>
        <v>4.8926533207026335E-2</v>
      </c>
      <c r="AA134" s="98">
        <f t="shared" ref="AA134:BI134" si="245">AA133/V133-1</f>
        <v>7.5662827537215316E-2</v>
      </c>
      <c r="AB134" s="98">
        <f t="shared" si="245"/>
        <v>9.0843108092260261E-2</v>
      </c>
      <c r="AC134" s="98">
        <f t="shared" si="245"/>
        <v>7.1199142819074579E-2</v>
      </c>
      <c r="AD134" s="98">
        <f t="shared" si="245"/>
        <v>8.8067425291422641E-2</v>
      </c>
      <c r="AE134" s="96">
        <f t="shared" si="245"/>
        <v>8.7683618517305106E-2</v>
      </c>
      <c r="AF134" s="98">
        <f t="shared" si="245"/>
        <v>6.1624902586343566E-2</v>
      </c>
      <c r="AG134" s="98">
        <f t="shared" si="245"/>
        <v>4.150156522898385E-2</v>
      </c>
      <c r="AH134" s="98">
        <f t="shared" si="245"/>
        <v>4.3740685611185715E-2</v>
      </c>
      <c r="AI134" s="98">
        <f t="shared" si="245"/>
        <v>7.3023944283250319E-3</v>
      </c>
      <c r="AJ134" s="96">
        <f t="shared" si="245"/>
        <v>3.8134797878181415E-2</v>
      </c>
      <c r="AK134" s="98">
        <f t="shared" si="245"/>
        <v>3.0044402452785723E-2</v>
      </c>
      <c r="AL134" s="98">
        <f t="shared" si="245"/>
        <v>5.7581546603552525E-2</v>
      </c>
      <c r="AM134" s="98">
        <f t="shared" si="245"/>
        <v>0.24370785097986492</v>
      </c>
      <c r="AN134" s="98">
        <f t="shared" si="245"/>
        <v>0.1872753301978558</v>
      </c>
      <c r="AO134" s="96">
        <f t="shared" si="245"/>
        <v>0.11956935440150174</v>
      </c>
      <c r="AP134" s="98">
        <f t="shared" si="245"/>
        <v>0.19032346546077683</v>
      </c>
      <c r="AQ134" s="98">
        <f t="shared" si="245"/>
        <v>0.17962412137151906</v>
      </c>
      <c r="AR134" s="98">
        <f t="shared" si="245"/>
        <v>2.8262485931666692E-2</v>
      </c>
      <c r="AS134" s="98">
        <f t="shared" si="245"/>
        <v>8.0648058439276138E-2</v>
      </c>
      <c r="AT134" s="96">
        <f t="shared" si="245"/>
        <v>0.11243464770256084</v>
      </c>
      <c r="AU134" s="98">
        <f t="shared" si="245"/>
        <v>7.2760397817087652E-2</v>
      </c>
      <c r="AV134" s="98">
        <f t="shared" si="245"/>
        <v>4.4064821703074575E-2</v>
      </c>
      <c r="AW134" s="98">
        <f t="shared" si="245"/>
        <v>2.4394811349844447E-2</v>
      </c>
      <c r="AX134" s="98">
        <f t="shared" si="245"/>
        <v>4.5788113301692634E-2</v>
      </c>
      <c r="AY134" s="96" t="e">
        <f t="shared" si="245"/>
        <v>#REF!</v>
      </c>
      <c r="AZ134" s="98">
        <f t="shared" si="245"/>
        <v>3.4165226304915031E-2</v>
      </c>
      <c r="BA134" s="98">
        <f t="shared" si="245"/>
        <v>4.4940015092507668E-2</v>
      </c>
      <c r="BB134" s="98">
        <f t="shared" si="245"/>
        <v>5.6092381056692453E-2</v>
      </c>
      <c r="BC134" s="98">
        <f t="shared" si="245"/>
        <v>4.7011384413402801E-2</v>
      </c>
      <c r="BD134" s="96" t="e">
        <f t="shared" si="245"/>
        <v>#REF!</v>
      </c>
      <c r="BE134" s="98">
        <f t="shared" si="245"/>
        <v>3.5573374207844344E-2</v>
      </c>
      <c r="BF134" s="98">
        <f t="shared" si="245"/>
        <v>5.3821433077381187E-2</v>
      </c>
      <c r="BG134" s="98">
        <f t="shared" si="245"/>
        <v>3.2580045565796301E-2</v>
      </c>
      <c r="BH134" s="98">
        <f t="shared" si="245"/>
        <v>1.702606875710333E-2</v>
      </c>
      <c r="BI134" s="96">
        <f t="shared" si="245"/>
        <v>2.737882239896039E-2</v>
      </c>
      <c r="BJ134" s="79">
        <f>+BJ133/BE133-1</f>
        <v>4.3970937302575397E-2</v>
      </c>
      <c r="BK134" s="79">
        <f>+BK133/BF133-1</f>
        <v>3.2588687649460102E-2</v>
      </c>
      <c r="BL134" s="79">
        <f>+BL133/BG133-1</f>
        <v>1.2254779956319295E-2</v>
      </c>
      <c r="BM134" s="79">
        <f>+BM133/BH133-1</f>
        <v>2.3020176951425775E-2</v>
      </c>
      <c r="BN134" s="96">
        <f>BN133/BI133-1</f>
        <v>3.4807565536581819E-2</v>
      </c>
      <c r="BO134" s="98">
        <f t="shared" ref="BO134:BY134" si="246">BO133/BJ133-1</f>
        <v>3.8718292989877501E-2</v>
      </c>
      <c r="BP134" s="98">
        <f>+BP133/BK133-1</f>
        <v>2.3137859690876672E-2</v>
      </c>
      <c r="BQ134" s="79">
        <f>+BQ133/BL133-1</f>
        <v>6.0750411383658331E-2</v>
      </c>
      <c r="BR134" s="79">
        <f>+BR133/BM133-1</f>
        <v>7.0734859252466364E-2</v>
      </c>
      <c r="BS134" s="96">
        <f t="shared" si="246"/>
        <v>4.7978986296234538E-2</v>
      </c>
      <c r="BT134" s="98">
        <f t="shared" si="246"/>
        <v>1.7255499249273942E-2</v>
      </c>
      <c r="BU134" s="98">
        <f t="shared" si="246"/>
        <v>-1.7103928671717283E-2</v>
      </c>
      <c r="BV134" s="98">
        <f t="shared" si="246"/>
        <v>-2.1958631703762665E-2</v>
      </c>
      <c r="BW134" s="98">
        <f t="shared" si="246"/>
        <v>-3.3878512666330685E-2</v>
      </c>
      <c r="BX134" s="96">
        <f t="shared" si="246"/>
        <v>-1.4619442879411304E-2</v>
      </c>
      <c r="BY134" s="98">
        <f t="shared" si="246"/>
        <v>-9.2571869278099683E-3</v>
      </c>
      <c r="BZ134" s="98">
        <f t="shared" ref="BZ134:CH134" si="247">BZ133/BU133-1</f>
        <v>2.2043523271679133E-2</v>
      </c>
      <c r="CA134" s="98">
        <f t="shared" si="247"/>
        <v>9.2068282717532313E-3</v>
      </c>
      <c r="CB134" s="98">
        <f t="shared" si="247"/>
        <v>3.961861406275724E-2</v>
      </c>
      <c r="CC134" s="96">
        <f t="shared" si="247"/>
        <v>1.6016539359552384E-2</v>
      </c>
      <c r="CD134" s="98">
        <f t="shared" si="247"/>
        <v>1.5065416823166311E-2</v>
      </c>
      <c r="CE134" s="98">
        <f t="shared" si="247"/>
        <v>2.2660274300015493E-2</v>
      </c>
      <c r="CF134" s="98">
        <f t="shared" si="247"/>
        <v>4.5989958494720318E-2</v>
      </c>
      <c r="CG134" s="98">
        <f t="shared" si="247"/>
        <v>2.2197309599467863E-2</v>
      </c>
      <c r="CH134" s="96">
        <f t="shared" si="247"/>
        <v>2.571760072469309E-2</v>
      </c>
      <c r="CI134" s="98">
        <f t="shared" ref="CI134:CR134" si="248">CI133/CD133-1</f>
        <v>1.3014128303367123E-2</v>
      </c>
      <c r="CJ134" s="98">
        <f t="shared" si="248"/>
        <v>1.2090797605092574E-2</v>
      </c>
      <c r="CK134" s="98">
        <f t="shared" si="248"/>
        <v>7.235367294634143E-3</v>
      </c>
      <c r="CL134" s="98">
        <f t="shared" si="248"/>
        <v>0.1692461320814127</v>
      </c>
      <c r="CM134" s="96">
        <f t="shared" si="248"/>
        <v>4.6562891422858632E-2</v>
      </c>
      <c r="CN134" s="98">
        <f t="shared" ca="1" si="248"/>
        <v>0.19670486977641932</v>
      </c>
      <c r="CO134" s="98">
        <f t="shared" ca="1" si="248"/>
        <v>0.26567698612140722</v>
      </c>
      <c r="CP134" s="98">
        <f t="shared" ca="1" si="248"/>
        <v>0.27133675467384188</v>
      </c>
      <c r="CQ134" s="98">
        <f t="shared" ca="1" si="248"/>
        <v>0.20421788573574085</v>
      </c>
      <c r="CR134" s="96">
        <f t="shared" ca="1" si="248"/>
        <v>0.23355564705006704</v>
      </c>
      <c r="CS134" s="98">
        <f t="shared" ref="CS134" ca="1" si="249">CS133/CN133-1</f>
        <v>6.4490579604462361E-2</v>
      </c>
      <c r="CT134" s="98">
        <f t="shared" ref="CT134" ca="1" si="250">CT133/CO133-1</f>
        <v>-1.9512773884085233E-2</v>
      </c>
      <c r="CU134" s="98">
        <f t="shared" ref="CU134" ca="1" si="251">CU133/CP133-1</f>
        <v>-8.8834151098718728E-2</v>
      </c>
      <c r="CV134" s="98">
        <f t="shared" ref="CV134" ca="1" si="252">CV133/CQ133-1</f>
        <v>-5.055345907019837E-2</v>
      </c>
      <c r="CW134" s="96">
        <f t="shared" ref="CW134" ca="1" si="253">CW133/CR133-1</f>
        <v>-2.1787840488354915E-2</v>
      </c>
      <c r="CX134" s="98">
        <f t="shared" ref="CX134" ca="1" si="254">CX133/CS133-1</f>
        <v>-1.9541547672017212E-2</v>
      </c>
      <c r="CY134" s="98">
        <f t="shared" ref="CY134" ca="1" si="255">CY133/CT133-1</f>
        <v>-2.2128991472492587E-2</v>
      </c>
      <c r="CZ134" s="98">
        <f t="shared" ref="CZ134" ca="1" si="256">CZ133/CU133-1</f>
        <v>-9.577383968043085E-3</v>
      </c>
      <c r="DA134" s="98">
        <f t="shared" ref="DA134" ca="1" si="257">DA133/CV133-1</f>
        <v>-2.2569276905685776E-2</v>
      </c>
      <c r="DB134" s="96">
        <f t="shared" ref="DB134" ca="1" si="258">DB133/CW133-1</f>
        <v>-1.8316141543153641E-2</v>
      </c>
      <c r="DC134" s="16"/>
      <c r="DD134" s="16"/>
      <c r="DE134" s="16"/>
      <c r="DF134" s="16"/>
      <c r="DG134" s="16"/>
      <c r="DH134" s="16"/>
      <c r="DI134" s="16"/>
      <c r="DJ134" s="16"/>
    </row>
    <row r="135" spans="1:114" s="725" customFormat="1" ht="11.25" customHeight="1">
      <c r="A135" s="16"/>
      <c r="B135" s="77"/>
      <c r="C135" s="52"/>
      <c r="D135" s="1053"/>
      <c r="E135" s="1053"/>
      <c r="F135" s="78"/>
      <c r="G135" s="52"/>
      <c r="H135" s="52"/>
      <c r="I135" s="52"/>
      <c r="J135" s="52"/>
      <c r="K135" s="78"/>
      <c r="L135" s="52"/>
      <c r="M135" s="52"/>
      <c r="N135" s="52"/>
      <c r="O135" s="52"/>
      <c r="P135" s="78"/>
      <c r="Q135" s="52"/>
      <c r="R135" s="52"/>
      <c r="S135" s="52"/>
      <c r="T135" s="52"/>
      <c r="U135" s="78"/>
      <c r="V135" s="52"/>
      <c r="W135" s="52"/>
      <c r="X135" s="52"/>
      <c r="Y135" s="52"/>
      <c r="Z135" s="78"/>
      <c r="AA135" s="52"/>
      <c r="AB135" s="52"/>
      <c r="AC135" s="52"/>
      <c r="AD135" s="52"/>
      <c r="AE135" s="78"/>
      <c r="AF135" s="52"/>
      <c r="AG135" s="52"/>
      <c r="AH135" s="52"/>
      <c r="AI135" s="52"/>
      <c r="AJ135" s="78"/>
      <c r="AK135" s="52"/>
      <c r="AL135" s="52"/>
      <c r="AM135" s="52"/>
      <c r="AN135" s="52"/>
      <c r="AO135" s="78"/>
      <c r="AP135" s="52"/>
      <c r="AQ135" s="52"/>
      <c r="AR135" s="52"/>
      <c r="AS135" s="16"/>
      <c r="AT135" s="78"/>
      <c r="AU135" s="16"/>
      <c r="AV135" s="16"/>
      <c r="AW135" s="16"/>
      <c r="AX135" s="16"/>
      <c r="AY135" s="78"/>
      <c r="AZ135" s="16"/>
      <c r="BA135" s="16"/>
      <c r="BB135" s="16"/>
      <c r="BC135" s="16"/>
      <c r="BD135" s="78"/>
      <c r="BE135" s="16"/>
      <c r="BF135" s="16"/>
      <c r="BG135" s="16"/>
      <c r="BH135" s="16"/>
      <c r="BI135" s="78"/>
      <c r="BJ135" s="16"/>
      <c r="BK135" s="16"/>
      <c r="BL135" s="16"/>
      <c r="BM135" s="16"/>
      <c r="BN135" s="78"/>
      <c r="BO135" s="16"/>
      <c r="BP135" s="16"/>
      <c r="BQ135" s="16"/>
      <c r="BR135" s="16"/>
      <c r="BS135" s="78"/>
      <c r="BT135" s="16"/>
      <c r="BU135" s="16"/>
      <c r="BV135" s="16"/>
      <c r="BW135" s="16"/>
      <c r="BX135" s="78"/>
      <c r="BY135" s="16"/>
      <c r="BZ135" s="16"/>
      <c r="CA135" s="16"/>
      <c r="CB135" s="16"/>
      <c r="CC135" s="78"/>
      <c r="CD135" s="16"/>
      <c r="CE135" s="16"/>
      <c r="CF135" s="16"/>
      <c r="CG135" s="16"/>
      <c r="CH135" s="78"/>
      <c r="CI135" s="16"/>
      <c r="CJ135" s="16"/>
      <c r="CK135" s="16"/>
      <c r="CL135" s="16"/>
      <c r="CM135" s="78"/>
      <c r="CN135" s="16"/>
      <c r="CO135" s="16"/>
      <c r="CP135" s="16"/>
      <c r="CQ135" s="16"/>
      <c r="CR135" s="78"/>
      <c r="CS135" s="16"/>
      <c r="CT135" s="16"/>
      <c r="CU135" s="16"/>
      <c r="CV135" s="16"/>
      <c r="CW135" s="78"/>
      <c r="CX135" s="16"/>
      <c r="CY135" s="16"/>
      <c r="CZ135" s="16"/>
      <c r="DA135" s="16"/>
      <c r="DB135" s="78"/>
      <c r="DC135" s="16"/>
      <c r="DD135" s="16"/>
      <c r="DE135" s="16"/>
      <c r="DF135" s="16"/>
      <c r="DG135" s="16"/>
      <c r="DH135" s="16"/>
      <c r="DI135" s="16"/>
      <c r="DJ135" s="16"/>
    </row>
    <row r="136" spans="1:114" s="725" customFormat="1" ht="11.25" customHeight="1">
      <c r="A136" s="16"/>
      <c r="B136" s="1085" t="s">
        <v>273</v>
      </c>
      <c r="C136" s="52"/>
      <c r="D136" s="1053"/>
      <c r="E136" s="1053"/>
      <c r="F136" s="78"/>
      <c r="G136" s="52"/>
      <c r="H136" s="52"/>
      <c r="I136" s="52"/>
      <c r="J136" s="52"/>
      <c r="K136" s="78"/>
      <c r="L136" s="52"/>
      <c r="M136" s="52"/>
      <c r="N136" s="52"/>
      <c r="O136" s="52"/>
      <c r="P136" s="78"/>
      <c r="Q136" s="52"/>
      <c r="R136" s="52"/>
      <c r="S136" s="52"/>
      <c r="T136" s="52"/>
      <c r="U136" s="78"/>
      <c r="V136" s="52"/>
      <c r="W136" s="52"/>
      <c r="X136" s="52"/>
      <c r="Y136" s="52"/>
      <c r="Z136" s="78"/>
      <c r="AA136" s="52"/>
      <c r="AB136" s="52"/>
      <c r="AC136" s="52"/>
      <c r="AD136" s="52"/>
      <c r="AE136" s="78"/>
      <c r="AF136" s="52"/>
      <c r="AG136" s="52"/>
      <c r="AH136" s="52"/>
      <c r="AI136" s="52"/>
      <c r="AJ136" s="78"/>
      <c r="AK136" s="52"/>
      <c r="AL136" s="52"/>
      <c r="AM136" s="52"/>
      <c r="AN136" s="52"/>
      <c r="AO136" s="78"/>
      <c r="AP136" s="52"/>
      <c r="AQ136" s="52"/>
      <c r="AR136" s="52"/>
      <c r="AS136" s="16"/>
      <c r="AT136" s="78"/>
      <c r="AU136" s="16"/>
      <c r="AV136" s="16"/>
      <c r="AW136" s="112"/>
      <c r="AX136" s="112"/>
      <c r="AY136" s="110"/>
      <c r="AZ136" s="112"/>
      <c r="BA136" s="112"/>
      <c r="BB136" s="112"/>
      <c r="BC136" s="112"/>
      <c r="BD136" s="110"/>
      <c r="BE136" s="112"/>
      <c r="BF136" s="112"/>
      <c r="BG136" s="112"/>
      <c r="BH136" s="112"/>
      <c r="BI136" s="110"/>
      <c r="BJ136" s="112"/>
      <c r="BK136" s="112"/>
      <c r="BL136" s="112"/>
      <c r="BM136" s="112"/>
      <c r="BN136" s="110"/>
      <c r="BO136" s="112"/>
      <c r="BP136" s="112"/>
      <c r="BQ136" s="112"/>
      <c r="BR136" s="112"/>
      <c r="BS136" s="110"/>
      <c r="BT136" s="112"/>
      <c r="BU136" s="112"/>
      <c r="BV136" s="112"/>
      <c r="BW136" s="112"/>
      <c r="BX136" s="110"/>
      <c r="BY136" s="112"/>
      <c r="BZ136" s="112"/>
      <c r="CA136" s="112"/>
      <c r="CB136" s="112"/>
      <c r="CC136" s="110"/>
      <c r="CD136" s="112"/>
      <c r="CE136" s="112"/>
      <c r="CF136" s="112"/>
      <c r="CG136" s="112"/>
      <c r="CH136" s="110"/>
      <c r="CI136" s="112"/>
      <c r="CJ136" s="112"/>
      <c r="CK136" s="112"/>
      <c r="CL136" s="112"/>
      <c r="CM136" s="110"/>
      <c r="CN136" s="112"/>
      <c r="CO136" s="112"/>
      <c r="CP136" s="112"/>
      <c r="CQ136" s="112"/>
      <c r="CR136" s="110"/>
      <c r="CS136" s="112"/>
      <c r="CT136" s="112"/>
      <c r="CU136" s="112"/>
      <c r="CV136" s="112"/>
      <c r="CW136" s="110"/>
      <c r="CX136" s="112"/>
      <c r="CY136" s="112"/>
      <c r="CZ136" s="112"/>
      <c r="DA136" s="112"/>
      <c r="DB136" s="110"/>
      <c r="DC136" s="16"/>
      <c r="DD136" s="16"/>
      <c r="DE136" s="16"/>
      <c r="DF136" s="16"/>
      <c r="DG136" s="16"/>
      <c r="DH136" s="16"/>
      <c r="DI136" s="16"/>
      <c r="DJ136" s="16"/>
    </row>
    <row r="137" spans="1:114" s="725" customFormat="1" ht="11.25" customHeight="1">
      <c r="A137" s="16"/>
      <c r="B137" s="16" t="s">
        <v>274</v>
      </c>
      <c r="C137" s="1082"/>
      <c r="D137" s="1083">
        <f t="shared" ref="D137:AI137" si="259">+(D149*1000000)/D113</f>
        <v>1142.2745864769879</v>
      </c>
      <c r="E137" s="1083">
        <f t="shared" si="259"/>
        <v>1189.0227072356463</v>
      </c>
      <c r="F137" s="1084">
        <f t="shared" si="259"/>
        <v>1242.8789217731635</v>
      </c>
      <c r="G137" s="1081">
        <f t="shared" si="259"/>
        <v>1262.7297985435282</v>
      </c>
      <c r="H137" s="1081">
        <f t="shared" si="259"/>
        <v>1323.4578405468183</v>
      </c>
      <c r="I137" s="1081">
        <f t="shared" si="259"/>
        <v>1388.3814889994762</v>
      </c>
      <c r="J137" s="1081">
        <f t="shared" si="259"/>
        <v>1452.9041171246026</v>
      </c>
      <c r="K137" s="1084">
        <f t="shared" si="259"/>
        <v>1358.3446517492216</v>
      </c>
      <c r="L137" s="1081">
        <f t="shared" si="259"/>
        <v>1337.5212808386987</v>
      </c>
      <c r="M137" s="1081">
        <f t="shared" si="259"/>
        <v>1400.1025612233441</v>
      </c>
      <c r="N137" s="1081">
        <f t="shared" si="259"/>
        <v>1456.4821411447635</v>
      </c>
      <c r="O137" s="1081">
        <f t="shared" si="259"/>
        <v>1520.781314946576</v>
      </c>
      <c r="P137" s="1084">
        <f t="shared" si="259"/>
        <v>1428.1174728053331</v>
      </c>
      <c r="Q137" s="1081">
        <f t="shared" si="259"/>
        <v>1427.4137907132256</v>
      </c>
      <c r="R137" s="1081">
        <f t="shared" si="259"/>
        <v>1488.0875188851558</v>
      </c>
      <c r="S137" s="1081">
        <f t="shared" si="259"/>
        <v>1452.577706096346</v>
      </c>
      <c r="T137" s="1081">
        <f t="shared" si="259"/>
        <v>1417.4686173637892</v>
      </c>
      <c r="U137" s="1084">
        <f t="shared" si="259"/>
        <v>1444.1865036909176</v>
      </c>
      <c r="V137" s="1081">
        <f t="shared" si="259"/>
        <v>1403.189973957034</v>
      </c>
      <c r="W137" s="1081">
        <f t="shared" si="259"/>
        <v>1465.4939641925455</v>
      </c>
      <c r="X137" s="1081">
        <f t="shared" si="259"/>
        <v>1510.1612605333023</v>
      </c>
      <c r="Y137" s="1081">
        <f t="shared" si="259"/>
        <v>1547.6802231294039</v>
      </c>
      <c r="Z137" s="1084">
        <f t="shared" si="259"/>
        <v>1480.500615921281</v>
      </c>
      <c r="AA137" s="1081">
        <f t="shared" si="259"/>
        <v>1479.1207123393588</v>
      </c>
      <c r="AB137" s="1081">
        <f t="shared" si="259"/>
        <v>1578.5963180144552</v>
      </c>
      <c r="AC137" s="1081">
        <f t="shared" si="259"/>
        <v>1629.1577774673465</v>
      </c>
      <c r="AD137" s="1081">
        <f t="shared" si="259"/>
        <v>1649.444105471031</v>
      </c>
      <c r="AE137" s="1084">
        <f t="shared" si="259"/>
        <v>1582.0551471564359</v>
      </c>
      <c r="AF137" s="1081">
        <f t="shared" si="259"/>
        <v>1567.956867087373</v>
      </c>
      <c r="AG137" s="1081">
        <f t="shared" si="259"/>
        <v>1643.1879915291395</v>
      </c>
      <c r="AH137" s="1081">
        <f t="shared" si="259"/>
        <v>1648.8658376846454</v>
      </c>
      <c r="AI137" s="1081">
        <f t="shared" si="259"/>
        <v>1691.4823833112403</v>
      </c>
      <c r="AJ137" s="1084">
        <f t="shared" ref="AJ137:BO137" si="260">+(AJ149*1000000)/AJ113</f>
        <v>1638.280216643391</v>
      </c>
      <c r="AK137" s="1081">
        <f t="shared" si="260"/>
        <v>1666.2488000439346</v>
      </c>
      <c r="AL137" s="1081">
        <f t="shared" si="260"/>
        <v>1699.7871639781144</v>
      </c>
      <c r="AM137" s="1081">
        <f t="shared" si="260"/>
        <v>1938.9589543878189</v>
      </c>
      <c r="AN137" s="1081">
        <f t="shared" si="260"/>
        <v>1802.3876072370326</v>
      </c>
      <c r="AO137" s="1084">
        <f t="shared" si="260"/>
        <v>1800.3129429885244</v>
      </c>
      <c r="AP137" s="1081">
        <f t="shared" si="260"/>
        <v>1801.0393326436733</v>
      </c>
      <c r="AQ137" s="1081">
        <f t="shared" si="260"/>
        <v>1927.8769191810918</v>
      </c>
      <c r="AR137" s="1081">
        <f t="shared" si="260"/>
        <v>2010.8408641170633</v>
      </c>
      <c r="AS137" s="1081">
        <f t="shared" si="260"/>
        <v>2018.5575348825139</v>
      </c>
      <c r="AT137" s="1084">
        <f t="shared" si="260"/>
        <v>1935.4232901109774</v>
      </c>
      <c r="AU137" s="1081">
        <f t="shared" si="260"/>
        <v>2047.0770776084178</v>
      </c>
      <c r="AV137" s="1081">
        <f t="shared" si="260"/>
        <v>2038.6572547496166</v>
      </c>
      <c r="AW137" s="1081">
        <f t="shared" si="260"/>
        <v>2099.5875449583673</v>
      </c>
      <c r="AX137" s="1081">
        <f t="shared" si="260"/>
        <v>2123.7720466048959</v>
      </c>
      <c r="AY137" s="1084">
        <f t="shared" si="260"/>
        <v>2077.2726269635873</v>
      </c>
      <c r="AZ137" s="1081">
        <f t="shared" si="260"/>
        <v>2096.8368222273311</v>
      </c>
      <c r="BA137" s="1081">
        <f t="shared" si="260"/>
        <v>2139.9146799250057</v>
      </c>
      <c r="BB137" s="1081">
        <f t="shared" si="260"/>
        <v>2170.8400995835291</v>
      </c>
      <c r="BC137" s="1081">
        <f t="shared" si="260"/>
        <v>2209.8506180331533</v>
      </c>
      <c r="BD137" s="1084">
        <f t="shared" si="260"/>
        <v>2154.1091063171184</v>
      </c>
      <c r="BE137" s="1081">
        <f t="shared" si="260"/>
        <v>2104.5498207758728</v>
      </c>
      <c r="BF137" s="1081">
        <f t="shared" si="260"/>
        <v>2159.3774561225187</v>
      </c>
      <c r="BG137" s="1081">
        <f t="shared" si="260"/>
        <v>2105.7704495153571</v>
      </c>
      <c r="BH137" s="1081">
        <f t="shared" si="260"/>
        <v>2091.5565036931857</v>
      </c>
      <c r="BI137" s="1084">
        <f t="shared" si="260"/>
        <v>2115.2218216607134</v>
      </c>
      <c r="BJ137" s="1081">
        <f t="shared" si="260"/>
        <v>2168.2786320940018</v>
      </c>
      <c r="BK137" s="1081">
        <f t="shared" si="260"/>
        <v>2270.756001843647</v>
      </c>
      <c r="BL137" s="1081">
        <f t="shared" si="260"/>
        <v>2155.8449738903396</v>
      </c>
      <c r="BM137" s="1081">
        <f t="shared" si="260"/>
        <v>2169.7625442509525</v>
      </c>
      <c r="BN137" s="1084">
        <f t="shared" si="260"/>
        <v>2190.7554008004181</v>
      </c>
      <c r="BO137" s="1081">
        <f t="shared" si="260"/>
        <v>2139.6086160000614</v>
      </c>
      <c r="BP137" s="1081">
        <f t="shared" ref="BP137:CW137" si="261">+(BP149*1000000)/BP113</f>
        <v>2273.0991243791568</v>
      </c>
      <c r="BQ137" s="1081">
        <f t="shared" si="261"/>
        <v>2333.0417372915845</v>
      </c>
      <c r="BR137" s="1081">
        <f t="shared" si="261"/>
        <v>2254.2447810770336</v>
      </c>
      <c r="BS137" s="1084">
        <f t="shared" si="261"/>
        <v>2246.6009783849395</v>
      </c>
      <c r="BT137" s="1081">
        <f t="shared" si="261"/>
        <v>2249.0929155950771</v>
      </c>
      <c r="BU137" s="1081">
        <f t="shared" si="261"/>
        <v>2236.3797037592431</v>
      </c>
      <c r="BV137" s="1081">
        <f t="shared" si="261"/>
        <v>2386.5595962884645</v>
      </c>
      <c r="BW137" s="1081">
        <f t="shared" si="261"/>
        <v>2343.2092925433353</v>
      </c>
      <c r="BX137" s="1084">
        <f t="shared" si="261"/>
        <v>2304.2231980397619</v>
      </c>
      <c r="BY137" s="1081">
        <f t="shared" si="261"/>
        <v>2206.5327439356624</v>
      </c>
      <c r="BZ137" s="1081">
        <f t="shared" si="261"/>
        <v>2302.5810893099938</v>
      </c>
      <c r="CA137" s="1081">
        <f t="shared" si="261"/>
        <v>2318.4571261286646</v>
      </c>
      <c r="CB137" s="1081">
        <f t="shared" si="261"/>
        <v>2445.9842024614281</v>
      </c>
      <c r="CC137" s="1084">
        <f t="shared" si="261"/>
        <v>2315.2212083958411</v>
      </c>
      <c r="CD137" s="1081">
        <f t="shared" si="261"/>
        <v>2345.556085328451</v>
      </c>
      <c r="CE137" s="1081">
        <f t="shared" si="261"/>
        <v>2372.301449384453</v>
      </c>
      <c r="CF137" s="1081">
        <f t="shared" si="261"/>
        <v>2406.8131306638602</v>
      </c>
      <c r="CG137" s="1081">
        <f t="shared" si="261"/>
        <v>2460.7452659827331</v>
      </c>
      <c r="CH137" s="1084">
        <f t="shared" si="261"/>
        <v>2393.8864324752212</v>
      </c>
      <c r="CI137" s="1081">
        <f t="shared" si="261"/>
        <v>2299.7539147822913</v>
      </c>
      <c r="CJ137" s="1081">
        <f t="shared" si="261"/>
        <v>2430.6541610603936</v>
      </c>
      <c r="CK137" s="1081">
        <f t="shared" ref="CK137:CL137" si="262">+(CK149*1000000)/CK113</f>
        <v>2455.1934884570883</v>
      </c>
      <c r="CL137" s="1081">
        <f t="shared" si="262"/>
        <v>2895.8889055593636</v>
      </c>
      <c r="CM137" s="1084">
        <f t="shared" si="261"/>
        <v>2500.2365449012327</v>
      </c>
      <c r="CN137" s="1081">
        <f t="shared" ca="1" si="261"/>
        <v>2298.9701274809518</v>
      </c>
      <c r="CO137" s="1081">
        <f t="shared" ca="1" si="261"/>
        <v>2320.4855141539579</v>
      </c>
      <c r="CP137" s="1081">
        <f t="shared" ca="1" si="261"/>
        <v>2307.9687859644196</v>
      </c>
      <c r="CQ137" s="1081">
        <f t="shared" ca="1" si="261"/>
        <v>2727.7247118671594</v>
      </c>
      <c r="CR137" s="1084">
        <f t="shared" ca="1" si="261"/>
        <v>2406.8709841858736</v>
      </c>
      <c r="CS137" s="1081">
        <f t="shared" ca="1" si="261"/>
        <v>2299.366774348839</v>
      </c>
      <c r="CT137" s="1081">
        <f t="shared" ca="1" si="261"/>
        <v>2315.8798137745271</v>
      </c>
      <c r="CU137" s="1081">
        <f t="shared" ca="1" si="261"/>
        <v>2308.6477556848104</v>
      </c>
      <c r="CV137" s="1081">
        <f t="shared" ca="1" si="261"/>
        <v>2715.7452736634173</v>
      </c>
      <c r="CW137" s="1084">
        <f t="shared" ca="1" si="261"/>
        <v>2409.2716426351421</v>
      </c>
      <c r="CX137" s="1081">
        <f t="shared" ref="CX137:DB137" ca="1" si="263">+(CX149*1000000)/CX113</f>
        <v>2310.863608220573</v>
      </c>
      <c r="CY137" s="1081">
        <f t="shared" ca="1" si="263"/>
        <v>2327.4592128434065</v>
      </c>
      <c r="CZ137" s="1081">
        <f t="shared" ca="1" si="263"/>
        <v>2320.1909944632343</v>
      </c>
      <c r="DA137" s="1081">
        <f t="shared" ca="1" si="263"/>
        <v>2729.3240000317355</v>
      </c>
      <c r="DB137" s="1084">
        <f t="shared" ca="1" si="263"/>
        <v>2421.4911520410205</v>
      </c>
      <c r="DC137" s="16"/>
      <c r="DD137" s="16"/>
      <c r="DE137" s="16"/>
      <c r="DF137" s="16"/>
      <c r="DG137" s="16"/>
      <c r="DH137" s="16"/>
      <c r="DI137" s="16"/>
      <c r="DJ137" s="16"/>
    </row>
    <row r="138" spans="1:114" s="725" customFormat="1" ht="11.25" customHeight="1">
      <c r="A138" s="16"/>
      <c r="B138" s="77" t="s">
        <v>256</v>
      </c>
      <c r="C138" s="52"/>
      <c r="D138" s="1053"/>
      <c r="E138" s="1053">
        <f>E137/D137-1</f>
        <v>4.0925466881688521E-2</v>
      </c>
      <c r="F138" s="78">
        <f>F137/E137-1</f>
        <v>4.5294521466900495E-2</v>
      </c>
      <c r="G138" s="52"/>
      <c r="H138" s="52"/>
      <c r="I138" s="52"/>
      <c r="J138" s="52"/>
      <c r="K138" s="78">
        <f t="shared" ref="K138:Z138" si="264">K137/F137-1</f>
        <v>9.2901832956767905E-2</v>
      </c>
      <c r="L138" s="79">
        <f t="shared" si="264"/>
        <v>5.9229997091568842E-2</v>
      </c>
      <c r="M138" s="79">
        <f t="shared" si="264"/>
        <v>5.7912476188027417E-2</v>
      </c>
      <c r="N138" s="79">
        <f t="shared" si="264"/>
        <v>4.9050389021221719E-2</v>
      </c>
      <c r="O138" s="79">
        <f t="shared" si="264"/>
        <v>4.6718291332470629E-2</v>
      </c>
      <c r="P138" s="78">
        <f t="shared" si="264"/>
        <v>5.1366066017384471E-2</v>
      </c>
      <c r="Q138" s="79">
        <f t="shared" si="264"/>
        <v>6.7208283832433269E-2</v>
      </c>
      <c r="R138" s="79">
        <f t="shared" si="264"/>
        <v>6.2841794664624029E-2</v>
      </c>
      <c r="S138" s="79">
        <f t="shared" si="264"/>
        <v>-2.6807297790474305E-3</v>
      </c>
      <c r="T138" s="79">
        <f t="shared" si="264"/>
        <v>-6.7933960371163615E-2</v>
      </c>
      <c r="U138" s="78">
        <f t="shared" si="264"/>
        <v>1.1251897124414434E-2</v>
      </c>
      <c r="V138" s="79">
        <f t="shared" si="264"/>
        <v>-1.6970423652757249E-2</v>
      </c>
      <c r="W138" s="79">
        <f t="shared" si="264"/>
        <v>-1.518294751207705E-2</v>
      </c>
      <c r="X138" s="79">
        <f t="shared" si="264"/>
        <v>3.9642322882475156E-2</v>
      </c>
      <c r="Y138" s="79">
        <f t="shared" si="264"/>
        <v>9.1862073114382214E-2</v>
      </c>
      <c r="Z138" s="78">
        <f t="shared" si="264"/>
        <v>2.5145029494151316E-2</v>
      </c>
      <c r="AA138" s="98">
        <f t="shared" ref="AA138:BI138" si="265">AA137/V137-1</f>
        <v>5.4112942503571348E-2</v>
      </c>
      <c r="AB138" s="98">
        <f t="shared" si="265"/>
        <v>7.717694960567556E-2</v>
      </c>
      <c r="AC138" s="98">
        <f t="shared" si="265"/>
        <v>7.8797225199659371E-2</v>
      </c>
      <c r="AD138" s="98">
        <f t="shared" si="265"/>
        <v>6.5752524856756756E-2</v>
      </c>
      <c r="AE138" s="96">
        <f t="shared" si="265"/>
        <v>6.8594724070384583E-2</v>
      </c>
      <c r="AF138" s="98">
        <f t="shared" si="265"/>
        <v>6.0060111393823945E-2</v>
      </c>
      <c r="AG138" s="98">
        <f t="shared" si="265"/>
        <v>4.0917157082899447E-2</v>
      </c>
      <c r="AH138" s="98">
        <f t="shared" si="265"/>
        <v>1.2097085064367796E-2</v>
      </c>
      <c r="AI138" s="98">
        <f t="shared" si="265"/>
        <v>2.5486330637560117E-2</v>
      </c>
      <c r="AJ138" s="96">
        <f t="shared" si="265"/>
        <v>3.553926017560971E-2</v>
      </c>
      <c r="AK138" s="98">
        <f t="shared" si="265"/>
        <v>6.2687906166161378E-2</v>
      </c>
      <c r="AL138" s="98">
        <f t="shared" si="265"/>
        <v>3.4444733494129354E-2</v>
      </c>
      <c r="AM138" s="98">
        <f t="shared" si="265"/>
        <v>0.17593494271827792</v>
      </c>
      <c r="AN138" s="98">
        <f t="shared" si="265"/>
        <v>6.5566880873263678E-2</v>
      </c>
      <c r="AO138" s="96">
        <f t="shared" si="265"/>
        <v>9.8904158579852686E-2</v>
      </c>
      <c r="AP138" s="98">
        <f t="shared" si="265"/>
        <v>8.0894601452186965E-2</v>
      </c>
      <c r="AQ138" s="98">
        <f t="shared" si="265"/>
        <v>0.13418724416600791</v>
      </c>
      <c r="AR138" s="98">
        <f t="shared" si="265"/>
        <v>3.7072424646523494E-2</v>
      </c>
      <c r="AS138" s="98">
        <f t="shared" si="265"/>
        <v>0.11993531623137299</v>
      </c>
      <c r="AT138" s="96">
        <f t="shared" si="265"/>
        <v>7.5048256276027958E-2</v>
      </c>
      <c r="AU138" s="98">
        <f t="shared" si="265"/>
        <v>0.13660875723552102</v>
      </c>
      <c r="AV138" s="98">
        <f t="shared" si="265"/>
        <v>5.7462348589961465E-2</v>
      </c>
      <c r="AW138" s="98">
        <f t="shared" si="265"/>
        <v>4.4134114451802597E-2</v>
      </c>
      <c r="AX138" s="98">
        <f t="shared" si="265"/>
        <v>5.2123612978168588E-2</v>
      </c>
      <c r="AY138" s="96">
        <f t="shared" si="265"/>
        <v>7.329111806052313E-2</v>
      </c>
      <c r="AZ138" s="98">
        <f t="shared" si="265"/>
        <v>2.4307704464673785E-2</v>
      </c>
      <c r="BA138" s="98">
        <f t="shared" si="265"/>
        <v>4.9668685081556418E-2</v>
      </c>
      <c r="BB138" s="98">
        <f t="shared" si="265"/>
        <v>3.3936453279243883E-2</v>
      </c>
      <c r="BC138" s="98">
        <f t="shared" si="265"/>
        <v>4.0530984276709203E-2</v>
      </c>
      <c r="BD138" s="96">
        <f t="shared" si="265"/>
        <v>3.6989116573420189E-2</v>
      </c>
      <c r="BE138" s="98">
        <f t="shared" si="265"/>
        <v>3.6783971298008922E-3</v>
      </c>
      <c r="BF138" s="98">
        <f t="shared" si="265"/>
        <v>9.095117847499834E-3</v>
      </c>
      <c r="BG138" s="98">
        <f t="shared" si="265"/>
        <v>-2.9974409483524589E-2</v>
      </c>
      <c r="BH138" s="98">
        <f t="shared" si="265"/>
        <v>-5.3530366883012936E-2</v>
      </c>
      <c r="BI138" s="96">
        <f t="shared" si="265"/>
        <v>-1.8052606779463742E-2</v>
      </c>
      <c r="BJ138" s="79">
        <f>+BJ137/BE137-1</f>
        <v>3.0281445793777673E-2</v>
      </c>
      <c r="BK138" s="79">
        <f>+BK137/BF137-1</f>
        <v>5.157900736869081E-2</v>
      </c>
      <c r="BL138" s="79">
        <f>+BL137/BG137-1</f>
        <v>2.3779669045363994E-2</v>
      </c>
      <c r="BM138" s="79">
        <f>+BM137/BH137-1</f>
        <v>3.7391311408357275E-2</v>
      </c>
      <c r="BN138" s="78">
        <f>BN137/BI137-1</f>
        <v>3.5709530965599257E-2</v>
      </c>
      <c r="BO138" s="79">
        <f t="shared" ref="BO138:CH138" si="266">BO137/BJ137-1</f>
        <v>-1.3222477807777189E-2</v>
      </c>
      <c r="BP138" s="79">
        <f>+BP137/BK137-1</f>
        <v>1.0318689166106676E-3</v>
      </c>
      <c r="BQ138" s="79">
        <f>+BQ137/BL137-1</f>
        <v>8.2193648220207471E-2</v>
      </c>
      <c r="BR138" s="79">
        <f>+BR137/BM137-1</f>
        <v>3.8936167024325785E-2</v>
      </c>
      <c r="BS138" s="78">
        <f t="shared" si="266"/>
        <v>2.5491470916432446E-2</v>
      </c>
      <c r="BT138" s="79">
        <f t="shared" si="266"/>
        <v>5.1170246173196654E-2</v>
      </c>
      <c r="BU138" s="79">
        <f t="shared" si="266"/>
        <v>-1.6153902056489811E-2</v>
      </c>
      <c r="BV138" s="79">
        <f t="shared" si="266"/>
        <v>2.2939091976557968E-2</v>
      </c>
      <c r="BW138" s="79">
        <f t="shared" si="266"/>
        <v>3.9465328793528931E-2</v>
      </c>
      <c r="BX138" s="78">
        <f t="shared" si="266"/>
        <v>2.5648622167095514E-2</v>
      </c>
      <c r="BY138" s="79">
        <f t="shared" si="266"/>
        <v>-1.8923260735163483E-2</v>
      </c>
      <c r="BZ138" s="79">
        <f t="shared" si="266"/>
        <v>2.9602032892477759E-2</v>
      </c>
      <c r="CA138" s="79">
        <f t="shared" si="266"/>
        <v>-2.8535834707715479E-2</v>
      </c>
      <c r="CB138" s="79">
        <f t="shared" si="266"/>
        <v>4.3860746987111954E-2</v>
      </c>
      <c r="CC138" s="78">
        <f t="shared" si="266"/>
        <v>4.7729796164865945E-3</v>
      </c>
      <c r="CD138" s="79">
        <f t="shared" si="266"/>
        <v>6.3005338024044288E-2</v>
      </c>
      <c r="CE138" s="79">
        <f t="shared" si="266"/>
        <v>3.0279220305484245E-2</v>
      </c>
      <c r="CF138" s="79">
        <f t="shared" si="266"/>
        <v>3.8109828963165393E-2</v>
      </c>
      <c r="CG138" s="79">
        <f t="shared" si="266"/>
        <v>6.0348155586822383E-3</v>
      </c>
      <c r="CH138" s="78">
        <f t="shared" si="266"/>
        <v>3.3977411659029011E-2</v>
      </c>
      <c r="CI138" s="79">
        <f t="shared" ref="CI138:CM138" si="267">CI137/CD137-1</f>
        <v>-1.9527211833754055E-2</v>
      </c>
      <c r="CJ138" s="79">
        <f t="shared" si="267"/>
        <v>2.4597511286384544E-2</v>
      </c>
      <c r="CK138" s="79">
        <f t="shared" si="267"/>
        <v>2.0101418417924011E-2</v>
      </c>
      <c r="CL138" s="79">
        <f t="shared" si="267"/>
        <v>0.17683408583246818</v>
      </c>
      <c r="CM138" s="78">
        <f t="shared" si="267"/>
        <v>4.4425713343488882E-2</v>
      </c>
      <c r="CN138" s="79">
        <f t="shared" ref="CN138:CR138" ca="1" si="268">CN137/CI137-1</f>
        <v>-3.408135523985667E-4</v>
      </c>
      <c r="CO138" s="79">
        <f t="shared" ca="1" si="268"/>
        <v>-4.5324690230046372E-2</v>
      </c>
      <c r="CP138" s="79">
        <f t="shared" ca="1" si="268"/>
        <v>-5.996460286524663E-2</v>
      </c>
      <c r="CQ138" s="79">
        <f t="shared" ca="1" si="268"/>
        <v>-5.8069974082697762E-2</v>
      </c>
      <c r="CR138" s="78">
        <f t="shared" ca="1" si="268"/>
        <v>-3.7342690996882255E-2</v>
      </c>
      <c r="CS138" s="79">
        <f t="shared" ref="CS138" ca="1" si="269">CS137/CN137-1</f>
        <v>1.7253241490444715E-4</v>
      </c>
      <c r="CT138" s="79">
        <f t="shared" ref="CT138" ca="1" si="270">CT137/CO137-1</f>
        <v>-1.9848003149935955E-3</v>
      </c>
      <c r="CU138" s="79">
        <f t="shared" ref="CU138" ca="1" si="271">CU137/CP137-1</f>
        <v>2.9418496667710237E-4</v>
      </c>
      <c r="CV138" s="79">
        <f t="shared" ref="CV138" ca="1" si="272">CV137/CQ137-1</f>
        <v>-4.3917328429898816E-3</v>
      </c>
      <c r="CW138" s="78">
        <f t="shared" ref="CW138" ca="1" si="273">CW137/CR137-1</f>
        <v>9.9741883343229532E-4</v>
      </c>
      <c r="CX138" s="79">
        <f t="shared" ref="CX138" ca="1" si="274">CX137/CS137-1</f>
        <v>4.9999999999956746E-3</v>
      </c>
      <c r="CY138" s="79">
        <f t="shared" ref="CY138" ca="1" si="275">CY137/CT137-1</f>
        <v>5.000000000003002E-3</v>
      </c>
      <c r="CZ138" s="79">
        <f t="shared" ref="CZ138" ca="1" si="276">CZ137/CU137-1</f>
        <v>4.9999999999998934E-3</v>
      </c>
      <c r="DA138" s="79">
        <f t="shared" ref="DA138" ca="1" si="277">DA137/CV137-1</f>
        <v>5.0000000000003375E-3</v>
      </c>
      <c r="DB138" s="78">
        <f t="shared" ref="DB138" ca="1" si="278">DB137/CW137-1</f>
        <v>5.0718686882951225E-3</v>
      </c>
      <c r="DC138" s="16"/>
      <c r="DD138" s="16"/>
      <c r="DE138" s="16"/>
      <c r="DF138" s="16"/>
      <c r="DG138" s="16"/>
      <c r="DH138" s="16"/>
      <c r="DI138" s="16"/>
      <c r="DJ138" s="16"/>
    </row>
    <row r="139" spans="1:114" s="725" customFormat="1" ht="11.25" customHeight="1">
      <c r="A139" s="16"/>
      <c r="B139" s="77"/>
      <c r="C139" s="52"/>
      <c r="D139" s="1053"/>
      <c r="E139" s="1053"/>
      <c r="F139" s="78"/>
      <c r="G139" s="52"/>
      <c r="H139" s="52"/>
      <c r="I139" s="52"/>
      <c r="J139" s="52"/>
      <c r="K139" s="78"/>
      <c r="L139" s="52"/>
      <c r="M139" s="52"/>
      <c r="N139" s="52"/>
      <c r="O139" s="52"/>
      <c r="P139" s="78"/>
      <c r="Q139" s="52"/>
      <c r="R139" s="52"/>
      <c r="S139" s="52"/>
      <c r="T139" s="52"/>
      <c r="U139" s="78"/>
      <c r="V139" s="52"/>
      <c r="W139" s="52"/>
      <c r="X139" s="52"/>
      <c r="Y139" s="52"/>
      <c r="Z139" s="78"/>
      <c r="AA139" s="52"/>
      <c r="AB139" s="52"/>
      <c r="AC139" s="52"/>
      <c r="AD139" s="52"/>
      <c r="AE139" s="78"/>
      <c r="AF139" s="52"/>
      <c r="AG139" s="52"/>
      <c r="AH139" s="52"/>
      <c r="AI139" s="52"/>
      <c r="AJ139" s="78"/>
      <c r="AK139" s="52"/>
      <c r="AL139" s="52"/>
      <c r="AM139" s="52"/>
      <c r="AN139" s="52"/>
      <c r="AO139" s="78"/>
      <c r="AP139" s="52"/>
      <c r="AQ139" s="52"/>
      <c r="AR139" s="52"/>
      <c r="AS139" s="52"/>
      <c r="AT139" s="78"/>
      <c r="AU139" s="52"/>
      <c r="AV139" s="52"/>
      <c r="AW139" s="52"/>
      <c r="AX139" s="52"/>
      <c r="AY139" s="78"/>
      <c r="AZ139" s="52"/>
      <c r="BA139" s="52"/>
      <c r="BB139" s="52"/>
      <c r="BC139" s="52"/>
      <c r="BD139" s="78"/>
      <c r="BE139" s="52"/>
      <c r="BF139" s="52"/>
      <c r="BG139" s="52"/>
      <c r="BH139" s="52"/>
      <c r="BI139" s="78"/>
      <c r="BJ139" s="52"/>
      <c r="BK139" s="52"/>
      <c r="BL139" s="52"/>
      <c r="BM139" s="52"/>
      <c r="BN139" s="78"/>
      <c r="BO139" s="52"/>
      <c r="BP139" s="52"/>
      <c r="BQ139" s="52"/>
      <c r="BR139" s="52"/>
      <c r="BS139" s="78"/>
      <c r="BT139" s="52"/>
      <c r="BU139" s="52"/>
      <c r="BV139" s="52"/>
      <c r="BW139" s="52"/>
      <c r="BX139" s="78"/>
      <c r="BY139" s="52"/>
      <c r="BZ139" s="52"/>
      <c r="CA139" s="52"/>
      <c r="CB139" s="52"/>
      <c r="CC139" s="78"/>
      <c r="CD139" s="52"/>
      <c r="CE139" s="52"/>
      <c r="CF139" s="52"/>
      <c r="CG139" s="52"/>
      <c r="CH139" s="78"/>
      <c r="CI139" s="52"/>
      <c r="CJ139" s="52"/>
      <c r="CK139" s="52"/>
      <c r="CL139" s="52"/>
      <c r="CM139" s="78"/>
      <c r="CN139" s="52"/>
      <c r="CO139" s="52"/>
      <c r="CP139" s="52"/>
      <c r="CQ139" s="52"/>
      <c r="CR139" s="78"/>
      <c r="CS139" s="52"/>
      <c r="CT139" s="52"/>
      <c r="CU139" s="52"/>
      <c r="CV139" s="52"/>
      <c r="CW139" s="78"/>
      <c r="CX139" s="52"/>
      <c r="CY139" s="52"/>
      <c r="CZ139" s="52"/>
      <c r="DA139" s="52"/>
      <c r="DB139" s="78"/>
      <c r="DC139" s="16"/>
      <c r="DD139" s="16"/>
      <c r="DE139" s="16"/>
      <c r="DF139" s="16"/>
      <c r="DG139" s="16"/>
      <c r="DH139" s="16"/>
      <c r="DI139" s="16"/>
      <c r="DJ139" s="16"/>
    </row>
    <row r="140" spans="1:114" s="725" customFormat="1" ht="11.25" customHeight="1">
      <c r="A140" s="16"/>
      <c r="B140" s="16" t="s">
        <v>275</v>
      </c>
      <c r="C140" s="1082"/>
      <c r="D140" s="1083">
        <f t="shared" ref="D140:AI140" si="279">D157/D116*1000000</f>
        <v>1159.4522901250361</v>
      </c>
      <c r="E140" s="1083">
        <f t="shared" si="279"/>
        <v>1229.4086450047159</v>
      </c>
      <c r="F140" s="1084">
        <f t="shared" si="279"/>
        <v>1308.2579554412926</v>
      </c>
      <c r="G140" s="1081">
        <f t="shared" si="279"/>
        <v>1339.7590196046601</v>
      </c>
      <c r="H140" s="1081">
        <f t="shared" si="279"/>
        <v>1422.2146546232091</v>
      </c>
      <c r="I140" s="1081">
        <f t="shared" si="279"/>
        <v>1428.7472779138195</v>
      </c>
      <c r="J140" s="1081">
        <f t="shared" si="279"/>
        <v>1477.0215732473368</v>
      </c>
      <c r="K140" s="1084">
        <f t="shared" si="279"/>
        <v>1418.0661695731419</v>
      </c>
      <c r="L140" s="1081">
        <f t="shared" si="279"/>
        <v>1389.692994523328</v>
      </c>
      <c r="M140" s="1081">
        <f t="shared" si="279"/>
        <v>1430.4368801782309</v>
      </c>
      <c r="N140" s="1081">
        <f t="shared" si="279"/>
        <v>1465.9196683280873</v>
      </c>
      <c r="O140" s="1081">
        <f t="shared" si="279"/>
        <v>1538.6504308673193</v>
      </c>
      <c r="P140" s="1084">
        <f t="shared" si="279"/>
        <v>1456.1194659409598</v>
      </c>
      <c r="Q140" s="1081">
        <f t="shared" si="279"/>
        <v>1480.1487085588344</v>
      </c>
      <c r="R140" s="1081">
        <f t="shared" si="279"/>
        <v>1583.9423830802079</v>
      </c>
      <c r="S140" s="1081">
        <f t="shared" si="279"/>
        <v>1535.6206777723717</v>
      </c>
      <c r="T140" s="1081">
        <f t="shared" si="279"/>
        <v>1499.6272206824062</v>
      </c>
      <c r="U140" s="1084">
        <f t="shared" si="279"/>
        <v>1522.8638140498026</v>
      </c>
      <c r="V140" s="1081">
        <f t="shared" si="279"/>
        <v>1494.1385164858077</v>
      </c>
      <c r="W140" s="1081">
        <f t="shared" si="279"/>
        <v>1548.6848778515407</v>
      </c>
      <c r="X140" s="1081">
        <f t="shared" si="279"/>
        <v>1583.9704189942099</v>
      </c>
      <c r="Y140" s="1081">
        <f t="shared" si="279"/>
        <v>1614.81428506982</v>
      </c>
      <c r="Z140" s="1084">
        <f t="shared" si="279"/>
        <v>1560.0949090187401</v>
      </c>
      <c r="AA140" s="1081">
        <f t="shared" si="279"/>
        <v>1580.3712111820998</v>
      </c>
      <c r="AB140" s="1081">
        <f t="shared" si="279"/>
        <v>1651.2781694319128</v>
      </c>
      <c r="AC140" s="1081">
        <f t="shared" si="279"/>
        <v>1693.2149639978627</v>
      </c>
      <c r="AD140" s="1081">
        <f t="shared" si="279"/>
        <v>1725.0116781637271</v>
      </c>
      <c r="AE140" s="1084">
        <f t="shared" si="279"/>
        <v>1661.8607619784395</v>
      </c>
      <c r="AF140" s="1081">
        <f t="shared" si="279"/>
        <v>1676.9791509431984</v>
      </c>
      <c r="AG140" s="1081">
        <f t="shared" si="279"/>
        <v>1730.9026587412648</v>
      </c>
      <c r="AH140" s="1081">
        <f t="shared" si="279"/>
        <v>1763.4752989286364</v>
      </c>
      <c r="AI140" s="1081">
        <f t="shared" si="279"/>
        <v>1789.3348325661764</v>
      </c>
      <c r="AJ140" s="1084">
        <f t="shared" ref="AJ140:BO140" si="280">AJ157/AJ116*1000000</f>
        <v>1741.0930194025461</v>
      </c>
      <c r="AK140" s="1081">
        <f t="shared" si="280"/>
        <v>1785.5930067214283</v>
      </c>
      <c r="AL140" s="1081">
        <f t="shared" si="280"/>
        <v>1846.0768538836583</v>
      </c>
      <c r="AM140" s="1081">
        <f t="shared" si="280"/>
        <v>2075.6029280733574</v>
      </c>
      <c r="AN140" s="1081">
        <f t="shared" si="280"/>
        <v>1973.0192481100648</v>
      </c>
      <c r="AO140" s="1084">
        <f t="shared" si="280"/>
        <v>1947.0301050923106</v>
      </c>
      <c r="AP140" s="1081">
        <f t="shared" si="280"/>
        <v>1967.4522012176838</v>
      </c>
      <c r="AQ140" s="1081">
        <f t="shared" si="280"/>
        <v>2087.4036857803858</v>
      </c>
      <c r="AR140" s="1081">
        <f t="shared" si="280"/>
        <v>2167.6742762699287</v>
      </c>
      <c r="AS140" s="1081">
        <f t="shared" si="280"/>
        <v>2157.154177949757</v>
      </c>
      <c r="AT140" s="1084">
        <f t="shared" si="280"/>
        <v>2092.4421261237239</v>
      </c>
      <c r="AU140" s="1081">
        <f t="shared" si="280"/>
        <v>2193.5290209391824</v>
      </c>
      <c r="AV140" s="1081">
        <f t="shared" si="280"/>
        <v>2174.3459577830713</v>
      </c>
      <c r="AW140" s="1081">
        <f t="shared" si="280"/>
        <v>2204.5385799953574</v>
      </c>
      <c r="AX140" s="1081">
        <f t="shared" si="280"/>
        <v>2227.982249657864</v>
      </c>
      <c r="AY140" s="1084">
        <f t="shared" si="280"/>
        <v>2200.1602719540879</v>
      </c>
      <c r="AZ140" s="1081">
        <f t="shared" si="280"/>
        <v>2225.3991581340833</v>
      </c>
      <c r="BA140" s="1081">
        <f t="shared" si="280"/>
        <v>2281.2845013468227</v>
      </c>
      <c r="BB140" s="1081">
        <f t="shared" si="280"/>
        <v>2305.799365650214</v>
      </c>
      <c r="BC140" s="1081">
        <f t="shared" si="280"/>
        <v>2320.9044485795948</v>
      </c>
      <c r="BD140" s="1084">
        <f t="shared" si="280"/>
        <v>2283.5737570849765</v>
      </c>
      <c r="BE140" s="1081">
        <f t="shared" si="280"/>
        <v>2233.3842809346074</v>
      </c>
      <c r="BF140" s="1081">
        <f t="shared" si="280"/>
        <v>2308.8557306208982</v>
      </c>
      <c r="BG140" s="1081">
        <f t="shared" si="280"/>
        <v>2291.4450532147475</v>
      </c>
      <c r="BH140" s="1081">
        <f t="shared" si="280"/>
        <v>2298.6466032655799</v>
      </c>
      <c r="BI140" s="1084">
        <f t="shared" si="280"/>
        <v>2282.8053060455582</v>
      </c>
      <c r="BJ140" s="1081">
        <f t="shared" si="280"/>
        <v>2336.5425687805118</v>
      </c>
      <c r="BK140" s="1081">
        <f t="shared" si="280"/>
        <v>2424.3736094778251</v>
      </c>
      <c r="BL140" s="1081">
        <f t="shared" si="280"/>
        <v>2363.2517487563864</v>
      </c>
      <c r="BM140" s="1081">
        <f t="shared" si="280"/>
        <v>2388.030585981182</v>
      </c>
      <c r="BN140" s="1084">
        <f t="shared" si="280"/>
        <v>2377.585405788448</v>
      </c>
      <c r="BO140" s="1081">
        <f t="shared" si="280"/>
        <v>2364.3640900361725</v>
      </c>
      <c r="BP140" s="1081">
        <f t="shared" ref="BP140:CW140" si="281">BP157/BP116*1000000</f>
        <v>2441.6455552217262</v>
      </c>
      <c r="BQ140" s="1081">
        <f t="shared" si="281"/>
        <v>2508.9305589773226</v>
      </c>
      <c r="BR140" s="1081">
        <f t="shared" si="281"/>
        <v>2516.6780535639223</v>
      </c>
      <c r="BS140" s="1084">
        <f t="shared" si="281"/>
        <v>2456.1042800020623</v>
      </c>
      <c r="BT140" s="1081">
        <f t="shared" si="281"/>
        <v>2446.0503750839848</v>
      </c>
      <c r="BU140" s="1081">
        <f t="shared" si="281"/>
        <v>2427.8961866525829</v>
      </c>
      <c r="BV140" s="1081">
        <f t="shared" si="281"/>
        <v>2481.1235273133148</v>
      </c>
      <c r="BW140" s="1081">
        <f t="shared" si="281"/>
        <v>2506.0515435218581</v>
      </c>
      <c r="BX140" s="1084">
        <f t="shared" si="281"/>
        <v>2465.7105913169371</v>
      </c>
      <c r="BY140" s="1081">
        <f t="shared" si="281"/>
        <v>2409.455293078001</v>
      </c>
      <c r="BZ140" s="1081">
        <f t="shared" si="281"/>
        <v>2479.4725339456418</v>
      </c>
      <c r="CA140" s="1081">
        <f t="shared" si="281"/>
        <v>2500.8553646977421</v>
      </c>
      <c r="CB140" s="1081">
        <f t="shared" si="281"/>
        <v>2598.0754849306927</v>
      </c>
      <c r="CC140" s="1084">
        <f t="shared" si="281"/>
        <v>2495.7198820277763</v>
      </c>
      <c r="CD140" s="1081">
        <f t="shared" si="281"/>
        <v>2495.5682869247466</v>
      </c>
      <c r="CE140" s="1081">
        <f t="shared" si="281"/>
        <v>2513.4233141343634</v>
      </c>
      <c r="CF140" s="1081">
        <f t="shared" si="281"/>
        <v>2559.3816907057267</v>
      </c>
      <c r="CG140" s="1081">
        <f t="shared" si="281"/>
        <v>2609.3087639024834</v>
      </c>
      <c r="CH140" s="1084">
        <f t="shared" si="281"/>
        <v>2542.0337620480364</v>
      </c>
      <c r="CI140" s="1081">
        <f t="shared" si="281"/>
        <v>2479.1228133696395</v>
      </c>
      <c r="CJ140" s="1081">
        <f t="shared" si="281"/>
        <v>2560.3975805086875</v>
      </c>
      <c r="CK140" s="1081">
        <f t="shared" ref="CK140:CL140" si="282">CK157/CK116*1000000</f>
        <v>2608.6521456001296</v>
      </c>
      <c r="CL140" s="1081">
        <f t="shared" si="282"/>
        <v>3087.4138127675569</v>
      </c>
      <c r="CM140" s="1084">
        <f t="shared" si="281"/>
        <v>2664.3601795669524</v>
      </c>
      <c r="CN140" s="1081">
        <f t="shared" ca="1" si="281"/>
        <v>2795.6540026242933</v>
      </c>
      <c r="CO140" s="1081">
        <f t="shared" ca="1" si="281"/>
        <v>2908.7938395088518</v>
      </c>
      <c r="CP140" s="1081">
        <f t="shared" ca="1" si="281"/>
        <v>2890.7250807972373</v>
      </c>
      <c r="CQ140" s="1081">
        <f t="shared" ca="1" si="281"/>
        <v>3264.4581948391869</v>
      </c>
      <c r="CR140" s="1084">
        <f t="shared" ca="1" si="281"/>
        <v>2955.9172334828722</v>
      </c>
      <c r="CS140" s="1081">
        <f t="shared" ca="1" si="281"/>
        <v>3089.709841645677</v>
      </c>
      <c r="CT140" s="1081">
        <f t="shared" ca="1" si="281"/>
        <v>3002.0054228773247</v>
      </c>
      <c r="CU140" s="1081">
        <f t="shared" ca="1" si="281"/>
        <v>2859.3551947287083</v>
      </c>
      <c r="CV140" s="1081">
        <f t="shared" ca="1" si="281"/>
        <v>3318.5223678744123</v>
      </c>
      <c r="CW140" s="1084">
        <f t="shared" ca="1" si="281"/>
        <v>3065.8098273668957</v>
      </c>
      <c r="CX140" s="1081">
        <f t="shared" ref="CX140:DB140" ca="1" si="283">CX157/CX116*1000000</f>
        <v>3092.7748406197361</v>
      </c>
      <c r="CY140" s="1081">
        <f t="shared" ca="1" si="283"/>
        <v>3006.1508446258754</v>
      </c>
      <c r="CZ140" s="1081">
        <f t="shared" ca="1" si="283"/>
        <v>2869.5741523079223</v>
      </c>
      <c r="DA140" s="1081">
        <f t="shared" ca="1" si="283"/>
        <v>3326.9636898553044</v>
      </c>
      <c r="DB140" s="1084">
        <f t="shared" ca="1" si="283"/>
        <v>3072.6220228191637</v>
      </c>
      <c r="DC140" s="16"/>
      <c r="DD140" s="16"/>
      <c r="DE140" s="16"/>
      <c r="DF140" s="16"/>
      <c r="DG140" s="16"/>
      <c r="DH140" s="16"/>
      <c r="DI140" s="16"/>
      <c r="DJ140" s="16"/>
    </row>
    <row r="141" spans="1:114" s="725" customFormat="1" ht="11.25" customHeight="1">
      <c r="A141" s="16"/>
      <c r="B141" s="77" t="s">
        <v>256</v>
      </c>
      <c r="C141" s="52"/>
      <c r="D141" s="1053"/>
      <c r="E141" s="1053">
        <f>E140/D140-1</f>
        <v>6.0335690804608877E-2</v>
      </c>
      <c r="F141" s="78">
        <f>F140/E140-1</f>
        <v>6.4135965496056935E-2</v>
      </c>
      <c r="G141" s="52"/>
      <c r="H141" s="52"/>
      <c r="I141" s="52"/>
      <c r="J141" s="52"/>
      <c r="K141" s="78">
        <f t="shared" ref="K141:Z141" si="284">K140/F140-1</f>
        <v>8.3934680981786691E-2</v>
      </c>
      <c r="L141" s="79">
        <f t="shared" si="284"/>
        <v>3.7270863034310819E-2</v>
      </c>
      <c r="M141" s="79">
        <f t="shared" si="284"/>
        <v>5.7812831053973834E-3</v>
      </c>
      <c r="N141" s="79">
        <f t="shared" si="284"/>
        <v>2.6017470681410471E-2</v>
      </c>
      <c r="O141" s="79">
        <f t="shared" si="284"/>
        <v>4.1725089691470707E-2</v>
      </c>
      <c r="P141" s="78">
        <f t="shared" si="284"/>
        <v>2.683464085408116E-2</v>
      </c>
      <c r="Q141" s="79">
        <f t="shared" si="284"/>
        <v>6.5090429607104205E-2</v>
      </c>
      <c r="R141" s="79">
        <f t="shared" si="284"/>
        <v>0.10731372004534045</v>
      </c>
      <c r="S141" s="79">
        <f t="shared" si="284"/>
        <v>4.754763234999082E-2</v>
      </c>
      <c r="T141" s="79">
        <f t="shared" si="284"/>
        <v>-2.5361972675571387E-2</v>
      </c>
      <c r="U141" s="78">
        <f t="shared" si="284"/>
        <v>4.5837137453355714E-2</v>
      </c>
      <c r="V141" s="79">
        <f t="shared" si="284"/>
        <v>9.4516232362860109E-3</v>
      </c>
      <c r="W141" s="79">
        <f t="shared" si="284"/>
        <v>-2.2259335696355187E-2</v>
      </c>
      <c r="X141" s="79">
        <f t="shared" si="284"/>
        <v>3.1485471589231429E-2</v>
      </c>
      <c r="Y141" s="79">
        <f t="shared" si="284"/>
        <v>7.6810465160133568E-2</v>
      </c>
      <c r="Z141" s="78">
        <f t="shared" si="284"/>
        <v>2.4448079089835151E-2</v>
      </c>
      <c r="AA141" s="98">
        <f t="shared" ref="AA141:BI141" si="285">AA140/V140-1</f>
        <v>5.771398952963902E-2</v>
      </c>
      <c r="AB141" s="98">
        <f t="shared" si="285"/>
        <v>6.6245427360728026E-2</v>
      </c>
      <c r="AC141" s="98">
        <f t="shared" si="285"/>
        <v>6.8968803769088538E-2</v>
      </c>
      <c r="AD141" s="98">
        <f t="shared" si="285"/>
        <v>6.8241527284447212E-2</v>
      </c>
      <c r="AE141" s="96">
        <f t="shared" si="285"/>
        <v>6.5230552558951382E-2</v>
      </c>
      <c r="AF141" s="98">
        <f t="shared" si="285"/>
        <v>6.1129903580587897E-2</v>
      </c>
      <c r="AG141" s="98">
        <f t="shared" si="285"/>
        <v>4.821991278231752E-2</v>
      </c>
      <c r="AH141" s="98">
        <f t="shared" si="285"/>
        <v>4.1495224424949351E-2</v>
      </c>
      <c r="AI141" s="98">
        <f t="shared" si="285"/>
        <v>3.728853271933863E-2</v>
      </c>
      <c r="AJ141" s="96">
        <f t="shared" si="285"/>
        <v>4.7676832642574052E-2</v>
      </c>
      <c r="AK141" s="98">
        <f t="shared" si="285"/>
        <v>6.4767564770940256E-2</v>
      </c>
      <c r="AL141" s="98">
        <f t="shared" si="285"/>
        <v>6.6539960846873747E-2</v>
      </c>
      <c r="AM141" s="98">
        <f t="shared" si="285"/>
        <v>0.17699574773423121</v>
      </c>
      <c r="AN141" s="98">
        <f t="shared" si="285"/>
        <v>0.1026551387704544</v>
      </c>
      <c r="AO141" s="96">
        <f t="shared" si="285"/>
        <v>0.11828034653796471</v>
      </c>
      <c r="AP141" s="98">
        <f t="shared" si="285"/>
        <v>0.10184806605519348</v>
      </c>
      <c r="AQ141" s="98">
        <f t="shared" si="285"/>
        <v>0.13072415234990875</v>
      </c>
      <c r="AR141" s="98">
        <f t="shared" si="285"/>
        <v>4.4358844821073218E-2</v>
      </c>
      <c r="AS141" s="98">
        <f t="shared" si="285"/>
        <v>9.3326474141635085E-2</v>
      </c>
      <c r="AT141" s="96">
        <f t="shared" si="285"/>
        <v>7.4684012666830002E-2</v>
      </c>
      <c r="AU141" s="98">
        <f t="shared" si="285"/>
        <v>0.11490841789273287</v>
      </c>
      <c r="AV141" s="98">
        <f t="shared" si="285"/>
        <v>4.1650914288858143E-2</v>
      </c>
      <c r="AW141" s="98">
        <f t="shared" si="285"/>
        <v>1.7006385197716911E-2</v>
      </c>
      <c r="AX141" s="98">
        <f t="shared" si="285"/>
        <v>3.2834033112749017E-2</v>
      </c>
      <c r="AY141" s="96">
        <f t="shared" si="285"/>
        <v>5.147962970422193E-2</v>
      </c>
      <c r="AZ141" s="98">
        <f t="shared" si="285"/>
        <v>1.452916140642424E-2</v>
      </c>
      <c r="BA141" s="98">
        <f t="shared" si="285"/>
        <v>4.9181935920070474E-2</v>
      </c>
      <c r="BB141" s="98">
        <f t="shared" si="285"/>
        <v>4.5932870748430998E-2</v>
      </c>
      <c r="BC141" s="98">
        <f t="shared" si="285"/>
        <v>4.1706884754580065E-2</v>
      </c>
      <c r="BD141" s="96">
        <f t="shared" si="285"/>
        <v>3.791245855775971E-2</v>
      </c>
      <c r="BE141" s="98">
        <f t="shared" si="285"/>
        <v>3.5881755285731565E-3</v>
      </c>
      <c r="BF141" s="98">
        <f t="shared" si="285"/>
        <v>1.2085835527220645E-2</v>
      </c>
      <c r="BG141" s="98">
        <f t="shared" si="285"/>
        <v>-6.2253085195982383E-3</v>
      </c>
      <c r="BH141" s="98">
        <f t="shared" si="285"/>
        <v>-9.590160132459058E-3</v>
      </c>
      <c r="BI141" s="96">
        <f t="shared" si="285"/>
        <v>-3.365124673700981E-4</v>
      </c>
      <c r="BJ141" s="79">
        <f>+BJ140/BE140-1</f>
        <v>4.6189224454797229E-2</v>
      </c>
      <c r="BK141" s="79">
        <f>+BK140/BF140-1</f>
        <v>5.0032523611105661E-2</v>
      </c>
      <c r="BL141" s="79">
        <f>+BL140/BG140-1</f>
        <v>3.1336861183251408E-2</v>
      </c>
      <c r="BM141" s="79">
        <f>+BM140/BH140-1</f>
        <v>3.8885482696043194E-2</v>
      </c>
      <c r="BN141" s="78">
        <f>BN140/BI140-1</f>
        <v>4.1519134151249526E-2</v>
      </c>
      <c r="BO141" s="79">
        <f t="shared" ref="BO141:CH141" si="286">BO140/BJ140-1</f>
        <v>1.1907132199256765E-2</v>
      </c>
      <c r="BP141" s="79">
        <f>+BP140/BK140-1</f>
        <v>7.1242920960608025E-3</v>
      </c>
      <c r="BQ141" s="79">
        <f>+BQ140/BL140-1</f>
        <v>6.164337349907667E-2</v>
      </c>
      <c r="BR141" s="79">
        <f>+BR140/BM140-1</f>
        <v>5.3871783861546341E-2</v>
      </c>
      <c r="BS141" s="78">
        <f t="shared" si="286"/>
        <v>3.3024628273059298E-2</v>
      </c>
      <c r="BT141" s="79">
        <f t="shared" si="286"/>
        <v>3.4548945059710512E-2</v>
      </c>
      <c r="BU141" s="79">
        <f t="shared" si="286"/>
        <v>-5.6311894000088403E-3</v>
      </c>
      <c r="BV141" s="79">
        <f t="shared" si="286"/>
        <v>-1.1083220922360804E-2</v>
      </c>
      <c r="BW141" s="79">
        <f t="shared" si="286"/>
        <v>-4.2224352165409762E-3</v>
      </c>
      <c r="BX141" s="78">
        <f t="shared" si="286"/>
        <v>3.9111984751993845E-3</v>
      </c>
      <c r="BY141" s="79">
        <f t="shared" si="286"/>
        <v>-1.4960886488172731E-2</v>
      </c>
      <c r="BZ141" s="79">
        <f t="shared" si="286"/>
        <v>2.1243225956942169E-2</v>
      </c>
      <c r="CA141" s="79">
        <f t="shared" si="286"/>
        <v>7.9527831513468428E-3</v>
      </c>
      <c r="CB141" s="79">
        <f t="shared" si="286"/>
        <v>3.672068982248855E-2</v>
      </c>
      <c r="CC141" s="78">
        <f t="shared" si="286"/>
        <v>1.2170645985996043E-2</v>
      </c>
      <c r="CD141" s="79">
        <f t="shared" si="286"/>
        <v>3.5739610564319291E-2</v>
      </c>
      <c r="CE141" s="79">
        <f t="shared" si="286"/>
        <v>1.3692743002357455E-2</v>
      </c>
      <c r="CF141" s="79">
        <f t="shared" si="286"/>
        <v>2.3402523326277347E-2</v>
      </c>
      <c r="CG141" s="79">
        <f t="shared" si="286"/>
        <v>4.3236923010689932E-3</v>
      </c>
      <c r="CH141" s="78">
        <f t="shared" si="286"/>
        <v>1.8557323020815142E-2</v>
      </c>
      <c r="CI141" s="79">
        <f t="shared" ref="CI141:CM141" si="287">CI140/CD140-1</f>
        <v>-6.5898711893684903E-3</v>
      </c>
      <c r="CJ141" s="79">
        <f t="shared" si="287"/>
        <v>1.8689357304104703E-2</v>
      </c>
      <c r="CK141" s="79">
        <f t="shared" si="287"/>
        <v>1.925092106164783E-2</v>
      </c>
      <c r="CL141" s="79">
        <f t="shared" si="287"/>
        <v>0.18323053809470191</v>
      </c>
      <c r="CM141" s="78">
        <f t="shared" si="287"/>
        <v>4.8121476333328195E-2</v>
      </c>
      <c r="CN141" s="79">
        <f t="shared" ref="CN141:CR141" ca="1" si="288">CN140/CI140-1</f>
        <v>0.12767870455938501</v>
      </c>
      <c r="CO141" s="79">
        <f t="shared" ca="1" si="288"/>
        <v>0.13607115615651644</v>
      </c>
      <c r="CP141" s="79">
        <f t="shared" ca="1" si="288"/>
        <v>0.10812976182848466</v>
      </c>
      <c r="CQ141" s="79">
        <f t="shared" ca="1" si="288"/>
        <v>5.7343910731852077E-2</v>
      </c>
      <c r="CR141" s="78">
        <f t="shared" ca="1" si="288"/>
        <v>0.10942854353997578</v>
      </c>
      <c r="CS141" s="79">
        <f t="shared" ref="CS141" ca="1" si="289">CS140/CN140-1</f>
        <v>0.10518320176436435</v>
      </c>
      <c r="CT141" s="79">
        <f t="shared" ref="CT141" ca="1" si="290">CT140/CO140-1</f>
        <v>3.2044754118501384E-2</v>
      </c>
      <c r="CU141" s="79">
        <f t="shared" ref="CU141" ca="1" si="291">CU140/CP140-1</f>
        <v>-1.085190918946799E-2</v>
      </c>
      <c r="CV141" s="79">
        <f t="shared" ref="CV141" ca="1" si="292">CV140/CQ140-1</f>
        <v>1.6561453634387435E-2</v>
      </c>
      <c r="CW141" s="78">
        <f t="shared" ref="CW141" ca="1" si="293">CW140/CR140-1</f>
        <v>3.7177155246170379E-2</v>
      </c>
      <c r="CX141" s="79">
        <f t="shared" ref="CX141" ca="1" si="294">CX140/CS140-1</f>
        <v>9.9200220446160614E-4</v>
      </c>
      <c r="CY141" s="79">
        <f t="shared" ref="CY141" ca="1" si="295">CY140/CT140-1</f>
        <v>1.3808841639524339E-3</v>
      </c>
      <c r="CZ141" s="79">
        <f t="shared" ref="CZ141" ca="1" si="296">CZ140/CU140-1</f>
        <v>3.5738678419712233E-3</v>
      </c>
      <c r="DA141" s="79">
        <f t="shared" ref="DA141" ca="1" si="297">DA140/CV140-1</f>
        <v>2.5436989856117975E-3</v>
      </c>
      <c r="DB141" s="78">
        <f t="shared" ref="DB141" ca="1" si="298">DB140/CW140-1</f>
        <v>2.2219889151176009E-3</v>
      </c>
      <c r="DC141" s="16"/>
      <c r="DD141" s="16"/>
      <c r="DE141" s="16"/>
      <c r="DF141" s="16"/>
      <c r="DG141" s="16"/>
      <c r="DH141" s="16"/>
      <c r="DI141" s="16"/>
      <c r="DJ141" s="16"/>
    </row>
    <row r="142" spans="1:114" s="725" customFormat="1" ht="11.25" customHeight="1">
      <c r="A142" s="16"/>
      <c r="B142" s="77"/>
      <c r="C142" s="52"/>
      <c r="D142" s="1053"/>
      <c r="E142" s="1053"/>
      <c r="F142" s="78"/>
      <c r="G142" s="52"/>
      <c r="H142" s="52"/>
      <c r="I142" s="52"/>
      <c r="J142" s="52"/>
      <c r="K142" s="78"/>
      <c r="L142" s="52"/>
      <c r="M142" s="52"/>
      <c r="N142" s="52"/>
      <c r="O142" s="52"/>
      <c r="P142" s="78"/>
      <c r="Q142" s="52"/>
      <c r="R142" s="52"/>
      <c r="S142" s="52"/>
      <c r="T142" s="52"/>
      <c r="U142" s="78"/>
      <c r="V142" s="52"/>
      <c r="W142" s="52"/>
      <c r="X142" s="52"/>
      <c r="Y142" s="52"/>
      <c r="Z142" s="78"/>
      <c r="AA142" s="52"/>
      <c r="AB142" s="52"/>
      <c r="AC142" s="52"/>
      <c r="AD142" s="52"/>
      <c r="AE142" s="78"/>
      <c r="AF142" s="52"/>
      <c r="AG142" s="52"/>
      <c r="AH142" s="52"/>
      <c r="AI142" s="52"/>
      <c r="AJ142" s="78"/>
      <c r="AK142" s="52"/>
      <c r="AL142" s="52"/>
      <c r="AM142" s="52"/>
      <c r="AN142" s="52"/>
      <c r="AO142" s="78"/>
      <c r="AP142" s="52"/>
      <c r="AQ142" s="52"/>
      <c r="AR142" s="52"/>
      <c r="AS142" s="52"/>
      <c r="AT142" s="78"/>
      <c r="AU142" s="52"/>
      <c r="AV142" s="52"/>
      <c r="AW142" s="52"/>
      <c r="AX142" s="52"/>
      <c r="AY142" s="78"/>
      <c r="AZ142" s="52"/>
      <c r="BA142" s="52"/>
      <c r="BB142" s="52"/>
      <c r="BC142" s="52"/>
      <c r="BD142" s="78"/>
      <c r="BE142" s="52"/>
      <c r="BF142" s="52"/>
      <c r="BG142" s="52"/>
      <c r="BH142" s="52"/>
      <c r="BI142" s="78"/>
      <c r="BJ142" s="52"/>
      <c r="BK142" s="52"/>
      <c r="BL142" s="52"/>
      <c r="BM142" s="52"/>
      <c r="BN142" s="78"/>
      <c r="BO142" s="52"/>
      <c r="BP142" s="52"/>
      <c r="BQ142" s="52"/>
      <c r="BR142" s="52"/>
      <c r="BS142" s="78"/>
      <c r="BT142" s="52"/>
      <c r="BU142" s="52"/>
      <c r="BV142" s="52"/>
      <c r="BW142" s="52"/>
      <c r="BX142" s="78"/>
      <c r="BY142" s="52"/>
      <c r="BZ142" s="52"/>
      <c r="CA142" s="52"/>
      <c r="CB142" s="52"/>
      <c r="CC142" s="78"/>
      <c r="CD142" s="52"/>
      <c r="CE142" s="52"/>
      <c r="CF142" s="52"/>
      <c r="CG142" s="52"/>
      <c r="CH142" s="78"/>
      <c r="CI142" s="52"/>
      <c r="CJ142" s="52"/>
      <c r="CK142" s="52"/>
      <c r="CL142" s="52"/>
      <c r="CM142" s="78"/>
      <c r="CN142" s="52"/>
      <c r="CO142" s="52"/>
      <c r="CP142" s="52"/>
      <c r="CQ142" s="52"/>
      <c r="CR142" s="78"/>
      <c r="CS142" s="52"/>
      <c r="CT142" s="52"/>
      <c r="CU142" s="52"/>
      <c r="CV142" s="52"/>
      <c r="CW142" s="78"/>
      <c r="CX142" s="52"/>
      <c r="CY142" s="52"/>
      <c r="CZ142" s="52"/>
      <c r="DA142" s="52"/>
      <c r="DB142" s="78"/>
      <c r="DC142" s="16"/>
      <c r="DD142" s="16"/>
      <c r="DE142" s="16"/>
      <c r="DF142" s="16"/>
      <c r="DG142" s="16"/>
      <c r="DH142" s="16"/>
      <c r="DI142" s="16"/>
      <c r="DJ142" s="16"/>
    </row>
    <row r="143" spans="1:114" s="725" customFormat="1" ht="11.25" customHeight="1">
      <c r="A143" s="16"/>
      <c r="B143" s="16" t="s">
        <v>276</v>
      </c>
      <c r="C143" s="1082"/>
      <c r="D143" s="1083"/>
      <c r="E143" s="1083">
        <f t="shared" ref="E143:AJ143" si="299">+E149*1000000/E90</f>
        <v>192959.90201729105</v>
      </c>
      <c r="F143" s="1084">
        <f t="shared" si="299"/>
        <v>203316.09836065574</v>
      </c>
      <c r="G143" s="1081">
        <f t="shared" si="299"/>
        <v>60946.017763541058</v>
      </c>
      <c r="H143" s="1081">
        <f t="shared" si="299"/>
        <v>56790.193916892764</v>
      </c>
      <c r="I143" s="1081">
        <f t="shared" si="299"/>
        <v>56467.009587217042</v>
      </c>
      <c r="J143" s="1081">
        <f t="shared" si="299"/>
        <v>61259.618748489978</v>
      </c>
      <c r="K143" s="1084">
        <f t="shared" si="299"/>
        <v>234086.18137977232</v>
      </c>
      <c r="L143" s="1081">
        <f t="shared" si="299"/>
        <v>62460.760975609759</v>
      </c>
      <c r="M143" s="1081">
        <f t="shared" si="299"/>
        <v>60876.807367953843</v>
      </c>
      <c r="N143" s="1081">
        <f t="shared" si="299"/>
        <v>62582.380482515589</v>
      </c>
      <c r="O143" s="1081">
        <f t="shared" si="299"/>
        <v>64390.946736373531</v>
      </c>
      <c r="P143" s="1084">
        <f t="shared" si="299"/>
        <v>250438.12168824842</v>
      </c>
      <c r="Q143" s="1081">
        <f t="shared" si="299"/>
        <v>67699.881454264163</v>
      </c>
      <c r="R143" s="1081">
        <f t="shared" si="299"/>
        <v>61143.534883720931</v>
      </c>
      <c r="S143" s="1081">
        <f t="shared" si="299"/>
        <v>61653.990827246482</v>
      </c>
      <c r="T143" s="1081">
        <f t="shared" si="299"/>
        <v>66252.666666666672</v>
      </c>
      <c r="U143" s="1084">
        <f t="shared" si="299"/>
        <v>256676.43588327552</v>
      </c>
      <c r="V143" s="1081">
        <f t="shared" si="299"/>
        <v>68226.552599660383</v>
      </c>
      <c r="W143" s="1081">
        <f t="shared" si="299"/>
        <v>65994.395880270356</v>
      </c>
      <c r="X143" s="1081">
        <f t="shared" si="299"/>
        <v>66026.474883684248</v>
      </c>
      <c r="Y143" s="1081">
        <f t="shared" si="299"/>
        <v>69264.802753011099</v>
      </c>
      <c r="Z143" s="1084">
        <f t="shared" si="299"/>
        <v>270419.15173581173</v>
      </c>
      <c r="AA143" s="1081">
        <f t="shared" si="299"/>
        <v>75043.032584625122</v>
      </c>
      <c r="AB143" s="1081">
        <f t="shared" si="299"/>
        <v>74174.428834601524</v>
      </c>
      <c r="AC143" s="1081">
        <f t="shared" si="299"/>
        <v>75083.379687751483</v>
      </c>
      <c r="AD143" s="1081">
        <f t="shared" si="299"/>
        <v>79090.812426268196</v>
      </c>
      <c r="AE143" s="1084">
        <f t="shared" si="299"/>
        <v>302220.37690990936</v>
      </c>
      <c r="AF143" s="1081">
        <f t="shared" si="299"/>
        <v>80362.974161796359</v>
      </c>
      <c r="AG143" s="1081">
        <f t="shared" si="299"/>
        <v>78854.63244291897</v>
      </c>
      <c r="AH143" s="1081">
        <f t="shared" si="299"/>
        <v>78782.038119621648</v>
      </c>
      <c r="AI143" s="1081">
        <f t="shared" si="299"/>
        <v>80101.377753303983</v>
      </c>
      <c r="AJ143" s="1084">
        <f t="shared" si="299"/>
        <v>317772.84151020175</v>
      </c>
      <c r="AK143" s="1081">
        <f t="shared" ref="AK143:BP143" si="300">+AK149*1000000/AK90</f>
        <v>82649.753200762745</v>
      </c>
      <c r="AL143" s="1081">
        <f t="shared" si="300"/>
        <v>79474.942857142858</v>
      </c>
      <c r="AM143" s="1081">
        <f t="shared" si="300"/>
        <v>118937.26765475153</v>
      </c>
      <c r="AN143" s="1081">
        <f t="shared" si="300"/>
        <v>95079.335257919927</v>
      </c>
      <c r="AO143" s="1084">
        <f t="shared" si="300"/>
        <v>370872.69528767909</v>
      </c>
      <c r="AP143" s="1081">
        <f t="shared" si="300"/>
        <v>94975.082101525972</v>
      </c>
      <c r="AQ143" s="1081">
        <f t="shared" si="300"/>
        <v>90925.172191497302</v>
      </c>
      <c r="AR143" s="1081">
        <f t="shared" si="300"/>
        <v>92826.40463524549</v>
      </c>
      <c r="AS143" s="1081">
        <f t="shared" si="300"/>
        <v>93991.659908700327</v>
      </c>
      <c r="AT143" s="1084">
        <f t="shared" si="300"/>
        <v>372339.13725649461</v>
      </c>
      <c r="AU143" s="1081">
        <f t="shared" si="300"/>
        <v>99641.77680612143</v>
      </c>
      <c r="AV143" s="1081">
        <f t="shared" si="300"/>
        <v>95527.912957087465</v>
      </c>
      <c r="AW143" s="1081">
        <f t="shared" si="300"/>
        <v>95930.354489744874</v>
      </c>
      <c r="AX143" s="1081">
        <f t="shared" si="300"/>
        <v>97971.172431140731</v>
      </c>
      <c r="AY143" s="1084">
        <f t="shared" si="300"/>
        <v>389808.97572691174</v>
      </c>
      <c r="AZ143" s="1081">
        <f t="shared" si="300"/>
        <v>100230.11679748823</v>
      </c>
      <c r="BA143" s="1081">
        <f t="shared" si="300"/>
        <v>96744.788598277199</v>
      </c>
      <c r="BB143" s="1081">
        <f t="shared" si="300"/>
        <v>96821.785413350794</v>
      </c>
      <c r="BC143" s="1081">
        <f t="shared" si="300"/>
        <v>101582.42510629186</v>
      </c>
      <c r="BD143" s="1084">
        <f t="shared" si="300"/>
        <v>394473.11960504251</v>
      </c>
      <c r="BE143" s="1081">
        <f t="shared" si="300"/>
        <v>100422.33870967742</v>
      </c>
      <c r="BF143" s="1081">
        <f t="shared" si="300"/>
        <v>95903.732265928324</v>
      </c>
      <c r="BG143" s="1081">
        <f t="shared" si="300"/>
        <v>91187.309629361567</v>
      </c>
      <c r="BH143" s="1081">
        <f t="shared" si="300"/>
        <v>91803.123988733743</v>
      </c>
      <c r="BI143" s="1084">
        <f t="shared" si="300"/>
        <v>378841.96472129109</v>
      </c>
      <c r="BJ143" s="1081">
        <f t="shared" si="300"/>
        <v>102508.92453717308</v>
      </c>
      <c r="BK143" s="1081">
        <f t="shared" si="300"/>
        <v>99169.511897143515</v>
      </c>
      <c r="BL143" s="1081">
        <f t="shared" si="300"/>
        <v>93559.191733906075</v>
      </c>
      <c r="BM143" s="1081">
        <f t="shared" si="300"/>
        <v>95012.091949727692</v>
      </c>
      <c r="BN143" s="1084">
        <f t="shared" si="300"/>
        <v>390754.97142391303</v>
      </c>
      <c r="BO143" s="1081">
        <f t="shared" si="300"/>
        <v>98240.557724202852</v>
      </c>
      <c r="BP143" s="1081">
        <f t="shared" si="300"/>
        <v>95448.268454593795</v>
      </c>
      <c r="BQ143" s="1081">
        <f t="shared" ref="BQ143:CW143" si="301">+BQ149*1000000/BQ90</f>
        <v>93653.298026705437</v>
      </c>
      <c r="BR143" s="1081">
        <f t="shared" si="301"/>
        <v>89346.20235996315</v>
      </c>
      <c r="BS143" s="1084">
        <f t="shared" si="301"/>
        <v>376607.27557835047</v>
      </c>
      <c r="BT143" s="1081">
        <f t="shared" si="301"/>
        <v>101319.34871380593</v>
      </c>
      <c r="BU143" s="1081">
        <f t="shared" si="301"/>
        <v>89682.820944681633</v>
      </c>
      <c r="BV143" s="1081">
        <f t="shared" si="301"/>
        <v>91346.723994913322</v>
      </c>
      <c r="BW143" s="1081">
        <f t="shared" si="301"/>
        <v>91017.137055582207</v>
      </c>
      <c r="BX143" s="1084">
        <f t="shared" si="301"/>
        <v>381596.62420237396</v>
      </c>
      <c r="BY143" s="1081">
        <f t="shared" si="301"/>
        <v>92972.907601658924</v>
      </c>
      <c r="BZ143" s="1081">
        <f t="shared" si="301"/>
        <v>90220.553223509502</v>
      </c>
      <c r="CA143" s="1081">
        <f t="shared" si="301"/>
        <v>88534.197585312446</v>
      </c>
      <c r="CB143" s="1081">
        <f t="shared" si="301"/>
        <v>94402.208614759671</v>
      </c>
      <c r="CC143" s="1084">
        <f t="shared" si="301"/>
        <v>365670.07258240937</v>
      </c>
      <c r="CD143" s="1081">
        <f t="shared" si="301"/>
        <v>96293.945436555616</v>
      </c>
      <c r="CE143" s="1081">
        <f t="shared" si="301"/>
        <v>90532.328213314569</v>
      </c>
      <c r="CF143" s="1081">
        <f t="shared" si="301"/>
        <v>92774.739163996128</v>
      </c>
      <c r="CG143" s="1081">
        <f t="shared" si="301"/>
        <v>96418.101067794996</v>
      </c>
      <c r="CH143" s="1084">
        <f t="shared" si="301"/>
        <v>375165.3275375801</v>
      </c>
      <c r="CI143" s="1081">
        <f t="shared" si="301"/>
        <v>96097.759578351528</v>
      </c>
      <c r="CJ143" s="1081">
        <f t="shared" si="301"/>
        <v>91215.703218566268</v>
      </c>
      <c r="CK143" s="1081">
        <f t="shared" ref="CK143:CL143" si="302">+CK149*1000000/CK90</f>
        <v>90399.656397439394</v>
      </c>
      <c r="CL143" s="1081">
        <f t="shared" si="302"/>
        <v>110575.44818904743</v>
      </c>
      <c r="CM143" s="1084">
        <f t="shared" si="301"/>
        <v>388415.89596944401</v>
      </c>
      <c r="CN143" s="1081">
        <f t="shared" ca="1" si="301"/>
        <v>88883.330433173862</v>
      </c>
      <c r="CO143" s="1081">
        <f t="shared" ca="1" si="301"/>
        <v>84973.796872582738</v>
      </c>
      <c r="CP143" s="1081">
        <f t="shared" ca="1" si="301"/>
        <v>79312.110465215344</v>
      </c>
      <c r="CQ143" s="1081">
        <f t="shared" ca="1" si="301"/>
        <v>91252.590582928271</v>
      </c>
      <c r="CR143" s="1084">
        <f t="shared" ca="1" si="301"/>
        <v>344421.82835390017</v>
      </c>
      <c r="CS143" s="1081">
        <f t="shared" ca="1" si="301"/>
        <v>78261.393387789125</v>
      </c>
      <c r="CT143" s="1081">
        <f t="shared" ca="1" si="301"/>
        <v>78539.496990930158</v>
      </c>
      <c r="CU143" s="1081">
        <f t="shared" ca="1" si="301"/>
        <v>78492.546367877643</v>
      </c>
      <c r="CV143" s="1081">
        <f t="shared" ca="1" si="301"/>
        <v>91529.082698671948</v>
      </c>
      <c r="CW143" s="1084">
        <f t="shared" ca="1" si="301"/>
        <v>326822.51944526884</v>
      </c>
      <c r="CX143" s="1081">
        <f t="shared" ref="CX143:DB143" ca="1" si="303">+CX149*1000000/CX90</f>
        <v>78314.28114795062</v>
      </c>
      <c r="CY143" s="1081">
        <f t="shared" ca="1" si="303"/>
        <v>78640.069722451066</v>
      </c>
      <c r="CZ143" s="1081">
        <f t="shared" ca="1" si="303"/>
        <v>78159.308066684171</v>
      </c>
      <c r="DA143" s="1081">
        <f t="shared" ca="1" si="303"/>
        <v>91665.776487284966</v>
      </c>
      <c r="DB143" s="1084">
        <f t="shared" ca="1" si="303"/>
        <v>326779.43542437081</v>
      </c>
      <c r="DC143" s="16"/>
      <c r="DD143" s="16"/>
      <c r="DE143" s="16"/>
      <c r="DF143" s="16"/>
      <c r="DG143" s="16"/>
      <c r="DH143" s="16"/>
      <c r="DI143" s="16"/>
      <c r="DJ143" s="16"/>
    </row>
    <row r="144" spans="1:114" s="725" customFormat="1" ht="11.25" customHeight="1">
      <c r="A144" s="16"/>
      <c r="B144" s="77" t="s">
        <v>256</v>
      </c>
      <c r="C144" s="52"/>
      <c r="D144" s="1053"/>
      <c r="E144" s="1053"/>
      <c r="F144" s="78">
        <f>F143/E143-1</f>
        <v>5.3670199015942055E-2</v>
      </c>
      <c r="G144" s="52"/>
      <c r="H144" s="52"/>
      <c r="I144" s="52"/>
      <c r="J144" s="52"/>
      <c r="K144" s="78">
        <f t="shared" ref="K144:Z144" si="304">K143/F143-1</f>
        <v>0.15134110514227217</v>
      </c>
      <c r="L144" s="79">
        <f t="shared" si="304"/>
        <v>2.4853850467238425E-2</v>
      </c>
      <c r="M144" s="79">
        <f t="shared" si="304"/>
        <v>7.1959843226481413E-2</v>
      </c>
      <c r="N144" s="79">
        <f t="shared" si="304"/>
        <v>0.10829988943992075</v>
      </c>
      <c r="O144" s="79">
        <f t="shared" si="304"/>
        <v>5.1115695001950012E-2</v>
      </c>
      <c r="P144" s="78">
        <f t="shared" si="304"/>
        <v>6.9854359672548716E-2</v>
      </c>
      <c r="Q144" s="79">
        <f t="shared" si="304"/>
        <v>8.3878588682264388E-2</v>
      </c>
      <c r="R144" s="79">
        <f t="shared" si="304"/>
        <v>4.3814307500542604E-3</v>
      </c>
      <c r="S144" s="79">
        <f t="shared" si="304"/>
        <v>-1.4834681073349176E-2</v>
      </c>
      <c r="T144" s="79">
        <f t="shared" si="304"/>
        <v>2.8912759085765627E-2</v>
      </c>
      <c r="U144" s="78">
        <f t="shared" si="304"/>
        <v>2.4909603030774718E-2</v>
      </c>
      <c r="V144" s="79">
        <f t="shared" si="304"/>
        <v>7.7794987831998341E-3</v>
      </c>
      <c r="W144" s="79">
        <f t="shared" si="304"/>
        <v>7.9335632226277042E-2</v>
      </c>
      <c r="X144" s="79">
        <f t="shared" si="304"/>
        <v>7.0919724705078568E-2</v>
      </c>
      <c r="Y144" s="79">
        <f t="shared" si="304"/>
        <v>4.5464375064315776E-2</v>
      </c>
      <c r="Z144" s="78">
        <f t="shared" si="304"/>
        <v>5.3541010904428088E-2</v>
      </c>
      <c r="AA144" s="98">
        <f t="shared" ref="AA144:BI144" si="305">AA143/V143-1</f>
        <v>9.9909488684888803E-2</v>
      </c>
      <c r="AB144" s="98">
        <f t="shared" si="305"/>
        <v>0.12395041798960782</v>
      </c>
      <c r="AC144" s="98">
        <f t="shared" si="305"/>
        <v>0.13717080640791979</v>
      </c>
      <c r="AD144" s="98">
        <f t="shared" si="305"/>
        <v>0.14186151238018119</v>
      </c>
      <c r="AE144" s="96">
        <f t="shared" si="305"/>
        <v>0.11759975197750094</v>
      </c>
      <c r="AF144" s="98">
        <f t="shared" si="305"/>
        <v>7.0891878885251725E-2</v>
      </c>
      <c r="AG144" s="98">
        <f t="shared" si="305"/>
        <v>6.309726521458825E-2</v>
      </c>
      <c r="AH144" s="98">
        <f t="shared" si="305"/>
        <v>4.926068122201932E-2</v>
      </c>
      <c r="AI144" s="98">
        <f t="shared" si="305"/>
        <v>1.277727837197129E-2</v>
      </c>
      <c r="AJ144" s="96">
        <f t="shared" si="305"/>
        <v>5.146067501903917E-2</v>
      </c>
      <c r="AK144" s="98">
        <f t="shared" si="305"/>
        <v>2.84556297575842E-2</v>
      </c>
      <c r="AL144" s="98">
        <f t="shared" si="305"/>
        <v>7.8665056827564861E-3</v>
      </c>
      <c r="AM144" s="98">
        <f t="shared" si="305"/>
        <v>0.5097003135938003</v>
      </c>
      <c r="AN144" s="98">
        <f t="shared" si="305"/>
        <v>0.18698751413171721</v>
      </c>
      <c r="AO144" s="96">
        <f t="shared" si="305"/>
        <v>0.16710003764048098</v>
      </c>
      <c r="AP144" s="98">
        <f t="shared" si="305"/>
        <v>0.14912723176346376</v>
      </c>
      <c r="AQ144" s="98">
        <f t="shared" si="305"/>
        <v>0.14407345161526397</v>
      </c>
      <c r="AR144" s="98">
        <f t="shared" si="305"/>
        <v>-0.21953474747124746</v>
      </c>
      <c r="AS144" s="98">
        <f t="shared" si="305"/>
        <v>-1.1439660850268707E-2</v>
      </c>
      <c r="AT144" s="96">
        <f t="shared" si="305"/>
        <v>3.9540305540100018E-3</v>
      </c>
      <c r="AU144" s="98">
        <f t="shared" si="305"/>
        <v>4.9135990212747283E-2</v>
      </c>
      <c r="AV144" s="98">
        <f t="shared" si="305"/>
        <v>5.0621193830640676E-2</v>
      </c>
      <c r="AW144" s="98">
        <f t="shared" si="305"/>
        <v>3.3438221233453191E-2</v>
      </c>
      <c r="AX144" s="98">
        <f t="shared" si="305"/>
        <v>4.2338996101419335E-2</v>
      </c>
      <c r="AY144" s="96">
        <f t="shared" si="305"/>
        <v>4.691915708657457E-2</v>
      </c>
      <c r="AZ144" s="98">
        <f t="shared" si="305"/>
        <v>5.9045513862279186E-3</v>
      </c>
      <c r="BA144" s="98">
        <f t="shared" si="305"/>
        <v>1.2738430093582886E-2</v>
      </c>
      <c r="BB144" s="98">
        <f t="shared" si="305"/>
        <v>9.2924802409775076E-3</v>
      </c>
      <c r="BC144" s="98">
        <f t="shared" si="305"/>
        <v>3.6860359895042771E-2</v>
      </c>
      <c r="BD144" s="96">
        <f t="shared" si="305"/>
        <v>1.1965203903868904E-2</v>
      </c>
      <c r="BE144" s="98">
        <f t="shared" si="305"/>
        <v>1.9178059283078142E-3</v>
      </c>
      <c r="BF144" s="98">
        <f t="shared" si="305"/>
        <v>-8.6935569815680402E-3</v>
      </c>
      <c r="BG144" s="98">
        <f t="shared" si="305"/>
        <v>-5.8194297491360736E-2</v>
      </c>
      <c r="BH144" s="98">
        <f t="shared" si="305"/>
        <v>-9.6269616592884466E-2</v>
      </c>
      <c r="BI144" s="96">
        <f t="shared" si="305"/>
        <v>-3.9625399315932452E-2</v>
      </c>
      <c r="BJ144" s="79">
        <f>+BJ143/BE143-1</f>
        <v>2.0778104297371591E-2</v>
      </c>
      <c r="BK144" s="79">
        <f>+BK143/BF143-1</f>
        <v>3.4052685480056466E-2</v>
      </c>
      <c r="BL144" s="79">
        <f>+BL143/BG143-1</f>
        <v>2.6011098629680207E-2</v>
      </c>
      <c r="BM144" s="79">
        <f>+BM143/BH143-1</f>
        <v>3.4954888478389456E-2</v>
      </c>
      <c r="BN144" s="78">
        <f>BN143/BI143-1</f>
        <v>3.1445847640944935E-2</v>
      </c>
      <c r="BO144" s="79">
        <f t="shared" ref="BO144:CH144" si="306">BO143/BJ143-1</f>
        <v>-4.1638977603578153E-2</v>
      </c>
      <c r="BP144" s="79">
        <f>+BP143/BK143-1</f>
        <v>-3.7524067340467648E-2</v>
      </c>
      <c r="BQ144" s="79">
        <f>+BQ143/BL143-1</f>
        <v>1.0058476463437049E-3</v>
      </c>
      <c r="BR144" s="79">
        <f>+BR143/BM143-1</f>
        <v>-5.9633352697490816E-2</v>
      </c>
      <c r="BS144" s="78">
        <f t="shared" si="306"/>
        <v>-3.620605463830262E-2</v>
      </c>
      <c r="BT144" s="79">
        <f t="shared" si="306"/>
        <v>3.1339306910760589E-2</v>
      </c>
      <c r="BU144" s="79">
        <f t="shared" si="306"/>
        <v>-6.040389839711835E-2</v>
      </c>
      <c r="BV144" s="79">
        <f t="shared" si="306"/>
        <v>-2.4628860706372491E-2</v>
      </c>
      <c r="BW144" s="79">
        <f t="shared" si="306"/>
        <v>1.8701798750069942E-2</v>
      </c>
      <c r="BX144" s="78">
        <f t="shared" si="306"/>
        <v>1.3248147201514904E-2</v>
      </c>
      <c r="BY144" s="79">
        <f t="shared" si="306"/>
        <v>-8.2377563793101127E-2</v>
      </c>
      <c r="BZ144" s="79">
        <f t="shared" si="306"/>
        <v>5.9959340391351201E-3</v>
      </c>
      <c r="CA144" s="79">
        <f t="shared" si="306"/>
        <v>-3.0789570622778872E-2</v>
      </c>
      <c r="CB144" s="79">
        <f t="shared" si="306"/>
        <v>3.7191584669492128E-2</v>
      </c>
      <c r="CC144" s="78">
        <f t="shared" si="306"/>
        <v>-4.173661560359665E-2</v>
      </c>
      <c r="CD144" s="79">
        <f t="shared" si="306"/>
        <v>3.5720490200496169E-2</v>
      </c>
      <c r="CE144" s="79">
        <f t="shared" si="306"/>
        <v>3.4556980495639156E-3</v>
      </c>
      <c r="CF144" s="79">
        <f t="shared" si="306"/>
        <v>4.7897215927183989E-2</v>
      </c>
      <c r="CG144" s="79">
        <f t="shared" si="306"/>
        <v>2.1354293322329632E-2</v>
      </c>
      <c r="CH144" s="78">
        <f t="shared" si="306"/>
        <v>2.5966727022843417E-2</v>
      </c>
      <c r="CI144" s="79">
        <f t="shared" ref="CI144:CM144" si="307">CI143/CD143-1</f>
        <v>-2.0373644190677664E-3</v>
      </c>
      <c r="CJ144" s="79">
        <f t="shared" si="307"/>
        <v>7.5484086042889587E-3</v>
      </c>
      <c r="CK144" s="79">
        <f t="shared" si="307"/>
        <v>-2.560053294634812E-2</v>
      </c>
      <c r="CL144" s="79">
        <f t="shared" si="307"/>
        <v>0.14683287644607201</v>
      </c>
      <c r="CM144" s="78">
        <f t="shared" si="307"/>
        <v>3.5319277820353934E-2</v>
      </c>
      <c r="CN144" s="79">
        <f t="shared" ref="CN144:CR144" ca="1" si="308">CN143/CI143-1</f>
        <v>-7.507385371763553E-2</v>
      </c>
      <c r="CO144" s="79">
        <f t="shared" ca="1" si="308"/>
        <v>-6.843017293883058E-2</v>
      </c>
      <c r="CP144" s="79">
        <f t="shared" ca="1" si="308"/>
        <v>-0.12265031056620379</v>
      </c>
      <c r="CQ144" s="79">
        <f t="shared" ca="1" si="308"/>
        <v>-0.17474817351030281</v>
      </c>
      <c r="CR144" s="78">
        <f t="shared" ca="1" si="308"/>
        <v>-0.11326536342118387</v>
      </c>
      <c r="CS144" s="79">
        <f t="shared" ref="CS144" ca="1" si="309">CS143/CN143-1</f>
        <v>-0.1195042646761616</v>
      </c>
      <c r="CT144" s="79">
        <f t="shared" ref="CT144" ca="1" si="310">CT143/CO143-1</f>
        <v>-7.5720988333624062E-2</v>
      </c>
      <c r="CU144" s="79">
        <f t="shared" ref="CU144" ca="1" si="311">CU143/CP143-1</f>
        <v>-1.0333404224530662E-2</v>
      </c>
      <c r="CV144" s="79">
        <f t="shared" ref="CV144" ca="1" si="312">CV143/CQ143-1</f>
        <v>3.0299645629501271E-3</v>
      </c>
      <c r="CW144" s="78">
        <f t="shared" ref="CW144" ca="1" si="313">CW143/CR143-1</f>
        <v>-5.1098122882466401E-2</v>
      </c>
      <c r="CX144" s="79">
        <f t="shared" ref="CX144" ca="1" si="314">CX143/CS143-1</f>
        <v>6.757835232940046E-4</v>
      </c>
      <c r="CY144" s="79">
        <f t="shared" ref="CY144" ca="1" si="315">CY143/CT143-1</f>
        <v>1.2805369957045176E-3</v>
      </c>
      <c r="CZ144" s="79">
        <f t="shared" ref="CZ144" ca="1" si="316">CZ143/CU143-1</f>
        <v>-4.2454770116853169E-3</v>
      </c>
      <c r="DA144" s="79">
        <f t="shared" ref="DA144" ca="1" si="317">DA143/CV143-1</f>
        <v>1.4934465044627032E-3</v>
      </c>
      <c r="DB144" s="78">
        <f t="shared" ref="DB144" ca="1" si="318">DB143/CW143-1</f>
        <v>-1.3182696520164239E-4</v>
      </c>
      <c r="DC144" s="16"/>
      <c r="DD144" s="16"/>
      <c r="DE144" s="16"/>
      <c r="DF144" s="16"/>
      <c r="DG144" s="16"/>
      <c r="DH144" s="16"/>
      <c r="DI144" s="16"/>
      <c r="DJ144" s="16"/>
    </row>
    <row r="145" spans="1:114" s="725" customFormat="1" ht="11.25" customHeight="1">
      <c r="A145" s="16"/>
      <c r="B145" s="77"/>
      <c r="C145" s="52"/>
      <c r="D145" s="1053"/>
      <c r="E145" s="1053"/>
      <c r="F145" s="78"/>
      <c r="G145" s="52"/>
      <c r="H145" s="52"/>
      <c r="I145" s="52"/>
      <c r="J145" s="52"/>
      <c r="K145" s="78"/>
      <c r="L145" s="52"/>
      <c r="M145" s="52"/>
      <c r="N145" s="52"/>
      <c r="O145" s="52"/>
      <c r="P145" s="78"/>
      <c r="Q145" s="52"/>
      <c r="R145" s="52"/>
      <c r="S145" s="52"/>
      <c r="T145" s="52"/>
      <c r="U145" s="78"/>
      <c r="V145" s="52"/>
      <c r="W145" s="52"/>
      <c r="X145" s="52"/>
      <c r="Y145" s="52"/>
      <c r="Z145" s="78"/>
      <c r="AA145" s="52"/>
      <c r="AB145" s="52"/>
      <c r="AC145" s="52"/>
      <c r="AD145" s="52"/>
      <c r="AE145" s="78"/>
      <c r="AF145" s="52"/>
      <c r="AG145" s="52"/>
      <c r="AH145" s="52"/>
      <c r="AI145" s="52"/>
      <c r="AJ145" s="78"/>
      <c r="AK145" s="52"/>
      <c r="AL145" s="52"/>
      <c r="AM145" s="52"/>
      <c r="AN145" s="52"/>
      <c r="AO145" s="78"/>
      <c r="AP145" s="52"/>
      <c r="AQ145" s="52"/>
      <c r="AR145" s="52"/>
      <c r="AS145" s="52"/>
      <c r="AT145" s="78"/>
      <c r="AU145" s="52"/>
      <c r="AV145" s="52"/>
      <c r="AW145" s="52"/>
      <c r="AX145" s="52"/>
      <c r="AY145" s="78"/>
      <c r="AZ145" s="52"/>
      <c r="BA145" s="52"/>
      <c r="BB145" s="52"/>
      <c r="BC145" s="52"/>
      <c r="BD145" s="78"/>
      <c r="BE145" s="52"/>
      <c r="BF145" s="52"/>
      <c r="BG145" s="52"/>
      <c r="BH145" s="52"/>
      <c r="BI145" s="78"/>
      <c r="BJ145" s="52"/>
      <c r="BK145" s="52"/>
      <c r="BL145" s="52"/>
      <c r="BM145" s="52"/>
      <c r="BN145" s="78"/>
      <c r="BO145" s="52"/>
      <c r="BP145" s="52"/>
      <c r="BQ145" s="52"/>
      <c r="BR145" s="52"/>
      <c r="BS145" s="78"/>
      <c r="BT145" s="52"/>
      <c r="BU145" s="52"/>
      <c r="BV145" s="52"/>
      <c r="BW145" s="52"/>
      <c r="BX145" s="78"/>
      <c r="BY145" s="52"/>
      <c r="BZ145" s="52"/>
      <c r="CA145" s="52"/>
      <c r="CB145" s="52"/>
      <c r="CC145" s="78"/>
      <c r="CD145" s="52"/>
      <c r="CE145" s="52"/>
      <c r="CF145" s="52"/>
      <c r="CG145" s="52"/>
      <c r="CH145" s="78"/>
      <c r="CI145" s="52"/>
      <c r="CJ145" s="52"/>
      <c r="CK145" s="52"/>
      <c r="CL145" s="52"/>
      <c r="CM145" s="78"/>
      <c r="CN145" s="52"/>
      <c r="CO145" s="52"/>
      <c r="CP145" s="52"/>
      <c r="CQ145" s="52"/>
      <c r="CR145" s="78"/>
      <c r="CS145" s="52"/>
      <c r="CT145" s="52"/>
      <c r="CU145" s="52"/>
      <c r="CV145" s="52"/>
      <c r="CW145" s="78"/>
      <c r="CX145" s="52"/>
      <c r="CY145" s="52"/>
      <c r="CZ145" s="52"/>
      <c r="DA145" s="52"/>
      <c r="DB145" s="78"/>
      <c r="DC145" s="16"/>
      <c r="DD145" s="16"/>
      <c r="DE145" s="16"/>
      <c r="DF145" s="16"/>
      <c r="DG145" s="16"/>
      <c r="DH145" s="16"/>
      <c r="DI145" s="16"/>
      <c r="DJ145" s="16"/>
    </row>
    <row r="146" spans="1:114" s="725" customFormat="1" ht="11.25" customHeight="1">
      <c r="A146" s="16"/>
      <c r="B146" s="16" t="s">
        <v>277</v>
      </c>
      <c r="C146" s="1082"/>
      <c r="D146" s="1083"/>
      <c r="E146" s="1083">
        <f t="shared" ref="E146:AJ146" si="319">E157/E90*1000000</f>
        <v>359557.16087472456</v>
      </c>
      <c r="F146" s="1084">
        <f t="shared" si="319"/>
        <v>391881.81311475404</v>
      </c>
      <c r="G146" s="1081">
        <f t="shared" si="319"/>
        <v>114810.68870122306</v>
      </c>
      <c r="H146" s="1081">
        <f t="shared" si="319"/>
        <v>113122.40239897187</v>
      </c>
      <c r="I146" s="1081">
        <f t="shared" si="319"/>
        <v>109605.90466045274</v>
      </c>
      <c r="J146" s="1081">
        <f t="shared" si="319"/>
        <v>113866.74897318194</v>
      </c>
      <c r="K146" s="1084">
        <f t="shared" si="319"/>
        <v>448284.70006697922</v>
      </c>
      <c r="L146" s="1081">
        <f t="shared" si="319"/>
        <v>116759.03614190686</v>
      </c>
      <c r="M146" s="1081">
        <f t="shared" si="319"/>
        <v>116219.35952063915</v>
      </c>
      <c r="N146" s="1081">
        <f t="shared" si="319"/>
        <v>118450.94236920576</v>
      </c>
      <c r="O146" s="1081">
        <f t="shared" si="319"/>
        <v>119358.82809669241</v>
      </c>
      <c r="P146" s="1084">
        <f t="shared" si="319"/>
        <v>470921.14536490227</v>
      </c>
      <c r="Q146" s="1081">
        <f t="shared" si="319"/>
        <v>126092.62289692518</v>
      </c>
      <c r="R146" s="1081">
        <f t="shared" si="319"/>
        <v>120216.47197257481</v>
      </c>
      <c r="S146" s="1081">
        <f t="shared" si="319"/>
        <v>121342.91421776796</v>
      </c>
      <c r="T146" s="1081">
        <f t="shared" si="319"/>
        <v>126716.26537216829</v>
      </c>
      <c r="U146" s="1084">
        <f t="shared" si="319"/>
        <v>494506.24489164772</v>
      </c>
      <c r="V146" s="1081">
        <f t="shared" si="319"/>
        <v>131000.30080051749</v>
      </c>
      <c r="W146" s="1081">
        <f t="shared" si="319"/>
        <v>129369.96652719665</v>
      </c>
      <c r="X146" s="1081">
        <f t="shared" si="319"/>
        <v>131387.36030281521</v>
      </c>
      <c r="Y146" s="1081">
        <f t="shared" si="319"/>
        <v>134439.16439856091</v>
      </c>
      <c r="Z146" s="1084">
        <f t="shared" si="319"/>
        <v>528005.56801124208</v>
      </c>
      <c r="AA146" s="1081">
        <f t="shared" si="319"/>
        <v>143001.077507118</v>
      </c>
      <c r="AB146" s="1081">
        <f t="shared" si="319"/>
        <v>145405.42795354425</v>
      </c>
      <c r="AC146" s="1081">
        <f t="shared" si="319"/>
        <v>147624.09512312894</v>
      </c>
      <c r="AD146" s="1081">
        <f t="shared" si="319"/>
        <v>152311.60361777429</v>
      </c>
      <c r="AE146" s="1084">
        <f t="shared" si="319"/>
        <v>586010.22617764527</v>
      </c>
      <c r="AF146" s="1081">
        <f t="shared" si="319"/>
        <v>155831.54321747154</v>
      </c>
      <c r="AG146" s="1081">
        <f t="shared" si="319"/>
        <v>156284.18116699002</v>
      </c>
      <c r="AH146" s="1081">
        <f t="shared" si="319"/>
        <v>157883.67882796386</v>
      </c>
      <c r="AI146" s="1081">
        <f t="shared" si="319"/>
        <v>157341.99201541851</v>
      </c>
      <c r="AJ146" s="1084">
        <f t="shared" si="319"/>
        <v>626839.8572923328</v>
      </c>
      <c r="AK146" s="1081">
        <f t="shared" ref="AK146:BP146" si="320">AK157/AK90*1000000</f>
        <v>162183.74189594114</v>
      </c>
      <c r="AL146" s="1081">
        <f t="shared" si="320"/>
        <v>163080.6</v>
      </c>
      <c r="AM146" s="1081">
        <f t="shared" si="320"/>
        <v>236185.77086004408</v>
      </c>
      <c r="AN146" s="1081">
        <f t="shared" si="320"/>
        <v>187085.39907315961</v>
      </c>
      <c r="AO146" s="1084">
        <f t="shared" si="320"/>
        <v>736768.05808924511</v>
      </c>
      <c r="AP146" s="1081">
        <f t="shared" si="320"/>
        <v>181570.00989997614</v>
      </c>
      <c r="AQ146" s="1081">
        <f t="shared" si="320"/>
        <v>178381.3117090218</v>
      </c>
      <c r="AR146" s="1081">
        <f t="shared" si="320"/>
        <v>183585.82455189241</v>
      </c>
      <c r="AS146" s="1081">
        <f t="shared" si="320"/>
        <v>181865.51946831364</v>
      </c>
      <c r="AT146" s="1084">
        <f t="shared" si="320"/>
        <v>724677.0870053746</v>
      </c>
      <c r="AU146" s="1081">
        <f t="shared" si="320"/>
        <v>191618.80155023353</v>
      </c>
      <c r="AV146" s="1081">
        <f t="shared" si="320"/>
        <v>188735.30980995414</v>
      </c>
      <c r="AW146" s="1081">
        <f t="shared" si="320"/>
        <v>188579.38900700348</v>
      </c>
      <c r="AX146" s="1081">
        <f t="shared" si="320"/>
        <v>189916.34020877877</v>
      </c>
      <c r="AY146" s="1084">
        <f t="shared" si="320"/>
        <v>760391.64640707057</v>
      </c>
      <c r="AZ146" s="1081">
        <f t="shared" si="320"/>
        <v>194307.49375196235</v>
      </c>
      <c r="BA146" s="1081">
        <f t="shared" si="320"/>
        <v>194880.1593735317</v>
      </c>
      <c r="BB146" s="1081">
        <f t="shared" si="320"/>
        <v>198109.14583528382</v>
      </c>
      <c r="BC146" s="1081">
        <f t="shared" si="320"/>
        <v>203164.85021258373</v>
      </c>
      <c r="BD146" s="1084">
        <f t="shared" si="320"/>
        <v>788682.93398745568</v>
      </c>
      <c r="BE146" s="1081">
        <f t="shared" si="320"/>
        <v>200639.73387096776</v>
      </c>
      <c r="BF146" s="1081">
        <f t="shared" si="320"/>
        <v>202348.6075179824</v>
      </c>
      <c r="BG146" s="1081">
        <f t="shared" si="320"/>
        <v>201441.05672668052</v>
      </c>
      <c r="BH146" s="1081">
        <f t="shared" si="320"/>
        <v>202173.17193024512</v>
      </c>
      <c r="BI146" s="1084">
        <f t="shared" si="320"/>
        <v>805606.87123751862</v>
      </c>
      <c r="BJ146" s="1081">
        <f t="shared" si="320"/>
        <v>217914.85042609464</v>
      </c>
      <c r="BK146" s="1081">
        <f t="shared" si="320"/>
        <v>214249.7366920705</v>
      </c>
      <c r="BL146" s="1081">
        <f t="shared" si="320"/>
        <v>210722.76670343065</v>
      </c>
      <c r="BM146" s="1081">
        <f t="shared" si="320"/>
        <v>212801.05525726682</v>
      </c>
      <c r="BN146" s="1084">
        <f t="shared" si="320"/>
        <v>856899.13758559094</v>
      </c>
      <c r="BO146" s="1081">
        <f t="shared" si="320"/>
        <v>216085.17293148654</v>
      </c>
      <c r="BP146" s="1081">
        <f t="shared" si="320"/>
        <v>214703.99975026475</v>
      </c>
      <c r="BQ146" s="1081">
        <f t="shared" ref="BQ146:CW146" si="321">BQ157/BQ90*1000000</f>
        <v>213381.7602371804</v>
      </c>
      <c r="BR146" s="1081">
        <f t="shared" si="321"/>
        <v>211711.65341817355</v>
      </c>
      <c r="BS146" s="1084">
        <f t="shared" si="321"/>
        <v>855764.7793658569</v>
      </c>
      <c r="BT146" s="1081">
        <f t="shared" si="321"/>
        <v>225655.56506415576</v>
      </c>
      <c r="BU146" s="1081">
        <f t="shared" si="321"/>
        <v>209050.86467291752</v>
      </c>
      <c r="BV146" s="1081">
        <f t="shared" si="321"/>
        <v>206666.7963685822</v>
      </c>
      <c r="BW146" s="1081">
        <f t="shared" si="321"/>
        <v>208754.90150362888</v>
      </c>
      <c r="BX146" s="1084">
        <f t="shared" si="321"/>
        <v>869841.64764440875</v>
      </c>
      <c r="BY146" s="1081">
        <f t="shared" si="321"/>
        <v>210345.94480013335</v>
      </c>
      <c r="BZ146" s="1081">
        <f t="shared" si="321"/>
        <v>212784.32364035261</v>
      </c>
      <c r="CA146" s="1081">
        <f t="shared" si="321"/>
        <v>212312.22442520969</v>
      </c>
      <c r="CB146" s="1081">
        <f t="shared" si="321"/>
        <v>219540.02003432476</v>
      </c>
      <c r="CC146" s="1084">
        <f t="shared" si="321"/>
        <v>853795.24240261246</v>
      </c>
      <c r="CD146" s="1081">
        <f t="shared" si="321"/>
        <v>219348.39507188069</v>
      </c>
      <c r="CE146" s="1081">
        <f t="shared" si="321"/>
        <v>211524.13133952001</v>
      </c>
      <c r="CF146" s="1081">
        <f t="shared" si="321"/>
        <v>217781.07784975617</v>
      </c>
      <c r="CG146" s="1081">
        <f t="shared" si="321"/>
        <v>221142.43364173165</v>
      </c>
      <c r="CH146" s="1084">
        <f t="shared" si="321"/>
        <v>867553.48828506412</v>
      </c>
      <c r="CI146" s="1081">
        <f t="shared" si="321"/>
        <v>218901.50245638163</v>
      </c>
      <c r="CJ146" s="1081">
        <f t="shared" si="321"/>
        <v>210659.82267567265</v>
      </c>
      <c r="CK146" s="1081">
        <f t="shared" ref="CK146:CL146" si="322">CK157/CK90*1000000</f>
        <v>210231.75906381253</v>
      </c>
      <c r="CL146" s="1081">
        <f t="shared" si="322"/>
        <v>254782.13868444104</v>
      </c>
      <c r="CM146" s="1084">
        <f t="shared" si="321"/>
        <v>894588.09128243476</v>
      </c>
      <c r="CN146" s="1081">
        <f t="shared" ca="1" si="321"/>
        <v>232248.68326414522</v>
      </c>
      <c r="CO146" s="1081">
        <f t="shared" ca="1" si="321"/>
        <v>217540.71730789237</v>
      </c>
      <c r="CP146" s="1081">
        <f t="shared" ca="1" si="321"/>
        <v>199363.28520198137</v>
      </c>
      <c r="CQ146" s="1081">
        <f t="shared" ca="1" si="321"/>
        <v>225721.95274307724</v>
      </c>
      <c r="CR146" s="1084">
        <f t="shared" ca="1" si="321"/>
        <v>874874.63851709629</v>
      </c>
      <c r="CS146" s="1081">
        <f t="shared" ca="1" si="321"/>
        <v>217587.1112904679</v>
      </c>
      <c r="CT146" s="1081">
        <f t="shared" ca="1" si="321"/>
        <v>208961.51378147962</v>
      </c>
      <c r="CU146" s="1081">
        <f t="shared" ca="1" si="321"/>
        <v>199317.02419578741</v>
      </c>
      <c r="CV146" s="1081">
        <f t="shared" ca="1" si="321"/>
        <v>225200.11476221279</v>
      </c>
      <c r="CW146" s="1084">
        <f t="shared" ca="1" si="321"/>
        <v>851065.76402994781</v>
      </c>
      <c r="CX146" s="1081">
        <f t="shared" ref="CX146:DB146" ca="1" si="323">CX157/CX90*1000000</f>
        <v>218325.32407472222</v>
      </c>
      <c r="CY146" s="1081">
        <f t="shared" ca="1" si="323"/>
        <v>209820.7459173993</v>
      </c>
      <c r="CZ146" s="1081">
        <f t="shared" ca="1" si="323"/>
        <v>198737.21269403107</v>
      </c>
      <c r="DA146" s="1081">
        <f t="shared" ca="1" si="323"/>
        <v>226025.02621772775</v>
      </c>
      <c r="DB146" s="1084">
        <f t="shared" ca="1" si="323"/>
        <v>852908.30890388042</v>
      </c>
      <c r="DC146" s="16"/>
      <c r="DD146" s="16"/>
      <c r="DE146" s="16"/>
      <c r="DF146" s="16"/>
      <c r="DG146" s="16"/>
      <c r="DH146" s="16"/>
      <c r="DI146" s="16"/>
      <c r="DJ146" s="16"/>
    </row>
    <row r="147" spans="1:114" s="725" customFormat="1" ht="11.25" customHeight="1">
      <c r="A147" s="16"/>
      <c r="B147" s="77" t="s">
        <v>256</v>
      </c>
      <c r="C147" s="52"/>
      <c r="D147" s="1053"/>
      <c r="E147" s="1053"/>
      <c r="F147" s="78">
        <f>F146/E146-1</f>
        <v>8.9901289022837449E-2</v>
      </c>
      <c r="G147" s="52"/>
      <c r="H147" s="52"/>
      <c r="I147" s="52"/>
      <c r="J147" s="52"/>
      <c r="K147" s="78">
        <f t="shared" ref="K147:Z147" si="324">K146/F146-1</f>
        <v>0.14392830967051995</v>
      </c>
      <c r="L147" s="79">
        <f t="shared" si="324"/>
        <v>1.6970087565227221E-2</v>
      </c>
      <c r="M147" s="79">
        <f t="shared" si="324"/>
        <v>2.7377045182833015E-2</v>
      </c>
      <c r="N147" s="79">
        <f t="shared" si="324"/>
        <v>8.069855119716407E-2</v>
      </c>
      <c r="O147" s="79">
        <f t="shared" si="324"/>
        <v>4.8232510131680062E-2</v>
      </c>
      <c r="P147" s="78">
        <f t="shared" si="324"/>
        <v>5.04956901151008E-2</v>
      </c>
      <c r="Q147" s="79">
        <f t="shared" si="324"/>
        <v>7.9938881506990578E-2</v>
      </c>
      <c r="R147" s="79">
        <f t="shared" si="324"/>
        <v>3.4392828083223304E-2</v>
      </c>
      <c r="S147" s="79">
        <f t="shared" si="324"/>
        <v>2.4414933226517332E-2</v>
      </c>
      <c r="T147" s="79">
        <f t="shared" si="324"/>
        <v>6.1641333052596892E-2</v>
      </c>
      <c r="U147" s="78">
        <f t="shared" si="324"/>
        <v>5.0082906148693151E-2</v>
      </c>
      <c r="V147" s="79">
        <f t="shared" si="324"/>
        <v>3.8921213555880296E-2</v>
      </c>
      <c r="W147" s="79">
        <f t="shared" si="324"/>
        <v>7.6141766635025254E-2</v>
      </c>
      <c r="X147" s="79">
        <f t="shared" si="324"/>
        <v>8.2777359929076644E-2</v>
      </c>
      <c r="Y147" s="79">
        <f t="shared" si="324"/>
        <v>6.0946390770832082E-2</v>
      </c>
      <c r="Z147" s="78">
        <f t="shared" si="324"/>
        <v>6.7742972845437954E-2</v>
      </c>
      <c r="AA147" s="98">
        <f t="shared" ref="AA147:BI147" si="325">AA146/V146-1</f>
        <v>9.1608772142247608E-2</v>
      </c>
      <c r="AB147" s="98">
        <f t="shared" si="325"/>
        <v>0.12395041798960782</v>
      </c>
      <c r="AC147" s="98">
        <f t="shared" si="325"/>
        <v>0.12357912346280564</v>
      </c>
      <c r="AD147" s="98">
        <f t="shared" si="325"/>
        <v>0.13294071931471096</v>
      </c>
      <c r="AE147" s="96">
        <f t="shared" si="325"/>
        <v>0.10985614864797832</v>
      </c>
      <c r="AF147" s="98">
        <f t="shared" si="325"/>
        <v>8.9722860372956958E-2</v>
      </c>
      <c r="AG147" s="98">
        <f t="shared" si="325"/>
        <v>7.4816692654152028E-2</v>
      </c>
      <c r="AH147" s="98">
        <f t="shared" si="325"/>
        <v>6.9498029412323969E-2</v>
      </c>
      <c r="AI147" s="98">
        <f t="shared" si="325"/>
        <v>3.3026954468078351E-2</v>
      </c>
      <c r="AJ147" s="96">
        <f t="shared" si="325"/>
        <v>6.9673922554229106E-2</v>
      </c>
      <c r="AK147" s="98">
        <f t="shared" si="325"/>
        <v>4.0763240530864442E-2</v>
      </c>
      <c r="AL147" s="98">
        <f t="shared" si="325"/>
        <v>4.3487567214163469E-2</v>
      </c>
      <c r="AM147" s="98">
        <f t="shared" si="325"/>
        <v>0.49594798280195396</v>
      </c>
      <c r="AN147" s="98">
        <f t="shared" si="325"/>
        <v>0.1890366753131385</v>
      </c>
      <c r="AO147" s="96">
        <f t="shared" si="325"/>
        <v>0.17536887534840684</v>
      </c>
      <c r="AP147" s="98">
        <f t="shared" si="325"/>
        <v>0.1195327458684079</v>
      </c>
      <c r="AQ147" s="98">
        <f t="shared" si="325"/>
        <v>9.3823003527223836E-2</v>
      </c>
      <c r="AR147" s="98">
        <f t="shared" si="325"/>
        <v>-0.22270582227123525</v>
      </c>
      <c r="AS147" s="98">
        <f t="shared" si="325"/>
        <v>-2.7901052838467333E-2</v>
      </c>
      <c r="AT147" s="96">
        <f t="shared" si="325"/>
        <v>-1.6410824208676456E-2</v>
      </c>
      <c r="AU147" s="98">
        <f t="shared" si="325"/>
        <v>5.5343895480278293E-2</v>
      </c>
      <c r="AV147" s="98">
        <f t="shared" si="325"/>
        <v>5.8044186365340478E-2</v>
      </c>
      <c r="AW147" s="98">
        <f t="shared" si="325"/>
        <v>2.7200163560011648E-2</v>
      </c>
      <c r="AX147" s="98">
        <f t="shared" si="325"/>
        <v>4.4267988588501117E-2</v>
      </c>
      <c r="AY147" s="96">
        <f t="shared" si="325"/>
        <v>4.9283411939076593E-2</v>
      </c>
      <c r="AZ147" s="98">
        <f t="shared" si="325"/>
        <v>1.4031463405348443E-2</v>
      </c>
      <c r="BA147" s="98">
        <f t="shared" si="325"/>
        <v>3.2558028329543021E-2</v>
      </c>
      <c r="BB147" s="98">
        <f t="shared" si="325"/>
        <v>5.0534455957572444E-2</v>
      </c>
      <c r="BC147" s="98">
        <f t="shared" si="325"/>
        <v>6.975971624790489E-2</v>
      </c>
      <c r="BD147" s="96">
        <f t="shared" si="325"/>
        <v>3.7206205136608661E-2</v>
      </c>
      <c r="BE147" s="98">
        <f t="shared" si="325"/>
        <v>3.2588759171011006E-2</v>
      </c>
      <c r="BF147" s="98">
        <f t="shared" si="325"/>
        <v>3.8323286313286076E-2</v>
      </c>
      <c r="BG147" s="98">
        <f t="shared" si="325"/>
        <v>1.6818561694102563E-2</v>
      </c>
      <c r="BH147" s="98">
        <f t="shared" si="325"/>
        <v>-4.8811508550861138E-3</v>
      </c>
      <c r="BI147" s="96">
        <f t="shared" si="325"/>
        <v>2.1458480361047139E-2</v>
      </c>
      <c r="BJ147" s="79">
        <f>+BJ146/BE146-1</f>
        <v>8.6100176778726167E-2</v>
      </c>
      <c r="BK147" s="79">
        <f>+BK146/BF146-1</f>
        <v>5.8814979357001418E-2</v>
      </c>
      <c r="BL147" s="79">
        <f>+BL146/BG146-1</f>
        <v>4.6076555234436434E-2</v>
      </c>
      <c r="BM147" s="79">
        <f>+BM146/BH146-1</f>
        <v>5.256821775882603E-2</v>
      </c>
      <c r="BN147" s="78">
        <f>BN146/BI146-1</f>
        <v>6.3669102361652685E-2</v>
      </c>
      <c r="BO147" s="79">
        <f t="shared" ref="BO147:CH147" si="326">BO146/BJ146-1</f>
        <v>-8.3962955761411884E-3</v>
      </c>
      <c r="BP147" s="79">
        <f>+BP146/BK146-1</f>
        <v>2.1202502519157562E-3</v>
      </c>
      <c r="BQ147" s="79">
        <f>+BQ146/BL146-1</f>
        <v>1.2618444486788505E-2</v>
      </c>
      <c r="BR147" s="79">
        <f>+BR146/BM146-1</f>
        <v>-5.1193441582150223E-3</v>
      </c>
      <c r="BS147" s="78">
        <f t="shared" si="326"/>
        <v>-1.3237943300190569E-3</v>
      </c>
      <c r="BT147" s="79">
        <f t="shared" si="326"/>
        <v>4.4289906627252407E-2</v>
      </c>
      <c r="BU147" s="79">
        <f t="shared" si="326"/>
        <v>-2.6329901091375674E-2</v>
      </c>
      <c r="BV147" s="79">
        <f t="shared" si="326"/>
        <v>-3.146924957941255E-2</v>
      </c>
      <c r="BW147" s="79">
        <f t="shared" si="326"/>
        <v>-1.3965938420519963E-2</v>
      </c>
      <c r="BX147" s="78">
        <f t="shared" si="326"/>
        <v>1.6449459732361449E-2</v>
      </c>
      <c r="BY147" s="79">
        <f t="shared" si="326"/>
        <v>-6.7845081771724769E-2</v>
      </c>
      <c r="BZ147" s="79">
        <f t="shared" si="326"/>
        <v>1.7859093638653345E-2</v>
      </c>
      <c r="CA147" s="79">
        <f t="shared" si="326"/>
        <v>2.7316570227174264E-2</v>
      </c>
      <c r="CB147" s="79">
        <f t="shared" si="326"/>
        <v>5.1664025385810719E-2</v>
      </c>
      <c r="CC147" s="78">
        <f t="shared" si="326"/>
        <v>-1.8447501663378718E-2</v>
      </c>
      <c r="CD147" s="79">
        <f t="shared" si="326"/>
        <v>4.279830676223062E-2</v>
      </c>
      <c r="CE147" s="79">
        <f t="shared" si="326"/>
        <v>-5.9223925864133609E-3</v>
      </c>
      <c r="CF147" s="79">
        <f t="shared" si="326"/>
        <v>2.5758542351257629E-2</v>
      </c>
      <c r="CG147" s="79">
        <f t="shared" si="326"/>
        <v>7.298959010554773E-3</v>
      </c>
      <c r="CH147" s="78">
        <f t="shared" si="326"/>
        <v>1.6114221770240134E-2</v>
      </c>
      <c r="CI147" s="79">
        <f t="shared" ref="CI147:CM147" si="327">CI146/CD146-1</f>
        <v>-2.0373644190677664E-3</v>
      </c>
      <c r="CJ147" s="79">
        <f t="shared" si="327"/>
        <v>-4.0860995782086018E-3</v>
      </c>
      <c r="CK147" s="79">
        <f t="shared" si="327"/>
        <v>-3.4664714035219313E-2</v>
      </c>
      <c r="CL147" s="79">
        <f t="shared" si="327"/>
        <v>0.15211782057715983</v>
      </c>
      <c r="CM147" s="78">
        <f t="shared" si="327"/>
        <v>3.1161886111265913E-2</v>
      </c>
      <c r="CN147" s="79">
        <f t="shared" ref="CN147:CR147" ca="1" si="328">CN146/CI146-1</f>
        <v>6.0973454535439453E-2</v>
      </c>
      <c r="CO147" s="79">
        <f t="shared" ca="1" si="328"/>
        <v>3.2663535670080623E-2</v>
      </c>
      <c r="CP147" s="79">
        <f t="shared" ca="1" si="328"/>
        <v>-5.1697583230192135E-2</v>
      </c>
      <c r="CQ147" s="79">
        <f t="shared" ca="1" si="328"/>
        <v>-0.11405896069251598</v>
      </c>
      <c r="CR147" s="78">
        <f t="shared" ca="1" si="328"/>
        <v>-2.2036346065235746E-2</v>
      </c>
      <c r="CS147" s="79">
        <f t="shared" ref="CS147" ca="1" si="329">CS146/CN146-1</f>
        <v>-6.3128762529956584E-2</v>
      </c>
      <c r="CT147" s="79">
        <f t="shared" ref="CT147" ca="1" si="330">CT146/CO146-1</f>
        <v>-3.9437231027745101E-2</v>
      </c>
      <c r="CU147" s="79">
        <f t="shared" ref="CU147" ca="1" si="331">CU146/CP146-1</f>
        <v>-2.3204375944696487E-4</v>
      </c>
      <c r="CV147" s="79">
        <f t="shared" ref="CV147" ca="1" si="332">CV146/CQ146-1</f>
        <v>-2.3118618925754841E-3</v>
      </c>
      <c r="CW147" s="78">
        <f t="shared" ref="CW147" ca="1" si="333">CW146/CR146-1</f>
        <v>-2.7214041233958097E-2</v>
      </c>
      <c r="CX147" s="79">
        <f t="shared" ref="CX147" ca="1" si="334">CX146/CS146-1</f>
        <v>3.3927229415202653E-3</v>
      </c>
      <c r="CY147" s="79">
        <f t="shared" ref="CY147" ca="1" si="335">CY146/CT146-1</f>
        <v>4.1119157320912425E-3</v>
      </c>
      <c r="CZ147" s="79">
        <f t="shared" ref="CZ147" ca="1" si="336">CZ146/CU146-1</f>
        <v>-2.9089913623574493E-3</v>
      </c>
      <c r="DA147" s="79">
        <f t="shared" ref="DA147" ca="1" si="337">DA146/CV146-1</f>
        <v>3.663015253726476E-3</v>
      </c>
      <c r="DB147" s="78">
        <f t="shared" ref="DB147" ca="1" si="338">DB146/CW146-1</f>
        <v>2.1649853064324986E-3</v>
      </c>
      <c r="DC147" s="16"/>
      <c r="DD147" s="16"/>
      <c r="DE147" s="16"/>
      <c r="DF147" s="16"/>
      <c r="DG147" s="16"/>
      <c r="DH147" s="16"/>
      <c r="DI147" s="16"/>
      <c r="DJ147" s="16"/>
    </row>
    <row r="148" spans="1:114" s="725" customFormat="1" ht="11.25" customHeight="1" thickBot="1">
      <c r="A148" s="16"/>
      <c r="B148" s="77"/>
      <c r="C148" s="52"/>
      <c r="D148" s="1053"/>
      <c r="E148" s="1053"/>
      <c r="F148" s="78"/>
      <c r="G148" s="52"/>
      <c r="H148" s="52"/>
      <c r="I148" s="52"/>
      <c r="J148" s="52"/>
      <c r="K148" s="78"/>
      <c r="L148" s="52"/>
      <c r="M148" s="52"/>
      <c r="N148" s="52"/>
      <c r="O148" s="52"/>
      <c r="P148" s="78"/>
      <c r="Q148" s="52"/>
      <c r="R148" s="52"/>
      <c r="S148" s="52"/>
      <c r="T148" s="52"/>
      <c r="U148" s="78"/>
      <c r="V148" s="52"/>
      <c r="W148" s="52"/>
      <c r="X148" s="52"/>
      <c r="Y148" s="52"/>
      <c r="Z148" s="78"/>
      <c r="AA148" s="52"/>
      <c r="AB148" s="52"/>
      <c r="AC148" s="52"/>
      <c r="AD148" s="52"/>
      <c r="AE148" s="78"/>
      <c r="AF148" s="52"/>
      <c r="AG148" s="52"/>
      <c r="AH148" s="52"/>
      <c r="AI148" s="52"/>
      <c r="AJ148" s="78"/>
      <c r="AK148" s="52"/>
      <c r="AL148" s="52"/>
      <c r="AM148" s="52"/>
      <c r="AN148" s="52"/>
      <c r="AO148" s="78"/>
      <c r="AP148" s="52"/>
      <c r="AQ148" s="52"/>
      <c r="AR148" s="52"/>
      <c r="AS148" s="52"/>
      <c r="AT148" s="78"/>
      <c r="AU148" s="52"/>
      <c r="AV148" s="52"/>
      <c r="AW148" s="52"/>
      <c r="AX148" s="52"/>
      <c r="AY148" s="78"/>
      <c r="AZ148" s="52"/>
      <c r="BA148" s="52"/>
      <c r="BB148" s="52"/>
      <c r="BC148" s="52"/>
      <c r="BD148" s="78"/>
      <c r="BE148" s="52"/>
      <c r="BF148" s="52"/>
      <c r="BG148" s="52"/>
      <c r="BH148" s="52"/>
      <c r="BI148" s="78"/>
      <c r="BJ148" s="52"/>
      <c r="BK148" s="52"/>
      <c r="BL148" s="52"/>
      <c r="BM148" s="52"/>
      <c r="BN148" s="78"/>
      <c r="BO148" s="52"/>
      <c r="BP148" s="52"/>
      <c r="BQ148" s="52"/>
      <c r="BR148" s="52"/>
      <c r="BS148" s="78"/>
      <c r="BT148" s="52"/>
      <c r="BU148" s="52"/>
      <c r="BV148" s="52"/>
      <c r="BW148" s="52"/>
      <c r="BX148" s="78"/>
      <c r="BY148" s="52"/>
      <c r="BZ148" s="52"/>
      <c r="CA148" s="52"/>
      <c r="CB148" s="52"/>
      <c r="CC148" s="78"/>
      <c r="CD148" s="52"/>
      <c r="CE148" s="52"/>
      <c r="CF148" s="52"/>
      <c r="CG148" s="52"/>
      <c r="CH148" s="78"/>
      <c r="CI148" s="52"/>
      <c r="CJ148" s="52"/>
      <c r="CK148" s="52"/>
      <c r="CL148" s="52"/>
      <c r="CM148" s="78"/>
      <c r="CN148" s="52"/>
      <c r="CO148" s="52"/>
      <c r="CP148" s="52"/>
      <c r="CQ148" s="52"/>
      <c r="CR148" s="78"/>
      <c r="CS148" s="52"/>
      <c r="CT148" s="52"/>
      <c r="CU148" s="52"/>
      <c r="CV148" s="52"/>
      <c r="CW148" s="78"/>
      <c r="CX148" s="52"/>
      <c r="CY148" s="52"/>
      <c r="CZ148" s="52"/>
      <c r="DA148" s="52"/>
      <c r="DB148" s="78"/>
      <c r="DC148" s="16"/>
      <c r="DD148" s="16"/>
      <c r="DE148" s="16"/>
      <c r="DF148" s="16"/>
      <c r="DG148" s="16"/>
      <c r="DH148" s="16"/>
      <c r="DI148" s="16"/>
      <c r="DJ148" s="16"/>
    </row>
    <row r="149" spans="1:114" s="725" customFormat="1" ht="11.25" customHeight="1" thickBot="1">
      <c r="A149" s="1086"/>
      <c r="B149" s="1087" t="s">
        <v>278</v>
      </c>
      <c r="C149" s="1088"/>
      <c r="D149" s="1089">
        <f>+D8-D153</f>
        <v>476.15145000000007</v>
      </c>
      <c r="E149" s="1089">
        <f>+E151*E8</f>
        <v>569.13523099999998</v>
      </c>
      <c r="F149" s="1090">
        <f>+F151*F8</f>
        <v>682.12550999999996</v>
      </c>
      <c r="G149" s="1091">
        <f>G151*G8</f>
        <v>209.288625</v>
      </c>
      <c r="H149" s="1091">
        <f>H151*H8</f>
        <v>198.850864</v>
      </c>
      <c r="I149" s="1091">
        <f>I151*I8</f>
        <v>212.03362100000001</v>
      </c>
      <c r="J149" s="1091">
        <f>J151*J8</f>
        <v>253.55356200000003</v>
      </c>
      <c r="K149" s="1090">
        <f>SUM(G149:J149)</f>
        <v>873.72667200000012</v>
      </c>
      <c r="L149" s="1091">
        <f>L151*L8</f>
        <v>281.69803200000001</v>
      </c>
      <c r="M149" s="1091">
        <f>M151*M8</f>
        <v>274.31089400000002</v>
      </c>
      <c r="N149" s="1091">
        <f>N151*N8</f>
        <v>288.58300200000002</v>
      </c>
      <c r="O149" s="1091">
        <f>O151*O8</f>
        <v>310.99217500000003</v>
      </c>
      <c r="P149" s="1090">
        <f>SUM(L149:O149)</f>
        <v>1155.5841030000001</v>
      </c>
      <c r="Q149" s="1091">
        <f>Q151*Q8</f>
        <v>350.07608700000003</v>
      </c>
      <c r="R149" s="1091">
        <f>R151*R8</f>
        <v>329.96108600000002</v>
      </c>
      <c r="S149" s="1091">
        <f>S151*S8</f>
        <v>362.95704400000005</v>
      </c>
      <c r="T149" s="1091">
        <f>T151*T8</f>
        <v>409.44148000000001</v>
      </c>
      <c r="U149" s="1090">
        <f>SUM(Q149:T149)</f>
        <v>1452.4356970000001</v>
      </c>
      <c r="V149" s="1091">
        <f>V151*V8</f>
        <v>421.87888800000002</v>
      </c>
      <c r="W149" s="1091">
        <f>W151*W8</f>
        <v>410.08917600000001</v>
      </c>
      <c r="X149" s="1091">
        <f>X151*X8</f>
        <v>418.64086399999997</v>
      </c>
      <c r="Y149" s="1091">
        <f>Y151*Y8</f>
        <v>442.80988400000001</v>
      </c>
      <c r="Z149" s="1090">
        <f>SUM(V149:Y149)</f>
        <v>1693.4188120000001</v>
      </c>
      <c r="AA149" s="1091">
        <f>AA151*AA8</f>
        <v>474.42205200000001</v>
      </c>
      <c r="AB149" s="1091">
        <f>AB151*AB8</f>
        <v>463.03387199999997</v>
      </c>
      <c r="AC149" s="1091">
        <f>AC151*AC8</f>
        <v>466.49303800000001</v>
      </c>
      <c r="AD149" s="1091">
        <f>AD151*AD8</f>
        <v>502.81984000000006</v>
      </c>
      <c r="AE149" s="1090">
        <f>SUM(AA149:AD149)</f>
        <v>1906.7688020000001</v>
      </c>
      <c r="AF149" s="1091">
        <f>AF151*AF8</f>
        <v>522.52005799999995</v>
      </c>
      <c r="AG149" s="1091">
        <f>AG151*AG8</f>
        <v>528.40489200000002</v>
      </c>
      <c r="AH149" s="1091">
        <f>AH151*AH8</f>
        <v>553.87711899999999</v>
      </c>
      <c r="AI149" s="1091">
        <f>AI151*AI8</f>
        <v>581.8564080000001</v>
      </c>
      <c r="AJ149" s="1090">
        <f>SUM(AF149:AI149)</f>
        <v>2186.6584769999999</v>
      </c>
      <c r="AK149" s="1091">
        <f>AK151*AK8</f>
        <v>606.8144880000001</v>
      </c>
      <c r="AL149" s="1091">
        <f>AL151*AL8</f>
        <v>600.83056799999997</v>
      </c>
      <c r="AM149" s="1091">
        <f>AM151*AM8</f>
        <v>1159.5788909999999</v>
      </c>
      <c r="AN149" s="1091">
        <f>AN151*AN8</f>
        <v>1251.5292899999999</v>
      </c>
      <c r="AO149" s="1090">
        <f>SUM(AK149:AN149)</f>
        <v>3618.7532369999999</v>
      </c>
      <c r="AP149" s="1091">
        <f>AP151*AP8</f>
        <v>1391.0525400000001</v>
      </c>
      <c r="AQ149" s="1091">
        <f>AQ151*AQ8</f>
        <v>1339.9187999999999</v>
      </c>
      <c r="AR149" s="1091">
        <f>AR151*AR8</f>
        <v>1369.7928400000001</v>
      </c>
      <c r="AS149" s="1091">
        <f>AS151*AS8</f>
        <v>1400.099766</v>
      </c>
      <c r="AT149" s="1090">
        <f>SUM(AP149:AS149)</f>
        <v>5500.8639460000004</v>
      </c>
      <c r="AU149" s="1091">
        <f>AU151*AU8</f>
        <v>1504.0427999999999</v>
      </c>
      <c r="AV149" s="1091">
        <f>AV151*AV8</f>
        <v>1490.3787339999999</v>
      </c>
      <c r="AW149" s="1091">
        <f>AW151*AW8</f>
        <v>1534.1182289999999</v>
      </c>
      <c r="AX149" s="1091">
        <f>AX151*AX8</f>
        <v>1557.937584</v>
      </c>
      <c r="AY149" s="1090">
        <f>SUM(AU149:AX149)</f>
        <v>6086.477347</v>
      </c>
      <c r="AZ149" s="1091">
        <f>AZ151*AZ8</f>
        <v>1596.16461</v>
      </c>
      <c r="BA149" s="1091">
        <f>BA151*BA8</f>
        <v>1544.2886879999999</v>
      </c>
      <c r="BB149" s="1091">
        <f>BB151*BB8</f>
        <v>1551.2302349999998</v>
      </c>
      <c r="BC149" s="1091">
        <f>BC151*BC8</f>
        <v>1660.517112</v>
      </c>
      <c r="BD149" s="1090">
        <f>SUM(AZ149:BC149)</f>
        <v>6352.200644999999</v>
      </c>
      <c r="BE149" s="1091">
        <f>BE151*BE8</f>
        <v>1668.6175800000001</v>
      </c>
      <c r="BF149" s="1091">
        <f>BF151*BF8</f>
        <v>1593.2966560000002</v>
      </c>
      <c r="BG149" s="1091">
        <f>BG151*BG8</f>
        <v>1511.84</v>
      </c>
      <c r="BH149" s="1091">
        <f>BH151*BH8</f>
        <v>1531.9187300000001</v>
      </c>
      <c r="BI149" s="1090">
        <f>SUM(BE149:BH149)</f>
        <v>6305.672966000001</v>
      </c>
      <c r="BJ149" s="1091">
        <f>BJ151*BJ8</f>
        <v>1744.189351</v>
      </c>
      <c r="BK149" s="1091">
        <f>BK151*BK8</f>
        <v>1704.62474</v>
      </c>
      <c r="BL149" s="1091">
        <f>BL151*BL8</f>
        <v>1611.7441960000001</v>
      </c>
      <c r="BM149" s="1091">
        <f>BM151*BM8</f>
        <v>1640.8113219258225</v>
      </c>
      <c r="BN149" s="1090">
        <f>SUM(BJ149:BM149)</f>
        <v>6701.3696089258228</v>
      </c>
      <c r="BO149" s="1091">
        <f>BO151*BO8</f>
        <v>1691.4076823376004</v>
      </c>
      <c r="BP149" s="1091">
        <f>BP151*BP8</f>
        <v>1644.9554585464693</v>
      </c>
      <c r="BQ149" s="1091">
        <f>BQ151*BQ8</f>
        <v>1623.4330946439254</v>
      </c>
      <c r="BR149" s="1091">
        <f>BR151*BR8</f>
        <v>1549.7098799335608</v>
      </c>
      <c r="BS149" s="1090">
        <f>SUM(BO149:BR149)</f>
        <v>6509.506115461556</v>
      </c>
      <c r="BT149" s="1091">
        <f>BT151*BT8</f>
        <v>2189.4604660309892</v>
      </c>
      <c r="BU149" s="1091">
        <f>BU151*BU8</f>
        <v>2362.2006622724421</v>
      </c>
      <c r="BV149" s="1091">
        <f>BV151*BV8</f>
        <v>2450.4215445255477</v>
      </c>
      <c r="BW149" s="1091">
        <f>BW151*BW8</f>
        <v>2451.5920951606345</v>
      </c>
      <c r="BX149" s="1090">
        <f>SUM(BT149:BW149)</f>
        <v>9453.6747679896125</v>
      </c>
      <c r="BY149" s="1091">
        <f>BY151*BY8</f>
        <v>2486.9323054367746</v>
      </c>
      <c r="BZ149" s="1091">
        <f>BZ151*BZ8</f>
        <v>2379.128095043015</v>
      </c>
      <c r="CA149" s="1091">
        <f>CA151*CA8</f>
        <v>2325.4704589352041</v>
      </c>
      <c r="CB149" s="1091">
        <f>CB151*CB8</f>
        <v>2475.01314297624</v>
      </c>
      <c r="CC149" s="1090">
        <f>SUM(BY149:CB149)</f>
        <v>9666.5440023912342</v>
      </c>
      <c r="CD149" s="1091">
        <f>CD151*CD8</f>
        <v>2524.3484434886977</v>
      </c>
      <c r="CE149" s="1091">
        <f>CE151*CE8</f>
        <v>2247.736644880174</v>
      </c>
      <c r="CF149" s="1091">
        <f>CF151*CF8</f>
        <v>2161.7441972602737</v>
      </c>
      <c r="CG149" s="1091">
        <f>CG151*CG8</f>
        <v>2239.792487804878</v>
      </c>
      <c r="CH149" s="1090">
        <f>SUM(CD149:CG149)</f>
        <v>9173.6217734340244</v>
      </c>
      <c r="CI149" s="1091">
        <f>CI151*CI8</f>
        <v>2237.3960873829692</v>
      </c>
      <c r="CJ149" s="1091">
        <f>CJ151*CJ8</f>
        <v>2043.0037128378378</v>
      </c>
      <c r="CK149" s="1091">
        <f>CK151*CK8</f>
        <v>1856.5829432624116</v>
      </c>
      <c r="CL149" s="1091">
        <f>CL151*CL8</f>
        <v>2104.9695194508013</v>
      </c>
      <c r="CM149" s="1090">
        <f>SUM(CI149:CL149)</f>
        <v>8241.9522629340208</v>
      </c>
      <c r="CN149" s="1091">
        <f ca="1">CN173+CN68/(CN199-CN200)</f>
        <v>1640.5196298050898</v>
      </c>
      <c r="CO149" s="1091">
        <f ca="1">CO173+CO68/(CO199-CO200)</f>
        <v>1568.3613688772596</v>
      </c>
      <c r="CP149" s="1091">
        <f ca="1">CP173+CP68/(CP199-CP200)</f>
        <v>1463.8636228564797</v>
      </c>
      <c r="CQ149" s="1091">
        <f ca="1">CQ173+CQ68/(CQ199-CQ200)</f>
        <v>1684.2490643891069</v>
      </c>
      <c r="CR149" s="1090">
        <f ca="1">SUM(CN149:CQ149)</f>
        <v>6356.993685927936</v>
      </c>
      <c r="CS149" s="1091">
        <f ca="1">CS173+CS68/(CS199-CS200)</f>
        <v>1444.4705377584239</v>
      </c>
      <c r="CT149" s="1091">
        <f ca="1">CT173+CT68/(CT199-CT200)</f>
        <v>1449.6034959615979</v>
      </c>
      <c r="CU149" s="1091">
        <f ca="1">CU173+CU68/(CU199-CU200)</f>
        <v>1448.7369283119176</v>
      </c>
      <c r="CV149" s="1091">
        <f ca="1">CV173+CV68/(CV199-CV200)</f>
        <v>1689.352279369388</v>
      </c>
      <c r="CW149" s="1090">
        <f ca="1">SUM(CS149:CV149)</f>
        <v>6032.1632414013275</v>
      </c>
      <c r="CX149" s="1091">
        <f ca="1">CX173+CX68/(CX199-CX200)</f>
        <v>1445.4466871477246</v>
      </c>
      <c r="CY149" s="1091">
        <f ca="1">CY173+CY68/(CY199-CY200)</f>
        <v>1451.4597668672793</v>
      </c>
      <c r="CZ149" s="1091">
        <f ca="1">CZ173+CZ68/(CZ199-CZ200)</f>
        <v>1442.5863489867897</v>
      </c>
      <c r="DA149" s="1091">
        <f ca="1">DA173+DA68/(DA199-DA200)</f>
        <v>1691.8752366258184</v>
      </c>
      <c r="DB149" s="1090">
        <f ca="1">SUM(CX149:DA149)</f>
        <v>6031.3680396276122</v>
      </c>
      <c r="DC149" s="16"/>
      <c r="DD149" s="16"/>
      <c r="DE149" s="16"/>
      <c r="DF149" s="16"/>
      <c r="DG149" s="16"/>
      <c r="DH149" s="16"/>
      <c r="DI149" s="16"/>
      <c r="DJ149" s="16"/>
    </row>
    <row r="150" spans="1:114" s="725" customFormat="1" ht="11.25" customHeight="1">
      <c r="A150" s="16"/>
      <c r="B150" s="77" t="s">
        <v>256</v>
      </c>
      <c r="C150" s="1092"/>
      <c r="D150" s="1093"/>
      <c r="E150" s="1093"/>
      <c r="F150" s="1094"/>
      <c r="G150" s="117"/>
      <c r="H150" s="117"/>
      <c r="I150" s="117"/>
      <c r="J150" s="117"/>
      <c r="K150" s="64">
        <f t="shared" ref="K150:Z150" si="339">+K149/F149-1</f>
        <v>0.28088842770298994</v>
      </c>
      <c r="L150" s="117">
        <f t="shared" si="339"/>
        <v>0.34597870285592447</v>
      </c>
      <c r="M150" s="117">
        <f t="shared" si="339"/>
        <v>0.37948052365515506</v>
      </c>
      <c r="N150" s="117">
        <f t="shared" si="339"/>
        <v>0.36102473107319155</v>
      </c>
      <c r="O150" s="117">
        <f t="shared" si="339"/>
        <v>0.22653443535531959</v>
      </c>
      <c r="P150" s="64">
        <f t="shared" si="339"/>
        <v>0.32259222481421501</v>
      </c>
      <c r="Q150" s="117">
        <f t="shared" si="339"/>
        <v>0.24273529536052996</v>
      </c>
      <c r="R150" s="117">
        <f t="shared" si="339"/>
        <v>0.20287270107471556</v>
      </c>
      <c r="S150" s="117">
        <f t="shared" si="339"/>
        <v>0.25772149255000132</v>
      </c>
      <c r="T150" s="117">
        <f t="shared" si="339"/>
        <v>0.31656521582898334</v>
      </c>
      <c r="U150" s="64">
        <f t="shared" si="339"/>
        <v>0.25688445629300927</v>
      </c>
      <c r="V150" s="117">
        <f t="shared" si="339"/>
        <v>0.20510627165459594</v>
      </c>
      <c r="W150" s="117">
        <f t="shared" si="339"/>
        <v>0.24284103004800994</v>
      </c>
      <c r="X150" s="117">
        <f t="shared" si="339"/>
        <v>0.15341710794845431</v>
      </c>
      <c r="Y150" s="117">
        <f t="shared" si="339"/>
        <v>8.1497370515561718E-2</v>
      </c>
      <c r="Z150" s="64">
        <f t="shared" si="339"/>
        <v>0.16591654659669253</v>
      </c>
      <c r="AA150" s="117">
        <f t="shared" ref="AA150:BI150" si="340">AA149/V149-1</f>
        <v>0.1245456112987573</v>
      </c>
      <c r="AB150" s="117">
        <f t="shared" si="340"/>
        <v>0.12910532415515386</v>
      </c>
      <c r="AC150" s="117">
        <f t="shared" si="340"/>
        <v>0.11430363854781289</v>
      </c>
      <c r="AD150" s="117">
        <f t="shared" si="340"/>
        <v>0.13552081416502437</v>
      </c>
      <c r="AE150" s="64">
        <f t="shared" si="340"/>
        <v>0.12598772878164999</v>
      </c>
      <c r="AF150" s="117">
        <f t="shared" si="340"/>
        <v>0.10138231517113372</v>
      </c>
      <c r="AG150" s="117">
        <f t="shared" si="340"/>
        <v>0.14117977960800254</v>
      </c>
      <c r="AH150" s="117">
        <f t="shared" si="340"/>
        <v>0.18732129717228485</v>
      </c>
      <c r="AI150" s="117">
        <f t="shared" si="340"/>
        <v>0.1571866535735742</v>
      </c>
      <c r="AJ150" s="64">
        <f t="shared" si="340"/>
        <v>0.14678742105829778</v>
      </c>
      <c r="AK150" s="117">
        <f t="shared" si="340"/>
        <v>0.16132285968627857</v>
      </c>
      <c r="AL150" s="117">
        <f t="shared" si="340"/>
        <v>0.13706473406381692</v>
      </c>
      <c r="AM150" s="117">
        <f t="shared" si="340"/>
        <v>1.0935670588696045</v>
      </c>
      <c r="AN150" s="117">
        <f t="shared" si="340"/>
        <v>1.1509246487494207</v>
      </c>
      <c r="AO150" s="64">
        <f t="shared" si="340"/>
        <v>0.65492383701581569</v>
      </c>
      <c r="AP150" s="117">
        <f t="shared" si="340"/>
        <v>1.2923851811527611</v>
      </c>
      <c r="AQ150" s="117">
        <f t="shared" si="340"/>
        <v>1.2301109020804679</v>
      </c>
      <c r="AR150" s="117">
        <f t="shared" si="340"/>
        <v>0.18128473244171905</v>
      </c>
      <c r="AS150" s="117">
        <f t="shared" si="340"/>
        <v>0.11871114578548947</v>
      </c>
      <c r="AT150" s="64">
        <f t="shared" si="340"/>
        <v>0.52009921255650426</v>
      </c>
      <c r="AU150" s="117">
        <f t="shared" si="340"/>
        <v>8.1226450296406405E-2</v>
      </c>
      <c r="AV150" s="117">
        <f t="shared" si="340"/>
        <v>0.11229033729506588</v>
      </c>
      <c r="AW150" s="117">
        <f t="shared" si="340"/>
        <v>0.11996367932540797</v>
      </c>
      <c r="AX150" s="117">
        <f t="shared" si="340"/>
        <v>0.11273326503791448</v>
      </c>
      <c r="AY150" s="64">
        <f t="shared" si="340"/>
        <v>0.10645844121009995</v>
      </c>
      <c r="AZ150" s="117">
        <f t="shared" si="340"/>
        <v>6.1249460454184002E-2</v>
      </c>
      <c r="BA150" s="117">
        <f t="shared" si="340"/>
        <v>3.6171982845804695E-2</v>
      </c>
      <c r="BB150" s="117">
        <f t="shared" si="340"/>
        <v>1.1154294158380651E-2</v>
      </c>
      <c r="BC150" s="117">
        <f t="shared" si="340"/>
        <v>6.5843156396951041E-2</v>
      </c>
      <c r="BD150" s="64">
        <f t="shared" si="340"/>
        <v>4.3657978638657502E-2</v>
      </c>
      <c r="BE150" s="117">
        <f t="shared" si="340"/>
        <v>4.539191606309334E-2</v>
      </c>
      <c r="BF150" s="117">
        <f t="shared" si="340"/>
        <v>3.1734978298306515E-2</v>
      </c>
      <c r="BG150" s="117">
        <f t="shared" si="340"/>
        <v>-2.5392900493587778E-2</v>
      </c>
      <c r="BH150" s="117">
        <f t="shared" si="340"/>
        <v>-7.7444779744010206E-2</v>
      </c>
      <c r="BI150" s="64">
        <f t="shared" si="340"/>
        <v>-7.3246551235155444E-3</v>
      </c>
      <c r="BJ150" s="117">
        <f t="shared" ref="BJ150:CH150" si="341">+BJ149/BE149-1</f>
        <v>4.5290048424396767E-2</v>
      </c>
      <c r="BK150" s="117">
        <f t="shared" si="341"/>
        <v>6.9872790845799448E-2</v>
      </c>
      <c r="BL150" s="117">
        <f t="shared" si="341"/>
        <v>6.6081196422902E-2</v>
      </c>
      <c r="BM150" s="117">
        <f t="shared" si="341"/>
        <v>7.1082486161535785E-2</v>
      </c>
      <c r="BN150" s="64">
        <f>BN149/BI149-1</f>
        <v>6.2752484161390232E-2</v>
      </c>
      <c r="BO150" s="117">
        <f t="shared" si="341"/>
        <v>-3.0261432700605662E-2</v>
      </c>
      <c r="BP150" s="117">
        <f t="shared" si="341"/>
        <v>-3.5004350255722905E-2</v>
      </c>
      <c r="BQ150" s="117">
        <f t="shared" si="341"/>
        <v>7.2523286715935331E-3</v>
      </c>
      <c r="BR150" s="117">
        <f t="shared" si="341"/>
        <v>-5.5522192451314734E-2</v>
      </c>
      <c r="BS150" s="64">
        <f t="shared" si="341"/>
        <v>-2.8630489685081084E-2</v>
      </c>
      <c r="BT150" s="117">
        <f t="shared" si="341"/>
        <v>0.29446051882953372</v>
      </c>
      <c r="BU150" s="117">
        <f t="shared" si="341"/>
        <v>0.43602712766444851</v>
      </c>
      <c r="BV150" s="117">
        <f t="shared" si="341"/>
        <v>0.50940716473628944</v>
      </c>
      <c r="BW150" s="117">
        <f t="shared" si="341"/>
        <v>0.58196842319011299</v>
      </c>
      <c r="BX150" s="64">
        <f t="shared" si="341"/>
        <v>0.45228756226758704</v>
      </c>
      <c r="BY150" s="117">
        <f t="shared" si="341"/>
        <v>0.13586536227577395</v>
      </c>
      <c r="BZ150" s="117">
        <f t="shared" si="341"/>
        <v>7.1659588623977921E-3</v>
      </c>
      <c r="CA150" s="117">
        <f t="shared" si="341"/>
        <v>-5.0991669522941874E-2</v>
      </c>
      <c r="CB150" s="117">
        <f t="shared" si="341"/>
        <v>9.5534032198252294E-3</v>
      </c>
      <c r="CC150" s="64">
        <f t="shared" si="341"/>
        <v>2.2517088817398445E-2</v>
      </c>
      <c r="CD150" s="117">
        <f t="shared" si="341"/>
        <v>1.5045097114274597E-2</v>
      </c>
      <c r="CE150" s="117">
        <f t="shared" si="341"/>
        <v>-5.5226723788685095E-2</v>
      </c>
      <c r="CF150" s="117">
        <f t="shared" si="341"/>
        <v>-7.0405651056903995E-2</v>
      </c>
      <c r="CG150" s="117">
        <f t="shared" si="341"/>
        <v>-9.5038143873654612E-2</v>
      </c>
      <c r="CH150" s="64">
        <f t="shared" si="341"/>
        <v>-5.0992601785630365E-2</v>
      </c>
      <c r="CI150" s="117">
        <f t="shared" ref="CI150:CR150" si="342">+CI149/CD149-1</f>
        <v>-0.1136738301108523</v>
      </c>
      <c r="CJ150" s="117">
        <f t="shared" si="342"/>
        <v>-9.1084038919181487E-2</v>
      </c>
      <c r="CK150" s="117">
        <f t="shared" si="342"/>
        <v>-0.14116436828400591</v>
      </c>
      <c r="CL150" s="117">
        <f t="shared" si="342"/>
        <v>-6.0194401529675035E-2</v>
      </c>
      <c r="CM150" s="64">
        <f t="shared" si="342"/>
        <v>-0.1015596166388758</v>
      </c>
      <c r="CN150" s="117">
        <f t="shared" ca="1" si="342"/>
        <v>-0.2667728172690389</v>
      </c>
      <c r="CO150" s="117">
        <f t="shared" ca="1" si="342"/>
        <v>-0.23232573733371997</v>
      </c>
      <c r="CP150" s="117">
        <f t="shared" ca="1" si="342"/>
        <v>-0.21152802347512711</v>
      </c>
      <c r="CQ150" s="117">
        <f t="shared" ca="1" si="342"/>
        <v>-0.19987009368737207</v>
      </c>
      <c r="CR150" s="64">
        <f t="shared" ca="1" si="342"/>
        <v>-0.22870292339391274</v>
      </c>
      <c r="CS150" s="117">
        <f t="shared" ref="CS150" ca="1" si="343">+CS149/CN149-1</f>
        <v>-0.11950426467616149</v>
      </c>
      <c r="CT150" s="117">
        <f t="shared" ref="CT150" ca="1" si="344">+CT149/CO149-1</f>
        <v>-7.5720988333624062E-2</v>
      </c>
      <c r="CU150" s="117">
        <f t="shared" ref="CU150" ca="1" si="345">+CU149/CP149-1</f>
        <v>-1.0333404224530773E-2</v>
      </c>
      <c r="CV150" s="117">
        <f t="shared" ref="CV150" ca="1" si="346">+CV149/CQ149-1</f>
        <v>3.0299645629503491E-3</v>
      </c>
      <c r="CW150" s="64">
        <f t="shared" ref="CW150" ca="1" si="347">+CW149/CR149-1</f>
        <v>-5.1098122882466401E-2</v>
      </c>
      <c r="CX150" s="117">
        <f t="shared" ref="CX150" ca="1" si="348">+CX149/CS149-1</f>
        <v>6.757835232940046E-4</v>
      </c>
      <c r="CY150" s="117">
        <f t="shared" ref="CY150" ca="1" si="349">+CY149/CT149-1</f>
        <v>1.2805369957045176E-3</v>
      </c>
      <c r="CZ150" s="117">
        <f t="shared" ref="CZ150" ca="1" si="350">+CZ149/CU149-1</f>
        <v>-4.2454770116853169E-3</v>
      </c>
      <c r="DA150" s="117">
        <f t="shared" ref="DA150" ca="1" si="351">+DA149/CV149-1</f>
        <v>1.4934465044627032E-3</v>
      </c>
      <c r="DB150" s="64">
        <f t="shared" ref="DB150" ca="1" si="352">+DB149/CW149-1</f>
        <v>-1.3182696520175341E-4</v>
      </c>
      <c r="DC150" s="16"/>
      <c r="DD150" s="16"/>
      <c r="DE150" s="16"/>
      <c r="DF150" s="16"/>
      <c r="DG150" s="16"/>
      <c r="DH150" s="16"/>
      <c r="DI150" s="16"/>
      <c r="DJ150" s="16"/>
    </row>
    <row r="151" spans="1:114" s="725" customFormat="1" ht="11.25" customHeight="1">
      <c r="A151" s="16"/>
      <c r="B151" s="118" t="s">
        <v>279</v>
      </c>
      <c r="C151" s="62"/>
      <c r="D151" s="120">
        <f>+D149/D8</f>
        <v>0.55700000000000005</v>
      </c>
      <c r="E151" s="120">
        <v>0.52700000000000002</v>
      </c>
      <c r="F151" s="119">
        <v>0.51</v>
      </c>
      <c r="G151" s="121">
        <f>G243</f>
        <v>0.52500000000000002</v>
      </c>
      <c r="H151" s="121">
        <f>H243</f>
        <v>0.496</v>
      </c>
      <c r="I151" s="121">
        <f>I243</f>
        <v>0.50900000000000001</v>
      </c>
      <c r="J151" s="121">
        <f>J243</f>
        <v>0.53100000000000003</v>
      </c>
      <c r="K151" s="64">
        <f>+K149/K8</f>
        <v>0.51589145885305199</v>
      </c>
      <c r="L151" s="121">
        <f>L243</f>
        <v>0.52800000000000002</v>
      </c>
      <c r="M151" s="121">
        <f>M243</f>
        <v>0.51700000000000002</v>
      </c>
      <c r="N151" s="121">
        <f>N243</f>
        <v>0.52200000000000002</v>
      </c>
      <c r="O151" s="121">
        <f>O243</f>
        <v>0.53300000000000003</v>
      </c>
      <c r="P151" s="64">
        <f>+P149/P8</f>
        <v>0.52516595854331261</v>
      </c>
      <c r="Q151" s="121">
        <f>Q243</f>
        <v>0.53100000000000003</v>
      </c>
      <c r="R151" s="121">
        <f>R243</f>
        <v>0.502</v>
      </c>
      <c r="S151" s="121">
        <f>S243</f>
        <v>0.502</v>
      </c>
      <c r="T151" s="121">
        <f>T243</f>
        <v>0.51500000000000001</v>
      </c>
      <c r="U151" s="64">
        <f>+U149/U8</f>
        <v>0.51239095449696326</v>
      </c>
      <c r="V151" s="121">
        <f>V243</f>
        <v>0.51300000000000001</v>
      </c>
      <c r="W151" s="121">
        <f>W243</f>
        <v>0.504</v>
      </c>
      <c r="X151" s="121">
        <f>X243</f>
        <v>0.496</v>
      </c>
      <c r="Y151" s="121">
        <f>Y243</f>
        <v>0.50800000000000001</v>
      </c>
      <c r="Z151" s="64">
        <f>+Z149/Z8</f>
        <v>0.50813118244659417</v>
      </c>
      <c r="AA151" s="117">
        <f>AA243</f>
        <v>0.51900000000000002</v>
      </c>
      <c r="AB151" s="117">
        <f>AB243</f>
        <v>0.504</v>
      </c>
      <c r="AC151" s="117">
        <f>AC243</f>
        <v>0.502</v>
      </c>
      <c r="AD151" s="117">
        <f>AD243</f>
        <v>0.51200000000000001</v>
      </c>
      <c r="AE151" s="64">
        <f>+AE149/AE8</f>
        <v>0.50926409546587814</v>
      </c>
      <c r="AF151" s="117">
        <f>AF243</f>
        <v>0.50900000000000001</v>
      </c>
      <c r="AG151" s="117">
        <f>AG243</f>
        <v>0.498</v>
      </c>
      <c r="AH151" s="117">
        <f>AH243</f>
        <v>0.49299999999999999</v>
      </c>
      <c r="AI151" s="117">
        <f>AI243</f>
        <v>0.504</v>
      </c>
      <c r="AJ151" s="64">
        <f>+AJ149/AJ8</f>
        <v>0.50088659022314574</v>
      </c>
      <c r="AK151" s="117">
        <f>AK243</f>
        <v>0.504</v>
      </c>
      <c r="AL151" s="117">
        <f>AL243</f>
        <v>0.48099999999999998</v>
      </c>
      <c r="AM151" s="117">
        <f>AM243</f>
        <v>0.49299999999999999</v>
      </c>
      <c r="AN151" s="117">
        <f>AN243</f>
        <v>0.495</v>
      </c>
      <c r="AO151" s="64">
        <f>+AO149/AO8</f>
        <v>0.50771747222796682</v>
      </c>
      <c r="AP151" s="117">
        <f>AP243</f>
        <v>0.51</v>
      </c>
      <c r="AQ151" s="117">
        <f>AQ243</f>
        <v>0.498</v>
      </c>
      <c r="AR151" s="117">
        <f>AR243</f>
        <v>0.49399999999999999</v>
      </c>
      <c r="AS151" s="117">
        <f>AS243</f>
        <v>0.50700000000000001</v>
      </c>
      <c r="AT151" s="64">
        <f>+AT149/AT8</f>
        <v>0.50745518592175098</v>
      </c>
      <c r="AU151" s="117">
        <f>AU243</f>
        <v>0.52</v>
      </c>
      <c r="AV151" s="117">
        <f>AV243</f>
        <v>0.49399999999999999</v>
      </c>
      <c r="AW151" s="117">
        <f>AW243</f>
        <v>0.497</v>
      </c>
      <c r="AX151" s="117">
        <f>AX243</f>
        <v>0.504</v>
      </c>
      <c r="AY151" s="64" t="e">
        <f>+AY149/AY8</f>
        <v>#REF!</v>
      </c>
      <c r="AZ151" s="117">
        <f>AZ243</f>
        <v>0.505</v>
      </c>
      <c r="BA151" s="117">
        <f>BA243</f>
        <v>0.48699999999999999</v>
      </c>
      <c r="BB151" s="117">
        <f>BB243</f>
        <v>0.47699999999999998</v>
      </c>
      <c r="BC151" s="117">
        <f>BC243</f>
        <v>0.48799999999999999</v>
      </c>
      <c r="BD151" s="64">
        <f>+BD149/BD8</f>
        <v>0.48913877064644046</v>
      </c>
      <c r="BE151" s="117">
        <f>BE243</f>
        <v>0.49</v>
      </c>
      <c r="BF151" s="117">
        <f>BF243</f>
        <v>0.46400000000000002</v>
      </c>
      <c r="BG151" s="117">
        <f>BG243</f>
        <v>0.44</v>
      </c>
      <c r="BH151" s="117">
        <f>BH243</f>
        <v>0.44500000000000001</v>
      </c>
      <c r="BI151" s="64">
        <f>+BI149/BI8</f>
        <v>0.46276201541034878</v>
      </c>
      <c r="BJ151" s="117">
        <f>BJ243</f>
        <v>0.46100000000000002</v>
      </c>
      <c r="BK151" s="117">
        <f>BK243</f>
        <v>0.45500000000000002</v>
      </c>
      <c r="BL151" s="117">
        <f>BL243</f>
        <v>0.436</v>
      </c>
      <c r="BM151" s="117">
        <f>BM243</f>
        <v>0.438</v>
      </c>
      <c r="BN151" s="64">
        <f>+BN149/BN8</f>
        <v>0.44757182150277086</v>
      </c>
      <c r="BO151" s="117">
        <f>BO243</f>
        <v>0.44600000000000001</v>
      </c>
      <c r="BP151" s="117">
        <f>BP243</f>
        <v>0.437</v>
      </c>
      <c r="BQ151" s="117">
        <f>BQ243</f>
        <v>0.43099999999999999</v>
      </c>
      <c r="BR151" s="117">
        <f>BR243</f>
        <v>0.41399999999999998</v>
      </c>
      <c r="BS151" s="64">
        <f>+BS149/BS8</f>
        <v>0.4320510508584533</v>
      </c>
      <c r="BT151" s="117">
        <f>BT243</f>
        <v>0.44900000000000001</v>
      </c>
      <c r="BU151" s="117">
        <f>BU243</f>
        <v>0.42899999999999999</v>
      </c>
      <c r="BV151" s="117">
        <f>BV243</f>
        <v>0.442</v>
      </c>
      <c r="BW151" s="117">
        <f>BW243</f>
        <v>0.436</v>
      </c>
      <c r="BX151" s="64">
        <f>+BX149/BX8</f>
        <v>0.43869665845014888</v>
      </c>
      <c r="BY151" s="117">
        <f>BY243</f>
        <v>0.442</v>
      </c>
      <c r="BZ151" s="117">
        <f>BZ243</f>
        <v>0.42399999999999999</v>
      </c>
      <c r="CA151" s="117">
        <f>CA243</f>
        <v>0.41699999999999998</v>
      </c>
      <c r="CB151" s="117">
        <f>CB243</f>
        <v>0.43</v>
      </c>
      <c r="CC151" s="64">
        <f>+CC149/CC8</f>
        <v>0.42828778426241848</v>
      </c>
      <c r="CD151" s="117">
        <f>CD243</f>
        <v>0.439</v>
      </c>
      <c r="CE151" s="117">
        <f>CE243</f>
        <v>0.42799999999999999</v>
      </c>
      <c r="CF151" s="117">
        <f>CF243</f>
        <v>0.42599999999999999</v>
      </c>
      <c r="CG151" s="117">
        <f>CG243</f>
        <v>0.436</v>
      </c>
      <c r="CH151" s="64">
        <f>+CH149/CH8</f>
        <v>0.43244057294863514</v>
      </c>
      <c r="CI151" s="117">
        <f>CI243</f>
        <v>0.439</v>
      </c>
      <c r="CJ151" s="117">
        <f>CJ243</f>
        <v>0.433</v>
      </c>
      <c r="CK151" s="117">
        <f>CK243</f>
        <v>0.43</v>
      </c>
      <c r="CL151" s="117">
        <f>CL243</f>
        <v>0.434</v>
      </c>
      <c r="CM151" s="64">
        <f t="shared" ref="CM151:CW151" si="353">+CM149/CM8</f>
        <v>0.43418406723102165</v>
      </c>
      <c r="CN151" s="117">
        <f t="shared" ca="1" si="353"/>
        <v>0.38409164020525416</v>
      </c>
      <c r="CO151" s="117">
        <f t="shared" ca="1" si="353"/>
        <v>0.39297624689380761</v>
      </c>
      <c r="CP151" s="117">
        <f t="shared" ca="1" si="353"/>
        <v>0.40100720893739661</v>
      </c>
      <c r="CQ151" s="117">
        <f t="shared" ca="1" si="353"/>
        <v>0.40653235238276703</v>
      </c>
      <c r="CR151" s="64">
        <f t="shared" ca="1" si="353"/>
        <v>0.3959366868270785</v>
      </c>
      <c r="CS151" s="117">
        <f t="shared" ca="1" si="353"/>
        <v>0.360505215830072</v>
      </c>
      <c r="CT151" s="117">
        <f t="shared" ca="1" si="353"/>
        <v>0.37666599012183044</v>
      </c>
      <c r="CU151" s="117">
        <f t="shared" ca="1" si="353"/>
        <v>0.3941584949415719</v>
      </c>
      <c r="CV151" s="117">
        <f t="shared" ca="1" si="353"/>
        <v>0.40709225627396378</v>
      </c>
      <c r="CW151" s="64">
        <f t="shared" ca="1" si="353"/>
        <v>0.38468888958002617</v>
      </c>
      <c r="CX151" s="117">
        <f t="shared" ref="CX151:DB151" ca="1" si="354">+CX149/CX8</f>
        <v>0.35870452261940727</v>
      </c>
      <c r="CY151" s="117">
        <f t="shared" ca="1" si="354"/>
        <v>0.37479644531151135</v>
      </c>
      <c r="CZ151" s="117">
        <f t="shared" ca="1" si="354"/>
        <v>0.39327968329220525</v>
      </c>
      <c r="DA151" s="117">
        <f t="shared" ca="1" si="354"/>
        <v>0.40555587149444322</v>
      </c>
      <c r="DB151" s="64">
        <f t="shared" ca="1" si="354"/>
        <v>0.38313548128559466</v>
      </c>
      <c r="DC151" s="16"/>
      <c r="DD151" s="16"/>
      <c r="DE151" s="16"/>
      <c r="DF151" s="16"/>
      <c r="DG151" s="16"/>
      <c r="DH151" s="16"/>
      <c r="DI151" s="16"/>
      <c r="DJ151" s="16"/>
    </row>
    <row r="152" spans="1:114" s="725" customFormat="1" ht="11.25" customHeight="1" thickBot="1">
      <c r="A152" s="16"/>
      <c r="B152" s="118"/>
      <c r="C152" s="62"/>
      <c r="D152" s="120"/>
      <c r="E152" s="120"/>
      <c r="F152" s="119"/>
      <c r="G152" s="117"/>
      <c r="H152" s="117"/>
      <c r="I152" s="117"/>
      <c r="J152" s="117"/>
      <c r="K152" s="64"/>
      <c r="L152" s="117"/>
      <c r="M152" s="117"/>
      <c r="N152" s="117"/>
      <c r="O152" s="117"/>
      <c r="P152" s="64"/>
      <c r="Q152" s="117"/>
      <c r="R152" s="117"/>
      <c r="S152" s="117"/>
      <c r="T152" s="117"/>
      <c r="U152" s="64"/>
      <c r="V152" s="117"/>
      <c r="W152" s="117"/>
      <c r="X152" s="117"/>
      <c r="Y152" s="117"/>
      <c r="Z152" s="64"/>
      <c r="AA152" s="117"/>
      <c r="AB152" s="117"/>
      <c r="AC152" s="117"/>
      <c r="AD152" s="117"/>
      <c r="AE152" s="64"/>
      <c r="AF152" s="117"/>
      <c r="AG152" s="117"/>
      <c r="AH152" s="117"/>
      <c r="AI152" s="117"/>
      <c r="AJ152" s="64"/>
      <c r="AK152" s="117"/>
      <c r="AL152" s="117"/>
      <c r="AM152" s="117"/>
      <c r="AN152" s="117"/>
      <c r="AO152" s="64"/>
      <c r="AP152" s="117"/>
      <c r="AQ152" s="117"/>
      <c r="AR152" s="117"/>
      <c r="AS152" s="117"/>
      <c r="AT152" s="64"/>
      <c r="AU152" s="117"/>
      <c r="AV152" s="117"/>
      <c r="AW152" s="117"/>
      <c r="AX152" s="117"/>
      <c r="AY152" s="64"/>
      <c r="AZ152" s="117"/>
      <c r="BA152" s="117"/>
      <c r="BB152" s="117"/>
      <c r="BC152" s="117"/>
      <c r="BD152" s="64"/>
      <c r="BE152" s="117"/>
      <c r="BF152" s="117"/>
      <c r="BG152" s="117"/>
      <c r="BH152" s="117"/>
      <c r="BI152" s="64"/>
      <c r="BJ152" s="117"/>
      <c r="BK152" s="117"/>
      <c r="BL152" s="117"/>
      <c r="BM152" s="117"/>
      <c r="BN152" s="64"/>
      <c r="BO152" s="1081">
        <v>2200.5153910042673</v>
      </c>
      <c r="BP152" s="1081">
        <v>2372.8191065464694</v>
      </c>
      <c r="BQ152" s="1081">
        <v>2355.7198686439256</v>
      </c>
      <c r="BR152" s="117">
        <v>2262.1710639792609</v>
      </c>
      <c r="BS152" s="64">
        <f>SUM(BO152:BR152)</f>
        <v>9191.2254301739231</v>
      </c>
      <c r="BT152" s="1081"/>
      <c r="BU152" s="117"/>
      <c r="BV152" s="117"/>
      <c r="BW152" s="117"/>
      <c r="BX152" s="64"/>
      <c r="BY152" s="1081"/>
      <c r="BZ152" s="117"/>
      <c r="CA152" s="117"/>
      <c r="CB152" s="117"/>
      <c r="CC152" s="64"/>
      <c r="CD152" s="1081"/>
      <c r="CE152" s="1081"/>
      <c r="CF152" s="1081"/>
      <c r="CG152" s="1081"/>
      <c r="CH152" s="64"/>
      <c r="CI152" s="117"/>
      <c r="CJ152" s="117"/>
      <c r="CK152" s="117"/>
      <c r="CL152" s="117"/>
      <c r="CM152" s="64"/>
      <c r="CN152" s="117"/>
      <c r="CO152" s="117"/>
      <c r="CP152" s="117"/>
      <c r="CQ152" s="117"/>
      <c r="CR152" s="64"/>
      <c r="CS152" s="117"/>
      <c r="CT152" s="117"/>
      <c r="CU152" s="117"/>
      <c r="CV152" s="117"/>
      <c r="CW152" s="64"/>
      <c r="CX152" s="117"/>
      <c r="CY152" s="117"/>
      <c r="CZ152" s="117"/>
      <c r="DA152" s="117"/>
      <c r="DB152" s="64"/>
      <c r="DC152" s="16"/>
      <c r="DD152" s="16"/>
      <c r="DE152" s="16"/>
      <c r="DF152" s="16"/>
      <c r="DG152" s="16"/>
      <c r="DH152" s="16"/>
      <c r="DI152" s="16"/>
      <c r="DJ152" s="16"/>
    </row>
    <row r="153" spans="1:114" s="725" customFormat="1" ht="11.25" customHeight="1" thickBot="1">
      <c r="A153" s="1086"/>
      <c r="B153" s="1087" t="s">
        <v>280</v>
      </c>
      <c r="C153" s="1091"/>
      <c r="D153" s="1095">
        <f>+D8*D155</f>
        <v>378.69854999999995</v>
      </c>
      <c r="E153" s="1095">
        <f>+E8*E155</f>
        <v>491.37861500000002</v>
      </c>
      <c r="F153" s="1096">
        <f>+F8*F155</f>
        <v>632.63797299999999</v>
      </c>
      <c r="G153" s="1091">
        <f>G155*G8</f>
        <v>184.97128000000001</v>
      </c>
      <c r="H153" s="1091">
        <f>H155*H8</f>
        <v>197.24722800000001</v>
      </c>
      <c r="I153" s="1091">
        <f>I155*I8</f>
        <v>199.536551</v>
      </c>
      <c r="J153" s="1091">
        <f>J155*J8</f>
        <v>217.74091200000001</v>
      </c>
      <c r="K153" s="1096">
        <f>SUM(G153:J153)</f>
        <v>799.49597100000005</v>
      </c>
      <c r="L153" s="1091">
        <f>L155*L8</f>
        <v>244.885221</v>
      </c>
      <c r="M153" s="1091">
        <f>M155*M8</f>
        <v>249.37353999999999</v>
      </c>
      <c r="N153" s="1091">
        <f>N155*N8</f>
        <v>257.62390600000003</v>
      </c>
      <c r="O153" s="1091">
        <f>O155*O8</f>
        <v>265.48112500000002</v>
      </c>
      <c r="P153" s="1096">
        <f>SUM(L153:O153)</f>
        <v>1017.3637920000001</v>
      </c>
      <c r="Q153" s="1091">
        <f>Q155*Q8</f>
        <v>301.94886600000001</v>
      </c>
      <c r="R153" s="1091">
        <f>R155*R8</f>
        <v>318.787105</v>
      </c>
      <c r="S153" s="1091">
        <f>S155*S8</f>
        <v>351.38869199999999</v>
      </c>
      <c r="T153" s="1091">
        <f>T155*T8</f>
        <v>373.66503999999998</v>
      </c>
      <c r="U153" s="1096">
        <f>SUM(Q153:T153)</f>
        <v>1345.7897029999999</v>
      </c>
      <c r="V153" s="1091">
        <f>V155*V8</f>
        <v>388.16147199999995</v>
      </c>
      <c r="W153" s="1091">
        <f>W155*W8</f>
        <v>393.81579599999998</v>
      </c>
      <c r="X153" s="1091">
        <f>X155*X8</f>
        <v>414.42069399999997</v>
      </c>
      <c r="Y153" s="1091">
        <f>Y155*Y8</f>
        <v>416.659694</v>
      </c>
      <c r="Z153" s="1096">
        <f>SUM(V153:Y153)</f>
        <v>1613.0576559999997</v>
      </c>
      <c r="AA153" s="1091">
        <f>AA155*AA8</f>
        <v>429.63075999999995</v>
      </c>
      <c r="AB153" s="1091">
        <f>AB155*AB8</f>
        <v>444.65951199999995</v>
      </c>
      <c r="AC153" s="1091">
        <f>AC155*AC8</f>
        <v>450.69546500000001</v>
      </c>
      <c r="AD153" s="1091">
        <f>AD155*AD8</f>
        <v>465.50117999999998</v>
      </c>
      <c r="AE153" s="1096">
        <f>SUM(AA153:AD153)</f>
        <v>1790.4869169999999</v>
      </c>
      <c r="AF153" s="1091">
        <f>AF155*AF8</f>
        <v>490.69663599999996</v>
      </c>
      <c r="AG153" s="1091">
        <f>AG155*AG8</f>
        <v>518.85540600000002</v>
      </c>
      <c r="AH153" s="1091">
        <f>AH155*AH8</f>
        <v>556.12408499999992</v>
      </c>
      <c r="AI153" s="1091">
        <f>AI155*AI8</f>
        <v>561.07582200000002</v>
      </c>
      <c r="AJ153" s="1096">
        <f>SUM(AF153:AI153)</f>
        <v>2126.751949</v>
      </c>
      <c r="AK153" s="1091">
        <f>AK155*AK8</f>
        <v>583.93854499999998</v>
      </c>
      <c r="AL153" s="1091">
        <f>AL155*AL8</f>
        <v>632.05876799999999</v>
      </c>
      <c r="AM153" s="1091">
        <f>AM155*AM8</f>
        <v>1143.114282</v>
      </c>
      <c r="AN153" s="1091">
        <f>AN155*AN8</f>
        <v>1211.075818</v>
      </c>
      <c r="AO153" s="1096">
        <f>SUM(AK153:AN153)</f>
        <v>3570.1874129999997</v>
      </c>
      <c r="AP153" s="1091">
        <f>AP155*AP8</f>
        <v>1268.3126100000002</v>
      </c>
      <c r="AQ153" s="1091">
        <f>AQ155*AQ8</f>
        <v>1288.7973999999999</v>
      </c>
      <c r="AR153" s="1091">
        <f>AR155*AR8</f>
        <v>1339.2913800000001</v>
      </c>
      <c r="AS153" s="1091">
        <f>AS155*AS8</f>
        <v>1308.969012</v>
      </c>
      <c r="AT153" s="1096">
        <f>SUM(AP153:AS153)</f>
        <v>5205.3704020000005</v>
      </c>
      <c r="AU153" s="1091">
        <f>AU155*AU8</f>
        <v>1388.3471999999999</v>
      </c>
      <c r="AV153" s="1091">
        <f>AV155*AV8</f>
        <v>1454.1752019999999</v>
      </c>
      <c r="AW153" s="1091">
        <f>AW155*AW8</f>
        <v>1481.64336</v>
      </c>
      <c r="AX153" s="1091">
        <f>AX155*AX8</f>
        <v>1462.1120579999999</v>
      </c>
      <c r="AY153" s="1096">
        <f>SUM(AU153:AX153)</f>
        <v>5786.2778199999993</v>
      </c>
      <c r="AZ153" s="1091">
        <f>AZ155*AZ8</f>
        <v>1498.1822280000001</v>
      </c>
      <c r="BA153" s="1091">
        <f>BA155*BA8</f>
        <v>1566.485856</v>
      </c>
      <c r="BB153" s="1091">
        <f>BB155*BB8</f>
        <v>1622.775445</v>
      </c>
      <c r="BC153" s="1091">
        <f>BC155*BC8</f>
        <v>1660.517112</v>
      </c>
      <c r="BD153" s="1096">
        <f>SUM(AZ153:BC153)</f>
        <v>6347.9606409999997</v>
      </c>
      <c r="BE153" s="1091">
        <f>BE155*BE8</f>
        <v>1665.2122380000001</v>
      </c>
      <c r="BF153" s="1091">
        <f>BF155*BF8</f>
        <v>1768.4219350000001</v>
      </c>
      <c r="BG153" s="1091">
        <f>BG155*BG8</f>
        <v>1827.952</v>
      </c>
      <c r="BH153" s="1091">
        <f>BH155*BH8</f>
        <v>1841.7449900000001</v>
      </c>
      <c r="BI153" s="1096">
        <f>SUM(BE153:BH153)</f>
        <v>7103.3311630000007</v>
      </c>
      <c r="BJ153" s="1091">
        <f>BJ155*BJ8</f>
        <v>1963.6318290000002</v>
      </c>
      <c r="BK153" s="1091">
        <f>BK155*BK8</f>
        <v>1978.1139840000001</v>
      </c>
      <c r="BL153" s="1091">
        <f>BL155*BL8</f>
        <v>2018.3769060000002</v>
      </c>
      <c r="BM153" s="1091">
        <f>BM155*BM8</f>
        <v>2034.1565018395472</v>
      </c>
      <c r="BN153" s="1096">
        <f>SUM(BJ153:BM153)</f>
        <v>7994.2792208395476</v>
      </c>
      <c r="BO153" s="1091">
        <f>BO155*BO8</f>
        <v>2028.9307400238033</v>
      </c>
      <c r="BP153" s="1091">
        <f>BP155*BP8</f>
        <v>2055.2532731495935</v>
      </c>
      <c r="BQ153" s="1091">
        <f>BQ155*BQ8</f>
        <v>2075.4330281874782</v>
      </c>
      <c r="BR153" s="1091">
        <f>BR155*BR8</f>
        <v>2122.4287486046592</v>
      </c>
      <c r="BS153" s="1096">
        <f>SUM(BO153:BR153)</f>
        <v>8282.0457899655339</v>
      </c>
      <c r="BT153" s="1091">
        <f>BT155*BT8</f>
        <v>2686.8434672228846</v>
      </c>
      <c r="BU153" s="1091">
        <f>BU155*BU8</f>
        <v>3144.0945877798699</v>
      </c>
      <c r="BV153" s="1091">
        <f>BV155*BV8</f>
        <v>3093.5186014598544</v>
      </c>
      <c r="BW153" s="1091">
        <f>BW155*BW8</f>
        <v>3171.3255542903617</v>
      </c>
      <c r="BX153" s="1096">
        <f>SUM(BT153:BW153)</f>
        <v>12095.782210752972</v>
      </c>
      <c r="BY153" s="1091">
        <f>BY155*BY8</f>
        <v>3139.6113720219919</v>
      </c>
      <c r="BZ153" s="1091">
        <f>BZ155*BZ8</f>
        <v>3232.0230725112656</v>
      </c>
      <c r="CA153" s="1091">
        <f>CA155*CA8</f>
        <v>3251.1973082955014</v>
      </c>
      <c r="CB153" s="1091">
        <f>CB155*CB8</f>
        <v>3280.8313755731551</v>
      </c>
      <c r="CC153" s="1096">
        <f>SUM(BY153:CB153)</f>
        <v>12903.663128401913</v>
      </c>
      <c r="CD153" s="1091">
        <f>CD155*CD8</f>
        <v>3225.8758013602724</v>
      </c>
      <c r="CE153" s="1091">
        <f>CE155*CE8</f>
        <v>3003.9844880174287</v>
      </c>
      <c r="CF153" s="1091">
        <f>CF155*CF8</f>
        <v>2912.7726977168945</v>
      </c>
      <c r="CG153" s="1091">
        <f>CG155*CG8</f>
        <v>2897.3462456925486</v>
      </c>
      <c r="CH153" s="1096">
        <f>SUM(CD153:CG153)</f>
        <v>12039.979232787144</v>
      </c>
      <c r="CI153" s="1091">
        <f>CI155*CI8</f>
        <v>2859.1781435577354</v>
      </c>
      <c r="CJ153" s="1091">
        <f>CJ155*CJ8</f>
        <v>2675.2496655405403</v>
      </c>
      <c r="CK153" s="1091">
        <f>CK155*CK8</f>
        <v>2461.0518085106382</v>
      </c>
      <c r="CL153" s="1091">
        <f>CL155*CL8</f>
        <v>2745.1906636155609</v>
      </c>
      <c r="CM153" s="1096">
        <f>SUM(CI153:CL153)</f>
        <v>10740.670281224473</v>
      </c>
      <c r="CN153" s="1091">
        <f ca="1">CN176+CN68*(1-1/CN199)</f>
        <v>2646.094317201238</v>
      </c>
      <c r="CO153" s="1091">
        <f ca="1">CO176+CO68*(1-1/CO199)</f>
        <v>2446.78765047451</v>
      </c>
      <c r="CP153" s="1091">
        <f ca="1">CP176+CP68*(1-1/CP199)</f>
        <v>2215.7845321164905</v>
      </c>
      <c r="CQ153" s="1091">
        <f ca="1">CQ176+CQ68*(1-1/CQ199)</f>
        <v>2481.9010173898691</v>
      </c>
      <c r="CR153" s="1096">
        <f ca="1">SUM(CN153:CQ153)</f>
        <v>9790.5675171821076</v>
      </c>
      <c r="CS153" s="1091">
        <f ca="1">CS176+CS68*(1-1/CS199)</f>
        <v>2571.5347753297419</v>
      </c>
      <c r="CT153" s="1091">
        <f ca="1">CT176+CT68*(1-1/CT199)</f>
        <v>2407.1991639031717</v>
      </c>
      <c r="CU153" s="1091">
        <f ca="1">CU176+CU68*(1-1/CU199)</f>
        <v>2230.057387269731</v>
      </c>
      <c r="CV153" s="1091">
        <f ca="1">CV176+CV68*(1-1/CV199)</f>
        <v>2467.166238796774</v>
      </c>
      <c r="CW153" s="1096">
        <f ca="1">SUM(CS153:CV153)</f>
        <v>9675.957565299419</v>
      </c>
      <c r="CX153" s="1091">
        <f ca="1">CX176+CX68*(1-1/CX199)</f>
        <v>2584.1838192994237</v>
      </c>
      <c r="CY153" s="1091">
        <f ca="1">CY176+CY68*(1-1/CY199)</f>
        <v>2421.2017405301594</v>
      </c>
      <c r="CZ153" s="1091">
        <f ca="1">CZ176+CZ68*(1-1/CZ199)</f>
        <v>2225.5063857069417</v>
      </c>
      <c r="DA153" s="1091">
        <f ca="1">DA176+DA68*(1-1/DA199)</f>
        <v>2479.868672274783</v>
      </c>
      <c r="DB153" s="1096">
        <f ca="1">SUM(CX153:DA153)</f>
        <v>9710.7606178113074</v>
      </c>
      <c r="DC153" s="16"/>
      <c r="DD153" s="16"/>
      <c r="DE153" s="16"/>
      <c r="DF153" s="16"/>
      <c r="DG153" s="16"/>
      <c r="DH153" s="16"/>
      <c r="DI153" s="16"/>
      <c r="DJ153" s="16"/>
    </row>
    <row r="154" spans="1:114" s="725" customFormat="1" ht="11.25" customHeight="1">
      <c r="A154" s="16"/>
      <c r="B154" s="77" t="s">
        <v>256</v>
      </c>
      <c r="C154" s="1092"/>
      <c r="D154" s="1093"/>
      <c r="E154" s="1093"/>
      <c r="F154" s="1094"/>
      <c r="G154" s="117"/>
      <c r="H154" s="117"/>
      <c r="I154" s="117"/>
      <c r="J154" s="117"/>
      <c r="K154" s="64">
        <f t="shared" ref="K154:Z154" si="355">+K153/F153-1</f>
        <v>0.26374957735899307</v>
      </c>
      <c r="L154" s="117">
        <f t="shared" si="355"/>
        <v>0.32390942529023969</v>
      </c>
      <c r="M154" s="117">
        <f t="shared" si="355"/>
        <v>0.26426892042305394</v>
      </c>
      <c r="N154" s="117">
        <f t="shared" si="355"/>
        <v>0.29111135132329724</v>
      </c>
      <c r="O154" s="117">
        <f t="shared" si="355"/>
        <v>0.2192523791762202</v>
      </c>
      <c r="P154" s="64">
        <f t="shared" si="355"/>
        <v>0.2725064652014364</v>
      </c>
      <c r="Q154" s="117">
        <f t="shared" si="355"/>
        <v>0.23302200421478281</v>
      </c>
      <c r="R154" s="117">
        <f t="shared" si="355"/>
        <v>0.27835176498677439</v>
      </c>
      <c r="S154" s="117">
        <f t="shared" si="355"/>
        <v>0.36395995797067049</v>
      </c>
      <c r="T154" s="117">
        <f t="shared" si="355"/>
        <v>0.40750134308041663</v>
      </c>
      <c r="U154" s="64">
        <f t="shared" si="355"/>
        <v>0.32282052259237459</v>
      </c>
      <c r="V154" s="117">
        <f t="shared" si="355"/>
        <v>0.28552054903229851</v>
      </c>
      <c r="W154" s="117">
        <f t="shared" si="355"/>
        <v>0.23535673125799739</v>
      </c>
      <c r="X154" s="117">
        <f t="shared" si="355"/>
        <v>0.17937971094414151</v>
      </c>
      <c r="Y154" s="117">
        <f t="shared" si="355"/>
        <v>0.11506201918167136</v>
      </c>
      <c r="Z154" s="64">
        <f t="shared" si="355"/>
        <v>0.19859562932025177</v>
      </c>
      <c r="AA154" s="117">
        <f t="shared" ref="AA154:BI154" si="356">AA153/V153-1</f>
        <v>0.10683514720389353</v>
      </c>
      <c r="AB154" s="117">
        <f t="shared" si="356"/>
        <v>0.12910532415515386</v>
      </c>
      <c r="AC154" s="117">
        <f t="shared" si="356"/>
        <v>8.753127323318477E-2</v>
      </c>
      <c r="AD154" s="117">
        <f t="shared" si="356"/>
        <v>0.11722152803193864</v>
      </c>
      <c r="AE154" s="64">
        <f t="shared" si="356"/>
        <v>0.10999561010111858</v>
      </c>
      <c r="AF154" s="117">
        <f t="shared" si="356"/>
        <v>0.14213571672568315</v>
      </c>
      <c r="AG154" s="117">
        <f t="shared" si="356"/>
        <v>0.16686001760376157</v>
      </c>
      <c r="AH154" s="117">
        <f t="shared" si="356"/>
        <v>0.23392429741887888</v>
      </c>
      <c r="AI154" s="117">
        <f t="shared" si="356"/>
        <v>0.20531557406578438</v>
      </c>
      <c r="AJ154" s="64">
        <f t="shared" si="356"/>
        <v>0.18780647253397387</v>
      </c>
      <c r="AK154" s="117">
        <f t="shared" si="356"/>
        <v>0.19001945837672296</v>
      </c>
      <c r="AL154" s="117">
        <f t="shared" si="356"/>
        <v>0.21817901613999946</v>
      </c>
      <c r="AM154" s="117">
        <f t="shared" si="356"/>
        <v>1.055502203253794</v>
      </c>
      <c r="AN154" s="117">
        <f t="shared" si="356"/>
        <v>1.1584886935299092</v>
      </c>
      <c r="AO154" s="64">
        <f t="shared" si="356"/>
        <v>0.67870419240885327</v>
      </c>
      <c r="AP154" s="117">
        <f t="shared" si="356"/>
        <v>1.1719967295531077</v>
      </c>
      <c r="AQ154" s="117">
        <f t="shared" si="356"/>
        <v>1.0390467868646036</v>
      </c>
      <c r="AR154" s="117">
        <f t="shared" si="356"/>
        <v>0.17161634762953648</v>
      </c>
      <c r="AS154" s="117">
        <f t="shared" si="356"/>
        <v>8.0831598274056171E-2</v>
      </c>
      <c r="AT154" s="64">
        <f t="shared" si="356"/>
        <v>0.45801040669345983</v>
      </c>
      <c r="AU154" s="117">
        <f t="shared" si="356"/>
        <v>9.4641170523408924E-2</v>
      </c>
      <c r="AV154" s="117">
        <f t="shared" si="356"/>
        <v>0.12831947209080341</v>
      </c>
      <c r="AW154" s="117">
        <f t="shared" si="356"/>
        <v>0.10628902875489277</v>
      </c>
      <c r="AX154" s="117">
        <f t="shared" si="356"/>
        <v>0.11699516535231758</v>
      </c>
      <c r="AY154" s="64">
        <f t="shared" si="356"/>
        <v>0.11159771027568066</v>
      </c>
      <c r="AZ154" s="117">
        <f t="shared" si="356"/>
        <v>7.9112075135095994E-2</v>
      </c>
      <c r="BA154" s="117">
        <f t="shared" si="356"/>
        <v>7.7233234238579751E-2</v>
      </c>
      <c r="BB154" s="117">
        <f t="shared" si="356"/>
        <v>9.5253749188333625E-2</v>
      </c>
      <c r="BC154" s="117">
        <f t="shared" si="356"/>
        <v>0.13569757045256514</v>
      </c>
      <c r="BD154" s="64">
        <f t="shared" si="356"/>
        <v>9.7071526544848963E-2</v>
      </c>
      <c r="BE154" s="117">
        <f t="shared" si="356"/>
        <v>0.11148844705158245</v>
      </c>
      <c r="BF154" s="117">
        <f t="shared" si="356"/>
        <v>0.12891024724324107</v>
      </c>
      <c r="BG154" s="117">
        <f t="shared" si="356"/>
        <v>0.12643558024751855</v>
      </c>
      <c r="BH154" s="117">
        <f t="shared" si="356"/>
        <v>0.10913942210551575</v>
      </c>
      <c r="BI154" s="64">
        <f t="shared" si="356"/>
        <v>0.11899420376384162</v>
      </c>
      <c r="BJ154" s="117">
        <f>+BJ153/BE153-1</f>
        <v>0.1792081418753062</v>
      </c>
      <c r="BK154" s="117">
        <f>+BK153/BF153-1</f>
        <v>0.11857580187728223</v>
      </c>
      <c r="BL154" s="117">
        <f>+BL153/BG153-1</f>
        <v>0.10417390938055271</v>
      </c>
      <c r="BM154" s="117">
        <f>+BM153/BH153-1</f>
        <v>0.10447239595289859</v>
      </c>
      <c r="BN154" s="64">
        <f>BN153/BI153-1</f>
        <v>0.12542679447078831</v>
      </c>
      <c r="BO154" s="117">
        <f t="shared" ref="BO154:CG154" si="357">+BO153/BJ153-1</f>
        <v>3.325415185241587E-2</v>
      </c>
      <c r="BP154" s="117">
        <f>+BP153/BK153-1</f>
        <v>3.8996382298257526E-2</v>
      </c>
      <c r="BQ154" s="117">
        <f>+BQ153/BL153-1</f>
        <v>2.826831897346227E-2</v>
      </c>
      <c r="BR154" s="117">
        <f>+BR153/BM153-1</f>
        <v>4.3395012470911043E-2</v>
      </c>
      <c r="BS154" s="64">
        <f t="shared" si="357"/>
        <v>3.5996562188600256E-2</v>
      </c>
      <c r="BT154" s="117">
        <f t="shared" si="357"/>
        <v>0.32426573969270267</v>
      </c>
      <c r="BU154" s="117">
        <f t="shared" si="357"/>
        <v>0.52978449364621172</v>
      </c>
      <c r="BV154" s="117">
        <f t="shared" si="357"/>
        <v>0.49054127955238958</v>
      </c>
      <c r="BW154" s="117">
        <f t="shared" si="357"/>
        <v>0.49419647485234774</v>
      </c>
      <c r="BX154" s="64">
        <f t="shared" si="357"/>
        <v>0.4604824118949129</v>
      </c>
      <c r="BY154" s="117">
        <f t="shared" si="357"/>
        <v>0.16851294477049961</v>
      </c>
      <c r="BZ154" s="117">
        <f t="shared" si="357"/>
        <v>2.796623392729547E-2</v>
      </c>
      <c r="CA154" s="117">
        <f t="shared" si="357"/>
        <v>5.0970667110660672E-2</v>
      </c>
      <c r="CB154" s="117">
        <f t="shared" si="357"/>
        <v>3.4529984200028618E-2</v>
      </c>
      <c r="CC154" s="64">
        <f t="shared" ref="CC154:CH154" si="358">+CC153/BX153-1</f>
        <v>6.6790299591435121E-2</v>
      </c>
      <c r="CD154" s="117">
        <f t="shared" si="357"/>
        <v>2.7476148833899705E-2</v>
      </c>
      <c r="CE154" s="117">
        <f t="shared" si="357"/>
        <v>-7.05559890439309E-2</v>
      </c>
      <c r="CF154" s="117">
        <f t="shared" si="357"/>
        <v>-0.10409230153922344</v>
      </c>
      <c r="CG154" s="117">
        <f t="shared" si="357"/>
        <v>-0.11688657110992562</v>
      </c>
      <c r="CH154" s="64">
        <f t="shared" si="358"/>
        <v>-6.6933233378802193E-2</v>
      </c>
      <c r="CI154" s="117">
        <f t="shared" ref="CI154:CR154" si="359">+CI153/CD153-1</f>
        <v>-0.11367383011085219</v>
      </c>
      <c r="CJ154" s="117">
        <f t="shared" si="359"/>
        <v>-0.10943292942695815</v>
      </c>
      <c r="CK154" s="117">
        <f t="shared" si="359"/>
        <v>-0.15508278059607139</v>
      </c>
      <c r="CL154" s="117">
        <f t="shared" si="359"/>
        <v>-5.2515498381733194E-2</v>
      </c>
      <c r="CM154" s="64">
        <f t="shared" si="359"/>
        <v>-0.10791621201674551</v>
      </c>
      <c r="CN154" s="117">
        <f t="shared" ca="1" si="359"/>
        <v>-7.4526250432004448E-2</v>
      </c>
      <c r="CO154" s="117">
        <f t="shared" ca="1" si="359"/>
        <v>-8.5398390291871684E-2</v>
      </c>
      <c r="CP154" s="117">
        <f t="shared" ca="1" si="359"/>
        <v>-9.9659534003299521E-2</v>
      </c>
      <c r="CQ154" s="117">
        <f t="shared" ca="1" si="359"/>
        <v>-9.5909420688079061E-2</v>
      </c>
      <c r="CR154" s="64">
        <f t="shared" ca="1" si="359"/>
        <v>-8.8458423838148947E-2</v>
      </c>
      <c r="CS154" s="117">
        <f t="shared" ref="CS154" ca="1" si="360">+CS153/CN153-1</f>
        <v>-2.8177204941945311E-2</v>
      </c>
      <c r="CT154" s="117">
        <f t="shared" ref="CT154" ca="1" si="361">+CT153/CO153-1</f>
        <v>-1.6179780277892464E-2</v>
      </c>
      <c r="CU154" s="117">
        <f t="shared" ref="CU154" ca="1" si="362">+CU153/CP153-1</f>
        <v>6.4414454322447856E-3</v>
      </c>
      <c r="CV154" s="117">
        <f t="shared" ref="CV154" ca="1" si="363">+CV153/CQ153-1</f>
        <v>-5.9368921201342628E-3</v>
      </c>
      <c r="CW154" s="64">
        <f t="shared" ref="CW154" ca="1" si="364">+CW153/CR153-1</f>
        <v>-1.1706160207929917E-2</v>
      </c>
      <c r="CX154" s="117">
        <f t="shared" ref="CX154" ca="1" si="365">+CX153/CS153-1</f>
        <v>4.9188694981034953E-3</v>
      </c>
      <c r="CY154" s="117">
        <f t="shared" ref="CY154" ca="1" si="366">+CY153/CT153-1</f>
        <v>5.8169580801461507E-3</v>
      </c>
      <c r="CZ154" s="117">
        <f t="shared" ref="CZ154" ca="1" si="367">+CZ153/CU153-1</f>
        <v>-2.0407553584802507E-3</v>
      </c>
      <c r="DA154" s="117">
        <f t="shared" ref="DA154" ca="1" si="368">+DA153/CV153-1</f>
        <v>5.1485924532608252E-3</v>
      </c>
      <c r="DB154" s="64">
        <f t="shared" ref="DB154" ca="1" si="369">+DB153/CW153-1</f>
        <v>3.5968587374444194E-3</v>
      </c>
      <c r="DC154" s="16"/>
      <c r="DD154" s="16"/>
      <c r="DE154" s="16"/>
      <c r="DF154" s="16"/>
      <c r="DG154" s="16"/>
      <c r="DH154" s="16"/>
      <c r="DI154" s="16"/>
      <c r="DJ154" s="16"/>
    </row>
    <row r="155" spans="1:114" s="725" customFormat="1" ht="11.25" customHeight="1">
      <c r="A155" s="16"/>
      <c r="B155" s="118" t="s">
        <v>279</v>
      </c>
      <c r="C155" s="124"/>
      <c r="D155" s="123">
        <v>0.44299999999999995</v>
      </c>
      <c r="E155" s="123">
        <v>0.45500000000000002</v>
      </c>
      <c r="F155" s="122">
        <v>0.47299999999999998</v>
      </c>
      <c r="G155" s="117">
        <f>G244</f>
        <v>0.46400000000000002</v>
      </c>
      <c r="H155" s="117">
        <f>H244</f>
        <v>0.49199999999999999</v>
      </c>
      <c r="I155" s="117">
        <f>I244</f>
        <v>0.47899999999999998</v>
      </c>
      <c r="J155" s="117">
        <f>J244</f>
        <v>0.45600000000000002</v>
      </c>
      <c r="K155" s="64">
        <f>+K153/K8</f>
        <v>0.47206198007233008</v>
      </c>
      <c r="L155" s="117">
        <f>L244</f>
        <v>0.45900000000000002</v>
      </c>
      <c r="M155" s="117">
        <f>M244</f>
        <v>0.47</v>
      </c>
      <c r="N155" s="117">
        <f>N244</f>
        <v>0.46600000000000003</v>
      </c>
      <c r="O155" s="117">
        <f>O244</f>
        <v>0.45500000000000002</v>
      </c>
      <c r="P155" s="64">
        <f>+P153/P8</f>
        <v>0.46235045084636239</v>
      </c>
      <c r="Q155" s="117">
        <f>Q244</f>
        <v>0.45800000000000002</v>
      </c>
      <c r="R155" s="117">
        <f>R244</f>
        <v>0.48499999999999999</v>
      </c>
      <c r="S155" s="117">
        <f>S244</f>
        <v>0.48599999999999999</v>
      </c>
      <c r="T155" s="117">
        <f>T244</f>
        <v>0.47</v>
      </c>
      <c r="U155" s="64">
        <f>+U153/U8</f>
        <v>0.47476833012067909</v>
      </c>
      <c r="V155" s="117">
        <f>V244</f>
        <v>0.47199999999999998</v>
      </c>
      <c r="W155" s="117">
        <f>W244</f>
        <v>0.48399999999999999</v>
      </c>
      <c r="X155" s="117">
        <f>X244</f>
        <v>0.49099999999999999</v>
      </c>
      <c r="Y155" s="117">
        <f>Y244</f>
        <v>0.47799999999999998</v>
      </c>
      <c r="Z155" s="64">
        <f>+Z153/Z8</f>
        <v>0.48401782730273069</v>
      </c>
      <c r="AA155" s="117">
        <f>AA244</f>
        <v>0.47</v>
      </c>
      <c r="AB155" s="117">
        <f>AB244</f>
        <v>0.48399999999999999</v>
      </c>
      <c r="AC155" s="117">
        <f>AC244</f>
        <v>0.48499999999999999</v>
      </c>
      <c r="AD155" s="117">
        <f>AD244</f>
        <v>0.47399999999999998</v>
      </c>
      <c r="AE155" s="64">
        <f>+AE153/AE8</f>
        <v>0.47820726837626004</v>
      </c>
      <c r="AF155" s="117">
        <f>AF244</f>
        <v>0.47799999999999998</v>
      </c>
      <c r="AG155" s="117">
        <f>AG244</f>
        <v>0.48899999999999999</v>
      </c>
      <c r="AH155" s="117">
        <f>AH244</f>
        <v>0.495</v>
      </c>
      <c r="AI155" s="117">
        <f>AI244</f>
        <v>0.48599999999999999</v>
      </c>
      <c r="AJ155" s="64">
        <f>+AJ153/AJ8</f>
        <v>0.48716411053203518</v>
      </c>
      <c r="AK155" s="117">
        <f>AK244</f>
        <v>0.48499999999999999</v>
      </c>
      <c r="AL155" s="117">
        <f>AL244</f>
        <v>0.50600000000000001</v>
      </c>
      <c r="AM155" s="117">
        <f>AM244</f>
        <v>0.48599999999999999</v>
      </c>
      <c r="AN155" s="117">
        <f>AN244</f>
        <v>0.47899999999999998</v>
      </c>
      <c r="AO155" s="64">
        <f>+AO153/AO8</f>
        <v>0.50090360132186706</v>
      </c>
      <c r="AP155" s="117">
        <f>AP244</f>
        <v>0.46500000000000002</v>
      </c>
      <c r="AQ155" s="117">
        <f>AQ244</f>
        <v>0.47899999999999998</v>
      </c>
      <c r="AR155" s="117">
        <f>AR244</f>
        <v>0.48299999999999998</v>
      </c>
      <c r="AS155" s="117">
        <f>AS244</f>
        <v>0.47399999999999998</v>
      </c>
      <c r="AT155" s="64">
        <f>+AT153/AT8</f>
        <v>0.4801958803324472</v>
      </c>
      <c r="AU155" s="117">
        <f>AU244</f>
        <v>0.48</v>
      </c>
      <c r="AV155" s="117">
        <f>AV244</f>
        <v>0.48199999999999998</v>
      </c>
      <c r="AW155" s="117">
        <f>AW244</f>
        <v>0.48</v>
      </c>
      <c r="AX155" s="117">
        <f>AX244</f>
        <v>0.47299999999999998</v>
      </c>
      <c r="AY155" s="64" t="e">
        <f>+AY153/AY8</f>
        <v>#REF!</v>
      </c>
      <c r="AZ155" s="117">
        <f>AZ244</f>
        <v>0.47399999999999998</v>
      </c>
      <c r="BA155" s="117">
        <f>BA244</f>
        <v>0.49399999999999999</v>
      </c>
      <c r="BB155" s="117">
        <f>BB244</f>
        <v>0.499</v>
      </c>
      <c r="BC155" s="117">
        <f>BC244</f>
        <v>0.48799999999999999</v>
      </c>
      <c r="BD155" s="64">
        <f>+BD153/BD8</f>
        <v>0.48881227744195893</v>
      </c>
      <c r="BE155" s="117">
        <f>BE244</f>
        <v>0.48899999999999999</v>
      </c>
      <c r="BF155" s="117">
        <f>BF244</f>
        <v>0.51500000000000001</v>
      </c>
      <c r="BG155" s="117">
        <f>BG244</f>
        <v>0.53200000000000003</v>
      </c>
      <c r="BH155" s="117">
        <f>BH244</f>
        <v>0.53500000000000003</v>
      </c>
      <c r="BI155" s="64">
        <f>+BI153/BI8</f>
        <v>0.52130071807422318</v>
      </c>
      <c r="BJ155" s="117">
        <f>BJ244</f>
        <v>0.51900000000000002</v>
      </c>
      <c r="BK155" s="117">
        <f>BK244</f>
        <v>0.52800000000000002</v>
      </c>
      <c r="BL155" s="117">
        <f>BL244</f>
        <v>0.54600000000000004</v>
      </c>
      <c r="BM155" s="117">
        <f>BM244</f>
        <v>0.54300000000000004</v>
      </c>
      <c r="BN155" s="64">
        <f>+BN153/BN8</f>
        <v>0.53392281298843858</v>
      </c>
      <c r="BO155" s="117">
        <f>BO244</f>
        <v>0.53500000000000003</v>
      </c>
      <c r="BP155" s="117">
        <f>BP244</f>
        <v>0.54600000000000004</v>
      </c>
      <c r="BQ155" s="117">
        <f>BQ244</f>
        <v>0.55100000000000005</v>
      </c>
      <c r="BR155" s="117">
        <f>BR244</f>
        <v>0.56699999999999995</v>
      </c>
      <c r="BS155" s="64">
        <f>+BS153/BS8</f>
        <v>0.5496986289502428</v>
      </c>
      <c r="BT155" s="117">
        <f>BT244</f>
        <v>0.55100000000000005</v>
      </c>
      <c r="BU155" s="117">
        <f>BU244</f>
        <v>0.57099999999999995</v>
      </c>
      <c r="BV155" s="117">
        <f>BV244</f>
        <v>0.55800000000000005</v>
      </c>
      <c r="BW155" s="117">
        <f>BW244</f>
        <v>0.56399999999999995</v>
      </c>
      <c r="BX155" s="64">
        <f>+BX153/BX8</f>
        <v>0.56130334154985118</v>
      </c>
      <c r="BY155" s="117">
        <f>BY244</f>
        <v>0.55800000000000005</v>
      </c>
      <c r="BZ155" s="117">
        <f>BZ244</f>
        <v>0.57599999999999996</v>
      </c>
      <c r="CA155" s="117">
        <f>CA244</f>
        <v>0.58299999999999996</v>
      </c>
      <c r="CB155" s="117">
        <f>CB244</f>
        <v>0.56999999999999995</v>
      </c>
      <c r="CC155" s="64">
        <f>+CC153/CC8</f>
        <v>0.57171221573758157</v>
      </c>
      <c r="CD155" s="117">
        <f>CD244</f>
        <v>0.56100000000000005</v>
      </c>
      <c r="CE155" s="117">
        <f>CE244</f>
        <v>0.57199999999999995</v>
      </c>
      <c r="CF155" s="117">
        <f>CF244</f>
        <v>0.57399999999999995</v>
      </c>
      <c r="CG155" s="117">
        <f>CG244</f>
        <v>0.56399999999999995</v>
      </c>
      <c r="CH155" s="64">
        <f>+CH153/CH8</f>
        <v>0.56755942705136486</v>
      </c>
      <c r="CI155" s="117">
        <f>CI244</f>
        <v>0.56100000000000005</v>
      </c>
      <c r="CJ155" s="117">
        <f>CJ244</f>
        <v>0.56699999999999995</v>
      </c>
      <c r="CK155" s="117">
        <f>CK244</f>
        <v>0.56999999999999995</v>
      </c>
      <c r="CL155" s="117">
        <f>CL244</f>
        <v>0.56599999999999995</v>
      </c>
      <c r="CM155" s="64">
        <f t="shared" ref="CM155:CW155" si="370">+CM153/CM8</f>
        <v>0.56581593276897812</v>
      </c>
      <c r="CN155" s="117">
        <f t="shared" ca="1" si="370"/>
        <v>0.6195248675886782</v>
      </c>
      <c r="CO155" s="117">
        <f t="shared" ca="1" si="370"/>
        <v>0.61307900520268432</v>
      </c>
      <c r="CP155" s="117">
        <f t="shared" ca="1" si="370"/>
        <v>0.60698657781852949</v>
      </c>
      <c r="CQ155" s="117">
        <f t="shared" ca="1" si="370"/>
        <v>0.59906404599764485</v>
      </c>
      <c r="CR155" s="64">
        <f t="shared" ca="1" si="370"/>
        <v>0.60979215277355614</v>
      </c>
      <c r="CS155" s="117">
        <f t="shared" ca="1" si="370"/>
        <v>0.64179342877661805</v>
      </c>
      <c r="CT155" s="117">
        <f t="shared" ca="1" si="370"/>
        <v>0.6254883207842723</v>
      </c>
      <c r="CU155" s="117">
        <f t="shared" ca="1" si="370"/>
        <v>0.60673269675246433</v>
      </c>
      <c r="CV155" s="117">
        <f t="shared" ca="1" si="370"/>
        <v>0.59452624714227342</v>
      </c>
      <c r="CW155" s="64">
        <f t="shared" ca="1" si="370"/>
        <v>0.6170644298667517</v>
      </c>
      <c r="CX155" s="117">
        <f t="shared" ref="CX155:DB155" ca="1" si="371">+CX153/CX8</f>
        <v>0.64129547738059278</v>
      </c>
      <c r="CY155" s="117">
        <f t="shared" ca="1" si="371"/>
        <v>0.62520355468848865</v>
      </c>
      <c r="CZ155" s="117">
        <f t="shared" ca="1" si="371"/>
        <v>0.6067203167077948</v>
      </c>
      <c r="DA155" s="117">
        <f t="shared" ca="1" si="371"/>
        <v>0.59444412850555683</v>
      </c>
      <c r="DB155" s="64">
        <f t="shared" ca="1" si="371"/>
        <v>0.6168645187144054</v>
      </c>
      <c r="DC155" s="16"/>
      <c r="DD155" s="16"/>
      <c r="DE155" s="16"/>
      <c r="DF155" s="16"/>
      <c r="DG155" s="16"/>
      <c r="DH155" s="16"/>
      <c r="DI155" s="16"/>
      <c r="DJ155" s="16"/>
    </row>
    <row r="156" spans="1:114" s="725" customFormat="1" ht="11.25" customHeight="1">
      <c r="A156" s="16"/>
      <c r="B156" s="118"/>
      <c r="C156" s="62"/>
      <c r="D156" s="120"/>
      <c r="E156" s="120"/>
      <c r="F156" s="119"/>
      <c r="G156" s="121"/>
      <c r="H156" s="121"/>
      <c r="I156" s="121"/>
      <c r="J156" s="121"/>
      <c r="K156" s="119"/>
      <c r="L156" s="121"/>
      <c r="M156" s="121"/>
      <c r="N156" s="121"/>
      <c r="O156" s="121"/>
      <c r="P156" s="119"/>
      <c r="Q156" s="121"/>
      <c r="R156" s="121"/>
      <c r="S156" s="121"/>
      <c r="T156" s="121"/>
      <c r="U156" s="119"/>
      <c r="V156" s="121"/>
      <c r="W156" s="121"/>
      <c r="X156" s="121"/>
      <c r="Y156" s="121"/>
      <c r="Z156" s="64"/>
      <c r="AA156" s="121"/>
      <c r="AB156" s="121"/>
      <c r="AC156" s="121"/>
      <c r="AD156" s="121"/>
      <c r="AE156" s="64"/>
      <c r="AF156" s="121"/>
      <c r="AG156" s="121"/>
      <c r="AH156" s="121"/>
      <c r="AI156" s="121"/>
      <c r="AJ156" s="64"/>
      <c r="AK156" s="121"/>
      <c r="AL156" s="121"/>
      <c r="AM156" s="121"/>
      <c r="AN156" s="121"/>
      <c r="AO156" s="64"/>
      <c r="AP156" s="121"/>
      <c r="AQ156" s="121"/>
      <c r="AR156" s="121"/>
      <c r="AS156" s="121"/>
      <c r="AT156" s="64"/>
      <c r="AU156" s="121"/>
      <c r="AV156" s="121"/>
      <c r="AW156" s="121"/>
      <c r="AX156" s="121"/>
      <c r="AY156" s="64"/>
      <c r="AZ156" s="121"/>
      <c r="BA156" s="121"/>
      <c r="BB156" s="121"/>
      <c r="BC156" s="121"/>
      <c r="BD156" s="64"/>
      <c r="BE156" s="121"/>
      <c r="BF156" s="121"/>
      <c r="BG156" s="121"/>
      <c r="BH156" s="121"/>
      <c r="BI156" s="64"/>
      <c r="BJ156" s="121"/>
      <c r="BK156" s="121"/>
      <c r="BL156" s="121"/>
      <c r="BM156" s="121"/>
      <c r="BN156" s="64"/>
      <c r="BO156" s="121"/>
      <c r="BP156" s="121"/>
      <c r="BQ156" s="121"/>
      <c r="BR156" s="121"/>
      <c r="BS156" s="64"/>
      <c r="BT156" s="121"/>
      <c r="BU156" s="121"/>
      <c r="BV156" s="121"/>
      <c r="BW156" s="121"/>
      <c r="BX156" s="64"/>
      <c r="BY156" s="121"/>
      <c r="BZ156" s="121"/>
      <c r="CA156" s="121"/>
      <c r="CB156" s="121"/>
      <c r="CC156" s="64"/>
      <c r="CD156" s="121"/>
      <c r="CE156" s="121"/>
      <c r="CF156" s="121"/>
      <c r="CG156" s="121"/>
      <c r="CH156" s="64"/>
      <c r="CI156" s="121"/>
      <c r="CJ156" s="121"/>
      <c r="CK156" s="121"/>
      <c r="CL156" s="121"/>
      <c r="CM156" s="64"/>
      <c r="CN156" s="121"/>
      <c r="CO156" s="121"/>
      <c r="CP156" s="121"/>
      <c r="CQ156" s="121"/>
      <c r="CR156" s="64"/>
      <c r="CS156" s="121"/>
      <c r="CT156" s="121"/>
      <c r="CU156" s="121"/>
      <c r="CV156" s="121"/>
      <c r="CW156" s="64"/>
      <c r="CX156" s="121"/>
      <c r="CY156" s="121"/>
      <c r="CZ156" s="121"/>
      <c r="DA156" s="121"/>
      <c r="DB156" s="64"/>
      <c r="DC156" s="16"/>
      <c r="DD156" s="16"/>
      <c r="DE156" s="16"/>
      <c r="DF156" s="16"/>
      <c r="DG156" s="16"/>
      <c r="DH156" s="16"/>
      <c r="DI156" s="16"/>
      <c r="DJ156" s="16"/>
    </row>
    <row r="157" spans="1:114" s="725" customFormat="1" ht="11.25" customHeight="1">
      <c r="A157" s="16"/>
      <c r="B157" s="16" t="s">
        <v>281</v>
      </c>
      <c r="C157" s="579"/>
      <c r="D157" s="1069">
        <f t="shared" ref="D157:J157" si="372">+D149+D153</f>
        <v>854.85</v>
      </c>
      <c r="E157" s="1069">
        <f t="shared" si="372"/>
        <v>1060.5138460000001</v>
      </c>
      <c r="F157" s="1054">
        <f t="shared" si="372"/>
        <v>1314.763483</v>
      </c>
      <c r="G157" s="1070">
        <f t="shared" si="372"/>
        <v>394.259905</v>
      </c>
      <c r="H157" s="1070">
        <f t="shared" si="372"/>
        <v>396.09809200000001</v>
      </c>
      <c r="I157" s="1070">
        <f t="shared" si="372"/>
        <v>411.57017200000001</v>
      </c>
      <c r="J157" s="1070">
        <f t="shared" si="372"/>
        <v>471.29447400000004</v>
      </c>
      <c r="K157" s="1054">
        <f>SUM(G157:J157)</f>
        <v>1673.2226430000001</v>
      </c>
      <c r="L157" s="1070">
        <f>+L153+L149</f>
        <v>526.58325300000001</v>
      </c>
      <c r="M157" s="1070">
        <f>+M153+M149</f>
        <v>523.68443400000001</v>
      </c>
      <c r="N157" s="1070">
        <f>+N149+N153</f>
        <v>546.20690800000011</v>
      </c>
      <c r="O157" s="1070">
        <f>+O149+O153</f>
        <v>576.47330000000011</v>
      </c>
      <c r="P157" s="1054">
        <f>SUM(L157:O157)</f>
        <v>2172.9478950000002</v>
      </c>
      <c r="Q157" s="1070">
        <f>+Q149+Q153</f>
        <v>652.0249530000001</v>
      </c>
      <c r="R157" s="1070">
        <f>+R149+R153</f>
        <v>648.74819100000002</v>
      </c>
      <c r="S157" s="1070">
        <f>+S153+S149</f>
        <v>714.34573599999999</v>
      </c>
      <c r="T157" s="1070">
        <f>+T149+T153</f>
        <v>783.10652000000005</v>
      </c>
      <c r="U157" s="1054">
        <f>SUM(Q157:T157)</f>
        <v>2798.2254000000003</v>
      </c>
      <c r="V157" s="1070">
        <f>+V149+V153</f>
        <v>810.04035999999996</v>
      </c>
      <c r="W157" s="1070">
        <f>+W149+W153</f>
        <v>803.90497200000004</v>
      </c>
      <c r="X157" s="1070">
        <f>+X149+X153</f>
        <v>833.06155799999988</v>
      </c>
      <c r="Y157" s="1070">
        <f>+Y149+Y153</f>
        <v>859.46957799999996</v>
      </c>
      <c r="Z157" s="1054">
        <f>SUM(V157:Y157)</f>
        <v>3306.4764679999998</v>
      </c>
      <c r="AA157" s="1070">
        <f>+AA149+AA153</f>
        <v>904.0528119999999</v>
      </c>
      <c r="AB157" s="1070">
        <f>+AB149+AB153</f>
        <v>907.69338399999992</v>
      </c>
      <c r="AC157" s="1070">
        <f>+AC149+AC153</f>
        <v>917.18850300000008</v>
      </c>
      <c r="AD157" s="1070">
        <f>+AD149+AD153</f>
        <v>968.32102000000009</v>
      </c>
      <c r="AE157" s="1054">
        <f>SUM(AA157:AD157)</f>
        <v>3697.2557189999998</v>
      </c>
      <c r="AF157" s="1070">
        <f>+AF149+AF153</f>
        <v>1013.216694</v>
      </c>
      <c r="AG157" s="1070">
        <f>+AG149+AG153</f>
        <v>1047.2602980000001</v>
      </c>
      <c r="AH157" s="1070">
        <f>+AH149+AH153</f>
        <v>1110.0012039999999</v>
      </c>
      <c r="AI157" s="1070">
        <f>+AI149+AI153</f>
        <v>1142.9322300000001</v>
      </c>
      <c r="AJ157" s="1054">
        <f>SUM(AF157:AI157)</f>
        <v>4313.4104260000004</v>
      </c>
      <c r="AK157" s="1070">
        <f>+AK149+AK153</f>
        <v>1190.753033</v>
      </c>
      <c r="AL157" s="1070">
        <f>+AL149+AL153</f>
        <v>1232.889336</v>
      </c>
      <c r="AM157" s="1070">
        <f>+AM149+AM153</f>
        <v>2302.6931729999997</v>
      </c>
      <c r="AN157" s="1070">
        <f>+AN149+AN153</f>
        <v>2462.6051079999997</v>
      </c>
      <c r="AO157" s="1054">
        <f>SUM(AK157:AN157)</f>
        <v>7188.9406499999996</v>
      </c>
      <c r="AP157" s="1070">
        <f>+AP149+AP153</f>
        <v>2659.3651500000005</v>
      </c>
      <c r="AQ157" s="1070">
        <f>+AQ149+AQ153</f>
        <v>2628.7161999999998</v>
      </c>
      <c r="AR157" s="1070">
        <f>+AR149+AR153</f>
        <v>2709.0842200000002</v>
      </c>
      <c r="AS157" s="1070">
        <f>+AS149+AS153</f>
        <v>2709.0687779999998</v>
      </c>
      <c r="AT157" s="1054">
        <f>SUM(AP157:AS157)</f>
        <v>10706.234348000002</v>
      </c>
      <c r="AU157" s="1070">
        <f>+AU149+AU153</f>
        <v>2892.39</v>
      </c>
      <c r="AV157" s="1070">
        <f>+AV149+AV153</f>
        <v>2944.5539359999998</v>
      </c>
      <c r="AW157" s="1070">
        <f>+AW149+AW153</f>
        <v>3015.7615889999997</v>
      </c>
      <c r="AX157" s="1070">
        <f>AX149+AX153</f>
        <v>3020.0496419999999</v>
      </c>
      <c r="AY157" s="1054">
        <f>SUM(AU157:AX157)</f>
        <v>11872.755166999999</v>
      </c>
      <c r="AZ157" s="1070">
        <f>AZ149+AZ153</f>
        <v>3094.3468380000004</v>
      </c>
      <c r="BA157" s="1070">
        <f>BA149+BA153</f>
        <v>3110.7745439999999</v>
      </c>
      <c r="BB157" s="1070">
        <f>BB149+BB153</f>
        <v>3174.0056799999998</v>
      </c>
      <c r="BC157" s="1070">
        <f>BC149+BC153</f>
        <v>3321.034224</v>
      </c>
      <c r="BD157" s="1054">
        <f>SUM(AZ157:BC157)</f>
        <v>12700.161285999999</v>
      </c>
      <c r="BE157" s="1070">
        <f>BE149+BE153</f>
        <v>3333.8298180000002</v>
      </c>
      <c r="BF157" s="1070">
        <f>BF149+BF153</f>
        <v>3361.7185910000003</v>
      </c>
      <c r="BG157" s="1070">
        <f>BG149+BG153</f>
        <v>3339.7919999999999</v>
      </c>
      <c r="BH157" s="1070">
        <f>BH149+BH153</f>
        <v>3373.6637200000005</v>
      </c>
      <c r="BI157" s="1054">
        <f>SUM(BE157:BH157)</f>
        <v>13409.004129000001</v>
      </c>
      <c r="BJ157" s="1070">
        <f>BJ149+BJ153</f>
        <v>3707.8211799999999</v>
      </c>
      <c r="BK157" s="1070">
        <f>BK149+BK153</f>
        <v>3682.7387239999998</v>
      </c>
      <c r="BL157" s="1070">
        <f>BL149+BL153</f>
        <v>3630.1211020000001</v>
      </c>
      <c r="BM157" s="1070">
        <f>BM149+BM153</f>
        <v>3674.9678237653698</v>
      </c>
      <c r="BN157" s="1054">
        <f>SUM(BJ157:BM157)</f>
        <v>14695.648829765369</v>
      </c>
      <c r="BO157" s="1070">
        <f>BO149+BO153</f>
        <v>3720.3384223614039</v>
      </c>
      <c r="BP157" s="1070">
        <f>BP149+BP153</f>
        <v>3700.2087316960628</v>
      </c>
      <c r="BQ157" s="1070">
        <f>BQ149+BQ153</f>
        <v>3698.8661228314036</v>
      </c>
      <c r="BR157" s="1070">
        <f>BR149+BR153</f>
        <v>3672.13862853822</v>
      </c>
      <c r="BS157" s="1054">
        <f>SUM(BO157:BR157)</f>
        <v>14791.55190542709</v>
      </c>
      <c r="BT157" s="1070">
        <f>BT149+BT153</f>
        <v>4876.3039332538738</v>
      </c>
      <c r="BU157" s="1070">
        <f>BU149+BU153</f>
        <v>5506.2952500523115</v>
      </c>
      <c r="BV157" s="1070">
        <f>BV149+BV153</f>
        <v>5543.9401459854016</v>
      </c>
      <c r="BW157" s="1070">
        <f>BW149+BW153</f>
        <v>5622.9176494509957</v>
      </c>
      <c r="BX157" s="1054">
        <f>SUM(BT157:BW157)</f>
        <v>21549.456978742583</v>
      </c>
      <c r="BY157" s="1070">
        <f>BY149+BY153</f>
        <v>5626.543677458767</v>
      </c>
      <c r="BZ157" s="1070">
        <f>BZ149+BZ153</f>
        <v>5611.1511675542806</v>
      </c>
      <c r="CA157" s="1070">
        <f>CA149+CA153</f>
        <v>5576.6677672307051</v>
      </c>
      <c r="CB157" s="1070">
        <f>CB149+CB153</f>
        <v>5755.8445185493947</v>
      </c>
      <c r="CC157" s="1054">
        <f>SUM(BY157:CB157)</f>
        <v>22570.207130793147</v>
      </c>
      <c r="CD157" s="1070">
        <f>CD149+CD153</f>
        <v>5750.2242448489706</v>
      </c>
      <c r="CE157" s="1070">
        <f>CE149+CE153</f>
        <v>5251.7211328976027</v>
      </c>
      <c r="CF157" s="1070">
        <f>CF149+CF153</f>
        <v>5074.5168949771687</v>
      </c>
      <c r="CG157" s="1070">
        <f>CG149+CG153</f>
        <v>5137.1387334974261</v>
      </c>
      <c r="CH157" s="1054">
        <f>SUM(CD157:CG157)</f>
        <v>21213.601006221168</v>
      </c>
      <c r="CI157" s="1070">
        <f>CI149+CI153</f>
        <v>5096.5742309407051</v>
      </c>
      <c r="CJ157" s="1070">
        <f>CJ149+CJ153</f>
        <v>4718.2533783783783</v>
      </c>
      <c r="CK157" s="1070">
        <f>CK149+CK153</f>
        <v>4317.6347517730501</v>
      </c>
      <c r="CL157" s="1070">
        <f>CL149+CL153</f>
        <v>4850.1601830663622</v>
      </c>
      <c r="CM157" s="1054">
        <f>SUM(CI157:CL157)</f>
        <v>18982.622544158497</v>
      </c>
      <c r="CN157" s="1070">
        <f ca="1">CN149+CN153</f>
        <v>4286.6139470063281</v>
      </c>
      <c r="CO157" s="1070">
        <f ca="1">CO149+CO153</f>
        <v>4015.1490193517693</v>
      </c>
      <c r="CP157" s="1070">
        <f ca="1">CP149+CP153</f>
        <v>3679.6481549729701</v>
      </c>
      <c r="CQ157" s="1070">
        <f ca="1">CQ149+CQ153</f>
        <v>4166.1500817789765</v>
      </c>
      <c r="CR157" s="1054">
        <f ca="1">SUM(CN157:CQ157)</f>
        <v>16147.561203110045</v>
      </c>
      <c r="CS157" s="1070">
        <f ca="1">CS149+CS153</f>
        <v>4016.0053130881661</v>
      </c>
      <c r="CT157" s="1070">
        <f ca="1">CT149+CT153</f>
        <v>3856.8026598647693</v>
      </c>
      <c r="CU157" s="1070">
        <f ca="1">CU149+CU153</f>
        <v>3678.7943155816483</v>
      </c>
      <c r="CV157" s="1070">
        <f ca="1">CV149+CV153</f>
        <v>4156.5185181661618</v>
      </c>
      <c r="CW157" s="1054">
        <f ca="1">SUM(CS157:CV157)</f>
        <v>15708.120806700746</v>
      </c>
      <c r="CX157" s="1070">
        <f ca="1">CX149+CX153</f>
        <v>4029.630506447148</v>
      </c>
      <c r="CY157" s="1070">
        <f ca="1">CY149+CY153</f>
        <v>3872.661507397439</v>
      </c>
      <c r="CZ157" s="1070">
        <f ca="1">CZ149+CZ153</f>
        <v>3668.0927346937315</v>
      </c>
      <c r="DA157" s="1070">
        <f ca="1">DA149+DA153</f>
        <v>4171.7439089006011</v>
      </c>
      <c r="DB157" s="1054">
        <f ca="1">SUM(CX157:DA157)</f>
        <v>15742.12865743892</v>
      </c>
      <c r="DC157" s="16"/>
      <c r="DD157" s="16"/>
      <c r="DE157" s="16"/>
      <c r="DF157" s="16"/>
      <c r="DG157" s="16"/>
      <c r="DH157" s="16"/>
      <c r="DI157" s="16"/>
      <c r="DJ157" s="16"/>
    </row>
    <row r="158" spans="1:114" s="725" customFormat="1" ht="11.25" customHeight="1">
      <c r="A158" s="16"/>
      <c r="B158" s="77" t="s">
        <v>256</v>
      </c>
      <c r="C158" s="1092"/>
      <c r="D158" s="1093"/>
      <c r="E158" s="1093"/>
      <c r="F158" s="1094"/>
      <c r="G158" s="1097"/>
      <c r="H158" s="1097"/>
      <c r="I158" s="1097"/>
      <c r="J158" s="1097"/>
      <c r="K158" s="1094"/>
      <c r="L158" s="1097"/>
      <c r="M158" s="1097"/>
      <c r="N158" s="1097"/>
      <c r="O158" s="1097"/>
      <c r="P158" s="1094"/>
      <c r="Q158" s="1097"/>
      <c r="R158" s="1097"/>
      <c r="S158" s="1097"/>
      <c r="T158" s="1097"/>
      <c r="U158" s="1094"/>
      <c r="V158" s="1097"/>
      <c r="W158" s="1097"/>
      <c r="X158" s="1097"/>
      <c r="Y158" s="1097"/>
      <c r="Z158" s="1094"/>
      <c r="AA158" s="1097"/>
      <c r="AB158" s="1097"/>
      <c r="AC158" s="1097"/>
      <c r="AD158" s="1097"/>
      <c r="AE158" s="1094"/>
      <c r="AF158" s="1097"/>
      <c r="AG158" s="1097"/>
      <c r="AH158" s="1097"/>
      <c r="AI158" s="1097"/>
      <c r="AJ158" s="64">
        <f t="shared" ref="AJ158:CG158" si="373">+AJ157/AE157-1</f>
        <v>0.16665190450138856</v>
      </c>
      <c r="AK158" s="117">
        <f t="shared" si="373"/>
        <v>0.17522050322633165</v>
      </c>
      <c r="AL158" s="117">
        <f t="shared" si="373"/>
        <v>0.17725205314715353</v>
      </c>
      <c r="AM158" s="117">
        <f t="shared" si="373"/>
        <v>1.0744961038799015</v>
      </c>
      <c r="AN158" s="117">
        <f t="shared" si="373"/>
        <v>1.1546379070962058</v>
      </c>
      <c r="AO158" s="64">
        <f t="shared" si="373"/>
        <v>0.66664887873111445</v>
      </c>
      <c r="AP158" s="117">
        <f t="shared" si="373"/>
        <v>1.2333473661620316</v>
      </c>
      <c r="AQ158" s="117">
        <f t="shared" si="373"/>
        <v>1.1321590861744624</v>
      </c>
      <c r="AR158" s="117">
        <f t="shared" si="373"/>
        <v>0.17648510525201466</v>
      </c>
      <c r="AS158" s="117">
        <f t="shared" si="373"/>
        <v>0.10008249767668409</v>
      </c>
      <c r="AT158" s="64">
        <f t="shared" si="373"/>
        <v>0.48926453412854398</v>
      </c>
      <c r="AU158" s="117">
        <f t="shared" si="373"/>
        <v>8.7624239943130622E-2</v>
      </c>
      <c r="AV158" s="117">
        <f t="shared" si="373"/>
        <v>0.12014904309563734</v>
      </c>
      <c r="AW158" s="117">
        <f t="shared" si="373"/>
        <v>0.11320333518461068</v>
      </c>
      <c r="AX158" s="117">
        <f t="shared" si="373"/>
        <v>0.11479253185649463</v>
      </c>
      <c r="AY158" s="64">
        <f t="shared" si="373"/>
        <v>0.10895715347552715</v>
      </c>
      <c r="AZ158" s="117">
        <f t="shared" si="373"/>
        <v>6.9823515501021838E-2</v>
      </c>
      <c r="BA158" s="117">
        <f t="shared" si="373"/>
        <v>5.6450182816417005E-2</v>
      </c>
      <c r="BB158" s="117">
        <f t="shared" si="373"/>
        <v>5.2472347806668651E-2</v>
      </c>
      <c r="BC158" s="117">
        <f t="shared" si="373"/>
        <v>9.9662130653149106E-2</v>
      </c>
      <c r="BD158" s="64">
        <f t="shared" si="373"/>
        <v>6.9689478757192891E-2</v>
      </c>
      <c r="BE158" s="117">
        <f t="shared" si="373"/>
        <v>7.7393709411963441E-2</v>
      </c>
      <c r="BF158" s="117">
        <f t="shared" si="373"/>
        <v>8.0669313526438691E-2</v>
      </c>
      <c r="BG158" s="117">
        <f t="shared" si="373"/>
        <v>5.2232521524662179E-2</v>
      </c>
      <c r="BH158" s="117">
        <f t="shared" si="373"/>
        <v>1.5847321180752827E-2</v>
      </c>
      <c r="BI158" s="64">
        <f t="shared" si="373"/>
        <v>5.581368827035238E-2</v>
      </c>
      <c r="BJ158" s="117">
        <f t="shared" si="373"/>
        <v>0.1121806998007957</v>
      </c>
      <c r="BK158" s="117">
        <f t="shared" si="373"/>
        <v>9.5492863043157517E-2</v>
      </c>
      <c r="BL158" s="117">
        <f t="shared" si="373"/>
        <v>8.6930294461451618E-2</v>
      </c>
      <c r="BM158" s="117">
        <f t="shared" si="373"/>
        <v>8.9310651200698032E-2</v>
      </c>
      <c r="BN158" s="64">
        <f t="shared" si="373"/>
        <v>9.5953785112401269E-2</v>
      </c>
      <c r="BO158" s="117">
        <f t="shared" si="373"/>
        <v>3.3759023841068991E-3</v>
      </c>
      <c r="BP158" s="117">
        <f t="shared" si="373"/>
        <v>4.74375431040297E-3</v>
      </c>
      <c r="BQ158" s="117">
        <f t="shared" si="373"/>
        <v>1.893739048912968E-2</v>
      </c>
      <c r="BR158" s="117">
        <f t="shared" si="373"/>
        <v>-7.6985578182586778E-4</v>
      </c>
      <c r="BS158" s="64">
        <f t="shared" si="373"/>
        <v>6.5259504206085506E-3</v>
      </c>
      <c r="BT158" s="117">
        <f t="shared" si="373"/>
        <v>0.31071514998324967</v>
      </c>
      <c r="BU158" s="117">
        <f t="shared" si="373"/>
        <v>0.48810395556479702</v>
      </c>
      <c r="BV158" s="117">
        <f t="shared" si="373"/>
        <v>0.49882152040194216</v>
      </c>
      <c r="BW158" s="117">
        <f t="shared" si="373"/>
        <v>0.53123784754534942</v>
      </c>
      <c r="BX158" s="64">
        <f t="shared" si="373"/>
        <v>0.45687600033610987</v>
      </c>
      <c r="BY158" s="117">
        <f t="shared" si="373"/>
        <v>0.1538541802303679</v>
      </c>
      <c r="BZ158" s="117">
        <f t="shared" si="373"/>
        <v>1.9042915924454507E-2</v>
      </c>
      <c r="CA158" s="117">
        <f t="shared" si="373"/>
        <v>5.9033143186084658E-3</v>
      </c>
      <c r="CB158" s="117">
        <f t="shared" si="373"/>
        <v>2.3640194892659894E-2</v>
      </c>
      <c r="CC158" s="64">
        <f t="shared" ref="CC158:CH158" si="374">+CC157/BX157-1</f>
        <v>4.7367789966006102E-2</v>
      </c>
      <c r="CD158" s="117">
        <f t="shared" si="373"/>
        <v>2.1981623973825526E-2</v>
      </c>
      <c r="CE158" s="117">
        <f t="shared" si="373"/>
        <v>-6.4056380575706728E-2</v>
      </c>
      <c r="CF158" s="117">
        <f t="shared" si="373"/>
        <v>-9.004496828809605E-2</v>
      </c>
      <c r="CG158" s="117">
        <f t="shared" si="373"/>
        <v>-0.10749174739832912</v>
      </c>
      <c r="CH158" s="64">
        <f t="shared" si="374"/>
        <v>-6.0106055594019048E-2</v>
      </c>
      <c r="CI158" s="117">
        <f t="shared" ref="CI158:CR158" si="375">+CI157/CD157-1</f>
        <v>-0.11367383011085219</v>
      </c>
      <c r="CJ158" s="117">
        <f t="shared" si="375"/>
        <v>-0.10157960428962975</v>
      </c>
      <c r="CK158" s="117">
        <f t="shared" si="375"/>
        <v>-0.14915353695113154</v>
      </c>
      <c r="CL158" s="117">
        <f t="shared" si="375"/>
        <v>-5.5863500154235801E-2</v>
      </c>
      <c r="CM158" s="64">
        <f t="shared" si="375"/>
        <v>-0.10516736226953671</v>
      </c>
      <c r="CN158" s="117">
        <f t="shared" ca="1" si="375"/>
        <v>-0.15892249327346264</v>
      </c>
      <c r="CO158" s="117">
        <f t="shared" ca="1" si="375"/>
        <v>-0.14901793156099208</v>
      </c>
      <c r="CP158" s="117">
        <f t="shared" ca="1" si="375"/>
        <v>-0.14776298447618541</v>
      </c>
      <c r="CQ158" s="117">
        <f t="shared" ca="1" si="375"/>
        <v>-0.1410283527697721</v>
      </c>
      <c r="CR158" s="64">
        <f t="shared" ca="1" si="375"/>
        <v>-0.14935035106204986</v>
      </c>
      <c r="CS158" s="117">
        <f t="shared" ref="CS158" ca="1" si="376">+CS157/CN157-1</f>
        <v>-6.3128762529956473E-2</v>
      </c>
      <c r="CT158" s="117">
        <f t="shared" ref="CT158" ca="1" si="377">+CT157/CO157-1</f>
        <v>-3.9437231027745101E-2</v>
      </c>
      <c r="CU158" s="117">
        <f t="shared" ref="CU158" ca="1" si="378">+CU157/CP157-1</f>
        <v>-2.3204375944685385E-4</v>
      </c>
      <c r="CV158" s="117">
        <f t="shared" ref="CV158" ca="1" si="379">+CV157/CQ157-1</f>
        <v>-2.3118618925753731E-3</v>
      </c>
      <c r="CW158" s="64">
        <f t="shared" ref="CW158" ca="1" si="380">+CW157/CR157-1</f>
        <v>-2.7214041233958097E-2</v>
      </c>
      <c r="CX158" s="117">
        <f t="shared" ref="CX158" ca="1" si="381">+CX157/CS157-1</f>
        <v>3.3927229415204874E-3</v>
      </c>
      <c r="CY158" s="117">
        <f t="shared" ref="CY158" ca="1" si="382">+CY157/CT157-1</f>
        <v>4.1119157320912425E-3</v>
      </c>
      <c r="CZ158" s="117">
        <f t="shared" ref="CZ158" ca="1" si="383">+CZ157/CU157-1</f>
        <v>-2.9089913623574493E-3</v>
      </c>
      <c r="DA158" s="117">
        <f t="shared" ref="DA158" ca="1" si="384">+DA157/CV157-1</f>
        <v>3.663015253726476E-3</v>
      </c>
      <c r="DB158" s="64">
        <f t="shared" ref="DB158" ca="1" si="385">+DB157/CW157-1</f>
        <v>2.1649853064324986E-3</v>
      </c>
      <c r="DC158" s="16"/>
      <c r="DD158" s="16"/>
      <c r="DE158" s="16"/>
      <c r="DF158" s="16"/>
      <c r="DG158" s="16"/>
      <c r="DH158" s="16"/>
      <c r="DI158" s="16"/>
      <c r="DJ158" s="16"/>
    </row>
    <row r="159" spans="1:114" s="725" customFormat="1" ht="11.25" customHeight="1">
      <c r="A159" s="16"/>
      <c r="B159" s="77"/>
      <c r="C159" s="1092"/>
      <c r="D159" s="1093"/>
      <c r="E159" s="1093"/>
      <c r="F159" s="1094"/>
      <c r="G159" s="1097"/>
      <c r="H159" s="1097"/>
      <c r="I159" s="1097"/>
      <c r="J159" s="1097"/>
      <c r="K159" s="1094"/>
      <c r="L159" s="1097"/>
      <c r="M159" s="1097"/>
      <c r="N159" s="1097"/>
      <c r="O159" s="1097"/>
      <c r="P159" s="1094"/>
      <c r="Q159" s="1097"/>
      <c r="R159" s="1097"/>
      <c r="S159" s="1097"/>
      <c r="T159" s="1097"/>
      <c r="U159" s="1094"/>
      <c r="V159" s="1097"/>
      <c r="W159" s="1097"/>
      <c r="X159" s="1097"/>
      <c r="Y159" s="1097"/>
      <c r="Z159" s="1094"/>
      <c r="AA159" s="1097"/>
      <c r="AB159" s="1097"/>
      <c r="AC159" s="1097"/>
      <c r="AD159" s="1097"/>
      <c r="AE159" s="1094"/>
      <c r="AF159" s="1097"/>
      <c r="AG159" s="1097"/>
      <c r="AH159" s="1097"/>
      <c r="AI159" s="1097"/>
      <c r="AJ159" s="64"/>
      <c r="AK159" s="117"/>
      <c r="AL159" s="117"/>
      <c r="AM159" s="117"/>
      <c r="AN159" s="117"/>
      <c r="AO159" s="64"/>
      <c r="AP159" s="117"/>
      <c r="AQ159" s="117"/>
      <c r="AR159" s="117"/>
      <c r="AS159" s="117"/>
      <c r="AT159" s="64"/>
      <c r="AU159" s="117"/>
      <c r="AV159" s="117"/>
      <c r="AW159" s="117"/>
      <c r="AX159" s="117"/>
      <c r="AY159" s="64"/>
      <c r="AZ159" s="117"/>
      <c r="BA159" s="117"/>
      <c r="BB159" s="117"/>
      <c r="BC159" s="117"/>
      <c r="BD159" s="64"/>
      <c r="BE159" s="117"/>
      <c r="BF159" s="117"/>
      <c r="BG159" s="117"/>
      <c r="BH159" s="117"/>
      <c r="BI159" s="64"/>
      <c r="BJ159" s="117"/>
      <c r="BK159" s="117"/>
      <c r="BL159" s="117"/>
      <c r="BM159" s="117"/>
      <c r="BN159" s="64"/>
      <c r="BO159" s="117"/>
      <c r="BP159" s="117"/>
      <c r="BQ159" s="117"/>
      <c r="BR159" s="117"/>
      <c r="BS159" s="64"/>
      <c r="BT159" s="117"/>
      <c r="BU159" s="117"/>
      <c r="BV159" s="117"/>
      <c r="BW159" s="117"/>
      <c r="BX159" s="64"/>
      <c r="BY159" s="117"/>
      <c r="BZ159" s="117"/>
      <c r="CA159" s="117"/>
      <c r="CB159" s="117"/>
      <c r="CC159" s="64"/>
      <c r="CD159" s="117"/>
      <c r="CE159" s="117"/>
      <c r="CF159" s="117"/>
      <c r="CG159" s="117"/>
      <c r="CH159" s="64"/>
      <c r="CI159" s="117"/>
      <c r="CJ159" s="117"/>
      <c r="CK159" s="117"/>
      <c r="CL159" s="117"/>
      <c r="CM159" s="64"/>
      <c r="CN159" s="117"/>
      <c r="CO159" s="117"/>
      <c r="CP159" s="117"/>
      <c r="CQ159" s="117"/>
      <c r="CR159" s="64"/>
      <c r="CS159" s="117"/>
      <c r="CT159" s="117"/>
      <c r="CU159" s="117"/>
      <c r="CV159" s="117"/>
      <c r="CW159" s="64"/>
      <c r="CX159" s="117"/>
      <c r="CY159" s="117"/>
      <c r="CZ159" s="117"/>
      <c r="DA159" s="117"/>
      <c r="DB159" s="64"/>
      <c r="DC159" s="16"/>
      <c r="DD159" s="16"/>
      <c r="DE159" s="16"/>
      <c r="DF159" s="16"/>
      <c r="DG159" s="16"/>
      <c r="DH159" s="16"/>
      <c r="DI159" s="16"/>
      <c r="DJ159" s="16"/>
    </row>
    <row r="160" spans="1:114" s="725" customFormat="1" ht="11.25" customHeight="1">
      <c r="A160" s="16"/>
      <c r="B160" s="16" t="str">
        <f>IS!B10</f>
        <v>Net Revenue</v>
      </c>
      <c r="C160" s="579"/>
      <c r="D160" s="1069">
        <f>IS!D10</f>
        <v>732.54700000000003</v>
      </c>
      <c r="E160" s="1069">
        <f>IS!E10</f>
        <v>984.80399999999997</v>
      </c>
      <c r="F160" s="1054">
        <f>IS!F10</f>
        <v>1215.1979999999999</v>
      </c>
      <c r="G160" s="1070">
        <f>IS!G10</f>
        <v>361.67199999999997</v>
      </c>
      <c r="H160" s="1070">
        <f>IS!H10</f>
        <v>363.923</v>
      </c>
      <c r="I160" s="1070">
        <f>IS!I10</f>
        <v>378.185</v>
      </c>
      <c r="J160" s="1070">
        <f>IS!J10</f>
        <v>433.61900000000003</v>
      </c>
      <c r="K160" s="1054">
        <f>IS!K10</f>
        <v>1537.3989999999999</v>
      </c>
      <c r="L160" s="1070">
        <f>IS!L10</f>
        <v>483.62200000000001</v>
      </c>
      <c r="M160" s="1070">
        <f>IS!M10</f>
        <v>482.86</v>
      </c>
      <c r="N160" s="1070">
        <f>IS!N10</f>
        <v>500.49</v>
      </c>
      <c r="O160" s="1070">
        <f>IS!O10</f>
        <v>532.11099999999999</v>
      </c>
      <c r="P160" s="1054">
        <f>IS!P10</f>
        <v>1999.0829999999999</v>
      </c>
      <c r="Q160" s="1070">
        <f>IS!Q10</f>
        <v>596.93600000000004</v>
      </c>
      <c r="R160" s="1070">
        <f>IS!R10</f>
        <v>595.21500000000003</v>
      </c>
      <c r="S160" s="1070">
        <f>IS!S10</f>
        <v>652.33200000000011</v>
      </c>
      <c r="T160" s="1070">
        <f>IS!T10</f>
        <v>713.62300000000005</v>
      </c>
      <c r="U160" s="1054">
        <f>IS!U10</f>
        <v>2558.1060000000002</v>
      </c>
      <c r="V160" s="1070">
        <f>IS!V10</f>
        <v>736.26499999999999</v>
      </c>
      <c r="W160" s="1070">
        <f>IS!W10</f>
        <v>731.94799999999998</v>
      </c>
      <c r="X160" s="1070">
        <f>IS!X10</f>
        <v>755.63300000000004</v>
      </c>
      <c r="Y160" s="1070">
        <f>IS!Y10</f>
        <v>781.697</v>
      </c>
      <c r="Z160" s="1054">
        <f>IS!Z10</f>
        <v>3005.5430000000006</v>
      </c>
      <c r="AA160" s="1070">
        <f>IS!AA10</f>
        <v>820.11399999999992</v>
      </c>
      <c r="AB160" s="1070">
        <f>IS!AB10</f>
        <v>827.13599999999997</v>
      </c>
      <c r="AC160" s="1070">
        <f>IS!AC10</f>
        <v>836.28899999999999</v>
      </c>
      <c r="AD160" s="1070">
        <f>IS!AD10</f>
        <v>882.08699999999999</v>
      </c>
      <c r="AE160" s="1054">
        <f>IS!AE10</f>
        <v>3365.6260000000002</v>
      </c>
      <c r="AF160" s="1070">
        <f>IS!AF10</f>
        <v>918.97099999999989</v>
      </c>
      <c r="AG160" s="1070">
        <f>IS!AG10</f>
        <v>945.35000000000014</v>
      </c>
      <c r="AH160" s="1070">
        <f>IS!AH10</f>
        <v>931.04399999999998</v>
      </c>
      <c r="AI160" s="1070">
        <f>IS!AI10</f>
        <v>1022.4300000000001</v>
      </c>
      <c r="AJ160" s="1054">
        <f>IS!AJ10</f>
        <v>3817.7950000000001</v>
      </c>
      <c r="AK160" s="1070">
        <f>IS!AK10</f>
        <v>1068.298</v>
      </c>
      <c r="AL160" s="1070">
        <f>IS!AL10</f>
        <v>1100.4669999999999</v>
      </c>
      <c r="AM160" s="1070">
        <f>IS!AM10</f>
        <v>2072.4830000000002</v>
      </c>
      <c r="AN160" s="1070">
        <f>IS!AN10</f>
        <v>2167.212</v>
      </c>
      <c r="AO160" s="1054">
        <f>IS!AO10</f>
        <v>6408.46</v>
      </c>
      <c r="AP160" s="1070">
        <f>IS!AP10</f>
        <v>2430.4740000000002</v>
      </c>
      <c r="AQ160" s="1070">
        <f>IS!AQ10</f>
        <v>2399.5549999999998</v>
      </c>
      <c r="AR160" s="1070">
        <f>IS!AR10</f>
        <v>2446.6469999999999</v>
      </c>
      <c r="AS160" s="1070">
        <f>IS!AS10</f>
        <v>2445.1840000000002</v>
      </c>
      <c r="AT160" s="1054">
        <f>IS!AT10</f>
        <v>9721.86</v>
      </c>
      <c r="AU160" s="1070">
        <f>IS!AU10</f>
        <v>2556.9389999999999</v>
      </c>
      <c r="AV160" s="1070">
        <f>IS!AV10</f>
        <v>2654.4989999999998</v>
      </c>
      <c r="AW160" s="1070">
        <f>IS!AW10</f>
        <v>2708.4</v>
      </c>
      <c r="AX160" s="1070">
        <f>IS!AX10</f>
        <v>2709.4260000000004</v>
      </c>
      <c r="AY160" s="1054">
        <f>IS!AY10</f>
        <v>10629.264000000001</v>
      </c>
      <c r="AZ160" s="1070">
        <f>IS!AZ10</f>
        <v>2782.6480000000001</v>
      </c>
      <c r="BA160" s="1070">
        <f>IS!BA10</f>
        <v>2789.5740000000001</v>
      </c>
      <c r="BB160" s="1070">
        <f>IS!BB10</f>
        <v>2848.9780000000001</v>
      </c>
      <c r="BC160" s="1070">
        <f>IS!BC10</f>
        <v>2976.7840000000001</v>
      </c>
      <c r="BD160" s="1054">
        <f>IS!BD10</f>
        <v>11397.984</v>
      </c>
      <c r="BE160" s="1070">
        <f>IS!BE10</f>
        <v>2997.471</v>
      </c>
      <c r="BF160" s="1070">
        <f>IS!BF10</f>
        <v>3000.8270000000002</v>
      </c>
      <c r="BG160" s="1070">
        <f>IS!BG10</f>
        <v>2985.7040000000002</v>
      </c>
      <c r="BH160" s="1070">
        <f>IS!BH10</f>
        <v>3005.8250000000003</v>
      </c>
      <c r="BI160" s="1054">
        <f>IS!BI10</f>
        <v>11989.827000000001</v>
      </c>
      <c r="BJ160" s="1070">
        <f>IS!BJ10</f>
        <v>3297.0349999999999</v>
      </c>
      <c r="BK160" s="1070">
        <f>IS!BK10</f>
        <v>3242.9739999999997</v>
      </c>
      <c r="BL160" s="1070">
        <f>IS!BL10</f>
        <v>3212.03</v>
      </c>
      <c r="BM160" s="1070">
        <f>IS!BM10</f>
        <v>3276.9459999999999</v>
      </c>
      <c r="BN160" s="1054">
        <f>IS!BN10</f>
        <v>13028.985000000001</v>
      </c>
      <c r="BO160" s="1070">
        <f>IS!BO10</f>
        <v>3311.75</v>
      </c>
      <c r="BP160" s="1070">
        <f>IS!BP10</f>
        <v>3236.3909999999996</v>
      </c>
      <c r="BQ160" s="1070">
        <f>IS!BQ10</f>
        <v>3218.2310000000002</v>
      </c>
      <c r="BR160" s="1070">
        <f>IS!BR10</f>
        <v>3231.3209999999999</v>
      </c>
      <c r="BS160" s="1054">
        <f>IS!BS10</f>
        <v>12997.692999999999</v>
      </c>
      <c r="BT160" s="1070">
        <f>IS!BT10</f>
        <v>4195</v>
      </c>
      <c r="BU160" s="1070">
        <f>IS!BU10</f>
        <v>4779</v>
      </c>
      <c r="BV160" s="1070">
        <f>IS!BV10</f>
        <v>4795</v>
      </c>
      <c r="BW160" s="1070">
        <f>IS!BW10</f>
        <v>4918</v>
      </c>
      <c r="BX160" s="1054">
        <f>IS!BX10</f>
        <v>18687</v>
      </c>
      <c r="BY160" s="1070">
        <f>IS!BY10</f>
        <v>4911</v>
      </c>
      <c r="BZ160" s="1070">
        <f>IS!BZ10</f>
        <v>4882</v>
      </c>
      <c r="CA160" s="1070">
        <f>IS!CA10</f>
        <v>4846</v>
      </c>
      <c r="CB160" s="1070">
        <f>IS!CB10</f>
        <v>4798</v>
      </c>
      <c r="CC160" s="1054">
        <f>IS!CC10</f>
        <v>19437</v>
      </c>
      <c r="CD160" s="1070">
        <f>IS!CD10</f>
        <v>4999</v>
      </c>
      <c r="CE160" s="1070">
        <f>IS!CE10</f>
        <v>4590</v>
      </c>
      <c r="CF160" s="1070">
        <f>IS!CF10</f>
        <v>4380</v>
      </c>
      <c r="CG160" s="1070">
        <f>IS!CG10</f>
        <v>4469</v>
      </c>
      <c r="CH160" s="1054">
        <f>IS!CH10</f>
        <v>18438</v>
      </c>
      <c r="CI160" s="1070">
        <f>IS!CI10</f>
        <v>4486</v>
      </c>
      <c r="CJ160" s="1070">
        <f>IS!CJ10</f>
        <v>4144</v>
      </c>
      <c r="CK160" s="1070">
        <f>IS!CK10</f>
        <v>3666</v>
      </c>
      <c r="CL160" s="1070">
        <f>IS!CL10</f>
        <v>3059</v>
      </c>
      <c r="CM160" s="1054">
        <f>IS!CM10</f>
        <v>15355</v>
      </c>
      <c r="CN160" s="1070">
        <f ca="1">IS!CN10</f>
        <v>3658.2547388357307</v>
      </c>
      <c r="CO160" s="1070">
        <f ca="1">IS!CO10</f>
        <v>3416.2811171681765</v>
      </c>
      <c r="CP160" s="1070">
        <f ca="1">IS!CP10</f>
        <v>3128.4503042035203</v>
      </c>
      <c r="CQ160" s="1070">
        <f ca="1">IS!CQ10</f>
        <v>3544.7203427847185</v>
      </c>
      <c r="CR160" s="1054">
        <f ca="1">IS!CR10</f>
        <v>13747.706502992145</v>
      </c>
      <c r="CS160" s="1070">
        <f ca="1">IS!CS10</f>
        <v>3420.2003102550907</v>
      </c>
      <c r="CT160" s="1070">
        <f ca="1">IS!CT10</f>
        <v>3285.089646008646</v>
      </c>
      <c r="CU160" s="1070">
        <f ca="1">IS!CU10</f>
        <v>3137.4227826559122</v>
      </c>
      <c r="CV160" s="1070">
        <f ca="1">IS!CV10</f>
        <v>3542.2710293444038</v>
      </c>
      <c r="CW160" s="1054">
        <f ca="1">IS!CW10</f>
        <v>13384.983768264054</v>
      </c>
      <c r="CX160" s="1070">
        <f ca="1">IS!CX10</f>
        <v>3439.6926003032854</v>
      </c>
      <c r="CY160" s="1070">
        <f ca="1">IS!CY10</f>
        <v>3305.7038627144539</v>
      </c>
      <c r="CZ160" s="1070">
        <f ca="1">IS!CZ10</f>
        <v>3131.0839583345692</v>
      </c>
      <c r="DA160" s="1070">
        <f ca="1">IS!DA10</f>
        <v>3561.0006006375534</v>
      </c>
      <c r="DB160" s="1054">
        <f ca="1">IS!DB10</f>
        <v>13437.481021989861</v>
      </c>
      <c r="DC160" s="16"/>
      <c r="DD160" s="16"/>
      <c r="DE160" s="16"/>
      <c r="DF160" s="16"/>
      <c r="DG160" s="16"/>
      <c r="DH160" s="16"/>
      <c r="DI160" s="16"/>
      <c r="DJ160" s="16"/>
    </row>
    <row r="161" spans="1:114" s="725" customFormat="1" ht="11.25" customHeight="1">
      <c r="A161" s="16"/>
      <c r="B161" s="16"/>
      <c r="C161" s="579"/>
      <c r="D161" s="1069"/>
      <c r="E161" s="579"/>
      <c r="F161" s="1054"/>
      <c r="G161" s="1070"/>
      <c r="H161" s="1070"/>
      <c r="I161" s="1070"/>
      <c r="J161" s="1070"/>
      <c r="K161" s="1054"/>
      <c r="L161" s="1070"/>
      <c r="M161" s="1070"/>
      <c r="N161" s="1070"/>
      <c r="O161" s="1070"/>
      <c r="P161" s="1054"/>
      <c r="Q161" s="1070"/>
      <c r="R161" s="1070"/>
      <c r="S161" s="1070"/>
      <c r="T161" s="1070"/>
      <c r="U161" s="1054"/>
      <c r="V161" s="1070"/>
      <c r="W161" s="1070"/>
      <c r="X161" s="1070"/>
      <c r="Y161" s="1070"/>
      <c r="Z161" s="1054"/>
      <c r="AA161" s="1070"/>
      <c r="AB161" s="1070"/>
      <c r="AC161" s="1070"/>
      <c r="AD161" s="1070"/>
      <c r="AE161" s="1054"/>
      <c r="AF161" s="1070"/>
      <c r="AG161" s="1070"/>
      <c r="AH161" s="1070"/>
      <c r="AI161" s="1070"/>
      <c r="AJ161" s="1054"/>
      <c r="AK161" s="1070"/>
      <c r="AL161" s="1070"/>
      <c r="AM161" s="1070"/>
      <c r="AN161" s="1070"/>
      <c r="AO161" s="1054"/>
      <c r="AP161" s="1070"/>
      <c r="AQ161" s="1070"/>
      <c r="AR161" s="1070"/>
      <c r="AS161" s="1070"/>
      <c r="AT161" s="1054"/>
      <c r="AU161" s="1070"/>
      <c r="AV161" s="1070"/>
      <c r="AW161" s="1070"/>
      <c r="AX161" s="1070"/>
      <c r="AY161" s="1054"/>
      <c r="AZ161" s="1070"/>
      <c r="BA161" s="1070"/>
      <c r="BB161" s="1070"/>
      <c r="BC161" s="1070"/>
      <c r="BD161" s="1054"/>
      <c r="BE161" s="1070"/>
      <c r="BF161" s="1070"/>
      <c r="BG161" s="1070"/>
      <c r="BH161" s="1070"/>
      <c r="BI161" s="1054"/>
      <c r="BJ161" s="1070"/>
      <c r="BK161" s="1070"/>
      <c r="BL161" s="1070"/>
      <c r="BM161" s="1070"/>
      <c r="BN161" s="1054"/>
      <c r="BO161" s="1070"/>
      <c r="BP161" s="1070"/>
      <c r="BQ161" s="1070"/>
      <c r="BR161" s="1070"/>
      <c r="BS161" s="1054"/>
      <c r="BT161" s="1070"/>
      <c r="BU161" s="1070"/>
      <c r="BV161" s="1070"/>
      <c r="BW161" s="1070"/>
      <c r="BX161" s="1054"/>
      <c r="BY161" s="1070"/>
      <c r="BZ161" s="1070"/>
      <c r="CA161" s="1070"/>
      <c r="CB161" s="1070"/>
      <c r="CC161" s="1054"/>
      <c r="CD161" s="1070"/>
      <c r="CE161" s="1070"/>
      <c r="CF161" s="1070"/>
      <c r="CG161" s="1070"/>
      <c r="CH161" s="1054"/>
      <c r="CI161" s="1070"/>
      <c r="CJ161" s="1070"/>
      <c r="CK161" s="1070"/>
      <c r="CL161" s="1070"/>
      <c r="CM161" s="1054"/>
      <c r="CN161" s="1070"/>
      <c r="CO161" s="1070"/>
      <c r="CP161" s="1070"/>
      <c r="CQ161" s="1070"/>
      <c r="CR161" s="1054"/>
      <c r="CS161" s="1070"/>
      <c r="CT161" s="1070"/>
      <c r="CU161" s="1070"/>
      <c r="CV161" s="1070"/>
      <c r="CW161" s="1054"/>
      <c r="CX161" s="1070"/>
      <c r="CY161" s="1070"/>
      <c r="CZ161" s="1070"/>
      <c r="DA161" s="1070"/>
      <c r="DB161" s="1054"/>
      <c r="DC161" s="16"/>
      <c r="DD161" s="16"/>
      <c r="DE161" s="16"/>
      <c r="DF161" s="16"/>
      <c r="DG161" s="16"/>
      <c r="DH161" s="16"/>
      <c r="DI161" s="16"/>
      <c r="DJ161" s="16"/>
    </row>
    <row r="162" spans="1:114" s="725" customFormat="1" ht="11.25" customHeight="1">
      <c r="A162" s="16"/>
      <c r="B162" s="1233" t="s">
        <v>371</v>
      </c>
      <c r="C162" s="1234"/>
      <c r="D162" s="1235"/>
      <c r="E162" s="1234"/>
      <c r="F162" s="1236"/>
      <c r="G162" s="1234"/>
      <c r="H162" s="1234"/>
      <c r="I162" s="1234"/>
      <c r="J162" s="1234"/>
      <c r="K162" s="1236"/>
      <c r="L162" s="1234"/>
      <c r="M162" s="1234"/>
      <c r="N162" s="1234"/>
      <c r="O162" s="1234"/>
      <c r="P162" s="1236"/>
      <c r="Q162" s="1234"/>
      <c r="R162" s="1234"/>
      <c r="S162" s="1234"/>
      <c r="T162" s="1234"/>
      <c r="U162" s="1236"/>
      <c r="V162" s="1234"/>
      <c r="W162" s="1234"/>
      <c r="X162" s="1234"/>
      <c r="Y162" s="1234"/>
      <c r="Z162" s="1236"/>
      <c r="AA162" s="1234"/>
      <c r="AB162" s="1234"/>
      <c r="AC162" s="1234"/>
      <c r="AD162" s="1234"/>
      <c r="AE162" s="1236"/>
      <c r="AF162" s="1234"/>
      <c r="AG162" s="1234"/>
      <c r="AH162" s="1234"/>
      <c r="AI162" s="1234"/>
      <c r="AJ162" s="1236"/>
      <c r="AK162" s="1234"/>
      <c r="AL162" s="1234"/>
      <c r="AM162" s="1234"/>
      <c r="AN162" s="1234"/>
      <c r="AO162" s="1236"/>
      <c r="AP162" s="1234"/>
      <c r="AQ162" s="1234"/>
      <c r="AR162" s="1234"/>
      <c r="AS162" s="1234"/>
      <c r="AT162" s="1236"/>
      <c r="AU162" s="1234"/>
      <c r="AV162" s="1234"/>
      <c r="AW162" s="1234"/>
      <c r="AX162" s="1234"/>
      <c r="AY162" s="1236"/>
      <c r="AZ162" s="1234"/>
      <c r="BA162" s="1234"/>
      <c r="BB162" s="1234"/>
      <c r="BC162" s="1234"/>
      <c r="BD162" s="1236"/>
      <c r="BE162" s="1234"/>
      <c r="BF162" s="1234"/>
      <c r="BG162" s="1234"/>
      <c r="BH162" s="1234"/>
      <c r="BI162" s="1236"/>
      <c r="BJ162" s="1234"/>
      <c r="BK162" s="1234"/>
      <c r="BL162" s="1234"/>
      <c r="BM162" s="1234"/>
      <c r="BN162" s="1236"/>
      <c r="BO162" s="1234"/>
      <c r="BP162" s="1234"/>
      <c r="BQ162" s="1234"/>
      <c r="BR162" s="1234"/>
      <c r="BS162" s="1236"/>
      <c r="BT162" s="1234"/>
      <c r="BU162" s="1234"/>
      <c r="BV162" s="1234"/>
      <c r="BW162" s="1234"/>
      <c r="BX162" s="1236"/>
      <c r="BY162" s="1234"/>
      <c r="BZ162" s="1234"/>
      <c r="CA162" s="1234"/>
      <c r="CB162" s="1234"/>
      <c r="CC162" s="1236"/>
      <c r="CD162" s="1234"/>
      <c r="CE162" s="1234"/>
      <c r="CF162" s="1234"/>
      <c r="CG162" s="1234"/>
      <c r="CH162" s="1236"/>
      <c r="CI162" s="1234"/>
      <c r="CJ162" s="1234"/>
      <c r="CK162" s="1234"/>
      <c r="CL162" s="1234"/>
      <c r="CM162" s="1236"/>
      <c r="CN162" s="1234"/>
      <c r="CO162" s="1234"/>
      <c r="CP162" s="1234"/>
      <c r="CQ162" s="1234"/>
      <c r="CR162" s="1236"/>
      <c r="CS162" s="1234"/>
      <c r="CT162" s="1234"/>
      <c r="CU162" s="1234"/>
      <c r="CV162" s="1234"/>
      <c r="CW162" s="1236"/>
      <c r="CX162" s="1234"/>
      <c r="CY162" s="1234"/>
      <c r="CZ162" s="1234"/>
      <c r="DA162" s="1234"/>
      <c r="DB162" s="1236"/>
      <c r="DC162" s="16"/>
      <c r="DD162" s="16"/>
      <c r="DE162" s="16"/>
      <c r="DF162" s="16"/>
      <c r="DG162" s="16"/>
      <c r="DH162" s="16"/>
      <c r="DI162" s="16"/>
      <c r="DJ162" s="16"/>
    </row>
    <row r="163" spans="1:114" s="725" customFormat="1" ht="2.1" customHeight="1">
      <c r="A163" s="16"/>
      <c r="B163" s="16"/>
      <c r="C163" s="37"/>
      <c r="D163" s="106"/>
      <c r="E163" s="16"/>
      <c r="F163" s="18"/>
      <c r="G163" s="16"/>
      <c r="H163" s="16"/>
      <c r="I163" s="16"/>
      <c r="J163" s="16"/>
      <c r="K163" s="18"/>
      <c r="L163" s="16"/>
      <c r="M163" s="16"/>
      <c r="N163" s="16"/>
      <c r="O163" s="16"/>
      <c r="P163" s="18"/>
      <c r="Q163" s="16"/>
      <c r="R163" s="16"/>
      <c r="S163" s="16"/>
      <c r="T163" s="16"/>
      <c r="U163" s="18"/>
      <c r="V163" s="16"/>
      <c r="W163" s="16"/>
      <c r="X163" s="16"/>
      <c r="Y163" s="16"/>
      <c r="Z163" s="18"/>
      <c r="AA163" s="16"/>
      <c r="AB163" s="16"/>
      <c r="AC163" s="16"/>
      <c r="AD163" s="16"/>
      <c r="AE163" s="18"/>
      <c r="AF163" s="16"/>
      <c r="AG163" s="16"/>
      <c r="AH163" s="16"/>
      <c r="AI163" s="16"/>
      <c r="AJ163" s="18"/>
      <c r="AK163" s="16"/>
      <c r="AL163" s="16"/>
      <c r="AM163" s="16"/>
      <c r="AN163" s="16"/>
      <c r="AO163" s="18"/>
      <c r="AP163" s="16"/>
      <c r="AQ163" s="16"/>
      <c r="AR163" s="16"/>
      <c r="AS163" s="16"/>
      <c r="AT163" s="18"/>
      <c r="AU163" s="16"/>
      <c r="AV163" s="16"/>
      <c r="AW163" s="16"/>
      <c r="AX163" s="16"/>
      <c r="AY163" s="18"/>
      <c r="AZ163" s="16"/>
      <c r="BA163" s="16"/>
      <c r="BB163" s="16"/>
      <c r="BC163" s="16"/>
      <c r="BD163" s="18"/>
      <c r="BE163" s="16"/>
      <c r="BF163" s="16"/>
      <c r="BG163" s="16"/>
      <c r="BH163" s="16"/>
      <c r="BI163" s="18"/>
      <c r="BJ163" s="16"/>
      <c r="BK163" s="16"/>
      <c r="BL163" s="16"/>
      <c r="BM163" s="16"/>
      <c r="BN163" s="18"/>
      <c r="BO163" s="16"/>
      <c r="BP163" s="16"/>
      <c r="BQ163" s="16"/>
      <c r="BR163" s="16"/>
      <c r="BS163" s="18"/>
      <c r="BT163" s="16"/>
      <c r="BU163" s="16"/>
      <c r="BV163" s="16"/>
      <c r="BW163" s="16"/>
      <c r="BX163" s="18"/>
      <c r="BY163" s="16"/>
      <c r="BZ163" s="16"/>
      <c r="CA163" s="16"/>
      <c r="CB163" s="16"/>
      <c r="CC163" s="18"/>
      <c r="CD163" s="16"/>
      <c r="CE163" s="16"/>
      <c r="CF163" s="16"/>
      <c r="CG163" s="16"/>
      <c r="CH163" s="18"/>
      <c r="CI163" s="16"/>
      <c r="CJ163" s="16"/>
      <c r="CK163" s="16"/>
      <c r="CL163" s="16"/>
      <c r="CM163" s="18"/>
      <c r="CN163" s="16"/>
      <c r="CO163" s="16"/>
      <c r="CP163" s="16"/>
      <c r="CQ163" s="16"/>
      <c r="CR163" s="18"/>
      <c r="CS163" s="16"/>
      <c r="CT163" s="16"/>
      <c r="CU163" s="16"/>
      <c r="CV163" s="16"/>
      <c r="CW163" s="18"/>
      <c r="CX163" s="16"/>
      <c r="CY163" s="16"/>
      <c r="CZ163" s="16"/>
      <c r="DA163" s="16"/>
      <c r="DB163" s="18"/>
      <c r="DC163" s="16"/>
      <c r="DD163" s="16"/>
      <c r="DE163" s="16"/>
      <c r="DF163" s="16"/>
      <c r="DG163" s="16"/>
      <c r="DH163" s="16"/>
      <c r="DI163" s="16"/>
      <c r="DJ163" s="16"/>
    </row>
    <row r="164" spans="1:114" s="725" customFormat="1" ht="11.25" customHeight="1">
      <c r="A164" s="16"/>
      <c r="B164" s="86" t="s">
        <v>179</v>
      </c>
      <c r="C164" s="446"/>
      <c r="D164" s="114"/>
      <c r="E164" s="21"/>
      <c r="F164" s="113"/>
      <c r="G164" s="21"/>
      <c r="H164" s="21"/>
      <c r="I164" s="21"/>
      <c r="J164" s="21"/>
      <c r="K164" s="113"/>
      <c r="L164" s="21"/>
      <c r="M164" s="21"/>
      <c r="N164" s="21"/>
      <c r="O164" s="21"/>
      <c r="P164" s="113"/>
      <c r="Q164" s="21"/>
      <c r="R164" s="21"/>
      <c r="S164" s="21"/>
      <c r="T164" s="21"/>
      <c r="U164" s="113"/>
      <c r="V164" s="21"/>
      <c r="W164" s="21"/>
      <c r="X164" s="21"/>
      <c r="Y164" s="21"/>
      <c r="Z164" s="113"/>
      <c r="AA164" s="21"/>
      <c r="AB164" s="21"/>
      <c r="AC164" s="21"/>
      <c r="AD164" s="21"/>
      <c r="AE164" s="113"/>
      <c r="AF164" s="21"/>
      <c r="AG164" s="21"/>
      <c r="AH164" s="21"/>
      <c r="AI164" s="21"/>
      <c r="AJ164" s="113"/>
      <c r="AK164" s="21"/>
      <c r="AL164" s="21"/>
      <c r="AM164" s="21"/>
      <c r="AN164" s="21"/>
      <c r="AO164" s="113"/>
      <c r="AP164" s="21"/>
      <c r="AQ164" s="21"/>
      <c r="AR164" s="21"/>
      <c r="AS164" s="21"/>
      <c r="AT164" s="113"/>
      <c r="AU164" s="21"/>
      <c r="AV164" s="21"/>
      <c r="AW164" s="21"/>
      <c r="AX164" s="21"/>
      <c r="AY164" s="113"/>
      <c r="AZ164" s="21"/>
      <c r="BA164" s="21"/>
      <c r="BB164" s="21"/>
      <c r="BC164" s="21"/>
      <c r="BD164" s="113"/>
      <c r="BE164" s="21"/>
      <c r="BF164" s="21"/>
      <c r="BG164" s="21"/>
      <c r="BH164" s="21"/>
      <c r="BI164" s="113"/>
      <c r="BJ164" s="21"/>
      <c r="BK164" s="21"/>
      <c r="BL164" s="16"/>
      <c r="BM164" s="16"/>
      <c r="BN164" s="18"/>
      <c r="BO164" s="16"/>
      <c r="BP164" s="16"/>
      <c r="BQ164" s="16"/>
      <c r="BR164" s="16"/>
      <c r="BS164" s="18"/>
      <c r="BT164" s="16"/>
      <c r="BU164" s="16"/>
      <c r="BV164" s="16"/>
      <c r="BW164" s="16"/>
      <c r="BX164" s="18"/>
      <c r="BY164" s="16"/>
      <c r="BZ164" s="16"/>
      <c r="CA164" s="16"/>
      <c r="CB164" s="16"/>
      <c r="CC164" s="18"/>
      <c r="CD164" s="16"/>
      <c r="CE164" s="16"/>
      <c r="CF164" s="16"/>
      <c r="CG164" s="16"/>
      <c r="CH164" s="18"/>
      <c r="CI164" s="16"/>
      <c r="CJ164" s="16"/>
      <c r="CK164" s="16"/>
      <c r="CL164" s="16"/>
      <c r="CM164" s="18"/>
      <c r="CN164" s="16"/>
      <c r="CO164" s="16"/>
      <c r="CP164" s="16"/>
      <c r="CQ164" s="16"/>
      <c r="CR164" s="18"/>
      <c r="CS164" s="16"/>
      <c r="CT164" s="16"/>
      <c r="CU164" s="16"/>
      <c r="CV164" s="16"/>
      <c r="CW164" s="18"/>
      <c r="CX164" s="16"/>
      <c r="CY164" s="16"/>
      <c r="CZ164" s="16"/>
      <c r="DA164" s="16"/>
      <c r="DB164" s="18"/>
      <c r="DC164" s="16"/>
      <c r="DD164" s="16"/>
      <c r="DE164" s="16"/>
      <c r="DF164" s="16"/>
      <c r="DG164" s="16"/>
      <c r="DH164" s="16"/>
      <c r="DI164" s="16"/>
      <c r="DJ164" s="16"/>
    </row>
    <row r="165" spans="1:114" s="725" customFormat="1" ht="11.25" customHeight="1">
      <c r="A165" s="16"/>
      <c r="B165" s="1201" t="s">
        <v>421</v>
      </c>
      <c r="C165" s="1201"/>
      <c r="D165" s="1202"/>
      <c r="E165" s="1203">
        <f t="shared" ref="E165:AJ165" si="386">E262/1000</f>
        <v>915.81100000000004</v>
      </c>
      <c r="F165" s="1204">
        <f t="shared" si="386"/>
        <v>1155.8499999999999</v>
      </c>
      <c r="G165" s="1205">
        <f t="shared" si="386"/>
        <v>337.75</v>
      </c>
      <c r="H165" s="1205">
        <f t="shared" si="386"/>
        <v>351.15499999999997</v>
      </c>
      <c r="I165" s="1205">
        <f t="shared" si="386"/>
        <v>378.298</v>
      </c>
      <c r="J165" s="1205">
        <f t="shared" si="386"/>
        <v>401.34100000000001</v>
      </c>
      <c r="K165" s="1206">
        <f t="shared" si="386"/>
        <v>1468.5440000000001</v>
      </c>
      <c r="L165" s="1205">
        <f t="shared" si="386"/>
        <v>436.40699999999998</v>
      </c>
      <c r="M165" s="1205">
        <f t="shared" si="386"/>
        <v>432.87</v>
      </c>
      <c r="N165" s="1205">
        <f t="shared" si="386"/>
        <v>461.14699999999999</v>
      </c>
      <c r="O165" s="1205">
        <f t="shared" si="386"/>
        <v>526.72699999999998</v>
      </c>
      <c r="P165" s="1206">
        <f t="shared" si="386"/>
        <v>1857.1510000000001</v>
      </c>
      <c r="Q165" s="1205">
        <f t="shared" si="386"/>
        <v>577.26300000000003</v>
      </c>
      <c r="R165" s="1205">
        <f t="shared" si="386"/>
        <v>574.57399999999996</v>
      </c>
      <c r="S165" s="1205">
        <f t="shared" si="386"/>
        <v>597.351</v>
      </c>
      <c r="T165" s="1205">
        <f t="shared" si="386"/>
        <v>636.21600000000001</v>
      </c>
      <c r="U165" s="1206">
        <f t="shared" si="386"/>
        <v>2385.404</v>
      </c>
      <c r="V165" s="1205">
        <f t="shared" si="386"/>
        <v>708.90800000000002</v>
      </c>
      <c r="W165" s="1205">
        <f t="shared" si="386"/>
        <v>699.99800000000005</v>
      </c>
      <c r="X165" s="1205">
        <f t="shared" si="386"/>
        <v>752.096</v>
      </c>
      <c r="Y165" s="1205">
        <f t="shared" si="386"/>
        <v>824.51700000000005</v>
      </c>
      <c r="Z165" s="1206">
        <f t="shared" si="386"/>
        <v>2966.41</v>
      </c>
      <c r="AA165" s="1205">
        <f t="shared" si="386"/>
        <v>851.34299999999996</v>
      </c>
      <c r="AB165" s="1205">
        <f t="shared" si="386"/>
        <v>841.73400000000004</v>
      </c>
      <c r="AC165" s="1205">
        <f t="shared" si="386"/>
        <v>881.08299999999997</v>
      </c>
      <c r="AD165" s="1205">
        <f t="shared" si="386"/>
        <v>918.303</v>
      </c>
      <c r="AE165" s="1206">
        <f t="shared" si="386"/>
        <v>3486.5079999999998</v>
      </c>
      <c r="AF165" s="1205">
        <f t="shared" si="386"/>
        <v>970.03599999999994</v>
      </c>
      <c r="AG165" s="1205">
        <f t="shared" si="386"/>
        <v>989.53700000000003</v>
      </c>
      <c r="AH165" s="1205">
        <f t="shared" si="386"/>
        <v>1002.9059999999999</v>
      </c>
      <c r="AI165" s="1205">
        <f t="shared" si="386"/>
        <v>1038.3489999999999</v>
      </c>
      <c r="AJ165" s="1206">
        <f t="shared" si="386"/>
        <v>4000.828</v>
      </c>
      <c r="AK165" s="1205">
        <f t="shared" ref="AK165:BH165" si="387">AK262/1000</f>
        <v>1079.826</v>
      </c>
      <c r="AL165" s="1205">
        <f t="shared" si="387"/>
        <v>1102.325</v>
      </c>
      <c r="AM165" s="1205">
        <f t="shared" si="387"/>
        <v>2131.9879999999998</v>
      </c>
      <c r="AN165" s="1205">
        <f t="shared" si="387"/>
        <v>2433.261</v>
      </c>
      <c r="AO165" s="1206">
        <f t="shared" si="387"/>
        <v>6571.5280000000002</v>
      </c>
      <c r="AP165" s="1205">
        <f t="shared" si="387"/>
        <v>2639.2629999999999</v>
      </c>
      <c r="AQ165" s="1205">
        <f t="shared" si="387"/>
        <v>2658.0430000000001</v>
      </c>
      <c r="AR165" s="1205">
        <f t="shared" si="387"/>
        <v>2761.7550000000001</v>
      </c>
      <c r="AS165" s="1205">
        <f t="shared" si="387"/>
        <v>2674.02</v>
      </c>
      <c r="AT165" s="1206">
        <f t="shared" si="387"/>
        <v>10620.627</v>
      </c>
      <c r="AU165" s="1205">
        <f t="shared" si="387"/>
        <v>2805.2020000000002</v>
      </c>
      <c r="AV165" s="1205">
        <f t="shared" si="387"/>
        <v>2850.8069999999998</v>
      </c>
      <c r="AW165" s="1205">
        <f t="shared" si="387"/>
        <v>2895.99</v>
      </c>
      <c r="AX165" s="1205">
        <f t="shared" si="387"/>
        <v>2984.0430000000001</v>
      </c>
      <c r="AY165" s="1206">
        <f t="shared" si="387"/>
        <v>11556.401</v>
      </c>
      <c r="AZ165" s="1205">
        <f t="shared" si="387"/>
        <v>3020.4830000000002</v>
      </c>
      <c r="BA165" s="1205">
        <f t="shared" si="387"/>
        <v>3114.9430000000002</v>
      </c>
      <c r="BB165" s="1205">
        <f t="shared" si="387"/>
        <v>3204.902</v>
      </c>
      <c r="BC165" s="1205">
        <f t="shared" si="387"/>
        <v>3242.078</v>
      </c>
      <c r="BD165" s="1206">
        <f t="shared" si="387"/>
        <v>12582.406000000001</v>
      </c>
      <c r="BE165" s="1205">
        <f t="shared" si="387"/>
        <v>3286.4609999999998</v>
      </c>
      <c r="BF165" s="1205">
        <f t="shared" si="387"/>
        <v>3258.355</v>
      </c>
      <c r="BG165" s="1205">
        <f t="shared" si="387"/>
        <v>3278.6289999999999</v>
      </c>
      <c r="BH165" s="1205">
        <f t="shared" si="387"/>
        <v>3351.3020000000001</v>
      </c>
      <c r="BI165" s="1206">
        <f t="shared" ref="BI165:BN165" si="388">BI168/(1-BI171)</f>
        <v>14968.658673936663</v>
      </c>
      <c r="BJ165" s="1205">
        <f t="shared" si="388"/>
        <v>3536.4455456866549</v>
      </c>
      <c r="BK165" s="1205">
        <f t="shared" si="388"/>
        <v>3604.8608685940749</v>
      </c>
      <c r="BL165" s="1205">
        <f t="shared" si="388"/>
        <v>3526.231788303347</v>
      </c>
      <c r="BM165" s="1205">
        <f t="shared" si="388"/>
        <v>3641.6505706069006</v>
      </c>
      <c r="BN165" s="1207">
        <f t="shared" si="388"/>
        <v>14308.993643466471</v>
      </c>
      <c r="BO165" s="1205">
        <f>BO168/(1-BO171)</f>
        <v>3741.7109065865479</v>
      </c>
      <c r="BP165" s="1205">
        <f>BP168/(1-BP171)</f>
        <v>3740.5471339736141</v>
      </c>
      <c r="BQ165" s="1205">
        <f>BQ168/(1-BQ171)</f>
        <v>3765.6871128629364</v>
      </c>
      <c r="BR165" s="1205">
        <f>BR168/(1-BR171)</f>
        <v>3743.0685795496638</v>
      </c>
      <c r="BS165" s="1207">
        <f>SUM(BO165:BR165)</f>
        <v>14991.013732972762</v>
      </c>
      <c r="BT165" s="1205">
        <f>BT168/(1-BT171)</f>
        <v>4735.3039332538738</v>
      </c>
      <c r="BU165" s="1205">
        <f>BU168/(1-BU171)</f>
        <v>5349.2952500523124</v>
      </c>
      <c r="BV165" s="1205">
        <f>BV168/(1-BV171)</f>
        <v>5424.9401459854016</v>
      </c>
      <c r="BW165" s="1205">
        <f>BW168/(1-BW171)</f>
        <v>5499.9176494509966</v>
      </c>
      <c r="BX165" s="1207">
        <f>SUM(BT165:BW165)</f>
        <v>21009.456978742583</v>
      </c>
      <c r="BY165" s="1205">
        <f>BY168/(1-BY171)</f>
        <v>5496.5436774587661</v>
      </c>
      <c r="BZ165" s="1205">
        <f>BZ168/(1-BZ171)</f>
        <v>5592.1511675542806</v>
      </c>
      <c r="CA165" s="1205">
        <f>CA168/(1-CA171)</f>
        <v>5554.667767230706</v>
      </c>
      <c r="CB165" s="1205">
        <f>CB168/(1-CB171)</f>
        <v>5920.8445185493956</v>
      </c>
      <c r="CC165" s="1207">
        <f>SUM(BY165:CB165)</f>
        <v>22564.207130793147</v>
      </c>
      <c r="CD165" s="1205">
        <f>CD168/(1-CD171)</f>
        <v>5725.2242448489696</v>
      </c>
      <c r="CE165" s="1205">
        <f>CE168/(1-CE171)</f>
        <v>5000.7211328976027</v>
      </c>
      <c r="CF165" s="1205">
        <f>CF168/(1-CF171)</f>
        <v>5015.5168949771687</v>
      </c>
      <c r="CG165" s="1205">
        <f>CG168/(1-CG171)</f>
        <v>5072.138733497427</v>
      </c>
      <c r="CH165" s="1207">
        <f>SUM(CD165:CG165)</f>
        <v>20813.601006221168</v>
      </c>
      <c r="CI165" s="1205">
        <f>CI168/(1-CI171)</f>
        <v>5096.5742309407042</v>
      </c>
      <c r="CJ165" s="1205">
        <f>CJ168/(1-CJ171)</f>
        <v>4718.2533783783783</v>
      </c>
      <c r="CK165" s="1205">
        <f>CK168/(1-CK171)</f>
        <v>4317.6347517730501</v>
      </c>
      <c r="CL165" s="1205">
        <f>CL168/(1-CL171)</f>
        <v>4850.1601830663622</v>
      </c>
      <c r="CM165" s="1207">
        <f>SUM(CI165:CL165)</f>
        <v>18982.622544158497</v>
      </c>
      <c r="CN165" s="1205">
        <f ca="1">CN173+CN176</f>
        <v>4461.1672374030713</v>
      </c>
      <c r="CO165" s="1205">
        <f ca="1">CO173+CO176</f>
        <v>4240.9826135142248</v>
      </c>
      <c r="CP165" s="1205">
        <f ca="1">CP173+CP176</f>
        <v>3950.4670994206772</v>
      </c>
      <c r="CQ165" s="1205">
        <f ca="1">CQ173+CQ176</f>
        <v>4442.9644025066837</v>
      </c>
      <c r="CR165" s="1207">
        <f ca="1">SUM(CN165:CQ165)</f>
        <v>17095.581352844656</v>
      </c>
      <c r="CS165" s="1205">
        <f ca="1">CS173+CS176</f>
        <v>4081.7951151067136</v>
      </c>
      <c r="CT165" s="1205">
        <f ca="1">CT173+CT176</f>
        <v>3923.5117689885728</v>
      </c>
      <c r="CU165" s="1205">
        <f t="shared" ref="CU165" ca="1" si="389">CU173+CU176</f>
        <v>3710.5187238237022</v>
      </c>
      <c r="CV165" s="1205">
        <f ca="1">CV173+CV176</f>
        <v>4224.8020493725444</v>
      </c>
      <c r="CW165" s="1207">
        <f ca="1">SUM(CS165:CV165)</f>
        <v>15940.627657291534</v>
      </c>
      <c r="CX165" s="1205">
        <f ca="1">CX173+CX176</f>
        <v>4029.630506447148</v>
      </c>
      <c r="CY165" s="1205">
        <f ca="1">CY173+CY176</f>
        <v>3872.661507397439</v>
      </c>
      <c r="CZ165" s="1205">
        <f t="shared" ref="CZ165:DA165" ca="1" si="390">CZ173+CZ176</f>
        <v>3668.0927346937315</v>
      </c>
      <c r="DA165" s="1205">
        <f t="shared" ca="1" si="390"/>
        <v>4171.7439089006011</v>
      </c>
      <c r="DB165" s="1207">
        <f ca="1">SUM(CX165:DA165)</f>
        <v>15742.12865743892</v>
      </c>
      <c r="DC165" s="16"/>
      <c r="DD165" s="16"/>
      <c r="DE165" s="16"/>
      <c r="DF165" s="16"/>
      <c r="DG165" s="16"/>
      <c r="DH165" s="16"/>
      <c r="DI165" s="16"/>
      <c r="DJ165" s="16"/>
    </row>
    <row r="166" spans="1:114" s="725" customFormat="1" ht="11.25" customHeight="1">
      <c r="A166" s="16"/>
      <c r="B166" s="77" t="s">
        <v>250</v>
      </c>
      <c r="C166" s="37"/>
      <c r="D166" s="106"/>
      <c r="E166" s="115"/>
      <c r="F166" s="116"/>
      <c r="G166" s="98"/>
      <c r="H166" s="98"/>
      <c r="I166" s="98"/>
      <c r="J166" s="98"/>
      <c r="K166" s="96">
        <f t="shared" ref="K166:AP166" si="391">K165/(F299/1000)-1</f>
        <v>0</v>
      </c>
      <c r="L166" s="98">
        <f t="shared" si="391"/>
        <v>9.478355543068151E-2</v>
      </c>
      <c r="M166" s="98">
        <f t="shared" si="391"/>
        <v>7.9996107852407627E-2</v>
      </c>
      <c r="N166" s="98">
        <f t="shared" si="391"/>
        <v>0.1067731646262291</v>
      </c>
      <c r="O166" s="98">
        <f t="shared" si="391"/>
        <v>0.1030885734510012</v>
      </c>
      <c r="P166" s="96">
        <f t="shared" si="391"/>
        <v>9.6634132486488111E-2</v>
      </c>
      <c r="Q166" s="98">
        <f t="shared" si="391"/>
        <v>8.2052300984650106E-2</v>
      </c>
      <c r="R166" s="98">
        <f t="shared" si="391"/>
        <v>8.3241425207523756E-2</v>
      </c>
      <c r="S166" s="98">
        <f t="shared" si="391"/>
        <v>8.0691235985953735E-2</v>
      </c>
      <c r="T166" s="98">
        <f t="shared" si="391"/>
        <v>9.3492832834897399E-2</v>
      </c>
      <c r="U166" s="96">
        <f t="shared" si="391"/>
        <v>8.5024692071200114E-2</v>
      </c>
      <c r="V166" s="98">
        <f t="shared" si="391"/>
        <v>8.185138102744971E-2</v>
      </c>
      <c r="W166" s="98">
        <f t="shared" si="391"/>
        <v>7.0171334920249073E-2</v>
      </c>
      <c r="X166" s="98">
        <f t="shared" si="391"/>
        <v>6.0704912044656778E-2</v>
      </c>
      <c r="Y166" s="98">
        <f t="shared" si="391"/>
        <v>5.3275882331900837E-2</v>
      </c>
      <c r="Z166" s="96">
        <f t="shared" si="391"/>
        <v>6.5945067217843878E-2</v>
      </c>
      <c r="AA166" s="98">
        <f t="shared" si="391"/>
        <v>8.380510570798938E-2</v>
      </c>
      <c r="AB166" s="98">
        <f t="shared" si="391"/>
        <v>9.3067347474112605E-2</v>
      </c>
      <c r="AC166" s="98">
        <f t="shared" si="391"/>
        <v>8.6060658354545128E-2</v>
      </c>
      <c r="AD166" s="98">
        <f t="shared" si="391"/>
        <v>9.2340083861182976E-2</v>
      </c>
      <c r="AE166" s="96">
        <f t="shared" si="391"/>
        <v>8.9777587735255571E-2</v>
      </c>
      <c r="AF166" s="98">
        <f t="shared" si="391"/>
        <v>6.8141601690463904E-2</v>
      </c>
      <c r="AG166" s="98">
        <f t="shared" si="391"/>
        <v>7.6970880971686251E-2</v>
      </c>
      <c r="AH166" s="98">
        <f t="shared" si="391"/>
        <v>7.8197617852239665E-2</v>
      </c>
      <c r="AI166" s="98">
        <f t="shared" si="391"/>
        <v>5.903189286770627E-2</v>
      </c>
      <c r="AJ166" s="96">
        <f t="shared" si="391"/>
        <v>7.0425007230562331E-2</v>
      </c>
      <c r="AK166" s="98">
        <f t="shared" si="391"/>
        <v>6.1157063776971832E-2</v>
      </c>
      <c r="AL166" s="98">
        <f t="shared" si="391"/>
        <v>4.4901398731321596E-2</v>
      </c>
      <c r="AM166" s="98">
        <f t="shared" si="391"/>
        <v>5.7007323733616833E-2</v>
      </c>
      <c r="AN166" s="98">
        <f t="shared" si="391"/>
        <v>1.5997000353660917E-2</v>
      </c>
      <c r="AO166" s="96">
        <f t="shared" si="391"/>
        <v>4.1668463140168033E-2</v>
      </c>
      <c r="AP166" s="98">
        <f t="shared" si="391"/>
        <v>5.6979917780843659E-2</v>
      </c>
      <c r="AQ166" s="98">
        <f t="shared" ref="AQ166:BH166" si="392">AQ165/(AL299/1000)-1</f>
        <v>4.8814460305303342E-2</v>
      </c>
      <c r="AR166" s="98">
        <f t="shared" si="392"/>
        <v>8.2162714972551676E-2</v>
      </c>
      <c r="AS166" s="98">
        <f t="shared" si="392"/>
        <v>7.3775537616597608E-2</v>
      </c>
      <c r="AT166" s="96">
        <f t="shared" si="392"/>
        <v>6.6066098017886654E-2</v>
      </c>
      <c r="AU166" s="98">
        <f t="shared" si="392"/>
        <v>4.3292207149812079E-2</v>
      </c>
      <c r="AV166" s="98">
        <f t="shared" si="392"/>
        <v>6.6675272486445669E-2</v>
      </c>
      <c r="AW166" s="98">
        <f t="shared" si="392"/>
        <v>5.1530243218042004E-2</v>
      </c>
      <c r="AX166" s="98">
        <f t="shared" si="392"/>
        <v>7.3222653447228669E-2</v>
      </c>
      <c r="AY166" s="96">
        <f t="shared" si="392"/>
        <v>5.853419534865667E-2</v>
      </c>
      <c r="AZ166" s="98">
        <f t="shared" si="392"/>
        <v>3.7364567438349372E-2</v>
      </c>
      <c r="BA166" s="98">
        <f t="shared" si="392"/>
        <v>3.2483554539663118E-2</v>
      </c>
      <c r="BB166" s="98">
        <f t="shared" si="392"/>
        <v>3.8353849413676588E-2</v>
      </c>
      <c r="BC166" s="98">
        <f t="shared" si="392"/>
        <v>4.8949700480622305E-2</v>
      </c>
      <c r="BD166" s="96">
        <f t="shared" si="392"/>
        <v>3.9358205865584361E-2</v>
      </c>
      <c r="BE166" s="98">
        <f t="shared" si="392"/>
        <v>5.1464292981452608E-2</v>
      </c>
      <c r="BF166" s="98">
        <f t="shared" si="392"/>
        <v>5.7682881621889281E-2</v>
      </c>
      <c r="BG166" s="98">
        <f t="shared" si="392"/>
        <v>3.8242622228189749E-2</v>
      </c>
      <c r="BH166" s="98">
        <f t="shared" si="392"/>
        <v>1.2233602825179046E-2</v>
      </c>
      <c r="BI166" s="96">
        <f t="shared" ref="BI166:BX166" si="393">BI165/BD8-1</f>
        <v>0.15263224686687438</v>
      </c>
      <c r="BJ166" s="98">
        <f t="shared" si="393"/>
        <v>3.8499377063054174E-2</v>
      </c>
      <c r="BK166" s="98">
        <f t="shared" si="393"/>
        <v>4.9807916641764871E-2</v>
      </c>
      <c r="BL166" s="98">
        <f t="shared" si="393"/>
        <v>2.626070672390779E-2</v>
      </c>
      <c r="BM166" s="98">
        <f t="shared" si="393"/>
        <v>5.7846263110883589E-2</v>
      </c>
      <c r="BN166" s="129">
        <f t="shared" si="393"/>
        <v>5.0111347773377668E-2</v>
      </c>
      <c r="BO166" s="98">
        <f t="shared" si="393"/>
        <v>-1.1042736301857703E-2</v>
      </c>
      <c r="BP166" s="98">
        <f t="shared" si="393"/>
        <v>-1.5697261568581311E-3</v>
      </c>
      <c r="BQ166" s="98">
        <f t="shared" si="393"/>
        <v>1.8672556900115156E-2</v>
      </c>
      <c r="BR166" s="98">
        <f t="shared" si="393"/>
        <v>-8.2110847546346122E-4</v>
      </c>
      <c r="BS166" s="129">
        <f t="shared" si="393"/>
        <v>1.2214986176775078E-3</v>
      </c>
      <c r="BT166" s="98">
        <f t="shared" si="393"/>
        <v>0.24863187999266101</v>
      </c>
      <c r="BU166" s="98">
        <f t="shared" si="393"/>
        <v>0.42109746019413152</v>
      </c>
      <c r="BV166" s="98">
        <f t="shared" si="393"/>
        <v>0.44024980803569513</v>
      </c>
      <c r="BW166" s="98">
        <f t="shared" si="393"/>
        <v>0.46928527484791593</v>
      </c>
      <c r="BX166" s="129">
        <f t="shared" si="393"/>
        <v>0.39444649173473945</v>
      </c>
      <c r="BY166" s="98">
        <f t="shared" ref="BY166:CW166" si="394">BY165/BT165-1</f>
        <v>0.16075837051536523</v>
      </c>
      <c r="BZ166" s="98">
        <f t="shared" si="394"/>
        <v>4.5399609883113756E-2</v>
      </c>
      <c r="CA166" s="98">
        <f t="shared" si="394"/>
        <v>2.3913189409344282E-2</v>
      </c>
      <c r="CB166" s="98">
        <f t="shared" si="394"/>
        <v>7.6533303937817321E-2</v>
      </c>
      <c r="CC166" s="129">
        <f t="shared" si="394"/>
        <v>7.4002395855526704E-2</v>
      </c>
      <c r="CD166" s="98">
        <f t="shared" si="394"/>
        <v>4.1604430130887327E-2</v>
      </c>
      <c r="CE166" s="98">
        <f t="shared" si="394"/>
        <v>-0.10576073803014507</v>
      </c>
      <c r="CF166" s="98">
        <f t="shared" si="394"/>
        <v>-9.706266780422268E-2</v>
      </c>
      <c r="CG166" s="98">
        <f t="shared" si="394"/>
        <v>-0.14334201521304279</v>
      </c>
      <c r="CH166" s="129">
        <f t="shared" si="394"/>
        <v>-7.7583320983742654E-2</v>
      </c>
      <c r="CI166" s="98">
        <f t="shared" si="394"/>
        <v>-0.10980356175111694</v>
      </c>
      <c r="CJ166" s="98">
        <f t="shared" si="394"/>
        <v>-5.6485404207203271E-2</v>
      </c>
      <c r="CK166" s="98">
        <f t="shared" si="394"/>
        <v>-0.13914461018026247</v>
      </c>
      <c r="CL166" s="98">
        <f t="shared" si="394"/>
        <v>-4.3764289995672612E-2</v>
      </c>
      <c r="CM166" s="129">
        <f t="shared" si="394"/>
        <v>-8.7970287386377466E-2</v>
      </c>
      <c r="CN166" s="98">
        <f t="shared" ca="1" si="394"/>
        <v>-0.12467335208818342</v>
      </c>
      <c r="CO166" s="98">
        <f t="shared" ca="1" si="394"/>
        <v>-0.10115411924490314</v>
      </c>
      <c r="CP166" s="98">
        <f t="shared" ca="1" si="394"/>
        <v>-8.5039071959848944E-2</v>
      </c>
      <c r="CQ166" s="98">
        <f t="shared" ca="1" si="394"/>
        <v>-8.3955120076517065E-2</v>
      </c>
      <c r="CR166" s="129">
        <f t="shared" ca="1" si="394"/>
        <v>-9.9408877088721259E-2</v>
      </c>
      <c r="CS166" s="98">
        <f t="shared" ca="1" si="394"/>
        <v>-8.5038758268384806E-2</v>
      </c>
      <c r="CT166" s="98">
        <f t="shared" ca="1" si="394"/>
        <v>-7.4857850988119146E-2</v>
      </c>
      <c r="CU166" s="98">
        <f t="shared" ca="1" si="394"/>
        <v>-6.0739241603141703E-2</v>
      </c>
      <c r="CV166" s="98">
        <f t="shared" ca="1" si="394"/>
        <v>-4.9102881177948143E-2</v>
      </c>
      <c r="CW166" s="129">
        <f t="shared" ca="1" si="394"/>
        <v>-6.7558608959556787E-2</v>
      </c>
      <c r="CX166" s="98">
        <f t="shared" ref="CX166" ca="1" si="395">CX165/CS165-1</f>
        <v>-1.2779820443829859E-2</v>
      </c>
      <c r="CY166" s="98">
        <f t="shared" ref="CY166" ca="1" si="396">CY165/CT165-1</f>
        <v>-1.2960394815954013E-2</v>
      </c>
      <c r="CZ166" s="98">
        <f t="shared" ref="CZ166" ca="1" si="397">CZ165/CU165-1</f>
        <v>-1.1433977911921356E-2</v>
      </c>
      <c r="DA166" s="98">
        <f t="shared" ref="DA166" ca="1" si="398">DA165/CV165-1</f>
        <v>-1.2558728160961596E-2</v>
      </c>
      <c r="DB166" s="129">
        <f t="shared" ref="DB166" ca="1" si="399">DB165/CW165-1</f>
        <v>-1.2452395484052192E-2</v>
      </c>
      <c r="DC166" s="16"/>
      <c r="DD166" s="16"/>
      <c r="DE166" s="16"/>
      <c r="DF166" s="16"/>
      <c r="DG166" s="16"/>
      <c r="DH166" s="16"/>
      <c r="DI166" s="16"/>
      <c r="DJ166" s="16"/>
    </row>
    <row r="167" spans="1:114" s="725" customFormat="1" ht="11.25" customHeight="1">
      <c r="A167" s="16"/>
      <c r="B167" s="16"/>
      <c r="C167" s="37"/>
      <c r="D167" s="106"/>
      <c r="E167" s="19"/>
      <c r="F167" s="20"/>
      <c r="G167" s="126"/>
      <c r="H167" s="126"/>
      <c r="I167" s="126"/>
      <c r="J167" s="126"/>
      <c r="K167" s="127"/>
      <c r="L167" s="126"/>
      <c r="M167" s="126"/>
      <c r="N167" s="126"/>
      <c r="O167" s="126"/>
      <c r="P167" s="127"/>
      <c r="Q167" s="126"/>
      <c r="R167" s="126"/>
      <c r="S167" s="126"/>
      <c r="T167" s="126"/>
      <c r="U167" s="127"/>
      <c r="V167" s="126"/>
      <c r="W167" s="126"/>
      <c r="X167" s="126"/>
      <c r="Y167" s="126"/>
      <c r="Z167" s="127"/>
      <c r="AA167" s="126"/>
      <c r="AB167" s="126"/>
      <c r="AC167" s="126"/>
      <c r="AD167" s="126"/>
      <c r="AE167" s="127"/>
      <c r="AF167" s="126"/>
      <c r="AG167" s="126"/>
      <c r="AH167" s="126"/>
      <c r="AI167" s="126"/>
      <c r="AJ167" s="127"/>
      <c r="AK167" s="126"/>
      <c r="AL167" s="126"/>
      <c r="AM167" s="126"/>
      <c r="AN167" s="126"/>
      <c r="AO167" s="127"/>
      <c r="AP167" s="126"/>
      <c r="AQ167" s="126"/>
      <c r="AR167" s="126"/>
      <c r="AS167" s="126"/>
      <c r="AT167" s="127"/>
      <c r="AU167" s="126"/>
      <c r="AV167" s="126"/>
      <c r="AW167" s="126"/>
      <c r="AX167" s="126"/>
      <c r="AY167" s="127"/>
      <c r="AZ167" s="126"/>
      <c r="BA167" s="126"/>
      <c r="BB167" s="126"/>
      <c r="BC167" s="126"/>
      <c r="BD167" s="127"/>
      <c r="BE167" s="126"/>
      <c r="BF167" s="126"/>
      <c r="BG167" s="126"/>
      <c r="BH167" s="126"/>
      <c r="BI167" s="127"/>
      <c r="BJ167" s="126"/>
      <c r="BK167" s="126"/>
      <c r="BL167" s="126"/>
      <c r="BM167" s="126"/>
      <c r="BN167" s="63"/>
      <c r="BO167" s="126"/>
      <c r="BP167" s="126"/>
      <c r="BQ167" s="126"/>
      <c r="BR167" s="126"/>
      <c r="BS167" s="63"/>
      <c r="BT167" s="126"/>
      <c r="BU167" s="126"/>
      <c r="BV167" s="126"/>
      <c r="BW167" s="126"/>
      <c r="BX167" s="63"/>
      <c r="BY167" s="126"/>
      <c r="BZ167" s="126"/>
      <c r="CA167" s="126"/>
      <c r="CB167" s="126"/>
      <c r="CC167" s="63"/>
      <c r="CD167" s="126"/>
      <c r="CE167" s="126"/>
      <c r="CF167" s="126"/>
      <c r="CG167" s="126"/>
      <c r="CH167" s="63"/>
      <c r="CI167" s="126"/>
      <c r="CJ167" s="126"/>
      <c r="CK167" s="126"/>
      <c r="CL167" s="126"/>
      <c r="CM167" s="63"/>
      <c r="CN167" s="126"/>
      <c r="CO167" s="126"/>
      <c r="CP167" s="126"/>
      <c r="CQ167" s="126"/>
      <c r="CR167" s="63"/>
      <c r="CS167" s="126"/>
      <c r="CT167" s="126"/>
      <c r="CU167" s="126"/>
      <c r="CV167" s="126"/>
      <c r="CW167" s="63"/>
      <c r="CX167" s="126"/>
      <c r="CY167" s="126"/>
      <c r="CZ167" s="126"/>
      <c r="DA167" s="126"/>
      <c r="DB167" s="63"/>
      <c r="DC167" s="16"/>
      <c r="DD167" s="16"/>
      <c r="DE167" s="16"/>
      <c r="DF167" s="16"/>
      <c r="DG167" s="16"/>
      <c r="DH167" s="16"/>
      <c r="DI167" s="16"/>
      <c r="DJ167" s="16"/>
    </row>
    <row r="168" spans="1:114" s="725" customFormat="1" ht="11.25" customHeight="1">
      <c r="A168" s="16"/>
      <c r="B168" s="16" t="s">
        <v>422</v>
      </c>
      <c r="C168" s="37"/>
      <c r="D168" s="106"/>
      <c r="E168" s="19">
        <f t="shared" ref="E168:J168" si="400">E165*(1-E171)</f>
        <v>835.12369153472423</v>
      </c>
      <c r="F168" s="20">
        <f t="shared" si="400"/>
        <v>1050.1574266486527</v>
      </c>
      <c r="G168" s="126">
        <f t="shared" si="400"/>
        <v>306.42480904062512</v>
      </c>
      <c r="H168" s="126">
        <f t="shared" si="400"/>
        <v>318.75907266985774</v>
      </c>
      <c r="I168" s="126">
        <f t="shared" si="400"/>
        <v>343.44041234465357</v>
      </c>
      <c r="J168" s="126">
        <f t="shared" si="400"/>
        <v>364.4572862082253</v>
      </c>
      <c r="K168" s="127">
        <f t="shared" ref="K168:BG168" si="401">K165*(1-K171)</f>
        <v>1333.0802728207248</v>
      </c>
      <c r="L168" s="126">
        <f t="shared" si="401"/>
        <v>395.59233345766506</v>
      </c>
      <c r="M168" s="126">
        <f t="shared" si="401"/>
        <v>393.936485218119</v>
      </c>
      <c r="N168" s="126">
        <f t="shared" si="401"/>
        <v>417.4789171389242</v>
      </c>
      <c r="O168" s="126">
        <f t="shared" si="401"/>
        <v>480.35859410771673</v>
      </c>
      <c r="P168" s="127">
        <f t="shared" si="401"/>
        <v>1687.2251907402097</v>
      </c>
      <c r="Q168" s="126">
        <f t="shared" si="401"/>
        <v>522.67721483989283</v>
      </c>
      <c r="R168" s="126">
        <f t="shared" si="401"/>
        <v>520.30839125017303</v>
      </c>
      <c r="S168" s="126">
        <f t="shared" si="401"/>
        <v>538.94787784050834</v>
      </c>
      <c r="T168" s="126">
        <f t="shared" si="401"/>
        <v>571.06930358526449</v>
      </c>
      <c r="U168" s="127">
        <f t="shared" si="401"/>
        <v>2152.7074789545281</v>
      </c>
      <c r="V168" s="126">
        <f t="shared" si="401"/>
        <v>634.67823552730135</v>
      </c>
      <c r="W168" s="126">
        <f t="shared" si="401"/>
        <v>629.69356839697718</v>
      </c>
      <c r="X168" s="126">
        <f t="shared" si="401"/>
        <v>673.32424614174306</v>
      </c>
      <c r="Y168" s="126">
        <f t="shared" si="401"/>
        <v>739.40854580674181</v>
      </c>
      <c r="Z168" s="127">
        <f t="shared" si="401"/>
        <v>2660.0037265973137</v>
      </c>
      <c r="AA168" s="126">
        <f t="shared" si="401"/>
        <v>763.80286913800114</v>
      </c>
      <c r="AB168" s="126">
        <f t="shared" si="401"/>
        <v>757.82611620105411</v>
      </c>
      <c r="AC168" s="126">
        <f t="shared" si="401"/>
        <v>792.92435342941599</v>
      </c>
      <c r="AD168" s="126">
        <f t="shared" si="401"/>
        <v>824.81201784088705</v>
      </c>
      <c r="AE168" s="127">
        <f t="shared" si="401"/>
        <v>3134.0183923539694</v>
      </c>
      <c r="AF168" s="126">
        <f t="shared" si="401"/>
        <v>868.36932689501452</v>
      </c>
      <c r="AG168" s="126">
        <f t="shared" si="401"/>
        <v>881.63166337434291</v>
      </c>
      <c r="AH168" s="126">
        <f t="shared" si="401"/>
        <v>831.12037642225107</v>
      </c>
      <c r="AI168" s="126">
        <f t="shared" si="401"/>
        <v>919.58451148875201</v>
      </c>
      <c r="AJ168" s="127">
        <f t="shared" si="401"/>
        <v>3498.8146201692516</v>
      </c>
      <c r="AK168" s="126">
        <f t="shared" si="401"/>
        <v>958.12195225403389</v>
      </c>
      <c r="AL168" s="126">
        <f t="shared" si="401"/>
        <v>971.13529260011785</v>
      </c>
      <c r="AM168" s="126">
        <f t="shared" si="401"/>
        <v>1878.5482366102954</v>
      </c>
      <c r="AN168" s="126">
        <f t="shared" si="401"/>
        <v>2085.7116791684034</v>
      </c>
      <c r="AO168" s="127">
        <f t="shared" si="401"/>
        <v>5742.560063903532</v>
      </c>
      <c r="AP168" s="126">
        <f t="shared" si="401"/>
        <v>2351.799487988872</v>
      </c>
      <c r="AQ168" s="126">
        <f t="shared" si="401"/>
        <v>2370.5197245465693</v>
      </c>
      <c r="AR168" s="126">
        <f t="shared" si="401"/>
        <v>2436.8484472656392</v>
      </c>
      <c r="AS168" s="126">
        <f t="shared" si="401"/>
        <v>2367.6918150972392</v>
      </c>
      <c r="AT168" s="127">
        <f t="shared" si="401"/>
        <v>9427.2320100575653</v>
      </c>
      <c r="AU168" s="126">
        <f t="shared" si="401"/>
        <v>2479.8628112661154</v>
      </c>
      <c r="AV168" s="126">
        <f t="shared" si="401"/>
        <v>2508.3069786758924</v>
      </c>
      <c r="AW168" s="126">
        <f t="shared" si="401"/>
        <v>2541.0161266338746</v>
      </c>
      <c r="AX168" s="126">
        <f t="shared" si="401"/>
        <v>2615.5489547624088</v>
      </c>
      <c r="AY168" s="127">
        <f t="shared" si="401"/>
        <v>10162.443605376704</v>
      </c>
      <c r="AZ168" s="126">
        <f t="shared" si="401"/>
        <v>2659.1838760207324</v>
      </c>
      <c r="BA168" s="126">
        <f t="shared" si="401"/>
        <v>2740.2391165383801</v>
      </c>
      <c r="BB168" s="126">
        <f t="shared" si="401"/>
        <v>2807.669393708286</v>
      </c>
      <c r="BC168" s="126">
        <f t="shared" si="401"/>
        <v>2836.2678912098895</v>
      </c>
      <c r="BD168" s="127">
        <f t="shared" si="401"/>
        <v>11043.31900585254</v>
      </c>
      <c r="BE168" s="126">
        <f t="shared" si="401"/>
        <v>2892.828837788099</v>
      </c>
      <c r="BF168" s="126">
        <f t="shared" si="401"/>
        <v>2847.4800753284453</v>
      </c>
      <c r="BG168" s="126">
        <f t="shared" si="401"/>
        <v>2848.9568451152504</v>
      </c>
      <c r="BH168" s="126">
        <f>BH165*(1-BH171)</f>
        <v>2926.1834038002462</v>
      </c>
      <c r="BI168" s="127">
        <f t="shared" ref="BI168:BR168" si="402">BI262/1000</f>
        <v>13083.23</v>
      </c>
      <c r="BJ168" s="126">
        <f t="shared" si="402"/>
        <v>3081.7530000000002</v>
      </c>
      <c r="BK168" s="126">
        <f t="shared" si="402"/>
        <v>3120.431</v>
      </c>
      <c r="BL168" s="126">
        <f t="shared" si="402"/>
        <v>3063.944</v>
      </c>
      <c r="BM168" s="126">
        <f t="shared" si="402"/>
        <v>3172.4520000000002</v>
      </c>
      <c r="BN168" s="63">
        <f t="shared" si="402"/>
        <v>12438.58</v>
      </c>
      <c r="BO168" s="126">
        <f t="shared" si="402"/>
        <v>3261.067</v>
      </c>
      <c r="BP168" s="126">
        <f t="shared" si="402"/>
        <v>3212.7379999999998</v>
      </c>
      <c r="BQ168" s="126">
        <f t="shared" si="402"/>
        <v>3217.252</v>
      </c>
      <c r="BR168" s="126">
        <f t="shared" si="402"/>
        <v>3231.1289999999999</v>
      </c>
      <c r="BS168" s="63">
        <f>SUM(BO168:BR168)</f>
        <v>12922.186000000002</v>
      </c>
      <c r="BT168" s="126">
        <f>BT262/1000</f>
        <v>4054</v>
      </c>
      <c r="BU168" s="126">
        <f>BU262/1000</f>
        <v>4622</v>
      </c>
      <c r="BV168" s="126">
        <f>BV262/1000</f>
        <v>4676</v>
      </c>
      <c r="BW168" s="126">
        <f>BW262/1000</f>
        <v>4795</v>
      </c>
      <c r="BX168" s="63">
        <f>SUM(BT168:BW168)</f>
        <v>18147</v>
      </c>
      <c r="BY168" s="126">
        <f>BY262/1000</f>
        <v>4781</v>
      </c>
      <c r="BZ168" s="126">
        <f>BZ262/1000</f>
        <v>4863</v>
      </c>
      <c r="CA168" s="126">
        <f>CA262/1000</f>
        <v>4824</v>
      </c>
      <c r="CB168" s="126">
        <f>CB262/1000</f>
        <v>4963</v>
      </c>
      <c r="CC168" s="63">
        <f>SUM(BY168:CB168)</f>
        <v>19431</v>
      </c>
      <c r="CD168" s="126">
        <f>CD262/1000</f>
        <v>4974</v>
      </c>
      <c r="CE168" s="126">
        <f>CE262/1000</f>
        <v>4339</v>
      </c>
      <c r="CF168" s="126">
        <f>CF262/1000</f>
        <v>4321</v>
      </c>
      <c r="CG168" s="126">
        <f>CG262/1000</f>
        <v>4404</v>
      </c>
      <c r="CH168" s="63">
        <f>SUM(CD168:CG168)</f>
        <v>18038</v>
      </c>
      <c r="CI168" s="126">
        <f>CI262/1000</f>
        <v>4424</v>
      </c>
      <c r="CJ168" s="126">
        <f>CJ262/1000</f>
        <v>4054</v>
      </c>
      <c r="CK168" s="126">
        <f>CK262/1000</f>
        <v>3653</v>
      </c>
      <c r="CL168" s="126">
        <f>CL262/1000</f>
        <v>3640</v>
      </c>
      <c r="CM168" s="63">
        <f>SUM(CI168:CL168)</f>
        <v>15771</v>
      </c>
      <c r="CN168" s="128">
        <f ca="1">CN165*(1-CN171)</f>
        <v>3820.9897388357308</v>
      </c>
      <c r="CO168" s="128">
        <f ca="1">CO165*(1-CO171)</f>
        <v>3630.2811171681765</v>
      </c>
      <c r="CP168" s="128">
        <f ca="1">CP165*(1-CP171)</f>
        <v>3385.5503042035202</v>
      </c>
      <c r="CQ168" s="128">
        <f ca="1">CQ165*(1-CQ171)</f>
        <v>3801.4003427847188</v>
      </c>
      <c r="CR168" s="63">
        <f ca="1">SUM(CN168:CQ168)</f>
        <v>14638.221502992146</v>
      </c>
      <c r="CS168" s="128">
        <f ca="1">CS165*(1-CS171)</f>
        <v>3484.2203102550907</v>
      </c>
      <c r="CT168" s="128">
        <f ca="1">CT165*(1-CT171)</f>
        <v>3349.109646008646</v>
      </c>
      <c r="CU168" s="128">
        <f ca="1">CU165*(1-CU171)</f>
        <v>3167.2987826559124</v>
      </c>
      <c r="CV168" s="128">
        <f ca="1">CV165*(1-CV171)</f>
        <v>3606.2910293444038</v>
      </c>
      <c r="CW168" s="63">
        <f ca="1">SUM(CS168:CV168)</f>
        <v>13606.919768264053</v>
      </c>
      <c r="CX168" s="128">
        <f ca="1">CX165*(1-CX171)</f>
        <v>3439.6926003032859</v>
      </c>
      <c r="CY168" s="128">
        <f ca="1">CY165*(1-CY171)</f>
        <v>3305.7038627144539</v>
      </c>
      <c r="CZ168" s="128">
        <f ca="1">CZ165*(1-CZ171)</f>
        <v>3131.0839583345692</v>
      </c>
      <c r="DA168" s="128">
        <f ca="1">DA165*(1-DA171)</f>
        <v>3561.0006006375534</v>
      </c>
      <c r="DB168" s="63">
        <f ca="1">SUM(CX168:DA168)</f>
        <v>13437.481021989863</v>
      </c>
      <c r="DC168" s="16"/>
      <c r="DD168" s="16"/>
      <c r="DE168" s="16"/>
      <c r="DF168" s="16"/>
      <c r="DG168" s="16"/>
      <c r="DH168" s="16"/>
      <c r="DI168" s="16"/>
      <c r="DJ168" s="16"/>
    </row>
    <row r="169" spans="1:114" s="725" customFormat="1" ht="11.25" customHeight="1">
      <c r="A169" s="16"/>
      <c r="B169" s="77" t="s">
        <v>373</v>
      </c>
      <c r="C169" s="37"/>
      <c r="D169" s="106"/>
      <c r="E169" s="115"/>
      <c r="F169" s="116"/>
      <c r="G169" s="98"/>
      <c r="H169" s="98"/>
      <c r="I169" s="98"/>
      <c r="J169" s="98"/>
      <c r="K169" s="96">
        <f t="shared" ref="K169:Z169" si="403">K168/F160-1</f>
        <v>9.7006638276827983E-2</v>
      </c>
      <c r="L169" s="98">
        <f t="shared" si="403"/>
        <v>9.3787557393619325E-2</v>
      </c>
      <c r="M169" s="98">
        <f t="shared" si="403"/>
        <v>8.2472075736128359E-2</v>
      </c>
      <c r="N169" s="98">
        <f t="shared" si="403"/>
        <v>0.10390131057266738</v>
      </c>
      <c r="O169" s="98">
        <f t="shared" si="403"/>
        <v>0.10778954360329385</v>
      </c>
      <c r="P169" s="96">
        <f t="shared" si="403"/>
        <v>9.7454330814713552E-2</v>
      </c>
      <c r="Q169" s="98">
        <f t="shared" si="403"/>
        <v>8.0755662149142982E-2</v>
      </c>
      <c r="R169" s="98">
        <f t="shared" si="403"/>
        <v>7.7555380959642539E-2</v>
      </c>
      <c r="S169" s="98">
        <f t="shared" si="403"/>
        <v>7.684045203801948E-2</v>
      </c>
      <c r="T169" s="98">
        <f t="shared" si="403"/>
        <v>7.321461797494222E-2</v>
      </c>
      <c r="U169" s="96">
        <f t="shared" si="403"/>
        <v>7.6847474044113406E-2</v>
      </c>
      <c r="V169" s="98">
        <f t="shared" si="403"/>
        <v>6.3226603065154929E-2</v>
      </c>
      <c r="W169" s="98">
        <f t="shared" si="403"/>
        <v>5.7926242445128562E-2</v>
      </c>
      <c r="X169" s="98">
        <f t="shared" si="403"/>
        <v>3.2180310243469457E-2</v>
      </c>
      <c r="Y169" s="98">
        <f t="shared" si="403"/>
        <v>3.6133288594596635E-2</v>
      </c>
      <c r="Z169" s="96">
        <f t="shared" si="403"/>
        <v>3.9833269847814545E-2</v>
      </c>
      <c r="AA169" s="98">
        <f t="shared" ref="AA169:AI169" si="404">AA168/V160-1</f>
        <v>3.7402116273354213E-2</v>
      </c>
      <c r="AB169" s="98">
        <f t="shared" si="404"/>
        <v>3.5355129327567125E-2</v>
      </c>
      <c r="AC169" s="98">
        <f t="shared" si="404"/>
        <v>4.9351144576025519E-2</v>
      </c>
      <c r="AD169" s="98">
        <f t="shared" si="404"/>
        <v>5.515566497106561E-2</v>
      </c>
      <c r="AE169" s="96">
        <f t="shared" si="404"/>
        <v>4.274615014789962E-2</v>
      </c>
      <c r="AF169" s="98">
        <f t="shared" si="404"/>
        <v>5.8839779463604636E-2</v>
      </c>
      <c r="AG169" s="98">
        <f t="shared" si="404"/>
        <v>6.58847678910639E-2</v>
      </c>
      <c r="AH169" s="98">
        <f t="shared" si="404"/>
        <v>-6.1804275528541952E-3</v>
      </c>
      <c r="AI169" s="98">
        <f t="shared" si="404"/>
        <v>4.2509992198900948E-2</v>
      </c>
      <c r="AJ169" s="96">
        <f t="shared" ref="AJ169:BR169" si="405">AJ168/(AE299/1000)-1</f>
        <v>-6.3889108681235984E-2</v>
      </c>
      <c r="AK169" s="98">
        <f t="shared" si="405"/>
        <v>-5.8442862466591361E-2</v>
      </c>
      <c r="AL169" s="98">
        <f t="shared" si="405"/>
        <v>-7.9454221218593024E-2</v>
      </c>
      <c r="AM169" s="98">
        <f t="shared" si="405"/>
        <v>-6.8644268127234565E-2</v>
      </c>
      <c r="AN169" s="98">
        <f t="shared" si="405"/>
        <v>-0.12912062880320063</v>
      </c>
      <c r="AO169" s="96">
        <f t="shared" si="405"/>
        <v>-8.9733207215049959E-2</v>
      </c>
      <c r="AP169" s="98">
        <f t="shared" si="405"/>
        <v>-5.8144326862647588E-2</v>
      </c>
      <c r="AQ169" s="98">
        <f t="shared" si="405"/>
        <v>-6.4636890545643366E-2</v>
      </c>
      <c r="AR169" s="98">
        <f t="shared" si="405"/>
        <v>-4.5148272866481376E-2</v>
      </c>
      <c r="AS169" s="98">
        <f t="shared" si="405"/>
        <v>-4.9233157692741392E-2</v>
      </c>
      <c r="AT169" s="96">
        <f t="shared" si="405"/>
        <v>-5.3723245899570116E-2</v>
      </c>
      <c r="AU169" s="98">
        <f t="shared" si="405"/>
        <v>-7.770579594818372E-2</v>
      </c>
      <c r="AV169" s="98">
        <f t="shared" si="405"/>
        <v>-6.147661698643192E-2</v>
      </c>
      <c r="AW169" s="98">
        <f t="shared" si="405"/>
        <v>-7.7360313516177337E-2</v>
      </c>
      <c r="AX169" s="98">
        <f t="shared" si="405"/>
        <v>-5.9307660964926678E-2</v>
      </c>
      <c r="AY169" s="96">
        <f t="shared" si="405"/>
        <v>-6.9148425656609613E-2</v>
      </c>
      <c r="AZ169" s="98">
        <f t="shared" si="405"/>
        <v>-8.6721186218468915E-2</v>
      </c>
      <c r="BA169" s="98">
        <f t="shared" si="405"/>
        <v>-9.1716341733324658E-2</v>
      </c>
      <c r="BB169" s="98">
        <f t="shared" si="405"/>
        <v>-9.0345251481024236E-2</v>
      </c>
      <c r="BC169" s="98">
        <f t="shared" si="405"/>
        <v>-8.2347076483841652E-2</v>
      </c>
      <c r="BD169" s="96">
        <f t="shared" si="405"/>
        <v>-8.7776675722894049E-2</v>
      </c>
      <c r="BE169" s="98">
        <f t="shared" si="405"/>
        <v>-7.4473657639259727E-2</v>
      </c>
      <c r="BF169" s="98">
        <f t="shared" si="405"/>
        <v>-7.5689747914421623E-2</v>
      </c>
      <c r="BG169" s="98">
        <f t="shared" si="405"/>
        <v>-9.7821551176602184E-2</v>
      </c>
      <c r="BH169" s="98">
        <f t="shared" si="405"/>
        <v>-0.11617002306686508</v>
      </c>
      <c r="BI169" s="96">
        <f t="shared" si="405"/>
        <v>3.686820743593322E-2</v>
      </c>
      <c r="BJ169" s="98">
        <f t="shared" si="405"/>
        <v>4.3240044671314148E-2</v>
      </c>
      <c r="BK169" s="98">
        <f t="shared" si="405"/>
        <v>4.4535590646806344E-2</v>
      </c>
      <c r="BL169" s="98">
        <f t="shared" si="405"/>
        <v>4.0024005170344212E-2</v>
      </c>
      <c r="BM169" s="98">
        <f t="shared" si="405"/>
        <v>5.5494041899671886E-2</v>
      </c>
      <c r="BN169" s="129">
        <f t="shared" si="405"/>
        <v>4.5865689292820866E-2</v>
      </c>
      <c r="BO169" s="98">
        <f t="shared" si="405"/>
        <v>1.4402287941863268E-2</v>
      </c>
      <c r="BP169" s="98">
        <f t="shared" si="405"/>
        <v>-9.1915540338414203E-3</v>
      </c>
      <c r="BQ169" s="98">
        <f t="shared" si="405"/>
        <v>2.3197663659424439E-3</v>
      </c>
      <c r="BR169" s="98">
        <f t="shared" si="405"/>
        <v>-1.3832349036304481E-2</v>
      </c>
      <c r="BS169" s="129">
        <f>BS168/BN160-1</f>
        <v>-8.1970314648454057E-3</v>
      </c>
      <c r="BT169" s="98">
        <f>BT168/(BO299/1000)-1</f>
        <v>-3.979156797726191E-2</v>
      </c>
      <c r="BU169" s="98">
        <f>BU168/(BP299/1000)-1</f>
        <v>-4.0939452704158441E-3</v>
      </c>
      <c r="BV169" s="98">
        <f>BV168/(BQ299)-1</f>
        <v>2.8144239226033374E-2</v>
      </c>
      <c r="BW169" s="98">
        <f>BW168/(BR299)-1</f>
        <v>4.6943231441048061E-2</v>
      </c>
      <c r="BX169" s="129">
        <f>BX168/BS160-1</f>
        <v>0.3961708435489284</v>
      </c>
      <c r="BY169" s="98">
        <f>BY168/(BT299)-1</f>
        <v>5.2156690140845008E-2</v>
      </c>
      <c r="BZ169" s="98">
        <f>BZ168/(BU299)-1</f>
        <v>2.2068095838587709E-2</v>
      </c>
      <c r="CA169" s="98">
        <f>CA168/(BV299)-1</f>
        <v>1.1532816104005139E-2</v>
      </c>
      <c r="CB169" s="98">
        <f>CB168/(BW299)-1</f>
        <v>1.2650479493980793E-2</v>
      </c>
      <c r="CC169" s="129">
        <f t="shared" ref="CC169:CH169" si="406">CC168/BX160-1</f>
        <v>3.9813774281586056E-2</v>
      </c>
      <c r="CD169" s="98">
        <f>CD168/(BY299)-1</f>
        <v>2.1565003080714629E-2</v>
      </c>
      <c r="CE169" s="98">
        <f>CE168/(BZ299)-1</f>
        <v>1.2365842277181516E-2</v>
      </c>
      <c r="CF169" s="98">
        <f>CF168/(CA299)-1</f>
        <v>1.241799437675728E-2</v>
      </c>
      <c r="CG169" s="98">
        <f>CG168/(CB299)-1</f>
        <v>5.0205385668644631E-3</v>
      </c>
      <c r="CH169" s="129">
        <f t="shared" si="406"/>
        <v>-7.1976128003292672E-2</v>
      </c>
      <c r="CI169" s="98">
        <f>CI168/(CD299)-1</f>
        <v>7.2859744990891873E-3</v>
      </c>
      <c r="CJ169" s="98">
        <f>CJ168/(CE299)-1</f>
        <v>-7.1026206220915489E-3</v>
      </c>
      <c r="CK169" s="98">
        <f>CK168/(CF299)-1</f>
        <v>-1.5098409274737157E-2</v>
      </c>
      <c r="CL169" s="98">
        <f>CL168/(CG299)-1</f>
        <v>-0.99898210290827738</v>
      </c>
      <c r="CM169" s="129">
        <f t="shared" ref="CM169" si="407">CM168/CH160-1</f>
        <v>-0.1446469248291572</v>
      </c>
      <c r="CN169" s="98"/>
      <c r="CO169" s="98"/>
      <c r="CP169" s="98"/>
      <c r="CQ169" s="98"/>
      <c r="CR169" s="129"/>
      <c r="CS169" s="98"/>
      <c r="CT169" s="98"/>
      <c r="CU169" s="98"/>
      <c r="CV169" s="98"/>
      <c r="CW169" s="129"/>
      <c r="CX169" s="98"/>
      <c r="CY169" s="98"/>
      <c r="CZ169" s="98"/>
      <c r="DA169" s="98"/>
      <c r="DB169" s="129"/>
      <c r="DC169" s="16"/>
      <c r="DD169" s="16"/>
      <c r="DE169" s="16"/>
      <c r="DF169" s="16"/>
      <c r="DG169" s="16"/>
      <c r="DH169" s="16"/>
      <c r="DI169" s="16"/>
      <c r="DJ169" s="16"/>
    </row>
    <row r="170" spans="1:114" s="725" customFormat="1" ht="11.25" customHeight="1">
      <c r="A170" s="16"/>
      <c r="B170" s="77" t="s">
        <v>250</v>
      </c>
      <c r="C170" s="37"/>
      <c r="D170" s="106"/>
      <c r="E170" s="115"/>
      <c r="F170" s="116"/>
      <c r="G170" s="98"/>
      <c r="H170" s="98"/>
      <c r="I170" s="98"/>
      <c r="J170" s="98"/>
      <c r="K170" s="96">
        <f t="shared" ref="K170:BW170" si="408">K168/F160-1</f>
        <v>9.7006638276827983E-2</v>
      </c>
      <c r="L170" s="98">
        <f t="shared" si="408"/>
        <v>9.3787557393619325E-2</v>
      </c>
      <c r="M170" s="98">
        <f t="shared" si="408"/>
        <v>8.2472075736128359E-2</v>
      </c>
      <c r="N170" s="98">
        <f t="shared" si="408"/>
        <v>0.10390131057266738</v>
      </c>
      <c r="O170" s="98">
        <f t="shared" si="408"/>
        <v>0.10778954360329385</v>
      </c>
      <c r="P170" s="96">
        <f t="shared" si="408"/>
        <v>9.7454330814713552E-2</v>
      </c>
      <c r="Q170" s="98">
        <f t="shared" si="408"/>
        <v>8.0755662149142982E-2</v>
      </c>
      <c r="R170" s="98">
        <f t="shared" si="408"/>
        <v>7.7555380959642539E-2</v>
      </c>
      <c r="S170" s="98">
        <f t="shared" si="408"/>
        <v>7.684045203801948E-2</v>
      </c>
      <c r="T170" s="98">
        <f t="shared" si="408"/>
        <v>7.321461797494222E-2</v>
      </c>
      <c r="U170" s="96">
        <f t="shared" si="408"/>
        <v>7.6847474044113406E-2</v>
      </c>
      <c r="V170" s="98">
        <f t="shared" si="408"/>
        <v>6.3226603065154929E-2</v>
      </c>
      <c r="W170" s="98">
        <f t="shared" si="408"/>
        <v>5.7926242445128562E-2</v>
      </c>
      <c r="X170" s="98">
        <f t="shared" si="408"/>
        <v>3.2180310243469457E-2</v>
      </c>
      <c r="Y170" s="98">
        <f t="shared" si="408"/>
        <v>3.6133288594596635E-2</v>
      </c>
      <c r="Z170" s="96">
        <f t="shared" si="408"/>
        <v>3.9833269847814545E-2</v>
      </c>
      <c r="AA170" s="98">
        <f t="shared" si="408"/>
        <v>3.7402116273354213E-2</v>
      </c>
      <c r="AB170" s="98">
        <f t="shared" si="408"/>
        <v>3.5355129327567125E-2</v>
      </c>
      <c r="AC170" s="98">
        <f t="shared" si="408"/>
        <v>4.9351144576025519E-2</v>
      </c>
      <c r="AD170" s="98">
        <f t="shared" si="408"/>
        <v>5.515566497106561E-2</v>
      </c>
      <c r="AE170" s="96">
        <f t="shared" si="408"/>
        <v>4.274615014789962E-2</v>
      </c>
      <c r="AF170" s="98">
        <f t="shared" si="408"/>
        <v>5.8839779463604636E-2</v>
      </c>
      <c r="AG170" s="98">
        <f t="shared" si="408"/>
        <v>6.58847678910639E-2</v>
      </c>
      <c r="AH170" s="98">
        <f t="shared" si="408"/>
        <v>-6.1804275528541952E-3</v>
      </c>
      <c r="AI170" s="98">
        <f t="shared" si="408"/>
        <v>4.2509992198900948E-2</v>
      </c>
      <c r="AJ170" s="96">
        <f t="shared" si="408"/>
        <v>3.9573208719344111E-2</v>
      </c>
      <c r="AK170" s="98">
        <f t="shared" si="408"/>
        <v>4.2603033451582339E-2</v>
      </c>
      <c r="AL170" s="98">
        <f t="shared" si="408"/>
        <v>2.7275921722238028E-2</v>
      </c>
      <c r="AM170" s="98">
        <f t="shared" si="408"/>
        <v>1.017679332674176</v>
      </c>
      <c r="AN170" s="98">
        <f t="shared" si="408"/>
        <v>1.0399554778013198</v>
      </c>
      <c r="AO170" s="96">
        <f t="shared" si="408"/>
        <v>0.50415621160998225</v>
      </c>
      <c r="AP170" s="98">
        <f t="shared" si="408"/>
        <v>1.2014451847601251</v>
      </c>
      <c r="AQ170" s="98">
        <f t="shared" si="408"/>
        <v>1.1541034165918376</v>
      </c>
      <c r="AR170" s="98">
        <f t="shared" si="408"/>
        <v>0.17581106685345005</v>
      </c>
      <c r="AS170" s="98">
        <f t="shared" si="408"/>
        <v>9.2505862415508622E-2</v>
      </c>
      <c r="AT170" s="96">
        <f t="shared" si="408"/>
        <v>0.47106044354767995</v>
      </c>
      <c r="AU170" s="98">
        <f t="shared" si="408"/>
        <v>2.0320649908666111E-2</v>
      </c>
      <c r="AV170" s="98">
        <f t="shared" si="408"/>
        <v>4.5321727851994398E-2</v>
      </c>
      <c r="AW170" s="98">
        <f t="shared" si="408"/>
        <v>3.8570797762764508E-2</v>
      </c>
      <c r="AX170" s="98">
        <f t="shared" si="408"/>
        <v>6.9673674767382954E-2</v>
      </c>
      <c r="AY170" s="96">
        <f t="shared" si="408"/>
        <v>4.5318859289961377E-2</v>
      </c>
      <c r="AZ170" s="98">
        <f t="shared" si="408"/>
        <v>3.9987217536567199E-2</v>
      </c>
      <c r="BA170" s="98">
        <f t="shared" si="408"/>
        <v>3.229992421861172E-2</v>
      </c>
      <c r="BB170" s="98">
        <f t="shared" si="408"/>
        <v>3.6652412386754429E-2</v>
      </c>
      <c r="BC170" s="98">
        <f t="shared" si="408"/>
        <v>4.6815041713591299E-2</v>
      </c>
      <c r="BD170" s="96">
        <f t="shared" si="408"/>
        <v>3.8954249875865266E-2</v>
      </c>
      <c r="BE170" s="98">
        <f t="shared" si="408"/>
        <v>3.9595679291128061E-2</v>
      </c>
      <c r="BF170" s="98">
        <f t="shared" si="408"/>
        <v>2.0758035215572512E-2</v>
      </c>
      <c r="BG170" s="98">
        <f t="shared" si="408"/>
        <v>-7.4254293117581582E-6</v>
      </c>
      <c r="BH170" s="98">
        <f t="shared" si="408"/>
        <v>-1.6998410432115252E-2</v>
      </c>
      <c r="BI170" s="96">
        <f t="shared" si="408"/>
        <v>0.14785474343533034</v>
      </c>
      <c r="BJ170" s="98">
        <f t="shared" si="408"/>
        <v>2.8117703223817792E-2</v>
      </c>
      <c r="BK170" s="98">
        <f t="shared" si="408"/>
        <v>3.9857012750151855E-2</v>
      </c>
      <c r="BL170" s="98">
        <f t="shared" si="408"/>
        <v>2.6204874964162572E-2</v>
      </c>
      <c r="BM170" s="98">
        <f t="shared" si="408"/>
        <v>5.5434697628770735E-2</v>
      </c>
      <c r="BN170" s="129">
        <f t="shared" si="408"/>
        <v>3.7427812761601897E-2</v>
      </c>
      <c r="BO170" s="98">
        <f t="shared" si="408"/>
        <v>-1.0909195686427342E-2</v>
      </c>
      <c r="BP170" s="98">
        <f t="shared" si="408"/>
        <v>-9.3235406759351047E-3</v>
      </c>
      <c r="BQ170" s="98">
        <f t="shared" si="408"/>
        <v>1.6257631466705114E-3</v>
      </c>
      <c r="BR170" s="98">
        <f t="shared" si="408"/>
        <v>-1.3981615809354198E-2</v>
      </c>
      <c r="BS170" s="129"/>
      <c r="BT170" s="98">
        <f t="shared" si="408"/>
        <v>0.22412621725673731</v>
      </c>
      <c r="BU170" s="98">
        <f t="shared" si="408"/>
        <v>0.42813399246259198</v>
      </c>
      <c r="BV170" s="98">
        <f t="shared" si="408"/>
        <v>0.45297214525619811</v>
      </c>
      <c r="BW170" s="98">
        <f t="shared" si="408"/>
        <v>0.48391323548480636</v>
      </c>
      <c r="BX170" s="129"/>
      <c r="BY170" s="98">
        <f>BY168/BT168-1</f>
        <v>0.17932905772076957</v>
      </c>
      <c r="BZ170" s="98">
        <f>BZ168/BU168-1</f>
        <v>5.2141929900475947E-2</v>
      </c>
      <c r="CA170" s="98">
        <f>CA168/BV168-1</f>
        <v>3.1650983746792205E-2</v>
      </c>
      <c r="CB170" s="98">
        <f>CB168/BW168-1</f>
        <v>3.5036496350364876E-2</v>
      </c>
      <c r="CC170" s="129"/>
      <c r="CD170" s="98">
        <f>CD168/BY168-1</f>
        <v>4.0368123823467883E-2</v>
      </c>
      <c r="CE170" s="98">
        <f>CE168/BZ168-1</f>
        <v>-0.10775241620398934</v>
      </c>
      <c r="CF170" s="98">
        <f>CF168/CA168-1</f>
        <v>-0.10427031509121065</v>
      </c>
      <c r="CG170" s="98">
        <f>CG168/CB168-1</f>
        <v>-0.11263348780979243</v>
      </c>
      <c r="CH170" s="129"/>
      <c r="CI170" s="98">
        <f>CI168/CD168-1</f>
        <v>-0.11057498994772819</v>
      </c>
      <c r="CJ170" s="98">
        <f>CJ168/CE168-1</f>
        <v>-6.5683337174464174E-2</v>
      </c>
      <c r="CK170" s="98">
        <f>CK168/CF168-1</f>
        <v>-0.15459384401758847</v>
      </c>
      <c r="CL170" s="98">
        <f>CL168/CG168-1</f>
        <v>-0.17347865576748411</v>
      </c>
      <c r="CM170" s="129"/>
      <c r="CN170" s="98">
        <f ca="1">CN168/CI168-1</f>
        <v>-0.13630430858143516</v>
      </c>
      <c r="CO170" s="98">
        <f ca="1">CO168/CJ168-1</f>
        <v>-0.10451871801475665</v>
      </c>
      <c r="CP170" s="98">
        <f ca="1">CP168/CK168-1</f>
        <v>-7.3213713604292296E-2</v>
      </c>
      <c r="CQ170" s="98">
        <f ca="1">CQ168/CL168-1</f>
        <v>4.434075351228528E-2</v>
      </c>
      <c r="CR170" s="129"/>
      <c r="CS170" s="98">
        <f ca="1">CS168/CN168-1</f>
        <v>-8.813670059298695E-2</v>
      </c>
      <c r="CT170" s="98">
        <f ca="1">CT168/CO168-1</f>
        <v>-7.7451707480675758E-2</v>
      </c>
      <c r="CU170" s="98">
        <f ca="1">CU168/CP168-1</f>
        <v>-6.4465597004015995E-2</v>
      </c>
      <c r="CV170" s="98">
        <f ca="1">CV168/CQ168-1</f>
        <v>-5.1325642091510804E-2</v>
      </c>
      <c r="CW170" s="129"/>
      <c r="CX170" s="98">
        <f ca="1">CX168/CS168-1</f>
        <v>-1.2779820443829748E-2</v>
      </c>
      <c r="CY170" s="98">
        <f ca="1">CY168/CT168-1</f>
        <v>-1.2960394815954013E-2</v>
      </c>
      <c r="CZ170" s="98">
        <f ca="1">CZ168/CU168-1</f>
        <v>-1.1433977911921356E-2</v>
      </c>
      <c r="DA170" s="98">
        <f ca="1">DA168/CV168-1</f>
        <v>-1.2558728160961485E-2</v>
      </c>
      <c r="DB170" s="129"/>
      <c r="DC170" s="16"/>
      <c r="DD170" s="16"/>
      <c r="DE170" s="16"/>
      <c r="DF170" s="16"/>
      <c r="DG170" s="16"/>
      <c r="DH170" s="16"/>
      <c r="DI170" s="16"/>
      <c r="DJ170" s="16"/>
    </row>
    <row r="171" spans="1:114" s="725" customFormat="1" ht="11.25" customHeight="1">
      <c r="A171" s="16"/>
      <c r="B171" s="77" t="s">
        <v>47</v>
      </c>
      <c r="C171" s="37"/>
      <c r="D171" s="106"/>
      <c r="E171" s="98">
        <f>IS!E76</f>
        <v>8.8104760114560546E-2</v>
      </c>
      <c r="F171" s="96">
        <f>IS!F76</f>
        <v>9.1441426959680772E-2</v>
      </c>
      <c r="G171" s="98">
        <f>IS!G76</f>
        <v>9.2746679376387517E-2</v>
      </c>
      <c r="H171" s="98">
        <f>IS!H76</f>
        <v>9.2255349717766374E-2</v>
      </c>
      <c r="I171" s="98">
        <f>IS!I76</f>
        <v>9.2143198365696913E-2</v>
      </c>
      <c r="J171" s="98">
        <f>IS!J76</f>
        <v>9.1901185754195799E-2</v>
      </c>
      <c r="K171" s="96">
        <f>IS!K76</f>
        <v>9.2243560410362385E-2</v>
      </c>
      <c r="L171" s="98">
        <f>IS!L76</f>
        <v>9.3524316847197572E-2</v>
      </c>
      <c r="M171" s="98">
        <f>IS!M76</f>
        <v>8.9942742120916283E-2</v>
      </c>
      <c r="N171" s="98">
        <f>IS!N76</f>
        <v>9.4694496247564847E-2</v>
      </c>
      <c r="O171" s="98">
        <f>IS!O76</f>
        <v>8.8031192424696855E-2</v>
      </c>
      <c r="P171" s="96">
        <f>IS!P76</f>
        <v>9.1498111494321313E-2</v>
      </c>
      <c r="Q171" s="98">
        <f>IS!Q76</f>
        <v>9.4559646400526637E-2</v>
      </c>
      <c r="R171" s="98">
        <f>IS!R76</f>
        <v>9.4444943122777819E-2</v>
      </c>
      <c r="S171" s="98">
        <f>IS!S76</f>
        <v>9.7770192331630285E-2</v>
      </c>
      <c r="T171" s="98">
        <f>IS!T76</f>
        <v>0.10239713621590074</v>
      </c>
      <c r="U171" s="96">
        <f>IS!U76</f>
        <v>9.7550151272267502E-2</v>
      </c>
      <c r="V171" s="98">
        <f>IS!V76</f>
        <v>0.1047100109925387</v>
      </c>
      <c r="W171" s="98">
        <f>IS!W76</f>
        <v>0.10043518924771622</v>
      </c>
      <c r="X171" s="98">
        <f>IS!X76</f>
        <v>0.10473630209209581</v>
      </c>
      <c r="Y171" s="98">
        <f>IS!Y76</f>
        <v>0.10322219456149268</v>
      </c>
      <c r="Z171" s="96">
        <f>IS!Z76</f>
        <v>0.10329195000107405</v>
      </c>
      <c r="AA171" s="98">
        <f>IS!AA76</f>
        <v>0.10282592428903368</v>
      </c>
      <c r="AB171" s="98">
        <f>IS!AB76</f>
        <v>9.9684560441833076E-2</v>
      </c>
      <c r="AC171" s="98">
        <f>IS!AC76</f>
        <v>0.10005714168878979</v>
      </c>
      <c r="AD171" s="98">
        <f>IS!AD76</f>
        <v>0.10180842506135</v>
      </c>
      <c r="AE171" s="96">
        <f>IS!AE76</f>
        <v>0.10110104656178345</v>
      </c>
      <c r="AF171" s="98">
        <f>IS!AF76</f>
        <v>0.10480711345247536</v>
      </c>
      <c r="AG171" s="98">
        <f>IS!AG76</f>
        <v>0.10904628793633499</v>
      </c>
      <c r="AH171" s="98">
        <f>IS!AH76</f>
        <v>0.17128786105352728</v>
      </c>
      <c r="AI171" s="98">
        <f>IS!AI76</f>
        <v>0.11437819895935561</v>
      </c>
      <c r="AJ171" s="96">
        <f>IS!AJ76</f>
        <v>0.12547737114186078</v>
      </c>
      <c r="AK171" s="98">
        <f>IS!AK76</f>
        <v>0.11270709146285249</v>
      </c>
      <c r="AL171" s="98">
        <f>IS!AL76</f>
        <v>0.11901182264747889</v>
      </c>
      <c r="AM171" s="98">
        <f>IS!AM76</f>
        <v>0.11887485454407086</v>
      </c>
      <c r="AN171" s="98">
        <f>IS!AN76</f>
        <v>0.14283273386274484</v>
      </c>
      <c r="AO171" s="96">
        <f>IS!AO76</f>
        <v>0.12614538598883979</v>
      </c>
      <c r="AP171" s="98">
        <f>IS!AP76</f>
        <v>0.10891810024659455</v>
      </c>
      <c r="AQ171" s="98">
        <f>IS!AQ76</f>
        <v>0.1081710399167472</v>
      </c>
      <c r="AR171" s="98">
        <f>IS!AR76</f>
        <v>0.117644958634767</v>
      </c>
      <c r="AS171" s="98">
        <f>IS!AS76</f>
        <v>0.11455717792041971</v>
      </c>
      <c r="AT171" s="96">
        <f>IS!AT76</f>
        <v>0.11236577557449623</v>
      </c>
      <c r="AU171" s="98">
        <f>IS!AU76</f>
        <v>0.11597709852405798</v>
      </c>
      <c r="AV171" s="98">
        <f>IS!AV76</f>
        <v>0.12014142708507004</v>
      </c>
      <c r="AW171" s="98">
        <f>IS!AW76</f>
        <v>0.12257427455416803</v>
      </c>
      <c r="AX171" s="98">
        <f>IS!AX76</f>
        <v>0.12348818205286971</v>
      </c>
      <c r="AY171" s="96">
        <f>IS!AY76</f>
        <v>0.12062210325025022</v>
      </c>
      <c r="AZ171" s="98">
        <f>IS!AZ76</f>
        <v>0.11961634082339415</v>
      </c>
      <c r="BA171" s="98">
        <f>IS!BA76</f>
        <v>0.12029237243237516</v>
      </c>
      <c r="BB171" s="98">
        <f>IS!BB76</f>
        <v>0.12394532072797047</v>
      </c>
      <c r="BC171" s="98">
        <f>IS!BC76</f>
        <v>0.1251697549504085</v>
      </c>
      <c r="BD171" s="96">
        <f>IS!BD76</f>
        <v>0.12232056366226467</v>
      </c>
      <c r="BE171" s="98">
        <f>IS!BE76</f>
        <v>0.1197738729325865</v>
      </c>
      <c r="BF171" s="98">
        <f>IS!BF76</f>
        <v>0.12609888261762597</v>
      </c>
      <c r="BG171" s="98">
        <f>IS!BG76</f>
        <v>0.13105238649592549</v>
      </c>
      <c r="BH171" s="98">
        <f>IS!BH76</f>
        <v>0.1268517716994034</v>
      </c>
      <c r="BI171" s="96">
        <f>IS!BI76</f>
        <v>0.12595842520075362</v>
      </c>
      <c r="BJ171" s="98">
        <f>IS!BJ76</f>
        <v>0.12857332024841608</v>
      </c>
      <c r="BK171" s="98">
        <f>IS!BK76</f>
        <v>0.13438240371895577</v>
      </c>
      <c r="BL171" s="98">
        <f>IS!BL76</f>
        <v>0.13109965993635878</v>
      </c>
      <c r="BM171" s="98">
        <f>IS!BM76</f>
        <v>0.12884228223157226</v>
      </c>
      <c r="BN171" s="96">
        <f>IS!BN76</f>
        <v>0.13071594621334587</v>
      </c>
      <c r="BO171" s="98">
        <f>IS!BO76</f>
        <v>0.12845564999168391</v>
      </c>
      <c r="BP171" s="98">
        <f>IS!BP76</f>
        <v>0.14110479431732717</v>
      </c>
      <c r="BQ171" s="98">
        <f>IS!BQ76</f>
        <v>0.14564011730809409</v>
      </c>
      <c r="BR171" s="98">
        <f>IS!BR76</f>
        <v>0.13677002402431443</v>
      </c>
      <c r="BS171" s="96">
        <f>IS!BS76</f>
        <v>0.13797392160298458</v>
      </c>
      <c r="BT171" s="98">
        <f>IS!BT76</f>
        <v>0.14387755102040817</v>
      </c>
      <c r="BU171" s="98">
        <f>IS!BU76</f>
        <v>0.13596094738745254</v>
      </c>
      <c r="BV171" s="98">
        <f>IS!BV76</f>
        <v>0.1380550062915693</v>
      </c>
      <c r="BW171" s="98">
        <f>IS!BW76</f>
        <v>0.12816876440347455</v>
      </c>
      <c r="BX171" s="96">
        <f>IS!BX76</f>
        <v>0.13626068869886757</v>
      </c>
      <c r="BY171" s="98">
        <f>IS!BY76</f>
        <v>0.1301806588735388</v>
      </c>
      <c r="BZ171" s="98">
        <f>IS!BZ76</f>
        <v>0.13038831492696829</v>
      </c>
      <c r="CA171" s="98">
        <f>IS!CA76</f>
        <v>0.13154121863799284</v>
      </c>
      <c r="CB171" s="98">
        <f>IS!CB76</f>
        <v>0.16177498252969952</v>
      </c>
      <c r="CC171" s="96">
        <f>IS!CC76</f>
        <v>0.13858358447083852</v>
      </c>
      <c r="CD171" s="98">
        <f>IS!CD76</f>
        <v>0.13121306916927356</v>
      </c>
      <c r="CE171" s="98">
        <f>IS!CE76</f>
        <v>0.1323251417769376</v>
      </c>
      <c r="CF171" s="98">
        <f>IS!CF76</f>
        <v>0.13847364280094415</v>
      </c>
      <c r="CG171" s="98">
        <f>IS!CG76</f>
        <v>0.13172721973965418</v>
      </c>
      <c r="CH171" s="96">
        <f>IS!CH76</f>
        <v>0.13334900117508813</v>
      </c>
      <c r="CI171" s="98">
        <f>IS!CI76</f>
        <v>0.13196594427244582</v>
      </c>
      <c r="CJ171" s="98">
        <f>IS!CJ76</f>
        <v>0.14078374455732948</v>
      </c>
      <c r="CK171" s="98">
        <f>IS!CK76</f>
        <v>0.15393491807062082</v>
      </c>
      <c r="CL171" s="98">
        <f>IS!CL76</f>
        <v>0.24950932286555447</v>
      </c>
      <c r="CM171" s="96">
        <f>IS!CM76</f>
        <v>0.16548913043478261</v>
      </c>
      <c r="CN171" s="98">
        <f ca="1">IS!CN76</f>
        <v>0.14349999999999999</v>
      </c>
      <c r="CO171" s="98">
        <f ca="1">IS!CO76</f>
        <v>0.14399999999999999</v>
      </c>
      <c r="CP171" s="98">
        <f ca="1">IS!CP76</f>
        <v>0.14299999999999999</v>
      </c>
      <c r="CQ171" s="98">
        <f ca="1">IS!CQ76</f>
        <v>0.1444</v>
      </c>
      <c r="CR171" s="96">
        <f ca="1">IS!CR76</f>
        <v>0.14374283927399564</v>
      </c>
      <c r="CS171" s="98">
        <f ca="1">IS!CS76</f>
        <v>0.1464</v>
      </c>
      <c r="CT171" s="98">
        <f ca="1">IS!CT76</f>
        <v>0.1464</v>
      </c>
      <c r="CU171" s="98">
        <f ca="1">IS!CU76</f>
        <v>0.1464</v>
      </c>
      <c r="CV171" s="98">
        <f ca="1">IS!CV76</f>
        <v>0.1464</v>
      </c>
      <c r="CW171" s="96">
        <f ca="1">IS!CW76</f>
        <v>0.14639999999999997</v>
      </c>
      <c r="CX171" s="98">
        <f ca="1">IS!CX76</f>
        <v>0.1464</v>
      </c>
      <c r="CY171" s="98">
        <f ca="1">IS!CY76</f>
        <v>0.1464</v>
      </c>
      <c r="CZ171" s="98">
        <f ca="1">IS!CZ76</f>
        <v>0.1464</v>
      </c>
      <c r="DA171" s="98">
        <f ca="1">IS!DA76</f>
        <v>0.1464</v>
      </c>
      <c r="DB171" s="96">
        <f ca="1">IS!DB76</f>
        <v>0.1464</v>
      </c>
      <c r="DC171" s="16"/>
      <c r="DD171" s="16"/>
      <c r="DE171" s="16"/>
      <c r="DF171" s="16"/>
      <c r="DG171" s="16"/>
      <c r="DH171" s="16"/>
      <c r="DI171" s="16"/>
      <c r="DJ171" s="16"/>
    </row>
    <row r="172" spans="1:114" s="725" customFormat="1" ht="11.25" customHeight="1">
      <c r="A172" s="16"/>
      <c r="B172" s="16"/>
      <c r="C172" s="37"/>
      <c r="D172" s="106"/>
      <c r="E172" s="16"/>
      <c r="F172" s="18"/>
      <c r="G172" s="16"/>
      <c r="H172" s="16"/>
      <c r="I172" s="16"/>
      <c r="J172" s="16"/>
      <c r="K172" s="18"/>
      <c r="L172" s="16"/>
      <c r="M172" s="16"/>
      <c r="N172" s="16"/>
      <c r="O172" s="16"/>
      <c r="P172" s="18"/>
      <c r="Q172" s="16"/>
      <c r="R172" s="16"/>
      <c r="S172" s="16"/>
      <c r="T172" s="16"/>
      <c r="U172" s="18"/>
      <c r="V172" s="16"/>
      <c r="W172" s="16"/>
      <c r="X172" s="16"/>
      <c r="Y172" s="16"/>
      <c r="Z172" s="18"/>
      <c r="AA172" s="16"/>
      <c r="AB172" s="16"/>
      <c r="AC172" s="16"/>
      <c r="AD172" s="16"/>
      <c r="AE172" s="18"/>
      <c r="AF172" s="16"/>
      <c r="AG172" s="16"/>
      <c r="AH172" s="16"/>
      <c r="AI172" s="16"/>
      <c r="AJ172" s="18"/>
      <c r="AK172" s="16"/>
      <c r="AL172" s="16"/>
      <c r="AM172" s="16"/>
      <c r="AN172" s="16"/>
      <c r="AO172" s="18"/>
      <c r="AP172" s="16"/>
      <c r="AQ172" s="16"/>
      <c r="AR172" s="16"/>
      <c r="AS172" s="16"/>
      <c r="AT172" s="18"/>
      <c r="AU172" s="16"/>
      <c r="AV172" s="16"/>
      <c r="AW172" s="16"/>
      <c r="AX172" s="16"/>
      <c r="AY172" s="18"/>
      <c r="AZ172" s="16"/>
      <c r="BA172" s="16"/>
      <c r="BB172" s="16"/>
      <c r="BC172" s="16"/>
      <c r="BD172" s="18"/>
      <c r="BE172" s="16"/>
      <c r="BF172" s="16"/>
      <c r="BG172" s="16"/>
      <c r="BH172" s="16"/>
      <c r="BI172" s="18"/>
      <c r="BJ172" s="16"/>
      <c r="BK172" s="16"/>
      <c r="BL172" s="16"/>
      <c r="BM172" s="16"/>
      <c r="BN172" s="18"/>
      <c r="BO172" s="16"/>
      <c r="BP172" s="16"/>
      <c r="BQ172" s="16"/>
      <c r="BR172" s="16"/>
      <c r="BS172" s="18"/>
      <c r="BT172" s="16"/>
      <c r="BU172" s="16"/>
      <c r="BV172" s="16"/>
      <c r="BW172" s="16"/>
      <c r="BX172" s="18"/>
      <c r="BY172" s="16"/>
      <c r="BZ172" s="16"/>
      <c r="CA172" s="16"/>
      <c r="CB172" s="16"/>
      <c r="CC172" s="18"/>
      <c r="CD172" s="16"/>
      <c r="CE172" s="16"/>
      <c r="CF172" s="16"/>
      <c r="CG172" s="16"/>
      <c r="CH172" s="18"/>
      <c r="CI172" s="16"/>
      <c r="CJ172" s="16"/>
      <c r="CK172" s="16"/>
      <c r="CL172" s="16"/>
      <c r="CM172" s="18"/>
      <c r="CN172" s="16"/>
      <c r="CO172" s="16"/>
      <c r="CP172" s="16"/>
      <c r="CQ172" s="16"/>
      <c r="CR172" s="18"/>
      <c r="CS172" s="16"/>
      <c r="CT172" s="16"/>
      <c r="CU172" s="16"/>
      <c r="CV172" s="16"/>
      <c r="CW172" s="18"/>
      <c r="CX172" s="16"/>
      <c r="CY172" s="16"/>
      <c r="CZ172" s="16"/>
      <c r="DA172" s="16"/>
      <c r="DB172" s="18"/>
      <c r="DC172" s="16"/>
      <c r="DD172" s="16"/>
      <c r="DE172" s="16"/>
      <c r="DF172" s="16"/>
      <c r="DG172" s="16"/>
      <c r="DH172" s="16"/>
      <c r="DI172" s="16"/>
      <c r="DJ172" s="16"/>
    </row>
    <row r="173" spans="1:114" s="725" customFormat="1" ht="11.25" customHeight="1">
      <c r="A173" s="16"/>
      <c r="B173" s="14" t="s">
        <v>278</v>
      </c>
      <c r="C173" s="37"/>
      <c r="D173" s="106"/>
      <c r="E173" s="83">
        <f t="shared" ref="E173:AJ173" si="409">+E174*E165</f>
        <v>483.54820800000005</v>
      </c>
      <c r="F173" s="127">
        <f t="shared" si="409"/>
        <v>592.95105000000001</v>
      </c>
      <c r="G173" s="126">
        <f t="shared" si="409"/>
        <v>175.63</v>
      </c>
      <c r="H173" s="126">
        <f t="shared" si="409"/>
        <v>172.06594999999999</v>
      </c>
      <c r="I173" s="126">
        <f t="shared" si="409"/>
        <v>191.04049000000001</v>
      </c>
      <c r="J173" s="126">
        <f t="shared" si="409"/>
        <v>210.704025</v>
      </c>
      <c r="K173" s="127">
        <f t="shared" si="409"/>
        <v>748.95744000000002</v>
      </c>
      <c r="L173" s="126">
        <f t="shared" si="409"/>
        <v>230.42289600000001</v>
      </c>
      <c r="M173" s="126">
        <f t="shared" si="409"/>
        <v>219.46509</v>
      </c>
      <c r="N173" s="126">
        <f t="shared" si="409"/>
        <v>240.71873400000001</v>
      </c>
      <c r="O173" s="126">
        <f t="shared" si="409"/>
        <v>280.21876400000002</v>
      </c>
      <c r="P173" s="127">
        <f t="shared" si="409"/>
        <v>971.28997300000003</v>
      </c>
      <c r="Q173" s="126">
        <f t="shared" si="409"/>
        <v>306.52665300000001</v>
      </c>
      <c r="R173" s="126">
        <f t="shared" si="409"/>
        <v>288.436148</v>
      </c>
      <c r="S173" s="126">
        <f t="shared" si="409"/>
        <v>303.45430800000003</v>
      </c>
      <c r="T173" s="126">
        <f t="shared" si="409"/>
        <v>330.19610399999999</v>
      </c>
      <c r="U173" s="127">
        <f t="shared" si="409"/>
        <v>1228.48306</v>
      </c>
      <c r="V173" s="126">
        <f t="shared" si="409"/>
        <v>367.21434400000004</v>
      </c>
      <c r="W173" s="126">
        <f t="shared" si="409"/>
        <v>348.59900400000004</v>
      </c>
      <c r="X173" s="126">
        <f t="shared" si="409"/>
        <v>368.52704</v>
      </c>
      <c r="Y173" s="126">
        <f t="shared" si="409"/>
        <v>423.80173800000006</v>
      </c>
      <c r="Z173" s="127">
        <f t="shared" si="409"/>
        <v>1498.0370499999999</v>
      </c>
      <c r="AA173" s="126">
        <f t="shared" si="409"/>
        <v>442.69835999999998</v>
      </c>
      <c r="AB173" s="126">
        <f t="shared" si="409"/>
        <v>429.28434000000004</v>
      </c>
      <c r="AC173" s="126">
        <f t="shared" si="409"/>
        <v>440.54149999999998</v>
      </c>
      <c r="AD173" s="126">
        <f t="shared" si="409"/>
        <v>472.92604499999999</v>
      </c>
      <c r="AE173" s="127">
        <f t="shared" si="409"/>
        <v>1781.6055879999999</v>
      </c>
      <c r="AF173" s="126">
        <f t="shared" si="409"/>
        <v>493.74832399999997</v>
      </c>
      <c r="AG173" s="126">
        <f t="shared" si="409"/>
        <v>494.76850000000002</v>
      </c>
      <c r="AH173" s="126">
        <f t="shared" si="409"/>
        <v>497.44137599999999</v>
      </c>
      <c r="AI173" s="126">
        <f t="shared" si="409"/>
        <v>524.36624499999994</v>
      </c>
      <c r="AJ173" s="127">
        <f t="shared" si="409"/>
        <v>2008.4156559999999</v>
      </c>
      <c r="AK173" s="126">
        <f t="shared" ref="AK173:BL173" si="410">+AK174*AK165</f>
        <v>545.31213000000002</v>
      </c>
      <c r="AL173" s="126">
        <f t="shared" si="410"/>
        <v>531.32065</v>
      </c>
      <c r="AM173" s="126">
        <f t="shared" si="410"/>
        <v>1057.466048</v>
      </c>
      <c r="AN173" s="126">
        <f t="shared" si="410"/>
        <v>1209.330717</v>
      </c>
      <c r="AO173" s="127">
        <f t="shared" si="410"/>
        <v>3252.9063599999999</v>
      </c>
      <c r="AP173" s="126">
        <f t="shared" si="410"/>
        <v>1348.663393</v>
      </c>
      <c r="AQ173" s="126">
        <f t="shared" si="410"/>
        <v>1323.705414</v>
      </c>
      <c r="AR173" s="126">
        <f t="shared" si="410"/>
        <v>1364.3069700000001</v>
      </c>
      <c r="AS173" s="126">
        <f t="shared" si="410"/>
        <v>1347.7060799999999</v>
      </c>
      <c r="AT173" s="127">
        <f t="shared" si="410"/>
        <v>5331.5547539999998</v>
      </c>
      <c r="AU173" s="126">
        <f t="shared" si="410"/>
        <v>1450.2894340000003</v>
      </c>
      <c r="AV173" s="126">
        <f t="shared" si="410"/>
        <v>1394.0446229999998</v>
      </c>
      <c r="AW173" s="126">
        <f t="shared" si="410"/>
        <v>1427.7230699999998</v>
      </c>
      <c r="AX173" s="126">
        <f t="shared" si="410"/>
        <v>1497.9895860000001</v>
      </c>
      <c r="AY173" s="127">
        <f t="shared" si="410"/>
        <v>5743.5312969999995</v>
      </c>
      <c r="AZ173" s="126">
        <f t="shared" si="410"/>
        <v>1534.4053640000002</v>
      </c>
      <c r="BA173" s="126">
        <f t="shared" si="410"/>
        <v>1529.437013</v>
      </c>
      <c r="BB173" s="126">
        <f t="shared" si="410"/>
        <v>1544.7627640000001</v>
      </c>
      <c r="BC173" s="126">
        <f t="shared" si="410"/>
        <v>1588.6182200000001</v>
      </c>
      <c r="BD173" s="127">
        <f t="shared" si="410"/>
        <v>6203.126158</v>
      </c>
      <c r="BE173" s="126">
        <f t="shared" si="410"/>
        <v>1600.5065069999998</v>
      </c>
      <c r="BF173" s="126">
        <f t="shared" si="410"/>
        <v>1498.8433</v>
      </c>
      <c r="BG173" s="126">
        <f t="shared" si="410"/>
        <v>1416.3677279999999</v>
      </c>
      <c r="BH173" s="126">
        <f t="shared" si="410"/>
        <v>1481.275484</v>
      </c>
      <c r="BI173" s="127">
        <f t="shared" si="410"/>
        <v>6840.677013989055</v>
      </c>
      <c r="BJ173" s="126">
        <f t="shared" si="410"/>
        <v>1577.2547133762482</v>
      </c>
      <c r="BK173" s="126">
        <f t="shared" si="410"/>
        <v>1629.3971126045219</v>
      </c>
      <c r="BL173" s="126">
        <f t="shared" si="410"/>
        <v>1530.3845961236525</v>
      </c>
      <c r="BM173" s="126">
        <f t="shared" ref="BM173:BR173" si="411">+BM174*BM165</f>
        <v>1591.4012993552155</v>
      </c>
      <c r="BN173" s="63">
        <f t="shared" si="411"/>
        <v>6324.5751904121798</v>
      </c>
      <c r="BO173" s="126">
        <f t="shared" si="411"/>
        <v>1668.8030643376005</v>
      </c>
      <c r="BP173" s="126">
        <f t="shared" si="411"/>
        <v>1720.6516816278627</v>
      </c>
      <c r="BQ173" s="126">
        <f t="shared" si="411"/>
        <v>1623.0111456439256</v>
      </c>
      <c r="BR173" s="126">
        <f t="shared" si="411"/>
        <v>1549.6303919335608</v>
      </c>
      <c r="BS173" s="63">
        <f>SUM(BO173:BR173)</f>
        <v>6562.0962835429491</v>
      </c>
      <c r="BT173" s="126">
        <f>+BT174*BT165</f>
        <v>2121.4161620977357</v>
      </c>
      <c r="BU173" s="126">
        <f>+BU174*BU165</f>
        <v>2289.4983670223896</v>
      </c>
      <c r="BV173" s="126">
        <f>+BV174*BV165</f>
        <v>2397.8235445255477</v>
      </c>
      <c r="BW173" s="126">
        <f>+BW174*BW165</f>
        <v>2397.9640951606343</v>
      </c>
      <c r="BX173" s="63">
        <f>SUM(BT173:BW173)</f>
        <v>9206.7021688063069</v>
      </c>
      <c r="BY173" s="126">
        <f>+BY174*BY165</f>
        <v>2423.9757617593159</v>
      </c>
      <c r="BZ173" s="126">
        <f>+BZ174*BZ165</f>
        <v>2371.072095043015</v>
      </c>
      <c r="CA173" s="126">
        <f>+CA174*CA165</f>
        <v>2316.2964589352041</v>
      </c>
      <c r="CB173" s="126">
        <f>+CB174*CB165</f>
        <v>2540.0422984576908</v>
      </c>
      <c r="CC173" s="63">
        <f>SUM(BY173:CB173)</f>
        <v>9651.3866141952258</v>
      </c>
      <c r="CD173" s="126">
        <f>+CD174*CD165</f>
        <v>2519.0986677335468</v>
      </c>
      <c r="CE173" s="126">
        <f>+CE174*CE165</f>
        <v>2150.3100871459692</v>
      </c>
      <c r="CF173" s="126">
        <f>+CF174*CF165</f>
        <v>2136.6101972602737</v>
      </c>
      <c r="CG173" s="126">
        <f>+CG174*CG165</f>
        <v>2216.5246265383757</v>
      </c>
      <c r="CH173" s="63">
        <f>SUM(CD173:CG173)</f>
        <v>9022.5435786781654</v>
      </c>
      <c r="CI173" s="126">
        <f>+CI174*CI165</f>
        <v>2237.3960873829692</v>
      </c>
      <c r="CJ173" s="126">
        <f>+CJ174*CJ165</f>
        <v>2038.2854594594594</v>
      </c>
      <c r="CK173" s="126">
        <f>+CK174*CK165</f>
        <v>1856.5829432624116</v>
      </c>
      <c r="CL173" s="126">
        <f>+CL174*CL165</f>
        <v>2104.9695194508013</v>
      </c>
      <c r="CM173" s="63">
        <f>SUM(CI173:CL173)</f>
        <v>8237.234009555641</v>
      </c>
      <c r="CN173" s="126">
        <f ca="1">+CN181*CN202/1000000</f>
        <v>1713.4970414440882</v>
      </c>
      <c r="CO173" s="126">
        <f ca="1">+CO181*CO202/1000000</f>
        <v>1666.6054306007115</v>
      </c>
      <c r="CP173" s="126">
        <f ca="1">+CP181*CP202/1000000</f>
        <v>1584.1657855376986</v>
      </c>
      <c r="CQ173" s="126">
        <f ca="1">+CQ181*CQ202/1000000</f>
        <v>1806.208770103937</v>
      </c>
      <c r="CR173" s="63">
        <f ca="1">SUM(CN173:CQ173)</f>
        <v>6770.4770276864356</v>
      </c>
      <c r="CS173" s="126">
        <f ca="1">+CS181*CS202/1000000</f>
        <v>1471.5084289456793</v>
      </c>
      <c r="CT173" s="126">
        <f ca="1">+CT181*CT202/1000000</f>
        <v>1477.8534452207352</v>
      </c>
      <c r="CU173" s="126">
        <f ca="1">+CU181*CU202/1000000</f>
        <v>1462.5324756348725</v>
      </c>
      <c r="CV173" s="126">
        <f ca="1">+CV181*CV202/1000000</f>
        <v>1719.8841985899353</v>
      </c>
      <c r="CW173" s="63">
        <f ca="1">SUM(CS173:CV173)</f>
        <v>6131.7785483912221</v>
      </c>
      <c r="CX173" s="126">
        <f ca="1">+CX181*CX202/1000000</f>
        <v>1445.4466871477246</v>
      </c>
      <c r="CY173" s="126">
        <f ca="1">+CY181*CY202/1000000</f>
        <v>1451.4597668672793</v>
      </c>
      <c r="CZ173" s="126">
        <f ca="1">+CZ181*CZ202/1000000</f>
        <v>1442.5863489867897</v>
      </c>
      <c r="DA173" s="126">
        <f ca="1">+DA181*DA202/1000000</f>
        <v>1691.8752366258184</v>
      </c>
      <c r="DB173" s="63">
        <f ca="1">SUM(CX173:DA173)</f>
        <v>6031.3680396276122</v>
      </c>
      <c r="DC173" s="16"/>
      <c r="DD173" s="16"/>
      <c r="DE173" s="16"/>
      <c r="DF173" s="16"/>
      <c r="DG173" s="16"/>
      <c r="DH173" s="16"/>
      <c r="DI173" s="16"/>
      <c r="DJ173" s="16"/>
    </row>
    <row r="174" spans="1:114" s="725" customFormat="1" ht="11.25" customHeight="1">
      <c r="A174" s="85"/>
      <c r="B174" s="130" t="s">
        <v>379</v>
      </c>
      <c r="C174" s="442"/>
      <c r="D174" s="415"/>
      <c r="E174" s="131">
        <v>0.52800000000000002</v>
      </c>
      <c r="F174" s="132">
        <v>0.51300000000000001</v>
      </c>
      <c r="G174" s="133">
        <f t="shared" ref="G174:AL174" si="412">G263</f>
        <v>0.52</v>
      </c>
      <c r="H174" s="133">
        <f t="shared" si="412"/>
        <v>0.49</v>
      </c>
      <c r="I174" s="133">
        <f t="shared" si="412"/>
        <v>0.505</v>
      </c>
      <c r="J174" s="133">
        <f t="shared" si="412"/>
        <v>0.52500000000000002</v>
      </c>
      <c r="K174" s="129">
        <f t="shared" si="412"/>
        <v>0.51</v>
      </c>
      <c r="L174" s="133">
        <f t="shared" si="412"/>
        <v>0.52800000000000002</v>
      </c>
      <c r="M174" s="133">
        <f t="shared" si="412"/>
        <v>0.50700000000000001</v>
      </c>
      <c r="N174" s="133">
        <f t="shared" si="412"/>
        <v>0.52200000000000002</v>
      </c>
      <c r="O174" s="133">
        <f t="shared" si="412"/>
        <v>0.53200000000000003</v>
      </c>
      <c r="P174" s="129">
        <f t="shared" si="412"/>
        <v>0.52300000000000002</v>
      </c>
      <c r="Q174" s="133">
        <f t="shared" si="412"/>
        <v>0.53100000000000003</v>
      </c>
      <c r="R174" s="133">
        <f t="shared" si="412"/>
        <v>0.502</v>
      </c>
      <c r="S174" s="133">
        <f t="shared" si="412"/>
        <v>0.50800000000000001</v>
      </c>
      <c r="T174" s="133">
        <f t="shared" si="412"/>
        <v>0.51900000000000002</v>
      </c>
      <c r="U174" s="129">
        <f t="shared" si="412"/>
        <v>0.51500000000000001</v>
      </c>
      <c r="V174" s="133">
        <f t="shared" si="412"/>
        <v>0.51800000000000002</v>
      </c>
      <c r="W174" s="133">
        <f t="shared" si="412"/>
        <v>0.498</v>
      </c>
      <c r="X174" s="133">
        <f t="shared" si="412"/>
        <v>0.49</v>
      </c>
      <c r="Y174" s="133">
        <f t="shared" si="412"/>
        <v>0.51400000000000001</v>
      </c>
      <c r="Z174" s="129">
        <f t="shared" si="412"/>
        <v>0.505</v>
      </c>
      <c r="AA174" s="133">
        <f t="shared" si="412"/>
        <v>0.52</v>
      </c>
      <c r="AB174" s="133">
        <f t="shared" si="412"/>
        <v>0.51</v>
      </c>
      <c r="AC174" s="133">
        <f t="shared" si="412"/>
        <v>0.5</v>
      </c>
      <c r="AD174" s="133">
        <f t="shared" si="412"/>
        <v>0.51500000000000001</v>
      </c>
      <c r="AE174" s="129">
        <f t="shared" si="412"/>
        <v>0.51100000000000001</v>
      </c>
      <c r="AF174" s="133">
        <f t="shared" si="412"/>
        <v>0.50900000000000001</v>
      </c>
      <c r="AG174" s="133">
        <f t="shared" si="412"/>
        <v>0.5</v>
      </c>
      <c r="AH174" s="133">
        <f t="shared" si="412"/>
        <v>0.496</v>
      </c>
      <c r="AI174" s="133">
        <f t="shared" si="412"/>
        <v>0.505</v>
      </c>
      <c r="AJ174" s="129">
        <f t="shared" si="412"/>
        <v>0.502</v>
      </c>
      <c r="AK174" s="133">
        <f t="shared" si="412"/>
        <v>0.505</v>
      </c>
      <c r="AL174" s="133">
        <f t="shared" si="412"/>
        <v>0.48199999999999998</v>
      </c>
      <c r="AM174" s="133">
        <f t="shared" ref="AM174:BR174" si="413">AM263</f>
        <v>0.496</v>
      </c>
      <c r="AN174" s="133">
        <f t="shared" si="413"/>
        <v>0.497</v>
      </c>
      <c r="AO174" s="129">
        <f t="shared" si="413"/>
        <v>0.495</v>
      </c>
      <c r="AP174" s="133">
        <f t="shared" si="413"/>
        <v>0.51100000000000001</v>
      </c>
      <c r="AQ174" s="133">
        <f t="shared" si="413"/>
        <v>0.498</v>
      </c>
      <c r="AR174" s="133">
        <f t="shared" si="413"/>
        <v>0.49399999999999999</v>
      </c>
      <c r="AS174" s="133">
        <f t="shared" si="413"/>
        <v>0.504</v>
      </c>
      <c r="AT174" s="129">
        <f t="shared" si="413"/>
        <v>0.502</v>
      </c>
      <c r="AU174" s="133">
        <f t="shared" si="413"/>
        <v>0.51700000000000002</v>
      </c>
      <c r="AV174" s="133">
        <f t="shared" si="413"/>
        <v>0.48899999999999999</v>
      </c>
      <c r="AW174" s="133">
        <f t="shared" si="413"/>
        <v>0.49299999999999999</v>
      </c>
      <c r="AX174" s="133">
        <f t="shared" si="413"/>
        <v>0.502</v>
      </c>
      <c r="AY174" s="129">
        <f t="shared" si="413"/>
        <v>0.497</v>
      </c>
      <c r="AZ174" s="133">
        <f t="shared" si="413"/>
        <v>0.50800000000000001</v>
      </c>
      <c r="BA174" s="133">
        <f t="shared" si="413"/>
        <v>0.49099999999999999</v>
      </c>
      <c r="BB174" s="133">
        <f t="shared" si="413"/>
        <v>0.48199999999999998</v>
      </c>
      <c r="BC174" s="133">
        <f t="shared" si="413"/>
        <v>0.49</v>
      </c>
      <c r="BD174" s="129">
        <f t="shared" si="413"/>
        <v>0.49299999999999999</v>
      </c>
      <c r="BE174" s="133">
        <f t="shared" si="413"/>
        <v>0.48699999999999999</v>
      </c>
      <c r="BF174" s="133">
        <f t="shared" si="413"/>
        <v>0.46</v>
      </c>
      <c r="BG174" s="133">
        <f t="shared" si="413"/>
        <v>0.432</v>
      </c>
      <c r="BH174" s="133">
        <f t="shared" si="413"/>
        <v>0.442</v>
      </c>
      <c r="BI174" s="129">
        <f t="shared" si="413"/>
        <v>0.45700000000000002</v>
      </c>
      <c r="BJ174" s="133">
        <f t="shared" si="413"/>
        <v>0.44600000000000001</v>
      </c>
      <c r="BK174" s="133">
        <f t="shared" si="413"/>
        <v>0.45200000000000001</v>
      </c>
      <c r="BL174" s="133">
        <f t="shared" si="413"/>
        <v>0.434</v>
      </c>
      <c r="BM174" s="133">
        <f t="shared" si="413"/>
        <v>0.437</v>
      </c>
      <c r="BN174" s="129">
        <f t="shared" si="413"/>
        <v>0.442</v>
      </c>
      <c r="BO174" s="133">
        <f t="shared" si="413"/>
        <v>0.44600000000000001</v>
      </c>
      <c r="BP174" s="133">
        <f t="shared" si="413"/>
        <v>0.46</v>
      </c>
      <c r="BQ174" s="133">
        <f t="shared" si="413"/>
        <v>0.43099999999999999</v>
      </c>
      <c r="BR174" s="133">
        <f t="shared" si="413"/>
        <v>0.41399999999999998</v>
      </c>
      <c r="BS174" s="129">
        <f t="shared" ref="BS174:CC174" si="414">BS173/BS165</f>
        <v>0.43773532600464543</v>
      </c>
      <c r="BT174" s="133">
        <f>BT263</f>
        <v>0.44800000000000001</v>
      </c>
      <c r="BU174" s="133">
        <f>BU263</f>
        <v>0.42799999999999999</v>
      </c>
      <c r="BV174" s="133">
        <f>BV263</f>
        <v>0.442</v>
      </c>
      <c r="BW174" s="133">
        <f>BW263</f>
        <v>0.436</v>
      </c>
      <c r="BX174" s="129">
        <f t="shared" si="414"/>
        <v>0.43821704569145548</v>
      </c>
      <c r="BY174" s="133">
        <f>BY263</f>
        <v>0.441</v>
      </c>
      <c r="BZ174" s="133">
        <f>BZ263</f>
        <v>0.42399999999999999</v>
      </c>
      <c r="CA174" s="133">
        <f>CA263</f>
        <v>0.41699999999999998</v>
      </c>
      <c r="CB174" s="133">
        <f>CB263</f>
        <v>0.42899999999999999</v>
      </c>
      <c r="CC174" s="129">
        <f t="shared" si="414"/>
        <v>0.42772992457705616</v>
      </c>
      <c r="CD174" s="133">
        <f>CD263</f>
        <v>0.44</v>
      </c>
      <c r="CE174" s="133">
        <f>CE263</f>
        <v>0.43</v>
      </c>
      <c r="CF174" s="133">
        <f>CF263</f>
        <v>0.42599999999999999</v>
      </c>
      <c r="CG174" s="133">
        <f>CG263</f>
        <v>0.437</v>
      </c>
      <c r="CH174" s="129">
        <f t="shared" ref="CH174" si="415">CH173/CH165</f>
        <v>0.43349267510131162</v>
      </c>
      <c r="CI174" s="133">
        <f>CI263</f>
        <v>0.439</v>
      </c>
      <c r="CJ174" s="133">
        <f>CJ263</f>
        <v>0.432</v>
      </c>
      <c r="CK174" s="133">
        <f>CK263</f>
        <v>0.43</v>
      </c>
      <c r="CL174" s="133">
        <f>CL263</f>
        <v>0.434</v>
      </c>
      <c r="CM174" s="129">
        <f t="shared" ref="CM174:CR174" si="416">CM173/CM165</f>
        <v>0.43393551077537895</v>
      </c>
      <c r="CN174" s="133">
        <f ca="1">CN173/CN165</f>
        <v>0.38409164020525416</v>
      </c>
      <c r="CO174" s="133">
        <f ca="1">CO173/CO165</f>
        <v>0.39297624689380761</v>
      </c>
      <c r="CP174" s="133">
        <f ca="1">CP173/CP165</f>
        <v>0.40100720893739661</v>
      </c>
      <c r="CQ174" s="133">
        <f ca="1">CQ173/CQ165</f>
        <v>0.40653235238276703</v>
      </c>
      <c r="CR174" s="129">
        <f t="shared" ca="1" si="416"/>
        <v>0.39603666514446129</v>
      </c>
      <c r="CS174" s="133">
        <f ca="1">CS173/CS165</f>
        <v>0.36050521583007195</v>
      </c>
      <c r="CT174" s="133">
        <f ca="1">CT173/CT165</f>
        <v>0.37666599012183044</v>
      </c>
      <c r="CU174" s="133">
        <f ca="1">CU173/CU165</f>
        <v>0.3941584949415719</v>
      </c>
      <c r="CV174" s="133">
        <f ca="1">CV173/CV165</f>
        <v>0.40709225627396378</v>
      </c>
      <c r="CW174" s="129">
        <f t="shared" ref="CW174" ca="1" si="417">CW173/CW165</f>
        <v>0.38466355781081396</v>
      </c>
      <c r="CX174" s="133">
        <f ca="1">CX173/CX165</f>
        <v>0.35870452261940727</v>
      </c>
      <c r="CY174" s="133">
        <f ca="1">CY173/CY165</f>
        <v>0.37479644531151135</v>
      </c>
      <c r="CZ174" s="133">
        <f ca="1">CZ173/CZ165</f>
        <v>0.39327968329220525</v>
      </c>
      <c r="DA174" s="133">
        <f ca="1">DA173/DA165</f>
        <v>0.40555587149444322</v>
      </c>
      <c r="DB174" s="129">
        <f t="shared" ref="DB174" ca="1" si="418">DB173/DB165</f>
        <v>0.38313548128559466</v>
      </c>
      <c r="DC174" s="85"/>
      <c r="DD174" s="85"/>
      <c r="DE174" s="85"/>
      <c r="DF174" s="85"/>
      <c r="DG174" s="85"/>
      <c r="DH174" s="85"/>
      <c r="DI174" s="85"/>
      <c r="DJ174" s="85"/>
    </row>
    <row r="175" spans="1:114" s="725" customFormat="1" ht="11.25" customHeight="1">
      <c r="A175" s="32"/>
      <c r="B175" s="134" t="s">
        <v>250</v>
      </c>
      <c r="C175" s="32"/>
      <c r="D175" s="416"/>
      <c r="E175" s="135"/>
      <c r="F175" s="136"/>
      <c r="G175" s="137"/>
      <c r="H175" s="137"/>
      <c r="I175" s="137"/>
      <c r="J175" s="137"/>
      <c r="K175" s="138">
        <f t="shared" ref="K175:AP175" si="419">K173/F149-1</f>
        <v>9.7976001513270017E-2</v>
      </c>
      <c r="L175" s="137">
        <f t="shared" si="419"/>
        <v>0.10098146041142941</v>
      </c>
      <c r="M175" s="137">
        <f t="shared" si="419"/>
        <v>0.10366676606444125</v>
      </c>
      <c r="N175" s="137">
        <f t="shared" si="419"/>
        <v>0.13528568188721346</v>
      </c>
      <c r="O175" s="137">
        <f t="shared" si="419"/>
        <v>0.10516595306202015</v>
      </c>
      <c r="P175" s="138">
        <f t="shared" si="419"/>
        <v>0.11166341159835835</v>
      </c>
      <c r="Q175" s="137">
        <f t="shared" si="419"/>
        <v>8.8139135455514994E-2</v>
      </c>
      <c r="R175" s="137">
        <f t="shared" si="419"/>
        <v>5.149359470936643E-2</v>
      </c>
      <c r="S175" s="137">
        <f t="shared" si="419"/>
        <v>5.1532161967044798E-2</v>
      </c>
      <c r="T175" s="137">
        <f t="shared" si="419"/>
        <v>6.1750521536434011E-2</v>
      </c>
      <c r="U175" s="138">
        <f t="shared" si="419"/>
        <v>6.308407740358124E-2</v>
      </c>
      <c r="V175" s="137">
        <f t="shared" si="419"/>
        <v>4.8955805998825541E-2</v>
      </c>
      <c r="W175" s="137">
        <f t="shared" si="419"/>
        <v>5.6485200197213592E-2</v>
      </c>
      <c r="X175" s="137">
        <f t="shared" si="419"/>
        <v>1.5346157602054822E-2</v>
      </c>
      <c r="Y175" s="137">
        <f t="shared" si="419"/>
        <v>3.5072797216344709E-2</v>
      </c>
      <c r="Z175" s="138">
        <f t="shared" si="419"/>
        <v>3.1396469457607878E-2</v>
      </c>
      <c r="AA175" s="137">
        <f t="shared" si="419"/>
        <v>4.9349404751441339E-2</v>
      </c>
      <c r="AB175" s="137">
        <f t="shared" si="419"/>
        <v>4.6807292470455231E-2</v>
      </c>
      <c r="AC175" s="137">
        <f t="shared" si="419"/>
        <v>5.2313660426613451E-2</v>
      </c>
      <c r="AD175" s="137">
        <f t="shared" si="419"/>
        <v>6.8011492263799544E-2</v>
      </c>
      <c r="AE175" s="138">
        <f t="shared" si="419"/>
        <v>5.2076175943650549E-2</v>
      </c>
      <c r="AF175" s="137">
        <f t="shared" si="419"/>
        <v>4.0736453793678074E-2</v>
      </c>
      <c r="AG175" s="137">
        <f t="shared" si="419"/>
        <v>6.8536299219163821E-2</v>
      </c>
      <c r="AH175" s="137">
        <f t="shared" si="419"/>
        <v>6.6342550647025877E-2</v>
      </c>
      <c r="AI175" s="137">
        <f t="shared" si="419"/>
        <v>4.2851143264354574E-2</v>
      </c>
      <c r="AJ175" s="138">
        <f t="shared" si="419"/>
        <v>5.330843146446651E-2</v>
      </c>
      <c r="AK175" s="137">
        <f t="shared" si="419"/>
        <v>4.3619515942104004E-2</v>
      </c>
      <c r="AL175" s="137">
        <f t="shared" si="419"/>
        <v>5.5180374825143375E-3</v>
      </c>
      <c r="AM175" s="137">
        <f t="shared" si="419"/>
        <v>0.90920695534274265</v>
      </c>
      <c r="AN175" s="137">
        <f t="shared" si="419"/>
        <v>1.0784006163252564</v>
      </c>
      <c r="AO175" s="138">
        <f t="shared" si="419"/>
        <v>0.4876151873807224</v>
      </c>
      <c r="AP175" s="137">
        <f t="shared" si="419"/>
        <v>1.2225299818484228</v>
      </c>
      <c r="AQ175" s="137">
        <f t="shared" ref="AQ175:BV175" si="420">AQ173/AL149-1</f>
        <v>1.2031259468143438</v>
      </c>
      <c r="AR175" s="137">
        <f t="shared" si="420"/>
        <v>0.176553816725179</v>
      </c>
      <c r="AS175" s="137">
        <f t="shared" si="420"/>
        <v>7.6847414414088488E-2</v>
      </c>
      <c r="AT175" s="138">
        <f t="shared" si="420"/>
        <v>0.4733126037684563</v>
      </c>
      <c r="AU175" s="137">
        <f t="shared" si="420"/>
        <v>4.2584224748261512E-2</v>
      </c>
      <c r="AV175" s="137">
        <f t="shared" si="420"/>
        <v>4.0394853031392453E-2</v>
      </c>
      <c r="AW175" s="137">
        <f t="shared" si="420"/>
        <v>4.2291234344603357E-2</v>
      </c>
      <c r="AX175" s="137">
        <f t="shared" si="420"/>
        <v>6.9916317663322847E-2</v>
      </c>
      <c r="AY175" s="138">
        <f t="shared" si="420"/>
        <v>4.4114407006277112E-2</v>
      </c>
      <c r="AZ175" s="137">
        <f t="shared" si="420"/>
        <v>2.0187300520969398E-2</v>
      </c>
      <c r="BA175" s="137">
        <f t="shared" si="420"/>
        <v>2.6206948682884201E-2</v>
      </c>
      <c r="BB175" s="137">
        <f t="shared" si="420"/>
        <v>6.9385362866971612E-3</v>
      </c>
      <c r="BC175" s="137">
        <f t="shared" si="420"/>
        <v>1.9693109862095826E-2</v>
      </c>
      <c r="BD175" s="138">
        <f t="shared" si="420"/>
        <v>1.9165241953540857E-2</v>
      </c>
      <c r="BE175" s="137">
        <f t="shared" si="420"/>
        <v>2.7202062824833728E-3</v>
      </c>
      <c r="BF175" s="137">
        <f t="shared" si="420"/>
        <v>-2.9428039169836828E-2</v>
      </c>
      <c r="BG175" s="137">
        <f t="shared" si="420"/>
        <v>-8.6939065495973855E-2</v>
      </c>
      <c r="BH175" s="137">
        <f t="shared" si="420"/>
        <v>-0.10794325858172793</v>
      </c>
      <c r="BI175" s="138">
        <f t="shared" si="420"/>
        <v>7.6898762537287002E-2</v>
      </c>
      <c r="BJ175" s="137">
        <f t="shared" si="420"/>
        <v>-5.4753628224240458E-2</v>
      </c>
      <c r="BK175" s="137">
        <f t="shared" si="420"/>
        <v>2.2657711901029387E-2</v>
      </c>
      <c r="BL175" s="137">
        <f t="shared" si="420"/>
        <v>1.2266242541308925E-2</v>
      </c>
      <c r="BM175" s="137">
        <f t="shared" si="420"/>
        <v>3.8828802201025026E-2</v>
      </c>
      <c r="BN175" s="140">
        <f t="shared" si="420"/>
        <v>2.9976537816183146E-3</v>
      </c>
      <c r="BO175" s="137">
        <f t="shared" si="420"/>
        <v>-4.3221389133684451E-2</v>
      </c>
      <c r="BP175" s="137">
        <f t="shared" si="420"/>
        <v>9.402035094165484E-3</v>
      </c>
      <c r="BQ175" s="137">
        <f t="shared" si="420"/>
        <v>6.9905321650218788E-3</v>
      </c>
      <c r="BR175" s="137">
        <f t="shared" si="420"/>
        <v>-5.5570636778177862E-2</v>
      </c>
      <c r="BS175" s="140">
        <f t="shared" si="420"/>
        <v>-2.0782815082661665E-2</v>
      </c>
      <c r="BT175" s="137">
        <f t="shared" si="420"/>
        <v>0.25423112609128307</v>
      </c>
      <c r="BU175" s="137">
        <f t="shared" si="420"/>
        <v>0.39183000678052227</v>
      </c>
      <c r="BV175" s="137">
        <f t="shared" si="420"/>
        <v>0.4770079237860263</v>
      </c>
      <c r="BW175" s="137">
        <f t="shared" ref="BW175:BX175" si="421">BW173/BR149-1</f>
        <v>0.54736323631326389</v>
      </c>
      <c r="BX175" s="140">
        <f t="shared" si="421"/>
        <v>0.41434726467777594</v>
      </c>
      <c r="BY175" s="137">
        <f t="shared" ref="BY175:CW175" si="422">BY173/BT173-1</f>
        <v>0.14262152097606262</v>
      </c>
      <c r="BZ175" s="137">
        <f t="shared" si="422"/>
        <v>3.5629520071122078E-2</v>
      </c>
      <c r="CA175" s="137">
        <f t="shared" si="422"/>
        <v>-3.4000452525573599E-2</v>
      </c>
      <c r="CB175" s="137">
        <f t="shared" si="422"/>
        <v>5.9249512360834089E-2</v>
      </c>
      <c r="CC175" s="140">
        <f t="shared" si="422"/>
        <v>4.8300079359097525E-2</v>
      </c>
      <c r="CD175" s="137">
        <f t="shared" si="422"/>
        <v>3.9242515323334226E-2</v>
      </c>
      <c r="CE175" s="137">
        <f t="shared" si="422"/>
        <v>-9.3106408851326372E-2</v>
      </c>
      <c r="CF175" s="137">
        <f t="shared" si="422"/>
        <v>-7.7574811713666314E-2</v>
      </c>
      <c r="CG175" s="137">
        <f t="shared" si="422"/>
        <v>-0.12736704113776154</v>
      </c>
      <c r="CH175" s="140">
        <f t="shared" si="422"/>
        <v>-6.515571913699536E-2</v>
      </c>
      <c r="CI175" s="137">
        <f t="shared" si="422"/>
        <v>-0.1118267354744098</v>
      </c>
      <c r="CJ175" s="139">
        <f t="shared" si="422"/>
        <v>-5.209696422677168E-2</v>
      </c>
      <c r="CK175" s="139">
        <f t="shared" si="422"/>
        <v>-0.13106146098007709</v>
      </c>
      <c r="CL175" s="139">
        <f t="shared" si="422"/>
        <v>-5.0328837203940324E-2</v>
      </c>
      <c r="CM175" s="140">
        <f t="shared" si="422"/>
        <v>-8.7038600841823244E-2</v>
      </c>
      <c r="CN175" s="139">
        <f t="shared" ca="1" si="422"/>
        <v>-0.23415569951750193</v>
      </c>
      <c r="CO175" s="139">
        <f t="shared" ca="1" si="422"/>
        <v>-0.18234935010394226</v>
      </c>
      <c r="CP175" s="139">
        <f t="shared" ca="1" si="422"/>
        <v>-0.14673039990662529</v>
      </c>
      <c r="CQ175" s="139">
        <f t="shared" ca="1" si="422"/>
        <v>-0.14193115225003949</v>
      </c>
      <c r="CR175" s="140">
        <f t="shared" ca="1" si="422"/>
        <v>-0.17806426042621681</v>
      </c>
      <c r="CS175" s="139">
        <f t="shared" ca="1" si="422"/>
        <v>-0.1412249958100118</v>
      </c>
      <c r="CT175" s="139">
        <f t="shared" ca="1" si="422"/>
        <v>-0.11325535241532392</v>
      </c>
      <c r="CU175" s="139">
        <f t="shared" ca="1" si="422"/>
        <v>-7.6780669683218283E-2</v>
      </c>
      <c r="CV175" s="139">
        <f t="shared" ca="1" si="422"/>
        <v>-4.7793241259167507E-2</v>
      </c>
      <c r="CW175" s="140">
        <f t="shared" ca="1" si="422"/>
        <v>-9.4335816617262092E-2</v>
      </c>
      <c r="CX175" s="139">
        <f t="shared" ref="CX175" ca="1" si="423">CX173/CS173-1</f>
        <v>-1.7710902149998375E-2</v>
      </c>
      <c r="CY175" s="139">
        <f t="shared" ref="CY175" ca="1" si="424">CY173/CT173-1</f>
        <v>-1.7859469380276494E-2</v>
      </c>
      <c r="CZ175" s="139">
        <f t="shared" ref="CZ175" ca="1" si="425">CZ173/CU173-1</f>
        <v>-1.3638074354160423E-2</v>
      </c>
      <c r="DA175" s="139">
        <f t="shared" ref="DA175" ca="1" si="426">DA173/CV173-1</f>
        <v>-1.628537664749774E-2</v>
      </c>
      <c r="DB175" s="140">
        <f t="shared" ref="DB175" ca="1" si="427">DB173/CW173-1</f>
        <v>-1.637542973399686E-2</v>
      </c>
      <c r="DC175" s="16"/>
      <c r="DD175" s="16"/>
      <c r="DE175" s="16"/>
      <c r="DF175" s="16"/>
      <c r="DG175" s="16"/>
      <c r="DH175" s="16"/>
      <c r="DI175" s="16"/>
      <c r="DJ175" s="16"/>
    </row>
    <row r="176" spans="1:114" s="725" customFormat="1" ht="11.25" customHeight="1">
      <c r="A176" s="16"/>
      <c r="B176" s="14" t="s">
        <v>280</v>
      </c>
      <c r="C176" s="37"/>
      <c r="D176" s="106"/>
      <c r="E176" s="83">
        <f t="shared" ref="E176:J176" si="428">+E177*E165</f>
        <v>417.60981600000002</v>
      </c>
      <c r="F176" s="127">
        <f t="shared" si="428"/>
        <v>549.02874999999995</v>
      </c>
      <c r="G176" s="126">
        <f t="shared" si="428"/>
        <v>158.40474999999998</v>
      </c>
      <c r="H176" s="126">
        <f t="shared" si="428"/>
        <v>175.22634499999998</v>
      </c>
      <c r="I176" s="126">
        <f t="shared" si="428"/>
        <v>183.47452999999999</v>
      </c>
      <c r="J176" s="126">
        <f t="shared" si="428"/>
        <v>186.22222400000001</v>
      </c>
      <c r="K176" s="127">
        <f>SUM(G176:J176)</f>
        <v>703.3278489999999</v>
      </c>
      <c r="L176" s="126">
        <f>+L177*L165</f>
        <v>201.620034</v>
      </c>
      <c r="M176" s="126">
        <f>+M177*M165</f>
        <v>209.07621</v>
      </c>
      <c r="N176" s="126">
        <f>+N177*N165</f>
        <v>215.355649</v>
      </c>
      <c r="O176" s="126">
        <f>+O177*O165</f>
        <v>240.71423899999999</v>
      </c>
      <c r="P176" s="127">
        <f>SUM(L176:O176)</f>
        <v>866.76613199999997</v>
      </c>
      <c r="Q176" s="126">
        <f>+Q177*Q165</f>
        <v>264.38645400000001</v>
      </c>
      <c r="R176" s="126">
        <f>+R177*R165</f>
        <v>278.66838999999999</v>
      </c>
      <c r="S176" s="126">
        <f>+S177*S165</f>
        <v>286.72847999999999</v>
      </c>
      <c r="T176" s="126">
        <f>+T177*T165</f>
        <v>299.02152000000001</v>
      </c>
      <c r="U176" s="127">
        <f>SUM(Q176:T176)</f>
        <v>1128.804844</v>
      </c>
      <c r="V176" s="126">
        <f>+V177*V165</f>
        <v>332.47785199999998</v>
      </c>
      <c r="W176" s="126">
        <f>+W177*W165</f>
        <v>343.69901800000002</v>
      </c>
      <c r="X176" s="126">
        <f>+X177*X165</f>
        <v>375.29590400000001</v>
      </c>
      <c r="Y176" s="126">
        <f>+Y177*Y165</f>
        <v>389.99654099999998</v>
      </c>
      <c r="Z176" s="127">
        <f>SUM(V176:Y176)</f>
        <v>1441.4693150000001</v>
      </c>
      <c r="AA176" s="126">
        <f>+AA177*AA165</f>
        <v>400.13120999999995</v>
      </c>
      <c r="AB176" s="126">
        <f>+AB177*AB165</f>
        <v>404.03232000000003</v>
      </c>
      <c r="AC176" s="126">
        <f>+AC177*AC165</f>
        <v>428.20633799999996</v>
      </c>
      <c r="AD176" s="126">
        <f>+AD177*AD165</f>
        <v>434.35731899999996</v>
      </c>
      <c r="AE176" s="127">
        <f>SUM(AA176:AD176)</f>
        <v>1666.727187</v>
      </c>
      <c r="AF176" s="126">
        <f>+AF177*AF165</f>
        <v>463.67720799999995</v>
      </c>
      <c r="AG176" s="126">
        <f>+AG177*AG165</f>
        <v>481.90451899999999</v>
      </c>
      <c r="AH176" s="126">
        <f>+AH177*AH165</f>
        <v>493.42975199999995</v>
      </c>
      <c r="AI176" s="126">
        <f>+AI177*AI165</f>
        <v>503.59926499999995</v>
      </c>
      <c r="AJ176" s="127">
        <f>SUM(AF176:AI176)</f>
        <v>1942.6107440000001</v>
      </c>
      <c r="AK176" s="126">
        <f>+AK177*AK165</f>
        <v>522.63578399999994</v>
      </c>
      <c r="AL176" s="126">
        <f>+AL177*AL165</f>
        <v>556.674125</v>
      </c>
      <c r="AM176" s="126">
        <f>+AM177*AM165</f>
        <v>1027.6182159999998</v>
      </c>
      <c r="AN176" s="126">
        <f>+AN177*AN165</f>
        <v>1158.2322359999998</v>
      </c>
      <c r="AO176" s="127">
        <f>SUM(AK176:AN176)</f>
        <v>3265.1603609999997</v>
      </c>
      <c r="AP176" s="126">
        <f>+AP177*AP165</f>
        <v>1224.6180320000001</v>
      </c>
      <c r="AQ176" s="126">
        <f>+AQ177*AQ165</f>
        <v>1273.202597</v>
      </c>
      <c r="AR176" s="126">
        <f>+AR177*AR165</f>
        <v>1333.9276649999999</v>
      </c>
      <c r="AS176" s="126">
        <f>+AS177*AS165</f>
        <v>1275.5075399999998</v>
      </c>
      <c r="AT176" s="127">
        <f>SUM(AP176:AS176)</f>
        <v>5107.2558339999996</v>
      </c>
      <c r="AU176" s="126">
        <f>+AU177*AU165</f>
        <v>1354.912566</v>
      </c>
      <c r="AV176" s="126">
        <f>+AV177*AV165</f>
        <v>1388.3430089999999</v>
      </c>
      <c r="AW176" s="126">
        <f>+AW177*AW165</f>
        <v>1404.5551499999999</v>
      </c>
      <c r="AX176" s="126">
        <f>+AX177*AX165</f>
        <v>1420.404468</v>
      </c>
      <c r="AY176" s="127">
        <f>SUM(AU176:AX176)</f>
        <v>5568.215193</v>
      </c>
      <c r="AZ176" s="126">
        <f>+AZ177*AZ165</f>
        <v>1422.6474929999999</v>
      </c>
      <c r="BA176" s="126">
        <f>+BA177*BA165</f>
        <v>1523.2071270000001</v>
      </c>
      <c r="BB176" s="126">
        <f>+BB177*BB165</f>
        <v>1589.631392</v>
      </c>
      <c r="BC176" s="126">
        <f>+BC177*BC165</f>
        <v>1578.8919859999999</v>
      </c>
      <c r="BD176" s="127">
        <f>SUM(AZ176:BC176)</f>
        <v>6114.3779979999999</v>
      </c>
      <c r="BE176" s="126">
        <f>+BE177*BE165</f>
        <v>1616.9388119999999</v>
      </c>
      <c r="BF176" s="126">
        <f>+BF177*BF165</f>
        <v>1691.086245</v>
      </c>
      <c r="BG176" s="126">
        <f>+BG177*BG165</f>
        <v>1767.1810310000001</v>
      </c>
      <c r="BH176" s="126">
        <f>+BH177*BH165</f>
        <v>1799.6491740000001</v>
      </c>
      <c r="BI176" s="127">
        <f>SUM(BE176:BH176)</f>
        <v>6874.855262</v>
      </c>
      <c r="BJ176" s="126">
        <f>+BJ177*BJ165</f>
        <v>1888.4619213966739</v>
      </c>
      <c r="BK176" s="126">
        <f>+BK177*BK165</f>
        <v>1914.1811212234538</v>
      </c>
      <c r="BL176" s="126">
        <f>+BL177*BL165</f>
        <v>1932.3750199902343</v>
      </c>
      <c r="BM176" s="126">
        <f>+BM177*BM165</f>
        <v>1984.6995609807609</v>
      </c>
      <c r="BN176" s="127">
        <f>SUM(BJ176:BM176)</f>
        <v>7719.7176235911229</v>
      </c>
      <c r="BO176" s="126">
        <f>+BO177*BO165</f>
        <v>2001.8153350238033</v>
      </c>
      <c r="BP176" s="126">
        <f>+BP177*BP165</f>
        <v>2038.5981880156198</v>
      </c>
      <c r="BQ176" s="126">
        <f>+BQ177*BQ165</f>
        <v>2074.8935991874782</v>
      </c>
      <c r="BR176" s="126">
        <f>+BR177*BR165</f>
        <v>2122.3198846046594</v>
      </c>
      <c r="BS176" s="127">
        <f>SUM(BO176:BR176)</f>
        <v>8237.6270068315607</v>
      </c>
      <c r="BT176" s="126">
        <f>+BT177*BT165</f>
        <v>2613.8877711561386</v>
      </c>
      <c r="BU176" s="126">
        <f>+BU177*BU165</f>
        <v>3059.7968830299224</v>
      </c>
      <c r="BV176" s="126">
        <f>+BV177*BV165</f>
        <v>3027.1166014598543</v>
      </c>
      <c r="BW176" s="126">
        <f>+BW177*BW165</f>
        <v>3101.9535542903618</v>
      </c>
      <c r="BX176" s="127">
        <f>SUM(BT176:BW176)</f>
        <v>11802.754809936278</v>
      </c>
      <c r="BY176" s="126">
        <f>+BY177*BY165</f>
        <v>3072.5679156994506</v>
      </c>
      <c r="BZ176" s="126">
        <f>+BZ177*BZ165</f>
        <v>3221.0790725112652</v>
      </c>
      <c r="CA176" s="126">
        <f>+CA177*CA165</f>
        <v>3238.3713082955014</v>
      </c>
      <c r="CB176" s="126">
        <f>+CB177*CB165</f>
        <v>3380.8022200917048</v>
      </c>
      <c r="CC176" s="127">
        <f>SUM(BY176:CB176)</f>
        <v>12912.820516597923</v>
      </c>
      <c r="CD176" s="126">
        <f>+CD177*CD165</f>
        <v>3206.1255771154233</v>
      </c>
      <c r="CE176" s="126">
        <f>+CE177*CE165</f>
        <v>2850.4110457516335</v>
      </c>
      <c r="CF176" s="126">
        <f>+CF177*CF165</f>
        <v>2878.9066977168945</v>
      </c>
      <c r="CG176" s="126">
        <f>+CG177*CG165</f>
        <v>2855.6141069590512</v>
      </c>
      <c r="CH176" s="127">
        <f>SUM(CD176:CG176)</f>
        <v>11791.057427543004</v>
      </c>
      <c r="CI176" s="126">
        <f>+CI177*CI165</f>
        <v>2859.1781435577354</v>
      </c>
      <c r="CJ176" s="126">
        <f>+CJ177*CJ165</f>
        <v>2679.9679189189187</v>
      </c>
      <c r="CK176" s="126">
        <f>+CK177*CK165</f>
        <v>2461.0518085106382</v>
      </c>
      <c r="CL176" s="126">
        <f>+CL177*CL165</f>
        <v>2745.1906636155609</v>
      </c>
      <c r="CM176" s="127">
        <f>SUM(CI176:CL176)</f>
        <v>10745.388534602855</v>
      </c>
      <c r="CN176" s="126">
        <f>CI176*(1+CN178)</f>
        <v>2747.6701959589836</v>
      </c>
      <c r="CO176" s="126">
        <f>CJ176*(1+CO178)</f>
        <v>2574.3771829135135</v>
      </c>
      <c r="CP176" s="126">
        <f>CK176*(1+CP178)</f>
        <v>2366.3013138829788</v>
      </c>
      <c r="CQ176" s="126">
        <f>CL176*(1+CQ178)</f>
        <v>2636.7556324027464</v>
      </c>
      <c r="CR176" s="127">
        <f>SUM(CN176:CQ176)</f>
        <v>10325.104325158223</v>
      </c>
      <c r="CS176" s="126">
        <f>CN176*(1+CS178)</f>
        <v>2610.2866861610341</v>
      </c>
      <c r="CT176" s="126">
        <f>CO176*(1+CT178)</f>
        <v>2445.6583237678378</v>
      </c>
      <c r="CU176" s="126">
        <f>CP176*(1+CU178)</f>
        <v>2247.9862481888299</v>
      </c>
      <c r="CV176" s="126">
        <f>CQ176*(1+CV178)</f>
        <v>2504.9178507826091</v>
      </c>
      <c r="CW176" s="127">
        <f>SUM(CS176:CV176)</f>
        <v>9808.849108900311</v>
      </c>
      <c r="CX176" s="126">
        <f>CS176*(1+CX178)</f>
        <v>2584.1838192994237</v>
      </c>
      <c r="CY176" s="126">
        <f>CT176*(1+CY178)</f>
        <v>2421.2017405301594</v>
      </c>
      <c r="CZ176" s="126">
        <f>CU176*(1+CZ178)</f>
        <v>2225.5063857069417</v>
      </c>
      <c r="DA176" s="126">
        <f>CV176*(1+DA178)</f>
        <v>2479.868672274783</v>
      </c>
      <c r="DB176" s="127">
        <f>SUM(CX176:DA176)</f>
        <v>9710.7606178113074</v>
      </c>
      <c r="DC176" s="16"/>
      <c r="DD176" s="16"/>
      <c r="DE176" s="16"/>
      <c r="DF176" s="16"/>
      <c r="DG176" s="16"/>
      <c r="DH176" s="16"/>
      <c r="DI176" s="16"/>
      <c r="DJ176" s="16"/>
    </row>
    <row r="177" spans="1:114" s="725" customFormat="1" ht="11.25" customHeight="1">
      <c r="A177" s="85"/>
      <c r="B177" s="130" t="s">
        <v>379</v>
      </c>
      <c r="C177" s="442"/>
      <c r="D177" s="415"/>
      <c r="E177" s="131">
        <v>0.45600000000000002</v>
      </c>
      <c r="F177" s="132">
        <v>0.47499999999999998</v>
      </c>
      <c r="G177" s="133">
        <f t="shared" ref="G177:AL177" si="429">G264</f>
        <v>0.46899999999999997</v>
      </c>
      <c r="H177" s="133">
        <f t="shared" si="429"/>
        <v>0.499</v>
      </c>
      <c r="I177" s="133">
        <f t="shared" si="429"/>
        <v>0.48499999999999999</v>
      </c>
      <c r="J177" s="133">
        <f t="shared" si="429"/>
        <v>0.46400000000000002</v>
      </c>
      <c r="K177" s="129">
        <f t="shared" si="429"/>
        <v>0.47899999999999998</v>
      </c>
      <c r="L177" s="133">
        <f t="shared" si="429"/>
        <v>0.46200000000000002</v>
      </c>
      <c r="M177" s="133">
        <f t="shared" si="429"/>
        <v>0.48299999999999998</v>
      </c>
      <c r="N177" s="133">
        <f t="shared" si="429"/>
        <v>0.46700000000000003</v>
      </c>
      <c r="O177" s="133">
        <f t="shared" si="429"/>
        <v>0.45700000000000002</v>
      </c>
      <c r="P177" s="129">
        <f t="shared" si="429"/>
        <v>0.46700000000000003</v>
      </c>
      <c r="Q177" s="133">
        <f t="shared" si="429"/>
        <v>0.45800000000000002</v>
      </c>
      <c r="R177" s="133">
        <f t="shared" si="429"/>
        <v>0.48499999999999999</v>
      </c>
      <c r="S177" s="133">
        <f t="shared" si="429"/>
        <v>0.48</v>
      </c>
      <c r="T177" s="133">
        <f t="shared" si="429"/>
        <v>0.47</v>
      </c>
      <c r="U177" s="129">
        <f t="shared" si="429"/>
        <v>0.47299999999999998</v>
      </c>
      <c r="V177" s="133">
        <f t="shared" si="429"/>
        <v>0.46899999999999997</v>
      </c>
      <c r="W177" s="133">
        <f t="shared" si="429"/>
        <v>0.49099999999999999</v>
      </c>
      <c r="X177" s="133">
        <f t="shared" si="429"/>
        <v>0.499</v>
      </c>
      <c r="Y177" s="133">
        <f t="shared" si="429"/>
        <v>0.47299999999999998</v>
      </c>
      <c r="Z177" s="129">
        <f t="shared" si="429"/>
        <v>0.48299999999999998</v>
      </c>
      <c r="AA177" s="133">
        <f t="shared" si="429"/>
        <v>0.47</v>
      </c>
      <c r="AB177" s="133">
        <f t="shared" si="429"/>
        <v>0.48</v>
      </c>
      <c r="AC177" s="133">
        <f t="shared" si="429"/>
        <v>0.48599999999999999</v>
      </c>
      <c r="AD177" s="133">
        <f t="shared" si="429"/>
        <v>0.47299999999999998</v>
      </c>
      <c r="AE177" s="129">
        <f t="shared" si="429"/>
        <v>0.47799999999999998</v>
      </c>
      <c r="AF177" s="133">
        <f t="shared" si="429"/>
        <v>0.47799999999999998</v>
      </c>
      <c r="AG177" s="133">
        <f t="shared" si="429"/>
        <v>0.48699999999999999</v>
      </c>
      <c r="AH177" s="133">
        <f t="shared" si="429"/>
        <v>0.49199999999999999</v>
      </c>
      <c r="AI177" s="133">
        <f t="shared" si="429"/>
        <v>0.48499999999999999</v>
      </c>
      <c r="AJ177" s="129">
        <f t="shared" si="429"/>
        <v>0.48599999999999999</v>
      </c>
      <c r="AK177" s="133">
        <f t="shared" si="429"/>
        <v>0.48399999999999999</v>
      </c>
      <c r="AL177" s="133">
        <f t="shared" si="429"/>
        <v>0.505</v>
      </c>
      <c r="AM177" s="133">
        <f t="shared" ref="AM177:BR177" si="430">AM264</f>
        <v>0.48199999999999998</v>
      </c>
      <c r="AN177" s="133">
        <f t="shared" si="430"/>
        <v>0.47599999999999998</v>
      </c>
      <c r="AO177" s="129">
        <f t="shared" si="430"/>
        <v>0.48399999999999999</v>
      </c>
      <c r="AP177" s="133">
        <f t="shared" si="430"/>
        <v>0.46400000000000002</v>
      </c>
      <c r="AQ177" s="133">
        <f t="shared" si="430"/>
        <v>0.47899999999999998</v>
      </c>
      <c r="AR177" s="133">
        <f t="shared" si="430"/>
        <v>0.48299999999999998</v>
      </c>
      <c r="AS177" s="133">
        <f t="shared" si="430"/>
        <v>0.47699999999999998</v>
      </c>
      <c r="AT177" s="129">
        <f t="shared" si="430"/>
        <v>0.47499999999999998</v>
      </c>
      <c r="AU177" s="133">
        <f t="shared" si="430"/>
        <v>0.48299999999999998</v>
      </c>
      <c r="AV177" s="133">
        <f t="shared" si="430"/>
        <v>0.48699999999999999</v>
      </c>
      <c r="AW177" s="133">
        <f t="shared" si="430"/>
        <v>0.48499999999999999</v>
      </c>
      <c r="AX177" s="133">
        <f t="shared" si="430"/>
        <v>0.47599999999999998</v>
      </c>
      <c r="AY177" s="129">
        <f t="shared" si="430"/>
        <v>0.48</v>
      </c>
      <c r="AZ177" s="133">
        <f t="shared" si="430"/>
        <v>0.47099999999999997</v>
      </c>
      <c r="BA177" s="133">
        <f t="shared" si="430"/>
        <v>0.48899999999999999</v>
      </c>
      <c r="BB177" s="133">
        <f t="shared" si="430"/>
        <v>0.496</v>
      </c>
      <c r="BC177" s="133">
        <f t="shared" si="430"/>
        <v>0.48699999999999999</v>
      </c>
      <c r="BD177" s="129">
        <f t="shared" si="430"/>
        <v>0.48599999999999999</v>
      </c>
      <c r="BE177" s="133">
        <f t="shared" si="430"/>
        <v>0.49199999999999999</v>
      </c>
      <c r="BF177" s="133">
        <f t="shared" si="430"/>
        <v>0.51900000000000002</v>
      </c>
      <c r="BG177" s="133">
        <f t="shared" si="430"/>
        <v>0.53900000000000003</v>
      </c>
      <c r="BH177" s="133">
        <f t="shared" si="430"/>
        <v>0.53700000000000003</v>
      </c>
      <c r="BI177" s="129">
        <f t="shared" si="430"/>
        <v>0.52300000000000002</v>
      </c>
      <c r="BJ177" s="133">
        <f t="shared" si="430"/>
        <v>0.53400000000000003</v>
      </c>
      <c r="BK177" s="133">
        <f t="shared" si="430"/>
        <v>0.53100000000000003</v>
      </c>
      <c r="BL177" s="133">
        <f t="shared" si="430"/>
        <v>0.54800000000000004</v>
      </c>
      <c r="BM177" s="133">
        <f t="shared" si="430"/>
        <v>0.54500000000000004</v>
      </c>
      <c r="BN177" s="129">
        <f t="shared" si="430"/>
        <v>0.53900000000000003</v>
      </c>
      <c r="BO177" s="133">
        <f t="shared" si="430"/>
        <v>0.53500000000000003</v>
      </c>
      <c r="BP177" s="133">
        <f t="shared" si="430"/>
        <v>0.54500000000000004</v>
      </c>
      <c r="BQ177" s="133">
        <f t="shared" si="430"/>
        <v>0.55100000000000005</v>
      </c>
      <c r="BR177" s="133">
        <f t="shared" si="430"/>
        <v>0.56699999999999995</v>
      </c>
      <c r="BS177" s="129">
        <f t="shared" ref="BS177:CC177" si="431">BS176/BS165</f>
        <v>0.54950433330021475</v>
      </c>
      <c r="BT177" s="133">
        <f>BT264</f>
        <v>0.55200000000000005</v>
      </c>
      <c r="BU177" s="133">
        <f>BU264</f>
        <v>0.57199999999999995</v>
      </c>
      <c r="BV177" s="133">
        <f>BV264</f>
        <v>0.55800000000000005</v>
      </c>
      <c r="BW177" s="133">
        <f>BW264</f>
        <v>0.56399999999999995</v>
      </c>
      <c r="BX177" s="129">
        <f t="shared" si="431"/>
        <v>0.56178295430854464</v>
      </c>
      <c r="BY177" s="133">
        <f>BY264</f>
        <v>0.55900000000000005</v>
      </c>
      <c r="BZ177" s="133">
        <f>BZ264</f>
        <v>0.57599999999999996</v>
      </c>
      <c r="CA177" s="133">
        <f>CA264</f>
        <v>0.58299999999999996</v>
      </c>
      <c r="CB177" s="133">
        <f>CB264</f>
        <v>0.57099999999999995</v>
      </c>
      <c r="CC177" s="129">
        <f t="shared" si="431"/>
        <v>0.57227007542294395</v>
      </c>
      <c r="CD177" s="133">
        <f>CD264</f>
        <v>0.56000000000000005</v>
      </c>
      <c r="CE177" s="133">
        <f>CE264</f>
        <v>0.56999999999999995</v>
      </c>
      <c r="CF177" s="133">
        <f>CF264</f>
        <v>0.57399999999999995</v>
      </c>
      <c r="CG177" s="133">
        <f>CG264</f>
        <v>0.56299999999999994</v>
      </c>
      <c r="CH177" s="129">
        <f t="shared" ref="CH177" si="432">CH176/CH165</f>
        <v>0.56650732489868849</v>
      </c>
      <c r="CI177" s="133">
        <f>CI264</f>
        <v>0.56100000000000005</v>
      </c>
      <c r="CJ177" s="133">
        <f>CJ264</f>
        <v>0.56799999999999995</v>
      </c>
      <c r="CK177" s="133">
        <f>CK264</f>
        <v>0.56999999999999995</v>
      </c>
      <c r="CL177" s="133">
        <f>CL264</f>
        <v>0.56599999999999995</v>
      </c>
      <c r="CM177" s="129">
        <f t="shared" ref="CM177:CR177" si="433">CM176/CM165</f>
        <v>0.56606448922462094</v>
      </c>
      <c r="CN177" s="133">
        <f t="shared" ca="1" si="433"/>
        <v>0.6159083597947459</v>
      </c>
      <c r="CO177" s="133">
        <f t="shared" ca="1" si="433"/>
        <v>0.60702375310619239</v>
      </c>
      <c r="CP177" s="133">
        <f t="shared" ca="1" si="433"/>
        <v>0.5989927910626035</v>
      </c>
      <c r="CQ177" s="133">
        <f t="shared" ca="1" si="433"/>
        <v>0.59346764761723292</v>
      </c>
      <c r="CR177" s="129">
        <f t="shared" ca="1" si="433"/>
        <v>0.60396333485553888</v>
      </c>
      <c r="CS177" s="133">
        <f t="shared" ref="CS177:CW177" ca="1" si="434">CS176/CS165</f>
        <v>0.639494784169928</v>
      </c>
      <c r="CT177" s="133">
        <f t="shared" ca="1" si="434"/>
        <v>0.62333400987816967</v>
      </c>
      <c r="CU177" s="133">
        <f t="shared" ca="1" si="434"/>
        <v>0.60584150505842815</v>
      </c>
      <c r="CV177" s="133">
        <f t="shared" ca="1" si="434"/>
        <v>0.59290774372603616</v>
      </c>
      <c r="CW177" s="129">
        <f t="shared" ca="1" si="434"/>
        <v>0.61533644218918593</v>
      </c>
      <c r="CX177" s="133">
        <f t="shared" ref="CX177:DB177" ca="1" si="435">CX176/CX165</f>
        <v>0.64129547738059278</v>
      </c>
      <c r="CY177" s="133">
        <f t="shared" ca="1" si="435"/>
        <v>0.62520355468848865</v>
      </c>
      <c r="CZ177" s="133">
        <f t="shared" ca="1" si="435"/>
        <v>0.6067203167077948</v>
      </c>
      <c r="DA177" s="133">
        <f t="shared" ca="1" si="435"/>
        <v>0.59444412850555683</v>
      </c>
      <c r="DB177" s="129">
        <f t="shared" ca="1" si="435"/>
        <v>0.6168645187144054</v>
      </c>
      <c r="DC177" s="85"/>
      <c r="DD177" s="85"/>
      <c r="DE177" s="85"/>
      <c r="DF177" s="85"/>
      <c r="DG177" s="85"/>
      <c r="DH177" s="85"/>
      <c r="DI177" s="85"/>
      <c r="DJ177" s="85"/>
    </row>
    <row r="178" spans="1:114" s="725" customFormat="1" ht="11.25" customHeight="1">
      <c r="A178" s="16"/>
      <c r="B178" s="77" t="s">
        <v>156</v>
      </c>
      <c r="C178" s="37"/>
      <c r="D178" s="106"/>
      <c r="E178" s="115"/>
      <c r="F178" s="116"/>
      <c r="G178" s="98"/>
      <c r="H178" s="98"/>
      <c r="I178" s="98"/>
      <c r="J178" s="98"/>
      <c r="K178" s="96">
        <f t="shared" ref="K178:AP178" si="436">K176/F176-1</f>
        <v>0.28104010764463605</v>
      </c>
      <c r="L178" s="98">
        <f t="shared" si="436"/>
        <v>0.27281558160345587</v>
      </c>
      <c r="M178" s="98">
        <f t="shared" si="436"/>
        <v>0.19317794364768615</v>
      </c>
      <c r="N178" s="98">
        <f t="shared" si="436"/>
        <v>0.17376318663958434</v>
      </c>
      <c r="O178" s="98">
        <f t="shared" si="436"/>
        <v>0.29261821618025552</v>
      </c>
      <c r="P178" s="96">
        <f t="shared" si="436"/>
        <v>0.23237851768898188</v>
      </c>
      <c r="Q178" s="98">
        <f t="shared" si="436"/>
        <v>0.3113104325733822</v>
      </c>
      <c r="R178" s="98">
        <f t="shared" si="436"/>
        <v>0.33285556496360824</v>
      </c>
      <c r="S178" s="98">
        <f t="shared" si="436"/>
        <v>0.3314184296136109</v>
      </c>
      <c r="T178" s="98">
        <f t="shared" si="436"/>
        <v>0.24222614018275834</v>
      </c>
      <c r="U178" s="96">
        <f t="shared" si="436"/>
        <v>0.30231766369939339</v>
      </c>
      <c r="V178" s="98">
        <f t="shared" si="436"/>
        <v>0.25754495727682003</v>
      </c>
      <c r="W178" s="98">
        <f t="shared" si="436"/>
        <v>0.23336205444758207</v>
      </c>
      <c r="X178" s="98">
        <f t="shared" si="436"/>
        <v>0.30888952503078881</v>
      </c>
      <c r="Y178" s="98">
        <f t="shared" si="436"/>
        <v>0.30424238696933914</v>
      </c>
      <c r="Z178" s="96">
        <f t="shared" si="436"/>
        <v>0.27698718043417614</v>
      </c>
      <c r="AA178" s="98">
        <f t="shared" si="436"/>
        <v>0.20348229992775568</v>
      </c>
      <c r="AB178" s="98">
        <f t="shared" si="436"/>
        <v>0.17554109508686455</v>
      </c>
      <c r="AC178" s="98">
        <f t="shared" si="436"/>
        <v>0.1409832439844585</v>
      </c>
      <c r="AD178" s="98">
        <f t="shared" si="436"/>
        <v>0.11374659346017113</v>
      </c>
      <c r="AE178" s="96">
        <f t="shared" si="436"/>
        <v>0.15626962687027435</v>
      </c>
      <c r="AF178" s="98">
        <f t="shared" si="436"/>
        <v>0.15881290039834695</v>
      </c>
      <c r="AG178" s="98">
        <f t="shared" si="436"/>
        <v>0.19273754881787664</v>
      </c>
      <c r="AH178" s="98">
        <f t="shared" si="436"/>
        <v>0.15231772211648109</v>
      </c>
      <c r="AI178" s="98">
        <f t="shared" si="436"/>
        <v>0.15941240764496012</v>
      </c>
      <c r="AJ178" s="96">
        <f t="shared" si="436"/>
        <v>0.16552412365491698</v>
      </c>
      <c r="AK178" s="98">
        <f t="shared" si="436"/>
        <v>0.127154354328324</v>
      </c>
      <c r="AL178" s="98">
        <f t="shared" si="436"/>
        <v>0.15515439895677763</v>
      </c>
      <c r="AM178" s="98">
        <f t="shared" si="436"/>
        <v>1.0826028666386538</v>
      </c>
      <c r="AN178" s="98">
        <f t="shared" si="436"/>
        <v>1.2999085115821205</v>
      </c>
      <c r="AO178" s="96">
        <f t="shared" si="436"/>
        <v>0.68081040995210285</v>
      </c>
      <c r="AP178" s="98">
        <f t="shared" si="436"/>
        <v>1.3431576434115735</v>
      </c>
      <c r="AQ178" s="98">
        <f t="shared" ref="AQ178:BV178" si="437">AQ176/AL176-1</f>
        <v>1.2871596501813336</v>
      </c>
      <c r="AR178" s="98">
        <f t="shared" si="437"/>
        <v>0.29807709150223949</v>
      </c>
      <c r="AS178" s="98">
        <f t="shared" si="437"/>
        <v>0.10125370401104949</v>
      </c>
      <c r="AT178" s="96">
        <f t="shared" si="437"/>
        <v>0.56416692270386171</v>
      </c>
      <c r="AU178" s="98">
        <f t="shared" si="437"/>
        <v>0.10639606031866755</v>
      </c>
      <c r="AV178" s="98">
        <f t="shared" si="437"/>
        <v>9.0433692384307873E-2</v>
      </c>
      <c r="AW178" s="98">
        <f t="shared" si="437"/>
        <v>5.2947012685279349E-2</v>
      </c>
      <c r="AX178" s="98">
        <f t="shared" si="437"/>
        <v>0.11359942882031104</v>
      </c>
      <c r="AY178" s="96">
        <f t="shared" si="437"/>
        <v>9.0255780008376307E-2</v>
      </c>
      <c r="AZ178" s="98">
        <f t="shared" si="437"/>
        <v>4.999210185198022E-2</v>
      </c>
      <c r="BA178" s="98">
        <f t="shared" si="437"/>
        <v>9.7140344371482445E-2</v>
      </c>
      <c r="BB178" s="98">
        <f t="shared" si="437"/>
        <v>0.13176858309906891</v>
      </c>
      <c r="BC178" s="98">
        <f t="shared" si="437"/>
        <v>0.11157914634213895</v>
      </c>
      <c r="BD178" s="96">
        <f t="shared" si="437"/>
        <v>9.8085793395090048E-2</v>
      </c>
      <c r="BE178" s="98">
        <f t="shared" si="437"/>
        <v>0.13657024663944628</v>
      </c>
      <c r="BF178" s="98">
        <f t="shared" si="437"/>
        <v>0.11021424140172087</v>
      </c>
      <c r="BG178" s="98">
        <f t="shared" si="437"/>
        <v>0.11169233313681315</v>
      </c>
      <c r="BH178" s="98">
        <f t="shared" si="437"/>
        <v>0.13981778991688443</v>
      </c>
      <c r="BI178" s="96">
        <f t="shared" si="437"/>
        <v>0.12437524540497025</v>
      </c>
      <c r="BJ178" s="98">
        <f t="shared" si="437"/>
        <v>0.16792417089724365</v>
      </c>
      <c r="BK178" s="98">
        <f t="shared" si="437"/>
        <v>0.13192400853775132</v>
      </c>
      <c r="BL178" s="98">
        <f t="shared" si="437"/>
        <v>9.3478815182140851E-2</v>
      </c>
      <c r="BM178" s="98">
        <f t="shared" si="437"/>
        <v>0.10282581163830806</v>
      </c>
      <c r="BN178" s="96">
        <f t="shared" si="437"/>
        <v>0.12289165799038804</v>
      </c>
      <c r="BO178" s="98">
        <f t="shared" si="437"/>
        <v>6.0024198710501464E-2</v>
      </c>
      <c r="BP178" s="98">
        <f t="shared" si="437"/>
        <v>6.4997541461826014E-2</v>
      </c>
      <c r="BQ178" s="98">
        <f t="shared" si="437"/>
        <v>7.3753064349778352E-2</v>
      </c>
      <c r="BR178" s="98">
        <f t="shared" si="437"/>
        <v>6.9340632874374197E-2</v>
      </c>
      <c r="BS178" s="96">
        <f t="shared" si="437"/>
        <v>6.7089161611006309E-2</v>
      </c>
      <c r="BT178" s="98">
        <f t="shared" si="437"/>
        <v>0.30575869083601415</v>
      </c>
      <c r="BU178" s="98">
        <f t="shared" si="437"/>
        <v>0.50093181727407576</v>
      </c>
      <c r="BV178" s="98">
        <f t="shared" si="437"/>
        <v>0.45892618428495013</v>
      </c>
      <c r="BW178" s="98">
        <f t="shared" ref="BW178:CL178" si="438">BW176/BR176-1</f>
        <v>0.46158624663133008</v>
      </c>
      <c r="BX178" s="96">
        <f t="shared" si="438"/>
        <v>0.43278577679568575</v>
      </c>
      <c r="BY178" s="98">
        <f t="shared" si="438"/>
        <v>0.17547813246030652</v>
      </c>
      <c r="BZ178" s="98">
        <f t="shared" si="438"/>
        <v>5.2710096665513184E-2</v>
      </c>
      <c r="CA178" s="98">
        <f t="shared" si="438"/>
        <v>6.9787436246680379E-2</v>
      </c>
      <c r="CB178" s="98">
        <f t="shared" si="438"/>
        <v>8.9894532887400347E-2</v>
      </c>
      <c r="CC178" s="96">
        <f t="shared" si="438"/>
        <v>9.4051407873619874E-2</v>
      </c>
      <c r="CD178" s="98">
        <f t="shared" si="438"/>
        <v>4.3467765426291383E-2</v>
      </c>
      <c r="CE178" s="98">
        <f t="shared" si="438"/>
        <v>-0.11507573034233087</v>
      </c>
      <c r="CF178" s="98">
        <f t="shared" si="438"/>
        <v>-0.11100166607139594</v>
      </c>
      <c r="CG178" s="98">
        <f t="shared" si="438"/>
        <v>-0.15534422866014552</v>
      </c>
      <c r="CH178" s="96">
        <f t="shared" si="438"/>
        <v>-8.6872042216727396E-2</v>
      </c>
      <c r="CI178" s="98">
        <f t="shared" si="438"/>
        <v>-0.10821392525424389</v>
      </c>
      <c r="CJ178" s="98">
        <f t="shared" si="438"/>
        <v>-5.9795981736300852E-2</v>
      </c>
      <c r="CK178" s="98">
        <f t="shared" si="438"/>
        <v>-0.14514360244381463</v>
      </c>
      <c r="CL178" s="98">
        <f t="shared" si="438"/>
        <v>-3.8668895448580209E-2</v>
      </c>
      <c r="CM178" s="129">
        <f>CM176/CH176-1</f>
        <v>-8.8683216019077915E-2</v>
      </c>
      <c r="CN178" s="1365">
        <f>CHOOSE(Scenarios!$C$8,Scenarios!AX11,Scenarios!AX12,Scenarios!AX13)</f>
        <v>-3.9E-2</v>
      </c>
      <c r="CO178" s="1365">
        <f>CHOOSE(Scenarios!$C$8,Scenarios!AY11,Scenarios!AY12,Scenarios!AY13)</f>
        <v>-3.9399999999999998E-2</v>
      </c>
      <c r="CP178" s="1365">
        <f>CHOOSE(Scenarios!$C$8,Scenarios!AZ11,Scenarios!AZ12,Scenarios!AZ13)</f>
        <v>-3.85E-2</v>
      </c>
      <c r="CQ178" s="1365">
        <f>CHOOSE(Scenarios!$C$8,Scenarios!BA11,Scenarios!BA12,Scenarios!BA13)</f>
        <v>-3.95E-2</v>
      </c>
      <c r="CR178" s="129">
        <f>CR176/CM176-1</f>
        <v>-3.9112983964349923E-2</v>
      </c>
      <c r="CS178" s="1364">
        <f>CHOOSE(Scenarios!$C$8,Scenarios!BC11,Scenarios!BC12,Scenarios!BC13)</f>
        <v>-0.05</v>
      </c>
      <c r="CT178" s="1364">
        <f>CHOOSE(Scenarios!$C$8,Scenarios!BD11,Scenarios!BD12,Scenarios!BD13)</f>
        <v>-0.05</v>
      </c>
      <c r="CU178" s="1364">
        <f>CHOOSE(Scenarios!$C$8,Scenarios!BE11,Scenarios!BE12,Scenarios!BE13)</f>
        <v>-0.05</v>
      </c>
      <c r="CV178" s="1364">
        <f>CHOOSE(Scenarios!$C$8,Scenarios!BF11,Scenarios!BF12,Scenarios!BF13)</f>
        <v>-0.05</v>
      </c>
      <c r="CW178" s="96">
        <f>CW176/CR176-1</f>
        <v>-5.0000000000000155E-2</v>
      </c>
      <c r="CX178" s="1364">
        <f>CHOOSE(Scenarios!$C$8,Scenarios!BH11,Scenarios!BH12,Scenarios!BH13)</f>
        <v>-0.01</v>
      </c>
      <c r="CY178" s="1364">
        <f>CHOOSE(Scenarios!$C$8,Scenarios!BI11,Scenarios!BI12,Scenarios!BI13)</f>
        <v>-0.01</v>
      </c>
      <c r="CZ178" s="1364">
        <f>CHOOSE(Scenarios!$C$8,Scenarios!BJ11,Scenarios!BJ12,Scenarios!BJ13)</f>
        <v>-0.01</v>
      </c>
      <c r="DA178" s="1364">
        <f>CHOOSE(Scenarios!$C$8,Scenarios!BK11,Scenarios!BK12,Scenarios!BK13)</f>
        <v>-0.01</v>
      </c>
      <c r="DB178" s="96">
        <f>DB176/CW176-1</f>
        <v>-1.0000000000000009E-2</v>
      </c>
      <c r="DC178" s="16"/>
      <c r="DD178" s="16"/>
      <c r="DE178" s="16"/>
      <c r="DF178" s="16"/>
      <c r="DG178" s="16"/>
      <c r="DH178" s="16"/>
      <c r="DI178" s="16"/>
      <c r="DJ178" s="16"/>
    </row>
    <row r="179" spans="1:114" s="725" customFormat="1" ht="11.25" customHeight="1">
      <c r="A179" s="16"/>
      <c r="B179" s="77"/>
      <c r="C179" s="37"/>
      <c r="D179" s="106"/>
      <c r="E179" s="115"/>
      <c r="F179" s="116"/>
      <c r="G179" s="16"/>
      <c r="H179" s="16"/>
      <c r="I179" s="16"/>
      <c r="J179" s="16"/>
      <c r="K179" s="116"/>
      <c r="L179" s="16"/>
      <c r="M179" s="16"/>
      <c r="N179" s="16"/>
      <c r="O179" s="16"/>
      <c r="P179" s="116"/>
      <c r="Q179" s="115"/>
      <c r="R179" s="115"/>
      <c r="S179" s="115"/>
      <c r="T179" s="115"/>
      <c r="U179" s="116"/>
      <c r="V179" s="98"/>
      <c r="W179" s="98"/>
      <c r="X179" s="98"/>
      <c r="Y179" s="98"/>
      <c r="Z179" s="116"/>
      <c r="AA179" s="98"/>
      <c r="AB179" s="98"/>
      <c r="AC179" s="98"/>
      <c r="AD179" s="98"/>
      <c r="AE179" s="116"/>
      <c r="AF179" s="98"/>
      <c r="AG179" s="98"/>
      <c r="AH179" s="98"/>
      <c r="AI179" s="98"/>
      <c r="AJ179" s="96"/>
      <c r="AK179" s="98"/>
      <c r="AL179" s="98"/>
      <c r="AM179" s="98"/>
      <c r="AN179" s="98"/>
      <c r="AO179" s="96"/>
      <c r="AP179" s="98"/>
      <c r="AQ179" s="98"/>
      <c r="AR179" s="98"/>
      <c r="AS179" s="98"/>
      <c r="AT179" s="96"/>
      <c r="AU179" s="98"/>
      <c r="AV179" s="98"/>
      <c r="AW179" s="98"/>
      <c r="AX179" s="98"/>
      <c r="AY179" s="96"/>
      <c r="AZ179" s="98"/>
      <c r="BA179" s="98"/>
      <c r="BB179" s="98"/>
      <c r="BC179" s="98"/>
      <c r="BD179" s="96"/>
      <c r="BE179" s="98"/>
      <c r="BF179" s="98"/>
      <c r="BG179" s="98"/>
      <c r="BH179" s="98"/>
      <c r="BI179" s="96"/>
      <c r="BJ179" s="98"/>
      <c r="BK179" s="98"/>
      <c r="BL179" s="1098"/>
      <c r="BM179" s="1098"/>
      <c r="BN179" s="96"/>
      <c r="BO179" s="1099"/>
      <c r="BP179" s="1099"/>
      <c r="BQ179" s="1098"/>
      <c r="BR179" s="1098"/>
      <c r="BS179" s="96"/>
      <c r="BT179" s="1099"/>
      <c r="BU179" s="1098"/>
      <c r="BV179" s="1098"/>
      <c r="BW179" s="1098"/>
      <c r="BX179" s="96"/>
      <c r="BY179" s="1099"/>
      <c r="BZ179" s="1099"/>
      <c r="CA179" s="1099"/>
      <c r="CB179" s="1099"/>
      <c r="CC179" s="96"/>
      <c r="CD179" s="1098"/>
      <c r="CE179" s="1098"/>
      <c r="CF179" s="1098"/>
      <c r="CG179" s="1098"/>
      <c r="CH179" s="96"/>
      <c r="CI179" s="1098"/>
      <c r="CJ179" s="1098"/>
      <c r="CK179" s="1098"/>
      <c r="CL179" s="1098"/>
      <c r="CM179" s="96"/>
      <c r="CN179" s="1098"/>
      <c r="CO179" s="1098"/>
      <c r="CP179" s="1098"/>
      <c r="CQ179" s="1098"/>
      <c r="CR179" s="96"/>
      <c r="CS179" s="1098"/>
      <c r="CT179" s="1098"/>
      <c r="CU179" s="1098"/>
      <c r="CV179" s="1098"/>
      <c r="CW179" s="96"/>
      <c r="CX179" s="1098"/>
      <c r="CY179" s="1098"/>
      <c r="CZ179" s="1098"/>
      <c r="DA179" s="1098"/>
      <c r="DB179" s="96"/>
      <c r="DC179" s="16"/>
      <c r="DD179" s="16"/>
      <c r="DE179" s="16"/>
      <c r="DF179" s="16"/>
      <c r="DG179" s="16"/>
      <c r="DH179" s="16"/>
      <c r="DI179" s="16"/>
      <c r="DJ179" s="16"/>
    </row>
    <row r="180" spans="1:114" s="725" customFormat="1" ht="11.25" customHeight="1">
      <c r="A180" s="16"/>
      <c r="B180" s="21" t="s">
        <v>372</v>
      </c>
      <c r="C180" s="37"/>
      <c r="D180" s="106"/>
      <c r="E180" s="94"/>
      <c r="F180" s="125"/>
      <c r="G180" s="93"/>
      <c r="H180" s="93"/>
      <c r="I180" s="93"/>
      <c r="J180" s="93"/>
      <c r="K180" s="125"/>
      <c r="L180" s="93"/>
      <c r="M180" s="93"/>
      <c r="N180" s="93"/>
      <c r="O180" s="93"/>
      <c r="P180" s="125"/>
      <c r="Q180" s="90"/>
      <c r="R180" s="90"/>
      <c r="S180" s="90"/>
      <c r="T180" s="90"/>
      <c r="U180" s="91"/>
      <c r="V180" s="16"/>
      <c r="W180" s="16"/>
      <c r="X180" s="90"/>
      <c r="Y180" s="90"/>
      <c r="Z180" s="91"/>
      <c r="AA180" s="90"/>
      <c r="AB180" s="90"/>
      <c r="AC180" s="90"/>
      <c r="AD180" s="90"/>
      <c r="AE180" s="91"/>
      <c r="AF180" s="90"/>
      <c r="AG180" s="90"/>
      <c r="AH180" s="90"/>
      <c r="AI180" s="90"/>
      <c r="AJ180" s="91"/>
      <c r="AK180" s="90"/>
      <c r="AL180" s="90"/>
      <c r="AM180" s="90"/>
      <c r="AN180" s="90"/>
      <c r="AO180" s="91"/>
      <c r="AP180" s="90"/>
      <c r="AQ180" s="16"/>
      <c r="AR180" s="16"/>
      <c r="AS180" s="16"/>
      <c r="AT180" s="18"/>
      <c r="AU180" s="16"/>
      <c r="AV180" s="16"/>
      <c r="AW180" s="16"/>
      <c r="AX180" s="16"/>
      <c r="AY180" s="18"/>
      <c r="AZ180" s="16"/>
      <c r="BA180" s="16"/>
      <c r="BB180" s="16"/>
      <c r="BC180" s="16"/>
      <c r="BD180" s="18"/>
      <c r="BE180" s="16"/>
      <c r="BF180" s="16"/>
      <c r="BG180" s="16"/>
      <c r="BH180" s="16"/>
      <c r="BI180" s="18"/>
      <c r="BJ180" s="16"/>
      <c r="BK180" s="16"/>
      <c r="BL180" s="83"/>
      <c r="BM180" s="83"/>
      <c r="BN180" s="18"/>
      <c r="BO180" s="1100"/>
      <c r="BP180" s="1100"/>
      <c r="BQ180" s="112"/>
      <c r="BR180" s="83"/>
      <c r="BS180" s="18"/>
      <c r="BT180" s="1100"/>
      <c r="BU180" s="16"/>
      <c r="BV180" s="16"/>
      <c r="BW180" s="16"/>
      <c r="BX180" s="18"/>
      <c r="BY180" s="16"/>
      <c r="BZ180" s="16"/>
      <c r="CA180" s="16"/>
      <c r="CB180" s="16"/>
      <c r="CC180" s="18"/>
      <c r="CD180" s="16"/>
      <c r="CE180" s="16"/>
      <c r="CF180" s="16"/>
      <c r="CG180" s="16"/>
      <c r="CH180" s="18"/>
      <c r="CI180" s="16"/>
      <c r="CJ180" s="16"/>
      <c r="CK180" s="16"/>
      <c r="CL180" s="16"/>
      <c r="CM180" s="18"/>
      <c r="CN180" s="16"/>
      <c r="CO180" s="16"/>
      <c r="CP180" s="16"/>
      <c r="CQ180" s="16"/>
      <c r="CR180" s="18"/>
      <c r="CS180" s="16"/>
      <c r="CT180" s="16"/>
      <c r="CU180" s="16"/>
      <c r="CV180" s="16"/>
      <c r="CW180" s="18"/>
      <c r="CX180" s="16"/>
      <c r="CY180" s="16"/>
      <c r="CZ180" s="16"/>
      <c r="DA180" s="16"/>
      <c r="DB180" s="18"/>
      <c r="DC180" s="16"/>
      <c r="DD180" s="16"/>
      <c r="DE180" s="16"/>
      <c r="DF180" s="16"/>
      <c r="DG180" s="16"/>
      <c r="DH180" s="16"/>
      <c r="DI180" s="16"/>
      <c r="DJ180" s="16"/>
    </row>
    <row r="181" spans="1:114" s="725" customFormat="1" ht="11.25" customHeight="1">
      <c r="A181" s="16"/>
      <c r="B181" s="9" t="s">
        <v>681</v>
      </c>
      <c r="C181" s="37"/>
      <c r="D181" s="106"/>
      <c r="E181" s="94">
        <v>117768</v>
      </c>
      <c r="F181" s="125">
        <v>143062</v>
      </c>
      <c r="G181" s="108">
        <f t="shared" ref="G181:AL181" si="439">G257</f>
        <v>36837</v>
      </c>
      <c r="H181" s="108">
        <f t="shared" si="439"/>
        <v>35289</v>
      </c>
      <c r="I181" s="108">
        <f t="shared" si="439"/>
        <v>37287</v>
      </c>
      <c r="J181" s="108">
        <f t="shared" si="439"/>
        <v>39262</v>
      </c>
      <c r="K181" s="109">
        <f t="shared" si="439"/>
        <v>148675</v>
      </c>
      <c r="L181" s="108">
        <f t="shared" si="439"/>
        <v>44232</v>
      </c>
      <c r="M181" s="108">
        <f t="shared" si="439"/>
        <v>41509</v>
      </c>
      <c r="N181" s="108">
        <f t="shared" si="439"/>
        <v>43267</v>
      </c>
      <c r="O181" s="108">
        <f t="shared" si="439"/>
        <v>47951</v>
      </c>
      <c r="P181" s="109">
        <f t="shared" si="439"/>
        <v>176959</v>
      </c>
      <c r="Q181" s="108">
        <f t="shared" si="439"/>
        <v>53288</v>
      </c>
      <c r="R181" s="108">
        <f t="shared" si="439"/>
        <v>50320</v>
      </c>
      <c r="S181" s="108">
        <f t="shared" si="439"/>
        <v>52551</v>
      </c>
      <c r="T181" s="108">
        <f t="shared" si="439"/>
        <v>55795</v>
      </c>
      <c r="U181" s="109">
        <f t="shared" si="439"/>
        <v>211954</v>
      </c>
      <c r="V181" s="108">
        <f t="shared" si="439"/>
        <v>62602</v>
      </c>
      <c r="W181" s="108">
        <f t="shared" si="439"/>
        <v>59634</v>
      </c>
      <c r="X181" s="108">
        <f t="shared" si="439"/>
        <v>61643</v>
      </c>
      <c r="Y181" s="108">
        <f t="shared" si="439"/>
        <v>67550</v>
      </c>
      <c r="Z181" s="109">
        <f t="shared" si="439"/>
        <v>249415</v>
      </c>
      <c r="AA181" s="108">
        <f t="shared" si="439"/>
        <v>71407</v>
      </c>
      <c r="AB181" s="108">
        <f t="shared" si="439"/>
        <v>65284</v>
      </c>
      <c r="AC181" s="108">
        <f t="shared" si="439"/>
        <v>67826</v>
      </c>
      <c r="AD181" s="108">
        <f t="shared" si="439"/>
        <v>68765</v>
      </c>
      <c r="AE181" s="109">
        <f t="shared" si="439"/>
        <v>272887</v>
      </c>
      <c r="AF181" s="108">
        <f t="shared" si="439"/>
        <v>73703</v>
      </c>
      <c r="AG181" s="108">
        <f t="shared" si="439"/>
        <v>71634</v>
      </c>
      <c r="AH181" s="108">
        <f t="shared" si="439"/>
        <v>73159</v>
      </c>
      <c r="AI181" s="108">
        <f t="shared" si="439"/>
        <v>76324</v>
      </c>
      <c r="AJ181" s="109">
        <f t="shared" si="439"/>
        <v>294820</v>
      </c>
      <c r="AK181" s="108">
        <f t="shared" si="439"/>
        <v>79030</v>
      </c>
      <c r="AL181" s="108">
        <f t="shared" si="439"/>
        <v>77300</v>
      </c>
      <c r="AM181" s="108">
        <f t="shared" ref="AM181:BR181" si="440">AM257</f>
        <v>135197</v>
      </c>
      <c r="AN181" s="108">
        <f t="shared" si="440"/>
        <v>157836</v>
      </c>
      <c r="AO181" s="109">
        <f t="shared" si="440"/>
        <v>434317</v>
      </c>
      <c r="AP181" s="108">
        <f t="shared" si="440"/>
        <v>172105</v>
      </c>
      <c r="AQ181" s="108">
        <f t="shared" si="440"/>
        <v>163403</v>
      </c>
      <c r="AR181" s="108">
        <f t="shared" si="440"/>
        <v>163670</v>
      </c>
      <c r="AS181" s="108">
        <f t="shared" si="440"/>
        <v>159241</v>
      </c>
      <c r="AT181" s="109">
        <f t="shared" si="440"/>
        <v>651211</v>
      </c>
      <c r="AU181" s="108">
        <f t="shared" si="440"/>
        <v>166204</v>
      </c>
      <c r="AV181" s="108">
        <f t="shared" si="440"/>
        <v>163273</v>
      </c>
      <c r="AW181" s="108">
        <f t="shared" si="440"/>
        <v>163133</v>
      </c>
      <c r="AX181" s="108">
        <f t="shared" si="440"/>
        <v>164171</v>
      </c>
      <c r="AY181" s="109">
        <f t="shared" si="440"/>
        <v>658215</v>
      </c>
      <c r="AZ181" s="108">
        <f t="shared" si="440"/>
        <v>170231</v>
      </c>
      <c r="BA181" s="108">
        <f t="shared" si="440"/>
        <v>169234</v>
      </c>
      <c r="BB181" s="108">
        <f t="shared" si="440"/>
        <v>168832</v>
      </c>
      <c r="BC181" s="108">
        <f t="shared" si="440"/>
        <v>166789</v>
      </c>
      <c r="BD181" s="109">
        <f t="shared" si="440"/>
        <v>675086</v>
      </c>
      <c r="BE181" s="108">
        <f t="shared" si="440"/>
        <v>170555</v>
      </c>
      <c r="BF181" s="108">
        <f t="shared" si="440"/>
        <v>158054</v>
      </c>
      <c r="BG181" s="108">
        <f t="shared" si="440"/>
        <v>154434</v>
      </c>
      <c r="BH181" s="108">
        <f t="shared" si="440"/>
        <v>160008</v>
      </c>
      <c r="BI181" s="109">
        <f t="shared" si="440"/>
        <v>640302</v>
      </c>
      <c r="BJ181" s="108">
        <f t="shared" si="440"/>
        <v>172231</v>
      </c>
      <c r="BK181" s="108">
        <f t="shared" si="440"/>
        <v>164995</v>
      </c>
      <c r="BL181" s="108">
        <f t="shared" si="440"/>
        <v>164336</v>
      </c>
      <c r="BM181" s="108">
        <f t="shared" si="440"/>
        <v>167117</v>
      </c>
      <c r="BN181" s="109">
        <f t="shared" si="440"/>
        <v>668679</v>
      </c>
      <c r="BO181" s="108">
        <f t="shared" si="440"/>
        <v>171138</v>
      </c>
      <c r="BP181" s="108">
        <f t="shared" si="440"/>
        <v>163505</v>
      </c>
      <c r="BQ181" s="108">
        <f t="shared" si="440"/>
        <v>161256</v>
      </c>
      <c r="BR181" s="108">
        <f t="shared" si="440"/>
        <v>155145</v>
      </c>
      <c r="BS181" s="109">
        <f>SUM(BO181:BR181)</f>
        <v>651044</v>
      </c>
      <c r="BT181" s="108">
        <f>BT257</f>
        <v>206228</v>
      </c>
      <c r="BU181" s="108">
        <f>BU257</f>
        <v>230928</v>
      </c>
      <c r="BV181" s="108">
        <f>BV257</f>
        <v>228396</v>
      </c>
      <c r="BW181" s="108">
        <f>BW257</f>
        <v>229657</v>
      </c>
      <c r="BX181" s="109">
        <f>SUM(BT181:BW181)</f>
        <v>895209</v>
      </c>
      <c r="BY181" s="108">
        <f>BY257</f>
        <v>236883</v>
      </c>
      <c r="BZ181" s="108">
        <f>BZ257</f>
        <v>232584</v>
      </c>
      <c r="CA181" s="108">
        <f>CA257</f>
        <v>229679</v>
      </c>
      <c r="CB181" s="108">
        <f>CB257</f>
        <v>230067</v>
      </c>
      <c r="CC181" s="109">
        <f>SUM(BY181:CB181)</f>
        <v>929213</v>
      </c>
      <c r="CD181" s="108">
        <f>CD257</f>
        <v>238829</v>
      </c>
      <c r="CE181" s="108">
        <f>CE257</f>
        <v>202702</v>
      </c>
      <c r="CF181" s="108">
        <f>CF257</f>
        <v>200365</v>
      </c>
      <c r="CG181" s="108">
        <f>CG257</f>
        <v>201803</v>
      </c>
      <c r="CH181" s="109">
        <f>SUM(CD181:CG181)</f>
        <v>843699</v>
      </c>
      <c r="CI181" s="108">
        <f>CI257</f>
        <v>211090</v>
      </c>
      <c r="CJ181" s="108">
        <f>CJ257</f>
        <v>184992</v>
      </c>
      <c r="CK181" s="108">
        <f>CK257</f>
        <v>171241</v>
      </c>
      <c r="CL181" s="108">
        <f>CL257</f>
        <v>163859</v>
      </c>
      <c r="CM181" s="109">
        <f>SUM(CI181:CL181)</f>
        <v>731182</v>
      </c>
      <c r="CN181" s="108">
        <f ca="1">CL181*(1+CN184)+CN70</f>
        <v>159357.1823754964</v>
      </c>
      <c r="CO181" s="108">
        <f ca="1">CN181*(1+CO184)+CO70</f>
        <v>153003.89447977906</v>
      </c>
      <c r="CP181" s="108">
        <f ca="1">CO181*(1+CP184)+CP70</f>
        <v>145304.20950342563</v>
      </c>
      <c r="CQ181" s="108">
        <f ca="1">CP181*(1+CQ184)+CQ70</f>
        <v>139640.08530734875</v>
      </c>
      <c r="CR181" s="109">
        <f ca="1">SUM(CN181:CQ181)</f>
        <v>597305.37166604982</v>
      </c>
      <c r="CS181" s="108">
        <f ca="1">CQ181*(1+CS184)</f>
        <v>138941.88488081199</v>
      </c>
      <c r="CT181" s="108">
        <f ca="1">CS181*(1+CT184)</f>
        <v>138247.17545640795</v>
      </c>
      <c r="CU181" s="108">
        <f ca="1">CT181*(1+CU184)</f>
        <v>137555.9395791259</v>
      </c>
      <c r="CV181" s="108">
        <f ca="1">CU181*(1+CV184)</f>
        <v>136868.15988123027</v>
      </c>
      <c r="CW181" s="109">
        <f ca="1">SUM(CS181:CV181)</f>
        <v>551613.15979757614</v>
      </c>
      <c r="CX181" s="108">
        <f ca="1">CV181*(1+CX184)</f>
        <v>136457.55540158658</v>
      </c>
      <c r="CY181" s="108">
        <f ca="1">CX181*(1+CY184)</f>
        <v>136048.18273538182</v>
      </c>
      <c r="CZ181" s="108">
        <f ca="1">CY181*(1+CZ184)</f>
        <v>135640.03818717567</v>
      </c>
      <c r="DA181" s="108">
        <f ca="1">CZ181*(1+DA184)</f>
        <v>135233.11807261413</v>
      </c>
      <c r="DB181" s="109">
        <f ca="1">SUM(CX181:DA181)</f>
        <v>543378.89439675817</v>
      </c>
      <c r="DC181" s="16"/>
      <c r="DD181" s="108"/>
      <c r="DE181" s="16"/>
      <c r="DF181" s="16"/>
      <c r="DG181" s="16"/>
      <c r="DH181" s="16"/>
      <c r="DI181" s="16"/>
      <c r="DJ181" s="16"/>
    </row>
    <row r="182" spans="1:114" s="725" customFormat="1" ht="11.25" hidden="1" customHeight="1" outlineLevel="1">
      <c r="A182" s="23"/>
      <c r="B182" s="818" t="s">
        <v>250</v>
      </c>
      <c r="C182" s="54"/>
      <c r="D182" s="97"/>
      <c r="E182" s="115"/>
      <c r="F182" s="96"/>
      <c r="G182" s="98"/>
      <c r="H182" s="98"/>
      <c r="I182" s="98"/>
      <c r="J182" s="98"/>
      <c r="K182" s="96">
        <f t="shared" ref="K182:AP182" si="441">K181/F181-1</f>
        <v>3.9234737386587559E-2</v>
      </c>
      <c r="L182" s="98">
        <f t="shared" si="441"/>
        <v>0.20074924668132588</v>
      </c>
      <c r="M182" s="98">
        <f t="shared" si="441"/>
        <v>0.17625889087250979</v>
      </c>
      <c r="N182" s="98">
        <f t="shared" si="441"/>
        <v>0.16037761149998664</v>
      </c>
      <c r="O182" s="98">
        <f t="shared" si="441"/>
        <v>0.22130813509245573</v>
      </c>
      <c r="P182" s="96">
        <f t="shared" si="441"/>
        <v>0.19024045737346551</v>
      </c>
      <c r="Q182" s="98">
        <f t="shared" si="441"/>
        <v>0.20473865075058773</v>
      </c>
      <c r="R182" s="98">
        <f t="shared" si="441"/>
        <v>0.21226721915729119</v>
      </c>
      <c r="S182" s="98">
        <f t="shared" si="441"/>
        <v>0.21457461806919831</v>
      </c>
      <c r="T182" s="98">
        <f t="shared" si="441"/>
        <v>0.16358365831786625</v>
      </c>
      <c r="U182" s="96">
        <f t="shared" si="441"/>
        <v>0.19775767268124245</v>
      </c>
      <c r="V182" s="98">
        <f t="shared" si="441"/>
        <v>0.17478606815793429</v>
      </c>
      <c r="W182" s="98">
        <f t="shared" si="441"/>
        <v>0.18509538950715432</v>
      </c>
      <c r="X182" s="98">
        <f t="shared" si="441"/>
        <v>0.17301288272344961</v>
      </c>
      <c r="Y182" s="98">
        <f t="shared" si="441"/>
        <v>0.210681960749171</v>
      </c>
      <c r="Z182" s="96">
        <f t="shared" si="441"/>
        <v>0.17674117968993275</v>
      </c>
      <c r="AA182" s="98">
        <f t="shared" si="441"/>
        <v>0.14065045845180668</v>
      </c>
      <c r="AB182" s="98">
        <f t="shared" si="441"/>
        <v>9.4744608780225947E-2</v>
      </c>
      <c r="AC182" s="98">
        <f t="shared" si="441"/>
        <v>0.10030335966776449</v>
      </c>
      <c r="AD182" s="98">
        <f t="shared" si="441"/>
        <v>1.798667653589936E-2</v>
      </c>
      <c r="AE182" s="96">
        <f t="shared" si="441"/>
        <v>9.4108213218932368E-2</v>
      </c>
      <c r="AF182" s="98">
        <f t="shared" si="441"/>
        <v>3.2153710420546933E-2</v>
      </c>
      <c r="AG182" s="98">
        <f t="shared" si="441"/>
        <v>9.7267324306108627E-2</v>
      </c>
      <c r="AH182" s="98">
        <f t="shared" si="441"/>
        <v>7.8627664907262806E-2</v>
      </c>
      <c r="AI182" s="98">
        <f t="shared" si="441"/>
        <v>0.10992510724932747</v>
      </c>
      <c r="AJ182" s="96">
        <f t="shared" si="441"/>
        <v>8.0373927669694867E-2</v>
      </c>
      <c r="AK182" s="98">
        <f t="shared" si="441"/>
        <v>7.2276569474784003E-2</v>
      </c>
      <c r="AL182" s="98">
        <f t="shared" si="441"/>
        <v>7.9096518413044103E-2</v>
      </c>
      <c r="AM182" s="98">
        <f t="shared" si="441"/>
        <v>0.84798862750994419</v>
      </c>
      <c r="AN182" s="98">
        <f t="shared" si="441"/>
        <v>1.0679733766574078</v>
      </c>
      <c r="AO182" s="96">
        <f t="shared" si="441"/>
        <v>0.47315989417271553</v>
      </c>
      <c r="AP182" s="98">
        <f t="shared" si="441"/>
        <v>1.177717322535746</v>
      </c>
      <c r="AQ182" s="98">
        <f t="shared" ref="AQ182:BV182" si="442">AQ181/AL181-1</f>
        <v>1.1138809831824061</v>
      </c>
      <c r="AR182" s="98">
        <f t="shared" si="442"/>
        <v>0.21060378558695825</v>
      </c>
      <c r="AS182" s="98">
        <f t="shared" si="442"/>
        <v>8.9016447451786274E-3</v>
      </c>
      <c r="AT182" s="96">
        <f t="shared" si="442"/>
        <v>0.49939099781956497</v>
      </c>
      <c r="AU182" s="98">
        <f t="shared" si="442"/>
        <v>-3.428720839022692E-2</v>
      </c>
      <c r="AV182" s="98">
        <f t="shared" si="442"/>
        <v>-7.9557902853677476E-4</v>
      </c>
      <c r="AW182" s="98">
        <f t="shared" si="442"/>
        <v>-3.2809922404839487E-3</v>
      </c>
      <c r="AX182" s="98">
        <f t="shared" si="442"/>
        <v>3.095936348051076E-2</v>
      </c>
      <c r="AY182" s="96">
        <f t="shared" si="442"/>
        <v>1.0755346577376645E-2</v>
      </c>
      <c r="AZ182" s="98">
        <f t="shared" si="442"/>
        <v>2.4229260426945176E-2</v>
      </c>
      <c r="BA182" s="98">
        <f t="shared" si="442"/>
        <v>3.650940449431328E-2</v>
      </c>
      <c r="BB182" s="98">
        <f t="shared" si="442"/>
        <v>3.4934685195515236E-2</v>
      </c>
      <c r="BC182" s="98">
        <f t="shared" si="442"/>
        <v>1.5946787191404077E-2</v>
      </c>
      <c r="BD182" s="96">
        <f t="shared" si="442"/>
        <v>2.5631442613735622E-2</v>
      </c>
      <c r="BE182" s="98">
        <f t="shared" si="442"/>
        <v>1.9032961094043177E-3</v>
      </c>
      <c r="BF182" s="98">
        <f t="shared" si="442"/>
        <v>-6.606237517283764E-2</v>
      </c>
      <c r="BG182" s="98">
        <f t="shared" si="442"/>
        <v>-8.5280041698256204E-2</v>
      </c>
      <c r="BH182" s="98">
        <f t="shared" si="442"/>
        <v>-4.065615837974923E-2</v>
      </c>
      <c r="BI182" s="96">
        <f t="shared" si="442"/>
        <v>-5.1525287148600274E-2</v>
      </c>
      <c r="BJ182" s="98">
        <f t="shared" si="442"/>
        <v>9.8267421066517979E-3</v>
      </c>
      <c r="BK182" s="98">
        <f t="shared" si="442"/>
        <v>4.3915370696091305E-2</v>
      </c>
      <c r="BL182" s="98">
        <f t="shared" si="442"/>
        <v>6.4118005102503428E-2</v>
      </c>
      <c r="BM182" s="98">
        <f t="shared" si="442"/>
        <v>4.4429028548572669E-2</v>
      </c>
      <c r="BN182" s="96">
        <f t="shared" si="442"/>
        <v>4.4318149873028734E-2</v>
      </c>
      <c r="BO182" s="98">
        <f t="shared" si="442"/>
        <v>-6.3461281650806223E-3</v>
      </c>
      <c r="BP182" s="98">
        <f t="shared" si="442"/>
        <v>-9.0305766841419777E-3</v>
      </c>
      <c r="BQ182" s="98">
        <f t="shared" si="442"/>
        <v>-1.8742089377860038E-2</v>
      </c>
      <c r="BR182" s="98">
        <f t="shared" si="442"/>
        <v>-7.1638432954157838E-2</v>
      </c>
      <c r="BS182" s="96">
        <f t="shared" si="442"/>
        <v>-2.6372893421208077E-2</v>
      </c>
      <c r="BT182" s="98">
        <f t="shared" si="442"/>
        <v>0.20503920812443766</v>
      </c>
      <c r="BU182" s="98">
        <f t="shared" si="442"/>
        <v>0.41236047827283562</v>
      </c>
      <c r="BV182" s="98">
        <f t="shared" si="442"/>
        <v>0.41635660068462577</v>
      </c>
      <c r="BW182" s="98">
        <f t="shared" ref="BW182" si="443">BW181/BR181-1</f>
        <v>0.48027329272615948</v>
      </c>
      <c r="BX182" s="96" t="e">
        <f>BX181/#REF!-1</f>
        <v>#REF!</v>
      </c>
      <c r="BY182" s="98">
        <f>BY181/BT181-1</f>
        <v>0.14864615862055586</v>
      </c>
      <c r="BZ182" s="98">
        <f t="shared" ref="BZ182:CN182" si="444">BZ181/BU181-1</f>
        <v>7.1710663063813129E-3</v>
      </c>
      <c r="CA182" s="98">
        <f t="shared" si="444"/>
        <v>5.617436382423513E-3</v>
      </c>
      <c r="CB182" s="98">
        <f t="shared" si="444"/>
        <v>1.7852710781731673E-3</v>
      </c>
      <c r="CC182" s="96">
        <f t="shared" si="444"/>
        <v>3.798442598320606E-2</v>
      </c>
      <c r="CD182" s="98">
        <f t="shared" si="444"/>
        <v>8.2150259832913797E-3</v>
      </c>
      <c r="CE182" s="98">
        <f t="shared" si="444"/>
        <v>-0.12847831321157088</v>
      </c>
      <c r="CF182" s="98">
        <f t="shared" si="444"/>
        <v>-0.12763030142067844</v>
      </c>
      <c r="CG182" s="98">
        <f t="shared" si="444"/>
        <v>-0.12285116944194518</v>
      </c>
      <c r="CH182" s="96">
        <f t="shared" si="444"/>
        <v>-9.2028415444037059E-2</v>
      </c>
      <c r="CI182" s="98">
        <f t="shared" si="444"/>
        <v>-0.11614586168346386</v>
      </c>
      <c r="CJ182" s="98">
        <f t="shared" si="444"/>
        <v>-8.7369636214738922E-2</v>
      </c>
      <c r="CK182" s="98">
        <f t="shared" si="444"/>
        <v>-0.14535472762208967</v>
      </c>
      <c r="CL182" s="98">
        <f t="shared" si="444"/>
        <v>-0.18802495503040095</v>
      </c>
      <c r="CM182" s="96">
        <f>CM181/CH181-1</f>
        <v>-0.13336154244582488</v>
      </c>
      <c r="CN182" s="98">
        <f t="shared" ca="1" si="444"/>
        <v>-0.2450746962172704</v>
      </c>
      <c r="CR182" s="129">
        <f ca="1">CR181/CM181-1</f>
        <v>-0.1830961762378589</v>
      </c>
      <c r="CW182" s="129">
        <f ca="1">CW181/CR181-1</f>
        <v>-7.6497239160976394E-2</v>
      </c>
      <c r="DB182" s="129">
        <f ca="1">DB181/CW181-1</f>
        <v>-1.492760869562948E-2</v>
      </c>
      <c r="DC182" s="23"/>
      <c r="DD182" s="23"/>
      <c r="DE182" s="23"/>
      <c r="DF182" s="23"/>
      <c r="DG182" s="23"/>
      <c r="DH182" s="23"/>
      <c r="DI182" s="23"/>
      <c r="DJ182" s="23"/>
    </row>
    <row r="183" spans="1:114" s="725" customFormat="1" ht="11.25" customHeight="1" collapsed="1">
      <c r="A183" s="16"/>
      <c r="B183" s="818" t="s">
        <v>373</v>
      </c>
      <c r="C183" s="53"/>
      <c r="D183" s="417"/>
      <c r="E183" s="115"/>
      <c r="F183" s="96"/>
      <c r="G183" s="16"/>
      <c r="H183" s="16"/>
      <c r="I183" s="16"/>
      <c r="J183" s="16"/>
      <c r="K183" s="142">
        <f t="shared" ref="K183:AP183" si="445">K181/F294-1</f>
        <v>0</v>
      </c>
      <c r="L183" s="23">
        <f t="shared" si="445"/>
        <v>3.1481740590457497E-2</v>
      </c>
      <c r="M183" s="23">
        <f t="shared" si="445"/>
        <v>4.6172845729263834E-2</v>
      </c>
      <c r="N183" s="23">
        <f t="shared" si="445"/>
        <v>6.1193956636907743E-2</v>
      </c>
      <c r="O183" s="23">
        <f t="shared" si="445"/>
        <v>3.6935319940315292E-2</v>
      </c>
      <c r="P183" s="142">
        <f t="shared" si="445"/>
        <v>4.3550308419922912E-2</v>
      </c>
      <c r="Q183" s="23">
        <f t="shared" si="445"/>
        <v>-4.2418013641035701E-3</v>
      </c>
      <c r="R183" s="23">
        <f t="shared" si="445"/>
        <v>-8.8830237734139894E-3</v>
      </c>
      <c r="S183" s="23">
        <f t="shared" si="445"/>
        <v>9.9746309963100188E-3</v>
      </c>
      <c r="T183" s="23">
        <f t="shared" si="445"/>
        <v>4.2468517618923007E-2</v>
      </c>
      <c r="U183" s="142">
        <f t="shared" si="445"/>
        <v>1.0074342356080734E-2</v>
      </c>
      <c r="V183" s="23">
        <f t="shared" si="445"/>
        <v>1.9095215614774785E-2</v>
      </c>
      <c r="W183" s="23">
        <f t="shared" si="445"/>
        <v>3.2730673316708314E-2</v>
      </c>
      <c r="X183" s="23">
        <f t="shared" si="445"/>
        <v>-1.7359561308423088E-2</v>
      </c>
      <c r="Y183" s="23">
        <f t="shared" si="445"/>
        <v>-3.4448256146369371E-2</v>
      </c>
      <c r="Z183" s="142">
        <f t="shared" si="445"/>
        <v>-1.5692114312249039E-3</v>
      </c>
      <c r="AA183" s="23">
        <f t="shared" si="445"/>
        <v>3.9675606417984399E-2</v>
      </c>
      <c r="AB183" s="23">
        <f t="shared" si="445"/>
        <v>2.872636219795055E-3</v>
      </c>
      <c r="AC183" s="23">
        <f t="shared" si="445"/>
        <v>2.3495148561167412E-2</v>
      </c>
      <c r="AD183" s="23">
        <f t="shared" si="445"/>
        <v>1.47269319875456E-2</v>
      </c>
      <c r="AE183" s="142">
        <f t="shared" si="445"/>
        <v>2.0557986461722688E-2</v>
      </c>
      <c r="AF183" s="23">
        <f t="shared" si="445"/>
        <v>-2.3672009537687111E-2</v>
      </c>
      <c r="AG183" s="23">
        <f t="shared" si="445"/>
        <v>1.1151261927615508E-2</v>
      </c>
      <c r="AH183" s="23">
        <f t="shared" si="445"/>
        <v>2.5540743232824514E-2</v>
      </c>
      <c r="AI183" s="23">
        <f t="shared" si="445"/>
        <v>3.1935318136340207E-2</v>
      </c>
      <c r="AJ183" s="142">
        <f t="shared" si="445"/>
        <v>1.0928118559971001E-2</v>
      </c>
      <c r="AK183" s="23">
        <f t="shared" si="445"/>
        <v>9.697078100445955E-3</v>
      </c>
      <c r="AL183" s="23">
        <f t="shared" si="445"/>
        <v>-1.6144656118824985E-3</v>
      </c>
      <c r="AM183" s="23">
        <f t="shared" si="445"/>
        <v>-2.9600706282613576E-2</v>
      </c>
      <c r="AN183" s="23">
        <f t="shared" si="445"/>
        <v>-9.1466668340730584E-3</v>
      </c>
      <c r="AO183" s="142">
        <f t="shared" si="445"/>
        <v>-1.0793611748842968E-2</v>
      </c>
      <c r="AP183" s="23">
        <f t="shared" si="445"/>
        <v>3.8015222976803598E-2</v>
      </c>
      <c r="AQ183" s="23">
        <f t="shared" ref="AQ183:BR183" si="446">AQ181/AL294-1</f>
        <v>2.2943820506078794E-2</v>
      </c>
      <c r="AR183" s="23">
        <f t="shared" si="446"/>
        <v>2.3474824282748497E-2</v>
      </c>
      <c r="AS183" s="23">
        <f t="shared" si="446"/>
        <v>-8.9433525435964611E-3</v>
      </c>
      <c r="AT183" s="142">
        <f t="shared" si="446"/>
        <v>1.9691999342347444E-2</v>
      </c>
      <c r="AU183" s="23">
        <f t="shared" si="446"/>
        <v>-4.8811615436122557E-2</v>
      </c>
      <c r="AV183" s="23">
        <f t="shared" si="446"/>
        <v>-4.4814887078679089E-3</v>
      </c>
      <c r="AW183" s="23">
        <f t="shared" si="446"/>
        <v>-1.5240356954866474E-3</v>
      </c>
      <c r="AX183" s="23">
        <f t="shared" si="446"/>
        <v>-5.3316853578591061E-3</v>
      </c>
      <c r="AY183" s="142">
        <f t="shared" si="446"/>
        <v>-1.5423483903393431E-2</v>
      </c>
      <c r="AZ183" s="23">
        <f t="shared" si="446"/>
        <v>-1.2122794800371373E-2</v>
      </c>
      <c r="BA183" s="23">
        <f t="shared" si="446"/>
        <v>-2.4554163256366168E-2</v>
      </c>
      <c r="BB183" s="23">
        <f t="shared" si="446"/>
        <v>-3.5835232172328868E-2</v>
      </c>
      <c r="BC183" s="23">
        <f t="shared" si="446"/>
        <v>-2.8307932513049971E-2</v>
      </c>
      <c r="BD183" s="142">
        <f t="shared" si="446"/>
        <v>-2.5243694130115513E-2</v>
      </c>
      <c r="BE183" s="23">
        <f t="shared" si="446"/>
        <v>-3.436112872542807E-2</v>
      </c>
      <c r="BF183" s="23">
        <f t="shared" si="446"/>
        <v>-5.5559539174912742E-2</v>
      </c>
      <c r="BG183" s="23">
        <f t="shared" si="446"/>
        <v>-6.9932428363224663E-2</v>
      </c>
      <c r="BH183" s="23">
        <f t="shared" si="446"/>
        <v>-6.7063145006122094E-2</v>
      </c>
      <c r="BI183" s="142">
        <f t="shared" si="446"/>
        <v>-5.5997192916241612E-2</v>
      </c>
      <c r="BJ183" s="23">
        <f t="shared" si="446"/>
        <v>-2.324618612828222E-2</v>
      </c>
      <c r="BK183" s="23">
        <f t="shared" si="446"/>
        <v>-1.9847210341222277E-2</v>
      </c>
      <c r="BL183" s="23">
        <f t="shared" si="446"/>
        <v>-3.069606047002571E-3</v>
      </c>
      <c r="BM183" s="23">
        <f t="shared" si="446"/>
        <v>9.5142018339757772E-3</v>
      </c>
      <c r="BN183" s="142">
        <f t="shared" si="446"/>
        <v>-9.4378194207836996E-3</v>
      </c>
      <c r="BO183" s="23">
        <f t="shared" si="446"/>
        <v>-5.9102304714989451E-2</v>
      </c>
      <c r="BP183" s="23">
        <f t="shared" si="446"/>
        <v>-5.7330973369693727E-2</v>
      </c>
      <c r="BQ183" s="23">
        <f t="shared" si="446"/>
        <v>-6.8465928784342767E-2</v>
      </c>
      <c r="BR183" s="23">
        <f t="shared" si="446"/>
        <v>-0.10523553566485189</v>
      </c>
      <c r="BS183" s="142">
        <f>BS182</f>
        <v>-2.6372893421208077E-2</v>
      </c>
      <c r="BT183" s="23">
        <f>BT181/BO294-1</f>
        <v>-8.0525571918373173E-2</v>
      </c>
      <c r="BU183" s="23">
        <f>BU181/BP294-1</f>
        <v>-4.7782414356166147E-2</v>
      </c>
      <c r="BV183" s="23">
        <f>BV181/BQ294-1</f>
        <v>-3.9267070764856027E-2</v>
      </c>
      <c r="BW183" s="23">
        <f>BW181/BR294-1</f>
        <v>-1.795105837353872E-3</v>
      </c>
      <c r="BX183" s="142" t="e">
        <f>BX182</f>
        <v>#REF!</v>
      </c>
      <c r="BY183" s="23">
        <f>BY181/BT294-1</f>
        <v>4.0733801849763829E-3</v>
      </c>
      <c r="BZ183" s="23">
        <f>BZ181/BU294-1</f>
        <v>-2.2366070490321799E-2</v>
      </c>
      <c r="CA183" s="23">
        <f>CA181/BV294-1</f>
        <v>-2.0875963440420198E-2</v>
      </c>
      <c r="CB183" s="23">
        <f>CB181/BW294-1</f>
        <v>-3.3851542027816928E-2</v>
      </c>
      <c r="CC183" s="110">
        <f>CC182</f>
        <v>3.798442598320606E-2</v>
      </c>
      <c r="CD183" s="23">
        <f>CD181/BY294-1</f>
        <v>-2.0293220005250689E-2</v>
      </c>
      <c r="CE183" s="23">
        <f>CE181/BZ294-1</f>
        <v>-2.1193581565591924E-2</v>
      </c>
      <c r="CF183" s="23">
        <f>CF181/CA294-1</f>
        <v>-2.0698924731182844E-2</v>
      </c>
      <c r="CG183" s="23">
        <f>CG181/CB294-1</f>
        <v>-1.4282434656884502E-2</v>
      </c>
      <c r="CH183" s="110">
        <f>CH182</f>
        <v>-9.2028415444037059E-2</v>
      </c>
      <c r="CI183" s="23">
        <f>CI181/CD294-1</f>
        <v>-1.492843776395425E-2</v>
      </c>
      <c r="CJ183" s="23">
        <f>CJ181/CE294-1</f>
        <v>-2.5136750245043804E-2</v>
      </c>
      <c r="CK183" s="23">
        <f>CK181/CF294-1</f>
        <v>-2.3070998659326269E-2</v>
      </c>
      <c r="CL183" s="23">
        <f>CL181/CG294-1</f>
        <v>-1.6971827606066414E-2</v>
      </c>
      <c r="CM183" s="96">
        <f>CM181/CH294-1</f>
        <v>8.7461609964677445E-2</v>
      </c>
      <c r="CN183" s="23">
        <f ca="1">CN182*(CL183/CL182)</f>
        <v>-2.2121348169641099E-2</v>
      </c>
      <c r="CR183" s="96"/>
      <c r="CW183" s="96"/>
      <c r="DB183" s="96"/>
      <c r="DC183" s="16"/>
      <c r="DD183" s="16"/>
      <c r="DE183" s="16"/>
      <c r="DF183" s="16"/>
      <c r="DG183" s="16"/>
      <c r="DH183" s="16"/>
      <c r="DI183" s="16"/>
      <c r="DJ183" s="16"/>
    </row>
    <row r="184" spans="1:114" s="725" customFormat="1" ht="11.25" customHeight="1">
      <c r="A184" s="16"/>
      <c r="B184" s="818" t="s">
        <v>721</v>
      </c>
      <c r="C184" s="53"/>
      <c r="D184" s="417"/>
      <c r="E184" s="115"/>
      <c r="F184" s="96"/>
      <c r="G184" s="16"/>
      <c r="H184" s="16"/>
      <c r="I184" s="16"/>
      <c r="J184" s="16"/>
      <c r="K184" s="142"/>
      <c r="L184" s="23"/>
      <c r="M184" s="23"/>
      <c r="N184" s="23"/>
      <c r="O184" s="23"/>
      <c r="P184" s="142"/>
      <c r="Q184" s="23"/>
      <c r="R184" s="23"/>
      <c r="S184" s="23"/>
      <c r="T184" s="23"/>
      <c r="U184" s="142"/>
      <c r="V184" s="23"/>
      <c r="W184" s="23"/>
      <c r="X184" s="23"/>
      <c r="Y184" s="23"/>
      <c r="Z184" s="142"/>
      <c r="AA184" s="23"/>
      <c r="AB184" s="23"/>
      <c r="AC184" s="23"/>
      <c r="AD184" s="23"/>
      <c r="AE184" s="142"/>
      <c r="AF184" s="23"/>
      <c r="AG184" s="23"/>
      <c r="AH184" s="23"/>
      <c r="AI184" s="23"/>
      <c r="AJ184" s="142"/>
      <c r="AK184" s="23"/>
      <c r="AL184" s="23"/>
      <c r="AM184" s="23"/>
      <c r="AN184" s="23"/>
      <c r="AO184" s="142"/>
      <c r="AP184" s="23"/>
      <c r="AQ184" s="23"/>
      <c r="AR184" s="23"/>
      <c r="AS184" s="23"/>
      <c r="AT184" s="142"/>
      <c r="AU184" s="23"/>
      <c r="AV184" s="23"/>
      <c r="AW184" s="23"/>
      <c r="AX184" s="23"/>
      <c r="AY184" s="142"/>
      <c r="AZ184" s="23"/>
      <c r="BA184" s="23"/>
      <c r="BB184" s="23"/>
      <c r="BC184" s="23"/>
      <c r="BD184" s="142"/>
      <c r="BE184" s="23"/>
      <c r="BF184" s="23"/>
      <c r="BG184" s="23"/>
      <c r="BH184" s="23"/>
      <c r="BI184" s="142"/>
      <c r="BJ184" s="23"/>
      <c r="BK184" s="23"/>
      <c r="BL184" s="23"/>
      <c r="BM184" s="23"/>
      <c r="BN184" s="142"/>
      <c r="BO184" s="23"/>
      <c r="BP184" s="23"/>
      <c r="BQ184" s="23"/>
      <c r="BR184" s="23"/>
      <c r="BS184" s="142"/>
      <c r="BT184" s="23"/>
      <c r="BU184" s="23"/>
      <c r="BV184" s="23"/>
      <c r="BW184" s="23"/>
      <c r="BX184" s="142"/>
      <c r="BY184" s="23"/>
      <c r="BZ184" s="23"/>
      <c r="CA184" s="23"/>
      <c r="CB184" s="23"/>
      <c r="CC184" s="110"/>
      <c r="CD184" s="23"/>
      <c r="CE184" s="23"/>
      <c r="CF184" s="23"/>
      <c r="CG184" s="23"/>
      <c r="CH184" s="110"/>
      <c r="CI184" s="112"/>
      <c r="CJ184" s="112"/>
      <c r="CK184" s="112"/>
      <c r="CL184" s="112"/>
      <c r="CM184" s="110"/>
      <c r="CN184" s="1364">
        <f>CHOOSE(Scenarios!$C$8,Scenarios!AX15,Scenarios!AX16,Scenarios!AX17)</f>
        <v>-5.0000000000000001E-3</v>
      </c>
      <c r="CO184" s="1364">
        <f>CHOOSE(Scenarios!$C$8,Scenarios!AY15,Scenarios!AY16,Scenarios!AY17)</f>
        <v>-5.0000000000000001E-3</v>
      </c>
      <c r="CP184" s="1364">
        <f>CHOOSE(Scenarios!$C$8,Scenarios!AZ15,Scenarios!AZ16,Scenarios!AZ17)</f>
        <v>-5.0000000000000001E-3</v>
      </c>
      <c r="CQ184" s="1364">
        <f>CHOOSE(Scenarios!$C$8,Scenarios!BA15,Scenarios!BA16,Scenarios!BA17)</f>
        <v>-5.0000000000000001E-3</v>
      </c>
      <c r="CR184" s="110"/>
      <c r="CS184" s="1364">
        <f>CHOOSE(Scenarios!$C$8,Scenarios!BC15,Scenarios!BC16,Scenarios!BC17)</f>
        <v>-5.0000000000000001E-3</v>
      </c>
      <c r="CT184" s="1364">
        <f>CHOOSE(Scenarios!$C$8,Scenarios!BD15,Scenarios!BD16,Scenarios!BD17)</f>
        <v>-5.0000000000000001E-3</v>
      </c>
      <c r="CU184" s="1364">
        <f>CHOOSE(Scenarios!$C$8,Scenarios!BE15,Scenarios!BE16,Scenarios!BE17)</f>
        <v>-5.0000000000000001E-3</v>
      </c>
      <c r="CV184" s="1364">
        <f>CHOOSE(Scenarios!$C$8,Scenarios!BF15,Scenarios!BF16,Scenarios!BF17)</f>
        <v>-5.0000000000000001E-3</v>
      </c>
      <c r="CW184" s="110"/>
      <c r="CX184" s="1364">
        <f>CHOOSE(Scenarios!$C$8,Scenarios!BH15,Scenarios!BH16,Scenarios!BH17)</f>
        <v>-3.0000000000000001E-3</v>
      </c>
      <c r="CY184" s="1364">
        <f>CHOOSE(Scenarios!$C$8,Scenarios!BI15,Scenarios!BI16,Scenarios!BI17)</f>
        <v>-3.0000000000000001E-3</v>
      </c>
      <c r="CZ184" s="1364">
        <f>CHOOSE(Scenarios!$C$8,Scenarios!BJ15,Scenarios!BJ16,Scenarios!BJ17)</f>
        <v>-3.0000000000000001E-3</v>
      </c>
      <c r="DA184" s="1364">
        <f>CHOOSE(Scenarios!$C$8,Scenarios!BK15,Scenarios!BK16,Scenarios!BK17)</f>
        <v>-3.0000000000000001E-3</v>
      </c>
      <c r="DB184" s="110"/>
      <c r="DC184" s="16"/>
      <c r="DD184" s="16"/>
      <c r="DE184" s="16"/>
      <c r="DF184" s="16"/>
      <c r="DG184" s="16"/>
      <c r="DH184" s="16"/>
      <c r="DI184" s="16"/>
      <c r="DJ184" s="16"/>
    </row>
    <row r="185" spans="1:114">
      <c r="CM185" s="1378"/>
      <c r="CR185" s="1378"/>
      <c r="CW185" s="1378"/>
      <c r="DB185" s="1378"/>
    </row>
    <row r="186" spans="1:114" s="725" customFormat="1" ht="11.25" customHeight="1">
      <c r="A186" s="16"/>
      <c r="B186" s="16" t="s">
        <v>46</v>
      </c>
      <c r="C186" s="37"/>
      <c r="D186" s="106"/>
      <c r="E186" s="83">
        <f t="shared" ref="E186:AJ186" si="447">E189-E181</f>
        <v>94478</v>
      </c>
      <c r="F186" s="95">
        <f t="shared" si="447"/>
        <v>118871</v>
      </c>
      <c r="G186" s="108">
        <f t="shared" si="447"/>
        <v>28488</v>
      </c>
      <c r="H186" s="108">
        <f t="shared" si="447"/>
        <v>30381</v>
      </c>
      <c r="I186" s="108">
        <f t="shared" si="447"/>
        <v>33242</v>
      </c>
      <c r="J186" s="108">
        <f t="shared" si="447"/>
        <v>32848</v>
      </c>
      <c r="K186" s="109">
        <f t="shared" si="447"/>
        <v>125025</v>
      </c>
      <c r="L186" s="108">
        <f t="shared" si="447"/>
        <v>35273</v>
      </c>
      <c r="M186" s="108">
        <f t="shared" si="447"/>
        <v>36722</v>
      </c>
      <c r="N186" s="108">
        <f t="shared" si="447"/>
        <v>38288</v>
      </c>
      <c r="O186" s="108">
        <f t="shared" si="447"/>
        <v>39959</v>
      </c>
      <c r="P186" s="109">
        <f t="shared" si="447"/>
        <v>150242</v>
      </c>
      <c r="Q186" s="108">
        <f t="shared" si="447"/>
        <v>42034</v>
      </c>
      <c r="R186" s="108">
        <f t="shared" si="447"/>
        <v>42528</v>
      </c>
      <c r="S186" s="108">
        <f t="shared" si="447"/>
        <v>44287</v>
      </c>
      <c r="T186" s="108">
        <f t="shared" si="447"/>
        <v>44571</v>
      </c>
      <c r="U186" s="109">
        <f t="shared" si="447"/>
        <v>173450</v>
      </c>
      <c r="V186" s="108">
        <f t="shared" si="447"/>
        <v>50076</v>
      </c>
      <c r="W186" s="108">
        <f t="shared" si="447"/>
        <v>50867</v>
      </c>
      <c r="X186" s="108">
        <f t="shared" si="447"/>
        <v>56408</v>
      </c>
      <c r="Y186" s="108">
        <f t="shared" si="447"/>
        <v>57278</v>
      </c>
      <c r="Z186" s="109">
        <f t="shared" si="447"/>
        <v>213106</v>
      </c>
      <c r="AA186" s="108">
        <f t="shared" si="447"/>
        <v>55524</v>
      </c>
      <c r="AB186" s="108">
        <f t="shared" si="447"/>
        <v>56612</v>
      </c>
      <c r="AC186" s="108">
        <f t="shared" si="447"/>
        <v>60474</v>
      </c>
      <c r="AD186" s="108">
        <f t="shared" si="447"/>
        <v>57422</v>
      </c>
      <c r="AE186" s="109">
        <f t="shared" si="447"/>
        <v>229562</v>
      </c>
      <c r="AF186" s="108">
        <f t="shared" si="447"/>
        <v>59563</v>
      </c>
      <c r="AG186" s="108">
        <f t="shared" si="447"/>
        <v>61776</v>
      </c>
      <c r="AH186" s="108">
        <f t="shared" si="447"/>
        <v>62686</v>
      </c>
      <c r="AI186" s="108">
        <f t="shared" si="447"/>
        <v>64244</v>
      </c>
      <c r="AJ186" s="109">
        <f t="shared" si="447"/>
        <v>248254</v>
      </c>
      <c r="AK186" s="108">
        <f t="shared" ref="AK186:BR186" si="448">AK189-AK181</f>
        <v>64790</v>
      </c>
      <c r="AL186" s="108">
        <f t="shared" si="448"/>
        <v>68059</v>
      </c>
      <c r="AM186" s="108">
        <f t="shared" si="448"/>
        <v>114616</v>
      </c>
      <c r="AN186" s="108">
        <f t="shared" si="448"/>
        <v>124838</v>
      </c>
      <c r="AO186" s="109">
        <f t="shared" si="448"/>
        <v>357873</v>
      </c>
      <c r="AP186" s="108">
        <f t="shared" si="448"/>
        <v>128489</v>
      </c>
      <c r="AQ186" s="108">
        <f t="shared" si="448"/>
        <v>132389</v>
      </c>
      <c r="AR186" s="108">
        <f t="shared" si="448"/>
        <v>136529</v>
      </c>
      <c r="AS186" s="108">
        <f t="shared" si="448"/>
        <v>129672</v>
      </c>
      <c r="AT186" s="109">
        <f t="shared" si="448"/>
        <v>523389</v>
      </c>
      <c r="AU186" s="108">
        <f t="shared" si="448"/>
        <v>132518</v>
      </c>
      <c r="AV186" s="108">
        <f t="shared" si="448"/>
        <v>140216</v>
      </c>
      <c r="AW186" s="108">
        <f t="shared" si="448"/>
        <v>143524</v>
      </c>
      <c r="AX186" s="108">
        <f t="shared" si="448"/>
        <v>139691</v>
      </c>
      <c r="AY186" s="109">
        <f t="shared" si="448"/>
        <v>557391</v>
      </c>
      <c r="AZ186" s="108">
        <f t="shared" si="448"/>
        <v>139650</v>
      </c>
      <c r="BA186" s="108">
        <f t="shared" si="448"/>
        <v>149212</v>
      </c>
      <c r="BB186" s="108">
        <f t="shared" si="448"/>
        <v>154839</v>
      </c>
      <c r="BC186" s="108">
        <f t="shared" si="448"/>
        <v>150215</v>
      </c>
      <c r="BD186" s="109">
        <f t="shared" si="448"/>
        <v>594381</v>
      </c>
      <c r="BE186" s="108">
        <f t="shared" si="448"/>
        <v>151571</v>
      </c>
      <c r="BF186" s="108">
        <f t="shared" si="448"/>
        <v>155245</v>
      </c>
      <c r="BG186" s="108">
        <f t="shared" si="448"/>
        <v>161238</v>
      </c>
      <c r="BH186" s="108">
        <f t="shared" si="448"/>
        <v>161494</v>
      </c>
      <c r="BI186" s="109">
        <f t="shared" si="448"/>
        <v>627558</v>
      </c>
      <c r="BJ186" s="108">
        <f t="shared" si="448"/>
        <v>168033</v>
      </c>
      <c r="BK186" s="108">
        <f t="shared" si="448"/>
        <v>168975</v>
      </c>
      <c r="BL186" s="108">
        <f t="shared" si="448"/>
        <v>172916</v>
      </c>
      <c r="BM186" s="108">
        <f t="shared" si="448"/>
        <v>172310</v>
      </c>
      <c r="BN186" s="109">
        <f t="shared" si="448"/>
        <v>682364</v>
      </c>
      <c r="BO186" s="108">
        <f t="shared" si="448"/>
        <v>169013</v>
      </c>
      <c r="BP186" s="108">
        <f t="shared" si="448"/>
        <v>178211</v>
      </c>
      <c r="BQ186" s="108">
        <f t="shared" si="448"/>
        <v>180396</v>
      </c>
      <c r="BR186" s="108">
        <f t="shared" si="448"/>
        <v>174146</v>
      </c>
      <c r="BS186" s="109">
        <f>SUM(BO186:BR186)</f>
        <v>701766</v>
      </c>
      <c r="BT186" s="108">
        <f>BT189-BT181</f>
        <v>217897</v>
      </c>
      <c r="BU186" s="108">
        <f>BU189-BU181</f>
        <v>266412</v>
      </c>
      <c r="BV186" s="108">
        <f>BV189-BV181</f>
        <v>270180</v>
      </c>
      <c r="BW186" s="108">
        <f>BW189-BW181</f>
        <v>264249</v>
      </c>
      <c r="BX186" s="109">
        <f>SUM(BT186:BW186)</f>
        <v>1018738</v>
      </c>
      <c r="BY186" s="108">
        <f>BY189-BY181</f>
        <v>255311</v>
      </c>
      <c r="BZ186" s="108">
        <f>BZ189-BZ181</f>
        <v>276643</v>
      </c>
      <c r="CA186" s="108">
        <f>CA189-CA181</f>
        <v>280651</v>
      </c>
      <c r="CB186" s="108">
        <f>CB189-CB181</f>
        <v>273614</v>
      </c>
      <c r="CC186" s="109">
        <f>SUM(BY186:CB186)</f>
        <v>1086219</v>
      </c>
      <c r="CD186" s="108">
        <f>CD189-CD181</f>
        <v>271926</v>
      </c>
      <c r="CE186" s="108">
        <f>CE189-CE181</f>
        <v>241568</v>
      </c>
      <c r="CF186" s="108">
        <f>CF189-CF181</f>
        <v>241180</v>
      </c>
      <c r="CG186" s="108">
        <f>CG189-CG181</f>
        <v>233802</v>
      </c>
      <c r="CH186" s="109">
        <f>SUM(CD186:CG186)</f>
        <v>988476</v>
      </c>
      <c r="CI186" s="108">
        <f>CI189-CI181</f>
        <v>234963</v>
      </c>
      <c r="CJ186" s="108">
        <f>CJ189-CJ181</f>
        <v>220592</v>
      </c>
      <c r="CK186" s="108">
        <f>CK189-CK181</f>
        <v>203567</v>
      </c>
      <c r="CL186" s="108">
        <f>CL189-CL181</f>
        <v>190275</v>
      </c>
      <c r="CM186" s="109">
        <f>SUM(CI186:CL186)</f>
        <v>849397</v>
      </c>
      <c r="CN186" s="108">
        <f ca="1">CN189-CN181</f>
        <v>169071.47096959347</v>
      </c>
      <c r="CO186" s="108">
        <f ca="1">CO189-CO181</f>
        <v>142082.41129755334</v>
      </c>
      <c r="CP186" s="108">
        <f ca="1">CP189-CP181</f>
        <v>125726.6871888797</v>
      </c>
      <c r="CQ186" s="108">
        <f ca="1">CQ189-CQ181</f>
        <v>130725.30536588945</v>
      </c>
      <c r="CR186" s="109">
        <f ca="1">SUM(CN186:CQ186)</f>
        <v>567605.87482191599</v>
      </c>
      <c r="CS186" s="108">
        <f ca="1">CS189-CS181</f>
        <v>143352.28872899458</v>
      </c>
      <c r="CT186" s="108">
        <f ca="1">CT189-CT181</f>
        <v>140182.53968864609</v>
      </c>
      <c r="CU186" s="108">
        <f ca="1">CU189-CU181</f>
        <v>141831.9302397045</v>
      </c>
      <c r="CV186" s="108">
        <f ca="1">CV189-CV181</f>
        <v>133910.29887076048</v>
      </c>
      <c r="CW186" s="109">
        <f ca="1">SUM(CS186:CV186)</f>
        <v>559277.05752810556</v>
      </c>
      <c r="CX186" s="108">
        <f ca="1">CX189-CX181</f>
        <v>147783.45868424815</v>
      </c>
      <c r="CY186" s="108">
        <f ca="1">CY189-CY181</f>
        <v>144992.11165079725</v>
      </c>
      <c r="CZ186" s="108">
        <f ca="1">CZ189-CZ181</f>
        <v>143224.10588195719</v>
      </c>
      <c r="DA186" s="108">
        <f ca="1">DA189-DA181</f>
        <v>138318.57145298773</v>
      </c>
      <c r="DB186" s="109">
        <f ca="1">SUM(CX186:DA186)</f>
        <v>574318.24766999029</v>
      </c>
      <c r="DC186" s="16"/>
      <c r="DD186" s="16"/>
      <c r="DE186" s="16"/>
      <c r="DF186" s="16"/>
      <c r="DG186" s="16"/>
      <c r="DH186" s="16"/>
      <c r="DI186" s="16"/>
      <c r="DJ186" s="16"/>
    </row>
    <row r="187" spans="1:114" s="725" customFormat="1" ht="11.25" customHeight="1">
      <c r="A187" s="23"/>
      <c r="B187" s="818" t="s">
        <v>660</v>
      </c>
      <c r="C187" s="54"/>
      <c r="D187" s="97"/>
      <c r="E187" s="115"/>
      <c r="F187" s="116"/>
      <c r="G187" s="98"/>
      <c r="H187" s="98"/>
      <c r="I187" s="98"/>
      <c r="J187" s="98"/>
      <c r="K187" s="96">
        <f t="shared" ref="K187:AP187" si="449">K186/F99-1</f>
        <v>-0.12759053799455722</v>
      </c>
      <c r="L187" s="98">
        <f t="shared" si="449"/>
        <v>-0.17744041789095655</v>
      </c>
      <c r="M187" s="98">
        <f t="shared" si="449"/>
        <v>-7.4476396905007958E-2</v>
      </c>
      <c r="N187" s="98">
        <f t="shared" si="449"/>
        <v>-6.0924163641714935E-2</v>
      </c>
      <c r="O187" s="98">
        <f t="shared" si="449"/>
        <v>-0.13589083753216702</v>
      </c>
      <c r="P187" s="96">
        <f t="shared" si="449"/>
        <v>-0.11400332598157736</v>
      </c>
      <c r="Q187" s="98">
        <f t="shared" si="449"/>
        <v>-0.21453798000560587</v>
      </c>
      <c r="R187" s="98">
        <f t="shared" si="449"/>
        <v>-0.16235646333536857</v>
      </c>
      <c r="S187" s="98">
        <f t="shared" si="449"/>
        <v>-0.14885070725707261</v>
      </c>
      <c r="T187" s="98">
        <f t="shared" si="449"/>
        <v>-0.1692109824973439</v>
      </c>
      <c r="U187" s="96">
        <f t="shared" si="449"/>
        <v>-0.1739178061314397</v>
      </c>
      <c r="V187" s="98">
        <f t="shared" si="449"/>
        <v>-0.18771087464313518</v>
      </c>
      <c r="W187" s="98">
        <f t="shared" si="449"/>
        <v>-0.12266510288207799</v>
      </c>
      <c r="X187" s="98">
        <f t="shared" si="449"/>
        <v>-0.12224573633760738</v>
      </c>
      <c r="Y187" s="98">
        <f t="shared" si="449"/>
        <v>-0.19299481514878269</v>
      </c>
      <c r="Z187" s="96">
        <f t="shared" si="449"/>
        <v>-0.16385408860307538</v>
      </c>
      <c r="AA187" s="98">
        <f t="shared" si="449"/>
        <v>-0.2355540869852546</v>
      </c>
      <c r="AB187" s="98">
        <f t="shared" si="449"/>
        <v>-0.18125677923204864</v>
      </c>
      <c r="AC187" s="98">
        <f t="shared" si="449"/>
        <v>-0.12619928331984742</v>
      </c>
      <c r="AD187" s="98">
        <f t="shared" si="449"/>
        <v>-0.18787655927361191</v>
      </c>
      <c r="AE187" s="96">
        <f t="shared" si="449"/>
        <v>-0.18506027860216123</v>
      </c>
      <c r="AF187" s="98">
        <f t="shared" si="449"/>
        <v>1.7996501614638838E-3</v>
      </c>
      <c r="AG187" s="98">
        <f t="shared" si="449"/>
        <v>-2.3255813953488857E-3</v>
      </c>
      <c r="AH187" s="98">
        <f t="shared" si="449"/>
        <v>-1.4603474023422103E-2</v>
      </c>
      <c r="AI187" s="98">
        <f t="shared" si="449"/>
        <v>3.2314045602815256E-2</v>
      </c>
      <c r="AJ187" s="96">
        <f t="shared" si="449"/>
        <v>4.166262175193447E-3</v>
      </c>
      <c r="AK187" s="98">
        <f t="shared" si="449"/>
        <v>9.1585931902433693E-3</v>
      </c>
      <c r="AL187" s="98">
        <f t="shared" si="449"/>
        <v>-1.328017397607828E-2</v>
      </c>
      <c r="AM187" s="98">
        <f t="shared" si="449"/>
        <v>0.57232221246707637</v>
      </c>
      <c r="AN187" s="98">
        <f t="shared" si="449"/>
        <v>0.70204237449895013</v>
      </c>
      <c r="AO187" s="96">
        <f t="shared" si="449"/>
        <v>0.28077546623529548</v>
      </c>
      <c r="AP187" s="98">
        <f t="shared" si="449"/>
        <v>0.73652557033192778</v>
      </c>
      <c r="AQ187" s="98">
        <f t="shared" ref="AQ187:BV187" si="450">AQ186/AL99-1</f>
        <v>0.71615052564717474</v>
      </c>
      <c r="AR187" s="98">
        <f t="shared" si="450"/>
        <v>0.12565030629323348</v>
      </c>
      <c r="AS187" s="98">
        <f t="shared" si="450"/>
        <v>-3.1288678418499583E-3</v>
      </c>
      <c r="AT187" s="96">
        <f t="shared" si="450"/>
        <v>0.3003356496721763</v>
      </c>
      <c r="AU187" s="98">
        <f t="shared" si="450"/>
        <v>-3.4067578644967345E-3</v>
      </c>
      <c r="AV187" s="98">
        <f t="shared" si="450"/>
        <v>4.5670136920920035E-2</v>
      </c>
      <c r="AW187" s="98">
        <f t="shared" si="450"/>
        <v>4.5742681025312315E-2</v>
      </c>
      <c r="AX187" s="98">
        <f t="shared" si="450"/>
        <v>5.2960464327441281E-2</v>
      </c>
      <c r="AY187" s="96">
        <f t="shared" si="450"/>
        <v>3.8022325103263865E-2</v>
      </c>
      <c r="AZ187" s="98">
        <f t="shared" si="450"/>
        <v>2.8350515463917425E-2</v>
      </c>
      <c r="BA187" s="98">
        <f t="shared" si="450"/>
        <v>8.9458986131489837E-3</v>
      </c>
      <c r="BB187" s="98">
        <f t="shared" si="450"/>
        <v>1.3808681987821592E-2</v>
      </c>
      <c r="BC187" s="98">
        <f t="shared" si="450"/>
        <v>3.2213953424450548E-2</v>
      </c>
      <c r="BD187" s="96">
        <f t="shared" si="450"/>
        <v>2.1367961975853333E-2</v>
      </c>
      <c r="BE187" s="98">
        <f t="shared" si="450"/>
        <v>3.3534943028782127E-2</v>
      </c>
      <c r="BF187" s="98">
        <f t="shared" si="450"/>
        <v>2.010710648224201E-2</v>
      </c>
      <c r="BG187" s="98">
        <f t="shared" si="450"/>
        <v>2.5210938940568361E-2</v>
      </c>
      <c r="BH187" s="98">
        <f t="shared" si="450"/>
        <v>1.9828990742261077E-2</v>
      </c>
      <c r="BI187" s="96">
        <f t="shared" si="450"/>
        <v>2.1307967093325164E-2</v>
      </c>
      <c r="BJ187" s="98">
        <f t="shared" si="450"/>
        <v>6.3002138239052652E-2</v>
      </c>
      <c r="BK187" s="98">
        <f t="shared" si="450"/>
        <v>3.1316374111960199E-2</v>
      </c>
      <c r="BL187" s="98">
        <f t="shared" si="450"/>
        <v>1.8339006607696051E-2</v>
      </c>
      <c r="BM187" s="98">
        <f t="shared" si="450"/>
        <v>3.69001913610707E-2</v>
      </c>
      <c r="BN187" s="96">
        <f t="shared" si="450"/>
        <v>3.7188135546847745E-2</v>
      </c>
      <c r="BO187" s="98">
        <f t="shared" si="450"/>
        <v>-4.4730312501766289E-2</v>
      </c>
      <c r="BP187" s="98">
        <f t="shared" si="450"/>
        <v>3.8190082970490646E-3</v>
      </c>
      <c r="BQ187" s="98">
        <f t="shared" si="450"/>
        <v>-1.187528757038625E-2</v>
      </c>
      <c r="BR187" s="98">
        <f t="shared" si="450"/>
        <v>-2.962727693173528E-2</v>
      </c>
      <c r="BS187" s="96">
        <f t="shared" si="450"/>
        <v>-2.0546081087305157E-2</v>
      </c>
      <c r="BT187" s="98">
        <f t="shared" si="450"/>
        <v>0.26465928019640494</v>
      </c>
      <c r="BU187" s="98">
        <f t="shared" si="450"/>
        <v>0.47937629106417012</v>
      </c>
      <c r="BV187" s="98">
        <f t="shared" si="450"/>
        <v>0.49770504889243661</v>
      </c>
      <c r="BW187" s="98">
        <f t="shared" ref="BW187" si="451">BW186/BR99-1</f>
        <v>0.51739919377993182</v>
      </c>
      <c r="BX187" s="96">
        <f>BX186/BS102-1</f>
        <v>-0.25195540243254122</v>
      </c>
      <c r="BY187" s="98">
        <f t="shared" ref="BY187:CW187" si="452">BY186/BT186-1</f>
        <v>0.17170497987581279</v>
      </c>
      <c r="BZ187" s="98">
        <f t="shared" si="452"/>
        <v>3.8402924793177418E-2</v>
      </c>
      <c r="CA187" s="98">
        <f t="shared" si="452"/>
        <v>3.8755644385224608E-2</v>
      </c>
      <c r="CB187" s="98">
        <f t="shared" si="452"/>
        <v>3.5440058429738519E-2</v>
      </c>
      <c r="CC187" s="96">
        <f t="shared" si="452"/>
        <v>6.6239798652843129E-2</v>
      </c>
      <c r="CD187" s="98">
        <f t="shared" si="452"/>
        <v>6.5077493723341373E-2</v>
      </c>
      <c r="CE187" s="98">
        <f t="shared" si="452"/>
        <v>-0.12678795415029476</v>
      </c>
      <c r="CF187" s="98">
        <f t="shared" si="452"/>
        <v>-0.14064086712678736</v>
      </c>
      <c r="CG187" s="98">
        <f t="shared" si="452"/>
        <v>-0.14550425051349714</v>
      </c>
      <c r="CH187" s="96">
        <f t="shared" si="452"/>
        <v>-8.9984616361893921E-2</v>
      </c>
      <c r="CI187" s="98">
        <f t="shared" si="452"/>
        <v>-0.13593036340769182</v>
      </c>
      <c r="CJ187" s="98">
        <f t="shared" si="452"/>
        <v>-8.6832693071930089E-2</v>
      </c>
      <c r="CK187" s="98">
        <f t="shared" si="452"/>
        <v>-0.15595405920888961</v>
      </c>
      <c r="CL187" s="98">
        <f t="shared" si="452"/>
        <v>-0.18617034926989506</v>
      </c>
      <c r="CM187" s="96">
        <f t="shared" si="452"/>
        <v>-0.14070043177578417</v>
      </c>
      <c r="CN187" s="98">
        <f t="shared" ca="1" si="452"/>
        <v>-0.28043363861717174</v>
      </c>
      <c r="CO187" s="98">
        <f t="shared" ca="1" si="452"/>
        <v>-0.3559040613551111</v>
      </c>
      <c r="CP187" s="98">
        <f t="shared" ca="1" si="452"/>
        <v>-0.38238178492152608</v>
      </c>
      <c r="CQ187" s="98">
        <f t="shared" ca="1" si="452"/>
        <v>-0.31296646766054681</v>
      </c>
      <c r="CR187" s="96">
        <f t="shared" ca="1" si="452"/>
        <v>-0.33175432121620874</v>
      </c>
      <c r="CS187" s="98">
        <f t="shared" ca="1" si="452"/>
        <v>-0.15212017789343268</v>
      </c>
      <c r="CT187" s="98">
        <f t="shared" ca="1" si="452"/>
        <v>-1.3371617159061766E-2</v>
      </c>
      <c r="CU187" s="98">
        <f t="shared" ca="1" si="452"/>
        <v>0.1280972513546772</v>
      </c>
      <c r="CV187" s="98">
        <f t="shared" ca="1" si="452"/>
        <v>2.4364016560959545E-2</v>
      </c>
      <c r="CW187" s="96">
        <f t="shared" ca="1" si="452"/>
        <v>-1.4673592475454078E-2</v>
      </c>
      <c r="CX187" s="98">
        <f t="shared" ref="CX187" ca="1" si="453">CX186/CS186-1</f>
        <v>3.0911051330548611E-2</v>
      </c>
      <c r="CY187" s="98">
        <f t="shared" ref="CY187" ca="1" si="454">CY186/CT186-1</f>
        <v>3.4309351027834945E-2</v>
      </c>
      <c r="CZ187" s="98">
        <f t="shared" ref="CZ187" ca="1" si="455">CZ186/CU186-1</f>
        <v>9.8156715480064438E-3</v>
      </c>
      <c r="DA187" s="98">
        <f t="shared" ref="DA187" ca="1" si="456">DA186/CV186-1</f>
        <v>3.2919593335250186E-2</v>
      </c>
      <c r="DB187" s="96">
        <f t="shared" ref="DB187" ca="1" si="457">DB186/CW186-1</f>
        <v>2.6893987406463316E-2</v>
      </c>
      <c r="DC187" s="23"/>
      <c r="DD187" s="23"/>
      <c r="DE187" s="23"/>
      <c r="DF187" s="23"/>
      <c r="DG187" s="23"/>
      <c r="DH187" s="23"/>
      <c r="DI187" s="23"/>
      <c r="DJ187" s="23"/>
    </row>
    <row r="188" spans="1:114" s="725" customFormat="1" ht="11.25" customHeight="1">
      <c r="A188" s="16"/>
      <c r="B188" s="141"/>
      <c r="C188" s="53"/>
      <c r="D188" s="417"/>
      <c r="E188" s="115"/>
      <c r="F188" s="116"/>
      <c r="G188" s="16"/>
      <c r="H188" s="16"/>
      <c r="I188" s="16"/>
      <c r="J188" s="16"/>
      <c r="K188" s="18"/>
      <c r="L188" s="16"/>
      <c r="M188" s="16"/>
      <c r="N188" s="16"/>
      <c r="O188" s="16"/>
      <c r="P188" s="18"/>
      <c r="Q188" s="16"/>
      <c r="R188" s="16"/>
      <c r="S188" s="16"/>
      <c r="T188" s="16"/>
      <c r="U188" s="18"/>
      <c r="V188" s="16"/>
      <c r="W188" s="16"/>
      <c r="X188" s="16"/>
      <c r="Y188" s="16"/>
      <c r="Z188" s="18"/>
      <c r="AA188" s="16"/>
      <c r="AB188" s="16"/>
      <c r="AC188" s="16"/>
      <c r="AD188" s="16"/>
      <c r="AE188" s="18"/>
      <c r="AF188" s="16"/>
      <c r="AG188" s="16"/>
      <c r="AH188" s="16"/>
      <c r="AI188" s="16"/>
      <c r="AJ188" s="18"/>
      <c r="AK188" s="16"/>
      <c r="AL188" s="16"/>
      <c r="AM188" s="16"/>
      <c r="AN188" s="16"/>
      <c r="AO188" s="18"/>
      <c r="AP188" s="16"/>
      <c r="AQ188" s="16"/>
      <c r="AR188" s="16"/>
      <c r="AS188" s="16"/>
      <c r="AT188" s="18"/>
      <c r="AU188" s="16"/>
      <c r="AV188" s="16"/>
      <c r="AW188" s="16"/>
      <c r="AX188" s="16"/>
      <c r="AY188" s="18"/>
      <c r="AZ188" s="16"/>
      <c r="BA188" s="16"/>
      <c r="BB188" s="16"/>
      <c r="BC188" s="16"/>
      <c r="BD188" s="18"/>
      <c r="BE188" s="16"/>
      <c r="BF188" s="16"/>
      <c r="BG188" s="16"/>
      <c r="BH188" s="16"/>
      <c r="BI188" s="18"/>
      <c r="BJ188" s="16"/>
      <c r="BK188" s="16"/>
      <c r="BL188" s="16"/>
      <c r="BM188" s="16"/>
      <c r="BN188" s="18"/>
      <c r="BO188" s="16"/>
      <c r="BP188" s="16"/>
      <c r="BQ188" s="16"/>
      <c r="BR188" s="16"/>
      <c r="BS188" s="18"/>
      <c r="BT188" s="16"/>
      <c r="BU188" s="16"/>
      <c r="BV188" s="16"/>
      <c r="BW188" s="16"/>
      <c r="BX188" s="18"/>
      <c r="BY188" s="16"/>
      <c r="BZ188" s="16"/>
      <c r="CA188" s="16"/>
      <c r="CB188" s="16"/>
      <c r="CC188" s="18"/>
      <c r="CD188" s="16"/>
      <c r="CE188" s="16"/>
      <c r="CF188" s="16"/>
      <c r="CG188" s="16"/>
      <c r="CH188" s="18"/>
      <c r="CI188" s="16"/>
      <c r="CJ188" s="16"/>
      <c r="CK188" s="16"/>
      <c r="CL188" s="16"/>
      <c r="CM188" s="18"/>
      <c r="CN188" s="16"/>
      <c r="CO188" s="16"/>
      <c r="CP188" s="16"/>
      <c r="CQ188" s="16"/>
      <c r="CR188" s="18"/>
      <c r="CS188" s="16"/>
      <c r="CT188" s="16"/>
      <c r="CU188" s="16"/>
      <c r="CV188" s="16"/>
      <c r="CW188" s="18"/>
      <c r="CX188" s="16"/>
      <c r="CY188" s="16"/>
      <c r="CZ188" s="16"/>
      <c r="DA188" s="16"/>
      <c r="DB188" s="18"/>
      <c r="DC188" s="16"/>
      <c r="DD188" s="16"/>
      <c r="DE188" s="16"/>
      <c r="DF188" s="16"/>
      <c r="DG188" s="16"/>
      <c r="DH188" s="16"/>
      <c r="DI188" s="16"/>
      <c r="DJ188" s="16"/>
    </row>
    <row r="189" spans="1:114" s="725" customFormat="1" ht="11.25" customHeight="1">
      <c r="A189" s="16"/>
      <c r="B189" s="16" t="s">
        <v>238</v>
      </c>
      <c r="C189" s="37"/>
      <c r="D189" s="106"/>
      <c r="E189" s="83">
        <v>212246</v>
      </c>
      <c r="F189" s="95">
        <v>261933</v>
      </c>
      <c r="G189" s="108">
        <f t="shared" ref="G189:Z189" si="458">G258</f>
        <v>65325</v>
      </c>
      <c r="H189" s="108">
        <f t="shared" si="458"/>
        <v>65670</v>
      </c>
      <c r="I189" s="108">
        <f t="shared" si="458"/>
        <v>70529</v>
      </c>
      <c r="J189" s="108">
        <f t="shared" si="458"/>
        <v>72110</v>
      </c>
      <c r="K189" s="109">
        <f t="shared" si="458"/>
        <v>273700</v>
      </c>
      <c r="L189" s="108">
        <f t="shared" si="458"/>
        <v>79505</v>
      </c>
      <c r="M189" s="108">
        <f t="shared" si="458"/>
        <v>78231</v>
      </c>
      <c r="N189" s="108">
        <f t="shared" si="458"/>
        <v>81555</v>
      </c>
      <c r="O189" s="108">
        <f t="shared" si="458"/>
        <v>87910</v>
      </c>
      <c r="P189" s="109">
        <f t="shared" si="458"/>
        <v>327201</v>
      </c>
      <c r="Q189" s="108">
        <f t="shared" si="458"/>
        <v>95322</v>
      </c>
      <c r="R189" s="108">
        <f t="shared" si="458"/>
        <v>92848</v>
      </c>
      <c r="S189" s="108">
        <f t="shared" si="458"/>
        <v>96838</v>
      </c>
      <c r="T189" s="108">
        <f t="shared" si="458"/>
        <v>100366</v>
      </c>
      <c r="U189" s="109">
        <f t="shared" si="458"/>
        <v>385404</v>
      </c>
      <c r="V189" s="108">
        <f t="shared" si="458"/>
        <v>112678</v>
      </c>
      <c r="W189" s="108">
        <f t="shared" si="458"/>
        <v>110501</v>
      </c>
      <c r="X189" s="108">
        <f t="shared" si="458"/>
        <v>118051</v>
      </c>
      <c r="Y189" s="108">
        <f t="shared" si="458"/>
        <v>124828</v>
      </c>
      <c r="Z189" s="109">
        <f t="shared" si="458"/>
        <v>462521</v>
      </c>
      <c r="AA189" s="108">
        <f t="shared" ref="AA189:BL189" si="459">AA258</f>
        <v>126931</v>
      </c>
      <c r="AB189" s="108">
        <f t="shared" si="459"/>
        <v>121896</v>
      </c>
      <c r="AC189" s="108">
        <f t="shared" si="459"/>
        <v>128300</v>
      </c>
      <c r="AD189" s="108">
        <f t="shared" si="459"/>
        <v>126187</v>
      </c>
      <c r="AE189" s="109">
        <f t="shared" si="459"/>
        <v>502449</v>
      </c>
      <c r="AF189" s="108">
        <f t="shared" si="459"/>
        <v>133266</v>
      </c>
      <c r="AG189" s="108">
        <f t="shared" si="459"/>
        <v>133410</v>
      </c>
      <c r="AH189" s="108">
        <f t="shared" si="459"/>
        <v>135845</v>
      </c>
      <c r="AI189" s="108">
        <f t="shared" si="459"/>
        <v>140568</v>
      </c>
      <c r="AJ189" s="109">
        <f t="shared" si="459"/>
        <v>543074</v>
      </c>
      <c r="AK189" s="108">
        <f t="shared" si="459"/>
        <v>143820</v>
      </c>
      <c r="AL189" s="108">
        <f t="shared" si="459"/>
        <v>145359</v>
      </c>
      <c r="AM189" s="108">
        <f t="shared" si="459"/>
        <v>249813</v>
      </c>
      <c r="AN189" s="108">
        <f t="shared" si="459"/>
        <v>282674</v>
      </c>
      <c r="AO189" s="109">
        <f t="shared" si="459"/>
        <v>792190</v>
      </c>
      <c r="AP189" s="108">
        <f t="shared" si="459"/>
        <v>300594</v>
      </c>
      <c r="AQ189" s="108">
        <f t="shared" si="459"/>
        <v>295792</v>
      </c>
      <c r="AR189" s="108">
        <f t="shared" si="459"/>
        <v>300199</v>
      </c>
      <c r="AS189" s="108">
        <f t="shared" si="459"/>
        <v>288913</v>
      </c>
      <c r="AT189" s="109">
        <f t="shared" si="459"/>
        <v>1174600</v>
      </c>
      <c r="AU189" s="108">
        <f t="shared" si="459"/>
        <v>298722</v>
      </c>
      <c r="AV189" s="108">
        <f t="shared" si="459"/>
        <v>303489</v>
      </c>
      <c r="AW189" s="108">
        <f t="shared" si="459"/>
        <v>306657</v>
      </c>
      <c r="AX189" s="108">
        <f t="shared" si="459"/>
        <v>303862</v>
      </c>
      <c r="AY189" s="109">
        <f t="shared" si="459"/>
        <v>1215606</v>
      </c>
      <c r="AZ189" s="108">
        <f t="shared" si="459"/>
        <v>309881</v>
      </c>
      <c r="BA189" s="108">
        <f t="shared" si="459"/>
        <v>318446</v>
      </c>
      <c r="BB189" s="108">
        <f t="shared" si="459"/>
        <v>323671</v>
      </c>
      <c r="BC189" s="108">
        <f t="shared" si="459"/>
        <v>317004</v>
      </c>
      <c r="BD189" s="109">
        <f t="shared" si="459"/>
        <v>1269467</v>
      </c>
      <c r="BE189" s="108">
        <f t="shared" si="459"/>
        <v>322126</v>
      </c>
      <c r="BF189" s="108">
        <f t="shared" si="459"/>
        <v>313299</v>
      </c>
      <c r="BG189" s="108">
        <f t="shared" si="459"/>
        <v>315672</v>
      </c>
      <c r="BH189" s="108">
        <f t="shared" si="459"/>
        <v>321502</v>
      </c>
      <c r="BI189" s="109">
        <f t="shared" si="459"/>
        <v>1267860</v>
      </c>
      <c r="BJ189" s="108">
        <f t="shared" si="459"/>
        <v>340264</v>
      </c>
      <c r="BK189" s="108">
        <f t="shared" si="459"/>
        <v>333970</v>
      </c>
      <c r="BL189" s="108">
        <f t="shared" si="459"/>
        <v>337252</v>
      </c>
      <c r="BM189" s="108">
        <f t="shared" ref="BM189:BR189" si="460">BM258</f>
        <v>339427</v>
      </c>
      <c r="BN189" s="109">
        <f t="shared" si="460"/>
        <v>1351043</v>
      </c>
      <c r="BO189" s="108">
        <f t="shared" si="460"/>
        <v>340151</v>
      </c>
      <c r="BP189" s="108">
        <f t="shared" si="460"/>
        <v>341716</v>
      </c>
      <c r="BQ189" s="108">
        <f t="shared" si="460"/>
        <v>341652</v>
      </c>
      <c r="BR189" s="108">
        <f t="shared" si="460"/>
        <v>329291</v>
      </c>
      <c r="BS189" s="109">
        <f>SUM(BO189:BR189)</f>
        <v>1352810</v>
      </c>
      <c r="BT189" s="108">
        <f>BT258</f>
        <v>424125</v>
      </c>
      <c r="BU189" s="108">
        <f>BU258</f>
        <v>497340</v>
      </c>
      <c r="BV189" s="108">
        <f>BV258</f>
        <v>498576</v>
      </c>
      <c r="BW189" s="108">
        <f>BW258</f>
        <v>493906</v>
      </c>
      <c r="BX189" s="109">
        <f>SUM(BT189:BW189)</f>
        <v>1913947</v>
      </c>
      <c r="BY189" s="108">
        <f>BY258</f>
        <v>492194</v>
      </c>
      <c r="BZ189" s="108">
        <f>BZ258</f>
        <v>509227</v>
      </c>
      <c r="CA189" s="108">
        <f>CA258</f>
        <v>510330</v>
      </c>
      <c r="CB189" s="108">
        <f>CB258</f>
        <v>503681</v>
      </c>
      <c r="CC189" s="109">
        <f>SUM(BY189:CB189)</f>
        <v>2015432</v>
      </c>
      <c r="CD189" s="108">
        <f>CD258</f>
        <v>510755</v>
      </c>
      <c r="CE189" s="108">
        <f>CE258</f>
        <v>444270</v>
      </c>
      <c r="CF189" s="108">
        <f>CF258</f>
        <v>441545</v>
      </c>
      <c r="CG189" s="108">
        <f>CG258</f>
        <v>435605</v>
      </c>
      <c r="CH189" s="109">
        <f>SUM(CD189:CG189)</f>
        <v>1832175</v>
      </c>
      <c r="CI189" s="108">
        <f>CI258</f>
        <v>446053</v>
      </c>
      <c r="CJ189" s="108">
        <f>CJ258</f>
        <v>405584</v>
      </c>
      <c r="CK189" s="108">
        <f>CK258</f>
        <v>374808</v>
      </c>
      <c r="CL189" s="108">
        <f>CL258</f>
        <v>354134</v>
      </c>
      <c r="CM189" s="109">
        <f>SUM(CI189:CL189)</f>
        <v>1580579</v>
      </c>
      <c r="CN189" s="108">
        <f ca="1">(CN181*CN199)+CN71</f>
        <v>328428.65334508987</v>
      </c>
      <c r="CO189" s="108">
        <f ca="1">(CO181*CO199)+CO71</f>
        <v>295086.3057773324</v>
      </c>
      <c r="CP189" s="108">
        <f ca="1">(CP181*CP199)+CP71</f>
        <v>271030.89669230534</v>
      </c>
      <c r="CQ189" s="108">
        <f ca="1">(CQ181*CQ199)+CQ71</f>
        <v>270365.3906732382</v>
      </c>
      <c r="CR189" s="109">
        <f ca="1">SUM(CN189:CQ189)</f>
        <v>1164911.2464879658</v>
      </c>
      <c r="CS189" s="108">
        <f ca="1">(CS181*CS199)+CS71</f>
        <v>282294.17360980657</v>
      </c>
      <c r="CT189" s="108">
        <f ca="1">(CT181*CT199)+CT71</f>
        <v>278429.71514505404</v>
      </c>
      <c r="CU189" s="108">
        <f ca="1">(CU181*CU199)+CU71</f>
        <v>279387.8698188304</v>
      </c>
      <c r="CV189" s="108">
        <f ca="1">(CV181*CV199)+CV71</f>
        <v>270778.45875199075</v>
      </c>
      <c r="CW189" s="109">
        <f ca="1">SUM(CS189:CV189)</f>
        <v>1110890.2173256818</v>
      </c>
      <c r="CX189" s="108">
        <f ca="1">(CX181*CX199)+CX71</f>
        <v>284241.01408583473</v>
      </c>
      <c r="CY189" s="108">
        <f ca="1">(CY181*CY199)+CY71</f>
        <v>281040.29438617907</v>
      </c>
      <c r="CZ189" s="108">
        <f ca="1">(CZ181*CZ199)+CZ71</f>
        <v>278864.14406913286</v>
      </c>
      <c r="DA189" s="108">
        <f ca="1">(DA181*DA199)+DA71</f>
        <v>273551.68952560186</v>
      </c>
      <c r="DB189" s="109">
        <f ca="1">SUM(CX189:DA189)</f>
        <v>1117697.1420667486</v>
      </c>
      <c r="DC189" s="16"/>
      <c r="DD189" s="553"/>
      <c r="DE189" s="16"/>
      <c r="DF189" s="16"/>
      <c r="DG189" s="16"/>
      <c r="DH189" s="16"/>
      <c r="DI189" s="16"/>
      <c r="DJ189" s="16"/>
    </row>
    <row r="190" spans="1:114" s="725" customFormat="1" ht="11.25" hidden="1" customHeight="1" outlineLevel="1">
      <c r="A190" s="23"/>
      <c r="B190" s="141" t="s">
        <v>250</v>
      </c>
      <c r="C190" s="54"/>
      <c r="D190" s="97"/>
      <c r="E190" s="115"/>
      <c r="F190" s="116"/>
      <c r="G190" s="98"/>
      <c r="H190" s="98"/>
      <c r="I190" s="98"/>
      <c r="J190" s="98"/>
      <c r="K190" s="96">
        <f t="shared" ref="K190:AP190" si="461">K189/F102-1</f>
        <v>4.2988503119057775E-2</v>
      </c>
      <c r="L190" s="98">
        <f t="shared" si="461"/>
        <v>4.4236048176313769E-2</v>
      </c>
      <c r="M190" s="98">
        <f t="shared" si="461"/>
        <v>6.3701628912517405E-2</v>
      </c>
      <c r="N190" s="98">
        <f t="shared" si="461"/>
        <v>6.0464209089135856E-2</v>
      </c>
      <c r="O190" s="98">
        <f t="shared" si="461"/>
        <v>3.9727501744509341E-2</v>
      </c>
      <c r="P190" s="96">
        <f t="shared" si="461"/>
        <v>5.1623229489070832E-2</v>
      </c>
      <c r="Q190" s="98">
        <f t="shared" si="461"/>
        <v>-9.960428329576998E-3</v>
      </c>
      <c r="R190" s="98">
        <f t="shared" si="461"/>
        <v>-2.1323692171474895E-2</v>
      </c>
      <c r="S190" s="98">
        <f t="shared" si="461"/>
        <v>-1.0322132286812224E-2</v>
      </c>
      <c r="T190" s="98">
        <f t="shared" si="461"/>
        <v>2.1100394742196826E-2</v>
      </c>
      <c r="U190" s="96">
        <f t="shared" si="461"/>
        <v>-4.8748747714902896E-3</v>
      </c>
      <c r="V190" s="98">
        <f t="shared" si="461"/>
        <v>1.7592341732141303E-2</v>
      </c>
      <c r="W190" s="98">
        <f t="shared" si="461"/>
        <v>3.1793904534249684E-2</v>
      </c>
      <c r="X190" s="98">
        <f t="shared" si="461"/>
        <v>-1.3281511200267437E-2</v>
      </c>
      <c r="Y190" s="98">
        <f t="shared" si="461"/>
        <v>-2.7160147451933958E-2</v>
      </c>
      <c r="Z190" s="96">
        <f t="shared" si="461"/>
        <v>-6.9947335538956823E-3</v>
      </c>
      <c r="AA190" s="98">
        <f t="shared" si="461"/>
        <v>-3.0853922975903281E-2</v>
      </c>
      <c r="AB190" s="98">
        <f t="shared" si="461"/>
        <v>-4.9655011109811742E-2</v>
      </c>
      <c r="AC190" s="98">
        <f t="shared" si="461"/>
        <v>-2.2855880762522762E-2</v>
      </c>
      <c r="AD190" s="98">
        <f t="shared" si="461"/>
        <v>-4.0629205282404879E-2</v>
      </c>
      <c r="AE190" s="96">
        <f t="shared" si="461"/>
        <v>-3.758123926147694E-2</v>
      </c>
      <c r="AF190" s="98">
        <f t="shared" si="461"/>
        <v>-1.5331643773874859E-2</v>
      </c>
      <c r="AG190" s="98">
        <f t="shared" si="461"/>
        <v>4.865776867223115E-3</v>
      </c>
      <c r="AH190" s="98">
        <f t="shared" si="461"/>
        <v>6.6171675855117851E-3</v>
      </c>
      <c r="AI190" s="98">
        <f t="shared" si="461"/>
        <v>3.2108374022541186E-2</v>
      </c>
      <c r="AJ190" s="96">
        <f t="shared" si="461"/>
        <v>7.0875954099383076E-3</v>
      </c>
      <c r="AK190" s="98">
        <f t="shared" si="461"/>
        <v>4.5540902995082622E-3</v>
      </c>
      <c r="AL190" s="98">
        <f t="shared" si="461"/>
        <v>-1.2661065186825415E-2</v>
      </c>
      <c r="AM190" s="98">
        <f t="shared" si="461"/>
        <v>0.59809748015276454</v>
      </c>
      <c r="AN190" s="98">
        <f t="shared" si="461"/>
        <v>0.7784502717938393</v>
      </c>
      <c r="AO190" s="96">
        <f t="shared" si="461"/>
        <v>0.30799103118282045</v>
      </c>
      <c r="AP190" s="98">
        <f t="shared" si="461"/>
        <v>0.84395396770869113</v>
      </c>
      <c r="AQ190" s="98">
        <f t="shared" ref="AQ190:BV190" si="462">AQ189/AL102-1</f>
        <v>0.80490840970942501</v>
      </c>
      <c r="AR190" s="98">
        <f t="shared" si="462"/>
        <v>0.14085111881308521</v>
      </c>
      <c r="AS190" s="98">
        <f t="shared" si="462"/>
        <v>-1.4574365760984476E-2</v>
      </c>
      <c r="AT190" s="96">
        <f t="shared" si="462"/>
        <v>0.32990647856706135</v>
      </c>
      <c r="AU190" s="98">
        <f t="shared" si="462"/>
        <v>-3.7160234777647738E-2</v>
      </c>
      <c r="AV190" s="98">
        <f t="shared" si="462"/>
        <v>1.4175580707576074E-2</v>
      </c>
      <c r="AW190" s="98">
        <f t="shared" si="462"/>
        <v>1.6487505096409061E-2</v>
      </c>
      <c r="AX190" s="98">
        <f t="shared" si="462"/>
        <v>2.5421069149492714E-2</v>
      </c>
      <c r="AY190" s="96">
        <f t="shared" si="462"/>
        <v>6.7047063792431416E-3</v>
      </c>
      <c r="AZ190" s="98">
        <f t="shared" si="462"/>
        <v>1.0417821485167345E-2</v>
      </c>
      <c r="BA190" s="98">
        <f t="shared" si="462"/>
        <v>-9.1386289878431226E-3</v>
      </c>
      <c r="BB190" s="98">
        <f t="shared" si="462"/>
        <v>-1.2707534536980258E-2</v>
      </c>
      <c r="BC190" s="98">
        <f t="shared" si="462"/>
        <v>-5.3913454717424703E-4</v>
      </c>
      <c r="BD190" s="96">
        <f t="shared" si="462"/>
        <v>-2.8387824498204983E-3</v>
      </c>
      <c r="BE190" s="98">
        <f t="shared" si="462"/>
        <v>-5.9864348620343177E-3</v>
      </c>
      <c r="BF190" s="98">
        <f t="shared" si="462"/>
        <v>-3.0835191962062303E-2</v>
      </c>
      <c r="BG190" s="98">
        <f t="shared" si="462"/>
        <v>-3.4783884934321607E-2</v>
      </c>
      <c r="BH190" s="98">
        <f t="shared" si="462"/>
        <v>-3.5877720667174429E-2</v>
      </c>
      <c r="BI190" s="96">
        <f t="shared" si="462"/>
        <v>-3.0574677313171983E-2</v>
      </c>
      <c r="BJ190" s="98">
        <f t="shared" si="462"/>
        <v>9.2272647729665369E-3</v>
      </c>
      <c r="BK190" s="98">
        <f t="shared" si="462"/>
        <v>5.3886447106989976E-3</v>
      </c>
      <c r="BL190" s="98">
        <f t="shared" si="462"/>
        <v>7.7933565221548484E-3</v>
      </c>
      <c r="BM190" s="98">
        <f t="shared" si="462"/>
        <v>2.3233449897503977E-2</v>
      </c>
      <c r="BN190" s="96">
        <f t="shared" si="462"/>
        <v>1.148913264011231E-2</v>
      </c>
      <c r="BO190" s="98">
        <f t="shared" si="462"/>
        <v>-5.2015662667391327E-2</v>
      </c>
      <c r="BP190" s="98">
        <f t="shared" si="462"/>
        <v>-2.6400214256001697E-2</v>
      </c>
      <c r="BQ190" s="98">
        <f t="shared" si="462"/>
        <v>-3.9418340493488357E-2</v>
      </c>
      <c r="BR190" s="98">
        <f t="shared" si="462"/>
        <v>-6.678097235408309E-2</v>
      </c>
      <c r="BS190" s="96">
        <f t="shared" si="462"/>
        <v>-4.6191138273060317E-2</v>
      </c>
      <c r="BT190" s="98">
        <f t="shared" si="462"/>
        <v>0.22489913444793252</v>
      </c>
      <c r="BU190" s="98">
        <f t="shared" si="462"/>
        <v>0.44293705319840315</v>
      </c>
      <c r="BV190" s="98">
        <f t="shared" si="462"/>
        <v>0.45930947279688095</v>
      </c>
      <c r="BW190" s="98">
        <f t="shared" ref="BW190" si="463">BW189/BR102-1</f>
        <v>0.49990737675794361</v>
      </c>
      <c r="BX190" s="96" t="e">
        <f>BX189/#REF!-1</f>
        <v>#REF!</v>
      </c>
      <c r="BY190" s="98">
        <f t="shared" ref="BY190:CL190" si="464">BY189/BT189-1</f>
        <v>0.16049277925139993</v>
      </c>
      <c r="BZ190" s="98">
        <f t="shared" si="464"/>
        <v>2.3901154140024916E-2</v>
      </c>
      <c r="CA190" s="98">
        <f t="shared" si="464"/>
        <v>2.3575142004428562E-2</v>
      </c>
      <c r="CB190" s="98">
        <f t="shared" si="464"/>
        <v>1.979121533247219E-2</v>
      </c>
      <c r="CC190" s="142">
        <f t="shared" si="464"/>
        <v>5.3023934309570642E-2</v>
      </c>
      <c r="CD190" s="98">
        <f t="shared" si="464"/>
        <v>3.7710740074035742E-2</v>
      </c>
      <c r="CE190" s="98">
        <f t="shared" si="464"/>
        <v>-0.12756000761939179</v>
      </c>
      <c r="CF190" s="98">
        <f t="shared" si="464"/>
        <v>-0.1347853349793271</v>
      </c>
      <c r="CG190" s="98">
        <f t="shared" si="464"/>
        <v>-0.13515697435480001</v>
      </c>
      <c r="CH190" s="142">
        <f t="shared" si="464"/>
        <v>-9.0926907978041482E-2</v>
      </c>
      <c r="CI190" s="98">
        <f t="shared" si="464"/>
        <v>-0.12667913187340307</v>
      </c>
      <c r="CJ190" s="98">
        <f t="shared" si="464"/>
        <v>-8.7077677988610547E-2</v>
      </c>
      <c r="CK190" s="98">
        <f t="shared" si="464"/>
        <v>-0.15114427748021153</v>
      </c>
      <c r="CL190" s="98">
        <f t="shared" si="464"/>
        <v>-0.18702953363712538</v>
      </c>
      <c r="CM190" s="142">
        <f>+CM189/CH189-1</f>
        <v>-0.13732094368714776</v>
      </c>
      <c r="CN190" s="23">
        <f t="shared" ref="CN190:CW190" ca="1" si="465">CN189/CI189-1</f>
        <v>-0.26370038236467441</v>
      </c>
      <c r="CO190" s="23">
        <f t="shared" ca="1" si="465"/>
        <v>-0.27244095975844118</v>
      </c>
      <c r="CP190" s="23">
        <f t="shared" ca="1" si="465"/>
        <v>-0.27688070507485074</v>
      </c>
      <c r="CQ190" s="23">
        <f t="shared" ca="1" si="465"/>
        <v>-0.23654495000977538</v>
      </c>
      <c r="CR190" s="142">
        <f t="shared" ca="1" si="465"/>
        <v>-0.26298448449083167</v>
      </c>
      <c r="CS190" s="23">
        <f t="shared" ca="1" si="465"/>
        <v>-0.14047032518447289</v>
      </c>
      <c r="CT190" s="23">
        <f t="shared" ca="1" si="465"/>
        <v>-5.6446504992499258E-2</v>
      </c>
      <c r="CU190" s="23">
        <f t="shared" ca="1" si="465"/>
        <v>3.083402382722622E-2</v>
      </c>
      <c r="CV190" s="23">
        <f t="shared" ca="1" si="465"/>
        <v>1.52781418407133E-3</v>
      </c>
      <c r="CW190" s="142">
        <f t="shared" ca="1" si="465"/>
        <v>-4.6373514999661469E-2</v>
      </c>
      <c r="CX190" s="23">
        <f t="shared" ref="CX190" ca="1" si="466">CX189/CS189-1</f>
        <v>6.8964954222510144E-3</v>
      </c>
      <c r="CY190" s="23">
        <f t="shared" ref="CY190" ca="1" si="467">CY189/CT189-1</f>
        <v>9.3760798475299723E-3</v>
      </c>
      <c r="CZ190" s="23">
        <f t="shared" ref="CZ190" ca="1" si="468">CZ189/CU189-1</f>
        <v>-1.8745472022001497E-3</v>
      </c>
      <c r="DA190" s="23">
        <f t="shared" ref="DA190" ca="1" si="469">DA189/CV189-1</f>
        <v>1.0241696427377711E-2</v>
      </c>
      <c r="DB190" s="142">
        <f t="shared" ref="DB190" ca="1" si="470">DB189/CW189-1</f>
        <v>6.1274504311088496E-3</v>
      </c>
      <c r="DC190" s="23"/>
      <c r="DD190" s="532"/>
      <c r="DE190" s="23"/>
      <c r="DF190" s="23"/>
      <c r="DG190" s="23"/>
      <c r="DH190" s="23"/>
      <c r="DI190" s="23"/>
      <c r="DJ190" s="23"/>
    </row>
    <row r="191" spans="1:114" s="725" customFormat="1" ht="11.25" customHeight="1" collapsed="1">
      <c r="A191" s="16"/>
      <c r="B191" s="141" t="s">
        <v>373</v>
      </c>
      <c r="C191" s="53"/>
      <c r="D191" s="417"/>
      <c r="E191" s="115"/>
      <c r="F191" s="116"/>
      <c r="G191" s="16"/>
      <c r="H191" s="16"/>
      <c r="I191" s="16"/>
      <c r="J191" s="16"/>
      <c r="K191" s="142">
        <f t="shared" ref="K191:AP191" si="471">K189/F295-1</f>
        <v>0</v>
      </c>
      <c r="L191" s="23">
        <f t="shared" si="471"/>
        <v>4.4236048176313769E-2</v>
      </c>
      <c r="M191" s="23">
        <f t="shared" si="471"/>
        <v>6.3701628912517405E-2</v>
      </c>
      <c r="N191" s="23">
        <f t="shared" si="471"/>
        <v>6.0464209089135856E-2</v>
      </c>
      <c r="O191" s="23">
        <f t="shared" si="471"/>
        <v>3.9727501744509341E-2</v>
      </c>
      <c r="P191" s="142">
        <f t="shared" si="471"/>
        <v>5.1288724384554563E-2</v>
      </c>
      <c r="Q191" s="23">
        <f t="shared" si="471"/>
        <v>-9.960428329576998E-3</v>
      </c>
      <c r="R191" s="23">
        <f t="shared" si="471"/>
        <v>-2.1323692171474895E-2</v>
      </c>
      <c r="S191" s="23">
        <f t="shared" si="471"/>
        <v>-1.0322132286812224E-2</v>
      </c>
      <c r="T191" s="23">
        <f t="shared" si="471"/>
        <v>2.3808552309450004E-2</v>
      </c>
      <c r="U191" s="142">
        <f t="shared" si="471"/>
        <v>-4.2501078674792581E-3</v>
      </c>
      <c r="V191" s="23">
        <f t="shared" si="471"/>
        <v>2.1300123268798599E-2</v>
      </c>
      <c r="W191" s="23">
        <f t="shared" si="471"/>
        <v>3.5700896037191177E-2</v>
      </c>
      <c r="X191" s="23">
        <f t="shared" si="471"/>
        <v>1.0079316865315269E-2</v>
      </c>
      <c r="Y191" s="23">
        <f t="shared" si="471"/>
        <v>-1.3139378607004537E-2</v>
      </c>
      <c r="Z191" s="142">
        <f t="shared" si="471"/>
        <v>1.2617184592278674E-2</v>
      </c>
      <c r="AA191" s="23">
        <f t="shared" si="471"/>
        <v>2.7689841390645453E-2</v>
      </c>
      <c r="AB191" s="23">
        <f t="shared" si="471"/>
        <v>1.3376341583047235E-2</v>
      </c>
      <c r="AC191" s="23">
        <f t="shared" si="471"/>
        <v>2.601421865378617E-2</v>
      </c>
      <c r="AD191" s="23">
        <f t="shared" si="471"/>
        <v>5.3699616772764358E-3</v>
      </c>
      <c r="AE191" s="142">
        <f t="shared" si="471"/>
        <v>1.7564644697190657E-2</v>
      </c>
      <c r="AF191" s="23">
        <f t="shared" si="471"/>
        <v>-9.2704794332146845E-3</v>
      </c>
      <c r="AG191" s="23">
        <f t="shared" si="471"/>
        <v>4.865776867223115E-3</v>
      </c>
      <c r="AH191" s="23">
        <f t="shared" si="471"/>
        <v>6.6171675855117851E-3</v>
      </c>
      <c r="AI191" s="23">
        <f t="shared" si="471"/>
        <v>3.2108374022541186E-2</v>
      </c>
      <c r="AJ191" s="142">
        <f t="shared" si="471"/>
        <v>8.5969783357631169E-3</v>
      </c>
      <c r="AK191" s="23">
        <f t="shared" si="471"/>
        <v>1.1548903487178075E-2</v>
      </c>
      <c r="AL191" s="23">
        <f t="shared" si="471"/>
        <v>-3.844572368421062E-3</v>
      </c>
      <c r="AM191" s="23">
        <f t="shared" si="471"/>
        <v>-5.6996159127544743E-3</v>
      </c>
      <c r="AN191" s="23">
        <f t="shared" si="471"/>
        <v>7.9984024590720182E-3</v>
      </c>
      <c r="AO191" s="142">
        <f t="shared" si="471"/>
        <v>3.8089976482036381E-3</v>
      </c>
      <c r="AP191" s="23">
        <f t="shared" si="471"/>
        <v>3.7579347409624209E-2</v>
      </c>
      <c r="AQ191" s="23">
        <f t="shared" ref="AQ191:BR191" si="472">AQ189/AL295-1</f>
        <v>2.4086416119930121E-2</v>
      </c>
      <c r="AR191" s="23">
        <f t="shared" si="472"/>
        <v>2.5441416083975765E-2</v>
      </c>
      <c r="AS191" s="23">
        <f t="shared" si="472"/>
        <v>-1.8380003109399468E-3</v>
      </c>
      <c r="AT191" s="142">
        <f t="shared" si="472"/>
        <v>2.2027627635988978E-2</v>
      </c>
      <c r="AU191" s="23">
        <f t="shared" si="472"/>
        <v>-2.4224369402034429E-2</v>
      </c>
      <c r="AV191" s="23">
        <f t="shared" si="472"/>
        <v>1.739523969158574E-2</v>
      </c>
      <c r="AW191" s="23">
        <f t="shared" si="472"/>
        <v>1.9396852623810856E-2</v>
      </c>
      <c r="AX191" s="23">
        <f t="shared" si="472"/>
        <v>1.5730922996697316E-2</v>
      </c>
      <c r="AY191" s="142">
        <f t="shared" si="472"/>
        <v>6.504657420823845E-3</v>
      </c>
      <c r="AZ191" s="23">
        <f t="shared" si="472"/>
        <v>1.4769377940948569E-3</v>
      </c>
      <c r="BA191" s="23">
        <f t="shared" si="472"/>
        <v>-9.1386289878431226E-3</v>
      </c>
      <c r="BB191" s="23">
        <f t="shared" si="472"/>
        <v>-1.2707534536980258E-2</v>
      </c>
      <c r="BC191" s="23">
        <f t="shared" si="472"/>
        <v>-5.3913454717424703E-4</v>
      </c>
      <c r="BD191" s="142">
        <f t="shared" si="472"/>
        <v>-5.0325733920218996E-3</v>
      </c>
      <c r="BE191" s="23">
        <f t="shared" si="472"/>
        <v>3.8198401878242194E-4</v>
      </c>
      <c r="BF191" s="23">
        <f t="shared" si="472"/>
        <v>-6.7054728071677117E-3</v>
      </c>
      <c r="BG191" s="23">
        <f t="shared" si="472"/>
        <v>-1.0869803629116936E-2</v>
      </c>
      <c r="BH191" s="23">
        <f t="shared" si="472"/>
        <v>-1.3667446933184446E-2</v>
      </c>
      <c r="BI191" s="142">
        <f t="shared" si="472"/>
        <v>-7.3400744577153398E-3</v>
      </c>
      <c r="BJ191" s="23">
        <f t="shared" si="472"/>
        <v>2.5357918812471958E-2</v>
      </c>
      <c r="BK191" s="23">
        <f t="shared" si="472"/>
        <v>5.3886447106989976E-3</v>
      </c>
      <c r="BL191" s="23">
        <f t="shared" si="472"/>
        <v>7.7933565221548484E-3</v>
      </c>
      <c r="BM191" s="23">
        <f t="shared" si="472"/>
        <v>2.3233449897503977E-2</v>
      </c>
      <c r="BN191" s="142">
        <f t="shared" si="472"/>
        <v>1.5067754179601822E-2</v>
      </c>
      <c r="BO191" s="23">
        <f t="shared" si="472"/>
        <v>-5.2015662667391327E-2</v>
      </c>
      <c r="BP191" s="23">
        <f t="shared" si="472"/>
        <v>-2.6400214256001697E-2</v>
      </c>
      <c r="BQ191" s="23">
        <f t="shared" si="472"/>
        <v>-3.9418340493488357E-2</v>
      </c>
      <c r="BR191" s="23">
        <f t="shared" si="472"/>
        <v>-6.678097235408309E-2</v>
      </c>
      <c r="BS191" s="142">
        <f t="shared" ref="BS191:CC191" si="473">BS190</f>
        <v>-4.6191138273060317E-2</v>
      </c>
      <c r="BT191" s="23">
        <f>BT189/BO295-1</f>
        <v>-5.3491008583020472E-2</v>
      </c>
      <c r="BU191" s="23">
        <f>BU189/BP295-1</f>
        <v>-1.2253977080892153E-2</v>
      </c>
      <c r="BV191" s="23">
        <f>BV189/BQ295-1</f>
        <v>1.1233250421249785E-4</v>
      </c>
      <c r="BW191" s="23">
        <f>BW189/BR295-1</f>
        <v>2.7171143891639771E-2</v>
      </c>
      <c r="BX191" s="142" t="e">
        <f t="shared" si="473"/>
        <v>#REF!</v>
      </c>
      <c r="BY191" s="23">
        <f>BY189/BT295-1</f>
        <v>2.5120122965928138E-2</v>
      </c>
      <c r="BZ191" s="23">
        <f>BZ189/BU295-1</f>
        <v>-2.3079711209725851E-3</v>
      </c>
      <c r="CA191" s="23">
        <f>CA189/BV295-1</f>
        <v>1.2320924775652831E-3</v>
      </c>
      <c r="CB191" s="23">
        <f>CB189/BW295-1</f>
        <v>-1.2264308196142659E-2</v>
      </c>
      <c r="CC191" s="110">
        <f t="shared" si="473"/>
        <v>5.3023934309570642E-2</v>
      </c>
      <c r="CD191" s="23">
        <f>CD189/BY295-1</f>
        <v>1.3211795395709158E-2</v>
      </c>
      <c r="CE191" s="23">
        <f>CE189/BZ295-1</f>
        <v>-5.9116783617356727E-3</v>
      </c>
      <c r="CF191" s="23">
        <f>CF189/CA295-1</f>
        <v>-1.5105383021388863E-2</v>
      </c>
      <c r="CG191" s="23">
        <f>CG189/CB295-1</f>
        <v>-1.3859238851145594E-2</v>
      </c>
      <c r="CH191" s="110">
        <f t="shared" ref="CH191" si="474">CH190</f>
        <v>-9.0926907978041482E-2</v>
      </c>
      <c r="CI191" s="23">
        <f>CI189/CD295-1</f>
        <v>-1.4108072743990285E-2</v>
      </c>
      <c r="CJ191" s="23">
        <f>CJ189/CE295-1</f>
        <v>-2.4517891759544774E-2</v>
      </c>
      <c r="CK191" s="23">
        <f>CK189/CF295-1</f>
        <v>-2.3469579173353905E-2</v>
      </c>
      <c r="CL191" s="23">
        <f>CL189/CG295-1</f>
        <v>-8.5001539882968435E-3</v>
      </c>
      <c r="CM191" s="110">
        <f t="shared" ref="CM191" si="475">CM190</f>
        <v>-0.13732094368714776</v>
      </c>
      <c r="CN191" s="1353">
        <f ca="1">CN190*(CL191/CL190)</f>
        <v>-1.1984705373972835E-2</v>
      </c>
      <c r="CO191" s="112"/>
      <c r="CP191" s="112"/>
      <c r="CQ191" s="112"/>
      <c r="CR191" s="1283"/>
      <c r="CS191" s="112"/>
      <c r="CT191" s="112"/>
      <c r="CU191" s="112"/>
      <c r="CV191" s="112"/>
      <c r="CW191" s="110"/>
      <c r="CX191" s="112"/>
      <c r="CY191" s="112"/>
      <c r="CZ191" s="112"/>
      <c r="DA191" s="112"/>
      <c r="DB191" s="110"/>
      <c r="DC191" s="16"/>
      <c r="DD191" s="16"/>
      <c r="DE191" s="16"/>
      <c r="DF191" s="16"/>
      <c r="DG191" s="16"/>
      <c r="DH191" s="16"/>
      <c r="DI191" s="16"/>
      <c r="DJ191" s="16"/>
    </row>
    <row r="192" spans="1:114" s="725" customFormat="1" ht="11.25" customHeight="1">
      <c r="A192" s="16"/>
      <c r="B192" s="141"/>
      <c r="C192" s="53"/>
      <c r="D192" s="417"/>
      <c r="E192" s="115"/>
      <c r="F192" s="116"/>
      <c r="G192" s="16"/>
      <c r="H192" s="16"/>
      <c r="I192" s="16"/>
      <c r="J192" s="16"/>
      <c r="K192" s="142"/>
      <c r="L192" s="23"/>
      <c r="M192" s="23"/>
      <c r="N192" s="23"/>
      <c r="O192" s="23"/>
      <c r="P192" s="142"/>
      <c r="Q192" s="23"/>
      <c r="R192" s="23"/>
      <c r="S192" s="23"/>
      <c r="T192" s="23"/>
      <c r="U192" s="142"/>
      <c r="V192" s="23"/>
      <c r="W192" s="23"/>
      <c r="X192" s="23"/>
      <c r="Y192" s="23"/>
      <c r="Z192" s="142"/>
      <c r="AA192" s="23"/>
      <c r="AB192" s="23"/>
      <c r="AC192" s="23"/>
      <c r="AD192" s="23"/>
      <c r="AE192" s="142"/>
      <c r="AF192" s="23"/>
      <c r="AG192" s="23"/>
      <c r="AH192" s="23"/>
      <c r="AI192" s="23"/>
      <c r="AJ192" s="142"/>
      <c r="AK192" s="23"/>
      <c r="AL192" s="23"/>
      <c r="AM192" s="23"/>
      <c r="AN192" s="23"/>
      <c r="AO192" s="142"/>
      <c r="AP192" s="23"/>
      <c r="AQ192" s="23"/>
      <c r="AR192" s="23"/>
      <c r="AS192" s="23"/>
      <c r="AT192" s="142"/>
      <c r="AU192" s="23"/>
      <c r="AV192" s="23"/>
      <c r="AW192" s="23"/>
      <c r="AX192" s="23"/>
      <c r="AY192" s="142"/>
      <c r="AZ192" s="23"/>
      <c r="BA192" s="23"/>
      <c r="BB192" s="23"/>
      <c r="BC192" s="23"/>
      <c r="BD192" s="142"/>
      <c r="BE192" s="23"/>
      <c r="BF192" s="23"/>
      <c r="BG192" s="23"/>
      <c r="BH192" s="23"/>
      <c r="BI192" s="142"/>
      <c r="BJ192" s="23"/>
      <c r="BK192" s="23"/>
      <c r="BL192" s="23"/>
      <c r="BM192" s="23"/>
      <c r="BN192" s="142"/>
      <c r="BO192" s="23"/>
      <c r="BP192" s="23"/>
      <c r="BQ192" s="23"/>
      <c r="BR192" s="23"/>
      <c r="BS192" s="142"/>
      <c r="BT192" s="23"/>
      <c r="BU192" s="23"/>
      <c r="BV192" s="23"/>
      <c r="BW192" s="23"/>
      <c r="BX192" s="142" t="e">
        <f>BX189/#REF!-1</f>
        <v>#REF!</v>
      </c>
      <c r="BY192" s="23"/>
      <c r="BZ192" s="23"/>
      <c r="CA192" s="23"/>
      <c r="CB192" s="23"/>
      <c r="CC192" s="18"/>
      <c r="CD192" s="23"/>
      <c r="CE192" s="23"/>
      <c r="CF192" s="23"/>
      <c r="CG192" s="16"/>
      <c r="CH192" s="18"/>
      <c r="CI192" s="23"/>
      <c r="CJ192" s="16"/>
      <c r="CK192" s="16"/>
      <c r="CL192" s="16"/>
      <c r="CM192" s="18"/>
      <c r="CN192" s="16"/>
      <c r="CO192" s="16"/>
      <c r="CP192" s="16"/>
      <c r="CQ192" s="16"/>
      <c r="CR192" s="18"/>
      <c r="CS192" s="16"/>
      <c r="CT192" s="16"/>
      <c r="CU192" s="16"/>
      <c r="CV192" s="16"/>
      <c r="CW192" s="18"/>
      <c r="CX192" s="16"/>
      <c r="CY192" s="16"/>
      <c r="CZ192" s="16"/>
      <c r="DA192" s="16"/>
      <c r="DB192" s="18"/>
      <c r="DC192" s="16"/>
      <c r="DD192" s="16"/>
      <c r="DE192" s="16"/>
      <c r="DF192" s="16"/>
      <c r="DG192" s="16"/>
      <c r="DH192" s="16"/>
      <c r="DI192" s="16"/>
      <c r="DJ192" s="16"/>
    </row>
    <row r="193" spans="1:114" s="725" customFormat="1" ht="11.25" customHeight="1">
      <c r="A193" s="16"/>
      <c r="B193" s="16" t="s">
        <v>239</v>
      </c>
      <c r="C193" s="37"/>
      <c r="D193" s="106"/>
      <c r="E193" s="83">
        <v>467884</v>
      </c>
      <c r="F193" s="95">
        <v>547881</v>
      </c>
      <c r="G193" s="108">
        <f t="shared" ref="G193:Z193" si="476">G259</f>
        <v>142053</v>
      </c>
      <c r="H193" s="108">
        <f t="shared" si="476"/>
        <v>134081</v>
      </c>
      <c r="I193" s="108">
        <f t="shared" si="476"/>
        <v>138444</v>
      </c>
      <c r="J193" s="108">
        <f t="shared" si="476"/>
        <v>144648</v>
      </c>
      <c r="K193" s="109">
        <f t="shared" si="476"/>
        <v>559226</v>
      </c>
      <c r="L193" s="108">
        <f t="shared" si="476"/>
        <v>169150</v>
      </c>
      <c r="M193" s="108">
        <f t="shared" si="476"/>
        <v>153245</v>
      </c>
      <c r="N193" s="108">
        <f t="shared" si="476"/>
        <v>158531</v>
      </c>
      <c r="O193" s="108">
        <f t="shared" si="476"/>
        <v>179996</v>
      </c>
      <c r="P193" s="109">
        <f t="shared" si="476"/>
        <v>660922</v>
      </c>
      <c r="Q193" s="108">
        <f t="shared" si="476"/>
        <v>212402</v>
      </c>
      <c r="R193" s="108">
        <f t="shared" si="476"/>
        <v>194764</v>
      </c>
      <c r="S193" s="108">
        <f t="shared" si="476"/>
        <v>204589</v>
      </c>
      <c r="T193" s="108">
        <f t="shared" si="476"/>
        <v>223372</v>
      </c>
      <c r="U193" s="109">
        <f t="shared" si="476"/>
        <v>835127</v>
      </c>
      <c r="V193" s="108">
        <f t="shared" si="476"/>
        <v>252634</v>
      </c>
      <c r="W193" s="108">
        <f t="shared" si="476"/>
        <v>234899</v>
      </c>
      <c r="X193" s="108">
        <f t="shared" si="476"/>
        <v>242306</v>
      </c>
      <c r="Y193" s="108">
        <f t="shared" si="476"/>
        <v>272446</v>
      </c>
      <c r="Z193" s="109">
        <f t="shared" si="476"/>
        <v>994314</v>
      </c>
      <c r="AA193" s="108">
        <f t="shared" ref="AA193:BL193" si="477">AA259</f>
        <v>299897</v>
      </c>
      <c r="AB193" s="108">
        <f t="shared" si="477"/>
        <v>268812</v>
      </c>
      <c r="AC193" s="108">
        <f t="shared" si="477"/>
        <v>270787</v>
      </c>
      <c r="AD193" s="108">
        <f t="shared" si="477"/>
        <v>280365</v>
      </c>
      <c r="AE193" s="109">
        <f t="shared" si="477"/>
        <v>1118614</v>
      </c>
      <c r="AF193" s="108">
        <f t="shared" si="477"/>
        <v>310266</v>
      </c>
      <c r="AG193" s="108">
        <f t="shared" si="477"/>
        <v>297178</v>
      </c>
      <c r="AH193" s="108">
        <f t="shared" si="477"/>
        <v>296299</v>
      </c>
      <c r="AI193" s="108">
        <f t="shared" si="477"/>
        <v>309686</v>
      </c>
      <c r="AJ193" s="109">
        <f t="shared" si="477"/>
        <v>1213429</v>
      </c>
      <c r="AK193" s="108">
        <f t="shared" si="477"/>
        <v>326503</v>
      </c>
      <c r="AL193" s="108">
        <f t="shared" si="477"/>
        <v>314721</v>
      </c>
      <c r="AM193" s="108">
        <f t="shared" si="477"/>
        <v>570446</v>
      </c>
      <c r="AN193" s="108">
        <f t="shared" si="477"/>
        <v>672248</v>
      </c>
      <c r="AO193" s="109">
        <f t="shared" si="477"/>
        <v>1824399</v>
      </c>
      <c r="AP193" s="108">
        <f t="shared" si="477"/>
        <v>748202</v>
      </c>
      <c r="AQ193" s="108">
        <f t="shared" si="477"/>
        <v>688455</v>
      </c>
      <c r="AR193" s="108">
        <f t="shared" si="477"/>
        <v>679255</v>
      </c>
      <c r="AS193" s="108">
        <f t="shared" si="477"/>
        <v>672379</v>
      </c>
      <c r="AT193" s="109">
        <f t="shared" si="477"/>
        <v>2754336</v>
      </c>
      <c r="AU193" s="108">
        <f t="shared" si="477"/>
        <v>713299</v>
      </c>
      <c r="AV193" s="108">
        <f t="shared" si="477"/>
        <v>681164</v>
      </c>
      <c r="AW193" s="108">
        <f t="shared" si="477"/>
        <v>672483</v>
      </c>
      <c r="AX193" s="108">
        <f t="shared" si="477"/>
        <v>694366</v>
      </c>
      <c r="AY193" s="109">
        <f t="shared" si="477"/>
        <v>2768470</v>
      </c>
      <c r="AZ193" s="108">
        <f t="shared" si="477"/>
        <v>721661</v>
      </c>
      <c r="BA193" s="108">
        <f t="shared" si="477"/>
        <v>710593</v>
      </c>
      <c r="BB193" s="108">
        <f t="shared" si="477"/>
        <v>711026</v>
      </c>
      <c r="BC193" s="108">
        <f t="shared" si="477"/>
        <v>715252</v>
      </c>
      <c r="BD193" s="109">
        <f t="shared" si="477"/>
        <v>2858532</v>
      </c>
      <c r="BE193" s="108">
        <f t="shared" si="477"/>
        <v>755259</v>
      </c>
      <c r="BF193" s="108">
        <f t="shared" si="477"/>
        <v>691706</v>
      </c>
      <c r="BG193" s="108">
        <f t="shared" si="477"/>
        <v>669010</v>
      </c>
      <c r="BH193" s="108">
        <f t="shared" si="477"/>
        <v>701213</v>
      </c>
      <c r="BI193" s="109">
        <f t="shared" si="477"/>
        <v>2806139</v>
      </c>
      <c r="BJ193" s="108">
        <f t="shared" si="477"/>
        <v>753701</v>
      </c>
      <c r="BK193" s="108">
        <f t="shared" si="477"/>
        <v>711276</v>
      </c>
      <c r="BL193" s="108">
        <f t="shared" si="477"/>
        <v>707598</v>
      </c>
      <c r="BM193" s="108">
        <f t="shared" ref="BM193:BS193" si="478">BM259</f>
        <v>729843</v>
      </c>
      <c r="BN193" s="109">
        <f t="shared" si="478"/>
        <v>2902418</v>
      </c>
      <c r="BO193" s="108">
        <f t="shared" si="478"/>
        <v>779684</v>
      </c>
      <c r="BP193" s="108">
        <f t="shared" si="478"/>
        <v>719341</v>
      </c>
      <c r="BQ193" s="108">
        <f t="shared" si="478"/>
        <v>695844</v>
      </c>
      <c r="BR193" s="108">
        <f>BR259</f>
        <v>687463</v>
      </c>
      <c r="BS193" s="109">
        <f t="shared" si="478"/>
        <v>2882332</v>
      </c>
      <c r="BT193" s="108">
        <f t="shared" ref="BT193:BY193" si="479">BT259</f>
        <v>940281</v>
      </c>
      <c r="BU193" s="108">
        <f t="shared" si="479"/>
        <v>1017399</v>
      </c>
      <c r="BV193" s="108">
        <f t="shared" si="479"/>
        <v>990935</v>
      </c>
      <c r="BW193" s="108">
        <f t="shared" si="479"/>
        <v>1004207</v>
      </c>
      <c r="BX193" s="109">
        <f t="shared" si="479"/>
        <v>3941245</v>
      </c>
      <c r="BY193" s="108">
        <f t="shared" si="479"/>
        <v>1081155</v>
      </c>
      <c r="BZ193" s="108">
        <f>BZ259</f>
        <v>1028442</v>
      </c>
      <c r="CA193" s="108">
        <f>CA259</f>
        <v>998575</v>
      </c>
      <c r="CB193" s="108">
        <f>CB259</f>
        <v>1010993</v>
      </c>
      <c r="CC193" s="109">
        <f t="shared" ref="CC193" si="480">CC259</f>
        <v>4119165</v>
      </c>
      <c r="CD193" s="108">
        <f t="shared" ref="CD193" si="481">CD259</f>
        <v>1072943</v>
      </c>
      <c r="CE193" s="108">
        <f t="shared" ref="CE193:CF193" si="482">CE259</f>
        <v>909067</v>
      </c>
      <c r="CF193" s="108">
        <f t="shared" si="482"/>
        <v>892828</v>
      </c>
      <c r="CG193" s="108">
        <f t="shared" ref="CG193:CI193" si="483">CG259</f>
        <v>904723</v>
      </c>
      <c r="CH193" s="109">
        <f t="shared" si="483"/>
        <v>3678397</v>
      </c>
      <c r="CI193" s="108">
        <f t="shared" si="483"/>
        <v>969056</v>
      </c>
      <c r="CJ193" s="108">
        <f t="shared" ref="CJ193:CK193" si="484">CJ259</f>
        <v>818249</v>
      </c>
      <c r="CK193" s="108">
        <f t="shared" si="484"/>
        <v>753086</v>
      </c>
      <c r="CL193" s="108">
        <f t="shared" ref="CL193:CM193" si="485">CL259</f>
        <v>724920</v>
      </c>
      <c r="CM193" s="109">
        <f t="shared" si="485"/>
        <v>2937290</v>
      </c>
      <c r="CN193" s="16"/>
      <c r="CO193" s="16"/>
      <c r="CP193" s="16"/>
      <c r="CQ193" s="16"/>
      <c r="CR193" s="18"/>
      <c r="CS193" s="16"/>
      <c r="CT193" s="16"/>
      <c r="CU193" s="16"/>
      <c r="CV193" s="16"/>
      <c r="CW193" s="18"/>
      <c r="CX193" s="16"/>
      <c r="CY193" s="16"/>
      <c r="CZ193" s="16"/>
      <c r="DA193" s="16"/>
      <c r="DB193" s="18"/>
      <c r="DC193" s="16"/>
      <c r="DD193" s="16"/>
      <c r="DE193" s="16"/>
      <c r="DF193" s="16"/>
      <c r="DG193" s="16"/>
      <c r="DH193" s="16"/>
      <c r="DI193" s="16"/>
      <c r="DJ193" s="16"/>
    </row>
    <row r="194" spans="1:114" s="725" customFormat="1" ht="11.25" customHeight="1">
      <c r="A194" s="16"/>
      <c r="B194" s="802" t="s">
        <v>256</v>
      </c>
      <c r="C194" s="37"/>
      <c r="D194" s="106"/>
      <c r="E194" s="94"/>
      <c r="F194" s="125"/>
      <c r="G194" s="98"/>
      <c r="H194" s="98"/>
      <c r="I194" s="98"/>
      <c r="J194" s="98"/>
      <c r="K194" s="96">
        <f t="shared" ref="K194:Z194" si="486">K193/F193-1</f>
        <v>2.0707051348741734E-2</v>
      </c>
      <c r="L194" s="98">
        <f t="shared" si="486"/>
        <v>0.19075274721406799</v>
      </c>
      <c r="M194" s="98">
        <f t="shared" si="486"/>
        <v>0.14292852827768288</v>
      </c>
      <c r="N194" s="98">
        <f t="shared" si="486"/>
        <v>0.14509115599086986</v>
      </c>
      <c r="O194" s="98">
        <f t="shared" si="486"/>
        <v>0.24437254576627399</v>
      </c>
      <c r="P194" s="96">
        <f t="shared" si="486"/>
        <v>0.18185134453691343</v>
      </c>
      <c r="Q194" s="98">
        <f t="shared" si="486"/>
        <v>0.25570203960981375</v>
      </c>
      <c r="R194" s="98">
        <f t="shared" si="486"/>
        <v>0.27093216744428861</v>
      </c>
      <c r="S194" s="98">
        <f t="shared" si="486"/>
        <v>0.29052992790053689</v>
      </c>
      <c r="T194" s="98">
        <f t="shared" si="486"/>
        <v>0.24098313295851015</v>
      </c>
      <c r="U194" s="96">
        <f t="shared" si="486"/>
        <v>0.26357875815905651</v>
      </c>
      <c r="V194" s="98">
        <f t="shared" si="486"/>
        <v>0.18941441229366962</v>
      </c>
      <c r="W194" s="98">
        <f t="shared" si="486"/>
        <v>0.20606991025035426</v>
      </c>
      <c r="X194" s="98">
        <f t="shared" si="486"/>
        <v>0.18435497509641285</v>
      </c>
      <c r="Y194" s="98">
        <f t="shared" si="486"/>
        <v>0.21969629138835667</v>
      </c>
      <c r="Z194" s="96">
        <f t="shared" si="486"/>
        <v>0.19061412216345541</v>
      </c>
      <c r="AA194" s="98">
        <f t="shared" ref="AA194:BJ194" si="487">AA193/V193-1</f>
        <v>0.18708091547456007</v>
      </c>
      <c r="AB194" s="98">
        <f t="shared" si="487"/>
        <v>0.14437268783604873</v>
      </c>
      <c r="AC194" s="98">
        <f t="shared" si="487"/>
        <v>0.11754145584508846</v>
      </c>
      <c r="AD194" s="98">
        <f t="shared" si="487"/>
        <v>2.9066310388113692E-2</v>
      </c>
      <c r="AE194" s="96">
        <f t="shared" si="487"/>
        <v>0.12501081147404136</v>
      </c>
      <c r="AF194" s="98">
        <f t="shared" si="487"/>
        <v>3.4575204153425965E-2</v>
      </c>
      <c r="AG194" s="98">
        <f t="shared" si="487"/>
        <v>0.10552356293617837</v>
      </c>
      <c r="AH194" s="98">
        <f t="shared" si="487"/>
        <v>9.421427173387209E-2</v>
      </c>
      <c r="AI194" s="98">
        <f t="shared" si="487"/>
        <v>0.10458152765145434</v>
      </c>
      <c r="AJ194" s="96">
        <f t="shared" si="487"/>
        <v>8.4761141913117566E-2</v>
      </c>
      <c r="AK194" s="98">
        <f t="shared" si="487"/>
        <v>5.2332514680951236E-2</v>
      </c>
      <c r="AL194" s="98">
        <f t="shared" si="487"/>
        <v>5.9031960643116221E-2</v>
      </c>
      <c r="AM194" s="98">
        <f t="shared" si="487"/>
        <v>0.92523768220614988</v>
      </c>
      <c r="AN194" s="98">
        <f t="shared" si="487"/>
        <v>1.170740685726833</v>
      </c>
      <c r="AO194" s="96">
        <f t="shared" si="487"/>
        <v>0.50350700370602652</v>
      </c>
      <c r="AP194" s="98">
        <f t="shared" si="487"/>
        <v>1.2915624052458936</v>
      </c>
      <c r="AQ194" s="98">
        <f t="shared" si="487"/>
        <v>1.1875089364866023</v>
      </c>
      <c r="AR194" s="98">
        <f t="shared" si="487"/>
        <v>0.1907437338503557</v>
      </c>
      <c r="AS194" s="98">
        <f t="shared" si="487"/>
        <v>1.9486856041228684E-4</v>
      </c>
      <c r="AT194" s="96">
        <f t="shared" si="487"/>
        <v>0.50972237980836432</v>
      </c>
      <c r="AU194" s="98">
        <f t="shared" si="487"/>
        <v>-4.6649166936201691E-2</v>
      </c>
      <c r="AV194" s="98">
        <f t="shared" si="487"/>
        <v>-1.0590379908635983E-2</v>
      </c>
      <c r="AW194" s="98">
        <f t="shared" si="487"/>
        <v>-9.9697462661297864E-3</v>
      </c>
      <c r="AX194" s="98">
        <f t="shared" si="487"/>
        <v>3.2700307415906904E-2</v>
      </c>
      <c r="AY194" s="96">
        <f t="shared" si="487"/>
        <v>5.1315453161850932E-3</v>
      </c>
      <c r="AZ194" s="98">
        <f t="shared" si="487"/>
        <v>1.1722994144110599E-2</v>
      </c>
      <c r="BA194" s="98">
        <f t="shared" si="487"/>
        <v>4.3203986117880566E-2</v>
      </c>
      <c r="BB194" s="98">
        <f t="shared" si="487"/>
        <v>5.7314459993784261E-2</v>
      </c>
      <c r="BC194" s="98">
        <f t="shared" si="487"/>
        <v>3.0079237750696208E-2</v>
      </c>
      <c r="BD194" s="96">
        <f t="shared" si="487"/>
        <v>3.2531325967050329E-2</v>
      </c>
      <c r="BE194" s="98">
        <f t="shared" si="487"/>
        <v>4.6556485662935909E-2</v>
      </c>
      <c r="BF194" s="98">
        <f t="shared" si="487"/>
        <v>-2.6579209195699893E-2</v>
      </c>
      <c r="BG194" s="98">
        <f t="shared" si="487"/>
        <v>-5.9092072582437205E-2</v>
      </c>
      <c r="BH194" s="98">
        <f t="shared" si="487"/>
        <v>-1.9628047177777885E-2</v>
      </c>
      <c r="BI194" s="96">
        <f t="shared" si="487"/>
        <v>-1.8328638615904946E-2</v>
      </c>
      <c r="BJ194" s="98">
        <f t="shared" si="487"/>
        <v>-2.0628684994153934E-3</v>
      </c>
      <c r="BK194" s="98">
        <f t="shared" ref="BK194:CM194" si="488">BK193/BF193-1</f>
        <v>2.8292366988286854E-2</v>
      </c>
      <c r="BL194" s="98">
        <f t="shared" si="488"/>
        <v>5.7679257410203189E-2</v>
      </c>
      <c r="BM194" s="98">
        <f t="shared" si="488"/>
        <v>4.0829248744675306E-2</v>
      </c>
      <c r="BN194" s="96">
        <f t="shared" si="488"/>
        <v>3.4310132178056785E-2</v>
      </c>
      <c r="BO194" s="98">
        <f t="shared" si="488"/>
        <v>3.4473882879284989E-2</v>
      </c>
      <c r="BP194" s="98">
        <f t="shared" si="488"/>
        <v>1.1338777071066675E-2</v>
      </c>
      <c r="BQ194" s="98">
        <f t="shared" si="488"/>
        <v>-1.6611126656660979E-2</v>
      </c>
      <c r="BR194" s="98">
        <f t="shared" si="488"/>
        <v>-5.8067282963596312E-2</v>
      </c>
      <c r="BS194" s="96">
        <f t="shared" si="488"/>
        <v>-6.920436684171638E-3</v>
      </c>
      <c r="BT194" s="98">
        <f t="shared" si="488"/>
        <v>0.20597703685082669</v>
      </c>
      <c r="BU194" s="98">
        <f t="shared" si="488"/>
        <v>0.41434868859136342</v>
      </c>
      <c r="BV194" s="98">
        <f t="shared" si="488"/>
        <v>0.42407637344002391</v>
      </c>
      <c r="BW194" s="98">
        <f t="shared" si="488"/>
        <v>0.4607433418234872</v>
      </c>
      <c r="BX194" s="96">
        <f t="shared" si="488"/>
        <v>0.3673806487247131</v>
      </c>
      <c r="BY194" s="98">
        <f t="shared" si="488"/>
        <v>0.14982117047988841</v>
      </c>
      <c r="BZ194" s="98">
        <f t="shared" si="488"/>
        <v>1.0854148667337027E-2</v>
      </c>
      <c r="CA194" s="98">
        <f t="shared" si="488"/>
        <v>7.7098901542482778E-3</v>
      </c>
      <c r="CB194" s="98">
        <f t="shared" si="488"/>
        <v>6.7575708992269057E-3</v>
      </c>
      <c r="CC194" s="96">
        <f t="shared" si="488"/>
        <v>4.5143095646172693E-2</v>
      </c>
      <c r="CD194" s="98">
        <f t="shared" si="488"/>
        <v>-7.5955806521729174E-3</v>
      </c>
      <c r="CE194" s="98">
        <f t="shared" si="488"/>
        <v>-0.11607363371001966</v>
      </c>
      <c r="CF194" s="98">
        <f t="shared" si="488"/>
        <v>-0.10589790451393233</v>
      </c>
      <c r="CG194" s="98">
        <f t="shared" si="488"/>
        <v>-0.10511447655918493</v>
      </c>
      <c r="CH194" s="96">
        <f t="shared" si="488"/>
        <v>-0.10700421080485967</v>
      </c>
      <c r="CI194" s="98">
        <f t="shared" si="488"/>
        <v>-9.6824342020032761E-2</v>
      </c>
      <c r="CJ194" s="98">
        <f t="shared" si="488"/>
        <v>-9.9902427433841479E-2</v>
      </c>
      <c r="CK194" s="98">
        <f t="shared" si="488"/>
        <v>-0.15651614868709318</v>
      </c>
      <c r="CL194" s="98">
        <f t="shared" si="488"/>
        <v>-0.1987381773205722</v>
      </c>
      <c r="CM194" s="96">
        <f t="shared" si="488"/>
        <v>-0.20147553404376961</v>
      </c>
      <c r="CN194" s="16"/>
      <c r="CO194" s="16"/>
      <c r="CP194" s="16"/>
      <c r="CQ194" s="16"/>
      <c r="CR194" s="18"/>
      <c r="CS194" s="16"/>
      <c r="CT194" s="16"/>
      <c r="CU194" s="16"/>
      <c r="CV194" s="16"/>
      <c r="CW194" s="18"/>
      <c r="CX194" s="16"/>
      <c r="CY194" s="16"/>
      <c r="CZ194" s="16"/>
      <c r="DA194" s="16"/>
      <c r="DB194" s="18"/>
      <c r="DC194" s="16"/>
      <c r="DD194" s="16"/>
      <c r="DE194" s="16"/>
      <c r="DF194" s="16"/>
      <c r="DG194" s="16"/>
      <c r="DH194" s="16"/>
      <c r="DI194" s="16"/>
      <c r="DJ194" s="16"/>
    </row>
    <row r="195" spans="1:114" s="725" customFormat="1" ht="11.25" customHeight="1">
      <c r="A195" s="16"/>
      <c r="B195" s="77"/>
      <c r="C195" s="37"/>
      <c r="D195" s="106"/>
      <c r="E195" s="94"/>
      <c r="F195" s="125"/>
      <c r="G195" s="93"/>
      <c r="H195" s="93"/>
      <c r="I195" s="93"/>
      <c r="J195" s="93"/>
      <c r="K195" s="125"/>
      <c r="L195" s="93"/>
      <c r="M195" s="93"/>
      <c r="N195" s="93"/>
      <c r="O195" s="93"/>
      <c r="P195" s="125"/>
      <c r="Q195" s="54"/>
      <c r="R195" s="54"/>
      <c r="S195" s="54"/>
      <c r="T195" s="54"/>
      <c r="U195" s="96"/>
      <c r="V195" s="54"/>
      <c r="W195" s="54"/>
      <c r="X195" s="54"/>
      <c r="Y195" s="54"/>
      <c r="Z195" s="96"/>
      <c r="AA195" s="54"/>
      <c r="AB195" s="54"/>
      <c r="AC195" s="54"/>
      <c r="AD195" s="54"/>
      <c r="AE195" s="96"/>
      <c r="AF195" s="54"/>
      <c r="AG195" s="54"/>
      <c r="AH195" s="54"/>
      <c r="AI195" s="54"/>
      <c r="AJ195" s="96"/>
      <c r="AK195" s="54"/>
      <c r="AL195" s="54"/>
      <c r="AM195" s="54"/>
      <c r="AN195" s="54"/>
      <c r="AO195" s="96"/>
      <c r="AP195" s="54"/>
      <c r="AQ195" s="54"/>
      <c r="AR195" s="54"/>
      <c r="AS195" s="16"/>
      <c r="AT195" s="18"/>
      <c r="AU195" s="16"/>
      <c r="AV195" s="16"/>
      <c r="AW195" s="16"/>
      <c r="AX195" s="16"/>
      <c r="AY195" s="18"/>
      <c r="AZ195" s="16"/>
      <c r="BA195" s="16"/>
      <c r="BB195" s="16"/>
      <c r="BC195" s="16"/>
      <c r="BD195" s="18"/>
      <c r="BE195" s="16"/>
      <c r="BF195" s="16"/>
      <c r="BG195" s="16"/>
      <c r="BH195" s="16"/>
      <c r="BI195" s="18"/>
      <c r="BJ195" s="16"/>
      <c r="BK195" s="16"/>
      <c r="BL195" s="16"/>
      <c r="BM195" s="16"/>
      <c r="BN195" s="18"/>
      <c r="BO195" s="16"/>
      <c r="BP195" s="16"/>
      <c r="BQ195" s="16"/>
      <c r="BR195" s="16"/>
      <c r="BS195" s="18"/>
      <c r="BT195" s="16"/>
      <c r="BU195" s="16"/>
      <c r="BV195" s="16"/>
      <c r="BW195" s="16"/>
      <c r="BX195" s="18"/>
      <c r="BY195" s="16"/>
      <c r="BZ195" s="16"/>
      <c r="CA195" s="16"/>
      <c r="CB195" s="16"/>
      <c r="CC195" s="18"/>
      <c r="CD195" s="16"/>
      <c r="CE195" s="16"/>
      <c r="CF195" s="16"/>
      <c r="CG195" s="16"/>
      <c r="CH195" s="18"/>
      <c r="CI195" s="16"/>
      <c r="CJ195" s="16"/>
      <c r="CK195" s="16"/>
      <c r="CL195" s="16"/>
      <c r="CM195" s="18"/>
      <c r="CN195" s="16"/>
      <c r="CO195" s="16"/>
      <c r="CP195" s="16"/>
      <c r="CQ195" s="16"/>
      <c r="CR195" s="18"/>
      <c r="CS195" s="16"/>
      <c r="CT195" s="16"/>
      <c r="CU195" s="16"/>
      <c r="CV195" s="16"/>
      <c r="CW195" s="18"/>
      <c r="CX195" s="16"/>
      <c r="CY195" s="16"/>
      <c r="CZ195" s="16"/>
      <c r="DA195" s="16"/>
      <c r="DB195" s="18"/>
      <c r="DC195" s="16"/>
      <c r="DD195" s="16"/>
      <c r="DE195" s="16"/>
      <c r="DF195" s="16"/>
      <c r="DG195" s="16"/>
      <c r="DH195" s="16"/>
      <c r="DI195" s="16"/>
      <c r="DJ195" s="16"/>
    </row>
    <row r="196" spans="1:114" s="725" customFormat="1" ht="11.25" customHeight="1">
      <c r="A196" s="16"/>
      <c r="B196" s="16" t="s">
        <v>240</v>
      </c>
      <c r="C196" s="37"/>
      <c r="D196" s="106"/>
      <c r="E196" s="16"/>
      <c r="F196" s="109">
        <f t="shared" ref="F196:Z196" si="489">F193*F199</f>
        <v>1003118.3261313277</v>
      </c>
      <c r="G196" s="108">
        <f t="shared" si="489"/>
        <v>251910.09650623015</v>
      </c>
      <c r="H196" s="108">
        <f t="shared" si="489"/>
        <v>249513.99217886594</v>
      </c>
      <c r="I196" s="108">
        <f t="shared" si="489"/>
        <v>261869.20041837636</v>
      </c>
      <c r="J196" s="108">
        <f t="shared" si="489"/>
        <v>265665.7144312567</v>
      </c>
      <c r="K196" s="109">
        <f t="shared" si="489"/>
        <v>1029494.9130654112</v>
      </c>
      <c r="L196" s="108">
        <f t="shared" si="489"/>
        <v>304039.40020799421</v>
      </c>
      <c r="M196" s="108">
        <f t="shared" si="489"/>
        <v>288817.11424028524</v>
      </c>
      <c r="N196" s="108">
        <f t="shared" si="489"/>
        <v>298818.86206577765</v>
      </c>
      <c r="O196" s="108">
        <f t="shared" si="489"/>
        <v>329992.04104189697</v>
      </c>
      <c r="P196" s="109">
        <f t="shared" si="489"/>
        <v>1222059.0041874107</v>
      </c>
      <c r="Q196" s="108">
        <f t="shared" si="489"/>
        <v>379946.39400990843</v>
      </c>
      <c r="R196" s="108">
        <f t="shared" si="489"/>
        <v>359368.99586645467</v>
      </c>
      <c r="S196" s="108">
        <f t="shared" si="489"/>
        <v>377004.99670795992</v>
      </c>
      <c r="T196" s="108">
        <f t="shared" si="489"/>
        <v>401809.37632404338</v>
      </c>
      <c r="U196" s="109">
        <f t="shared" si="489"/>
        <v>1518543.109863461</v>
      </c>
      <c r="V196" s="108">
        <f t="shared" si="489"/>
        <v>454718.60087537137</v>
      </c>
      <c r="W196" s="108">
        <f t="shared" si="489"/>
        <v>435264.68791293557</v>
      </c>
      <c r="X196" s="108">
        <f t="shared" si="489"/>
        <v>464034.28785101307</v>
      </c>
      <c r="Y196" s="108">
        <f t="shared" si="489"/>
        <v>503462.46170244267</v>
      </c>
      <c r="Z196" s="109">
        <f t="shared" si="489"/>
        <v>1843879.0994687569</v>
      </c>
      <c r="AA196" s="108">
        <f>+AA193*AA199</f>
        <v>533088.15812175279</v>
      </c>
      <c r="AB196" s="108">
        <f>+AB193*AB199</f>
        <v>501916.358556461</v>
      </c>
      <c r="AC196" s="108">
        <f>+AC193*AC199</f>
        <v>512222.04022056435</v>
      </c>
      <c r="AD196" s="108">
        <f>+AD193*AD199</f>
        <v>514482.92379844398</v>
      </c>
      <c r="AE196" s="91">
        <f>SUM(AA196:AD196)</f>
        <v>2061709.4806972223</v>
      </c>
      <c r="AF196" s="108">
        <f>+AF193*AF199</f>
        <v>561007.13344097254</v>
      </c>
      <c r="AG196" s="108">
        <f>+AG193*AG199</f>
        <v>553459.4882318452</v>
      </c>
      <c r="AH196" s="108">
        <f>+AH193*AH199</f>
        <v>550181.62707254058</v>
      </c>
      <c r="AI196" s="108">
        <f>+AI193*AI199</f>
        <v>570357.18316650076</v>
      </c>
      <c r="AJ196" s="91">
        <f>SUM(AF196:AI196)</f>
        <v>2235005.4319118592</v>
      </c>
      <c r="AK196" s="108">
        <f>+AK193*AK199</f>
        <v>594175.14184486901</v>
      </c>
      <c r="AL196" s="108">
        <f>+AL193*AL199</f>
        <v>591817.97980595089</v>
      </c>
      <c r="AM196" s="108">
        <f>+AM193*AM199</f>
        <v>1054053.1712833864</v>
      </c>
      <c r="AN196" s="108">
        <f>+AN193*AN199</f>
        <v>1203952.4009224765</v>
      </c>
      <c r="AO196" s="91">
        <f>SUM(AK196:AN196)</f>
        <v>3443998.6938566826</v>
      </c>
      <c r="AP196" s="108">
        <f>+AP193*AP199</f>
        <v>1306789.6457860027</v>
      </c>
      <c r="AQ196" s="108">
        <f>+AQ193*AQ199</f>
        <v>1246240.7750163707</v>
      </c>
      <c r="AR196" s="108">
        <f>+AR193*AR199</f>
        <v>1245870.7872242928</v>
      </c>
      <c r="AS196" s="108">
        <f>+AS193*AS199</f>
        <v>1219905.8912403213</v>
      </c>
      <c r="AT196" s="91">
        <f>SUM(AP196:AS196)</f>
        <v>5018807.0992669873</v>
      </c>
      <c r="AU196" s="108">
        <f>+AU193*AU199</f>
        <v>1282027.531695988</v>
      </c>
      <c r="AV196" s="108">
        <f>+AV193*AV199</f>
        <v>1266135.7431786025</v>
      </c>
      <c r="AW196" s="108">
        <f>+AW193*AW199</f>
        <v>1264131.8392416004</v>
      </c>
      <c r="AX196" s="108">
        <f>+AX193*AX199</f>
        <v>1285193.1308940069</v>
      </c>
      <c r="AY196" s="109">
        <f>+SUM(AU196:AX196)</f>
        <v>5097488.2450101981</v>
      </c>
      <c r="AZ196" s="108">
        <f>+AZ193*AZ199</f>
        <v>1313679.8370508309</v>
      </c>
      <c r="BA196" s="108">
        <f>+BA193*BA199</f>
        <v>1337116.0551544016</v>
      </c>
      <c r="BB196" s="108">
        <f>+BB193*BB199</f>
        <v>1363121.306659875</v>
      </c>
      <c r="BC196" s="108">
        <f>+BC193*BC199</f>
        <v>1359428.6494193261</v>
      </c>
      <c r="BD196" s="109">
        <f>+SUM(AZ196:BC196)</f>
        <v>5373345.8482844336</v>
      </c>
      <c r="BE196" s="108">
        <f>+BE193*BE199</f>
        <v>1426452.2332033655</v>
      </c>
      <c r="BF196" s="108">
        <f>+BF193*BF199</f>
        <v>1371118.7195135839</v>
      </c>
      <c r="BG196" s="108">
        <f>+BG193*BG199</f>
        <v>1367495.0122382375</v>
      </c>
      <c r="BH196" s="108">
        <f>+BH193*BH199</f>
        <v>1408938.1901279937</v>
      </c>
      <c r="BI196" s="109">
        <f>+SUM(BE196:BH196)</f>
        <v>5574004.1550831804</v>
      </c>
      <c r="BJ196" s="108">
        <f>+BJ193*BJ199</f>
        <v>1489031.109753761</v>
      </c>
      <c r="BK196" s="108">
        <f>+BK193*BK199</f>
        <v>1439709.3591927029</v>
      </c>
      <c r="BL196" s="108">
        <f>+BL193*BL199</f>
        <v>1452139.7666731575</v>
      </c>
      <c r="BM196" s="108">
        <f>+BM193*BM199</f>
        <v>1482365.1690791482</v>
      </c>
      <c r="BN196" s="109">
        <f>+SUM(BJ196:BM196)</f>
        <v>5863245.4046987696</v>
      </c>
      <c r="BO196" s="108">
        <f>+BO193*BO199</f>
        <v>1549686.7573770874</v>
      </c>
      <c r="BP196" s="108">
        <f>+BP193*BP199</f>
        <v>1503381.1146815084</v>
      </c>
      <c r="BQ196" s="108">
        <f>+BQ193*BQ199</f>
        <v>1474279.9913677629</v>
      </c>
      <c r="BR196" s="108">
        <f>+BR193*BR199</f>
        <v>1459121.3299365109</v>
      </c>
      <c r="BS196" s="109">
        <f>+SUM(BO196:BR196)</f>
        <v>5986469.1933628693</v>
      </c>
      <c r="BT196" s="108">
        <f>+BT193*BT199</f>
        <v>1933765.9247289407</v>
      </c>
      <c r="BU196" s="108">
        <f>+BU193*BU199</f>
        <v>2191129.7835689047</v>
      </c>
      <c r="BV196" s="108">
        <f>+BV193*BV199</f>
        <v>2163157.0104555245</v>
      </c>
      <c r="BW196" s="108">
        <f>+BW193*BW199</f>
        <v>2159672.3049678435</v>
      </c>
      <c r="BX196" s="109">
        <f>+SUM(BT196:BW196)</f>
        <v>8447725.0237212125</v>
      </c>
      <c r="BY196" s="108">
        <f>+BY193*BY199</f>
        <v>2246417.0247337292</v>
      </c>
      <c r="BZ196" s="108">
        <f>+BZ193*BZ199</f>
        <v>2251704.4780982356</v>
      </c>
      <c r="CA196" s="108">
        <f>+CA193*CA199</f>
        <v>2218760.8782256977</v>
      </c>
      <c r="CB196" s="108">
        <f>+CB193*CB199</f>
        <v>2213346.3957586265</v>
      </c>
      <c r="CC196" s="109">
        <f>+SUM(BY196:CB196)</f>
        <v>8930228.7768162899</v>
      </c>
      <c r="CD196" s="108">
        <f>+CD193*CD199</f>
        <v>2294574.7876723511</v>
      </c>
      <c r="CE196" s="108">
        <f>+CE193*CE199</f>
        <v>1992438.1411628893</v>
      </c>
      <c r="CF196" s="108">
        <f>+CF193*CF199</f>
        <v>1967527.9577770571</v>
      </c>
      <c r="CG196" s="108">
        <f>+CG193*CG199</f>
        <v>1952903.8835646645</v>
      </c>
      <c r="CH196" s="109">
        <f>+SUM(CD196:CG196)</f>
        <v>8207444.770176962</v>
      </c>
      <c r="CI196" s="108">
        <f>+CI193*CI199</f>
        <v>2047706.3620635746</v>
      </c>
      <c r="CJ196" s="108">
        <f>+CJ193*CJ199</f>
        <v>1793962.4546791213</v>
      </c>
      <c r="CK196" s="108">
        <f>+CK193*CK199</f>
        <v>1648335.722683236</v>
      </c>
      <c r="CL196" s="108">
        <f>+CL193*CL199</f>
        <v>1566705.6388724453</v>
      </c>
      <c r="CM196" s="109">
        <f>+SUM(CI196:CL196)</f>
        <v>7056710.1782983774</v>
      </c>
      <c r="CN196" s="16"/>
      <c r="CO196" s="16"/>
      <c r="CP196" s="16"/>
      <c r="CQ196" s="16"/>
      <c r="CR196" s="18"/>
      <c r="CS196" s="16"/>
      <c r="CT196" s="16"/>
      <c r="CU196" s="16"/>
      <c r="CV196" s="16"/>
      <c r="CW196" s="18"/>
      <c r="CX196" s="16"/>
      <c r="CY196" s="16"/>
      <c r="CZ196" s="16"/>
      <c r="DA196" s="16"/>
      <c r="DB196" s="18"/>
      <c r="DC196" s="16"/>
      <c r="DD196" s="16"/>
      <c r="DE196" s="16"/>
      <c r="DF196" s="16"/>
      <c r="DG196" s="16"/>
      <c r="DH196" s="16"/>
      <c r="DI196" s="16"/>
      <c r="DJ196" s="16"/>
    </row>
    <row r="197" spans="1:114" s="725" customFormat="1" ht="11.25" customHeight="1">
      <c r="A197" s="16"/>
      <c r="B197" s="802" t="s">
        <v>256</v>
      </c>
      <c r="C197" s="37"/>
      <c r="D197" s="106"/>
      <c r="E197" s="16"/>
      <c r="F197" s="18"/>
      <c r="G197" s="16"/>
      <c r="H197" s="16"/>
      <c r="I197" s="16"/>
      <c r="J197" s="16"/>
      <c r="K197" s="96">
        <f t="shared" ref="K197:Z197" si="490">K196/F196-1</f>
        <v>2.6294591821294455E-2</v>
      </c>
      <c r="L197" s="98">
        <f t="shared" si="490"/>
        <v>0.20693614279360495</v>
      </c>
      <c r="M197" s="98">
        <f t="shared" si="490"/>
        <v>0.15751870954493241</v>
      </c>
      <c r="N197" s="98">
        <f t="shared" si="490"/>
        <v>0.14109968483643165</v>
      </c>
      <c r="O197" s="98">
        <f t="shared" si="490"/>
        <v>0.24213258661679982</v>
      </c>
      <c r="P197" s="96">
        <f t="shared" si="490"/>
        <v>0.18704715164509467</v>
      </c>
      <c r="Q197" s="98">
        <f t="shared" si="490"/>
        <v>0.24966170091766404</v>
      </c>
      <c r="R197" s="98">
        <f t="shared" si="490"/>
        <v>0.24427874300922792</v>
      </c>
      <c r="S197" s="98">
        <f t="shared" si="490"/>
        <v>0.26165060030571796</v>
      </c>
      <c r="T197" s="98">
        <f t="shared" si="490"/>
        <v>0.21763353763137649</v>
      </c>
      <c r="U197" s="96">
        <f t="shared" si="490"/>
        <v>0.24261030331607669</v>
      </c>
      <c r="V197" s="98">
        <f t="shared" si="490"/>
        <v>0.19679672723387664</v>
      </c>
      <c r="W197" s="98">
        <f t="shared" si="490"/>
        <v>0.21119154106072235</v>
      </c>
      <c r="X197" s="98">
        <f t="shared" si="490"/>
        <v>0.23084386653492772</v>
      </c>
      <c r="Y197" s="98">
        <f t="shared" si="490"/>
        <v>0.25298833568388424</v>
      </c>
      <c r="Z197" s="96">
        <f t="shared" si="490"/>
        <v>0.21424218218905122</v>
      </c>
      <c r="AA197" s="98">
        <f t="shared" ref="AA197:BJ197" si="491">AA196/V196-1</f>
        <v>0.17234737504802622</v>
      </c>
      <c r="AB197" s="98">
        <f t="shared" si="491"/>
        <v>0.15312905570887358</v>
      </c>
      <c r="AC197" s="98">
        <f t="shared" si="491"/>
        <v>0.10384524081768465</v>
      </c>
      <c r="AD197" s="98">
        <f t="shared" si="491"/>
        <v>2.1889342174063797E-2</v>
      </c>
      <c r="AE197" s="96">
        <f t="shared" si="491"/>
        <v>0.11813701955362732</v>
      </c>
      <c r="AF197" s="98">
        <f t="shared" si="491"/>
        <v>5.2372154387348546E-2</v>
      </c>
      <c r="AG197" s="98">
        <f t="shared" si="491"/>
        <v>0.10269266740702587</v>
      </c>
      <c r="AH197" s="98">
        <f t="shared" si="491"/>
        <v>7.4107679621967737E-2</v>
      </c>
      <c r="AI197" s="98">
        <f t="shared" si="491"/>
        <v>0.10860274808643866</v>
      </c>
      <c r="AJ197" s="96">
        <f t="shared" si="491"/>
        <v>8.4054495959358988E-2</v>
      </c>
      <c r="AK197" s="98">
        <f t="shared" si="491"/>
        <v>5.9122257858752025E-2</v>
      </c>
      <c r="AL197" s="98">
        <f t="shared" si="491"/>
        <v>6.9306773828470725E-2</v>
      </c>
      <c r="AM197" s="98">
        <f t="shared" si="491"/>
        <v>0.9158276456665666</v>
      </c>
      <c r="AN197" s="98">
        <f t="shared" si="491"/>
        <v>1.1108744422896386</v>
      </c>
      <c r="AO197" s="96">
        <f t="shared" si="491"/>
        <v>0.5409352678443522</v>
      </c>
      <c r="AP197" s="98">
        <f t="shared" si="491"/>
        <v>1.1993340915079678</v>
      </c>
      <c r="AQ197" s="98">
        <f t="shared" si="491"/>
        <v>1.1057839023832905</v>
      </c>
      <c r="AR197" s="98">
        <f t="shared" si="491"/>
        <v>0.18198096753255277</v>
      </c>
      <c r="AS197" s="98">
        <f t="shared" si="491"/>
        <v>1.3250931104602737E-2</v>
      </c>
      <c r="AT197" s="96">
        <f t="shared" si="491"/>
        <v>0.45726161517407315</v>
      </c>
      <c r="AU197" s="98">
        <f t="shared" si="491"/>
        <v>-1.8948814118527002E-2</v>
      </c>
      <c r="AV197" s="98">
        <f t="shared" si="491"/>
        <v>1.5963984296670564E-2</v>
      </c>
      <c r="AW197" s="98">
        <f t="shared" si="491"/>
        <v>1.4657259969945935E-2</v>
      </c>
      <c r="AX197" s="98">
        <f t="shared" si="491"/>
        <v>5.3518259172685712E-2</v>
      </c>
      <c r="AY197" s="96">
        <f t="shared" si="491"/>
        <v>1.5677260390163816E-2</v>
      </c>
      <c r="AZ197" s="98">
        <f t="shared" si="491"/>
        <v>2.4689255552078793E-2</v>
      </c>
      <c r="BA197" s="98">
        <f t="shared" si="491"/>
        <v>5.6060586203501961E-2</v>
      </c>
      <c r="BB197" s="98">
        <f t="shared" si="491"/>
        <v>7.8306284475567089E-2</v>
      </c>
      <c r="BC197" s="98">
        <f t="shared" si="491"/>
        <v>5.7762150093098708E-2</v>
      </c>
      <c r="BD197" s="96">
        <f t="shared" si="491"/>
        <v>5.4116378501562146E-2</v>
      </c>
      <c r="BE197" s="98">
        <f t="shared" si="491"/>
        <v>8.5844657862531371E-2</v>
      </c>
      <c r="BF197" s="98">
        <f t="shared" si="491"/>
        <v>2.5429852725278979E-2</v>
      </c>
      <c r="BG197" s="98">
        <f t="shared" si="491"/>
        <v>3.2085960046208672E-3</v>
      </c>
      <c r="BH197" s="98">
        <f t="shared" si="491"/>
        <v>3.6419374220055811E-2</v>
      </c>
      <c r="BI197" s="96">
        <f t="shared" si="491"/>
        <v>3.7343270369021964E-2</v>
      </c>
      <c r="BJ197" s="98">
        <f t="shared" si="491"/>
        <v>4.3870292389576182E-2</v>
      </c>
      <c r="BK197" s="98">
        <f t="shared" ref="BK197:CM197" si="492">BK196/BF196-1</f>
        <v>5.0025310502253229E-2</v>
      </c>
      <c r="BL197" s="98">
        <f t="shared" si="492"/>
        <v>6.1897669591041593E-2</v>
      </c>
      <c r="BM197" s="98">
        <f t="shared" si="492"/>
        <v>5.2115117231994468E-2</v>
      </c>
      <c r="BN197" s="96">
        <f t="shared" si="492"/>
        <v>5.1891107643293966E-2</v>
      </c>
      <c r="BO197" s="98">
        <f t="shared" si="492"/>
        <v>4.0734976741592099E-2</v>
      </c>
      <c r="BP197" s="98">
        <f t="shared" si="492"/>
        <v>4.4225423056573288E-2</v>
      </c>
      <c r="BQ197" s="98">
        <f t="shared" si="492"/>
        <v>1.5246621022801721E-2</v>
      </c>
      <c r="BR197" s="98">
        <f t="shared" si="492"/>
        <v>-1.5680238329585539E-2</v>
      </c>
      <c r="BS197" s="96">
        <f t="shared" si="492"/>
        <v>2.1016310960709328E-2</v>
      </c>
      <c r="BT197" s="98">
        <f t="shared" si="492"/>
        <v>0.24784309830583062</v>
      </c>
      <c r="BU197" s="98">
        <f t="shared" si="492"/>
        <v>0.45746794486845466</v>
      </c>
      <c r="BV197" s="98">
        <f t="shared" si="492"/>
        <v>0.46726335778908323</v>
      </c>
      <c r="BW197" s="98">
        <f t="shared" si="492"/>
        <v>0.48011838402897911</v>
      </c>
      <c r="BX197" s="96">
        <f t="shared" si="492"/>
        <v>0.41113647307950907</v>
      </c>
      <c r="BY197" s="98">
        <f t="shared" si="492"/>
        <v>0.16167990965535983</v>
      </c>
      <c r="BZ197" s="98">
        <f t="shared" si="492"/>
        <v>2.7645416069634665E-2</v>
      </c>
      <c r="CA197" s="98">
        <f t="shared" si="492"/>
        <v>2.5704961545285121E-2</v>
      </c>
      <c r="CB197" s="98">
        <f t="shared" si="492"/>
        <v>2.4852886554741493E-2</v>
      </c>
      <c r="CC197" s="96">
        <f t="shared" si="492"/>
        <v>5.7116413204763017E-2</v>
      </c>
      <c r="CD197" s="98">
        <f t="shared" si="492"/>
        <v>2.1437588127400486E-2</v>
      </c>
      <c r="CE197" s="98">
        <f t="shared" si="492"/>
        <v>-0.11514225754630092</v>
      </c>
      <c r="CF197" s="98">
        <f t="shared" si="492"/>
        <v>-0.11323118363685358</v>
      </c>
      <c r="CG197" s="98">
        <f t="shared" si="492"/>
        <v>-0.11766911527858481</v>
      </c>
      <c r="CH197" s="96">
        <f t="shared" si="492"/>
        <v>-8.0936785014482759E-2</v>
      </c>
      <c r="CI197" s="98">
        <f t="shared" si="492"/>
        <v>-0.10758787507606293</v>
      </c>
      <c r="CJ197" s="98">
        <f t="shared" si="492"/>
        <v>-9.9614478554364227E-2</v>
      </c>
      <c r="CK197" s="98">
        <f t="shared" si="492"/>
        <v>-0.16223008869182698</v>
      </c>
      <c r="CL197" s="98">
        <f t="shared" si="492"/>
        <v>-0.19775588954602608</v>
      </c>
      <c r="CM197" s="96">
        <f t="shared" si="492"/>
        <v>-0.14020619377908694</v>
      </c>
      <c r="CN197" s="16"/>
      <c r="CO197" s="16"/>
      <c r="CP197" s="16"/>
      <c r="CQ197" s="16"/>
      <c r="CR197" s="18"/>
      <c r="CS197" s="16"/>
      <c r="CT197" s="16"/>
      <c r="CU197" s="16"/>
      <c r="CV197" s="16"/>
      <c r="CW197" s="18"/>
      <c r="CX197" s="16"/>
      <c r="CY197" s="16"/>
      <c r="CZ197" s="16"/>
      <c r="DA197" s="16"/>
      <c r="DB197" s="18"/>
      <c r="DC197" s="16"/>
      <c r="DD197" s="16"/>
      <c r="DE197" s="16"/>
      <c r="DF197" s="16"/>
      <c r="DG197" s="16"/>
      <c r="DH197" s="16"/>
      <c r="DI197" s="16"/>
      <c r="DJ197" s="16"/>
    </row>
    <row r="198" spans="1:114" s="725" customFormat="1" ht="11.25" customHeight="1">
      <c r="A198" s="16"/>
      <c r="B198" s="77"/>
      <c r="C198" s="37"/>
      <c r="D198" s="106"/>
      <c r="E198" s="16"/>
      <c r="F198" s="18"/>
      <c r="G198" s="16"/>
      <c r="H198" s="16"/>
      <c r="I198" s="16"/>
      <c r="J198" s="16"/>
      <c r="K198" s="18"/>
      <c r="L198" s="16"/>
      <c r="M198" s="16"/>
      <c r="N198" s="16"/>
      <c r="O198" s="16"/>
      <c r="P198" s="18"/>
      <c r="Q198" s="16"/>
      <c r="R198" s="16"/>
      <c r="S198" s="16"/>
      <c r="T198" s="16"/>
      <c r="U198" s="18"/>
      <c r="V198" s="54"/>
      <c r="W198" s="54"/>
      <c r="X198" s="54"/>
      <c r="Y198" s="54"/>
      <c r="Z198" s="96"/>
      <c r="AA198" s="54"/>
      <c r="AB198" s="54"/>
      <c r="AC198" s="54"/>
      <c r="AD198" s="54"/>
      <c r="AE198" s="96"/>
      <c r="AF198" s="54"/>
      <c r="AG198" s="54"/>
      <c r="AH198" s="54"/>
      <c r="AI198" s="54"/>
      <c r="AJ198" s="96"/>
      <c r="AK198" s="54"/>
      <c r="AL198" s="54"/>
      <c r="AM198" s="54"/>
      <c r="AN198" s="54"/>
      <c r="AO198" s="96"/>
      <c r="AP198" s="54"/>
      <c r="AQ198" s="54"/>
      <c r="AR198" s="54"/>
      <c r="AS198" s="54"/>
      <c r="AT198" s="96"/>
      <c r="AU198" s="16"/>
      <c r="AV198" s="16"/>
      <c r="AW198" s="16"/>
      <c r="AX198" s="16"/>
      <c r="AY198" s="18"/>
      <c r="AZ198" s="16"/>
      <c r="BA198" s="16"/>
      <c r="BB198" s="16"/>
      <c r="BC198" s="16"/>
      <c r="BD198" s="18"/>
      <c r="BE198" s="16"/>
      <c r="BF198" s="16"/>
      <c r="BG198" s="16"/>
      <c r="BH198" s="16"/>
      <c r="BI198" s="18"/>
      <c r="BJ198" s="16"/>
      <c r="BK198" s="16"/>
      <c r="BL198" s="16"/>
      <c r="BM198" s="16"/>
      <c r="BN198" s="18"/>
      <c r="BO198" s="16"/>
      <c r="BP198" s="16"/>
      <c r="BQ198" s="16"/>
      <c r="BR198" s="16"/>
      <c r="BS198" s="18"/>
      <c r="BT198" s="16"/>
      <c r="BU198" s="16"/>
      <c r="BV198" s="16"/>
      <c r="BW198" s="16"/>
      <c r="BX198" s="18"/>
      <c r="BY198" s="16"/>
      <c r="BZ198" s="16"/>
      <c r="CA198" s="16"/>
      <c r="CB198" s="16"/>
      <c r="CC198" s="18"/>
      <c r="CD198" s="16"/>
      <c r="CE198" s="16"/>
      <c r="CF198" s="16"/>
      <c r="CG198" s="16"/>
      <c r="CH198" s="18"/>
      <c r="CI198" s="16"/>
      <c r="CJ198" s="16"/>
      <c r="CK198" s="16"/>
      <c r="CL198" s="16"/>
      <c r="CM198" s="18"/>
      <c r="CN198" s="16"/>
      <c r="CO198" s="16"/>
      <c r="CP198" s="16"/>
      <c r="CQ198" s="16"/>
      <c r="CR198" s="18"/>
      <c r="CS198" s="16"/>
      <c r="CT198" s="16"/>
      <c r="CU198" s="16"/>
      <c r="CV198" s="16"/>
      <c r="CW198" s="18"/>
      <c r="CX198" s="16"/>
      <c r="CY198" s="16"/>
      <c r="CZ198" s="16"/>
      <c r="DA198" s="16"/>
      <c r="DB198" s="18"/>
      <c r="DC198" s="16"/>
      <c r="DD198" s="16"/>
      <c r="DE198" s="16"/>
      <c r="DF198" s="16"/>
      <c r="DG198" s="16"/>
      <c r="DH198" s="16"/>
      <c r="DI198" s="16"/>
      <c r="DJ198" s="16"/>
    </row>
    <row r="199" spans="1:114" s="725" customFormat="1" ht="11.25" customHeight="1">
      <c r="A199" s="16"/>
      <c r="B199" s="16" t="s">
        <v>266</v>
      </c>
      <c r="C199" s="53"/>
      <c r="D199" s="417"/>
      <c r="E199" s="1101"/>
      <c r="F199" s="1062">
        <f t="shared" ref="F199:AK199" si="493">F189/F181</f>
        <v>1.8309054815394723</v>
      </c>
      <c r="G199" s="1063">
        <f t="shared" si="493"/>
        <v>1.7733528788989332</v>
      </c>
      <c r="H199" s="1063">
        <f t="shared" si="493"/>
        <v>1.8609198333758394</v>
      </c>
      <c r="I199" s="1063">
        <f t="shared" si="493"/>
        <v>1.8915171507495909</v>
      </c>
      <c r="J199" s="1063">
        <f t="shared" si="493"/>
        <v>1.8366359329631705</v>
      </c>
      <c r="K199" s="1062">
        <f t="shared" si="493"/>
        <v>1.8409281990919792</v>
      </c>
      <c r="L199" s="1063">
        <f t="shared" si="493"/>
        <v>1.7974543317055525</v>
      </c>
      <c r="M199" s="1063">
        <f t="shared" si="493"/>
        <v>1.8846756125177673</v>
      </c>
      <c r="N199" s="1063">
        <f t="shared" si="493"/>
        <v>1.8849238449626737</v>
      </c>
      <c r="O199" s="1063">
        <f t="shared" si="493"/>
        <v>1.8333298575629289</v>
      </c>
      <c r="P199" s="1062">
        <f t="shared" si="493"/>
        <v>1.8490215247599726</v>
      </c>
      <c r="Q199" s="1063">
        <f t="shared" si="493"/>
        <v>1.7888079867887705</v>
      </c>
      <c r="R199" s="1063">
        <f t="shared" si="493"/>
        <v>1.8451510333863275</v>
      </c>
      <c r="S199" s="1063">
        <f t="shared" si="493"/>
        <v>1.8427432399002874</v>
      </c>
      <c r="T199" s="1063">
        <f t="shared" si="493"/>
        <v>1.7988350210592348</v>
      </c>
      <c r="U199" s="1062">
        <f t="shared" si="493"/>
        <v>1.8183379412514036</v>
      </c>
      <c r="V199" s="1063">
        <f t="shared" si="493"/>
        <v>1.799910545988946</v>
      </c>
      <c r="W199" s="1063">
        <f t="shared" si="493"/>
        <v>1.8529865512962405</v>
      </c>
      <c r="X199" s="1063">
        <f t="shared" si="493"/>
        <v>1.9150755154680985</v>
      </c>
      <c r="Y199" s="1063">
        <f t="shared" si="493"/>
        <v>1.8479348630643968</v>
      </c>
      <c r="Z199" s="1062">
        <f t="shared" si="493"/>
        <v>1.8544233506404988</v>
      </c>
      <c r="AA199" s="1063">
        <f t="shared" si="493"/>
        <v>1.7775708263895698</v>
      </c>
      <c r="AB199" s="1063">
        <f t="shared" si="493"/>
        <v>1.8671650021444763</v>
      </c>
      <c r="AC199" s="1063">
        <f t="shared" si="493"/>
        <v>1.8916049892371656</v>
      </c>
      <c r="AD199" s="1063">
        <f t="shared" si="493"/>
        <v>1.835046898858431</v>
      </c>
      <c r="AE199" s="1062">
        <f t="shared" si="493"/>
        <v>1.8412346502398429</v>
      </c>
      <c r="AF199" s="1063">
        <f t="shared" si="493"/>
        <v>1.8081489220248836</v>
      </c>
      <c r="AG199" s="1063">
        <f t="shared" si="493"/>
        <v>1.8623837842365358</v>
      </c>
      <c r="AH199" s="1063">
        <f t="shared" si="493"/>
        <v>1.8568460476496398</v>
      </c>
      <c r="AI199" s="1063">
        <f t="shared" si="493"/>
        <v>1.8417273727792045</v>
      </c>
      <c r="AJ199" s="1062">
        <f t="shared" si="493"/>
        <v>1.8420527779662166</v>
      </c>
      <c r="AK199" s="1063">
        <f t="shared" si="493"/>
        <v>1.8198152600278374</v>
      </c>
      <c r="AL199" s="1063">
        <f t="shared" ref="AL199:BQ199" si="494">AL189/AL181</f>
        <v>1.8804527813712808</v>
      </c>
      <c r="AM199" s="1063">
        <f t="shared" si="494"/>
        <v>1.8477702907608897</v>
      </c>
      <c r="AN199" s="1063">
        <f t="shared" si="494"/>
        <v>1.7909348944474011</v>
      </c>
      <c r="AO199" s="1062">
        <f t="shared" si="494"/>
        <v>1.8239903112242901</v>
      </c>
      <c r="AP199" s="1063">
        <f t="shared" si="494"/>
        <v>1.7465733128032306</v>
      </c>
      <c r="AQ199" s="1063">
        <f t="shared" si="494"/>
        <v>1.810199323145842</v>
      </c>
      <c r="AR199" s="1063">
        <f t="shared" si="494"/>
        <v>1.8341724201136433</v>
      </c>
      <c r="AS199" s="1063">
        <f t="shared" si="494"/>
        <v>1.814312896804215</v>
      </c>
      <c r="AT199" s="1062">
        <f t="shared" si="494"/>
        <v>1.8037164605634732</v>
      </c>
      <c r="AU199" s="1063">
        <f t="shared" si="494"/>
        <v>1.7973213641067605</v>
      </c>
      <c r="AV199" s="1063">
        <f t="shared" si="494"/>
        <v>1.8587825298732796</v>
      </c>
      <c r="AW199" s="1063">
        <f t="shared" si="494"/>
        <v>1.8797974658714056</v>
      </c>
      <c r="AX199" s="1063">
        <f t="shared" si="494"/>
        <v>1.850887184703754</v>
      </c>
      <c r="AY199" s="1062">
        <f t="shared" si="494"/>
        <v>1.8468220870080445</v>
      </c>
      <c r="AZ199" s="1063">
        <f t="shared" si="494"/>
        <v>1.8203558693774928</v>
      </c>
      <c r="BA199" s="1063">
        <f t="shared" si="494"/>
        <v>1.8816904404552277</v>
      </c>
      <c r="BB199" s="1063">
        <f t="shared" si="494"/>
        <v>1.9171187926459439</v>
      </c>
      <c r="BC199" s="1063">
        <f t="shared" si="494"/>
        <v>1.9006289383592443</v>
      </c>
      <c r="BD199" s="1062">
        <f t="shared" si="494"/>
        <v>1.880452268303594</v>
      </c>
      <c r="BE199" s="1063">
        <f t="shared" si="494"/>
        <v>1.8886927970449414</v>
      </c>
      <c r="BF199" s="1063">
        <f t="shared" si="494"/>
        <v>1.982227593101092</v>
      </c>
      <c r="BG199" s="1063">
        <f t="shared" si="494"/>
        <v>2.0440576556975794</v>
      </c>
      <c r="BH199" s="1063">
        <f t="shared" si="494"/>
        <v>2.0092870356482178</v>
      </c>
      <c r="BI199" s="1062">
        <f t="shared" si="494"/>
        <v>1.9800968917791917</v>
      </c>
      <c r="BJ199" s="1063">
        <f t="shared" si="494"/>
        <v>1.9756257584290866</v>
      </c>
      <c r="BK199" s="1063">
        <f t="shared" si="494"/>
        <v>2.0241219430891846</v>
      </c>
      <c r="BL199" s="1063">
        <f t="shared" si="494"/>
        <v>2.0522101061240385</v>
      </c>
      <c r="BM199" s="1063">
        <f t="shared" si="494"/>
        <v>2.0310740379494607</v>
      </c>
      <c r="BN199" s="1062">
        <f t="shared" si="494"/>
        <v>2.0204657242114679</v>
      </c>
      <c r="BO199" s="1063">
        <f t="shared" si="494"/>
        <v>1.9875831200551601</v>
      </c>
      <c r="BP199" s="1063">
        <f t="shared" si="494"/>
        <v>2.0899422036023365</v>
      </c>
      <c r="BQ199" s="1063">
        <f t="shared" si="494"/>
        <v>2.1186932579252864</v>
      </c>
      <c r="BR199" s="1063">
        <f t="shared" ref="BR199:CM199" si="495">BR189/BR181</f>
        <v>2.1224725257017627</v>
      </c>
      <c r="BS199" s="1062">
        <f t="shared" si="495"/>
        <v>2.0779087127751734</v>
      </c>
      <c r="BT199" s="1063">
        <f t="shared" si="495"/>
        <v>2.0565830052175262</v>
      </c>
      <c r="BU199" s="1063">
        <f t="shared" si="495"/>
        <v>2.1536582831012265</v>
      </c>
      <c r="BV199" s="1063">
        <f t="shared" si="495"/>
        <v>2.1829454106026374</v>
      </c>
      <c r="BW199" s="1063">
        <f t="shared" si="495"/>
        <v>2.1506246271613754</v>
      </c>
      <c r="BX199" s="1062">
        <f t="shared" si="495"/>
        <v>2.1379890059192883</v>
      </c>
      <c r="BY199" s="1063">
        <f t="shared" si="495"/>
        <v>2.0777936787359161</v>
      </c>
      <c r="BZ199" s="1063">
        <f t="shared" si="495"/>
        <v>2.1894326350909781</v>
      </c>
      <c r="CA199" s="1063">
        <f t="shared" si="495"/>
        <v>2.2219271243779364</v>
      </c>
      <c r="CB199" s="1063">
        <f t="shared" si="495"/>
        <v>2.1892796446252611</v>
      </c>
      <c r="CC199" s="1062">
        <f t="shared" si="495"/>
        <v>2.1689666416634292</v>
      </c>
      <c r="CD199" s="1063">
        <f t="shared" si="495"/>
        <v>2.1385803231600851</v>
      </c>
      <c r="CE199" s="1063">
        <f t="shared" si="495"/>
        <v>2.1917395980306065</v>
      </c>
      <c r="CF199" s="1063">
        <f t="shared" si="495"/>
        <v>2.2037032415841091</v>
      </c>
      <c r="CG199" s="1063">
        <f t="shared" si="495"/>
        <v>2.1585655317314409</v>
      </c>
      <c r="CH199" s="1062">
        <f t="shared" si="495"/>
        <v>2.171597927696963</v>
      </c>
      <c r="CI199" s="1063">
        <f t="shared" si="495"/>
        <v>2.1130939409730445</v>
      </c>
      <c r="CJ199" s="1063">
        <f t="shared" si="495"/>
        <v>2.1924407541947759</v>
      </c>
      <c r="CK199" s="1063">
        <f t="shared" si="495"/>
        <v>2.1887748845194785</v>
      </c>
      <c r="CL199" s="1063">
        <f t="shared" si="495"/>
        <v>2.1612117735370044</v>
      </c>
      <c r="CM199" s="1062">
        <f t="shared" si="495"/>
        <v>2.1616765730009764</v>
      </c>
      <c r="CN199" s="1063">
        <f ca="1">(CN173+CN176)/CN173+CN200</f>
        <v>2.1487349529825588</v>
      </c>
      <c r="CO199" s="1063">
        <f ca="1">(CO173+CO176)/CO173+CO200</f>
        <v>2.042309003316459</v>
      </c>
      <c r="CP199" s="1063">
        <f ca="1">(CP173+CP176)/CP173+CP200</f>
        <v>2.006914244590067</v>
      </c>
      <c r="CQ199" s="1063">
        <f ca="1">(CQ173+CQ176)/CQ173+CQ200</f>
        <v>2.0668931363309699</v>
      </c>
      <c r="CR199" s="1062">
        <f ca="1">CR189/CR181</f>
        <v>1.9502775326441586</v>
      </c>
      <c r="CS199" s="1063">
        <f ca="1">(CS173+CS176)/CS173+CS200</f>
        <v>2.0690745835161368</v>
      </c>
      <c r="CT199" s="1063">
        <f ca="1">(CT173+CT176)/CT173+CT200</f>
        <v>2.0524979645302959</v>
      </c>
      <c r="CU199" s="1063">
        <f ca="1">(CU173+CU176)/CU173+CU200</f>
        <v>2.0502439722465806</v>
      </c>
      <c r="CV199" s="1063">
        <f ca="1">(CV173+CV176)/CV173+CV200</f>
        <v>2.0135099530073401</v>
      </c>
      <c r="CW199" s="1062">
        <f ca="1">CW189/CW181</f>
        <v>2.0138936093064603</v>
      </c>
      <c r="CX199" s="1063">
        <f ca="1">(CX173+CX176)/CX173+CX200</f>
        <v>2.0829994590576542</v>
      </c>
      <c r="CY199" s="1063">
        <f ca="1">(CY173+CY176)/CY173+CY200</f>
        <v>2.0657408922014904</v>
      </c>
      <c r="CZ199" s="1063">
        <f ca="1">(CZ173+CZ176)/CZ173+CZ200</f>
        <v>2.0559131934504173</v>
      </c>
      <c r="DA199" s="1063">
        <f ca="1">(DA173+DA176)/DA173+DA200</f>
        <v>2.0228158118687825</v>
      </c>
      <c r="DB199" s="1062">
        <f ca="1">DB189/DB181</f>
        <v>2.0569388203926842</v>
      </c>
      <c r="DC199" s="16"/>
      <c r="DD199" s="16"/>
      <c r="DE199" s="16"/>
      <c r="DF199" s="16"/>
      <c r="DG199" s="16"/>
      <c r="DH199" s="16"/>
      <c r="DI199" s="16"/>
      <c r="DJ199" s="16"/>
    </row>
    <row r="200" spans="1:114" s="725" customFormat="1" ht="11.25" customHeight="1">
      <c r="A200" s="16"/>
      <c r="B200" s="16"/>
      <c r="C200" s="37"/>
      <c r="D200" s="106"/>
      <c r="E200" s="94"/>
      <c r="F200" s="125"/>
      <c r="G200" s="93"/>
      <c r="H200" s="93"/>
      <c r="I200" s="93"/>
      <c r="J200" s="93"/>
      <c r="K200" s="125"/>
      <c r="L200" s="93"/>
      <c r="M200" s="93"/>
      <c r="N200" s="93"/>
      <c r="O200" s="93"/>
      <c r="P200" s="125"/>
      <c r="Q200" s="90"/>
      <c r="R200" s="90"/>
      <c r="S200" s="90"/>
      <c r="T200" s="90"/>
      <c r="U200" s="91"/>
      <c r="V200" s="90"/>
      <c r="W200" s="90"/>
      <c r="X200" s="90"/>
      <c r="Y200" s="90"/>
      <c r="Z200" s="91"/>
      <c r="AA200" s="90"/>
      <c r="AB200" s="90"/>
      <c r="AC200" s="90"/>
      <c r="AD200" s="90"/>
      <c r="AE200" s="91"/>
      <c r="AF200" s="90"/>
      <c r="AG200" s="90"/>
      <c r="AH200" s="90"/>
      <c r="AI200" s="90"/>
      <c r="AJ200" s="394">
        <f t="shared" ref="AJ200:BO200" si="496">AJ199-(AJ173+AJ176)/AJ173</f>
        <v>-0.12518263378562255</v>
      </c>
      <c r="AK200" s="532">
        <f t="shared" si="496"/>
        <v>-0.13860058155632071</v>
      </c>
      <c r="AL200" s="532">
        <f t="shared" si="496"/>
        <v>-0.16726506095237093</v>
      </c>
      <c r="AM200" s="532">
        <f t="shared" si="496"/>
        <v>-0.12400390278749751</v>
      </c>
      <c r="AN200" s="532">
        <f t="shared" si="496"/>
        <v>-0.16681158442583799</v>
      </c>
      <c r="AO200" s="394">
        <f t="shared" si="496"/>
        <v>-0.17977678184383006</v>
      </c>
      <c r="AP200" s="532">
        <f t="shared" si="496"/>
        <v>-0.16145017056271849</v>
      </c>
      <c r="AQ200" s="532">
        <f t="shared" si="496"/>
        <v>-0.15164806641239092</v>
      </c>
      <c r="AR200" s="532">
        <f t="shared" si="496"/>
        <v>-0.14356037340862349</v>
      </c>
      <c r="AS200" s="532">
        <f t="shared" si="496"/>
        <v>-0.13211567462435614</v>
      </c>
      <c r="AT200" s="394">
        <f t="shared" si="496"/>
        <v>-0.15421346225468424</v>
      </c>
      <c r="AU200" s="532">
        <f t="shared" si="496"/>
        <v>-0.13691461268240768</v>
      </c>
      <c r="AV200" s="532">
        <f t="shared" si="496"/>
        <v>-0.13712749057661844</v>
      </c>
      <c r="AW200" s="532">
        <f t="shared" si="496"/>
        <v>-0.10397535360121113</v>
      </c>
      <c r="AX200" s="532">
        <f t="shared" si="496"/>
        <v>-9.7319986610987064E-2</v>
      </c>
      <c r="AY200" s="394">
        <f t="shared" si="496"/>
        <v>-0.12265381641541695</v>
      </c>
      <c r="AZ200" s="532">
        <f t="shared" si="496"/>
        <v>-0.10680948495321574</v>
      </c>
      <c r="BA200" s="532">
        <f t="shared" si="496"/>
        <v>-0.11423623978917163</v>
      </c>
      <c r="BB200" s="532">
        <f t="shared" si="496"/>
        <v>-0.111926850507583</v>
      </c>
      <c r="BC200" s="532">
        <f t="shared" si="496"/>
        <v>-9.3248612661163799E-2</v>
      </c>
      <c r="BD200" s="394">
        <f t="shared" si="496"/>
        <v>-0.10524072620602998</v>
      </c>
      <c r="BE200" s="532">
        <f t="shared" si="496"/>
        <v>-0.12157414340680406</v>
      </c>
      <c r="BF200" s="532">
        <f t="shared" si="496"/>
        <v>-0.14603327646412523</v>
      </c>
      <c r="BG200" s="532">
        <f t="shared" si="496"/>
        <v>-0.20362752948760621</v>
      </c>
      <c r="BH200" s="532">
        <f t="shared" si="496"/>
        <v>-0.20564509104861495</v>
      </c>
      <c r="BI200" s="394">
        <f t="shared" si="496"/>
        <v>-2.4899433575894081E-2</v>
      </c>
      <c r="BJ200" s="532">
        <f t="shared" si="496"/>
        <v>-0.22168365861127226</v>
      </c>
      <c r="BK200" s="532">
        <f t="shared" si="496"/>
        <v>-0.15065681797276254</v>
      </c>
      <c r="BL200" s="532">
        <f t="shared" si="496"/>
        <v>-0.21046270493586938</v>
      </c>
      <c r="BM200" s="532">
        <f t="shared" si="496"/>
        <v>-0.21606555015122586</v>
      </c>
      <c r="BN200" s="394">
        <f t="shared" si="496"/>
        <v>-0.20012497021081188</v>
      </c>
      <c r="BO200" s="532">
        <f t="shared" si="496"/>
        <v>-0.21196844945156657</v>
      </c>
      <c r="BP200" s="532">
        <f t="shared" ref="BP200:CM200" si="497">BP199-(BP173+BP176)/BP173</f>
        <v>-9.4840405093315372E-2</v>
      </c>
      <c r="BQ200" s="532">
        <f t="shared" si="497"/>
        <v>-0.15972901585661647</v>
      </c>
      <c r="BR200" s="532">
        <f t="shared" si="497"/>
        <v>-0.24709269168954195</v>
      </c>
      <c r="BS200" s="394">
        <f t="shared" si="497"/>
        <v>-0.17742596243992015</v>
      </c>
      <c r="BT200" s="532">
        <f t="shared" si="497"/>
        <v>-0.17555985192533052</v>
      </c>
      <c r="BU200" s="532">
        <f t="shared" si="497"/>
        <v>-0.18279031502961418</v>
      </c>
      <c r="BV200" s="532">
        <f t="shared" si="497"/>
        <v>-7.9498028311389746E-2</v>
      </c>
      <c r="BW200" s="532">
        <f t="shared" si="497"/>
        <v>-0.14295335449000079</v>
      </c>
      <c r="BX200" s="394">
        <f t="shared" si="497"/>
        <v>-0.14398521172465717</v>
      </c>
      <c r="BY200" s="532">
        <f t="shared" si="497"/>
        <v>-0.18978001740920902</v>
      </c>
      <c r="BZ200" s="532">
        <f t="shared" si="497"/>
        <v>-0.16905793094675792</v>
      </c>
      <c r="CA200" s="532">
        <f t="shared" si="497"/>
        <v>-0.17615441039424562</v>
      </c>
      <c r="CB200" s="532">
        <f t="shared" si="497"/>
        <v>-0.14172268637706997</v>
      </c>
      <c r="CC200" s="394">
        <f t="shared" si="497"/>
        <v>-0.16895722697590099</v>
      </c>
      <c r="CD200" s="532">
        <f t="shared" si="497"/>
        <v>-0.13414694956718787</v>
      </c>
      <c r="CE200" s="532">
        <f t="shared" si="497"/>
        <v>-0.13384179731823087</v>
      </c>
      <c r="CF200" s="532">
        <f t="shared" si="497"/>
        <v>-0.14371459879147785</v>
      </c>
      <c r="CG200" s="532">
        <f t="shared" si="497"/>
        <v>-0.12976398771935971</v>
      </c>
      <c r="CH200" s="394">
        <f t="shared" si="497"/>
        <v>-0.13524612627993537</v>
      </c>
      <c r="CI200" s="532">
        <f t="shared" si="497"/>
        <v>-0.16481038704517914</v>
      </c>
      <c r="CJ200" s="532">
        <f t="shared" si="497"/>
        <v>-0.12237406062003897</v>
      </c>
      <c r="CK200" s="532">
        <f t="shared" si="497"/>
        <v>-0.13680651082935835</v>
      </c>
      <c r="CL200" s="532">
        <f t="shared" si="497"/>
        <v>-0.14293569190078337</v>
      </c>
      <c r="CM200" s="394">
        <f t="shared" si="497"/>
        <v>-0.14281332277442838</v>
      </c>
      <c r="CN200" s="1376">
        <f>CI200-0.29</f>
        <v>-0.45481038704517912</v>
      </c>
      <c r="CO200" s="1376">
        <f>CJ200-0.38</f>
        <v>-0.50237406062003898</v>
      </c>
      <c r="CP200" s="1376">
        <f>CK200-0.35</f>
        <v>-0.48680651082935833</v>
      </c>
      <c r="CQ200" s="1376">
        <f>CL200-0.25</f>
        <v>-0.39293569190078337</v>
      </c>
      <c r="CR200" s="1377">
        <f ca="1">CR199-(CR173+CR176)/CR173</f>
        <v>-0.57474120428322339</v>
      </c>
      <c r="CS200" s="1376">
        <f>CN200-0.25</f>
        <v>-0.70481038704517918</v>
      </c>
      <c r="CT200" s="1376">
        <f>CO200-0.1</f>
        <v>-0.60237406062003895</v>
      </c>
      <c r="CU200" s="1376">
        <f>CP200+0</f>
        <v>-0.48680651082935833</v>
      </c>
      <c r="CV200" s="1376">
        <f>CQ200-0.05</f>
        <v>-0.44293569190078336</v>
      </c>
      <c r="CW200" s="1377">
        <f ca="1">CW199-(CW173+CW176)/CW173</f>
        <v>-0.58578078067519224</v>
      </c>
      <c r="CX200" s="1376">
        <f>CS200</f>
        <v>-0.70481038704517918</v>
      </c>
      <c r="CY200" s="1376">
        <f>CT200</f>
        <v>-0.60237406062003895</v>
      </c>
      <c r="CZ200" s="1376">
        <f>CU200</f>
        <v>-0.48680651082935833</v>
      </c>
      <c r="DA200" s="1376">
        <f>CV200</f>
        <v>-0.44293569190078336</v>
      </c>
      <c r="DB200" s="1377">
        <f ca="1">DB199-(DB173+DB176)/DB173</f>
        <v>-0.55310396824318664</v>
      </c>
      <c r="DC200" s="16"/>
      <c r="DD200" s="16"/>
      <c r="DE200" s="16"/>
      <c r="DF200" s="16"/>
      <c r="DG200" s="16"/>
      <c r="DH200" s="16"/>
      <c r="DI200" s="16"/>
      <c r="DJ200" s="16"/>
    </row>
    <row r="201" spans="1:114" s="725" customFormat="1" ht="11.25" customHeight="1">
      <c r="A201" s="16"/>
      <c r="B201" s="21" t="s">
        <v>374</v>
      </c>
      <c r="C201" s="53"/>
      <c r="D201" s="417"/>
      <c r="E201" s="115"/>
      <c r="F201" s="116"/>
      <c r="G201" s="54"/>
      <c r="H201" s="54"/>
      <c r="I201" s="54"/>
      <c r="J201" s="54"/>
      <c r="K201" s="116"/>
      <c r="L201" s="54"/>
      <c r="M201" s="54"/>
      <c r="N201" s="54"/>
      <c r="O201" s="54"/>
      <c r="P201" s="116"/>
      <c r="Q201" s="54"/>
      <c r="R201" s="54"/>
      <c r="S201" s="54"/>
      <c r="T201" s="54"/>
      <c r="U201" s="96"/>
      <c r="V201" s="1066"/>
      <c r="W201" s="1066"/>
      <c r="X201" s="54"/>
      <c r="Y201" s="54"/>
      <c r="Z201" s="96"/>
      <c r="AA201" s="54"/>
      <c r="AB201" s="54"/>
      <c r="AC201" s="54"/>
      <c r="AD201" s="54"/>
      <c r="AE201" s="96"/>
      <c r="AF201" s="54"/>
      <c r="AG201" s="54"/>
      <c r="AH201" s="54"/>
      <c r="AI201" s="54"/>
      <c r="AJ201" s="96"/>
      <c r="AK201" s="54"/>
      <c r="AL201" s="54"/>
      <c r="AM201" s="54"/>
      <c r="AN201" s="54"/>
      <c r="AO201" s="96"/>
      <c r="AP201" s="98"/>
      <c r="AQ201" s="16"/>
      <c r="AR201" s="16"/>
      <c r="AS201" s="16"/>
      <c r="AT201" s="18"/>
      <c r="AU201" s="16"/>
      <c r="AV201" s="16"/>
      <c r="AW201" s="16"/>
      <c r="AX201" s="16"/>
      <c r="AY201" s="18"/>
      <c r="AZ201" s="16"/>
      <c r="BA201" s="16"/>
      <c r="BB201" s="16"/>
      <c r="BC201" s="16"/>
      <c r="BD201" s="18"/>
      <c r="BE201" s="16"/>
      <c r="BF201" s="16"/>
      <c r="BG201" s="16"/>
      <c r="BH201" s="16"/>
      <c r="BI201" s="18"/>
      <c r="BJ201" s="16"/>
      <c r="BK201" s="16"/>
      <c r="BL201" s="16"/>
      <c r="BM201" s="16"/>
      <c r="BN201" s="18"/>
      <c r="BO201" s="16"/>
      <c r="BP201" s="16"/>
      <c r="BQ201" s="16"/>
      <c r="BR201" s="16"/>
      <c r="BS201" s="18"/>
      <c r="BT201" s="16"/>
      <c r="BU201" s="16"/>
      <c r="BV201" s="16"/>
      <c r="BW201" s="16"/>
      <c r="BX201" s="18"/>
      <c r="BY201" s="16"/>
      <c r="BZ201" s="16"/>
      <c r="CA201" s="16"/>
      <c r="CB201" s="16"/>
      <c r="CC201" s="18"/>
      <c r="CD201" s="16"/>
      <c r="CE201" s="16"/>
      <c r="CF201" s="16"/>
      <c r="CG201" s="16"/>
      <c r="CH201" s="18"/>
      <c r="CI201" s="16"/>
      <c r="CJ201" s="16"/>
      <c r="CK201" s="16"/>
      <c r="CL201" s="16"/>
      <c r="CM201" s="18"/>
      <c r="CN201" s="16"/>
      <c r="CO201" s="16"/>
      <c r="CP201" s="16"/>
      <c r="CQ201" s="16"/>
      <c r="CR201" s="18"/>
      <c r="CS201" s="16"/>
      <c r="CT201" s="16"/>
      <c r="CU201" s="16"/>
      <c r="CV201" s="16"/>
      <c r="CW201" s="18"/>
      <c r="CX201" s="16"/>
      <c r="CY201" s="16"/>
      <c r="CZ201" s="16"/>
      <c r="DA201" s="16"/>
      <c r="DB201" s="18"/>
      <c r="DC201" s="16"/>
      <c r="DD201" s="16"/>
      <c r="DE201" s="16"/>
      <c r="DF201" s="16"/>
      <c r="DG201" s="16"/>
      <c r="DH201" s="16"/>
      <c r="DI201" s="16"/>
      <c r="DJ201" s="16"/>
    </row>
    <row r="202" spans="1:114" s="725" customFormat="1" ht="11.25" customHeight="1">
      <c r="A202" s="16"/>
      <c r="B202" s="9" t="s">
        <v>375</v>
      </c>
      <c r="C202" s="37"/>
      <c r="D202" s="106"/>
      <c r="E202" s="83">
        <f t="shared" ref="E202:AJ202" si="498">+E173/E181*1000000</f>
        <v>4105.9388628489914</v>
      </c>
      <c r="F202" s="95">
        <f t="shared" si="498"/>
        <v>4144.7138303672536</v>
      </c>
      <c r="G202" s="83">
        <f t="shared" si="498"/>
        <v>4767.760675407877</v>
      </c>
      <c r="H202" s="83">
        <f t="shared" si="498"/>
        <v>4875.9089234605681</v>
      </c>
      <c r="I202" s="83">
        <f t="shared" si="498"/>
        <v>5123.5146297637248</v>
      </c>
      <c r="J202" s="83">
        <f t="shared" si="498"/>
        <v>5366.6146655799503</v>
      </c>
      <c r="K202" s="95">
        <f t="shared" si="498"/>
        <v>5037.5479401378852</v>
      </c>
      <c r="L202" s="83">
        <f t="shared" si="498"/>
        <v>5209.416169289203</v>
      </c>
      <c r="M202" s="83">
        <f t="shared" si="498"/>
        <v>5287.1688067647983</v>
      </c>
      <c r="N202" s="83">
        <f t="shared" si="498"/>
        <v>5563.5642406452953</v>
      </c>
      <c r="O202" s="83">
        <f t="shared" si="498"/>
        <v>5843.8565201977026</v>
      </c>
      <c r="P202" s="95">
        <f t="shared" si="498"/>
        <v>5488.7853853152428</v>
      </c>
      <c r="Q202" s="83">
        <f t="shared" si="498"/>
        <v>5752.2641682930498</v>
      </c>
      <c r="R202" s="83">
        <f t="shared" si="498"/>
        <v>5732.037917329093</v>
      </c>
      <c r="S202" s="83">
        <f t="shared" si="498"/>
        <v>5774.4725695039115</v>
      </c>
      <c r="T202" s="83">
        <f t="shared" si="498"/>
        <v>5918.0231920422975</v>
      </c>
      <c r="U202" s="95">
        <f t="shared" si="498"/>
        <v>5795.9890353567289</v>
      </c>
      <c r="V202" s="83">
        <f t="shared" si="498"/>
        <v>5865.8564263122589</v>
      </c>
      <c r="W202" s="83">
        <f t="shared" si="498"/>
        <v>5845.6418150719392</v>
      </c>
      <c r="X202" s="83">
        <f t="shared" si="498"/>
        <v>5978.4085784273966</v>
      </c>
      <c r="Y202" s="83">
        <f t="shared" si="498"/>
        <v>6273.8969356032576</v>
      </c>
      <c r="Z202" s="95">
        <f t="shared" si="498"/>
        <v>6006.2027143515825</v>
      </c>
      <c r="AA202" s="83">
        <f t="shared" si="498"/>
        <v>6199.6493340988973</v>
      </c>
      <c r="AB202" s="83">
        <f t="shared" si="498"/>
        <v>6575.6439556399737</v>
      </c>
      <c r="AC202" s="83">
        <f t="shared" si="498"/>
        <v>6495.171468168548</v>
      </c>
      <c r="AD202" s="83">
        <f t="shared" si="498"/>
        <v>6877.4237620882714</v>
      </c>
      <c r="AE202" s="95">
        <f t="shared" si="498"/>
        <v>6528.7301630345155</v>
      </c>
      <c r="AF202" s="83">
        <f t="shared" si="498"/>
        <v>6699.1618251631544</v>
      </c>
      <c r="AG202" s="83">
        <f t="shared" si="498"/>
        <v>6906.8947706396411</v>
      </c>
      <c r="AH202" s="83">
        <f t="shared" si="498"/>
        <v>6799.4556513894395</v>
      </c>
      <c r="AI202" s="83">
        <f t="shared" si="498"/>
        <v>6870.2668230176605</v>
      </c>
      <c r="AJ202" s="95">
        <f t="shared" si="498"/>
        <v>6812.345349704904</v>
      </c>
      <c r="AK202" s="83">
        <f t="shared" ref="AK202:BP202" si="499">+AK173/AK181*1000000</f>
        <v>6900.0649120587123</v>
      </c>
      <c r="AL202" s="83">
        <f t="shared" si="499"/>
        <v>6873.4883570504535</v>
      </c>
      <c r="AM202" s="83">
        <f t="shared" si="499"/>
        <v>7821.6679955916188</v>
      </c>
      <c r="AN202" s="83">
        <f t="shared" si="499"/>
        <v>7661.9447844598199</v>
      </c>
      <c r="AO202" s="95">
        <f t="shared" si="499"/>
        <v>7489.705353463024</v>
      </c>
      <c r="AP202" s="83">
        <f t="shared" si="499"/>
        <v>7836.2824612881677</v>
      </c>
      <c r="AQ202" s="83">
        <f t="shared" si="499"/>
        <v>8100.8635949156378</v>
      </c>
      <c r="AR202" s="83">
        <f t="shared" si="499"/>
        <v>8335.7180301826847</v>
      </c>
      <c r="AS202" s="83">
        <f t="shared" si="499"/>
        <v>8463.3108307533857</v>
      </c>
      <c r="AT202" s="95">
        <f t="shared" si="499"/>
        <v>8187.1386601270551</v>
      </c>
      <c r="AU202" s="83">
        <f t="shared" si="499"/>
        <v>8725.9598685952224</v>
      </c>
      <c r="AV202" s="83">
        <f t="shared" si="499"/>
        <v>8538.120956924904</v>
      </c>
      <c r="AW202" s="83">
        <f t="shared" si="499"/>
        <v>8751.8961215695144</v>
      </c>
      <c r="AX202" s="83">
        <f t="shared" si="499"/>
        <v>9124.5688093512254</v>
      </c>
      <c r="AY202" s="95">
        <f t="shared" si="499"/>
        <v>8725.9197936844339</v>
      </c>
      <c r="AZ202" s="83">
        <f t="shared" si="499"/>
        <v>9013.665924537836</v>
      </c>
      <c r="BA202" s="83">
        <f t="shared" si="499"/>
        <v>9037.4098171762162</v>
      </c>
      <c r="BB202" s="83">
        <f t="shared" si="499"/>
        <v>9149.7036343821073</v>
      </c>
      <c r="BC202" s="83">
        <f t="shared" si="499"/>
        <v>9524.718176858185</v>
      </c>
      <c r="BD202" s="95">
        <f t="shared" si="499"/>
        <v>9188.6458288277336</v>
      </c>
      <c r="BE202" s="83">
        <f t="shared" si="499"/>
        <v>9384.1078068658207</v>
      </c>
      <c r="BF202" s="83">
        <f t="shared" si="499"/>
        <v>9483.1089374517578</v>
      </c>
      <c r="BG202" s="83">
        <f t="shared" si="499"/>
        <v>9171.3465169586998</v>
      </c>
      <c r="BH202" s="83">
        <f t="shared" si="499"/>
        <v>9257.5088995550213</v>
      </c>
      <c r="BI202" s="95">
        <f t="shared" si="499"/>
        <v>10683.516549985874</v>
      </c>
      <c r="BJ202" s="83">
        <f t="shared" si="499"/>
        <v>9157.7864227476366</v>
      </c>
      <c r="BK202" s="83">
        <f t="shared" si="499"/>
        <v>9875.4332713386575</v>
      </c>
      <c r="BL202" s="83">
        <f t="shared" si="499"/>
        <v>9312.5340529382029</v>
      </c>
      <c r="BM202" s="83">
        <f t="shared" si="499"/>
        <v>9522.6775214682857</v>
      </c>
      <c r="BN202" s="95">
        <f t="shared" si="499"/>
        <v>9458.3128682255319</v>
      </c>
      <c r="BO202" s="83">
        <f t="shared" si="499"/>
        <v>9751.2128477462666</v>
      </c>
      <c r="BP202" s="83">
        <f t="shared" si="499"/>
        <v>10523.541675348539</v>
      </c>
      <c r="BQ202" s="83">
        <f t="shared" ref="BQ202:CM202" si="500">+BQ173/BQ181*1000000</f>
        <v>10064.810894750741</v>
      </c>
      <c r="BR202" s="83">
        <f t="shared" si="500"/>
        <v>9988.2715648816302</v>
      </c>
      <c r="BS202" s="95">
        <f t="shared" si="500"/>
        <v>10079.343767153909</v>
      </c>
      <c r="BT202" s="83">
        <f t="shared" si="500"/>
        <v>10286.751372741508</v>
      </c>
      <c r="BU202" s="83">
        <f t="shared" si="500"/>
        <v>9914.338525524794</v>
      </c>
      <c r="BV202" s="83">
        <f t="shared" si="500"/>
        <v>10498.535633397903</v>
      </c>
      <c r="BW202" s="83">
        <f t="shared" si="500"/>
        <v>10441.502306311737</v>
      </c>
      <c r="BX202" s="95">
        <f t="shared" si="500"/>
        <v>10284.416453371567</v>
      </c>
      <c r="BY202" s="83">
        <f t="shared" si="500"/>
        <v>10232.797464399369</v>
      </c>
      <c r="BZ202" s="83">
        <f t="shared" si="500"/>
        <v>10194.476382911185</v>
      </c>
      <c r="CA202" s="83">
        <f t="shared" si="500"/>
        <v>10084.929222676885</v>
      </c>
      <c r="CB202" s="83">
        <f t="shared" si="500"/>
        <v>11040.446037274753</v>
      </c>
      <c r="CC202" s="95">
        <f t="shared" si="500"/>
        <v>10386.624610498589</v>
      </c>
      <c r="CD202" s="83">
        <f t="shared" si="500"/>
        <v>10547.708476498025</v>
      </c>
      <c r="CE202" s="83">
        <f t="shared" si="500"/>
        <v>10608.233205128559</v>
      </c>
      <c r="CF202" s="83">
        <f t="shared" si="500"/>
        <v>10663.589934670596</v>
      </c>
      <c r="CG202" s="83">
        <f t="shared" si="500"/>
        <v>10983.60592527552</v>
      </c>
      <c r="CH202" s="95">
        <f t="shared" si="500"/>
        <v>10694.031376922534</v>
      </c>
      <c r="CI202" s="83">
        <f t="shared" si="500"/>
        <v>10599.2519180585</v>
      </c>
      <c r="CJ202" s="83">
        <f t="shared" si="500"/>
        <v>11018.235704568086</v>
      </c>
      <c r="CK202" s="83">
        <f t="shared" si="500"/>
        <v>10841.930047491032</v>
      </c>
      <c r="CL202" s="83">
        <f t="shared" si="500"/>
        <v>12846.224616595984</v>
      </c>
      <c r="CM202" s="95">
        <f t="shared" si="500"/>
        <v>11265.641125678203</v>
      </c>
      <c r="CN202" s="108">
        <f>CI127*(1+CN203)</f>
        <v>10752.55608753512</v>
      </c>
      <c r="CO202" s="108">
        <f>CJ127*(1+CO203)</f>
        <v>10892.568690929429</v>
      </c>
      <c r="CP202" s="108">
        <f>CK127*(1+CP203)</f>
        <v>10902.408064787352</v>
      </c>
      <c r="CQ202" s="108">
        <f>CL127*(1+CQ203)</f>
        <v>12934.744103947369</v>
      </c>
      <c r="CR202" s="95">
        <f ca="1">+CR173/CR181*1000000</f>
        <v>11335.034554940807</v>
      </c>
      <c r="CS202" s="108">
        <f ca="1">CN127*(1+CS203)</f>
        <v>10590.819537304951</v>
      </c>
      <c r="CT202" s="108">
        <f ca="1">CO127*(1+CT203)</f>
        <v>10689.935908938201</v>
      </c>
      <c r="CU202" s="108">
        <f ca="1">CP127*(1+CU203)</f>
        <v>10632.27425954649</v>
      </c>
      <c r="CV202" s="108">
        <f ca="1">CQ127*(1+CV203)</f>
        <v>12565.991974191767</v>
      </c>
      <c r="CW202" s="95">
        <f ca="1">+CW173/CW181*1000000</f>
        <v>11116.084595663713</v>
      </c>
      <c r="CX202" s="108">
        <f ca="1">CS127*(1+CX203)</f>
        <v>10592.646796975512</v>
      </c>
      <c r="CY202" s="108">
        <f ca="1">CT127*(1+CY203)</f>
        <v>10668.718520778893</v>
      </c>
      <c r="CZ202" s="108">
        <f ca="1">CU127*(1+CZ203)</f>
        <v>10635.402114795199</v>
      </c>
      <c r="DA202" s="108">
        <f ca="1">CV127*(1+DA203)</f>
        <v>12510.805494533945</v>
      </c>
      <c r="DB202" s="95">
        <f ca="1">+DB173/DB181*1000000</f>
        <v>11099.746607426561</v>
      </c>
      <c r="DC202" s="16"/>
      <c r="DD202" s="16"/>
      <c r="DE202" s="16"/>
      <c r="DF202" s="16"/>
      <c r="DG202" s="16"/>
      <c r="DH202" s="16"/>
      <c r="DI202" s="16"/>
      <c r="DJ202" s="16"/>
    </row>
    <row r="203" spans="1:114" s="725" customFormat="1" ht="11.25" customHeight="1">
      <c r="A203" s="16"/>
      <c r="B203" s="818" t="s">
        <v>256</v>
      </c>
      <c r="C203" s="53"/>
      <c r="D203" s="417"/>
      <c r="E203" s="98"/>
      <c r="F203" s="96"/>
      <c r="G203" s="93"/>
      <c r="H203" s="93"/>
      <c r="I203" s="93"/>
      <c r="J203" s="54"/>
      <c r="K203" s="96"/>
      <c r="L203" s="98">
        <f t="shared" ref="L203:AQ203" si="501">L202/G127-1</f>
        <v>6.7378526527466898E-2</v>
      </c>
      <c r="M203" s="98">
        <f t="shared" si="501"/>
        <v>5.4956425766432337E-2</v>
      </c>
      <c r="N203" s="98">
        <f t="shared" si="501"/>
        <v>6.9819211452272434E-2</v>
      </c>
      <c r="O203" s="98">
        <f t="shared" si="501"/>
        <v>6.5800278773059828E-2</v>
      </c>
      <c r="P203" s="96">
        <f t="shared" si="501"/>
        <v>6.5270550570358354E-2</v>
      </c>
      <c r="Q203" s="98">
        <f t="shared" si="501"/>
        <v>9.2774467683191197E-2</v>
      </c>
      <c r="R203" s="98">
        <f t="shared" si="501"/>
        <v>6.0917752324905372E-2</v>
      </c>
      <c r="S203" s="98">
        <f t="shared" si="501"/>
        <v>4.1147103793824691E-2</v>
      </c>
      <c r="T203" s="98">
        <f t="shared" si="501"/>
        <v>2.091323111225285E-2</v>
      </c>
      <c r="U203" s="96">
        <f t="shared" si="501"/>
        <v>5.3118009002885991E-2</v>
      </c>
      <c r="V203" s="98">
        <f t="shared" si="501"/>
        <v>3.2970632379406561E-2</v>
      </c>
      <c r="W203" s="98">
        <f t="shared" si="501"/>
        <v>2.7164963313449642E-2</v>
      </c>
      <c r="X203" s="98">
        <f t="shared" si="501"/>
        <v>5.8517682009935346E-2</v>
      </c>
      <c r="Y203" s="98">
        <f t="shared" si="501"/>
        <v>8.7569605554808083E-2</v>
      </c>
      <c r="Z203" s="96">
        <f t="shared" si="501"/>
        <v>5.3941920017850364E-2</v>
      </c>
      <c r="AA203" s="98">
        <f t="shared" si="501"/>
        <v>6.7365878909790844E-2</v>
      </c>
      <c r="AB203" s="98">
        <f t="shared" si="501"/>
        <v>0.10871714720099313</v>
      </c>
      <c r="AC203" s="98">
        <f t="shared" si="501"/>
        <v>7.3755253307066004E-2</v>
      </c>
      <c r="AD203" s="98">
        <f t="shared" si="501"/>
        <v>9.8157792074517802E-2</v>
      </c>
      <c r="AE203" s="96">
        <f t="shared" si="501"/>
        <v>8.6022574010190311E-2</v>
      </c>
      <c r="AF203" s="98">
        <f t="shared" si="501"/>
        <v>7.1547776835858334E-2</v>
      </c>
      <c r="AG203" s="98">
        <f t="shared" si="501"/>
        <v>5.6752178879895698E-2</v>
      </c>
      <c r="AH203" s="98">
        <f t="shared" si="501"/>
        <v>3.9785652284843875E-2</v>
      </c>
      <c r="AI203" s="98">
        <f t="shared" si="501"/>
        <v>1.0578012920158697E-2</v>
      </c>
      <c r="AJ203" s="96">
        <f t="shared" si="501"/>
        <v>4.3333405548148685E-2</v>
      </c>
      <c r="AK203" s="98">
        <f t="shared" si="501"/>
        <v>4.2774372970823427E-2</v>
      </c>
      <c r="AL203" s="98">
        <f t="shared" si="501"/>
        <v>1.7849617036633791E-2</v>
      </c>
      <c r="AM203" s="98">
        <f t="shared" si="501"/>
        <v>0.17807179031751907</v>
      </c>
      <c r="AN203" s="98">
        <f t="shared" si="501"/>
        <v>0.12716323244512839</v>
      </c>
      <c r="AO203" s="96">
        <f t="shared" si="501"/>
        <v>0.11741456276210682</v>
      </c>
      <c r="AP203" s="98">
        <f t="shared" si="501"/>
        <v>0.14963835509760881</v>
      </c>
      <c r="AQ203" s="98">
        <f t="shared" si="501"/>
        <v>0.16948245442696508</v>
      </c>
      <c r="AR203" s="98">
        <f t="shared" ref="AR203:BW203" si="502">AR202/AM127-1</f>
        <v>1.9677578304004628E-2</v>
      </c>
      <c r="AS203" s="98">
        <f t="shared" si="502"/>
        <v>0.10299075754886444</v>
      </c>
      <c r="AT203" s="96">
        <f t="shared" si="502"/>
        <v>8.7583617208187636E-2</v>
      </c>
      <c r="AU203" s="98">
        <f t="shared" si="502"/>
        <v>0.11206307527720027</v>
      </c>
      <c r="AV203" s="98">
        <f t="shared" si="502"/>
        <v>5.2387179462615618E-2</v>
      </c>
      <c r="AW203" s="98">
        <f t="shared" si="502"/>
        <v>5.0622766098358474E-2</v>
      </c>
      <c r="AX203" s="98">
        <f t="shared" si="502"/>
        <v>6.6612155703809295E-2</v>
      </c>
      <c r="AY203" s="96">
        <f t="shared" si="502"/>
        <v>6.3658983791559098E-2</v>
      </c>
      <c r="AZ203" s="98">
        <f t="shared" si="502"/>
        <v>2.4112688269624094E-2</v>
      </c>
      <c r="BA203" s="98">
        <f t="shared" si="502"/>
        <v>5.2038883172342842E-2</v>
      </c>
      <c r="BB203" s="98">
        <f t="shared" si="502"/>
        <v>4.4363546445902902E-2</v>
      </c>
      <c r="BC203" s="98">
        <f t="shared" si="502"/>
        <v>4.9399438341910962E-2</v>
      </c>
      <c r="BD203" s="96">
        <f t="shared" si="502"/>
        <v>4.3394129781332058E-2</v>
      </c>
      <c r="BE203" s="98">
        <f t="shared" si="502"/>
        <v>4.3039488476997123E-2</v>
      </c>
      <c r="BF203" s="98">
        <f t="shared" si="502"/>
        <v>5.0573805172573927E-2</v>
      </c>
      <c r="BG203" s="98">
        <f t="shared" si="502"/>
        <v>3.761607906426212E-3</v>
      </c>
      <c r="BH203" s="98">
        <f t="shared" si="502"/>
        <v>-2.3737312489147677E-2</v>
      </c>
      <c r="BI203" s="96">
        <f t="shared" si="502"/>
        <v>0.16617192788032709</v>
      </c>
      <c r="BJ203" s="98">
        <f t="shared" si="502"/>
        <v>-1.7170108684085639E-2</v>
      </c>
      <c r="BK203" s="98">
        <f t="shared" si="502"/>
        <v>4.3365608597664806E-2</v>
      </c>
      <c r="BL203" s="98">
        <f t="shared" si="502"/>
        <v>1.538306854854965E-2</v>
      </c>
      <c r="BM203" s="98">
        <f t="shared" si="502"/>
        <v>2.9038323892614626E-2</v>
      </c>
      <c r="BN203" s="96">
        <f t="shared" si="502"/>
        <v>1.6677369463565128E-2</v>
      </c>
      <c r="BO203" s="98">
        <f t="shared" si="502"/>
        <v>1.6878472187663807E-2</v>
      </c>
      <c r="BP203" s="98">
        <f t="shared" si="502"/>
        <v>7.0791557353279133E-2</v>
      </c>
      <c r="BQ203" s="98">
        <f t="shared" si="502"/>
        <v>8.1002362963378705E-2</v>
      </c>
      <c r="BR203" s="98">
        <f t="shared" si="502"/>
        <v>5.5506114588018685E-2</v>
      </c>
      <c r="BS203" s="96">
        <f t="shared" si="502"/>
        <v>5.5613524448163254E-2</v>
      </c>
      <c r="BT203" s="98">
        <f t="shared" si="502"/>
        <v>5.7960266163349372E-2</v>
      </c>
      <c r="BU203" s="98">
        <f t="shared" si="502"/>
        <v>-8.0089155234853715E-3</v>
      </c>
      <c r="BV203" s="98">
        <f t="shared" si="502"/>
        <v>4.282207113101566E-2</v>
      </c>
      <c r="BW203" s="98">
        <f t="shared" si="502"/>
        <v>4.5322673804070179E-2</v>
      </c>
      <c r="BX203" s="96" t="e">
        <f>BX202/BS126-1</f>
        <v>#REF!</v>
      </c>
      <c r="BY203" s="98">
        <f t="shared" ref="BY203:CL203" si="503">BY202/BT202-1</f>
        <v>-5.2449900252385939E-3</v>
      </c>
      <c r="BZ203" s="98">
        <f t="shared" si="503"/>
        <v>2.8255829339009164E-2</v>
      </c>
      <c r="CA203" s="98">
        <f t="shared" si="503"/>
        <v>-3.939658111987121E-2</v>
      </c>
      <c r="CB203" s="98">
        <f t="shared" si="503"/>
        <v>5.7361834857898142E-2</v>
      </c>
      <c r="CC203" s="96">
        <f t="shared" si="503"/>
        <v>9.9381581434807575E-3</v>
      </c>
      <c r="CD203" s="98">
        <f t="shared" si="503"/>
        <v>3.077467458866967E-2</v>
      </c>
      <c r="CE203" s="98">
        <f t="shared" si="503"/>
        <v>4.0586373117794228E-2</v>
      </c>
      <c r="CF203" s="98">
        <f t="shared" si="503"/>
        <v>5.7378757868973285E-2</v>
      </c>
      <c r="CG203" s="98">
        <f t="shared" si="503"/>
        <v>-5.1483528661186995E-3</v>
      </c>
      <c r="CH203" s="96">
        <f t="shared" si="503"/>
        <v>2.959640672035313E-2</v>
      </c>
      <c r="CI203" s="98">
        <f t="shared" si="503"/>
        <v>4.8866956908528714E-3</v>
      </c>
      <c r="CJ203" s="98">
        <f t="shared" si="503"/>
        <v>3.8649461367545213E-2</v>
      </c>
      <c r="CK203" s="98">
        <f t="shared" si="503"/>
        <v>1.6724209568542925E-2</v>
      </c>
      <c r="CL203" s="98">
        <f t="shared" si="503"/>
        <v>0.16958171150643686</v>
      </c>
      <c r="CM203" s="129">
        <f>CM202/CH202-1</f>
        <v>5.3451287789298085E-2</v>
      </c>
      <c r="CN203" s="1363">
        <f>CHOOSE(Scenarios!$C$8,Scenarios!AX19,Scenarios!AX20,Scenarios!AX21)</f>
        <v>0.02</v>
      </c>
      <c r="CO203" s="1363">
        <f>CHOOSE(Scenarios!$C$8,Scenarios!AY19,Scenarios!AY20,Scenarios!AY21)</f>
        <v>0.01</v>
      </c>
      <c r="CP203" s="1363">
        <f>CHOOSE(Scenarios!$C$8,Scenarios!AZ19,Scenarios!AZ20,Scenarios!AZ21)</f>
        <v>0.01</v>
      </c>
      <c r="CQ203" s="1363">
        <f>CHOOSE(Scenarios!$C$8,Scenarios!BA19,Scenarios!BA20,Scenarios!BA21)</f>
        <v>0.01</v>
      </c>
      <c r="CR203" s="129">
        <f ca="1">CR202/CM202-1</f>
        <v>6.1597407984559371E-3</v>
      </c>
      <c r="CS203" s="1363">
        <f>CHOOSE(Scenarios!$C$8,Scenarios!BC19,Scenarios!BC20,Scenarios!BC21)</f>
        <v>5.0000000000000001E-3</v>
      </c>
      <c r="CT203" s="1363">
        <f>CHOOSE(Scenarios!$C$8,Scenarios!BD19,Scenarios!BD20,Scenarios!BD21)</f>
        <v>5.0000000000000001E-3</v>
      </c>
      <c r="CU203" s="1363">
        <f>CHOOSE(Scenarios!$C$8,Scenarios!BE19,Scenarios!BE20,Scenarios!BE21)</f>
        <v>5.0000000000000001E-3</v>
      </c>
      <c r="CV203" s="1363">
        <f>CHOOSE(Scenarios!$C$8,Scenarios!BF19,Scenarios!BF20,Scenarios!BF21)</f>
        <v>5.0000000000000001E-3</v>
      </c>
      <c r="CW203" s="129">
        <f ca="1">CW202/CR202-1</f>
        <v>-1.9316214539606857E-2</v>
      </c>
      <c r="CX203" s="1363">
        <f>CHOOSE(Scenarios!$C$8,Scenarios!BH19,Scenarios!BH20,Scenarios!BH21)</f>
        <v>5.0000000000000001E-3</v>
      </c>
      <c r="CY203" s="1363">
        <f>CHOOSE(Scenarios!$C$8,Scenarios!BI19,Scenarios!BI20,Scenarios!BI21)</f>
        <v>5.0000000000000001E-3</v>
      </c>
      <c r="CZ203" s="1363">
        <f>CHOOSE(Scenarios!$C$8,Scenarios!BJ19,Scenarios!BJ20,Scenarios!BJ21)</f>
        <v>5.0000000000000001E-3</v>
      </c>
      <c r="DA203" s="1363">
        <f>CHOOSE(Scenarios!$C$8,Scenarios!BK19,Scenarios!BK20,Scenarios!BK21)</f>
        <v>5.0000000000000001E-3</v>
      </c>
      <c r="DB203" s="129">
        <f ca="1">DB202/CW202-1</f>
        <v>-1.4697610562918184E-3</v>
      </c>
      <c r="DC203" s="16"/>
      <c r="DD203" s="16"/>
      <c r="DE203" s="16"/>
      <c r="DF203" s="16"/>
      <c r="DG203" s="16"/>
      <c r="DH203" s="16"/>
      <c r="DI203" s="16"/>
      <c r="DJ203" s="16"/>
    </row>
    <row r="204" spans="1:114" s="725" customFormat="1" ht="11.25" customHeight="1">
      <c r="A204" s="16"/>
      <c r="B204" s="77"/>
      <c r="C204" s="53"/>
      <c r="D204" s="417"/>
      <c r="E204" s="98"/>
      <c r="F204" s="96"/>
      <c r="G204" s="93"/>
      <c r="H204" s="93"/>
      <c r="I204" s="93"/>
      <c r="J204" s="54"/>
      <c r="K204" s="96"/>
      <c r="L204" s="93"/>
      <c r="M204" s="93"/>
      <c r="N204" s="93"/>
      <c r="O204" s="54"/>
      <c r="P204" s="96"/>
      <c r="Q204" s="54"/>
      <c r="R204" s="54"/>
      <c r="S204" s="54"/>
      <c r="T204" s="54"/>
      <c r="U204" s="96"/>
      <c r="V204" s="54"/>
      <c r="W204" s="54"/>
      <c r="X204" s="54"/>
      <c r="Y204" s="54"/>
      <c r="Z204" s="96"/>
      <c r="AA204" s="16"/>
      <c r="AB204" s="16"/>
      <c r="AC204" s="16"/>
      <c r="AD204" s="16"/>
      <c r="AE204" s="18"/>
      <c r="AF204" s="16"/>
      <c r="AG204" s="16"/>
      <c r="AH204" s="16"/>
      <c r="AI204" s="16"/>
      <c r="AJ204" s="18"/>
      <c r="AK204" s="16"/>
      <c r="AL204" s="16"/>
      <c r="AM204" s="16"/>
      <c r="AN204" s="16"/>
      <c r="AO204" s="18"/>
      <c r="AP204" s="16"/>
      <c r="AQ204" s="16"/>
      <c r="AR204" s="16"/>
      <c r="AS204" s="16"/>
      <c r="AT204" s="18"/>
      <c r="AU204" s="16"/>
      <c r="AV204" s="16"/>
      <c r="AW204" s="16"/>
      <c r="AX204" s="16"/>
      <c r="AY204" s="18"/>
      <c r="AZ204" s="16"/>
      <c r="BA204" s="16"/>
      <c r="BB204" s="16"/>
      <c r="BC204" s="16"/>
      <c r="BD204" s="18"/>
      <c r="BE204" s="16"/>
      <c r="BF204" s="16"/>
      <c r="BG204" s="16"/>
      <c r="BH204" s="16"/>
      <c r="BI204" s="18"/>
      <c r="BJ204" s="16"/>
      <c r="BK204" s="16"/>
      <c r="BL204" s="16"/>
      <c r="BM204" s="16"/>
      <c r="BN204" s="18"/>
      <c r="BO204" s="16"/>
      <c r="BP204" s="16"/>
      <c r="BQ204" s="16"/>
      <c r="BR204" s="16"/>
      <c r="BS204" s="18"/>
      <c r="BT204" s="16"/>
      <c r="BU204" s="16"/>
      <c r="BV204" s="16"/>
      <c r="BW204" s="16"/>
      <c r="BX204" s="18"/>
      <c r="BY204" s="16"/>
      <c r="BZ204" s="16"/>
      <c r="CA204" s="16"/>
      <c r="CB204" s="16"/>
      <c r="CC204" s="18"/>
      <c r="CD204" s="16"/>
      <c r="CE204" s="16"/>
      <c r="CF204" s="16"/>
      <c r="CG204" s="16"/>
      <c r="CH204" s="18"/>
      <c r="CI204" s="16"/>
      <c r="CJ204" s="16"/>
      <c r="CK204" s="16"/>
      <c r="CL204" s="16"/>
      <c r="CM204" s="18"/>
      <c r="CN204" s="16"/>
      <c r="CO204" s="16"/>
      <c r="CP204" s="16"/>
      <c r="CQ204" s="16"/>
      <c r="CR204" s="18"/>
      <c r="CS204" s="16"/>
      <c r="CT204" s="16"/>
      <c r="CU204" s="16"/>
      <c r="CV204" s="16"/>
      <c r="CW204" s="18"/>
      <c r="CX204" s="16"/>
      <c r="CY204" s="16"/>
      <c r="CZ204" s="16"/>
      <c r="DA204" s="16"/>
      <c r="DB204" s="18"/>
      <c r="DC204" s="16"/>
      <c r="DD204" s="16"/>
      <c r="DE204" s="16"/>
      <c r="DF204" s="16"/>
      <c r="DG204" s="16"/>
      <c r="DH204" s="16"/>
      <c r="DI204" s="16"/>
      <c r="DJ204" s="16"/>
    </row>
    <row r="205" spans="1:114" s="725" customFormat="1" ht="11.25" customHeight="1">
      <c r="A205" s="16"/>
      <c r="B205" s="16" t="s">
        <v>271</v>
      </c>
      <c r="C205" s="52"/>
      <c r="D205" s="1053"/>
      <c r="E205" s="1053"/>
      <c r="F205" s="96"/>
      <c r="G205" s="54"/>
      <c r="H205" s="54"/>
      <c r="I205" s="54"/>
      <c r="J205" s="54"/>
      <c r="K205" s="96"/>
      <c r="L205" s="54"/>
      <c r="M205" s="54"/>
      <c r="N205" s="54"/>
      <c r="O205" s="54"/>
      <c r="P205" s="96"/>
      <c r="Q205" s="54"/>
      <c r="R205" s="54"/>
      <c r="S205" s="54"/>
      <c r="T205" s="54"/>
      <c r="U205" s="96"/>
      <c r="V205" s="54"/>
      <c r="W205" s="54"/>
      <c r="X205" s="54"/>
      <c r="Y205" s="54"/>
      <c r="Z205" s="96"/>
      <c r="AA205" s="1081">
        <f t="shared" ref="AA205:BF205" si="504">+AA176/AA186*1000000</f>
        <v>7206.4550464663917</v>
      </c>
      <c r="AB205" s="83">
        <f t="shared" si="504"/>
        <v>7136.8670953154815</v>
      </c>
      <c r="AC205" s="1081">
        <f t="shared" si="504"/>
        <v>7080.8337136620685</v>
      </c>
      <c r="AD205" s="1081">
        <f t="shared" si="504"/>
        <v>7564.3014698199295</v>
      </c>
      <c r="AE205" s="1084">
        <f t="shared" si="504"/>
        <v>7260.4663968775321</v>
      </c>
      <c r="AF205" s="1081">
        <f t="shared" si="504"/>
        <v>7784.6516797340628</v>
      </c>
      <c r="AG205" s="83">
        <f t="shared" si="504"/>
        <v>7800.8372021497016</v>
      </c>
      <c r="AH205" s="1081">
        <f t="shared" si="504"/>
        <v>7871.4505950291932</v>
      </c>
      <c r="AI205" s="1081">
        <f t="shared" si="504"/>
        <v>7838.8528889857416</v>
      </c>
      <c r="AJ205" s="1084">
        <f t="shared" si="504"/>
        <v>7825.093428504676</v>
      </c>
      <c r="AK205" s="1081">
        <f t="shared" si="504"/>
        <v>8066.6118845500841</v>
      </c>
      <c r="AL205" s="83">
        <f t="shared" si="504"/>
        <v>8179.2874564715903</v>
      </c>
      <c r="AM205" s="1081">
        <f t="shared" si="504"/>
        <v>8965.7483771899188</v>
      </c>
      <c r="AN205" s="1081">
        <f t="shared" si="504"/>
        <v>9277.8820231019381</v>
      </c>
      <c r="AO205" s="1084">
        <f t="shared" si="504"/>
        <v>9123.796321600119</v>
      </c>
      <c r="AP205" s="1081">
        <f t="shared" si="504"/>
        <v>9530.9172925308794</v>
      </c>
      <c r="AQ205" s="83">
        <f t="shared" si="504"/>
        <v>9617.1328207026254</v>
      </c>
      <c r="AR205" s="1081">
        <f t="shared" si="504"/>
        <v>9770.2881072885593</v>
      </c>
      <c r="AS205" s="1081">
        <f t="shared" si="504"/>
        <v>9836.4144919489154</v>
      </c>
      <c r="AT205" s="1084">
        <f t="shared" si="504"/>
        <v>9758.0496227471322</v>
      </c>
      <c r="AU205" s="1081">
        <f t="shared" si="504"/>
        <v>10224.366244585641</v>
      </c>
      <c r="AV205" s="83">
        <f t="shared" si="504"/>
        <v>9901.4592414560393</v>
      </c>
      <c r="AW205" s="1081">
        <f t="shared" si="504"/>
        <v>9786.2040494969478</v>
      </c>
      <c r="AX205" s="1081">
        <f t="shared" si="504"/>
        <v>10168.18884538016</v>
      </c>
      <c r="AY205" s="1084">
        <f t="shared" si="504"/>
        <v>9989.7831019876539</v>
      </c>
      <c r="AZ205" s="1081">
        <f t="shared" si="504"/>
        <v>10187.235896885069</v>
      </c>
      <c r="BA205" s="83">
        <f t="shared" si="504"/>
        <v>10208.342003324129</v>
      </c>
      <c r="BB205" s="1081">
        <f t="shared" si="504"/>
        <v>10266.350157260122</v>
      </c>
      <c r="BC205" s="1081">
        <f t="shared" si="504"/>
        <v>10510.880977265917</v>
      </c>
      <c r="BD205" s="1084">
        <f t="shared" si="504"/>
        <v>10286.967446806004</v>
      </c>
      <c r="BE205" s="1081">
        <f t="shared" si="504"/>
        <v>10667.863984535301</v>
      </c>
      <c r="BF205" s="83">
        <f t="shared" si="504"/>
        <v>10893.015845920963</v>
      </c>
      <c r="BG205" s="1081">
        <f t="shared" ref="BG205:CL205" si="505">+BG176/BG186*1000000</f>
        <v>10960.077841451768</v>
      </c>
      <c r="BH205" s="1081">
        <f t="shared" si="505"/>
        <v>11143.752548082282</v>
      </c>
      <c r="BI205" s="1084">
        <f t="shared" si="505"/>
        <v>10954.932073210763</v>
      </c>
      <c r="BJ205" s="1081">
        <f t="shared" si="505"/>
        <v>11238.637180772073</v>
      </c>
      <c r="BK205" s="1081">
        <f t="shared" si="505"/>
        <v>11328.191278138505</v>
      </c>
      <c r="BL205" s="1081">
        <f t="shared" si="505"/>
        <v>11175.22392369841</v>
      </c>
      <c r="BM205" s="1081">
        <f t="shared" si="505"/>
        <v>11518.191404914172</v>
      </c>
      <c r="BN205" s="1084">
        <f t="shared" si="505"/>
        <v>11313.195924156496</v>
      </c>
      <c r="BO205" s="1081">
        <f t="shared" si="505"/>
        <v>11844.150065520424</v>
      </c>
      <c r="BP205" s="1081">
        <f t="shared" si="505"/>
        <v>11439.238812506634</v>
      </c>
      <c r="BQ205" s="1081">
        <f t="shared" si="505"/>
        <v>11501.882520607322</v>
      </c>
      <c r="BR205" s="1081">
        <f t="shared" si="505"/>
        <v>12187.014830111857</v>
      </c>
      <c r="BS205" s="1084">
        <f t="shared" si="505"/>
        <v>11738.424213814236</v>
      </c>
      <c r="BT205" s="1081">
        <f t="shared" si="505"/>
        <v>11995.97870166243</v>
      </c>
      <c r="BU205" s="1081">
        <f t="shared" si="505"/>
        <v>11485.206683745186</v>
      </c>
      <c r="BV205" s="1081">
        <f t="shared" si="505"/>
        <v>11204.073585979178</v>
      </c>
      <c r="BW205" s="1081">
        <f t="shared" si="505"/>
        <v>11738.752291552142</v>
      </c>
      <c r="BX205" s="1084">
        <f t="shared" si="505"/>
        <v>11585.662662957775</v>
      </c>
      <c r="BY205" s="1081">
        <f t="shared" si="505"/>
        <v>12034.608441075594</v>
      </c>
      <c r="BZ205" s="1081">
        <f t="shared" si="505"/>
        <v>11643.450484961721</v>
      </c>
      <c r="CA205" s="1081">
        <f t="shared" si="505"/>
        <v>11538.784142210437</v>
      </c>
      <c r="CB205" s="1081">
        <f t="shared" si="505"/>
        <v>12356.101003938778</v>
      </c>
      <c r="CC205" s="1084">
        <f t="shared" si="505"/>
        <v>11887.86102673395</v>
      </c>
      <c r="CD205" s="1081">
        <f t="shared" si="505"/>
        <v>11790.434078077946</v>
      </c>
      <c r="CE205" s="1081">
        <f t="shared" si="505"/>
        <v>11799.621828022062</v>
      </c>
      <c r="CF205" s="1081">
        <f t="shared" si="505"/>
        <v>11936.755525818453</v>
      </c>
      <c r="CG205" s="1081">
        <f t="shared" si="505"/>
        <v>12213.813855138327</v>
      </c>
      <c r="CH205" s="1084">
        <f t="shared" si="505"/>
        <v>11928.521711749203</v>
      </c>
      <c r="CI205" s="1081">
        <f t="shared" si="505"/>
        <v>12168.631416681501</v>
      </c>
      <c r="CJ205" s="1081">
        <f t="shared" si="505"/>
        <v>12148.9805564976</v>
      </c>
      <c r="CK205" s="1081">
        <f t="shared" si="505"/>
        <v>12089.640307665968</v>
      </c>
      <c r="CL205" s="1081">
        <f t="shared" si="505"/>
        <v>14427.490020315654</v>
      </c>
      <c r="CM205" s="1084">
        <f t="shared" ref="CM205:DB205" si="506">+CM176/CM186*1000000</f>
        <v>12650.608060309673</v>
      </c>
      <c r="CN205" s="1081">
        <f t="shared" ca="1" si="506"/>
        <v>16251.530670441356</v>
      </c>
      <c r="CO205" s="1081">
        <f t="shared" ca="1" si="506"/>
        <v>18118.901272882918</v>
      </c>
      <c r="CP205" s="1081">
        <f t="shared" ca="1" si="506"/>
        <v>18820.994705189954</v>
      </c>
      <c r="CQ205" s="1081">
        <f t="shared" ca="1" si="506"/>
        <v>20170.200597525345</v>
      </c>
      <c r="CR205" s="1084">
        <f t="shared" ca="1" si="506"/>
        <v>18190.622724610952</v>
      </c>
      <c r="CS205" s="1081">
        <f t="shared" ca="1" si="506"/>
        <v>18208.894390906749</v>
      </c>
      <c r="CT205" s="1081">
        <f t="shared" ca="1" si="506"/>
        <v>17446.240660211985</v>
      </c>
      <c r="CU205" s="1081">
        <f t="shared" ca="1" si="506"/>
        <v>15849.648555086276</v>
      </c>
      <c r="CV205" s="1081">
        <f t="shared" ca="1" si="506"/>
        <v>18705.938765771523</v>
      </c>
      <c r="CW205" s="1084">
        <f t="shared" ca="1" si="506"/>
        <v>17538.443561860899</v>
      </c>
      <c r="CX205" s="1081">
        <f t="shared" ca="1" si="506"/>
        <v>17486.285963984308</v>
      </c>
      <c r="CY205" s="1081">
        <f t="shared" ca="1" si="506"/>
        <v>16698.851495876163</v>
      </c>
      <c r="CZ205" s="1081">
        <f t="shared" ca="1" si="506"/>
        <v>15538.62998133265</v>
      </c>
      <c r="DA205" s="1081">
        <f t="shared" ca="1" si="506"/>
        <v>17928.674698015158</v>
      </c>
      <c r="DB205" s="1084">
        <f t="shared" ca="1" si="506"/>
        <v>16908.326798265374</v>
      </c>
      <c r="DC205" s="16"/>
      <c r="DD205" s="16"/>
      <c r="DE205" s="16"/>
      <c r="DF205" s="16"/>
      <c r="DG205" s="16"/>
      <c r="DH205" s="16"/>
      <c r="DI205" s="16"/>
      <c r="DJ205" s="16"/>
    </row>
    <row r="206" spans="1:114" s="725" customFormat="1" ht="11.25" customHeight="1">
      <c r="A206" s="16"/>
      <c r="B206" s="818" t="s">
        <v>256</v>
      </c>
      <c r="C206" s="52"/>
      <c r="D206" s="1053"/>
      <c r="E206" s="1053"/>
      <c r="F206" s="96"/>
      <c r="G206" s="54"/>
      <c r="H206" s="54"/>
      <c r="I206" s="54"/>
      <c r="J206" s="54"/>
      <c r="K206" s="96"/>
      <c r="L206" s="54"/>
      <c r="M206" s="54"/>
      <c r="N206" s="54"/>
      <c r="O206" s="54"/>
      <c r="P206" s="96"/>
      <c r="Q206" s="54"/>
      <c r="R206" s="54"/>
      <c r="S206" s="54"/>
      <c r="T206" s="54"/>
      <c r="U206" s="96"/>
      <c r="V206" s="54"/>
      <c r="W206" s="54"/>
      <c r="X206" s="54"/>
      <c r="Y206" s="54"/>
      <c r="Z206" s="96"/>
      <c r="AA206" s="98">
        <f t="shared" ref="AA206:BR206" si="507">AA205/V130-1</f>
        <v>0.34847605222909261</v>
      </c>
      <c r="AB206" s="98">
        <f t="shared" si="507"/>
        <v>0.25306978622459564</v>
      </c>
      <c r="AC206" s="98">
        <f t="shared" si="507"/>
        <v>0.18249485788256625</v>
      </c>
      <c r="AD206" s="98">
        <f t="shared" si="507"/>
        <v>0.28364108030350521</v>
      </c>
      <c r="AE206" s="96">
        <f t="shared" si="507"/>
        <v>0.26791208774327036</v>
      </c>
      <c r="AF206" s="98">
        <f t="shared" si="507"/>
        <v>7.7307058438433218E-2</v>
      </c>
      <c r="AG206" s="98">
        <f t="shared" si="507"/>
        <v>8.6286982560061842E-2</v>
      </c>
      <c r="AH206" s="98">
        <f t="shared" si="507"/>
        <v>0.11104363919610805</v>
      </c>
      <c r="AI206" s="98">
        <f t="shared" si="507"/>
        <v>4.7978722288630093E-2</v>
      </c>
      <c r="AJ206" s="96">
        <f t="shared" si="507"/>
        <v>8.0460783824113147E-2</v>
      </c>
      <c r="AK206" s="98">
        <f t="shared" si="507"/>
        <v>5.5423204922653069E-2</v>
      </c>
      <c r="AL206" s="98">
        <f t="shared" si="507"/>
        <v>8.7328658015616734E-2</v>
      </c>
      <c r="AM206" s="98">
        <f t="shared" si="507"/>
        <v>0.17521828550841589</v>
      </c>
      <c r="AN206" s="98">
        <f t="shared" si="507"/>
        <v>0.2128405969103313</v>
      </c>
      <c r="AO206" s="96">
        <f t="shared" si="507"/>
        <v>0.19871151197670001</v>
      </c>
      <c r="AP206" s="98">
        <f t="shared" si="507"/>
        <v>0.20768125061678333</v>
      </c>
      <c r="AQ206" s="98">
        <f t="shared" si="507"/>
        <v>0.17377452026337936</v>
      </c>
      <c r="AR206" s="98">
        <f t="shared" si="507"/>
        <v>3.6666668333098507E-2</v>
      </c>
      <c r="AS206" s="98">
        <f t="shared" si="507"/>
        <v>5.6507727824372189E-2</v>
      </c>
      <c r="AT206" s="96">
        <f t="shared" si="507"/>
        <v>0.10012270868554252</v>
      </c>
      <c r="AU206" s="98">
        <f t="shared" si="507"/>
        <v>7.1931472721695089E-2</v>
      </c>
      <c r="AV206" s="98">
        <f t="shared" si="507"/>
        <v>3.01902165579504E-2</v>
      </c>
      <c r="AW206" s="98">
        <f t="shared" si="507"/>
        <v>2.8567203779494843E-3</v>
      </c>
      <c r="AX206" s="98">
        <f t="shared" si="507"/>
        <v>3.0553634811607777E-2</v>
      </c>
      <c r="AY206" s="96">
        <f t="shared" si="507"/>
        <v>3.0522974761925115E-2</v>
      </c>
      <c r="AZ206" s="98">
        <f t="shared" si="507"/>
        <v>-3.5441892366747663E-3</v>
      </c>
      <c r="BA206" s="98">
        <f t="shared" si="507"/>
        <v>3.8184043059759309E-2</v>
      </c>
      <c r="BB206" s="98">
        <f t="shared" si="507"/>
        <v>5.8270635059126885E-2</v>
      </c>
      <c r="BC206" s="98">
        <f t="shared" si="507"/>
        <v>4.6169455760399103E-2</v>
      </c>
      <c r="BD206" s="96">
        <f t="shared" si="507"/>
        <v>3.4595943026974885E-2</v>
      </c>
      <c r="BE206" s="98">
        <f t="shared" si="507"/>
        <v>4.4248308173133077E-2</v>
      </c>
      <c r="BF206" s="98">
        <f t="shared" si="507"/>
        <v>5.8262741512733918E-2</v>
      </c>
      <c r="BG206" s="98">
        <f t="shared" si="507"/>
        <v>6.2207545516960838E-2</v>
      </c>
      <c r="BH206" s="98">
        <f t="shared" si="507"/>
        <v>6.2715811987983594E-2</v>
      </c>
      <c r="BI206" s="96">
        <f t="shared" si="507"/>
        <v>6.0407068829123167E-2</v>
      </c>
      <c r="BJ206" s="98">
        <f t="shared" si="507"/>
        <v>6.6852797002663333E-2</v>
      </c>
      <c r="BK206" s="98">
        <f t="shared" si="507"/>
        <v>4.9555049641094584E-2</v>
      </c>
      <c r="BL206" s="98">
        <f t="shared" si="507"/>
        <v>3.8088184313284756E-2</v>
      </c>
      <c r="BM206" s="98">
        <f t="shared" si="507"/>
        <v>3.9269834683153926E-2</v>
      </c>
      <c r="BN206" s="96">
        <f t="shared" si="507"/>
        <v>4.7808246767321538E-2</v>
      </c>
      <c r="BO206" s="98">
        <f t="shared" si="507"/>
        <v>6.7180673940039126E-2</v>
      </c>
      <c r="BP206" s="98">
        <f t="shared" si="507"/>
        <v>2.6655895730597123E-2</v>
      </c>
      <c r="BQ206" s="98">
        <f t="shared" si="507"/>
        <v>4.0355581878697366E-2</v>
      </c>
      <c r="BR206" s="98">
        <f t="shared" si="507"/>
        <v>7.519664316805974E-2</v>
      </c>
      <c r="BS206" s="96">
        <f>BS205/BN205-1</f>
        <v>3.7586928796112362E-2</v>
      </c>
      <c r="BT206" s="98">
        <f>BT205/BO130-1</f>
        <v>1.8699703044611438E-2</v>
      </c>
      <c r="BU206" s="98">
        <f>BU205/BP130-1</f>
        <v>6.3489436832171453E-3</v>
      </c>
      <c r="BV206" s="98">
        <f>BV205/BQ130-1</f>
        <v>-2.6145372476107931E-2</v>
      </c>
      <c r="BW206" s="98">
        <f>BW205/BR130-1</f>
        <v>-3.6831385784522608E-2</v>
      </c>
      <c r="BX206" s="96">
        <f t="shared" ref="BX206:CW206" si="508">BX205/BS205-1</f>
        <v>-1.3013803903652255E-2</v>
      </c>
      <c r="BY206" s="98">
        <f t="shared" si="508"/>
        <v>3.2202240745733413E-3</v>
      </c>
      <c r="BZ206" s="98">
        <f t="shared" si="508"/>
        <v>1.3778054289653729E-2</v>
      </c>
      <c r="CA206" s="98">
        <f t="shared" si="508"/>
        <v>2.9874005526893121E-2</v>
      </c>
      <c r="CB206" s="98">
        <f t="shared" si="508"/>
        <v>5.2590658449357841E-2</v>
      </c>
      <c r="CC206" s="96">
        <f t="shared" si="508"/>
        <v>2.6083822096976572E-2</v>
      </c>
      <c r="CD206" s="98">
        <f t="shared" si="508"/>
        <v>-2.0289348356715253E-2</v>
      </c>
      <c r="CE206" s="98">
        <f t="shared" si="508"/>
        <v>1.3412806045943748E-2</v>
      </c>
      <c r="CF206" s="98">
        <f t="shared" si="508"/>
        <v>3.448988894351368E-2</v>
      </c>
      <c r="CG206" s="98">
        <f t="shared" si="508"/>
        <v>-1.151553785090409E-2</v>
      </c>
      <c r="CH206" s="96">
        <f t="shared" si="508"/>
        <v>3.420353327130421E-3</v>
      </c>
      <c r="CI206" s="98">
        <f t="shared" si="508"/>
        <v>3.2076625516845203E-2</v>
      </c>
      <c r="CJ206" s="98">
        <f t="shared" si="508"/>
        <v>2.9607620783733246E-2</v>
      </c>
      <c r="CK206" s="98">
        <f t="shared" si="508"/>
        <v>1.280790090044448E-2</v>
      </c>
      <c r="CL206" s="98">
        <f t="shared" si="508"/>
        <v>0.18124364686023431</v>
      </c>
      <c r="CM206" s="96">
        <f t="shared" si="508"/>
        <v>6.0534437209368352E-2</v>
      </c>
      <c r="CN206" s="98">
        <f t="shared" ca="1" si="508"/>
        <v>0.3355265776365588</v>
      </c>
      <c r="CO206" s="98">
        <f t="shared" ca="1" si="508"/>
        <v>0.49139272950704038</v>
      </c>
      <c r="CP206" s="98">
        <f t="shared" ca="1" si="508"/>
        <v>0.5567869867274442</v>
      </c>
      <c r="CQ206" s="98">
        <f t="shared" ca="1" si="508"/>
        <v>0.39803947666040718</v>
      </c>
      <c r="CR206" s="96">
        <f t="shared" ca="1" si="508"/>
        <v>0.43792477309313349</v>
      </c>
      <c r="CS206" s="98">
        <f t="shared" ca="1" si="508"/>
        <v>0.12044180700009322</v>
      </c>
      <c r="CT206" s="98">
        <f t="shared" ca="1" si="508"/>
        <v>-3.7124801473345959E-2</v>
      </c>
      <c r="CU206" s="98">
        <f t="shared" ca="1" si="508"/>
        <v>-0.15787402295396846</v>
      </c>
      <c r="CV206" s="98">
        <f t="shared" ca="1" si="508"/>
        <v>-7.2595303386991161E-2</v>
      </c>
      <c r="CW206" s="96">
        <f t="shared" ca="1" si="508"/>
        <v>-3.5852492387063228E-2</v>
      </c>
      <c r="CX206" s="98">
        <f t="shared" ref="CX206" ca="1" si="509">CX205/CS205-1</f>
        <v>-3.9684365860417126E-2</v>
      </c>
      <c r="CY206" s="98">
        <f t="shared" ref="CY206" ca="1" si="510">CY205/CT205-1</f>
        <v>-4.28395537406705E-2</v>
      </c>
      <c r="CZ206" s="98">
        <f t="shared" ref="CZ206" ca="1" si="511">CZ205/CU205-1</f>
        <v>-1.9623058055367348E-2</v>
      </c>
      <c r="DA206" s="98">
        <f t="shared" ref="DA206" ca="1" si="512">DA205/CV205-1</f>
        <v>-4.1551727367921121E-2</v>
      </c>
      <c r="DB206" s="96">
        <f t="shared" ref="DB206" ca="1" si="513">DB205/CW205-1</f>
        <v>-3.5927747030288115E-2</v>
      </c>
      <c r="DC206" s="16"/>
      <c r="DD206" s="16"/>
      <c r="DE206" s="16"/>
      <c r="DF206" s="16"/>
      <c r="DG206" s="16"/>
      <c r="DH206" s="16"/>
      <c r="DI206" s="16"/>
      <c r="DJ206" s="16"/>
    </row>
    <row r="207" spans="1:114" s="725" customFormat="1" ht="11.25" customHeight="1">
      <c r="A207" s="16"/>
      <c r="B207" s="77"/>
      <c r="C207" s="52"/>
      <c r="D207" s="1053"/>
      <c r="E207" s="1053"/>
      <c r="F207" s="96"/>
      <c r="G207" s="54"/>
      <c r="H207" s="54"/>
      <c r="I207" s="54"/>
      <c r="J207" s="54"/>
      <c r="K207" s="96"/>
      <c r="L207" s="54"/>
      <c r="M207" s="54"/>
      <c r="N207" s="54"/>
      <c r="O207" s="54"/>
      <c r="P207" s="96"/>
      <c r="Q207" s="54"/>
      <c r="R207" s="54"/>
      <c r="S207" s="54"/>
      <c r="T207" s="54"/>
      <c r="U207" s="96"/>
      <c r="V207" s="54"/>
      <c r="W207" s="54"/>
      <c r="X207" s="54"/>
      <c r="Y207" s="54"/>
      <c r="Z207" s="96"/>
      <c r="AA207" s="54"/>
      <c r="AB207" s="54"/>
      <c r="AC207" s="54"/>
      <c r="AD207" s="54"/>
      <c r="AE207" s="96"/>
      <c r="AF207" s="54"/>
      <c r="AG207" s="54"/>
      <c r="AH207" s="54"/>
      <c r="AI207" s="54"/>
      <c r="AJ207" s="96"/>
      <c r="AK207" s="54"/>
      <c r="AL207" s="54"/>
      <c r="AM207" s="54"/>
      <c r="AN207" s="54"/>
      <c r="AO207" s="96"/>
      <c r="AP207" s="54"/>
      <c r="AQ207" s="54"/>
      <c r="AR207" s="54"/>
      <c r="AS207" s="54"/>
      <c r="AT207" s="96"/>
      <c r="AU207" s="54"/>
      <c r="AV207" s="54"/>
      <c r="AW207" s="54"/>
      <c r="AX207" s="54"/>
      <c r="AY207" s="96"/>
      <c r="AZ207" s="54"/>
      <c r="BA207" s="54"/>
      <c r="BB207" s="54"/>
      <c r="BC207" s="54"/>
      <c r="BD207" s="96"/>
      <c r="BE207" s="54"/>
      <c r="BF207" s="54"/>
      <c r="BG207" s="54"/>
      <c r="BH207" s="54"/>
      <c r="BI207" s="96"/>
      <c r="BJ207" s="54"/>
      <c r="BK207" s="54"/>
      <c r="BL207" s="54"/>
      <c r="BM207" s="54"/>
      <c r="BN207" s="96"/>
      <c r="BO207" s="54"/>
      <c r="BP207" s="54"/>
      <c r="BQ207" s="54"/>
      <c r="BR207" s="54"/>
      <c r="BS207" s="96"/>
      <c r="BT207" s="54"/>
      <c r="BU207" s="54"/>
      <c r="BV207" s="54"/>
      <c r="BW207" s="54"/>
      <c r="BX207" s="96"/>
      <c r="BY207" s="54"/>
      <c r="BZ207" s="54"/>
      <c r="CA207" s="54"/>
      <c r="CB207" s="54"/>
      <c r="CC207" s="96"/>
      <c r="CD207" s="54"/>
      <c r="CE207" s="54"/>
      <c r="CF207" s="54"/>
      <c r="CG207" s="54"/>
      <c r="CH207" s="96"/>
      <c r="CI207" s="54"/>
      <c r="CJ207" s="54"/>
      <c r="CK207" s="54"/>
      <c r="CL207" s="54"/>
      <c r="CM207" s="96"/>
      <c r="CN207" s="54"/>
      <c r="CO207" s="54"/>
      <c r="CP207" s="54"/>
      <c r="CQ207" s="54"/>
      <c r="CR207" s="96"/>
      <c r="CS207" s="54"/>
      <c r="CT207" s="54"/>
      <c r="CU207" s="54"/>
      <c r="CV207" s="54"/>
      <c r="CW207" s="96"/>
      <c r="CX207" s="54"/>
      <c r="CY207" s="54"/>
      <c r="CZ207" s="54"/>
      <c r="DA207" s="54"/>
      <c r="DB207" s="96"/>
      <c r="DC207" s="16"/>
      <c r="DD207" s="16"/>
      <c r="DE207" s="16"/>
      <c r="DF207" s="16"/>
      <c r="DG207" s="16"/>
      <c r="DH207" s="16"/>
      <c r="DI207" s="16"/>
      <c r="DJ207" s="16"/>
    </row>
    <row r="208" spans="1:114" s="725" customFormat="1" ht="11.25" customHeight="1">
      <c r="A208" s="16"/>
      <c r="B208" s="16" t="s">
        <v>272</v>
      </c>
      <c r="C208" s="37"/>
      <c r="D208" s="106"/>
      <c r="E208" s="83">
        <f>+E178/E189*1000000</f>
        <v>0</v>
      </c>
      <c r="F208" s="95">
        <f>+F178/F189*1000000</f>
        <v>0</v>
      </c>
      <c r="G208" s="83">
        <f t="shared" ref="G208:AI208" si="514">+G168/G189*1000000</f>
        <v>4690.773961586302</v>
      </c>
      <c r="H208" s="83">
        <f t="shared" si="514"/>
        <v>4853.9526826535366</v>
      </c>
      <c r="I208" s="83">
        <f t="shared" si="514"/>
        <v>4869.4921570510505</v>
      </c>
      <c r="J208" s="83">
        <f t="shared" si="514"/>
        <v>5054.1850812401235</v>
      </c>
      <c r="K208" s="95">
        <f t="shared" si="514"/>
        <v>4870.5892320815665</v>
      </c>
      <c r="L208" s="83">
        <f t="shared" si="514"/>
        <v>4975.6912578789397</v>
      </c>
      <c r="M208" s="83">
        <f t="shared" si="514"/>
        <v>5035.5547700798788</v>
      </c>
      <c r="N208" s="83">
        <f t="shared" si="514"/>
        <v>5118.9861705465546</v>
      </c>
      <c r="O208" s="83">
        <f t="shared" si="514"/>
        <v>5464.2087829338725</v>
      </c>
      <c r="P208" s="95">
        <f t="shared" si="514"/>
        <v>5156.5404468207907</v>
      </c>
      <c r="Q208" s="83">
        <f t="shared" si="514"/>
        <v>5483.2799861510757</v>
      </c>
      <c r="R208" s="83">
        <f t="shared" si="514"/>
        <v>5603.8729024876466</v>
      </c>
      <c r="S208" s="83">
        <f t="shared" si="514"/>
        <v>5565.4585786623884</v>
      </c>
      <c r="T208" s="83">
        <f t="shared" si="514"/>
        <v>5689.8681185387932</v>
      </c>
      <c r="U208" s="95">
        <f t="shared" si="514"/>
        <v>5585.5867581927751</v>
      </c>
      <c r="V208" s="83">
        <f t="shared" si="514"/>
        <v>5632.6721767097506</v>
      </c>
      <c r="W208" s="83">
        <f t="shared" si="514"/>
        <v>5698.5327589522012</v>
      </c>
      <c r="X208" s="83">
        <f t="shared" si="514"/>
        <v>5703.6725325642565</v>
      </c>
      <c r="Y208" s="83">
        <f t="shared" si="514"/>
        <v>5923.4189909855304</v>
      </c>
      <c r="Z208" s="95">
        <f t="shared" si="514"/>
        <v>5751.0982779102224</v>
      </c>
      <c r="AA208" s="83">
        <f t="shared" si="514"/>
        <v>6017.4651514444949</v>
      </c>
      <c r="AB208" s="83">
        <f t="shared" si="514"/>
        <v>6216.9892055609216</v>
      </c>
      <c r="AC208" s="83">
        <f t="shared" si="514"/>
        <v>6180.2365816790025</v>
      </c>
      <c r="AD208" s="83">
        <f t="shared" si="514"/>
        <v>6536.4262391600323</v>
      </c>
      <c r="AE208" s="95">
        <f t="shared" si="514"/>
        <v>6237.4855803354558</v>
      </c>
      <c r="AF208" s="83">
        <f t="shared" si="514"/>
        <v>6516.0605622965686</v>
      </c>
      <c r="AG208" s="83">
        <f t="shared" si="514"/>
        <v>6608.4376236739599</v>
      </c>
      <c r="AH208" s="83">
        <f t="shared" si="514"/>
        <v>6118.1521323733004</v>
      </c>
      <c r="AI208" s="83">
        <f t="shared" si="514"/>
        <v>6541.9192952076719</v>
      </c>
      <c r="AJ208" s="95">
        <f t="shared" ref="AJ208:BY208" si="515">+AJ165/AJ189*1000000</f>
        <v>7367.0033918029585</v>
      </c>
      <c r="AK208" s="83">
        <f t="shared" si="515"/>
        <v>7508.176887776387</v>
      </c>
      <c r="AL208" s="83">
        <f t="shared" si="515"/>
        <v>7583.4657640737769</v>
      </c>
      <c r="AM208" s="83">
        <f t="shared" si="515"/>
        <v>8534.3356830909506</v>
      </c>
      <c r="AN208" s="83">
        <f t="shared" si="515"/>
        <v>8608.0113487621784</v>
      </c>
      <c r="AO208" s="95">
        <f t="shared" si="515"/>
        <v>8295.3937817947717</v>
      </c>
      <c r="AP208" s="83">
        <f t="shared" si="515"/>
        <v>8780.1586192671839</v>
      </c>
      <c r="AQ208" s="83">
        <f t="shared" si="515"/>
        <v>8986.189619732786</v>
      </c>
      <c r="AR208" s="83">
        <f t="shared" si="515"/>
        <v>9199.7475008244546</v>
      </c>
      <c r="AS208" s="83">
        <f t="shared" si="515"/>
        <v>9255.4506027766147</v>
      </c>
      <c r="AT208" s="95">
        <f t="shared" si="515"/>
        <v>9041.9095862421254</v>
      </c>
      <c r="AU208" s="83">
        <f t="shared" si="515"/>
        <v>9390.6776199945107</v>
      </c>
      <c r="AV208" s="83">
        <f t="shared" si="515"/>
        <v>9393.44424344869</v>
      </c>
      <c r="AW208" s="83">
        <f t="shared" si="515"/>
        <v>9443.7433353877441</v>
      </c>
      <c r="AX208" s="83">
        <f t="shared" si="515"/>
        <v>9820.3888607328336</v>
      </c>
      <c r="AY208" s="95">
        <f t="shared" si="515"/>
        <v>9506.6995391598921</v>
      </c>
      <c r="AZ208" s="83">
        <f t="shared" si="515"/>
        <v>9747.2352290072649</v>
      </c>
      <c r="BA208" s="83">
        <f t="shared" si="515"/>
        <v>9781.6992519924897</v>
      </c>
      <c r="BB208" s="83">
        <f t="shared" si="515"/>
        <v>9901.7273713122286</v>
      </c>
      <c r="BC208" s="83">
        <f t="shared" si="515"/>
        <v>10227.246343894714</v>
      </c>
      <c r="BD208" s="95">
        <f t="shared" si="515"/>
        <v>9911.5660351942988</v>
      </c>
      <c r="BE208" s="83">
        <f t="shared" si="515"/>
        <v>10202.408374362827</v>
      </c>
      <c r="BF208" s="83">
        <f t="shared" si="515"/>
        <v>10400.144909495402</v>
      </c>
      <c r="BG208" s="83">
        <f t="shared" si="515"/>
        <v>10386.188828911021</v>
      </c>
      <c r="BH208" s="83">
        <f t="shared" si="515"/>
        <v>10423.891608761378</v>
      </c>
      <c r="BI208" s="95">
        <f t="shared" si="515"/>
        <v>11806.239390734516</v>
      </c>
      <c r="BJ208" s="83">
        <f t="shared" si="515"/>
        <v>10393.240383016291</v>
      </c>
      <c r="BK208" s="83">
        <f t="shared" si="515"/>
        <v>10793.966130473022</v>
      </c>
      <c r="BL208" s="83">
        <f t="shared" si="515"/>
        <v>10455.777247587403</v>
      </c>
      <c r="BM208" s="83">
        <f t="shared" si="515"/>
        <v>10728.818186552338</v>
      </c>
      <c r="BN208" s="95">
        <f t="shared" si="515"/>
        <v>10591.071966966612</v>
      </c>
      <c r="BO208" s="83">
        <f t="shared" si="515"/>
        <v>11000.146718917622</v>
      </c>
      <c r="BP208" s="83">
        <f t="shared" si="515"/>
        <v>10946.362283222366</v>
      </c>
      <c r="BQ208" s="83">
        <f t="shared" si="515"/>
        <v>11021.996396517323</v>
      </c>
      <c r="BR208" s="83">
        <f t="shared" si="515"/>
        <v>11367.054002537767</v>
      </c>
      <c r="BS208" s="95">
        <f t="shared" si="515"/>
        <v>11081.388911209086</v>
      </c>
      <c r="BT208" s="83">
        <f t="shared" si="515"/>
        <v>11164.878121435599</v>
      </c>
      <c r="BU208" s="83">
        <f t="shared" si="515"/>
        <v>10755.811416842225</v>
      </c>
      <c r="BV208" s="83">
        <f t="shared" si="515"/>
        <v>10880.869006902461</v>
      </c>
      <c r="BW208" s="83">
        <f t="shared" si="515"/>
        <v>11135.55544871088</v>
      </c>
      <c r="BX208" s="95">
        <f t="shared" si="515"/>
        <v>10977.031745781143</v>
      </c>
      <c r="BY208" s="83">
        <f t="shared" si="515"/>
        <v>11167.433323971372</v>
      </c>
      <c r="BZ208" s="83">
        <f>+BZ165/BZ295*1000000</f>
        <v>12512.868680085297</v>
      </c>
      <c r="CA208" s="83">
        <f>+CA165/CA189*1000000</f>
        <v>10884.462538417702</v>
      </c>
      <c r="CB208" s="83">
        <f>+CB165/CB189*1000000</f>
        <v>11755.147640171846</v>
      </c>
      <c r="CC208" s="95">
        <f>+CC165/CC189*1000000</f>
        <v>11195.717409862078</v>
      </c>
      <c r="CD208" s="83">
        <f>+CD165/CD295*1000000</f>
        <v>12654.219038381052</v>
      </c>
      <c r="CE208" s="83">
        <f>+CE165/CE295*1000000</f>
        <v>12027.382720821215</v>
      </c>
      <c r="CF208" s="83">
        <f t="shared" ref="CF208:DB208" si="516">+CF165/CF189*1000000</f>
        <v>11359.016396918025</v>
      </c>
      <c r="CG208" s="83">
        <f t="shared" si="516"/>
        <v>11643.894660294136</v>
      </c>
      <c r="CH208" s="95">
        <f t="shared" si="516"/>
        <v>11360.050762738914</v>
      </c>
      <c r="CI208" s="83">
        <f t="shared" si="516"/>
        <v>11425.938691009149</v>
      </c>
      <c r="CJ208" s="83">
        <f t="shared" si="516"/>
        <v>11633.233506199402</v>
      </c>
      <c r="CK208" s="83">
        <f t="shared" si="516"/>
        <v>11519.590701834139</v>
      </c>
      <c r="CL208" s="83">
        <f t="shared" si="516"/>
        <v>13695.833167858387</v>
      </c>
      <c r="CM208" s="95">
        <f t="shared" si="516"/>
        <v>12009.916963440926</v>
      </c>
      <c r="CN208" s="83">
        <f t="shared" ca="1" si="516"/>
        <v>13583.36793079862</v>
      </c>
      <c r="CO208" s="83">
        <f t="shared" ca="1" si="516"/>
        <v>14372.007546546078</v>
      </c>
      <c r="CP208" s="83">
        <f t="shared" ca="1" si="516"/>
        <v>14575.707595084794</v>
      </c>
      <c r="CQ208" s="83">
        <f t="shared" ca="1" si="516"/>
        <v>16433.184704015686</v>
      </c>
      <c r="CR208" s="95">
        <f t="shared" ca="1" si="516"/>
        <v>14675.436780600488</v>
      </c>
      <c r="CS208" s="83">
        <f t="shared" ca="1" si="516"/>
        <v>14459.367201636487</v>
      </c>
      <c r="CT208" s="83">
        <f t="shared" ca="1" si="516"/>
        <v>14091.569813029955</v>
      </c>
      <c r="CU208" s="83">
        <f t="shared" ca="1" si="516"/>
        <v>13280.886984212289</v>
      </c>
      <c r="CV208" s="83">
        <f t="shared" ca="1" si="516"/>
        <v>15602.430373688223</v>
      </c>
      <c r="CW208" s="95">
        <f t="shared" ca="1" si="516"/>
        <v>14349.417619021295</v>
      </c>
      <c r="CX208" s="83">
        <f t="shared" ca="1" si="516"/>
        <v>14176.808788158509</v>
      </c>
      <c r="CY208" s="83">
        <f t="shared" ca="1" si="516"/>
        <v>13779.737584803383</v>
      </c>
      <c r="CZ208" s="83">
        <f t="shared" ca="1" si="516"/>
        <v>13153.690830128306</v>
      </c>
      <c r="DA208" s="83">
        <f t="shared" ca="1" si="516"/>
        <v>15250.294802182771</v>
      </c>
      <c r="DB208" s="95">
        <f t="shared" ca="1" si="516"/>
        <v>14084.431340971259</v>
      </c>
      <c r="DC208" s="16"/>
      <c r="DD208" s="16"/>
      <c r="DE208" s="16"/>
      <c r="DF208" s="16"/>
      <c r="DG208" s="16"/>
      <c r="DH208" s="16"/>
      <c r="DI208" s="16"/>
      <c r="DJ208" s="16"/>
    </row>
    <row r="209" spans="1:114" s="725" customFormat="1" ht="11.25" customHeight="1">
      <c r="A209" s="16"/>
      <c r="B209" s="134" t="s">
        <v>250</v>
      </c>
      <c r="C209" s="1102"/>
      <c r="D209" s="1103"/>
      <c r="E209" s="137"/>
      <c r="F209" s="138"/>
      <c r="G209" s="152"/>
      <c r="H209" s="152"/>
      <c r="I209" s="152"/>
      <c r="J209" s="137"/>
      <c r="K209" s="138"/>
      <c r="L209" s="137">
        <f t="shared" ref="L209:AQ209" si="517">L208/G133-1</f>
        <v>-4.9695329676456956E-2</v>
      </c>
      <c r="M209" s="137">
        <f t="shared" si="517"/>
        <v>-7.6236973676583109E-2</v>
      </c>
      <c r="N209" s="137">
        <f t="shared" si="517"/>
        <v>-5.4956966442815447E-2</v>
      </c>
      <c r="O209" s="137">
        <f t="shared" si="517"/>
        <v>-3.2455745094592592E-2</v>
      </c>
      <c r="P209" s="138">
        <f t="shared" si="517"/>
        <v>-5.2682359977342164E-2</v>
      </c>
      <c r="Q209" s="137">
        <f t="shared" si="517"/>
        <v>-1.0465081193712478E-2</v>
      </c>
      <c r="R209" s="137">
        <f t="shared" si="517"/>
        <v>2.0035096024846322E-3</v>
      </c>
      <c r="S209" s="137">
        <f t="shared" si="517"/>
        <v>-1.4962727068076775E-2</v>
      </c>
      <c r="T209" s="137">
        <f t="shared" si="517"/>
        <v>-4.1486752461690646E-2</v>
      </c>
      <c r="U209" s="138">
        <f t="shared" si="517"/>
        <v>-1.6889495602880555E-2</v>
      </c>
      <c r="V209" s="137">
        <f t="shared" si="517"/>
        <v>-5.3954877650713273E-2</v>
      </c>
      <c r="W209" s="137">
        <f t="shared" si="517"/>
        <v>-7.1509867969467344E-2</v>
      </c>
      <c r="X209" s="137">
        <f t="shared" si="517"/>
        <v>-5.6201081300447875E-2</v>
      </c>
      <c r="Y209" s="137">
        <f t="shared" si="517"/>
        <v>-4.3998655412201826E-2</v>
      </c>
      <c r="Z209" s="138">
        <f t="shared" si="517"/>
        <v>-5.4992547587706442E-2</v>
      </c>
      <c r="AA209" s="137">
        <f t="shared" si="517"/>
        <v>-4.1655585991093647E-2</v>
      </c>
      <c r="AB209" s="137">
        <f t="shared" si="517"/>
        <v>-1.9967430919364482E-2</v>
      </c>
      <c r="AC209" s="137">
        <f t="shared" si="517"/>
        <v>-3.8579910985772292E-2</v>
      </c>
      <c r="AD209" s="137">
        <f t="shared" si="517"/>
        <v>-1.3686692529241706E-2</v>
      </c>
      <c r="AE209" s="138">
        <f t="shared" si="517"/>
        <v>-2.2877693864970405E-2</v>
      </c>
      <c r="AF209" s="137">
        <f t="shared" si="517"/>
        <v>-3.5245121406026536E-2</v>
      </c>
      <c r="AG209" s="137">
        <f t="shared" si="517"/>
        <v>-4.5014234324951108E-2</v>
      </c>
      <c r="AH209" s="137">
        <f t="shared" si="517"/>
        <v>-0.11149853641083307</v>
      </c>
      <c r="AI209" s="137">
        <f t="shared" si="517"/>
        <v>-9.275642427646813E-2</v>
      </c>
      <c r="AJ209" s="138">
        <f t="shared" si="517"/>
        <v>6.1029979457777328E-2</v>
      </c>
      <c r="AK209" s="137">
        <f t="shared" si="517"/>
        <v>4.7117143113781568E-2</v>
      </c>
      <c r="AL209" s="137">
        <f t="shared" si="517"/>
        <v>5.2218435804618268E-2</v>
      </c>
      <c r="AM209" s="137">
        <f t="shared" si="517"/>
        <v>0.18744904875738611</v>
      </c>
      <c r="AN209" s="137">
        <f t="shared" si="517"/>
        <v>0.18511824472696792</v>
      </c>
      <c r="AO209" s="138">
        <f t="shared" si="517"/>
        <v>0.15085350146673204</v>
      </c>
      <c r="AP209" s="137">
        <f t="shared" si="517"/>
        <v>0.18879560121699579</v>
      </c>
      <c r="AQ209" s="137">
        <f t="shared" si="517"/>
        <v>0.17896222585759713</v>
      </c>
      <c r="AR209" s="137">
        <f t="shared" ref="AR209:BW209" si="518">AR208/AM133-1</f>
        <v>2.9207150235915469E-2</v>
      </c>
      <c r="AS209" s="137">
        <f t="shared" si="518"/>
        <v>7.3260081280801526E-2</v>
      </c>
      <c r="AT209" s="138">
        <f t="shared" si="518"/>
        <v>0.12044926095494013</v>
      </c>
      <c r="AU209" s="137">
        <f t="shared" si="518"/>
        <v>6.816111515332679E-2</v>
      </c>
      <c r="AV209" s="137">
        <f t="shared" si="518"/>
        <v>4.4733520225707979E-2</v>
      </c>
      <c r="AW209" s="137">
        <f t="shared" si="518"/>
        <v>2.7465079610864196E-2</v>
      </c>
      <c r="AX209" s="137">
        <f t="shared" si="518"/>
        <v>5.3784525402909678E-2</v>
      </c>
      <c r="AY209" s="138">
        <f t="shared" si="518"/>
        <v>5.8978872749209543E-2</v>
      </c>
      <c r="AZ209" s="137">
        <f t="shared" si="518"/>
        <v>3.3519194660236673E-2</v>
      </c>
      <c r="BA209" s="137">
        <f t="shared" si="518"/>
        <v>4.1999499066478485E-2</v>
      </c>
      <c r="BB209" s="137">
        <f t="shared" si="518"/>
        <v>5.1638530739182675E-2</v>
      </c>
      <c r="BC209" s="137">
        <f t="shared" si="518"/>
        <v>4.9392962715059774E-2</v>
      </c>
      <c r="BD209" s="138" t="e">
        <f t="shared" si="518"/>
        <v>#REF!</v>
      </c>
      <c r="BE209" s="137">
        <f t="shared" si="518"/>
        <v>4.6043806524668662E-2</v>
      </c>
      <c r="BF209" s="137">
        <f t="shared" si="518"/>
        <v>6.0232796868724625E-2</v>
      </c>
      <c r="BG209" s="137">
        <f t="shared" si="518"/>
        <v>4.4503332236906168E-2</v>
      </c>
      <c r="BH209" s="137">
        <f t="shared" si="518"/>
        <v>2.1545966659766602E-2</v>
      </c>
      <c r="BI209" s="138">
        <f t="shared" si="518"/>
        <v>0.1889850820816974</v>
      </c>
      <c r="BJ209" s="137">
        <f t="shared" si="518"/>
        <v>2.9004480271024757E-2</v>
      </c>
      <c r="BK209" s="137">
        <f t="shared" si="518"/>
        <v>4.41811951674147E-2</v>
      </c>
      <c r="BL209" s="137">
        <f t="shared" si="518"/>
        <v>1.8324540524341959E-2</v>
      </c>
      <c r="BM209" s="137">
        <f t="shared" si="518"/>
        <v>3.3826897680921952E-2</v>
      </c>
      <c r="BN209" s="138">
        <f t="shared" si="518"/>
        <v>3.818351961177946E-2</v>
      </c>
      <c r="BO209" s="137">
        <f t="shared" si="518"/>
        <v>4.3221100551957603E-2</v>
      </c>
      <c r="BP209" s="137">
        <f t="shared" si="518"/>
        <v>2.5503793717629897E-2</v>
      </c>
      <c r="BQ209" s="137">
        <f t="shared" si="518"/>
        <v>6.0474710107880858E-2</v>
      </c>
      <c r="BR209" s="137">
        <f t="shared" si="518"/>
        <v>7.0679938926027086E-2</v>
      </c>
      <c r="BS209" s="138">
        <f t="shared" si="518"/>
        <v>4.9708740181857669E-2</v>
      </c>
      <c r="BT209" s="137">
        <f t="shared" si="518"/>
        <v>1.9375265176772904E-2</v>
      </c>
      <c r="BU209" s="137">
        <f t="shared" si="518"/>
        <v>-1.513551333085672E-2</v>
      </c>
      <c r="BV209" s="137">
        <f t="shared" si="518"/>
        <v>-1.3060742163659489E-2</v>
      </c>
      <c r="BW209" s="137">
        <f t="shared" si="518"/>
        <v>-2.0415995270466447E-2</v>
      </c>
      <c r="BX209" s="138">
        <f t="shared" ref="BX209" si="519">BX208/BS133-1</f>
        <v>-7.7823185251179039E-3</v>
      </c>
      <c r="BY209" s="137">
        <f t="shared" ref="BY209:CW209" si="520">BY208/BT208-1</f>
        <v>2.2886076390471466E-4</v>
      </c>
      <c r="BZ209" s="137">
        <f t="shared" si="520"/>
        <v>0.16335887597394505</v>
      </c>
      <c r="CA209" s="137">
        <f t="shared" si="520"/>
        <v>3.3026144446379746E-4</v>
      </c>
      <c r="CB209" s="137">
        <f t="shared" si="520"/>
        <v>5.5640887813341644E-2</v>
      </c>
      <c r="CC209" s="138">
        <f t="shared" si="520"/>
        <v>1.9922112748283149E-2</v>
      </c>
      <c r="CD209" s="137">
        <f t="shared" si="520"/>
        <v>0.13313584879152418</v>
      </c>
      <c r="CE209" s="137">
        <f t="shared" si="520"/>
        <v>-3.8798933456142715E-2</v>
      </c>
      <c r="CF209" s="137">
        <f t="shared" si="520"/>
        <v>4.3599199944447609E-2</v>
      </c>
      <c r="CG209" s="137">
        <f t="shared" si="520"/>
        <v>-9.4641924783246401E-3</v>
      </c>
      <c r="CH209" s="138">
        <f t="shared" si="520"/>
        <v>1.467823336913443E-2</v>
      </c>
      <c r="CI209" s="137">
        <f t="shared" si="520"/>
        <v>-9.7064887500876273E-2</v>
      </c>
      <c r="CJ209" s="137">
        <f t="shared" si="520"/>
        <v>-3.2770987983901212E-2</v>
      </c>
      <c r="CK209" s="137">
        <f t="shared" si="520"/>
        <v>1.41362860396681E-2</v>
      </c>
      <c r="CL209" s="137">
        <f t="shared" si="520"/>
        <v>0.17622441351701634</v>
      </c>
      <c r="CM209" s="138">
        <f t="shared" si="520"/>
        <v>5.7206276122777622E-2</v>
      </c>
      <c r="CN209" s="137">
        <f t="shared" ca="1" si="520"/>
        <v>0.18881855558065541</v>
      </c>
      <c r="CO209" s="137">
        <f t="shared" ca="1" si="520"/>
        <v>0.23542672283567345</v>
      </c>
      <c r="CP209" s="137">
        <f t="shared" ca="1" si="520"/>
        <v>0.26529735060500581</v>
      </c>
      <c r="CQ209" s="137">
        <f t="shared" ca="1" si="520"/>
        <v>0.19986747082911038</v>
      </c>
      <c r="CR209" s="138">
        <f t="shared" ca="1" si="520"/>
        <v>0.22194323451807385</v>
      </c>
      <c r="CS209" s="137">
        <f t="shared" ca="1" si="520"/>
        <v>6.4490579604462139E-2</v>
      </c>
      <c r="CT209" s="137">
        <f t="shared" ca="1" si="520"/>
        <v>-1.9512773884085344E-2</v>
      </c>
      <c r="CU209" s="137">
        <f t="shared" ca="1" si="520"/>
        <v>-8.8834151098718728E-2</v>
      </c>
      <c r="CV209" s="137">
        <f t="shared" ca="1" si="520"/>
        <v>-5.0553459070198148E-2</v>
      </c>
      <c r="CW209" s="138">
        <f t="shared" ca="1" si="520"/>
        <v>-2.2215295289211401E-2</v>
      </c>
      <c r="CX209" s="137">
        <f t="shared" ref="CX209" ca="1" si="521">CX208/CS208-1</f>
        <v>-1.954154767201699E-2</v>
      </c>
      <c r="CY209" s="137">
        <f t="shared" ref="CY209" ca="1" si="522">CY208/CT208-1</f>
        <v>-2.2128991472492476E-2</v>
      </c>
      <c r="CZ209" s="137">
        <f t="shared" ref="CZ209" ca="1" si="523">CZ208/CU208-1</f>
        <v>-9.577383968042863E-3</v>
      </c>
      <c r="DA209" s="137">
        <f t="shared" ref="DA209" ca="1" si="524">DA208/CV208-1</f>
        <v>-2.2569276905685776E-2</v>
      </c>
      <c r="DB209" s="138">
        <f t="shared" ref="DB209" ca="1" si="525">DB208/CW208-1</f>
        <v>-1.8466692174236687E-2</v>
      </c>
      <c r="DC209" s="16"/>
      <c r="DD209" s="16"/>
      <c r="DE209" s="16"/>
      <c r="DF209" s="16"/>
      <c r="DG209" s="16"/>
      <c r="DH209" s="16"/>
      <c r="DI209" s="16"/>
      <c r="DJ209" s="16"/>
    </row>
    <row r="210" spans="1:114" s="725" customFormat="1" ht="11.25" customHeight="1">
      <c r="A210" s="16"/>
      <c r="B210" s="16"/>
      <c r="C210" s="37"/>
      <c r="D210" s="106"/>
      <c r="E210" s="94"/>
      <c r="F210" s="125"/>
      <c r="G210" s="93"/>
      <c r="H210" s="93"/>
      <c r="I210" s="93"/>
      <c r="J210" s="93"/>
      <c r="K210" s="125"/>
      <c r="L210" s="93"/>
      <c r="M210" s="93"/>
      <c r="N210" s="93"/>
      <c r="O210" s="93"/>
      <c r="P210" s="125"/>
      <c r="Q210" s="90"/>
      <c r="R210" s="90"/>
      <c r="S210" s="90"/>
      <c r="T210" s="90"/>
      <c r="U210" s="91"/>
      <c r="V210" s="90"/>
      <c r="W210" s="90"/>
      <c r="X210" s="90"/>
      <c r="Y210" s="90"/>
      <c r="Z210" s="91"/>
      <c r="AA210" s="90"/>
      <c r="AB210" s="90"/>
      <c r="AC210" s="90"/>
      <c r="AD210" s="90"/>
      <c r="AE210" s="91"/>
      <c r="AF210" s="90"/>
      <c r="AG210" s="90"/>
      <c r="AH210" s="90"/>
      <c r="AI210" s="90"/>
      <c r="AJ210" s="91"/>
      <c r="AK210" s="90"/>
      <c r="AL210" s="90"/>
      <c r="AM210" s="90"/>
      <c r="AN210" s="90"/>
      <c r="AO210" s="91"/>
      <c r="AP210" s="90"/>
      <c r="AQ210" s="108"/>
      <c r="AR210" s="108"/>
      <c r="AS210" s="108"/>
      <c r="AT210" s="91"/>
      <c r="AU210" s="16"/>
      <c r="AV210" s="16"/>
      <c r="AW210" s="16"/>
      <c r="AX210" s="16"/>
      <c r="AY210" s="18"/>
      <c r="AZ210" s="16"/>
      <c r="BA210" s="16"/>
      <c r="BB210" s="16"/>
      <c r="BC210" s="16"/>
      <c r="BD210" s="18"/>
      <c r="BE210" s="16"/>
      <c r="BF210" s="16"/>
      <c r="BG210" s="16"/>
      <c r="BH210" s="16"/>
      <c r="BI210" s="18"/>
      <c r="BJ210" s="16"/>
      <c r="BK210" s="16"/>
      <c r="BL210" s="1063"/>
      <c r="BM210" s="1063"/>
      <c r="BN210" s="18"/>
      <c r="BO210" s="112"/>
      <c r="BP210" s="112"/>
      <c r="BQ210" s="1104"/>
      <c r="BR210" s="1063"/>
      <c r="BS210" s="18"/>
      <c r="BT210" s="112"/>
      <c r="BU210" s="16"/>
      <c r="BV210" s="16"/>
      <c r="BW210" s="16"/>
      <c r="BX210" s="18"/>
      <c r="BY210" s="112"/>
      <c r="BZ210" s="16"/>
      <c r="CA210" s="16"/>
      <c r="CB210" s="16"/>
      <c r="CC210" s="1003"/>
      <c r="CD210" s="16"/>
      <c r="CE210" s="16"/>
      <c r="CF210" s="16"/>
      <c r="CG210" s="16"/>
      <c r="CH210" s="1003"/>
      <c r="CI210" s="16"/>
      <c r="CJ210" s="16"/>
      <c r="CK210" s="16"/>
      <c r="CL210" s="16"/>
      <c r="CM210" s="1003"/>
      <c r="CN210" s="16"/>
      <c r="CO210" s="16"/>
      <c r="CP210" s="16"/>
      <c r="CQ210" s="16"/>
      <c r="CR210" s="1003"/>
      <c r="CS210" s="16"/>
      <c r="CT210" s="16"/>
      <c r="CU210" s="16"/>
      <c r="CV210" s="16"/>
      <c r="CW210" s="1003"/>
      <c r="CX210" s="16"/>
      <c r="CY210" s="16"/>
      <c r="CZ210" s="16"/>
      <c r="DA210" s="16"/>
      <c r="DB210" s="1003"/>
      <c r="DC210" s="16"/>
      <c r="DD210" s="16"/>
      <c r="DE210" s="16"/>
      <c r="DF210" s="16"/>
      <c r="DG210" s="16"/>
      <c r="DH210" s="16"/>
      <c r="DI210" s="16"/>
      <c r="DJ210" s="16"/>
    </row>
    <row r="211" spans="1:114" s="725" customFormat="1" ht="11.25" customHeight="1" collapsed="1">
      <c r="A211" s="16"/>
      <c r="B211" s="21" t="s">
        <v>376</v>
      </c>
      <c r="C211" s="53"/>
      <c r="D211" s="417"/>
      <c r="E211" s="98"/>
      <c r="F211" s="96"/>
      <c r="G211" s="93"/>
      <c r="H211" s="93"/>
      <c r="I211" s="93"/>
      <c r="J211" s="54"/>
      <c r="K211" s="96"/>
      <c r="L211" s="93"/>
      <c r="M211" s="93"/>
      <c r="N211" s="93"/>
      <c r="O211" s="54"/>
      <c r="P211" s="96"/>
      <c r="Q211" s="54"/>
      <c r="R211" s="54"/>
      <c r="S211" s="54"/>
      <c r="T211" s="54"/>
      <c r="U211" s="96"/>
      <c r="V211" s="54"/>
      <c r="W211" s="54"/>
      <c r="X211" s="54"/>
      <c r="Y211" s="54"/>
      <c r="Z211" s="96"/>
      <c r="AA211" s="54"/>
      <c r="AB211" s="54"/>
      <c r="AC211" s="54"/>
      <c r="AD211" s="54"/>
      <c r="AE211" s="96"/>
      <c r="AF211" s="54"/>
      <c r="AG211" s="54"/>
      <c r="AH211" s="54"/>
      <c r="AI211" s="54"/>
      <c r="AJ211" s="96"/>
      <c r="AK211" s="54"/>
      <c r="AL211" s="54"/>
      <c r="AM211" s="54"/>
      <c r="AN211" s="54"/>
      <c r="AO211" s="96"/>
      <c r="AP211" s="98"/>
      <c r="AQ211" s="16"/>
      <c r="AR211" s="16"/>
      <c r="AS211" s="16"/>
      <c r="AT211" s="18"/>
      <c r="AU211" s="16"/>
      <c r="AV211" s="16"/>
      <c r="AW211" s="16"/>
      <c r="AX211" s="16"/>
      <c r="AY211" s="18"/>
      <c r="AZ211" s="16"/>
      <c r="BA211" s="16"/>
      <c r="BB211" s="16"/>
      <c r="BC211" s="16"/>
      <c r="BD211" s="18"/>
      <c r="BE211" s="16"/>
      <c r="BF211" s="16"/>
      <c r="BG211" s="16"/>
      <c r="BH211" s="16"/>
      <c r="BI211" s="18"/>
      <c r="BJ211" s="16"/>
      <c r="BK211" s="16"/>
      <c r="BL211" s="16"/>
      <c r="BM211" s="16"/>
      <c r="BN211" s="18"/>
      <c r="BO211" s="16"/>
      <c r="BP211" s="16"/>
      <c r="BQ211" s="16"/>
      <c r="BR211" s="16"/>
      <c r="BS211" s="18"/>
      <c r="BT211" s="16"/>
      <c r="BU211" s="16"/>
      <c r="BV211" s="16"/>
      <c r="BW211" s="16"/>
      <c r="BX211" s="18"/>
      <c r="BY211" s="16"/>
      <c r="BZ211" s="16"/>
      <c r="CA211" s="16"/>
      <c r="CB211" s="16"/>
      <c r="CC211" s="18"/>
      <c r="CD211" s="16"/>
      <c r="CE211" s="16"/>
      <c r="CF211" s="16"/>
      <c r="CG211" s="16"/>
      <c r="CH211" s="18"/>
      <c r="CI211" s="16"/>
      <c r="CJ211" s="16"/>
      <c r="CK211" s="16"/>
      <c r="CL211" s="16"/>
      <c r="CM211" s="18"/>
      <c r="CN211" s="16"/>
      <c r="CO211" s="16"/>
      <c r="CP211" s="16"/>
      <c r="CQ211" s="16"/>
      <c r="CR211" s="18"/>
      <c r="CS211" s="16"/>
      <c r="CT211" s="16"/>
      <c r="CU211" s="16"/>
      <c r="CV211" s="16"/>
      <c r="CW211" s="18"/>
      <c r="CX211" s="16"/>
      <c r="CY211" s="16"/>
      <c r="CZ211" s="16"/>
      <c r="DA211" s="16"/>
      <c r="DB211" s="18"/>
      <c r="DC211" s="16"/>
      <c r="DD211" s="16"/>
      <c r="DE211" s="16"/>
      <c r="DF211" s="16"/>
      <c r="DG211" s="16"/>
      <c r="DH211" s="16"/>
      <c r="DI211" s="16"/>
      <c r="DJ211" s="16"/>
    </row>
    <row r="212" spans="1:114" s="725" customFormat="1" ht="11.25" customHeight="1">
      <c r="A212" s="186"/>
      <c r="B212" s="186" t="s">
        <v>377</v>
      </c>
      <c r="C212" s="443"/>
      <c r="D212" s="418"/>
      <c r="E212" s="186"/>
      <c r="F212" s="147"/>
      <c r="G212" s="187"/>
      <c r="H212" s="187"/>
      <c r="I212" s="187"/>
      <c r="J212" s="187"/>
      <c r="K212" s="188">
        <f t="shared" ref="K212:AP212" si="526">K193/K181</f>
        <v>3.7613990247183455</v>
      </c>
      <c r="L212" s="187">
        <f t="shared" si="526"/>
        <v>3.8241544583107254</v>
      </c>
      <c r="M212" s="187">
        <f t="shared" si="526"/>
        <v>3.6918499602495842</v>
      </c>
      <c r="N212" s="187">
        <f t="shared" si="526"/>
        <v>3.6640164559595072</v>
      </c>
      <c r="O212" s="187">
        <f t="shared" si="526"/>
        <v>3.7537486183812643</v>
      </c>
      <c r="P212" s="188">
        <f t="shared" si="526"/>
        <v>3.7348877423583993</v>
      </c>
      <c r="Q212" s="187">
        <f t="shared" si="526"/>
        <v>3.9859255367062003</v>
      </c>
      <c r="R212" s="187">
        <f t="shared" si="526"/>
        <v>3.8705087440381556</v>
      </c>
      <c r="S212" s="187">
        <f t="shared" si="526"/>
        <v>3.8931514148160833</v>
      </c>
      <c r="T212" s="187">
        <f t="shared" si="526"/>
        <v>4.0034411685634916</v>
      </c>
      <c r="U212" s="188">
        <f t="shared" si="526"/>
        <v>3.9401332364569672</v>
      </c>
      <c r="V212" s="187">
        <f t="shared" si="526"/>
        <v>4.035557969393949</v>
      </c>
      <c r="W212" s="187">
        <f t="shared" si="526"/>
        <v>3.9390113022772244</v>
      </c>
      <c r="X212" s="187">
        <f t="shared" si="526"/>
        <v>3.9307950618886167</v>
      </c>
      <c r="Y212" s="187">
        <f t="shared" si="526"/>
        <v>4.0332494448556622</v>
      </c>
      <c r="Z212" s="188">
        <f t="shared" si="526"/>
        <v>3.9865846079826794</v>
      </c>
      <c r="AA212" s="186">
        <f t="shared" si="526"/>
        <v>4.1998263475569626</v>
      </c>
      <c r="AB212" s="186">
        <f t="shared" si="526"/>
        <v>4.1175785797438884</v>
      </c>
      <c r="AC212" s="186">
        <f t="shared" si="526"/>
        <v>3.992377554330198</v>
      </c>
      <c r="AD212" s="186">
        <f t="shared" si="526"/>
        <v>4.0771468043335997</v>
      </c>
      <c r="AE212" s="147">
        <f t="shared" si="526"/>
        <v>4.0991839112892885</v>
      </c>
      <c r="AF212" s="186">
        <f t="shared" si="526"/>
        <v>4.2096793888986879</v>
      </c>
      <c r="AG212" s="186">
        <f t="shared" si="526"/>
        <v>4.1485607393137336</v>
      </c>
      <c r="AH212" s="186">
        <f t="shared" si="526"/>
        <v>4.0500690277341134</v>
      </c>
      <c r="AI212" s="186">
        <f t="shared" si="526"/>
        <v>4.0575179497929881</v>
      </c>
      <c r="AJ212" s="147">
        <f t="shared" si="526"/>
        <v>4.1158299979648598</v>
      </c>
      <c r="AK212" s="186">
        <f t="shared" si="526"/>
        <v>4.1313804884221179</v>
      </c>
      <c r="AL212" s="186">
        <f t="shared" si="526"/>
        <v>4.0714230271668823</v>
      </c>
      <c r="AM212" s="186">
        <f t="shared" si="526"/>
        <v>4.2193687729757317</v>
      </c>
      <c r="AN212" s="186">
        <f t="shared" si="526"/>
        <v>4.2591550723535825</v>
      </c>
      <c r="AO212" s="147">
        <f t="shared" si="526"/>
        <v>4.2006161398241373</v>
      </c>
      <c r="AP212" s="186">
        <f t="shared" si="526"/>
        <v>4.3473577176723515</v>
      </c>
      <c r="AQ212" s="186">
        <f t="shared" ref="AQ212:BV212" si="527">AQ193/AQ181</f>
        <v>4.213233539163908</v>
      </c>
      <c r="AR212" s="186">
        <f t="shared" si="527"/>
        <v>4.1501496914523122</v>
      </c>
      <c r="AS212" s="186">
        <f t="shared" si="527"/>
        <v>4.2223987540897134</v>
      </c>
      <c r="AT212" s="147">
        <f t="shared" si="527"/>
        <v>4.2295600043611055</v>
      </c>
      <c r="AU212" s="186">
        <f t="shared" si="527"/>
        <v>4.2917077807994994</v>
      </c>
      <c r="AV212" s="186">
        <f t="shared" si="527"/>
        <v>4.1719328976621979</v>
      </c>
      <c r="AW212" s="186">
        <f t="shared" si="527"/>
        <v>4.1222989830383794</v>
      </c>
      <c r="AX212" s="186">
        <f t="shared" si="527"/>
        <v>4.2295289667480862</v>
      </c>
      <c r="AY212" s="147">
        <f t="shared" si="527"/>
        <v>4.2060269061021094</v>
      </c>
      <c r="AZ212" s="186">
        <f t="shared" si="527"/>
        <v>4.2393042395333396</v>
      </c>
      <c r="BA212" s="186">
        <f t="shared" si="527"/>
        <v>4.1988784759563682</v>
      </c>
      <c r="BB212" s="186">
        <f t="shared" si="527"/>
        <v>4.2114409590598942</v>
      </c>
      <c r="BC212" s="186">
        <f t="shared" si="527"/>
        <v>4.2883643405740184</v>
      </c>
      <c r="BD212" s="147">
        <f t="shared" si="527"/>
        <v>4.2343227381400297</v>
      </c>
      <c r="BE212" s="186">
        <f t="shared" si="527"/>
        <v>4.4282430887397028</v>
      </c>
      <c r="BF212" s="186">
        <f t="shared" si="527"/>
        <v>4.3763903476027179</v>
      </c>
      <c r="BG212" s="186">
        <f t="shared" si="527"/>
        <v>4.3320123806933708</v>
      </c>
      <c r="BH212" s="186">
        <f t="shared" si="527"/>
        <v>4.3823621318934052</v>
      </c>
      <c r="BI212" s="147">
        <f t="shared" si="527"/>
        <v>4.3825241839007214</v>
      </c>
      <c r="BJ212" s="186">
        <f t="shared" si="527"/>
        <v>4.3761053468887718</v>
      </c>
      <c r="BK212" s="186">
        <f t="shared" si="527"/>
        <v>4.3108942695233186</v>
      </c>
      <c r="BL212" s="186">
        <f t="shared" si="527"/>
        <v>4.3058003115568102</v>
      </c>
      <c r="BM212" s="186">
        <f t="shared" si="527"/>
        <v>4.3672576697762642</v>
      </c>
      <c r="BN212" s="147">
        <f t="shared" si="527"/>
        <v>4.3405251249104575</v>
      </c>
      <c r="BO212" s="186">
        <f t="shared" si="527"/>
        <v>4.5558788813705897</v>
      </c>
      <c r="BP212" s="186">
        <f t="shared" si="527"/>
        <v>4.3995046023057398</v>
      </c>
      <c r="BQ212" s="186">
        <f t="shared" si="527"/>
        <v>4.3151510641464501</v>
      </c>
      <c r="BR212" s="186">
        <f t="shared" si="527"/>
        <v>4.4310999387669598</v>
      </c>
      <c r="BS212" s="147">
        <f t="shared" si="527"/>
        <v>4.4272460847500321</v>
      </c>
      <c r="BT212" s="186">
        <f t="shared" si="527"/>
        <v>4.5594245204336952</v>
      </c>
      <c r="BU212" s="186">
        <f t="shared" si="527"/>
        <v>4.405697879858657</v>
      </c>
      <c r="BV212" s="186">
        <f t="shared" si="527"/>
        <v>4.3386705546506947</v>
      </c>
      <c r="BW212" s="186">
        <f t="shared" ref="BW212:CM212" si="528">BW193/BW181</f>
        <v>4.3726383258511605</v>
      </c>
      <c r="BX212" s="147">
        <f t="shared" si="528"/>
        <v>4.402597605698781</v>
      </c>
      <c r="BY212" s="186">
        <f t="shared" si="528"/>
        <v>4.5640886007016119</v>
      </c>
      <c r="BZ212" s="186">
        <f t="shared" si="528"/>
        <v>4.4218088948508925</v>
      </c>
      <c r="CA212" s="186">
        <f t="shared" si="528"/>
        <v>4.347698309379612</v>
      </c>
      <c r="CB212" s="186">
        <f t="shared" si="528"/>
        <v>4.3943416483024507</v>
      </c>
      <c r="CC212" s="147">
        <f t="shared" si="528"/>
        <v>4.432961011092182</v>
      </c>
      <c r="CD212" s="186">
        <f t="shared" si="528"/>
        <v>4.492515565530149</v>
      </c>
      <c r="CE212" s="186">
        <f t="shared" si="528"/>
        <v>4.4847460804530792</v>
      </c>
      <c r="CF212" s="186">
        <f t="shared" si="528"/>
        <v>4.4560077857909315</v>
      </c>
      <c r="CG212" s="186">
        <f t="shared" si="528"/>
        <v>4.4831989613633096</v>
      </c>
      <c r="CH212" s="147">
        <f t="shared" si="528"/>
        <v>4.3598451580480715</v>
      </c>
      <c r="CI212" s="186">
        <f t="shared" si="528"/>
        <v>4.590724335591454</v>
      </c>
      <c r="CJ212" s="186">
        <f t="shared" si="528"/>
        <v>4.4231588393011592</v>
      </c>
      <c r="CK212" s="186">
        <f t="shared" si="528"/>
        <v>4.3978136077224494</v>
      </c>
      <c r="CL212" s="186">
        <f t="shared" si="528"/>
        <v>4.4240475042567082</v>
      </c>
      <c r="CM212" s="147">
        <f t="shared" si="528"/>
        <v>4.0171804010492602</v>
      </c>
      <c r="CN212" s="186"/>
      <c r="CO212" s="186"/>
      <c r="CP212" s="186"/>
      <c r="CQ212" s="186"/>
      <c r="CR212" s="147"/>
      <c r="CS212" s="186"/>
      <c r="CT212" s="186"/>
      <c r="CU212" s="186"/>
      <c r="CV212" s="186"/>
      <c r="CW212" s="147"/>
      <c r="CX212" s="186"/>
      <c r="CY212" s="186"/>
      <c r="CZ212" s="186"/>
      <c r="DA212" s="186"/>
      <c r="DB212" s="147"/>
      <c r="DC212" s="186"/>
      <c r="DD212" s="186"/>
      <c r="DE212" s="186"/>
      <c r="DF212" s="186"/>
      <c r="DG212" s="186"/>
      <c r="DH212" s="186"/>
      <c r="DI212" s="186"/>
      <c r="DJ212" s="186"/>
    </row>
    <row r="213" spans="1:114" s="725" customFormat="1" ht="11.25" customHeight="1">
      <c r="A213" s="16"/>
      <c r="B213" s="16" t="s">
        <v>259</v>
      </c>
      <c r="C213" s="37"/>
      <c r="D213" s="106"/>
      <c r="E213" s="16"/>
      <c r="F213" s="18"/>
      <c r="G213" s="16"/>
      <c r="H213" s="16"/>
      <c r="I213" s="16"/>
      <c r="J213" s="16"/>
      <c r="K213" s="18"/>
      <c r="L213" s="90">
        <f t="shared" ref="L213:AQ213" si="529">L193/L121</f>
        <v>1879.4444444444443</v>
      </c>
      <c r="M213" s="90">
        <f t="shared" si="529"/>
        <v>1684.0109890109891</v>
      </c>
      <c r="N213" s="90">
        <f t="shared" si="529"/>
        <v>1723.1630434782608</v>
      </c>
      <c r="O213" s="90">
        <f t="shared" si="529"/>
        <v>1956.4782608695652</v>
      </c>
      <c r="P213" s="91">
        <f t="shared" si="529"/>
        <v>1810.7452054794521</v>
      </c>
      <c r="Q213" s="90">
        <f t="shared" si="529"/>
        <v>2360.0222222222224</v>
      </c>
      <c r="R213" s="90">
        <f t="shared" si="529"/>
        <v>2140.2637362637361</v>
      </c>
      <c r="S213" s="90">
        <f t="shared" si="529"/>
        <v>2223.7934782608695</v>
      </c>
      <c r="T213" s="90">
        <f t="shared" si="529"/>
        <v>2427.9565217391305</v>
      </c>
      <c r="U213" s="91">
        <f t="shared" si="529"/>
        <v>2288.019178082192</v>
      </c>
      <c r="V213" s="90">
        <f t="shared" si="529"/>
        <v>2776.197802197802</v>
      </c>
      <c r="W213" s="90">
        <f t="shared" si="529"/>
        <v>2581.3076923076924</v>
      </c>
      <c r="X213" s="90">
        <f t="shared" si="529"/>
        <v>2633.7608695652175</v>
      </c>
      <c r="Y213" s="90">
        <f t="shared" si="529"/>
        <v>2961.3695652173915</v>
      </c>
      <c r="Z213" s="91">
        <f t="shared" si="529"/>
        <v>2716.7049180327867</v>
      </c>
      <c r="AA213" s="90">
        <f t="shared" si="529"/>
        <v>3332.1888888888889</v>
      </c>
      <c r="AB213" s="90">
        <f t="shared" si="529"/>
        <v>2953.9780219780218</v>
      </c>
      <c r="AC213" s="90">
        <f t="shared" si="529"/>
        <v>2943.336956521739</v>
      </c>
      <c r="AD213" s="90">
        <f t="shared" si="529"/>
        <v>3047.445652173913</v>
      </c>
      <c r="AE213" s="91">
        <f t="shared" si="529"/>
        <v>3064.6958904109588</v>
      </c>
      <c r="AF213" s="90">
        <f t="shared" si="529"/>
        <v>3447.4</v>
      </c>
      <c r="AG213" s="90">
        <f t="shared" si="529"/>
        <v>3265.6923076923076</v>
      </c>
      <c r="AH213" s="90">
        <f t="shared" si="529"/>
        <v>3220.641304347826</v>
      </c>
      <c r="AI213" s="90">
        <f t="shared" si="529"/>
        <v>3366.1521739130435</v>
      </c>
      <c r="AJ213" s="91">
        <f t="shared" si="529"/>
        <v>3324.4630136986302</v>
      </c>
      <c r="AK213" s="90">
        <f t="shared" si="529"/>
        <v>3627.8111111111111</v>
      </c>
      <c r="AL213" s="90">
        <f t="shared" si="529"/>
        <v>3458.4725274725274</v>
      </c>
      <c r="AM213" s="90">
        <f t="shared" si="529"/>
        <v>6200.5</v>
      </c>
      <c r="AN213" s="90">
        <f t="shared" si="529"/>
        <v>7307.04347826087</v>
      </c>
      <c r="AO213" s="91">
        <f t="shared" si="529"/>
        <v>4998.3534246575346</v>
      </c>
      <c r="AP213" s="90">
        <f t="shared" si="529"/>
        <v>8222</v>
      </c>
      <c r="AQ213" s="90">
        <f t="shared" si="529"/>
        <v>7565.4395604395604</v>
      </c>
      <c r="AR213" s="90">
        <f t="shared" ref="AR213:BW213" si="530">AR193/AR121</f>
        <v>7383.20652173913</v>
      </c>
      <c r="AS213" s="90">
        <f t="shared" si="530"/>
        <v>7308.467391304348</v>
      </c>
      <c r="AT213" s="91">
        <f t="shared" si="530"/>
        <v>7525.5081967213118</v>
      </c>
      <c r="AU213" s="90">
        <f t="shared" si="530"/>
        <v>7925.5444444444447</v>
      </c>
      <c r="AV213" s="90">
        <f t="shared" si="530"/>
        <v>7485.3186813186812</v>
      </c>
      <c r="AW213" s="90">
        <f t="shared" si="530"/>
        <v>7309.597826086957</v>
      </c>
      <c r="AX213" s="90">
        <f t="shared" si="530"/>
        <v>7547.45652173913</v>
      </c>
      <c r="AY213" s="91">
        <f t="shared" si="530"/>
        <v>7584.8493150684935</v>
      </c>
      <c r="AZ213" s="90">
        <f t="shared" si="530"/>
        <v>8018.4555555555553</v>
      </c>
      <c r="BA213" s="90">
        <f t="shared" si="530"/>
        <v>7808.7142857142853</v>
      </c>
      <c r="BB213" s="90">
        <f t="shared" si="530"/>
        <v>7728.54347826087</v>
      </c>
      <c r="BC213" s="90">
        <f t="shared" si="530"/>
        <v>7774.478260869565</v>
      </c>
      <c r="BD213" s="91">
        <f t="shared" si="530"/>
        <v>7831.5945205479456</v>
      </c>
      <c r="BE213" s="90">
        <f t="shared" si="530"/>
        <v>8391.7666666666664</v>
      </c>
      <c r="BF213" s="90">
        <f t="shared" si="530"/>
        <v>7601.1648351648355</v>
      </c>
      <c r="BG213" s="90">
        <f t="shared" si="530"/>
        <v>7271.847826086957</v>
      </c>
      <c r="BH213" s="90">
        <f t="shared" si="530"/>
        <v>7621.880434782609</v>
      </c>
      <c r="BI213" s="91">
        <f t="shared" si="530"/>
        <v>7688.0520547945207</v>
      </c>
      <c r="BJ213" s="90">
        <f t="shared" si="530"/>
        <v>8282.4285714285706</v>
      </c>
      <c r="BK213" s="90">
        <f t="shared" si="530"/>
        <v>7816.2197802197807</v>
      </c>
      <c r="BL213" s="90">
        <f t="shared" si="530"/>
        <v>7691.282608695652</v>
      </c>
      <c r="BM213" s="90">
        <f t="shared" si="530"/>
        <v>7933.076086956522</v>
      </c>
      <c r="BN213" s="91">
        <f t="shared" si="530"/>
        <v>7930.1038251366117</v>
      </c>
      <c r="BO213" s="90">
        <f t="shared" si="530"/>
        <v>8663.1555555555551</v>
      </c>
      <c r="BP213" s="90">
        <f t="shared" si="530"/>
        <v>7904.8461538461543</v>
      </c>
      <c r="BQ213" s="90">
        <f t="shared" si="530"/>
        <v>7563.521739130435</v>
      </c>
      <c r="BR213" s="90">
        <f t="shared" si="530"/>
        <v>7472.423913043478</v>
      </c>
      <c r="BS213" s="91">
        <f t="shared" si="530"/>
        <v>7896.8</v>
      </c>
      <c r="BT213" s="90">
        <f t="shared" si="530"/>
        <v>10447.566666666668</v>
      </c>
      <c r="BU213" s="90">
        <f t="shared" si="530"/>
        <v>11180.208791208792</v>
      </c>
      <c r="BV213" s="90">
        <f t="shared" si="530"/>
        <v>10771.032608695652</v>
      </c>
      <c r="BW213" s="90">
        <f t="shared" si="530"/>
        <v>10915.29347826087</v>
      </c>
      <c r="BX213" s="91">
        <f t="shared" ref="BX213:CM213" si="531">BX193/BX121</f>
        <v>10797.931506849314</v>
      </c>
      <c r="BY213" s="90">
        <f t="shared" si="531"/>
        <v>12012.833333333334</v>
      </c>
      <c r="BZ213" s="90">
        <f t="shared" si="531"/>
        <v>11301.560439560439</v>
      </c>
      <c r="CA213" s="90">
        <f t="shared" si="531"/>
        <v>10854.076086956522</v>
      </c>
      <c r="CB213" s="90">
        <f t="shared" si="531"/>
        <v>10989.054347826086</v>
      </c>
      <c r="CC213" s="91">
        <f t="shared" si="531"/>
        <v>11285.383561643835</v>
      </c>
      <c r="CD213" s="90">
        <f t="shared" si="531"/>
        <v>11790.582417582418</v>
      </c>
      <c r="CE213" s="90">
        <f t="shared" si="531"/>
        <v>9989.7472527472528</v>
      </c>
      <c r="CF213" s="90">
        <f t="shared" si="531"/>
        <v>9704.652173913044</v>
      </c>
      <c r="CG213" s="90">
        <f t="shared" si="531"/>
        <v>9833.9456521739139</v>
      </c>
      <c r="CH213" s="91">
        <f t="shared" si="531"/>
        <v>10050.265027322404</v>
      </c>
      <c r="CI213" s="90">
        <f t="shared" si="531"/>
        <v>10767.288888888888</v>
      </c>
      <c r="CJ213" s="90">
        <f t="shared" si="531"/>
        <v>8991.7472527472528</v>
      </c>
      <c r="CK213" s="90">
        <f t="shared" si="531"/>
        <v>8185.717391304348</v>
      </c>
      <c r="CL213" s="90">
        <f t="shared" si="531"/>
        <v>7879.565217391304</v>
      </c>
      <c r="CM213" s="91">
        <f t="shared" si="531"/>
        <v>8047.3698630136987</v>
      </c>
      <c r="CN213" s="90"/>
      <c r="CO213" s="90"/>
      <c r="CP213" s="90"/>
      <c r="CQ213" s="90"/>
      <c r="CR213" s="91"/>
      <c r="CS213" s="90"/>
      <c r="CT213" s="90"/>
      <c r="CU213" s="90"/>
      <c r="CV213" s="90"/>
      <c r="CW213" s="91"/>
      <c r="CX213" s="90"/>
      <c r="CY213" s="90"/>
      <c r="CZ213" s="90"/>
      <c r="DA213" s="90"/>
      <c r="DB213" s="91"/>
      <c r="DC213" s="16"/>
      <c r="DD213" s="16"/>
      <c r="DE213" s="16"/>
      <c r="DF213" s="16"/>
      <c r="DG213" s="16"/>
      <c r="DH213" s="16"/>
      <c r="DI213" s="16"/>
      <c r="DJ213" s="16"/>
    </row>
    <row r="214" spans="1:114" s="725" customFormat="1" ht="11.25" customHeight="1">
      <c r="A214" s="60"/>
      <c r="B214" s="16" t="s">
        <v>378</v>
      </c>
      <c r="C214" s="444"/>
      <c r="D214" s="419"/>
      <c r="E214" s="60"/>
      <c r="F214" s="143"/>
      <c r="G214" s="23">
        <f>G261</f>
        <v>0.502</v>
      </c>
      <c r="H214" s="23">
        <f>H261</f>
        <v>0.44800000000000001</v>
      </c>
      <c r="I214" s="23">
        <f>I261</f>
        <v>0.439</v>
      </c>
      <c r="J214" s="23">
        <f>J261</f>
        <v>0.45100000000000001</v>
      </c>
      <c r="K214" s="143"/>
      <c r="L214" s="23">
        <f>L261</f>
        <v>0.52100000000000002</v>
      </c>
      <c r="M214" s="23">
        <f>M261</f>
        <v>0.46</v>
      </c>
      <c r="N214" s="23">
        <f>N261</f>
        <v>0.44900000000000001</v>
      </c>
      <c r="O214" s="23">
        <f>O261</f>
        <v>0.45700000000000002</v>
      </c>
      <c r="P214" s="143"/>
      <c r="Q214" s="23">
        <f>Q261</f>
        <v>0.51800000000000002</v>
      </c>
      <c r="R214" s="23">
        <f>R261</f>
        <v>0.46300000000000002</v>
      </c>
      <c r="S214" s="23">
        <f>S261</f>
        <v>0.46700000000000003</v>
      </c>
      <c r="T214" s="23">
        <f>T261</f>
        <v>0.496</v>
      </c>
      <c r="U214" s="144"/>
      <c r="V214" s="23">
        <f>V261</f>
        <v>0.51600000000000001</v>
      </c>
      <c r="W214" s="23">
        <f>W261</f>
        <v>0.47699999999999998</v>
      </c>
      <c r="X214" s="23">
        <f>X261</f>
        <v>0.46</v>
      </c>
      <c r="Y214" s="23">
        <f>Y261</f>
        <v>0.49</v>
      </c>
      <c r="Z214" s="144"/>
      <c r="AA214" s="23">
        <f>AA261</f>
        <v>0.57499999999999996</v>
      </c>
      <c r="AB214" s="23">
        <f>AB261</f>
        <v>0.52</v>
      </c>
      <c r="AC214" s="23">
        <f>AC261</f>
        <v>0.496</v>
      </c>
      <c r="AD214" s="23">
        <f>AD261</f>
        <v>0.50900000000000001</v>
      </c>
      <c r="AE214" s="142"/>
      <c r="AF214" s="23">
        <f>AF261</f>
        <v>0.56899999999999995</v>
      </c>
      <c r="AG214" s="23">
        <f>AG261</f>
        <v>0.52800000000000002</v>
      </c>
      <c r="AH214" s="23">
        <f>AH261</f>
        <v>0.51700000000000002</v>
      </c>
      <c r="AI214" s="23">
        <f>AI261</f>
        <v>0.51900000000000002</v>
      </c>
      <c r="AJ214" s="142"/>
      <c r="AK214" s="23">
        <f>AK261</f>
        <v>0.56000000000000005</v>
      </c>
      <c r="AL214" s="23">
        <f>AL261</f>
        <v>0.51600000000000001</v>
      </c>
      <c r="AM214" s="23">
        <f>AM261</f>
        <v>0.498</v>
      </c>
      <c r="AN214" s="23">
        <f>AN261</f>
        <v>0.51900000000000002</v>
      </c>
      <c r="AO214" s="142"/>
      <c r="AP214" s="23">
        <f>AP261</f>
        <v>0.57899999999999996</v>
      </c>
      <c r="AQ214" s="23">
        <f>AQ261</f>
        <v>0.51900000000000002</v>
      </c>
      <c r="AR214" s="23">
        <f>AR261</f>
        <v>0.502</v>
      </c>
      <c r="AS214" s="23">
        <f>AS261</f>
        <v>0.504</v>
      </c>
      <c r="AT214" s="142"/>
      <c r="AU214" s="23">
        <f>AU261</f>
        <v>0.53800000000000003</v>
      </c>
      <c r="AV214" s="23">
        <f>AV261</f>
        <v>0.50900000000000001</v>
      </c>
      <c r="AW214" s="23">
        <f>AW261</f>
        <v>0.497</v>
      </c>
      <c r="AX214" s="23">
        <f>AX261</f>
        <v>0.496</v>
      </c>
      <c r="AY214" s="142"/>
      <c r="AZ214" s="23">
        <f>AZ261</f>
        <v>0.52500000000000002</v>
      </c>
      <c r="BA214" s="23">
        <f>BA261</f>
        <v>0.49399999999999999</v>
      </c>
      <c r="BB214" s="23">
        <f>BB261</f>
        <v>0.48399999999999999</v>
      </c>
      <c r="BC214" s="23">
        <f>BC261</f>
        <v>0.48899999999999999</v>
      </c>
      <c r="BD214" s="142"/>
      <c r="BE214" s="23">
        <f>BE261</f>
        <v>0.53</v>
      </c>
      <c r="BF214" s="23">
        <f>BF261</f>
        <v>0.49</v>
      </c>
      <c r="BG214" s="23">
        <f>BG261</f>
        <v>0.46800000000000003</v>
      </c>
      <c r="BH214" s="23">
        <f>BH261</f>
        <v>0.47099999999999997</v>
      </c>
      <c r="BI214" s="142"/>
      <c r="BJ214" s="23">
        <f>BJ261</f>
        <v>0.51200000000000001</v>
      </c>
      <c r="BK214" s="23">
        <f>BK261</f>
        <v>0.47799999999999998</v>
      </c>
      <c r="BL214" s="23">
        <f>BL261</f>
        <v>0.46700000000000003</v>
      </c>
      <c r="BM214" s="23">
        <f>BM261</f>
        <v>0.47399999999999998</v>
      </c>
      <c r="BN214" s="142"/>
      <c r="BO214" s="23">
        <f>BO261</f>
        <v>0.51100000000000001</v>
      </c>
      <c r="BP214" s="23">
        <f>BP261</f>
        <v>0.46</v>
      </c>
      <c r="BQ214" s="23">
        <f>BQ261</f>
        <v>0.436</v>
      </c>
      <c r="BR214" s="23">
        <f>BR261</f>
        <v>0.43099999999999999</v>
      </c>
      <c r="BS214" s="142"/>
      <c r="BT214" s="23">
        <f>BT261</f>
        <v>0.46899999999999997</v>
      </c>
      <c r="BU214" s="23">
        <f>BU261</f>
        <v>0.42599999999999999</v>
      </c>
      <c r="BV214" s="23">
        <f>BV261</f>
        <v>0.41399999999999998</v>
      </c>
      <c r="BW214" s="23">
        <f>BW261</f>
        <v>0.41799999999999998</v>
      </c>
      <c r="BX214" s="142"/>
      <c r="BY214" s="23">
        <f>BY261</f>
        <v>0.46500000000000002</v>
      </c>
      <c r="BZ214" s="23">
        <f>BZ261</f>
        <v>0.43</v>
      </c>
      <c r="CA214" s="23">
        <f>CA261</f>
        <v>0.41599999999999998</v>
      </c>
      <c r="CB214" s="23">
        <f>CB261</f>
        <v>0.41799999999999998</v>
      </c>
      <c r="CC214" s="142"/>
      <c r="CD214" s="23">
        <f>CD261</f>
        <v>0.45200000000000001</v>
      </c>
      <c r="CE214" s="23">
        <f>CE261</f>
        <v>0.42799999999999999</v>
      </c>
      <c r="CF214" s="23">
        <f>CF261</f>
        <v>0.42</v>
      </c>
      <c r="CG214" s="23">
        <f>CG261</f>
        <v>0.42699999999999999</v>
      </c>
      <c r="CH214" s="142"/>
      <c r="CI214" s="23">
        <f>CI261</f>
        <v>0.46500000000000002</v>
      </c>
      <c r="CJ214" s="23">
        <f>CJ261</f>
        <v>0.41799999999999998</v>
      </c>
      <c r="CK214" s="23">
        <f>CK261</f>
        <v>0.41799999999999998</v>
      </c>
      <c r="CL214" s="23">
        <f>CL261</f>
        <v>0.42699999999999999</v>
      </c>
      <c r="CM214" s="142"/>
      <c r="CN214" s="60"/>
      <c r="CO214" s="60"/>
      <c r="CP214" s="60"/>
      <c r="CQ214" s="60"/>
      <c r="CR214" s="143"/>
      <c r="CS214" s="60"/>
      <c r="CT214" s="60"/>
      <c r="CU214" s="60"/>
      <c r="CV214" s="60"/>
      <c r="CW214" s="143"/>
      <c r="CX214" s="60"/>
      <c r="CY214" s="60"/>
      <c r="CZ214" s="60"/>
      <c r="DA214" s="60"/>
      <c r="DB214" s="143"/>
      <c r="DC214" s="60"/>
      <c r="DD214" s="60"/>
      <c r="DE214" s="60"/>
      <c r="DF214" s="60"/>
      <c r="DG214" s="60"/>
      <c r="DH214" s="60"/>
      <c r="DI214" s="60"/>
      <c r="DJ214" s="60"/>
    </row>
    <row r="215" spans="1:114" s="725" customFormat="1" ht="11.25" customHeight="1">
      <c r="A215" s="60"/>
      <c r="B215" s="32" t="s">
        <v>45</v>
      </c>
      <c r="C215" s="1266"/>
      <c r="D215" s="1267"/>
      <c r="E215" s="1266"/>
      <c r="F215" s="1268"/>
      <c r="G215" s="350">
        <f>G256</f>
        <v>3199</v>
      </c>
      <c r="H215" s="350">
        <f>H256</f>
        <v>3341</v>
      </c>
      <c r="I215" s="350">
        <f>I256</f>
        <v>3421</v>
      </c>
      <c r="J215" s="350">
        <f>J256</f>
        <v>3560</v>
      </c>
      <c r="K215" s="1268"/>
      <c r="L215" s="350">
        <f>L256</f>
        <v>3620</v>
      </c>
      <c r="M215" s="350">
        <f>M256</f>
        <v>3761</v>
      </c>
      <c r="N215" s="350">
        <f>N256</f>
        <v>3934</v>
      </c>
      <c r="O215" s="350">
        <f>O256</f>
        <v>4301</v>
      </c>
      <c r="P215" s="1268"/>
      <c r="Q215" s="350">
        <f>Q256</f>
        <v>4634</v>
      </c>
      <c r="R215" s="350">
        <f>R256</f>
        <v>4618</v>
      </c>
      <c r="S215" s="350">
        <f>S256</f>
        <v>4791</v>
      </c>
      <c r="T215" s="350">
        <f>T256</f>
        <v>4932</v>
      </c>
      <c r="U215" s="1269"/>
      <c r="V215" s="350">
        <f>V256</f>
        <v>5384</v>
      </c>
      <c r="W215" s="350">
        <f>W256</f>
        <v>5417</v>
      </c>
      <c r="X215" s="350">
        <f>X256</f>
        <v>5822</v>
      </c>
      <c r="Y215" s="350">
        <f>Y256</f>
        <v>6040</v>
      </c>
      <c r="Z215" s="1269"/>
      <c r="AA215" s="350">
        <f>AA256</f>
        <v>5800</v>
      </c>
      <c r="AB215" s="350">
        <f>AB256</f>
        <v>5689</v>
      </c>
      <c r="AC215" s="350">
        <f>AC256</f>
        <v>5991</v>
      </c>
      <c r="AD215" s="350">
        <f>AD256</f>
        <v>5991</v>
      </c>
      <c r="AE215" s="351">
        <f>AVERAGE(AA215:AD215)</f>
        <v>5867.75</v>
      </c>
      <c r="AF215" s="350">
        <f>AF256</f>
        <v>6183</v>
      </c>
      <c r="AG215" s="350">
        <f>AG256</f>
        <v>6186</v>
      </c>
      <c r="AH215" s="350">
        <f>AH256</f>
        <v>6225</v>
      </c>
      <c r="AI215" s="350">
        <f>AI256</f>
        <v>6524</v>
      </c>
      <c r="AJ215" s="351">
        <f>AVERAGE(AF215:AI215)</f>
        <v>6279.5</v>
      </c>
      <c r="AK215" s="350">
        <f>AK256</f>
        <v>6521</v>
      </c>
      <c r="AL215" s="350">
        <f>AL256</f>
        <v>6863</v>
      </c>
      <c r="AM215" s="350">
        <f>AM256</f>
        <v>15045</v>
      </c>
      <c r="AN215" s="350">
        <f>AN256</f>
        <v>14159</v>
      </c>
      <c r="AO215" s="351">
        <f>AVERAGE(AK215:AN215)</f>
        <v>10647</v>
      </c>
      <c r="AP215" s="350">
        <f>AP256</f>
        <v>14177</v>
      </c>
      <c r="AQ215" s="350">
        <f>AQ256</f>
        <v>14707</v>
      </c>
      <c r="AR215" s="350">
        <f>AR256</f>
        <v>14652</v>
      </c>
      <c r="AS215" s="350">
        <f>AS256</f>
        <v>14552</v>
      </c>
      <c r="AT215" s="351">
        <f>AVERAGE(AP215:AS215)</f>
        <v>14522</v>
      </c>
      <c r="AU215" s="350">
        <f>AU256</f>
        <v>14571</v>
      </c>
      <c r="AV215" s="350">
        <f>AV256</f>
        <v>14733</v>
      </c>
      <c r="AW215" s="350">
        <f>AW256</f>
        <v>14688</v>
      </c>
      <c r="AX215" s="350">
        <f>AX256</f>
        <v>15200</v>
      </c>
      <c r="AY215" s="351">
        <f>AVERAGE(AU215:AX215)</f>
        <v>14798</v>
      </c>
      <c r="AZ215" s="350">
        <f>AZ256</f>
        <v>15299</v>
      </c>
      <c r="BA215" s="350">
        <f>BA256</f>
        <v>15972</v>
      </c>
      <c r="BB215" s="350">
        <f>BB256</f>
        <v>15981</v>
      </c>
      <c r="BC215" s="350">
        <f>BC256</f>
        <v>15914</v>
      </c>
      <c r="BD215" s="351">
        <f>AVERAGE(AZ215:BC215)</f>
        <v>15791.5</v>
      </c>
      <c r="BE215" s="350">
        <f>BE256</f>
        <v>15837</v>
      </c>
      <c r="BF215" s="350">
        <f>BF256</f>
        <v>15510</v>
      </c>
      <c r="BG215" s="350">
        <f>BG256</f>
        <v>15523</v>
      </c>
      <c r="BH215" s="350">
        <f>BH256</f>
        <v>16207</v>
      </c>
      <c r="BI215" s="351">
        <f>AVERAGE(BE215:BH215)</f>
        <v>15769.25</v>
      </c>
      <c r="BJ215" s="350">
        <f>BJ256</f>
        <v>16152</v>
      </c>
      <c r="BK215" s="350">
        <f>BK256</f>
        <v>16470</v>
      </c>
      <c r="BL215" s="350">
        <f>BL256</f>
        <v>16464</v>
      </c>
      <c r="BM215" s="350">
        <f>BM256</f>
        <v>16745</v>
      </c>
      <c r="BN215" s="351">
        <f>AVERAGE(BJ215:BM215)</f>
        <v>16457.75</v>
      </c>
      <c r="BO215" s="350">
        <f>BO256</f>
        <v>17069</v>
      </c>
      <c r="BP215" s="350">
        <f>BP256</f>
        <v>17199</v>
      </c>
      <c r="BQ215" s="350">
        <f>BQ256</f>
        <v>17370</v>
      </c>
      <c r="BR215" s="350">
        <f>BR256</f>
        <v>17320</v>
      </c>
      <c r="BS215" s="351">
        <f>AVERAGE(BO215:BR215)</f>
        <v>17239.5</v>
      </c>
      <c r="BT215" s="350">
        <f>BT256</f>
        <v>25419</v>
      </c>
      <c r="BU215" s="350">
        <f>BU256</f>
        <v>26147</v>
      </c>
      <c r="BV215" s="350">
        <f>BV256</f>
        <v>26238</v>
      </c>
      <c r="BW215" s="350">
        <f>BW256</f>
        <v>26242</v>
      </c>
      <c r="BX215" s="351">
        <f>AVERAGE(BT215:BW215)</f>
        <v>26011.5</v>
      </c>
      <c r="BY215" s="350">
        <f>BY256</f>
        <v>25718</v>
      </c>
      <c r="BZ215" s="350">
        <f>BZ256</f>
        <v>26081</v>
      </c>
      <c r="CA215" s="350">
        <f>CA256</f>
        <v>26105</v>
      </c>
      <c r="CB215" s="350">
        <f>CB256</f>
        <v>26312</v>
      </c>
      <c r="CC215" s="351">
        <f>AVERAGE(BY215:CB215)</f>
        <v>26054</v>
      </c>
      <c r="CD215" s="350">
        <f>CD256</f>
        <v>26097</v>
      </c>
      <c r="CE215" s="350">
        <f>CE256</f>
        <v>23206</v>
      </c>
      <c r="CF215" s="350">
        <f>CF256</f>
        <v>23066</v>
      </c>
      <c r="CG215" s="350">
        <f>CG256</f>
        <v>23064</v>
      </c>
      <c r="CH215" s="351">
        <f>AVERAGE(CD215:CG215)</f>
        <v>23858.25</v>
      </c>
      <c r="CI215" s="350">
        <f>CI256</f>
        <v>23316</v>
      </c>
      <c r="CJ215" s="350">
        <f>CJ256</f>
        <v>21549</v>
      </c>
      <c r="CK215" s="350">
        <f>CK256</f>
        <v>19616</v>
      </c>
      <c r="CL215" s="350">
        <f>CL256</f>
        <v>18457</v>
      </c>
      <c r="CM215" s="351">
        <f>AVERAGE(CI215:CL215)</f>
        <v>20734.5</v>
      </c>
      <c r="CN215" s="1266"/>
      <c r="CO215" s="1266"/>
      <c r="CP215" s="1266"/>
      <c r="CQ215" s="1266"/>
      <c r="CR215" s="1268"/>
      <c r="CS215" s="1266"/>
      <c r="CT215" s="1266"/>
      <c r="CU215" s="1266"/>
      <c r="CV215" s="1266"/>
      <c r="CW215" s="1268"/>
      <c r="CX215" s="1266"/>
      <c r="CY215" s="1266"/>
      <c r="CZ215" s="1266"/>
      <c r="DA215" s="1266"/>
      <c r="DB215" s="1268"/>
      <c r="DC215" s="60"/>
      <c r="DD215" s="60"/>
      <c r="DE215" s="60"/>
      <c r="DF215" s="60"/>
      <c r="DG215" s="60"/>
      <c r="DH215" s="60"/>
      <c r="DI215" s="60"/>
      <c r="DJ215" s="60"/>
    </row>
    <row r="216" spans="1:114" s="725" customFormat="1" ht="11.25" customHeight="1">
      <c r="A216" s="16"/>
      <c r="B216" s="37"/>
      <c r="C216" s="37"/>
      <c r="D216" s="37"/>
      <c r="E216" s="37"/>
      <c r="F216" s="37"/>
      <c r="G216" s="37"/>
      <c r="H216" s="37"/>
      <c r="I216" s="37"/>
      <c r="J216" s="37"/>
      <c r="K216" s="37"/>
      <c r="L216" s="37"/>
      <c r="M216" s="37"/>
      <c r="N216" s="37"/>
      <c r="O216" s="37"/>
      <c r="P216" s="37"/>
      <c r="Q216" s="257"/>
      <c r="R216" s="257"/>
      <c r="S216" s="257"/>
      <c r="T216" s="257"/>
      <c r="U216" s="257"/>
      <c r="V216" s="37"/>
      <c r="W216" s="37"/>
      <c r="X216" s="37"/>
      <c r="Y216" s="37"/>
      <c r="Z216" s="37"/>
      <c r="AA216" s="37"/>
      <c r="AB216" s="37"/>
      <c r="AC216" s="37"/>
      <c r="AD216" s="37"/>
      <c r="AE216" s="37"/>
      <c r="AF216" s="37"/>
      <c r="AG216" s="37"/>
      <c r="AH216" s="37"/>
      <c r="AI216" s="37"/>
      <c r="AJ216" s="37"/>
      <c r="AK216" s="37"/>
      <c r="AL216" s="37"/>
      <c r="AM216" s="37"/>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c r="BT216" s="37"/>
      <c r="BU216" s="37"/>
      <c r="BV216" s="37"/>
      <c r="BW216" s="37"/>
      <c r="BX216" s="37"/>
      <c r="BY216" s="37"/>
      <c r="BZ216" s="37"/>
      <c r="CA216" s="37"/>
      <c r="CB216" s="37"/>
      <c r="CC216" s="37"/>
      <c r="CD216" s="37"/>
      <c r="CE216" s="37"/>
      <c r="CF216" s="37"/>
      <c r="CG216" s="37"/>
      <c r="CH216" s="37"/>
      <c r="CI216" s="37"/>
      <c r="CJ216" s="37"/>
      <c r="CK216" s="37"/>
      <c r="CL216" s="37"/>
      <c r="CM216" s="1372"/>
      <c r="CN216" s="37"/>
      <c r="CO216" s="37"/>
      <c r="CP216" s="37"/>
      <c r="CQ216" s="37"/>
      <c r="CR216" s="1372"/>
      <c r="CS216" s="37"/>
      <c r="CT216" s="37"/>
      <c r="CU216" s="37"/>
      <c r="CV216" s="37"/>
      <c r="CW216" s="1372"/>
      <c r="CX216" s="37"/>
      <c r="CY216" s="37"/>
      <c r="CZ216" s="37"/>
      <c r="DA216" s="37"/>
      <c r="DB216" s="1372"/>
      <c r="DC216" s="37"/>
      <c r="DD216" s="37"/>
      <c r="DE216" s="37"/>
      <c r="DF216" s="16"/>
      <c r="DG216" s="16"/>
      <c r="DH216" s="16"/>
      <c r="DI216" s="16"/>
      <c r="DJ216" s="16"/>
    </row>
    <row r="217" spans="1:114" s="725" customFormat="1" ht="11.25" hidden="1" customHeight="1" outlineLevel="1">
      <c r="A217" s="16"/>
      <c r="B217" s="21" t="s">
        <v>419</v>
      </c>
      <c r="C217" s="53"/>
      <c r="D217" s="417"/>
      <c r="E217" s="145"/>
      <c r="F217" s="146"/>
      <c r="G217" s="262"/>
      <c r="H217" s="262"/>
      <c r="I217" s="262"/>
      <c r="J217" s="262"/>
      <c r="K217" s="329"/>
      <c r="L217" s="262"/>
      <c r="M217" s="262"/>
      <c r="N217" s="262"/>
      <c r="O217" s="262"/>
      <c r="P217" s="329"/>
      <c r="Q217" s="262"/>
      <c r="R217" s="262"/>
      <c r="S217" s="262"/>
      <c r="T217" s="117"/>
      <c r="U217" s="64"/>
      <c r="V217" s="117"/>
      <c r="W217" s="117"/>
      <c r="X217" s="117"/>
      <c r="Y217" s="117"/>
      <c r="Z217" s="64"/>
      <c r="AA217" s="117"/>
      <c r="AB217" s="117"/>
      <c r="AC217" s="117"/>
      <c r="AD217" s="117"/>
      <c r="AE217" s="64"/>
      <c r="AF217" s="117"/>
      <c r="AG217" s="117"/>
      <c r="AH217" s="117"/>
      <c r="AI217" s="117"/>
      <c r="AJ217" s="64"/>
      <c r="AK217" s="117"/>
      <c r="AL217" s="117"/>
      <c r="AM217" s="117"/>
      <c r="AN217" s="117"/>
      <c r="AO217" s="64"/>
      <c r="AP217" s="117"/>
      <c r="AQ217" s="117"/>
      <c r="AR217" s="117"/>
      <c r="AS217" s="117"/>
      <c r="AT217" s="64"/>
      <c r="AU217" s="117"/>
      <c r="AV217" s="117"/>
      <c r="AW217" s="117"/>
      <c r="AX217" s="117"/>
      <c r="AY217" s="64"/>
      <c r="AZ217" s="117"/>
      <c r="BA217" s="117"/>
      <c r="BB217" s="117"/>
      <c r="BC217" s="117"/>
      <c r="BD217" s="64"/>
      <c r="BE217" s="117"/>
      <c r="BF217" s="117"/>
      <c r="BG217" s="117"/>
      <c r="BH217" s="83"/>
      <c r="BI217" s="64"/>
      <c r="BJ217" s="117"/>
      <c r="BK217" s="117"/>
      <c r="BL217" s="117"/>
      <c r="BM217" s="16"/>
      <c r="BN217" s="18"/>
      <c r="BO217" s="16"/>
      <c r="BP217" s="16"/>
      <c r="BQ217" s="16"/>
      <c r="BR217" s="16"/>
      <c r="BS217" s="18"/>
      <c r="BT217" s="16"/>
      <c r="BU217" s="16"/>
      <c r="BV217" s="16"/>
      <c r="BW217" s="16"/>
      <c r="BX217" s="18"/>
      <c r="BY217" s="16"/>
      <c r="BZ217" s="588"/>
      <c r="CA217" s="108"/>
      <c r="CB217" s="16"/>
      <c r="CC217" s="18"/>
      <c r="CD217" s="16"/>
      <c r="CE217" s="16"/>
      <c r="CF217" s="16"/>
      <c r="CG217" s="16"/>
      <c r="CH217" s="18"/>
      <c r="CI217" s="16"/>
      <c r="CJ217" s="16"/>
      <c r="CK217" s="16"/>
      <c r="CL217" s="16"/>
      <c r="CM217" s="18"/>
      <c r="CN217" s="16"/>
      <c r="CO217" s="16"/>
      <c r="CP217" s="16"/>
      <c r="CQ217" s="16"/>
      <c r="CR217" s="18"/>
      <c r="CS217" s="16"/>
      <c r="CT217" s="16"/>
      <c r="CU217" s="16"/>
      <c r="CV217" s="16"/>
      <c r="CW217" s="18"/>
      <c r="CX217" s="16"/>
      <c r="CY217" s="16"/>
      <c r="CZ217" s="16"/>
      <c r="DA217" s="16"/>
      <c r="DB217" s="18"/>
      <c r="DC217" s="16"/>
      <c r="DD217" s="16"/>
      <c r="DE217" s="16"/>
      <c r="DF217" s="16"/>
      <c r="DG217" s="16"/>
      <c r="DH217" s="16"/>
      <c r="DI217" s="16"/>
      <c r="DJ217" s="16"/>
    </row>
    <row r="218" spans="1:114" s="725" customFormat="1" ht="11.25" hidden="1" customHeight="1" outlineLevel="1">
      <c r="A218" s="16"/>
      <c r="B218" s="16" t="s">
        <v>58</v>
      </c>
      <c r="C218" s="447"/>
      <c r="D218" s="420">
        <f>854850*0.39</f>
        <v>333391.5</v>
      </c>
      <c r="E218" s="362">
        <f>1079953*0.362</f>
        <v>390942.98599999998</v>
      </c>
      <c r="F218" s="363">
        <f>1337501*0.342</f>
        <v>457425.34200000006</v>
      </c>
      <c r="G218" s="364" t="s">
        <v>309</v>
      </c>
      <c r="H218" s="364" t="s">
        <v>309</v>
      </c>
      <c r="I218" s="364" t="s">
        <v>309</v>
      </c>
      <c r="J218" s="364" t="s">
        <v>309</v>
      </c>
      <c r="K218" s="363">
        <f>1693625*0.335</f>
        <v>567364.375</v>
      </c>
      <c r="L218" s="364" t="s">
        <v>309</v>
      </c>
      <c r="M218" s="364" t="s">
        <v>309</v>
      </c>
      <c r="N218" s="364" t="s">
        <v>309</v>
      </c>
      <c r="O218" s="364" t="s">
        <v>309</v>
      </c>
      <c r="P218" s="363">
        <f>2200417*0.33</f>
        <v>726137.61</v>
      </c>
      <c r="Q218" s="364" t="s">
        <v>309</v>
      </c>
      <c r="R218" s="364" t="s">
        <v>309</v>
      </c>
      <c r="S218" s="364" t="s">
        <v>309</v>
      </c>
      <c r="T218" s="364" t="s">
        <v>309</v>
      </c>
      <c r="U218" s="363">
        <f>2834624*0.33</f>
        <v>935425.92</v>
      </c>
      <c r="V218" s="84">
        <f>822376*0.333</f>
        <v>273851.20800000004</v>
      </c>
      <c r="W218" s="84">
        <f>813669*0.315</f>
        <v>256305.73500000002</v>
      </c>
      <c r="X218" s="84">
        <f>844034*0.311</f>
        <v>262494.57400000002</v>
      </c>
      <c r="Y218" s="83">
        <f>Z218-SUM(V218:X218)</f>
        <v>270460.96199999994</v>
      </c>
      <c r="Z218" s="363">
        <f>3332641*0.319</f>
        <v>1063112.4790000001</v>
      </c>
      <c r="AA218" s="84">
        <f>914108*0.336</f>
        <v>307140.288</v>
      </c>
      <c r="AB218" s="84">
        <f>918718*0.316</f>
        <v>290314.88799999998</v>
      </c>
      <c r="AC218" s="84">
        <f>929269*0.31</f>
        <v>288073.39</v>
      </c>
      <c r="AD218" s="83">
        <f>AE218-SUM(AA218:AC218)</f>
        <v>310733.83400000015</v>
      </c>
      <c r="AE218" s="363">
        <f>3738320*0.32</f>
        <v>1196262.4000000001</v>
      </c>
      <c r="AF218" s="84">
        <f>1026562*0.321</f>
        <v>329526.402</v>
      </c>
      <c r="AG218" s="84">
        <f>1061054*0.308</f>
        <v>326804.63199999998</v>
      </c>
      <c r="AH218" s="84">
        <f>1123483*0.297</f>
        <v>333674.451</v>
      </c>
      <c r="AI218" s="83">
        <f>AJ218-SUM(AF218:AH218)</f>
        <v>350226.34699999995</v>
      </c>
      <c r="AJ218" s="363">
        <f>4365576*0.307</f>
        <v>1340231.8319999999</v>
      </c>
      <c r="AK218" s="84">
        <f>1203997*0.312</f>
        <v>375647.06400000001</v>
      </c>
      <c r="AL218" s="84">
        <f>1249128*0.295</f>
        <v>368492.76</v>
      </c>
      <c r="AM218" s="84">
        <f>2352087*0.28</f>
        <v>658584.3600000001</v>
      </c>
      <c r="AN218" s="83">
        <f>AO218-SUM(AK218:AM218)</f>
        <v>664249.07599999965</v>
      </c>
      <c r="AO218" s="363">
        <f>7127494*0.29</f>
        <v>2066973.2599999998</v>
      </c>
      <c r="AP218" s="84">
        <f>2727554*0.285</f>
        <v>777352.8899999999</v>
      </c>
      <c r="AQ218" s="84">
        <f>2690600*0.275</f>
        <v>739915.00000000012</v>
      </c>
      <c r="AR218" s="84">
        <f>2772860*0.262</f>
        <v>726489.32000000007</v>
      </c>
      <c r="AS218" s="83">
        <f>AT218-SUM(AP218:AR218)</f>
        <v>737269.74000000022</v>
      </c>
      <c r="AT218" s="363">
        <f>10840098*0.275</f>
        <v>2981026.95</v>
      </c>
      <c r="AU218" s="84">
        <f>2892390*0.278</f>
        <v>804084.42</v>
      </c>
      <c r="AV218" s="84">
        <f>3016961*0.272</f>
        <v>820613.39200000011</v>
      </c>
      <c r="AW218" s="84">
        <f>3086757*0.268</f>
        <v>827250.87600000005</v>
      </c>
      <c r="AX218" s="83">
        <f>AY218-SUM(AU218:AW218)</f>
        <v>829214.43500000006</v>
      </c>
      <c r="AY218" s="363">
        <f>12107613*0.271</f>
        <v>3281163.1230000001</v>
      </c>
      <c r="AZ218" s="84">
        <f>3160722*0.276</f>
        <v>872359.27200000011</v>
      </c>
      <c r="BA218" s="84">
        <f>3171024*0.274</f>
        <v>868860.57600000012</v>
      </c>
      <c r="BB218" s="84">
        <f>3252055*0.269</f>
        <v>874802.79500000004</v>
      </c>
      <c r="BC218" s="83">
        <f>BD218-SUM(AZ218:BB218)</f>
        <v>916305.35700000031</v>
      </c>
      <c r="BD218" s="363">
        <f>12986500*0.272</f>
        <v>3532328.0000000005</v>
      </c>
      <c r="BE218" s="84">
        <f>3405342*0.275</f>
        <v>936469.05</v>
      </c>
      <c r="BF218" s="84">
        <f>3433829*0.268</f>
        <v>920266.17200000002</v>
      </c>
      <c r="BG218" s="84">
        <f>3436000*0.26</f>
        <v>893360</v>
      </c>
      <c r="BH218" s="83">
        <f>BI218-SUM(BE218:BG218)</f>
        <v>901717.80200000014</v>
      </c>
      <c r="BI218" s="363">
        <f>13626168*0.268</f>
        <v>3651813.0240000002</v>
      </c>
      <c r="BJ218" s="84">
        <v>1064157</v>
      </c>
      <c r="BK218" s="84">
        <v>950887</v>
      </c>
      <c r="BL218" s="84">
        <v>953603</v>
      </c>
      <c r="BM218" s="83">
        <f>BN218-SUM(BJ218:BL218)</f>
        <v>986588</v>
      </c>
      <c r="BN218" s="125">
        <v>3955235</v>
      </c>
      <c r="BO218" s="585">
        <v>992893</v>
      </c>
      <c r="BP218" s="585">
        <v>931886</v>
      </c>
      <c r="BQ218" s="585">
        <v>910767</v>
      </c>
      <c r="BR218" s="83">
        <f>BS218-SUM(BO218:BQ218)</f>
        <v>916017.6625102181</v>
      </c>
      <c r="BS218" s="125">
        <f>$BS$8*BS228*1000</f>
        <v>3751563.6625102181</v>
      </c>
      <c r="BT218" s="585">
        <v>1298000</v>
      </c>
      <c r="BU218" s="585">
        <v>1418000</v>
      </c>
      <c r="BV218" s="585">
        <v>1267000</v>
      </c>
      <c r="BW218" s="83">
        <f>BX218-SUM(BT218:BV218)</f>
        <v>1339715.8737494182</v>
      </c>
      <c r="BX218" s="125">
        <f>$BX$8*BX228*1000</f>
        <v>5322715.8737494182</v>
      </c>
      <c r="BY218" s="1139">
        <v>1398000</v>
      </c>
      <c r="BZ218" s="1139">
        <v>1383000</v>
      </c>
      <c r="CA218" s="1139">
        <v>1334000</v>
      </c>
      <c r="CB218" s="83">
        <f>IS!$CB$8*'Revenue Model'!CB228*1000</f>
        <v>1322244.0000000002</v>
      </c>
      <c r="CC218" s="107">
        <f>$BX$8*CC228*1000</f>
        <v>5193419.1318769623</v>
      </c>
      <c r="CD218" s="1139">
        <v>1431000</v>
      </c>
      <c r="CE218" s="1139">
        <v>1265000</v>
      </c>
      <c r="CF218" s="1139">
        <v>1170000</v>
      </c>
      <c r="CG218" s="1139">
        <v>1170000</v>
      </c>
      <c r="CH218" s="107">
        <f>$CC$8*CH228*1000</f>
        <v>5439419.9185211482</v>
      </c>
      <c r="CI218" s="1139">
        <v>1222000</v>
      </c>
      <c r="CJ218" s="1139">
        <v>1086000</v>
      </c>
      <c r="CK218" s="1139">
        <v>961000</v>
      </c>
      <c r="CL218" s="83"/>
      <c r="CM218" s="82"/>
      <c r="CN218" s="83"/>
      <c r="CO218" s="83"/>
      <c r="CP218" s="83"/>
      <c r="CQ218" s="83"/>
      <c r="CR218" s="82"/>
      <c r="CS218" s="83"/>
      <c r="CT218" s="83"/>
      <c r="CU218" s="83"/>
      <c r="CV218" s="83"/>
      <c r="CW218" s="82"/>
      <c r="CX218" s="83"/>
      <c r="CY218" s="83"/>
      <c r="CZ218" s="83"/>
      <c r="DA218" s="83"/>
      <c r="DB218" s="82"/>
      <c r="DC218" s="16"/>
      <c r="DD218" s="16"/>
      <c r="DE218" s="16"/>
      <c r="DF218" s="16"/>
      <c r="DG218" s="16"/>
      <c r="DH218" s="16"/>
      <c r="DI218" s="16"/>
      <c r="DJ218" s="16"/>
    </row>
    <row r="219" spans="1:114" s="725" customFormat="1" ht="11.25" hidden="1" customHeight="1" outlineLevel="1">
      <c r="A219" s="16"/>
      <c r="B219" s="16" t="s">
        <v>59</v>
      </c>
      <c r="C219" s="447"/>
      <c r="D219" s="420">
        <f>854850*0.102</f>
        <v>87194.7</v>
      </c>
      <c r="E219" s="362">
        <f>1079953*0.119</f>
        <v>128514.40699999999</v>
      </c>
      <c r="F219" s="363">
        <f>1337501*0.118</f>
        <v>157825.11799999999</v>
      </c>
      <c r="G219" s="364" t="s">
        <v>309</v>
      </c>
      <c r="H219" s="364" t="s">
        <v>309</v>
      </c>
      <c r="I219" s="364" t="s">
        <v>309</v>
      </c>
      <c r="J219" s="364" t="s">
        <v>309</v>
      </c>
      <c r="K219" s="363">
        <f>1693625*0.113</f>
        <v>191379.625</v>
      </c>
      <c r="L219" s="364" t="s">
        <v>309</v>
      </c>
      <c r="M219" s="364" t="s">
        <v>309</v>
      </c>
      <c r="N219" s="364" t="s">
        <v>309</v>
      </c>
      <c r="O219" s="364" t="s">
        <v>309</v>
      </c>
      <c r="P219" s="363">
        <f>2200417*0.11</f>
        <v>242045.87</v>
      </c>
      <c r="Q219" s="364" t="s">
        <v>309</v>
      </c>
      <c r="R219" s="364" t="s">
        <v>309</v>
      </c>
      <c r="S219" s="364" t="s">
        <v>309</v>
      </c>
      <c r="T219" s="364" t="s">
        <v>309</v>
      </c>
      <c r="U219" s="363">
        <f>2834624*0.108</f>
        <v>306139.39199999999</v>
      </c>
      <c r="V219" s="84">
        <f>822376*0.099</f>
        <v>81415.224000000002</v>
      </c>
      <c r="W219" s="84">
        <f>813669*0.104</f>
        <v>84621.576000000001</v>
      </c>
      <c r="X219" s="84">
        <f>844034*0.108</f>
        <v>91155.672000000006</v>
      </c>
      <c r="Y219" s="83">
        <f>Z219-SUM(V219:X219)</f>
        <v>92734.832999999984</v>
      </c>
      <c r="Z219" s="363">
        <f>3332641*0.105</f>
        <v>349927.30499999999</v>
      </c>
      <c r="AA219" s="84">
        <f>914108*0.09</f>
        <v>82269.72</v>
      </c>
      <c r="AB219" s="84">
        <f>918718*0.118</f>
        <v>108408.72399999999</v>
      </c>
      <c r="AC219" s="84">
        <f>929269*0.118</f>
        <v>109653.742</v>
      </c>
      <c r="AD219" s="83">
        <f>AE219-SUM(AA219:AC219)</f>
        <v>118359.65400000004</v>
      </c>
      <c r="AE219" s="363">
        <f>3738320*0.112</f>
        <v>418691.84000000003</v>
      </c>
      <c r="AF219" s="84">
        <f>1026562*0.093</f>
        <v>95470.266000000003</v>
      </c>
      <c r="AG219" s="84">
        <f>1061054*0.102</f>
        <v>108227.50799999999</v>
      </c>
      <c r="AH219" s="84">
        <f>1123483*0.119</f>
        <v>133694.47699999998</v>
      </c>
      <c r="AI219" s="83">
        <f>AJ219-SUM(AF219:AH219)</f>
        <v>142821.10900000005</v>
      </c>
      <c r="AJ219" s="363">
        <f>4365576*0.11</f>
        <v>480213.36</v>
      </c>
      <c r="AK219" s="84">
        <f>1203997*0.102</f>
        <v>122807.69399999999</v>
      </c>
      <c r="AL219" s="84">
        <f>1249128*0.116</f>
        <v>144898.848</v>
      </c>
      <c r="AM219" s="84">
        <f>2352087*0.104</f>
        <v>244617.04799999998</v>
      </c>
      <c r="AN219" s="83">
        <f>AO219-SUM(AK219:AM219)</f>
        <v>221808.29200000002</v>
      </c>
      <c r="AO219" s="363">
        <f>7127494*0.103</f>
        <v>734131.88199999998</v>
      </c>
      <c r="AP219" s="84">
        <f>2727554*0.083</f>
        <v>226386.98200000002</v>
      </c>
      <c r="AQ219" s="84">
        <f>2690600*0.087</f>
        <v>234082.19999999998</v>
      </c>
      <c r="AR219" s="84">
        <f>2772860*0.093</f>
        <v>257875.98</v>
      </c>
      <c r="AS219" s="83">
        <f>AT219-SUM(AP219:AR219)</f>
        <v>268103.75599999994</v>
      </c>
      <c r="AT219" s="363">
        <f>10840098*0.091</f>
        <v>986448.91799999995</v>
      </c>
      <c r="AU219" s="84">
        <f>2892390*0.084</f>
        <v>242960.76</v>
      </c>
      <c r="AV219" s="84">
        <f>3016961*0.09</f>
        <v>271526.49</v>
      </c>
      <c r="AW219" s="84">
        <f>3086757*0.103</f>
        <v>317935.97099999996</v>
      </c>
      <c r="AX219" s="83">
        <f>AY219-SUM(AU219:AW219)</f>
        <v>354122.85300000012</v>
      </c>
      <c r="AY219" s="363">
        <f>12107613*0.098</f>
        <v>1186546.074</v>
      </c>
      <c r="AZ219" s="84">
        <f>3160722*0.102</f>
        <v>322393.64399999997</v>
      </c>
      <c r="BA219" s="84">
        <f>3171024*0.108</f>
        <v>342470.592</v>
      </c>
      <c r="BB219" s="84">
        <f>3252055*0.111</f>
        <v>360978.10499999998</v>
      </c>
      <c r="BC219" s="83">
        <f>BD219-SUM(AZ219:BB219)</f>
        <v>350726.65899999999</v>
      </c>
      <c r="BD219" s="363">
        <f>12986500*0.106</f>
        <v>1376569</v>
      </c>
      <c r="BE219" s="84">
        <f>3405342*0.096</f>
        <v>326912.83199999999</v>
      </c>
      <c r="BF219" s="84">
        <f>3433829*0.101</f>
        <v>346816.72900000005</v>
      </c>
      <c r="BG219" s="84">
        <f>3436000*0.095</f>
        <v>326420</v>
      </c>
      <c r="BH219" s="83">
        <f>BI219-SUM(BE219:BG219)</f>
        <v>321588.7350000001</v>
      </c>
      <c r="BI219" s="363">
        <f>13626168*0.097</f>
        <v>1321738.2960000001</v>
      </c>
      <c r="BJ219" s="84">
        <v>315092</v>
      </c>
      <c r="BK219" s="84">
        <v>396566</v>
      </c>
      <c r="BL219" s="84">
        <v>387034</v>
      </c>
      <c r="BM219" s="83">
        <f>BN219-SUM(BJ219:BL219)</f>
        <v>356958</v>
      </c>
      <c r="BN219" s="125">
        <v>1455650</v>
      </c>
      <c r="BO219" s="585">
        <v>332349</v>
      </c>
      <c r="BP219" s="585">
        <v>396040</v>
      </c>
      <c r="BQ219" s="585">
        <v>394403</v>
      </c>
      <c r="BR219" s="83">
        <f>BS219-SUM(BO219:BQ219)</f>
        <v>338660.51109835785</v>
      </c>
      <c r="BS219" s="125">
        <f>$BS$8*BS229*1000</f>
        <v>1461452.5110983578</v>
      </c>
      <c r="BT219" s="585">
        <v>459000</v>
      </c>
      <c r="BU219" s="585">
        <v>586000</v>
      </c>
      <c r="BV219" s="585">
        <v>646000</v>
      </c>
      <c r="BW219" s="83">
        <f>BX219-SUM(BT219:BV219)</f>
        <v>636341.35370419873</v>
      </c>
      <c r="BX219" s="125">
        <f>$BX$8*BX229*1000</f>
        <v>2327341.3537041987</v>
      </c>
      <c r="BY219" s="1139">
        <v>586000</v>
      </c>
      <c r="BZ219" s="1139">
        <v>616000</v>
      </c>
      <c r="CA219" s="1139">
        <v>663000</v>
      </c>
      <c r="CB219" s="83">
        <f>IS!$CB$8*'Revenue Model'!CB229*1000</f>
        <v>669708.00000000012</v>
      </c>
      <c r="CC219" s="107">
        <f>$BX$8*CC229*1000</f>
        <v>2413539.1816191692</v>
      </c>
      <c r="CD219" s="1139">
        <v>593000</v>
      </c>
      <c r="CE219" s="1139">
        <v>553000</v>
      </c>
      <c r="CF219" s="1139">
        <v>531000</v>
      </c>
      <c r="CG219" s="1139">
        <v>531000</v>
      </c>
      <c r="CH219" s="107">
        <f>$CC$8*CH229*1000</f>
        <v>2527863.1986488327</v>
      </c>
      <c r="CI219" s="1139">
        <v>530000</v>
      </c>
      <c r="CJ219" s="1139">
        <v>529000</v>
      </c>
      <c r="CK219" s="1139">
        <v>478000</v>
      </c>
      <c r="CL219" s="83"/>
      <c r="CM219" s="82"/>
      <c r="CN219" s="83"/>
      <c r="CO219" s="83"/>
      <c r="CP219" s="83"/>
      <c r="CQ219" s="83"/>
      <c r="CR219" s="82"/>
      <c r="CS219" s="83"/>
      <c r="CT219" s="83"/>
      <c r="CU219" s="83"/>
      <c r="CV219" s="83"/>
      <c r="CW219" s="82"/>
      <c r="CX219" s="83"/>
      <c r="CY219" s="83"/>
      <c r="CZ219" s="83"/>
      <c r="DA219" s="83"/>
      <c r="DB219" s="82"/>
      <c r="DC219" s="16"/>
      <c r="DD219" s="16"/>
      <c r="DE219" s="16"/>
      <c r="DF219" s="16"/>
      <c r="DG219" s="16"/>
      <c r="DH219" s="16"/>
      <c r="DI219" s="16"/>
      <c r="DJ219" s="16"/>
    </row>
    <row r="220" spans="1:114" s="725" customFormat="1" ht="11.25" hidden="1" customHeight="1" outlineLevel="1">
      <c r="A220" s="16"/>
      <c r="B220" s="16" t="s">
        <v>44</v>
      </c>
      <c r="C220" s="447"/>
      <c r="D220" s="420">
        <f>854850*(0.14+0.368)</f>
        <v>434263.8</v>
      </c>
      <c r="E220" s="362">
        <f>1079953*(0.143+0.376)</f>
        <v>560495.60700000008</v>
      </c>
      <c r="F220" s="363">
        <f>1337501*(0.159+0.381)</f>
        <v>722250.54</v>
      </c>
      <c r="G220" s="364" t="s">
        <v>309</v>
      </c>
      <c r="H220" s="364" t="s">
        <v>309</v>
      </c>
      <c r="I220" s="364" t="s">
        <v>309</v>
      </c>
      <c r="J220" s="364" t="s">
        <v>309</v>
      </c>
      <c r="K220" s="363">
        <f>1693625*(0.175+0.377)</f>
        <v>934881.00000000012</v>
      </c>
      <c r="L220" s="364" t="s">
        <v>309</v>
      </c>
      <c r="M220" s="364" t="s">
        <v>309</v>
      </c>
      <c r="N220" s="364" t="s">
        <v>309</v>
      </c>
      <c r="O220" s="364" t="s">
        <v>309</v>
      </c>
      <c r="P220" s="363">
        <f>2200417*(0.177+0.383)</f>
        <v>1232233.52</v>
      </c>
      <c r="Q220" s="364" t="s">
        <v>309</v>
      </c>
      <c r="R220" s="364" t="s">
        <v>309</v>
      </c>
      <c r="S220" s="364" t="s">
        <v>309</v>
      </c>
      <c r="T220" s="364" t="s">
        <v>309</v>
      </c>
      <c r="U220" s="363">
        <f>2834624*(0.192+0.242)</f>
        <v>1230226.8159999999</v>
      </c>
      <c r="V220" s="84">
        <f>822376*(0.204+0.236)</f>
        <v>361845.43999999994</v>
      </c>
      <c r="W220" s="84">
        <f>813669*(0.203+0.235)</f>
        <v>356387.022</v>
      </c>
      <c r="X220" s="84">
        <f>844034*(0.228+0.225)</f>
        <v>382347.402</v>
      </c>
      <c r="Y220" s="83">
        <f>Z220-SUM(V220:X220)</f>
        <v>385778.02199999988</v>
      </c>
      <c r="Z220" s="363">
        <f>3332641*(0.218+0.228)</f>
        <v>1486357.8859999999</v>
      </c>
      <c r="AA220" s="84">
        <f>914108*(0.232+0.214)</f>
        <v>407692.16800000001</v>
      </c>
      <c r="AB220" s="84">
        <f>918718*(0.248+0.212)</f>
        <v>422610.27999999997</v>
      </c>
      <c r="AC220" s="84">
        <f>929269*(0.234+0.22)</f>
        <v>421888.12599999999</v>
      </c>
      <c r="AD220" s="83">
        <f>AE220-SUM(AA220:AC220)</f>
        <v>441268.38599999971</v>
      </c>
      <c r="AE220" s="363">
        <f>3738320*(0.237+0.216)</f>
        <v>1693458.9599999997</v>
      </c>
      <c r="AF220" s="84">
        <f>1026562*(0.239+0.23)</f>
        <v>481457.57799999998</v>
      </c>
      <c r="AG220" s="84">
        <f>1061054*(0.248+0.215)</f>
        <v>491268.00199999998</v>
      </c>
      <c r="AH220" s="84">
        <f>1123483*(0.231+0.232)</f>
        <v>520172.62900000002</v>
      </c>
      <c r="AI220" s="83">
        <f>AJ220-SUM(AF220:AH220)</f>
        <v>532729.05499999993</v>
      </c>
      <c r="AJ220" s="363">
        <f>4365576*(0.239+0.225)</f>
        <v>2025627.264</v>
      </c>
      <c r="AK220" s="84">
        <f>1203997*(0.239+0.221)</f>
        <v>553838.62</v>
      </c>
      <c r="AL220" s="84">
        <f>1249128*0.465</f>
        <v>580844.52</v>
      </c>
      <c r="AM220" s="84">
        <f>2352087*0.507</f>
        <v>1192508.1089999999</v>
      </c>
      <c r="AN220" s="83">
        <f>AO220-SUM(AK220:AM220)</f>
        <v>1286448.2090000003</v>
      </c>
      <c r="AO220" s="363">
        <f>7127494*0.507</f>
        <v>3613639.4580000001</v>
      </c>
      <c r="AP220" s="84">
        <f>2727554*0.526</f>
        <v>1434693.4040000001</v>
      </c>
      <c r="AQ220" s="84">
        <f>2690600*0.528</f>
        <v>1420636.8</v>
      </c>
      <c r="AR220" s="84">
        <f>2772860*0.533</f>
        <v>1477934.3800000001</v>
      </c>
      <c r="AS220" s="83">
        <f>AT220-SUM(AP220:AR220)</f>
        <v>1379467.0620000008</v>
      </c>
      <c r="AT220" s="363">
        <f>10840098*0.527</f>
        <v>5712731.6460000006</v>
      </c>
      <c r="AU220" s="84">
        <f>2892390*0.522</f>
        <v>1509827.58</v>
      </c>
      <c r="AV220" s="84">
        <f>3016961*0.53</f>
        <v>1598989.33</v>
      </c>
      <c r="AW220" s="84">
        <f>3086757*0.515</f>
        <v>1589679.855</v>
      </c>
      <c r="AX220" s="83">
        <f>AY220-SUM(AU220:AW220)</f>
        <v>1585354.3819999993</v>
      </c>
      <c r="AY220" s="363">
        <f>12107613*0.519</f>
        <v>6283851.1469999999</v>
      </c>
      <c r="AZ220" s="84">
        <f>3160722*0.508</f>
        <v>1605646.7760000001</v>
      </c>
      <c r="BA220" s="84">
        <f>3171024*0.503</f>
        <v>1595025.0719999999</v>
      </c>
      <c r="BB220" s="84">
        <f>3252055*0.502</f>
        <v>1632531.61</v>
      </c>
      <c r="BC220" s="83">
        <f>BD220-SUM(AZ220:BB220)</f>
        <v>1737965.5419999994</v>
      </c>
      <c r="BD220" s="363">
        <f>12986500*0.506</f>
        <v>6571169</v>
      </c>
      <c r="BE220" s="84">
        <f>3405342*0.506</f>
        <v>1723103.0519999999</v>
      </c>
      <c r="BF220" s="84">
        <f>3433829*0.511</f>
        <v>1754686.6189999999</v>
      </c>
      <c r="BG220" s="84">
        <f>3436000*0.522</f>
        <v>1793592</v>
      </c>
      <c r="BH220" s="83">
        <f>BI220-SUM(BE220:BG220)</f>
        <v>1746094.8490000004</v>
      </c>
      <c r="BI220" s="363">
        <f>13626168*0.515</f>
        <v>7017476.5200000005</v>
      </c>
      <c r="BJ220" s="84">
        <v>1906487</v>
      </c>
      <c r="BK220" s="84">
        <v>1911861</v>
      </c>
      <c r="BL220" s="84">
        <v>1862657</v>
      </c>
      <c r="BM220" s="83">
        <f>BN220-SUM(BJ220:BL220)</f>
        <v>1948411</v>
      </c>
      <c r="BN220" s="125">
        <v>7629416</v>
      </c>
      <c r="BO220" s="585">
        <v>1965858</v>
      </c>
      <c r="BP220" s="585">
        <v>1917007</v>
      </c>
      <c r="BQ220" s="585">
        <v>1937042</v>
      </c>
      <c r="BR220" s="83">
        <f>BS220-SUM(BO220:BQ220)</f>
        <v>1969484.2189469179</v>
      </c>
      <c r="BS220" s="125">
        <f>$BS$8*BS230*1000</f>
        <v>7789391.2189469179</v>
      </c>
      <c r="BT220" s="585">
        <v>2430000</v>
      </c>
      <c r="BU220" s="585">
        <v>2823000</v>
      </c>
      <c r="BV220" s="585">
        <v>2910000</v>
      </c>
      <c r="BW220" s="83">
        <f>BX220-SUM(BT220:BV220)</f>
        <v>2934970.3440524302</v>
      </c>
      <c r="BX220" s="125">
        <f>$BX$8*BX230*1000</f>
        <v>11097970.34405243</v>
      </c>
      <c r="BY220" s="1139">
        <v>2946000</v>
      </c>
      <c r="BZ220" s="1139">
        <v>2947000</v>
      </c>
      <c r="CA220" s="1139">
        <v>2870000</v>
      </c>
      <c r="CB220" s="83">
        <f>IS!$CB$8*'Revenue Model'!CB230*1000</f>
        <v>3050892.0000000005</v>
      </c>
      <c r="CC220" s="107">
        <f>$BX$8*CC230*1000</f>
        <v>11291915.456861114</v>
      </c>
      <c r="CD220" s="1139">
        <v>3022000</v>
      </c>
      <c r="CE220" s="1139">
        <v>2816000</v>
      </c>
      <c r="CF220" s="1139">
        <v>2741000</v>
      </c>
      <c r="CG220" s="1139">
        <v>2741000</v>
      </c>
      <c r="CH220" s="107">
        <f>$CC$8*CH230*1000</f>
        <v>11826788.536535611</v>
      </c>
      <c r="CI220" s="1139">
        <v>2784000</v>
      </c>
      <c r="CJ220" s="1139">
        <v>2619000</v>
      </c>
      <c r="CK220" s="1139">
        <v>2319000</v>
      </c>
      <c r="CL220" s="83"/>
      <c r="CM220" s="82"/>
      <c r="CN220" s="83"/>
      <c r="CO220" s="83"/>
      <c r="CP220" s="83"/>
      <c r="CQ220" s="83"/>
      <c r="CR220" s="82"/>
      <c r="CS220" s="83"/>
      <c r="CT220" s="83"/>
      <c r="CU220" s="83"/>
      <c r="CV220" s="83"/>
      <c r="CW220" s="82"/>
      <c r="CX220" s="83"/>
      <c r="CY220" s="83"/>
      <c r="CZ220" s="83"/>
      <c r="DA220" s="83"/>
      <c r="DB220" s="82"/>
      <c r="DC220" s="16"/>
      <c r="DD220" s="16"/>
      <c r="DE220" s="16"/>
      <c r="DF220" s="16"/>
      <c r="DG220" s="16"/>
      <c r="DH220" s="16"/>
      <c r="DI220" s="16"/>
      <c r="DJ220" s="16"/>
    </row>
    <row r="221" spans="1:114" s="725" customFormat="1" ht="11.25" hidden="1" customHeight="1" outlineLevel="1">
      <c r="A221" s="16"/>
      <c r="B221" s="16" t="s">
        <v>60</v>
      </c>
      <c r="C221" s="447"/>
      <c r="D221" s="420">
        <v>0</v>
      </c>
      <c r="E221" s="362">
        <v>0</v>
      </c>
      <c r="F221" s="363">
        <v>0</v>
      </c>
      <c r="G221" s="364" t="s">
        <v>309</v>
      </c>
      <c r="H221" s="364" t="s">
        <v>309</v>
      </c>
      <c r="I221" s="364" t="s">
        <v>309</v>
      </c>
      <c r="J221" s="364" t="s">
        <v>309</v>
      </c>
      <c r="K221" s="363">
        <v>0</v>
      </c>
      <c r="L221" s="364" t="s">
        <v>309</v>
      </c>
      <c r="M221" s="364" t="s">
        <v>309</v>
      </c>
      <c r="N221" s="364" t="s">
        <v>309</v>
      </c>
      <c r="O221" s="364" t="s">
        <v>309</v>
      </c>
      <c r="P221" s="363">
        <v>0</v>
      </c>
      <c r="Q221" s="364" t="s">
        <v>309</v>
      </c>
      <c r="R221" s="364" t="s">
        <v>309</v>
      </c>
      <c r="S221" s="364" t="s">
        <v>309</v>
      </c>
      <c r="T221" s="364" t="s">
        <v>309</v>
      </c>
      <c r="U221" s="363">
        <f>2834624*0.128</f>
        <v>362831.87200000003</v>
      </c>
      <c r="V221" s="84">
        <f>822376*0.128</f>
        <v>105264.128</v>
      </c>
      <c r="W221" s="84">
        <f>813669*0.143</f>
        <v>116354.66699999999</v>
      </c>
      <c r="X221" s="84">
        <f>844034*0.128</f>
        <v>108036.352</v>
      </c>
      <c r="Y221" s="83">
        <f>Z221-SUM(V221:X221)</f>
        <v>103588.18300000002</v>
      </c>
      <c r="Z221" s="363">
        <f>3332641*0.13</f>
        <v>433243.33</v>
      </c>
      <c r="AA221" s="84">
        <f>914108*0.128</f>
        <v>117005.82400000001</v>
      </c>
      <c r="AB221" s="84">
        <f>918718*0.106</f>
        <v>97384.107999999993</v>
      </c>
      <c r="AC221" s="84">
        <f>929269*0.118</f>
        <v>109653.742</v>
      </c>
      <c r="AD221" s="83">
        <f>AE221-SUM(AA221:AC221)</f>
        <v>105863.12600000005</v>
      </c>
      <c r="AE221" s="363">
        <f>3738320*0.115</f>
        <v>429906.80000000005</v>
      </c>
      <c r="AF221" s="84">
        <f>1026562*0.117</f>
        <v>120107.754</v>
      </c>
      <c r="AG221" s="84">
        <f>1061054*0.127</f>
        <v>134753.85800000001</v>
      </c>
      <c r="AH221" s="84">
        <f>1123483*0.121</f>
        <v>135941.443</v>
      </c>
      <c r="AI221" s="83">
        <f>AJ221-SUM(AF221:AH221)</f>
        <v>128700.48899999994</v>
      </c>
      <c r="AJ221" s="363">
        <f>4365576*0.119</f>
        <v>519503.54399999999</v>
      </c>
      <c r="AK221" s="84">
        <f>1203997*0.126</f>
        <v>151703.622</v>
      </c>
      <c r="AL221" s="84">
        <f>1249128*0.124</f>
        <v>154891.872</v>
      </c>
      <c r="AM221" s="84">
        <f>2352087*0.109</f>
        <v>256377.48300000001</v>
      </c>
      <c r="AN221" s="83">
        <f>AO221-SUM(AK221:AM221)</f>
        <v>149776.42300000007</v>
      </c>
      <c r="AO221" s="363">
        <f>7127494*0.1</f>
        <v>712749.4</v>
      </c>
      <c r="AP221" s="84">
        <f>2727554*0.106</f>
        <v>289120.72399999999</v>
      </c>
      <c r="AQ221" s="84">
        <f>2690600*0.11</f>
        <v>295966</v>
      </c>
      <c r="AR221" s="84">
        <f>2772860*0.112</f>
        <v>310560.32</v>
      </c>
      <c r="AS221" s="83">
        <f>AT221-SUM(AP221:AR221)</f>
        <v>264243.44200000004</v>
      </c>
      <c r="AT221" s="363">
        <f>10840098*0.107</f>
        <v>1159890.486</v>
      </c>
      <c r="AU221" s="84">
        <f>2892390*0.116</f>
        <v>335517.24</v>
      </c>
      <c r="AV221" s="84">
        <f>3016961*0.108</f>
        <v>325831.788</v>
      </c>
      <c r="AW221" s="84">
        <f>3086757*0.114</f>
        <v>351890.29800000001</v>
      </c>
      <c r="AX221" s="83">
        <f>AY221-SUM(AU221:AW221)</f>
        <v>342813.33000000007</v>
      </c>
      <c r="AY221" s="363">
        <f>12107613*0.112</f>
        <v>1356052.656</v>
      </c>
      <c r="AZ221" s="84">
        <f>3160722*0.114</f>
        <v>360322.30800000002</v>
      </c>
      <c r="BA221" s="84">
        <f>3171024*0.115</f>
        <v>364667.76</v>
      </c>
      <c r="BB221" s="84">
        <f>3252055*0.118</f>
        <v>383742.49</v>
      </c>
      <c r="BC221" s="83">
        <f>BD221-SUM(AZ221:BB221)</f>
        <v>397701.44200000004</v>
      </c>
      <c r="BD221" s="363">
        <f>12986500*0.116</f>
        <v>1506434</v>
      </c>
      <c r="BE221" s="84">
        <f>3405342*0.123</f>
        <v>418857.06599999999</v>
      </c>
      <c r="BF221" s="84">
        <f>3433829*0.12</f>
        <v>412059.48</v>
      </c>
      <c r="BG221" s="84">
        <f>3436000*0.123</f>
        <v>422628</v>
      </c>
      <c r="BH221" s="83">
        <f>BI221-SUM(BE221:BG221)</f>
        <v>381595.61399999983</v>
      </c>
      <c r="BI221" s="363">
        <f>13626168*0.12</f>
        <v>1635140.16</v>
      </c>
      <c r="BJ221" s="84">
        <v>497755</v>
      </c>
      <c r="BK221" s="84">
        <v>487114</v>
      </c>
      <c r="BL221" s="84">
        <v>493367</v>
      </c>
      <c r="BM221" s="83">
        <f>BN221-SUM(BJ221:BL221)</f>
        <v>469642</v>
      </c>
      <c r="BN221" s="125">
        <v>1947878</v>
      </c>
      <c r="BO221" s="585">
        <v>508764</v>
      </c>
      <c r="BP221" s="585">
        <v>523153</v>
      </c>
      <c r="BQ221" s="585">
        <v>524621</v>
      </c>
      <c r="BR221" s="83">
        <f>BS221-SUM(BO221:BQ221)</f>
        <v>507575.34041726822</v>
      </c>
      <c r="BS221" s="125">
        <f>$BS$8*BS231*1000</f>
        <v>2064113.3404172682</v>
      </c>
      <c r="BT221" s="585">
        <v>713000</v>
      </c>
      <c r="BU221" s="585">
        <v>704000</v>
      </c>
      <c r="BV221" s="585">
        <v>740000</v>
      </c>
      <c r="BW221" s="83">
        <f>BX221-SUM(BT221:BV221)</f>
        <v>644429.40723653603</v>
      </c>
      <c r="BX221" s="125">
        <f>$BX$8*BX231*1000</f>
        <v>2801429.407236536</v>
      </c>
      <c r="BY221" s="1139">
        <v>716000</v>
      </c>
      <c r="BZ221" s="1139">
        <v>668000</v>
      </c>
      <c r="CA221" s="1139">
        <v>713000</v>
      </c>
      <c r="CB221" s="83">
        <f>IS!$CB$8*'Revenue Model'!CB231*1000</f>
        <v>681156</v>
      </c>
      <c r="CC221" s="107">
        <f>$BX$8*CC231*1000</f>
        <v>2650583.2083853376</v>
      </c>
      <c r="CD221" s="1139">
        <v>708000</v>
      </c>
      <c r="CE221" s="1139">
        <v>656000</v>
      </c>
      <c r="CF221" s="1139">
        <v>642000</v>
      </c>
      <c r="CG221" s="1139">
        <v>642000</v>
      </c>
      <c r="CH221" s="107">
        <f>$CC$8*CH231*1000</f>
        <v>2776135.4770875569</v>
      </c>
      <c r="CI221" s="1139">
        <v>632000</v>
      </c>
      <c r="CJ221" s="1139">
        <v>589000</v>
      </c>
      <c r="CK221" s="1139">
        <v>575000</v>
      </c>
      <c r="CL221" s="83"/>
      <c r="CM221" s="82"/>
      <c r="CN221" s="83"/>
      <c r="CO221" s="83"/>
      <c r="CP221" s="83"/>
      <c r="CQ221" s="83"/>
      <c r="CR221" s="82"/>
      <c r="CS221" s="83"/>
      <c r="CT221" s="83"/>
      <c r="CU221" s="83"/>
      <c r="CV221" s="83"/>
      <c r="CW221" s="82"/>
      <c r="CX221" s="83"/>
      <c r="CY221" s="83"/>
      <c r="CZ221" s="83"/>
      <c r="DA221" s="83"/>
      <c r="DB221" s="82"/>
      <c r="DC221" s="16"/>
      <c r="DD221" s="16"/>
      <c r="DE221" s="16"/>
      <c r="DF221" s="16"/>
      <c r="DG221" s="16"/>
      <c r="DH221" s="16"/>
      <c r="DI221" s="16"/>
      <c r="DJ221" s="16"/>
    </row>
    <row r="222" spans="1:114" s="725" customFormat="1" ht="11.25" hidden="1" customHeight="1" outlineLevel="1">
      <c r="A222" s="16"/>
      <c r="B222" s="85" t="s">
        <v>256</v>
      </c>
      <c r="C222" s="448"/>
      <c r="D222" s="421"/>
      <c r="E222" s="81"/>
      <c r="F222" s="82"/>
      <c r="G222" s="83"/>
      <c r="H222" s="83"/>
      <c r="I222" s="83"/>
      <c r="J222" s="83"/>
      <c r="K222" s="82"/>
      <c r="L222" s="83"/>
      <c r="M222" s="83"/>
      <c r="N222" s="83"/>
      <c r="O222" s="83"/>
      <c r="P222" s="82"/>
      <c r="Q222" s="83"/>
      <c r="R222" s="83"/>
      <c r="S222" s="83"/>
      <c r="T222" s="83"/>
      <c r="U222" s="82"/>
      <c r="V222" s="83"/>
      <c r="W222" s="83"/>
      <c r="X222" s="83"/>
      <c r="Y222" s="83"/>
      <c r="Z222" s="82"/>
      <c r="AA222" s="242"/>
      <c r="AB222" s="242"/>
      <c r="AC222" s="242"/>
      <c r="AD222" s="243"/>
      <c r="AE222" s="244"/>
      <c r="AF222" s="242"/>
      <c r="AG222" s="242"/>
      <c r="AH222" s="242"/>
      <c r="AI222" s="243"/>
      <c r="AJ222" s="244"/>
      <c r="AK222" s="242"/>
      <c r="AL222" s="242"/>
      <c r="AM222" s="242"/>
      <c r="AN222" s="243"/>
      <c r="AO222" s="244"/>
      <c r="AP222" s="242"/>
      <c r="AQ222" s="242"/>
      <c r="AR222" s="242"/>
      <c r="AS222" s="243"/>
      <c r="AT222" s="244"/>
      <c r="AU222" s="242"/>
      <c r="AV222" s="242"/>
      <c r="AW222" s="242"/>
      <c r="AX222" s="243"/>
      <c r="AY222" s="244"/>
      <c r="AZ222" s="242"/>
      <c r="BA222" s="242"/>
      <c r="BB222" s="242"/>
      <c r="BC222" s="243"/>
      <c r="BD222" s="244"/>
      <c r="BE222" s="242"/>
      <c r="BF222" s="242"/>
      <c r="BG222" s="242"/>
      <c r="BH222" s="243"/>
      <c r="BI222" s="244"/>
      <c r="BJ222" s="242"/>
      <c r="BK222" s="242"/>
      <c r="BL222" s="83"/>
      <c r="BM222" s="83"/>
      <c r="BN222" s="82"/>
      <c r="BO222" s="83"/>
      <c r="BP222" s="83"/>
      <c r="BQ222" s="83"/>
      <c r="BR222" s="83"/>
      <c r="BS222" s="82"/>
      <c r="BT222" s="83"/>
      <c r="BU222" s="83"/>
      <c r="BV222" s="83"/>
      <c r="BW222" s="552"/>
      <c r="BX222" s="82"/>
      <c r="BY222" s="83"/>
      <c r="BZ222" s="83"/>
      <c r="CA222" s="83"/>
      <c r="CB222" s="83"/>
      <c r="CC222" s="82"/>
      <c r="CD222" s="83"/>
      <c r="CE222" s="83"/>
      <c r="CF222" s="83"/>
      <c r="CG222" s="83"/>
      <c r="CH222" s="82"/>
      <c r="CI222" s="83"/>
      <c r="CJ222" s="83"/>
      <c r="CK222" s="83"/>
      <c r="CL222" s="83"/>
      <c r="CM222" s="82"/>
      <c r="CN222" s="83"/>
      <c r="CO222" s="83"/>
      <c r="CP222" s="83"/>
      <c r="CQ222" s="83"/>
      <c r="CR222" s="82"/>
      <c r="CS222" s="83"/>
      <c r="CT222" s="83"/>
      <c r="CU222" s="83"/>
      <c r="CV222" s="83"/>
      <c r="CW222" s="82"/>
      <c r="CX222" s="83"/>
      <c r="CY222" s="83"/>
      <c r="CZ222" s="83"/>
      <c r="DA222" s="83"/>
      <c r="DB222" s="82"/>
      <c r="DC222" s="16"/>
      <c r="DD222" s="16"/>
      <c r="DE222" s="16"/>
      <c r="DF222" s="16"/>
      <c r="DG222" s="16"/>
      <c r="DH222" s="16"/>
      <c r="DI222" s="16"/>
      <c r="DJ222" s="16"/>
    </row>
    <row r="223" spans="1:114" s="725" customFormat="1" ht="11.25" hidden="1" customHeight="1" outlineLevel="1">
      <c r="A223" s="16"/>
      <c r="B223" s="16" t="s">
        <v>58</v>
      </c>
      <c r="C223" s="52"/>
      <c r="D223" s="1053"/>
      <c r="E223" s="67">
        <f t="shared" ref="E223:F226" si="532">IF(ISERROR(E218/D218-1),"NM",E218/D218-1)</f>
        <v>0.17262433505353303</v>
      </c>
      <c r="F223" s="67">
        <f t="shared" si="532"/>
        <v>0.17005639794238459</v>
      </c>
      <c r="G223" s="52"/>
      <c r="H223" s="52"/>
      <c r="I223" s="52"/>
      <c r="J223" s="52"/>
      <c r="K223" s="67">
        <f>K218/F218-1</f>
        <v>0.24034311811259457</v>
      </c>
      <c r="L223" s="68" t="str">
        <f t="shared" ref="L223:O226" si="533">IF(ISERROR(L218/G218-1),"NM",L218/G218-1)</f>
        <v>NM</v>
      </c>
      <c r="M223" s="68" t="str">
        <f t="shared" si="533"/>
        <v>NM</v>
      </c>
      <c r="N223" s="68" t="str">
        <f t="shared" si="533"/>
        <v>NM</v>
      </c>
      <c r="O223" s="68" t="str">
        <f t="shared" si="533"/>
        <v>NM</v>
      </c>
      <c r="P223" s="67">
        <f>P218/K218-1</f>
        <v>0.27984350444985195</v>
      </c>
      <c r="Q223" s="68" t="str">
        <f t="shared" ref="Q223:T226" si="534">IF(ISERROR(Q218/L218-1),"NM",Q218/L218-1)</f>
        <v>NM</v>
      </c>
      <c r="R223" s="68" t="str">
        <f t="shared" si="534"/>
        <v>NM</v>
      </c>
      <c r="S223" s="68" t="str">
        <f t="shared" si="534"/>
        <v>NM</v>
      </c>
      <c r="T223" s="68" t="str">
        <f t="shared" si="534"/>
        <v>NM</v>
      </c>
      <c r="U223" s="67">
        <f>U218/P218-1</f>
        <v>0.28822127805775</v>
      </c>
      <c r="V223" s="68" t="str">
        <f t="shared" ref="V223:Y226" si="535">IF(ISERROR(V218/Q218-1),"NM",V218/Q218-1)</f>
        <v>NM</v>
      </c>
      <c r="W223" s="68" t="str">
        <f t="shared" si="535"/>
        <v>NM</v>
      </c>
      <c r="X223" s="68" t="str">
        <f t="shared" si="535"/>
        <v>NM</v>
      </c>
      <c r="Y223" s="68" t="str">
        <f t="shared" si="535"/>
        <v>NM</v>
      </c>
      <c r="Z223" s="67">
        <f t="shared" ref="Z223:AE226" si="536">Z218/U218-1</f>
        <v>0.1365009844927112</v>
      </c>
      <c r="AA223" s="68">
        <f t="shared" si="536"/>
        <v>0.12155900367618599</v>
      </c>
      <c r="AB223" s="68">
        <f t="shared" si="536"/>
        <v>0.1326897855016782</v>
      </c>
      <c r="AC223" s="68">
        <f t="shared" si="536"/>
        <v>9.7445122808519358E-2</v>
      </c>
      <c r="AD223" s="68">
        <f t="shared" si="536"/>
        <v>0.14890456538419117</v>
      </c>
      <c r="AE223" s="67">
        <f t="shared" si="536"/>
        <v>0.12524537490637444</v>
      </c>
      <c r="AF223" s="68">
        <f t="shared" ref="AF223:CK226" si="537">AF218/AA218-1</f>
        <v>7.2885631988467869E-2</v>
      </c>
      <c r="AG223" s="68">
        <f t="shared" si="537"/>
        <v>0.1256902263999633</v>
      </c>
      <c r="AH223" s="68">
        <f t="shared" si="537"/>
        <v>0.15829667918998003</v>
      </c>
      <c r="AI223" s="68">
        <f t="shared" si="537"/>
        <v>0.12709434467313208</v>
      </c>
      <c r="AJ223" s="67">
        <f t="shared" si="537"/>
        <v>0.120349374852875</v>
      </c>
      <c r="AK223" s="68">
        <f t="shared" si="537"/>
        <v>0.13996044541523567</v>
      </c>
      <c r="AL223" s="68">
        <f t="shared" si="537"/>
        <v>0.12756284311172195</v>
      </c>
      <c r="AM223" s="68">
        <f t="shared" si="537"/>
        <v>0.97373325415316292</v>
      </c>
      <c r="AN223" s="68">
        <f t="shared" si="537"/>
        <v>0.89662794272870561</v>
      </c>
      <c r="AO223" s="67">
        <f t="shared" si="537"/>
        <v>0.54225053505519183</v>
      </c>
      <c r="AP223" s="68">
        <f t="shared" si="537"/>
        <v>1.0693703332125599</v>
      </c>
      <c r="AQ223" s="68">
        <f t="shared" si="537"/>
        <v>1.007949898391491</v>
      </c>
      <c r="AR223" s="68">
        <f t="shared" si="537"/>
        <v>0.10310745915678887</v>
      </c>
      <c r="AS223" s="68">
        <f t="shared" si="537"/>
        <v>0.10992964331951982</v>
      </c>
      <c r="AT223" s="67">
        <f t="shared" si="537"/>
        <v>0.44221843972959785</v>
      </c>
      <c r="AU223" s="68">
        <f t="shared" si="537"/>
        <v>3.4387895566967197E-2</v>
      </c>
      <c r="AV223" s="68">
        <f t="shared" si="537"/>
        <v>0.10906440874965373</v>
      </c>
      <c r="AW223" s="68">
        <f t="shared" si="537"/>
        <v>0.13869654133387677</v>
      </c>
      <c r="AX223" s="68">
        <f t="shared" si="537"/>
        <v>0.12470970936634362</v>
      </c>
      <c r="AY223" s="67">
        <f t="shared" si="537"/>
        <v>0.10068214009269516</v>
      </c>
      <c r="AZ223" s="68">
        <f t="shared" si="537"/>
        <v>8.4910054593521522E-2</v>
      </c>
      <c r="BA223" s="68">
        <f t="shared" si="537"/>
        <v>5.8794049025219897E-2</v>
      </c>
      <c r="BB223" s="68">
        <f t="shared" si="537"/>
        <v>5.7481859952723591E-2</v>
      </c>
      <c r="BC223" s="68">
        <f t="shared" si="537"/>
        <v>0.10502822710750359</v>
      </c>
      <c r="BD223" s="67">
        <f t="shared" si="537"/>
        <v>7.6547513057003247E-2</v>
      </c>
      <c r="BE223" s="68">
        <f t="shared" si="537"/>
        <v>7.3490109015543315E-2</v>
      </c>
      <c r="BF223" s="68">
        <f t="shared" si="537"/>
        <v>5.9164378520495609E-2</v>
      </c>
      <c r="BG223" s="68">
        <f t="shared" si="537"/>
        <v>2.1213015214474717E-2</v>
      </c>
      <c r="BH223" s="68">
        <f t="shared" si="537"/>
        <v>-1.5919971315850545E-2</v>
      </c>
      <c r="BI223" s="67">
        <f t="shared" si="537"/>
        <v>3.3826140720793596E-2</v>
      </c>
      <c r="BJ223" s="68">
        <f t="shared" si="537"/>
        <v>0.13635042183188006</v>
      </c>
      <c r="BK223" s="68">
        <f t="shared" si="537"/>
        <v>3.3273881982918363E-2</v>
      </c>
      <c r="BL223" s="68">
        <f t="shared" si="537"/>
        <v>6.7434181069221832E-2</v>
      </c>
      <c r="BM223" s="68">
        <f t="shared" si="537"/>
        <v>9.4120574986718442E-2</v>
      </c>
      <c r="BN223" s="67">
        <f t="shared" si="537"/>
        <v>8.3088037094420475E-2</v>
      </c>
      <c r="BO223" s="68">
        <f t="shared" si="537"/>
        <v>-6.6967562117243973E-2</v>
      </c>
      <c r="BP223" s="68">
        <f t="shared" si="537"/>
        <v>-1.9982395384519958E-2</v>
      </c>
      <c r="BQ223" s="68">
        <f t="shared" si="537"/>
        <v>-4.492016069580318E-2</v>
      </c>
      <c r="BR223" s="68">
        <f t="shared" si="537"/>
        <v>-7.1529693742253042E-2</v>
      </c>
      <c r="BS223" s="67">
        <f t="shared" si="537"/>
        <v>-5.1494117919613336E-2</v>
      </c>
      <c r="BT223" s="68">
        <f t="shared" si="537"/>
        <v>0.3072909165438773</v>
      </c>
      <c r="BU223" s="68">
        <f t="shared" si="537"/>
        <v>0.52164535147002966</v>
      </c>
      <c r="BV223" s="68">
        <f t="shared" si="537"/>
        <v>0.39113516409795257</v>
      </c>
      <c r="BW223" s="68">
        <f t="shared" si="537"/>
        <v>0.46254371348922962</v>
      </c>
      <c r="BX223" s="67">
        <f t="shared" si="537"/>
        <v>0.41879929346258837</v>
      </c>
      <c r="BY223" s="68">
        <f t="shared" si="537"/>
        <v>7.7041602465331316E-2</v>
      </c>
      <c r="BZ223" s="68">
        <f t="shared" si="537"/>
        <v>-2.4682651622002783E-2</v>
      </c>
      <c r="CA223" s="68">
        <f t="shared" si="537"/>
        <v>5.2880820836622044E-2</v>
      </c>
      <c r="CB223" s="68">
        <f t="shared" si="537"/>
        <v>-1.304147699655156E-2</v>
      </c>
      <c r="CC223" s="67">
        <f t="shared" si="537"/>
        <v>-2.429149797570862E-2</v>
      </c>
      <c r="CD223" s="68">
        <f t="shared" si="537"/>
        <v>2.3605150214592197E-2</v>
      </c>
      <c r="CE223" s="68">
        <f t="shared" si="537"/>
        <v>-8.5321764280549495E-2</v>
      </c>
      <c r="CF223" s="68">
        <f t="shared" si="537"/>
        <v>-0.12293853073463268</v>
      </c>
      <c r="CG223" s="68">
        <f t="shared" si="537"/>
        <v>-0.11514062457458696</v>
      </c>
      <c r="CH223" s="67">
        <f t="shared" si="537"/>
        <v>4.7367789966006102E-2</v>
      </c>
      <c r="CI223" s="68">
        <f t="shared" si="537"/>
        <v>-0.14605171208944789</v>
      </c>
      <c r="CJ223" s="68">
        <f t="shared" si="537"/>
        <v>-0.14150197628458494</v>
      </c>
      <c r="CK223" s="68">
        <f t="shared" si="537"/>
        <v>-0.17863247863247866</v>
      </c>
      <c r="CL223" s="68"/>
      <c r="CM223" s="67"/>
      <c r="CN223" s="68"/>
      <c r="CO223" s="68"/>
      <c r="CP223" s="68"/>
      <c r="CQ223" s="68"/>
      <c r="CR223" s="67"/>
      <c r="CS223" s="68"/>
      <c r="CT223" s="68"/>
      <c r="CU223" s="68"/>
      <c r="CV223" s="68"/>
      <c r="CW223" s="67"/>
      <c r="CX223" s="68"/>
      <c r="CY223" s="68"/>
      <c r="CZ223" s="68"/>
      <c r="DA223" s="68"/>
      <c r="DB223" s="67"/>
      <c r="DC223" s="16"/>
      <c r="DD223" s="16"/>
      <c r="DE223" s="16"/>
      <c r="DF223" s="16"/>
      <c r="DG223" s="16"/>
      <c r="DH223" s="16"/>
      <c r="DI223" s="16"/>
      <c r="DJ223" s="16"/>
    </row>
    <row r="224" spans="1:114" s="725" customFormat="1" ht="11.25" hidden="1" customHeight="1" outlineLevel="1">
      <c r="A224" s="16"/>
      <c r="B224" s="16" t="s">
        <v>59</v>
      </c>
      <c r="C224" s="52"/>
      <c r="D224" s="1053"/>
      <c r="E224" s="67">
        <f t="shared" si="532"/>
        <v>0.47387865317502098</v>
      </c>
      <c r="F224" s="67">
        <f t="shared" si="532"/>
        <v>0.22807334744967545</v>
      </c>
      <c r="G224" s="52"/>
      <c r="H224" s="52"/>
      <c r="I224" s="52"/>
      <c r="J224" s="52"/>
      <c r="K224" s="67">
        <f>K219/F219-1</f>
        <v>0.21260561959472146</v>
      </c>
      <c r="L224" s="68" t="str">
        <f t="shared" si="533"/>
        <v>NM</v>
      </c>
      <c r="M224" s="68" t="str">
        <f t="shared" si="533"/>
        <v>NM</v>
      </c>
      <c r="N224" s="68" t="str">
        <f t="shared" si="533"/>
        <v>NM</v>
      </c>
      <c r="O224" s="68" t="str">
        <f t="shared" si="533"/>
        <v>NM</v>
      </c>
      <c r="P224" s="67">
        <f>P219/K219-1</f>
        <v>0.26474210616725791</v>
      </c>
      <c r="Q224" s="68" t="str">
        <f t="shared" si="534"/>
        <v>NM</v>
      </c>
      <c r="R224" s="68" t="str">
        <f t="shared" si="534"/>
        <v>NM</v>
      </c>
      <c r="S224" s="68" t="str">
        <f t="shared" si="534"/>
        <v>NM</v>
      </c>
      <c r="T224" s="68" t="str">
        <f t="shared" si="534"/>
        <v>NM</v>
      </c>
      <c r="U224" s="67">
        <f>U219/P219-1</f>
        <v>0.26479907300215455</v>
      </c>
      <c r="V224" s="68" t="str">
        <f t="shared" si="535"/>
        <v>NM</v>
      </c>
      <c r="W224" s="68" t="str">
        <f t="shared" si="535"/>
        <v>NM</v>
      </c>
      <c r="X224" s="68" t="str">
        <f t="shared" si="535"/>
        <v>NM</v>
      </c>
      <c r="Y224" s="68" t="str">
        <f t="shared" si="535"/>
        <v>NM</v>
      </c>
      <c r="Z224" s="67">
        <f t="shared" si="536"/>
        <v>0.14303259934611745</v>
      </c>
      <c r="AA224" s="68">
        <f t="shared" si="536"/>
        <v>1.0495530909550688E-2</v>
      </c>
      <c r="AB224" s="68">
        <f t="shared" si="536"/>
        <v>0.28110027163757834</v>
      </c>
      <c r="AC224" s="68">
        <f t="shared" si="536"/>
        <v>0.20292834877022226</v>
      </c>
      <c r="AD224" s="68">
        <f t="shared" si="536"/>
        <v>0.27632357951191922</v>
      </c>
      <c r="AE224" s="67">
        <f t="shared" si="536"/>
        <v>0.1965109153171114</v>
      </c>
      <c r="AF224" s="68">
        <f t="shared" si="537"/>
        <v>0.16045449042490967</v>
      </c>
      <c r="AG224" s="68">
        <f t="shared" si="537"/>
        <v>-1.6715997874857669E-3</v>
      </c>
      <c r="AH224" s="68">
        <f t="shared" si="537"/>
        <v>0.21924226717224093</v>
      </c>
      <c r="AI224" s="68">
        <f t="shared" si="537"/>
        <v>0.20667055177434035</v>
      </c>
      <c r="AJ224" s="67">
        <f t="shared" si="537"/>
        <v>0.14693747076608887</v>
      </c>
      <c r="AK224" s="68">
        <f t="shared" si="537"/>
        <v>0.28634494429920188</v>
      </c>
      <c r="AL224" s="68">
        <f t="shared" si="537"/>
        <v>0.33883566828499845</v>
      </c>
      <c r="AM224" s="68">
        <f t="shared" si="537"/>
        <v>0.82967205144906631</v>
      </c>
      <c r="AN224" s="68">
        <f t="shared" si="537"/>
        <v>0.5530497806175132</v>
      </c>
      <c r="AO224" s="67">
        <f t="shared" si="537"/>
        <v>0.52876188617492859</v>
      </c>
      <c r="AP224" s="68">
        <f t="shared" si="537"/>
        <v>0.84342669930761871</v>
      </c>
      <c r="AQ224" s="68">
        <f t="shared" si="537"/>
        <v>0.61548696370588107</v>
      </c>
      <c r="AR224" s="68">
        <f t="shared" si="537"/>
        <v>5.4202812552950341E-2</v>
      </c>
      <c r="AS224" s="68">
        <f t="shared" si="537"/>
        <v>0.20871836477601069</v>
      </c>
      <c r="AT224" s="67">
        <f t="shared" si="537"/>
        <v>0.34369442628293312</v>
      </c>
      <c r="AU224" s="68">
        <f t="shared" si="537"/>
        <v>7.3209942787257898E-2</v>
      </c>
      <c r="AV224" s="68">
        <f t="shared" si="537"/>
        <v>0.15996214150413834</v>
      </c>
      <c r="AW224" s="68">
        <f t="shared" si="537"/>
        <v>0.2329026185377947</v>
      </c>
      <c r="AX224" s="68">
        <f t="shared" si="537"/>
        <v>0.32084256589079718</v>
      </c>
      <c r="AY224" s="67">
        <f t="shared" si="537"/>
        <v>0.2028459379383698</v>
      </c>
      <c r="AZ224" s="68">
        <f t="shared" si="537"/>
        <v>0.32693709058203457</v>
      </c>
      <c r="BA224" s="68">
        <f t="shared" si="537"/>
        <v>0.26127875037164894</v>
      </c>
      <c r="BB224" s="68">
        <f t="shared" si="537"/>
        <v>0.13537988125288281</v>
      </c>
      <c r="BC224" s="68">
        <f t="shared" si="537"/>
        <v>-9.5904400725025374E-3</v>
      </c>
      <c r="BD224" s="67">
        <f t="shared" si="537"/>
        <v>0.16014795393440395</v>
      </c>
      <c r="BE224" s="68">
        <f t="shared" si="537"/>
        <v>1.4017608858318598E-2</v>
      </c>
      <c r="BF224" s="68">
        <f t="shared" si="537"/>
        <v>1.269054073991871E-2</v>
      </c>
      <c r="BG224" s="68">
        <f t="shared" si="537"/>
        <v>-9.5734629112754543E-2</v>
      </c>
      <c r="BH224" s="68">
        <f t="shared" si="537"/>
        <v>-8.3078725988719015E-2</v>
      </c>
      <c r="BI224" s="67">
        <f t="shared" si="537"/>
        <v>-3.9831424360130097E-2</v>
      </c>
      <c r="BJ224" s="68">
        <f t="shared" si="537"/>
        <v>-3.6158972187423921E-2</v>
      </c>
      <c r="BK224" s="68">
        <f t="shared" si="537"/>
        <v>0.14344541897804453</v>
      </c>
      <c r="BL224" s="68">
        <f t="shared" si="537"/>
        <v>0.18569327859812512</v>
      </c>
      <c r="BM224" s="68">
        <f t="shared" si="537"/>
        <v>0.10998291031556162</v>
      </c>
      <c r="BN224" s="67">
        <f t="shared" si="537"/>
        <v>0.10131484001428981</v>
      </c>
      <c r="BO224" s="68">
        <f t="shared" si="537"/>
        <v>5.476813121247126E-2</v>
      </c>
      <c r="BP224" s="68">
        <f t="shared" si="537"/>
        <v>-1.3263870326755134E-3</v>
      </c>
      <c r="BQ224" s="68">
        <f t="shared" si="537"/>
        <v>1.9039670933302943E-2</v>
      </c>
      <c r="BR224" s="68">
        <f t="shared" si="537"/>
        <v>-5.1259500842233963E-2</v>
      </c>
      <c r="BS224" s="67">
        <f t="shared" si="537"/>
        <v>3.9861993599821233E-3</v>
      </c>
      <c r="BT224" s="68">
        <f t="shared" si="537"/>
        <v>0.38107832429163313</v>
      </c>
      <c r="BU224" s="68">
        <f t="shared" si="537"/>
        <v>0.47964852035147976</v>
      </c>
      <c r="BV224" s="68">
        <f t="shared" si="537"/>
        <v>0.63791857567006338</v>
      </c>
      <c r="BW224" s="68">
        <f t="shared" si="537"/>
        <v>0.87899484247628989</v>
      </c>
      <c r="BX224" s="67">
        <f t="shared" si="537"/>
        <v>0.59248510371033558</v>
      </c>
      <c r="BY224" s="68">
        <f t="shared" si="537"/>
        <v>0.27668845315904145</v>
      </c>
      <c r="BZ224" s="68">
        <f t="shared" si="537"/>
        <v>5.1194539249146853E-2</v>
      </c>
      <c r="CA224" s="68">
        <f t="shared" si="537"/>
        <v>2.6315789473684292E-2</v>
      </c>
      <c r="CB224" s="68">
        <f t="shared" si="537"/>
        <v>5.2435137370172802E-2</v>
      </c>
      <c r="CC224" s="67">
        <f t="shared" si="537"/>
        <v>3.7037037037037202E-2</v>
      </c>
      <c r="CD224" s="68">
        <f t="shared" si="537"/>
        <v>1.1945392491467643E-2</v>
      </c>
      <c r="CE224" s="68">
        <f t="shared" si="537"/>
        <v>-0.10227272727272729</v>
      </c>
      <c r="CF224" s="68">
        <f t="shared" si="537"/>
        <v>-0.19909502262443435</v>
      </c>
      <c r="CG224" s="68">
        <f t="shared" si="537"/>
        <v>-0.20711713164543366</v>
      </c>
      <c r="CH224" s="67">
        <f t="shared" si="537"/>
        <v>4.7367789966006324E-2</v>
      </c>
      <c r="CI224" s="68">
        <f t="shared" si="537"/>
        <v>-0.10623946037099496</v>
      </c>
      <c r="CJ224" s="68">
        <f t="shared" si="537"/>
        <v>-4.339963833634719E-2</v>
      </c>
      <c r="CK224" s="68">
        <f t="shared" si="537"/>
        <v>-9.9811676082862566E-2</v>
      </c>
      <c r="CL224" s="68"/>
      <c r="CM224" s="67"/>
      <c r="CN224" s="68"/>
      <c r="CO224" s="68"/>
      <c r="CP224" s="68"/>
      <c r="CQ224" s="68"/>
      <c r="CR224" s="67"/>
      <c r="CS224" s="68"/>
      <c r="CT224" s="68"/>
      <c r="CU224" s="68"/>
      <c r="CV224" s="68"/>
      <c r="CW224" s="67"/>
      <c r="CX224" s="68"/>
      <c r="CY224" s="68"/>
      <c r="CZ224" s="68"/>
      <c r="DA224" s="68"/>
      <c r="DB224" s="67"/>
      <c r="DC224" s="16"/>
      <c r="DD224" s="16"/>
      <c r="DE224" s="16"/>
      <c r="DF224" s="16"/>
      <c r="DG224" s="16"/>
      <c r="DH224" s="16"/>
      <c r="DI224" s="16"/>
      <c r="DJ224" s="16"/>
    </row>
    <row r="225" spans="1:114" s="725" customFormat="1" ht="11.25" hidden="1" customHeight="1" outlineLevel="1">
      <c r="A225" s="16"/>
      <c r="B225" s="16" t="s">
        <v>44</v>
      </c>
      <c r="C225" s="52"/>
      <c r="D225" s="1053"/>
      <c r="E225" s="67">
        <f t="shared" si="532"/>
        <v>0.29068001293223178</v>
      </c>
      <c r="F225" s="67">
        <f t="shared" si="532"/>
        <v>0.28859268650788894</v>
      </c>
      <c r="G225" s="52"/>
      <c r="H225" s="52"/>
      <c r="I225" s="52"/>
      <c r="J225" s="52"/>
      <c r="K225" s="67">
        <f>K220/F220-1</f>
        <v>0.29439986296168086</v>
      </c>
      <c r="L225" s="68" t="str">
        <f t="shared" si="533"/>
        <v>NM</v>
      </c>
      <c r="M225" s="68" t="str">
        <f t="shared" si="533"/>
        <v>NM</v>
      </c>
      <c r="N225" s="68" t="str">
        <f t="shared" si="533"/>
        <v>NM</v>
      </c>
      <c r="O225" s="68" t="str">
        <f t="shared" si="533"/>
        <v>NM</v>
      </c>
      <c r="P225" s="67">
        <f>P220/K220-1</f>
        <v>0.31806456650632531</v>
      </c>
      <c r="Q225" s="68" t="str">
        <f t="shared" si="534"/>
        <v>NM</v>
      </c>
      <c r="R225" s="68" t="str">
        <f t="shared" si="534"/>
        <v>NM</v>
      </c>
      <c r="S225" s="68" t="str">
        <f t="shared" si="534"/>
        <v>NM</v>
      </c>
      <c r="T225" s="68" t="str">
        <f t="shared" si="534"/>
        <v>NM</v>
      </c>
      <c r="U225" s="67">
        <f>U220/P220-1</f>
        <v>-1.628509505243847E-3</v>
      </c>
      <c r="V225" s="68" t="str">
        <f t="shared" si="535"/>
        <v>NM</v>
      </c>
      <c r="W225" s="68" t="str">
        <f t="shared" si="535"/>
        <v>NM</v>
      </c>
      <c r="X225" s="68" t="str">
        <f t="shared" si="535"/>
        <v>NM</v>
      </c>
      <c r="Y225" s="68" t="str">
        <f t="shared" si="535"/>
        <v>NM</v>
      </c>
      <c r="Z225" s="67">
        <f t="shared" si="536"/>
        <v>0.20819824984208446</v>
      </c>
      <c r="AA225" s="68">
        <f t="shared" si="536"/>
        <v>0.12670251696414936</v>
      </c>
      <c r="AB225" s="68">
        <f t="shared" si="536"/>
        <v>0.18581837696659997</v>
      </c>
      <c r="AC225" s="68">
        <f t="shared" si="536"/>
        <v>0.10341569942196172</v>
      </c>
      <c r="AD225" s="68">
        <f t="shared" si="536"/>
        <v>0.1438401382025849</v>
      </c>
      <c r="AE225" s="67">
        <f t="shared" si="536"/>
        <v>0.13933459495232214</v>
      </c>
      <c r="AF225" s="68">
        <f t="shared" si="537"/>
        <v>0.18093408652383025</v>
      </c>
      <c r="AG225" s="68">
        <f t="shared" si="537"/>
        <v>0.16246107879817795</v>
      </c>
      <c r="AH225" s="68">
        <f t="shared" si="537"/>
        <v>0.2329634254745534</v>
      </c>
      <c r="AI225" s="68">
        <f t="shared" si="537"/>
        <v>0.20726766725590973</v>
      </c>
      <c r="AJ225" s="67">
        <f t="shared" si="537"/>
        <v>0.19614783224507559</v>
      </c>
      <c r="AK225" s="68">
        <f t="shared" si="537"/>
        <v>0.15033732006187273</v>
      </c>
      <c r="AL225" s="68">
        <f t="shared" si="537"/>
        <v>0.18233737519098603</v>
      </c>
      <c r="AM225" s="68">
        <f t="shared" si="537"/>
        <v>1.2925237556088325</v>
      </c>
      <c r="AN225" s="68">
        <f t="shared" si="537"/>
        <v>1.4148264430593156</v>
      </c>
      <c r="AO225" s="67">
        <f t="shared" si="537"/>
        <v>0.78396071292215797</v>
      </c>
      <c r="AP225" s="68">
        <f t="shared" si="537"/>
        <v>1.5904538834796318</v>
      </c>
      <c r="AQ225" s="68">
        <f t="shared" si="537"/>
        <v>1.4458125213955708</v>
      </c>
      <c r="AR225" s="68">
        <f t="shared" si="537"/>
        <v>0.23934954307300238</v>
      </c>
      <c r="AS225" s="68">
        <f t="shared" si="537"/>
        <v>7.2306721987904332E-2</v>
      </c>
      <c r="AT225" s="67">
        <f t="shared" si="537"/>
        <v>0.58088035964765594</v>
      </c>
      <c r="AU225" s="68">
        <f t="shared" si="537"/>
        <v>5.2369499846114831E-2</v>
      </c>
      <c r="AV225" s="68">
        <f t="shared" si="537"/>
        <v>0.12554407291152825</v>
      </c>
      <c r="AW225" s="68">
        <f t="shared" si="537"/>
        <v>7.5609226304079735E-2</v>
      </c>
      <c r="AX225" s="68">
        <f t="shared" si="537"/>
        <v>0.14925134906918003</v>
      </c>
      <c r="AY225" s="67">
        <f t="shared" si="537"/>
        <v>9.9973101554646115E-2</v>
      </c>
      <c r="AZ225" s="68">
        <f t="shared" si="537"/>
        <v>6.3463667818281611E-2</v>
      </c>
      <c r="BA225" s="68">
        <f t="shared" si="537"/>
        <v>-2.4792273004099474E-3</v>
      </c>
      <c r="BB225" s="68">
        <f t="shared" si="537"/>
        <v>2.6956216917022102E-2</v>
      </c>
      <c r="BC225" s="68">
        <f t="shared" si="537"/>
        <v>9.626312055697861E-2</v>
      </c>
      <c r="BD225" s="67">
        <f t="shared" si="537"/>
        <v>4.5723211177140843E-2</v>
      </c>
      <c r="BE225" s="68">
        <f t="shared" si="537"/>
        <v>7.3152001894593477E-2</v>
      </c>
      <c r="BF225" s="68">
        <f t="shared" si="537"/>
        <v>0.10009970990600214</v>
      </c>
      <c r="BG225" s="68">
        <f t="shared" si="537"/>
        <v>9.8656827845434503E-2</v>
      </c>
      <c r="BH225" s="68">
        <f t="shared" si="537"/>
        <v>4.6774845666077702E-3</v>
      </c>
      <c r="BI225" s="67">
        <f t="shared" si="537"/>
        <v>6.7919044541389972E-2</v>
      </c>
      <c r="BJ225" s="68">
        <f t="shared" si="537"/>
        <v>0.10642657024322899</v>
      </c>
      <c r="BK225" s="68">
        <f t="shared" si="537"/>
        <v>8.9574046612137526E-2</v>
      </c>
      <c r="BL225" s="68">
        <f t="shared" si="537"/>
        <v>3.8506527682995895E-2</v>
      </c>
      <c r="BM225" s="68">
        <f t="shared" si="537"/>
        <v>0.11586778983734325</v>
      </c>
      <c r="BN225" s="67">
        <f t="shared" si="537"/>
        <v>8.7202212683712643E-2</v>
      </c>
      <c r="BO225" s="68">
        <f t="shared" si="537"/>
        <v>3.1141570857813328E-2</v>
      </c>
      <c r="BP225" s="68">
        <f t="shared" si="537"/>
        <v>2.6916182714120662E-3</v>
      </c>
      <c r="BQ225" s="68">
        <f t="shared" si="537"/>
        <v>3.9934888710052352E-2</v>
      </c>
      <c r="BR225" s="68">
        <f t="shared" si="537"/>
        <v>1.0815592268221597E-2</v>
      </c>
      <c r="BS225" s="67">
        <f t="shared" si="537"/>
        <v>2.096821289426587E-2</v>
      </c>
      <c r="BT225" s="68">
        <f t="shared" si="537"/>
        <v>0.23610148851036028</v>
      </c>
      <c r="BU225" s="68">
        <f t="shared" si="537"/>
        <v>0.47260808124331311</v>
      </c>
      <c r="BV225" s="68">
        <f t="shared" si="537"/>
        <v>0.50229060598582786</v>
      </c>
      <c r="BW225" s="68">
        <f t="shared" si="537"/>
        <v>0.4902228288083248</v>
      </c>
      <c r="BX225" s="67">
        <f t="shared" si="537"/>
        <v>0.42475451959040433</v>
      </c>
      <c r="BY225" s="68">
        <f t="shared" si="537"/>
        <v>0.21234567901234569</v>
      </c>
      <c r="BZ225" s="68">
        <f t="shared" si="537"/>
        <v>4.3924902585901426E-2</v>
      </c>
      <c r="CA225" s="68">
        <f t="shared" si="537"/>
        <v>-1.3745704467353903E-2</v>
      </c>
      <c r="CB225" s="68">
        <f t="shared" si="537"/>
        <v>3.949670434744923E-2</v>
      </c>
      <c r="CC225" s="67">
        <f t="shared" si="537"/>
        <v>1.7475728155339931E-2</v>
      </c>
      <c r="CD225" s="68">
        <f t="shared" si="537"/>
        <v>2.5797691785471866E-2</v>
      </c>
      <c r="CE225" s="68">
        <f t="shared" si="537"/>
        <v>-4.4451985069562272E-2</v>
      </c>
      <c r="CF225" s="68">
        <f t="shared" si="537"/>
        <v>-4.4947735191637639E-2</v>
      </c>
      <c r="CG225" s="68">
        <f t="shared" si="537"/>
        <v>-0.10157422812738059</v>
      </c>
      <c r="CH225" s="67">
        <f t="shared" si="537"/>
        <v>4.7367789966006324E-2</v>
      </c>
      <c r="CI225" s="68">
        <f t="shared" si="537"/>
        <v>-7.8755790866975484E-2</v>
      </c>
      <c r="CJ225" s="68">
        <f t="shared" si="537"/>
        <v>-6.9957386363636354E-2</v>
      </c>
      <c r="CK225" s="68">
        <f t="shared" si="537"/>
        <v>-0.1539584093396571</v>
      </c>
      <c r="CL225" s="68"/>
      <c r="CM225" s="67"/>
      <c r="CN225" s="68"/>
      <c r="CO225" s="68"/>
      <c r="CP225" s="68"/>
      <c r="CQ225" s="68"/>
      <c r="CR225" s="67"/>
      <c r="CS225" s="68"/>
      <c r="CT225" s="68"/>
      <c r="CU225" s="68"/>
      <c r="CV225" s="68"/>
      <c r="CW225" s="67"/>
      <c r="CX225" s="68"/>
      <c r="CY225" s="68"/>
      <c r="CZ225" s="68"/>
      <c r="DA225" s="68"/>
      <c r="DB225" s="67"/>
      <c r="DC225" s="16"/>
      <c r="DD225" s="16"/>
      <c r="DE225" s="16"/>
      <c r="DF225" s="16"/>
      <c r="DG225" s="16"/>
      <c r="DH225" s="16"/>
      <c r="DI225" s="16"/>
      <c r="DJ225" s="16"/>
    </row>
    <row r="226" spans="1:114" s="725" customFormat="1" ht="11.25" hidden="1" customHeight="1" outlineLevel="1">
      <c r="A226" s="66"/>
      <c r="B226" s="66" t="s">
        <v>60</v>
      </c>
      <c r="C226" s="163"/>
      <c r="D226" s="70"/>
      <c r="E226" s="67" t="str">
        <f t="shared" si="532"/>
        <v>NM</v>
      </c>
      <c r="F226" s="67" t="str">
        <f t="shared" si="532"/>
        <v>NM</v>
      </c>
      <c r="G226" s="66"/>
      <c r="H226" s="66"/>
      <c r="I226" s="66"/>
      <c r="J226" s="66"/>
      <c r="K226" s="67" t="str">
        <f>IF(ISERROR(K221/F221-1),"NM",K221/F221-1)</f>
        <v>NM</v>
      </c>
      <c r="L226" s="68" t="str">
        <f t="shared" si="533"/>
        <v>NM</v>
      </c>
      <c r="M226" s="68" t="str">
        <f t="shared" si="533"/>
        <v>NM</v>
      </c>
      <c r="N226" s="68" t="str">
        <f t="shared" si="533"/>
        <v>NM</v>
      </c>
      <c r="O226" s="68" t="str">
        <f t="shared" si="533"/>
        <v>NM</v>
      </c>
      <c r="P226" s="67" t="str">
        <f>IF(ISERROR(P221/K221-1),"NM",P221/K221-1)</f>
        <v>NM</v>
      </c>
      <c r="Q226" s="68" t="str">
        <f t="shared" si="534"/>
        <v>NM</v>
      </c>
      <c r="R226" s="68" t="str">
        <f t="shared" si="534"/>
        <v>NM</v>
      </c>
      <c r="S226" s="68" t="str">
        <f t="shared" si="534"/>
        <v>NM</v>
      </c>
      <c r="T226" s="68" t="str">
        <f t="shared" si="534"/>
        <v>NM</v>
      </c>
      <c r="U226" s="67" t="str">
        <f>IF(ISERROR(U221/P221-1),"NM",U221/P221-1)</f>
        <v>NM</v>
      </c>
      <c r="V226" s="68" t="str">
        <f t="shared" si="535"/>
        <v>NM</v>
      </c>
      <c r="W226" s="68" t="str">
        <f t="shared" si="535"/>
        <v>NM</v>
      </c>
      <c r="X226" s="68" t="str">
        <f t="shared" si="535"/>
        <v>NM</v>
      </c>
      <c r="Y226" s="68" t="str">
        <f t="shared" si="535"/>
        <v>NM</v>
      </c>
      <c r="Z226" s="67">
        <f t="shared" si="536"/>
        <v>0.1940608403883548</v>
      </c>
      <c r="AA226" s="68">
        <f t="shared" si="536"/>
        <v>0.11154508400050589</v>
      </c>
      <c r="AB226" s="68">
        <f t="shared" si="536"/>
        <v>-0.16304080866820747</v>
      </c>
      <c r="AC226" s="68">
        <f t="shared" si="536"/>
        <v>1.4970794274875132E-2</v>
      </c>
      <c r="AD226" s="68">
        <f t="shared" si="536"/>
        <v>2.1961414266722157E-2</v>
      </c>
      <c r="AE226" s="67">
        <f t="shared" si="536"/>
        <v>-7.7012841721071368E-3</v>
      </c>
      <c r="AF226" s="68">
        <f t="shared" si="537"/>
        <v>2.6510902568405381E-2</v>
      </c>
      <c r="AG226" s="68">
        <f t="shared" si="537"/>
        <v>0.38373560909958759</v>
      </c>
      <c r="AH226" s="68">
        <f t="shared" si="537"/>
        <v>0.23973373384740482</v>
      </c>
      <c r="AI226" s="68">
        <f t="shared" si="537"/>
        <v>0.21572537920332979</v>
      </c>
      <c r="AJ226" s="67">
        <f t="shared" si="537"/>
        <v>0.20840969251940167</v>
      </c>
      <c r="AK226" s="68">
        <f t="shared" si="537"/>
        <v>0.26306268286392243</v>
      </c>
      <c r="AL226" s="68">
        <f t="shared" si="537"/>
        <v>0.14944294952950443</v>
      </c>
      <c r="AM226" s="68">
        <f t="shared" si="537"/>
        <v>0.88594057369245371</v>
      </c>
      <c r="AN226" s="68">
        <f t="shared" si="537"/>
        <v>0.16375954873023169</v>
      </c>
      <c r="AO226" s="67">
        <f t="shared" si="537"/>
        <v>0.37198178574889584</v>
      </c>
      <c r="AP226" s="68">
        <f t="shared" si="537"/>
        <v>0.90582611138974634</v>
      </c>
      <c r="AQ226" s="68">
        <f t="shared" si="537"/>
        <v>0.91079103234028969</v>
      </c>
      <c r="AR226" s="68">
        <f t="shared" si="537"/>
        <v>0.21134007700668467</v>
      </c>
      <c r="AS226" s="68">
        <f t="shared" si="537"/>
        <v>0.76425258867345169</v>
      </c>
      <c r="AT226" s="67">
        <f t="shared" si="537"/>
        <v>0.62734684308397881</v>
      </c>
      <c r="AU226" s="68">
        <f t="shared" si="537"/>
        <v>0.16047454280724627</v>
      </c>
      <c r="AV226" s="68">
        <f t="shared" si="537"/>
        <v>0.1009095233912003</v>
      </c>
      <c r="AW226" s="68">
        <f t="shared" si="537"/>
        <v>0.13308196617005041</v>
      </c>
      <c r="AX226" s="68">
        <f t="shared" si="537"/>
        <v>0.29733902724443029</v>
      </c>
      <c r="AY226" s="67">
        <f t="shared" si="537"/>
        <v>0.16912128547280791</v>
      </c>
      <c r="AZ226" s="68">
        <f t="shared" si="537"/>
        <v>7.3930829903107398E-2</v>
      </c>
      <c r="BA226" s="68">
        <f t="shared" si="537"/>
        <v>0.11919024917237353</v>
      </c>
      <c r="BB226" s="68">
        <f t="shared" si="537"/>
        <v>9.0517391871940633E-2</v>
      </c>
      <c r="BC226" s="68">
        <f t="shared" si="537"/>
        <v>0.16011078682383784</v>
      </c>
      <c r="BD226" s="67">
        <f t="shared" si="537"/>
        <v>0.11089638985228323</v>
      </c>
      <c r="BE226" s="68">
        <f t="shared" si="537"/>
        <v>0.16245110752343428</v>
      </c>
      <c r="BF226" s="68">
        <f t="shared" si="537"/>
        <v>0.1299586231587897</v>
      </c>
      <c r="BG226" s="68">
        <f t="shared" si="537"/>
        <v>0.1013323022946977</v>
      </c>
      <c r="BH226" s="68">
        <f t="shared" si="537"/>
        <v>-4.0497283386767835E-2</v>
      </c>
      <c r="BI226" s="67">
        <f t="shared" si="537"/>
        <v>8.5437636165938802E-2</v>
      </c>
      <c r="BJ226" s="68">
        <f t="shared" si="537"/>
        <v>0.18836481560036522</v>
      </c>
      <c r="BK226" s="68">
        <f t="shared" si="537"/>
        <v>0.1821448689883316</v>
      </c>
      <c r="BL226" s="68">
        <f t="shared" si="537"/>
        <v>0.16737887693195908</v>
      </c>
      <c r="BM226" s="68">
        <f t="shared" si="537"/>
        <v>0.23073217502966425</v>
      </c>
      <c r="BN226" s="67">
        <f t="shared" si="537"/>
        <v>0.19126057059230939</v>
      </c>
      <c r="BO226" s="68">
        <f t="shared" si="537"/>
        <v>2.2117306707114981E-2</v>
      </c>
      <c r="BP226" s="68">
        <f t="shared" si="537"/>
        <v>7.3984734579584988E-2</v>
      </c>
      <c r="BQ226" s="68">
        <f t="shared" si="537"/>
        <v>6.3348379603824334E-2</v>
      </c>
      <c r="BR226" s="68">
        <f t="shared" si="537"/>
        <v>8.0770758188722924E-2</v>
      </c>
      <c r="BS226" s="67">
        <f t="shared" si="537"/>
        <v>5.9672803131031849E-2</v>
      </c>
      <c r="BT226" s="68">
        <f t="shared" si="537"/>
        <v>0.40143563616922573</v>
      </c>
      <c r="BU226" s="68">
        <f t="shared" si="537"/>
        <v>0.34568663469386585</v>
      </c>
      <c r="BV226" s="68">
        <f t="shared" si="537"/>
        <v>0.41054208657297364</v>
      </c>
      <c r="BW226" s="68">
        <f t="shared" si="537"/>
        <v>0.26962315920777913</v>
      </c>
      <c r="BX226" s="67">
        <f t="shared" si="537"/>
        <v>0.35720716124542684</v>
      </c>
      <c r="BY226" s="68">
        <f t="shared" si="537"/>
        <v>4.2075736325386526E-3</v>
      </c>
      <c r="BZ226" s="68">
        <f t="shared" si="537"/>
        <v>-5.1136363636363646E-2</v>
      </c>
      <c r="CA226" s="68">
        <f t="shared" si="537"/>
        <v>-3.6486486486486447E-2</v>
      </c>
      <c r="CB226" s="68">
        <f t="shared" si="537"/>
        <v>5.6990870297114693E-2</v>
      </c>
      <c r="CC226" s="67">
        <f t="shared" si="537"/>
        <v>-5.3846153846153988E-2</v>
      </c>
      <c r="CD226" s="68">
        <f t="shared" si="537"/>
        <v>-1.1173184357541888E-2</v>
      </c>
      <c r="CE226" s="68">
        <f t="shared" si="537"/>
        <v>-1.7964071856287456E-2</v>
      </c>
      <c r="CF226" s="68">
        <f t="shared" si="537"/>
        <v>-9.9579242636746113E-2</v>
      </c>
      <c r="CG226" s="68">
        <f t="shared" si="537"/>
        <v>-5.7484629071754445E-2</v>
      </c>
      <c r="CH226" s="67">
        <f t="shared" si="537"/>
        <v>4.7367789966006102E-2</v>
      </c>
      <c r="CI226" s="68">
        <f t="shared" si="537"/>
        <v>-0.10734463276836159</v>
      </c>
      <c r="CJ226" s="68">
        <f t="shared" si="537"/>
        <v>-0.10213414634146345</v>
      </c>
      <c r="CK226" s="68">
        <f t="shared" si="537"/>
        <v>-0.10436137071651086</v>
      </c>
      <c r="CL226" s="68"/>
      <c r="CM226" s="67"/>
      <c r="CN226" s="68"/>
      <c r="CO226" s="68"/>
      <c r="CP226" s="68"/>
      <c r="CQ226" s="68"/>
      <c r="CR226" s="67"/>
      <c r="CS226" s="68"/>
      <c r="CT226" s="68"/>
      <c r="CU226" s="68"/>
      <c r="CV226" s="68"/>
      <c r="CW226" s="67"/>
      <c r="CX226" s="68"/>
      <c r="CY226" s="68"/>
      <c r="CZ226" s="68"/>
      <c r="DA226" s="68"/>
      <c r="DB226" s="67"/>
      <c r="DC226" s="66"/>
      <c r="DD226" s="66"/>
      <c r="DE226" s="66"/>
      <c r="DF226" s="66"/>
      <c r="DG226" s="66"/>
      <c r="DH226" s="66"/>
      <c r="DI226" s="66"/>
      <c r="DJ226" s="66"/>
    </row>
    <row r="227" spans="1:114" s="725" customFormat="1" ht="11.25" hidden="1" customHeight="1" outlineLevel="1">
      <c r="A227" s="16"/>
      <c r="B227" s="21" t="s">
        <v>409</v>
      </c>
      <c r="C227" s="431"/>
      <c r="D227" s="71"/>
      <c r="E227" s="71"/>
      <c r="F227" s="56"/>
      <c r="G227" s="57"/>
      <c r="H227" s="57"/>
      <c r="I227" s="57"/>
      <c r="J227" s="57"/>
      <c r="K227" s="56"/>
      <c r="L227" s="57"/>
      <c r="M227" s="57"/>
      <c r="N227" s="57"/>
      <c r="O227" s="57"/>
      <c r="P227" s="56"/>
      <c r="Q227" s="57"/>
      <c r="R227" s="57"/>
      <c r="S227" s="57"/>
      <c r="T227" s="57"/>
      <c r="U227" s="56"/>
      <c r="V227" s="57"/>
      <c r="W227" s="57"/>
      <c r="X227" s="57"/>
      <c r="Y227" s="57"/>
      <c r="Z227" s="56"/>
      <c r="AA227" s="57"/>
      <c r="AB227" s="57"/>
      <c r="AC227" s="57"/>
      <c r="AD227" s="57"/>
      <c r="AE227" s="56"/>
      <c r="AF227" s="57"/>
      <c r="AG227" s="57"/>
      <c r="AH227" s="57"/>
      <c r="AI227" s="57"/>
      <c r="AJ227" s="56"/>
      <c r="AK227" s="57"/>
      <c r="AL227" s="57"/>
      <c r="AM227" s="57"/>
      <c r="AN227" s="57"/>
      <c r="AO227" s="56"/>
      <c r="AP227" s="57"/>
      <c r="AQ227" s="57"/>
      <c r="AR227" s="57"/>
      <c r="AS227" s="57"/>
      <c r="AT227" s="56"/>
      <c r="AU227" s="57"/>
      <c r="AV227" s="57"/>
      <c r="AW227" s="57"/>
      <c r="AX227" s="57"/>
      <c r="AY227" s="56"/>
      <c r="AZ227" s="57"/>
      <c r="BA227" s="57"/>
      <c r="BB227" s="57"/>
      <c r="BC227" s="57"/>
      <c r="BD227" s="56"/>
      <c r="BE227" s="57"/>
      <c r="BF227" s="57"/>
      <c r="BG227" s="57"/>
      <c r="BH227" s="57"/>
      <c r="BI227" s="56"/>
      <c r="BJ227" s="59"/>
      <c r="BK227" s="59"/>
      <c r="BL227" s="59"/>
      <c r="BM227" s="57"/>
      <c r="BN227" s="56"/>
      <c r="BO227" s="59"/>
      <c r="BP227" s="59"/>
      <c r="BQ227" s="59"/>
      <c r="BR227" s="57"/>
      <c r="BS227" s="56"/>
      <c r="BT227" s="59"/>
      <c r="BU227" s="59"/>
      <c r="BV227" s="59"/>
      <c r="BW227" s="59"/>
      <c r="BX227" s="56"/>
      <c r="BY227" s="59"/>
      <c r="BZ227" s="59"/>
      <c r="CA227" s="59"/>
      <c r="CB227" s="59"/>
      <c r="CC227" s="58"/>
      <c r="CD227" s="59"/>
      <c r="CE227" s="59"/>
      <c r="CF227" s="59"/>
      <c r="CG227" s="59"/>
      <c r="CH227" s="58"/>
      <c r="CI227" s="59"/>
      <c r="CJ227" s="59"/>
      <c r="CK227" s="59"/>
      <c r="CL227" s="59"/>
      <c r="CM227" s="58"/>
      <c r="CN227" s="59"/>
      <c r="CO227" s="59"/>
      <c r="CP227" s="59"/>
      <c r="CQ227" s="59"/>
      <c r="CR227" s="58"/>
      <c r="CS227" s="59"/>
      <c r="CT227" s="59"/>
      <c r="CU227" s="59"/>
      <c r="CV227" s="59"/>
      <c r="CW227" s="58"/>
      <c r="CX227" s="59"/>
      <c r="CY227" s="59"/>
      <c r="CZ227" s="59"/>
      <c r="DA227" s="59"/>
      <c r="DB227" s="58"/>
      <c r="DC227" s="16"/>
      <c r="DD227" s="16"/>
      <c r="DE227" s="16"/>
      <c r="DF227" s="16"/>
      <c r="DG227" s="16"/>
      <c r="DH227" s="16"/>
      <c r="DI227" s="16"/>
      <c r="DJ227" s="16"/>
    </row>
    <row r="228" spans="1:114" s="725" customFormat="1" ht="11.25" hidden="1" customHeight="1" outlineLevel="1">
      <c r="A228" s="16"/>
      <c r="B228" s="16" t="s">
        <v>58</v>
      </c>
      <c r="C228" s="237"/>
      <c r="D228" s="422">
        <f t="shared" ref="D228:E231" si="538">IF(ISERROR(D218/(D$8*1000)),"NM",D218/(D$8*1000))</f>
        <v>0.39</v>
      </c>
      <c r="E228" s="67">
        <f t="shared" si="538"/>
        <v>0.36199999999999999</v>
      </c>
      <c r="F228" s="67">
        <f>F218/(F$8*1000)</f>
        <v>0.34200000000000003</v>
      </c>
      <c r="G228" s="68" t="str">
        <f t="shared" ref="G228:J231" si="539">IF(ISERROR(G218/(G$8*1000)),"NM",G218/(G$8*1000))</f>
        <v>NM</v>
      </c>
      <c r="H228" s="68" t="str">
        <f t="shared" si="539"/>
        <v>NM</v>
      </c>
      <c r="I228" s="68" t="str">
        <f t="shared" si="539"/>
        <v>NM</v>
      </c>
      <c r="J228" s="68" t="str">
        <f t="shared" si="539"/>
        <v>NM</v>
      </c>
      <c r="K228" s="67">
        <f>K218/(K$8*1000)</f>
        <v>0.33500000000000002</v>
      </c>
      <c r="L228" s="68" t="str">
        <f t="shared" ref="L228:O231" si="540">IF(ISERROR(L218/(L$8*1000)),"NM",L218/(L$8*1000))</f>
        <v>NM</v>
      </c>
      <c r="M228" s="68" t="str">
        <f t="shared" si="540"/>
        <v>NM</v>
      </c>
      <c r="N228" s="68" t="str">
        <f t="shared" si="540"/>
        <v>NM</v>
      </c>
      <c r="O228" s="68" t="str">
        <f t="shared" si="540"/>
        <v>NM</v>
      </c>
      <c r="P228" s="67">
        <f>P218/(P$8*1000)</f>
        <v>0.33</v>
      </c>
      <c r="Q228" s="68" t="str">
        <f t="shared" ref="Q228:T231" si="541">IF(ISERROR(Q218/(Q$8*1000)),"NM",Q218/(Q$8*1000))</f>
        <v>NM</v>
      </c>
      <c r="R228" s="68" t="str">
        <f t="shared" si="541"/>
        <v>NM</v>
      </c>
      <c r="S228" s="68" t="str">
        <f t="shared" si="541"/>
        <v>NM</v>
      </c>
      <c r="T228" s="68" t="str">
        <f t="shared" si="541"/>
        <v>NM</v>
      </c>
      <c r="U228" s="67">
        <f t="shared" ref="U228:AZ228" si="542">U218/(U$8*1000)</f>
        <v>0.32999999999999996</v>
      </c>
      <c r="V228" s="68">
        <f t="shared" si="542"/>
        <v>0.33300000000000007</v>
      </c>
      <c r="W228" s="68">
        <f t="shared" si="542"/>
        <v>0.315</v>
      </c>
      <c r="X228" s="68">
        <f t="shared" si="542"/>
        <v>0.31100000000000005</v>
      </c>
      <c r="Y228" s="68">
        <f t="shared" si="542"/>
        <v>0.31027800792269572</v>
      </c>
      <c r="Z228" s="67">
        <f t="shared" si="542"/>
        <v>0.31900000000000001</v>
      </c>
      <c r="AA228" s="68">
        <f t="shared" si="542"/>
        <v>0.33600000000000002</v>
      </c>
      <c r="AB228" s="68">
        <f t="shared" si="542"/>
        <v>0.31599999999999995</v>
      </c>
      <c r="AC228" s="68">
        <f t="shared" si="542"/>
        <v>0.31</v>
      </c>
      <c r="AD228" s="68">
        <f t="shared" si="542"/>
        <v>0.31640701172014229</v>
      </c>
      <c r="AE228" s="67">
        <f t="shared" si="542"/>
        <v>0.31950044936587996</v>
      </c>
      <c r="AF228" s="68">
        <f t="shared" si="542"/>
        <v>0.32100000000000006</v>
      </c>
      <c r="AG228" s="68">
        <f t="shared" si="542"/>
        <v>0.308</v>
      </c>
      <c r="AH228" s="68">
        <f t="shared" si="542"/>
        <v>0.29699999999999999</v>
      </c>
      <c r="AI228" s="68">
        <f t="shared" si="542"/>
        <v>0.3033636417182845</v>
      </c>
      <c r="AJ228" s="67">
        <f t="shared" si="542"/>
        <v>0.307</v>
      </c>
      <c r="AK228" s="68">
        <f t="shared" si="542"/>
        <v>0.312</v>
      </c>
      <c r="AL228" s="68">
        <f t="shared" si="542"/>
        <v>0.29499999999999998</v>
      </c>
      <c r="AM228" s="68">
        <f t="shared" si="542"/>
        <v>0.28000000000000003</v>
      </c>
      <c r="AN228" s="68">
        <f t="shared" si="542"/>
        <v>0.26272121255747827</v>
      </c>
      <c r="AO228" s="67">
        <f t="shared" si="542"/>
        <v>0.28999999999999998</v>
      </c>
      <c r="AP228" s="68">
        <f t="shared" si="542"/>
        <v>0.28499999999999998</v>
      </c>
      <c r="AQ228" s="68">
        <f t="shared" si="542"/>
        <v>0.27500000000000002</v>
      </c>
      <c r="AR228" s="68">
        <f t="shared" si="542"/>
        <v>0.26200000000000001</v>
      </c>
      <c r="AS228" s="68">
        <f t="shared" si="542"/>
        <v>0.26697794489882093</v>
      </c>
      <c r="AT228" s="67">
        <f t="shared" si="542"/>
        <v>0.27500000000000002</v>
      </c>
      <c r="AU228" s="68">
        <f t="shared" si="542"/>
        <v>0.27800000000000002</v>
      </c>
      <c r="AV228" s="68">
        <f t="shared" si="542"/>
        <v>0.27200000000000002</v>
      </c>
      <c r="AW228" s="68">
        <f t="shared" si="542"/>
        <v>0.26800000000000002</v>
      </c>
      <c r="AX228" s="68">
        <f t="shared" si="542"/>
        <v>0.26825469744877789</v>
      </c>
      <c r="AY228" s="67" t="e">
        <f t="shared" si="542"/>
        <v>#REF!</v>
      </c>
      <c r="AZ228" s="68">
        <f t="shared" si="542"/>
        <v>0.27600000000000002</v>
      </c>
      <c r="BA228" s="68">
        <f t="shared" ref="BA228:BR228" si="543">BA218/(BA$8*1000)</f>
        <v>0.27400000000000002</v>
      </c>
      <c r="BB228" s="68">
        <f t="shared" si="543"/>
        <v>0.26900000000000002</v>
      </c>
      <c r="BC228" s="68">
        <f t="shared" si="543"/>
        <v>0.26928780858959322</v>
      </c>
      <c r="BD228" s="67">
        <f t="shared" si="543"/>
        <v>0.27200000000000002</v>
      </c>
      <c r="BE228" s="68">
        <f t="shared" si="543"/>
        <v>0.27500000000000002</v>
      </c>
      <c r="BF228" s="68">
        <f t="shared" si="543"/>
        <v>0.26800000000000002</v>
      </c>
      <c r="BG228" s="68">
        <f t="shared" si="543"/>
        <v>0.26</v>
      </c>
      <c r="BH228" s="68">
        <f t="shared" si="543"/>
        <v>0.26193584165525546</v>
      </c>
      <c r="BI228" s="67">
        <f t="shared" si="543"/>
        <v>0.26800000000000002</v>
      </c>
      <c r="BJ228" s="68">
        <f t="shared" si="543"/>
        <v>0.28126325660613438</v>
      </c>
      <c r="BK228" s="68">
        <f t="shared" si="543"/>
        <v>0.25381163070530116</v>
      </c>
      <c r="BL228" s="68">
        <f t="shared" si="543"/>
        <v>0.25796333502044144</v>
      </c>
      <c r="BM228" s="68">
        <f t="shared" si="543"/>
        <v>0.2633608984930782</v>
      </c>
      <c r="BN228" s="67">
        <f t="shared" si="543"/>
        <v>0.26416267669576715</v>
      </c>
      <c r="BO228" s="68">
        <f t="shared" si="543"/>
        <v>0.26181167475128703</v>
      </c>
      <c r="BP228" s="68">
        <f t="shared" si="543"/>
        <v>0.24756547655086297</v>
      </c>
      <c r="BQ228" s="68">
        <f t="shared" si="543"/>
        <v>0.24179658422332309</v>
      </c>
      <c r="BR228" s="68">
        <f t="shared" si="543"/>
        <v>0.24471116638650373</v>
      </c>
      <c r="BS228" s="584">
        <v>0.249</v>
      </c>
      <c r="BT228" s="68">
        <v>0.26500000000000001</v>
      </c>
      <c r="BU228" s="68">
        <v>0.25600000000000001</v>
      </c>
      <c r="BV228" s="68">
        <v>0.25600000000000001</v>
      </c>
      <c r="BW228" s="68">
        <f>BW218/(BW$8*1000)</f>
        <v>0.23825991367314861</v>
      </c>
      <c r="BX228" s="584">
        <v>0.247</v>
      </c>
      <c r="BY228" s="1237">
        <v>0.248</v>
      </c>
      <c r="BZ228" s="1237">
        <v>0.246</v>
      </c>
      <c r="CA228" s="1237">
        <v>0.23899999999999999</v>
      </c>
      <c r="CB228" s="1237">
        <v>0.23100000000000001</v>
      </c>
      <c r="CC228" s="1239">
        <v>0.24099999999999999</v>
      </c>
      <c r="CD228" s="1237">
        <v>0.249</v>
      </c>
      <c r="CE228" s="1237">
        <v>0.23899999999999999</v>
      </c>
      <c r="CF228" s="1237">
        <v>0.23899999999999999</v>
      </c>
      <c r="CG228" s="1237">
        <v>0.23899999999999999</v>
      </c>
      <c r="CH228" s="1239">
        <v>0.24099999999999999</v>
      </c>
      <c r="CI228" s="1237">
        <v>0.23599999999999999</v>
      </c>
      <c r="CJ228" s="1237">
        <v>0.22500000000000001</v>
      </c>
      <c r="CK228" s="1237">
        <v>0.222</v>
      </c>
      <c r="CL228" s="68">
        <f>(CM228*4)-SUM(CI228:CK228)</f>
        <v>0.22900000000000009</v>
      </c>
      <c r="CM228" s="1239">
        <v>0.22800000000000001</v>
      </c>
      <c r="CN228" s="68"/>
      <c r="CO228" s="68"/>
      <c r="CP228" s="68"/>
      <c r="CQ228" s="68"/>
      <c r="CR228" s="67"/>
      <c r="CS228" s="68"/>
      <c r="CT228" s="68"/>
      <c r="CU228" s="68"/>
      <c r="CV228" s="68"/>
      <c r="CW228" s="67"/>
      <c r="CX228" s="68"/>
      <c r="CY228" s="68"/>
      <c r="CZ228" s="68"/>
      <c r="DA228" s="68"/>
      <c r="DB228" s="67"/>
      <c r="DC228" s="16"/>
      <c r="DD228" s="16"/>
      <c r="DE228" s="16"/>
      <c r="DF228" s="16"/>
      <c r="DG228" s="16"/>
      <c r="DH228" s="16"/>
      <c r="DI228" s="16"/>
      <c r="DJ228" s="16"/>
    </row>
    <row r="229" spans="1:114" s="725" customFormat="1" ht="11.25" hidden="1" customHeight="1" outlineLevel="1">
      <c r="A229" s="16"/>
      <c r="B229" s="16" t="s">
        <v>59</v>
      </c>
      <c r="C229" s="237"/>
      <c r="D229" s="422">
        <f t="shared" si="538"/>
        <v>0.10199999999999999</v>
      </c>
      <c r="E229" s="67">
        <f t="shared" si="538"/>
        <v>0.11899999999999999</v>
      </c>
      <c r="F229" s="67">
        <f>F219/(F$8*1000)</f>
        <v>0.11799999999999999</v>
      </c>
      <c r="G229" s="68" t="str">
        <f t="shared" si="539"/>
        <v>NM</v>
      </c>
      <c r="H229" s="68" t="str">
        <f t="shared" si="539"/>
        <v>NM</v>
      </c>
      <c r="I229" s="68" t="str">
        <f t="shared" si="539"/>
        <v>NM</v>
      </c>
      <c r="J229" s="68" t="str">
        <f t="shared" si="539"/>
        <v>NM</v>
      </c>
      <c r="K229" s="67">
        <f>K219/(K$8*1000)</f>
        <v>0.113</v>
      </c>
      <c r="L229" s="68" t="str">
        <f t="shared" si="540"/>
        <v>NM</v>
      </c>
      <c r="M229" s="68" t="str">
        <f t="shared" si="540"/>
        <v>NM</v>
      </c>
      <c r="N229" s="68" t="str">
        <f t="shared" si="540"/>
        <v>NM</v>
      </c>
      <c r="O229" s="68" t="str">
        <f t="shared" si="540"/>
        <v>NM</v>
      </c>
      <c r="P229" s="67">
        <f>P219/(P$8*1000)</f>
        <v>0.11</v>
      </c>
      <c r="Q229" s="68" t="str">
        <f t="shared" si="541"/>
        <v>NM</v>
      </c>
      <c r="R229" s="68" t="str">
        <f t="shared" si="541"/>
        <v>NM</v>
      </c>
      <c r="S229" s="68" t="str">
        <f t="shared" si="541"/>
        <v>NM</v>
      </c>
      <c r="T229" s="68" t="str">
        <f t="shared" si="541"/>
        <v>NM</v>
      </c>
      <c r="U229" s="67">
        <f t="shared" ref="U229:AZ229" si="544">U219/(U$8*1000)</f>
        <v>0.10799999999999998</v>
      </c>
      <c r="V229" s="68">
        <f t="shared" si="544"/>
        <v>9.9000000000000005E-2</v>
      </c>
      <c r="W229" s="68">
        <f t="shared" si="544"/>
        <v>0.104</v>
      </c>
      <c r="X229" s="68">
        <f t="shared" si="544"/>
        <v>0.10800000000000001</v>
      </c>
      <c r="Y229" s="68">
        <f t="shared" si="544"/>
        <v>0.10638718074323741</v>
      </c>
      <c r="Z229" s="67">
        <f t="shared" si="544"/>
        <v>0.105</v>
      </c>
      <c r="AA229" s="68">
        <f t="shared" si="544"/>
        <v>0.09</v>
      </c>
      <c r="AB229" s="68">
        <f t="shared" si="544"/>
        <v>0.11799999999999998</v>
      </c>
      <c r="AC229" s="68">
        <f t="shared" si="544"/>
        <v>0.11799999999999999</v>
      </c>
      <c r="AD229" s="68">
        <f t="shared" si="544"/>
        <v>0.12052058814544792</v>
      </c>
      <c r="AE229" s="67">
        <f t="shared" si="544"/>
        <v>0.11182515727805799</v>
      </c>
      <c r="AF229" s="68">
        <f t="shared" si="544"/>
        <v>9.3000000000000013E-2</v>
      </c>
      <c r="AG229" s="68">
        <f t="shared" si="544"/>
        <v>0.10199999999999999</v>
      </c>
      <c r="AH229" s="68">
        <f t="shared" si="544"/>
        <v>0.11899999999999998</v>
      </c>
      <c r="AI229" s="68">
        <f t="shared" si="544"/>
        <v>0.1237106577263991</v>
      </c>
      <c r="AJ229" s="67">
        <f t="shared" si="544"/>
        <v>0.11</v>
      </c>
      <c r="AK229" s="68">
        <f t="shared" si="544"/>
        <v>0.10199999999999999</v>
      </c>
      <c r="AL229" s="68">
        <f t="shared" si="544"/>
        <v>0.11599999999999999</v>
      </c>
      <c r="AM229" s="68">
        <f t="shared" si="544"/>
        <v>0.104</v>
      </c>
      <c r="AN229" s="68">
        <f t="shared" si="544"/>
        <v>8.772875346768752E-2</v>
      </c>
      <c r="AO229" s="67">
        <f t="shared" si="544"/>
        <v>0.10299999999999999</v>
      </c>
      <c r="AP229" s="68">
        <f t="shared" si="544"/>
        <v>8.3000000000000004E-2</v>
      </c>
      <c r="AQ229" s="68">
        <f t="shared" si="544"/>
        <v>8.6999999999999994E-2</v>
      </c>
      <c r="AR229" s="68">
        <f t="shared" si="544"/>
        <v>9.2999999999999999E-2</v>
      </c>
      <c r="AS229" s="68">
        <f t="shared" si="544"/>
        <v>9.7084941796926186E-2</v>
      </c>
      <c r="AT229" s="67">
        <f t="shared" si="544"/>
        <v>9.0999999999999998E-2</v>
      </c>
      <c r="AU229" s="68">
        <f t="shared" si="544"/>
        <v>8.4000000000000005E-2</v>
      </c>
      <c r="AV229" s="68">
        <f t="shared" si="544"/>
        <v>0.09</v>
      </c>
      <c r="AW229" s="68">
        <f t="shared" si="544"/>
        <v>0.10299999999999999</v>
      </c>
      <c r="AX229" s="68">
        <f t="shared" si="544"/>
        <v>0.11456037760752812</v>
      </c>
      <c r="AY229" s="67" t="e">
        <f t="shared" si="544"/>
        <v>#REF!</v>
      </c>
      <c r="AZ229" s="68">
        <f t="shared" si="544"/>
        <v>0.10199999999999999</v>
      </c>
      <c r="BA229" s="68">
        <f t="shared" ref="BA229:BR229" si="545">BA219/(BA$8*1000)</f>
        <v>0.108</v>
      </c>
      <c r="BB229" s="68">
        <f t="shared" si="545"/>
        <v>0.11099999999999999</v>
      </c>
      <c r="BC229" s="68">
        <f t="shared" si="545"/>
        <v>0.10307307787141913</v>
      </c>
      <c r="BD229" s="67">
        <f t="shared" si="545"/>
        <v>0.106</v>
      </c>
      <c r="BE229" s="68">
        <f t="shared" si="545"/>
        <v>9.6000000000000002E-2</v>
      </c>
      <c r="BF229" s="68">
        <f t="shared" si="545"/>
        <v>0.10100000000000002</v>
      </c>
      <c r="BG229" s="68">
        <f t="shared" si="545"/>
        <v>9.5000000000000001E-2</v>
      </c>
      <c r="BH229" s="68">
        <f t="shared" si="545"/>
        <v>9.34168270630127E-2</v>
      </c>
      <c r="BI229" s="67">
        <f t="shared" si="545"/>
        <v>9.7000000000000003E-2</v>
      </c>
      <c r="BJ229" s="68">
        <f t="shared" si="545"/>
        <v>8.3280758431829235E-2</v>
      </c>
      <c r="BK229" s="68">
        <f t="shared" si="545"/>
        <v>0.10585176066375758</v>
      </c>
      <c r="BL229" s="68">
        <f t="shared" si="545"/>
        <v>0.1046982668954497</v>
      </c>
      <c r="BM229" s="68">
        <f t="shared" si="545"/>
        <v>9.5286765705940274E-2</v>
      </c>
      <c r="BN229" s="67">
        <f t="shared" si="545"/>
        <v>9.7220114691590628E-2</v>
      </c>
      <c r="BO229" s="68">
        <f t="shared" si="545"/>
        <v>8.7635675034384866E-2</v>
      </c>
      <c r="BP229" s="68">
        <f t="shared" si="545"/>
        <v>0.10521225915316228</v>
      </c>
      <c r="BQ229" s="68">
        <f t="shared" si="545"/>
        <v>0.10470877645702062</v>
      </c>
      <c r="BR229" s="68">
        <f t="shared" si="545"/>
        <v>9.0472064100624458E-2</v>
      </c>
      <c r="BS229" s="584">
        <v>9.7000000000000003E-2</v>
      </c>
      <c r="BT229" s="68">
        <v>9.4E-2</v>
      </c>
      <c r="BU229" s="68">
        <v>0.106</v>
      </c>
      <c r="BV229" s="68">
        <v>0.106</v>
      </c>
      <c r="BW229" s="68">
        <f>BW219/(BW$8*1000)</f>
        <v>0.11316924653277272</v>
      </c>
      <c r="BX229" s="584">
        <v>0.108</v>
      </c>
      <c r="BY229" s="1237">
        <v>0.104</v>
      </c>
      <c r="BZ229" s="1237">
        <v>0.11</v>
      </c>
      <c r="CA229" s="1237">
        <v>0.11899999999999999</v>
      </c>
      <c r="CB229" s="1237">
        <v>0.11700000000000001</v>
      </c>
      <c r="CC229" s="1239">
        <v>0.112</v>
      </c>
      <c r="CD229" s="1238">
        <v>0.10300000000000001</v>
      </c>
      <c r="CE229" s="1238">
        <v>0.105</v>
      </c>
      <c r="CF229" s="1238">
        <v>0.105</v>
      </c>
      <c r="CG229" s="1238">
        <v>0.105</v>
      </c>
      <c r="CH229" s="1239">
        <v>0.112</v>
      </c>
      <c r="CI229" s="1238">
        <v>0.10300000000000001</v>
      </c>
      <c r="CJ229" s="1238">
        <v>0.111</v>
      </c>
      <c r="CK229" s="1238">
        <v>0.11</v>
      </c>
      <c r="CL229" s="68">
        <f t="shared" ref="CL229:CL231" si="546">(CM229*4)-SUM(CI229:CK229)</f>
        <v>8.7999999999999967E-2</v>
      </c>
      <c r="CM229" s="1239">
        <v>0.10299999999999999</v>
      </c>
      <c r="CN229" s="68"/>
      <c r="CO229" s="68"/>
      <c r="CP229" s="68"/>
      <c r="CQ229" s="68"/>
      <c r="CR229" s="67"/>
      <c r="CS229" s="68"/>
      <c r="CT229" s="68"/>
      <c r="CU229" s="68"/>
      <c r="CV229" s="68"/>
      <c r="CW229" s="67"/>
      <c r="CX229" s="68"/>
      <c r="CY229" s="68"/>
      <c r="CZ229" s="68"/>
      <c r="DA229" s="68"/>
      <c r="DB229" s="67"/>
      <c r="DC229" s="16"/>
      <c r="DD229" s="16"/>
      <c r="DE229" s="16"/>
      <c r="DF229" s="16"/>
      <c r="DG229" s="16"/>
      <c r="DH229" s="16"/>
      <c r="DI229" s="16"/>
      <c r="DJ229" s="16"/>
    </row>
    <row r="230" spans="1:114" s="725" customFormat="1" ht="11.25" hidden="1" customHeight="1" outlineLevel="1">
      <c r="A230" s="16"/>
      <c r="B230" s="16" t="s">
        <v>44</v>
      </c>
      <c r="C230" s="237"/>
      <c r="D230" s="422">
        <f t="shared" si="538"/>
        <v>0.50800000000000001</v>
      </c>
      <c r="E230" s="67">
        <f t="shared" si="538"/>
        <v>0.51900000000000002</v>
      </c>
      <c r="F230" s="67">
        <f>F220/(F$8*1000)</f>
        <v>0.54</v>
      </c>
      <c r="G230" s="68" t="str">
        <f t="shared" si="539"/>
        <v>NM</v>
      </c>
      <c r="H230" s="68" t="str">
        <f t="shared" si="539"/>
        <v>NM</v>
      </c>
      <c r="I230" s="68" t="str">
        <f t="shared" si="539"/>
        <v>NM</v>
      </c>
      <c r="J230" s="68" t="str">
        <f t="shared" si="539"/>
        <v>NM</v>
      </c>
      <c r="K230" s="67">
        <f>K220/(K$8*1000)</f>
        <v>0.55200000000000005</v>
      </c>
      <c r="L230" s="68" t="str">
        <f t="shared" si="540"/>
        <v>NM</v>
      </c>
      <c r="M230" s="68" t="str">
        <f t="shared" si="540"/>
        <v>NM</v>
      </c>
      <c r="N230" s="68" t="str">
        <f t="shared" si="540"/>
        <v>NM</v>
      </c>
      <c r="O230" s="68" t="str">
        <f t="shared" si="540"/>
        <v>NM</v>
      </c>
      <c r="P230" s="67">
        <f>P220/(P$8*1000)</f>
        <v>0.56000000000000005</v>
      </c>
      <c r="Q230" s="68" t="str">
        <f t="shared" si="541"/>
        <v>NM</v>
      </c>
      <c r="R230" s="68" t="str">
        <f t="shared" si="541"/>
        <v>NM</v>
      </c>
      <c r="S230" s="68" t="str">
        <f t="shared" si="541"/>
        <v>NM</v>
      </c>
      <c r="T230" s="68" t="str">
        <f t="shared" si="541"/>
        <v>NM</v>
      </c>
      <c r="U230" s="67">
        <f t="shared" ref="U230:AZ230" si="547">U220/(U$8*1000)</f>
        <v>0.43399999999999989</v>
      </c>
      <c r="V230" s="68">
        <f t="shared" si="547"/>
        <v>0.43999999999999995</v>
      </c>
      <c r="W230" s="68">
        <f t="shared" si="547"/>
        <v>0.438</v>
      </c>
      <c r="X230" s="68">
        <f t="shared" si="547"/>
        <v>0.45300000000000001</v>
      </c>
      <c r="Y230" s="68">
        <f t="shared" si="547"/>
        <v>0.44257195301449037</v>
      </c>
      <c r="Z230" s="67">
        <f t="shared" si="547"/>
        <v>0.44600000000000001</v>
      </c>
      <c r="AA230" s="68">
        <f t="shared" si="547"/>
        <v>0.44600000000000001</v>
      </c>
      <c r="AB230" s="68">
        <f t="shared" si="547"/>
        <v>0.45999999999999996</v>
      </c>
      <c r="AC230" s="68">
        <f t="shared" si="547"/>
        <v>0.45400000000000001</v>
      </c>
      <c r="AD230" s="68">
        <f t="shared" si="547"/>
        <v>0.44932477929271813</v>
      </c>
      <c r="AE230" s="67">
        <f t="shared" si="547"/>
        <v>0.4522928236335737</v>
      </c>
      <c r="AF230" s="68">
        <f t="shared" si="547"/>
        <v>0.46900000000000003</v>
      </c>
      <c r="AG230" s="68">
        <f t="shared" si="547"/>
        <v>0.46299999999999997</v>
      </c>
      <c r="AH230" s="68">
        <f t="shared" si="547"/>
        <v>0.46300000000000002</v>
      </c>
      <c r="AI230" s="68">
        <f t="shared" si="547"/>
        <v>0.46144622629987425</v>
      </c>
      <c r="AJ230" s="67">
        <f t="shared" si="547"/>
        <v>0.46399999999999997</v>
      </c>
      <c r="AK230" s="68">
        <f t="shared" si="547"/>
        <v>0.46</v>
      </c>
      <c r="AL230" s="68">
        <f t="shared" si="547"/>
        <v>0.46500000000000002</v>
      </c>
      <c r="AM230" s="68">
        <f t="shared" si="547"/>
        <v>0.50700000000000001</v>
      </c>
      <c r="AN230" s="68">
        <f t="shared" si="547"/>
        <v>0.50881099511062988</v>
      </c>
      <c r="AO230" s="67">
        <f t="shared" si="547"/>
        <v>0.50700000000000001</v>
      </c>
      <c r="AP230" s="68">
        <f t="shared" si="547"/>
        <v>0.52600000000000002</v>
      </c>
      <c r="AQ230" s="68">
        <f t="shared" si="547"/>
        <v>0.52800000000000002</v>
      </c>
      <c r="AR230" s="68">
        <f t="shared" si="547"/>
        <v>0.53300000000000003</v>
      </c>
      <c r="AS230" s="68">
        <f t="shared" si="547"/>
        <v>0.49952854604933949</v>
      </c>
      <c r="AT230" s="67">
        <f t="shared" si="547"/>
        <v>0.52700000000000002</v>
      </c>
      <c r="AU230" s="68">
        <f t="shared" si="547"/>
        <v>0.52200000000000002</v>
      </c>
      <c r="AV230" s="68">
        <f t="shared" si="547"/>
        <v>0.53</v>
      </c>
      <c r="AW230" s="68">
        <f t="shared" si="547"/>
        <v>0.51500000000000001</v>
      </c>
      <c r="AX230" s="68">
        <f t="shared" si="547"/>
        <v>0.51286946071133466</v>
      </c>
      <c r="AY230" s="67" t="e">
        <f t="shared" si="547"/>
        <v>#REF!</v>
      </c>
      <c r="AZ230" s="68">
        <f t="shared" si="547"/>
        <v>0.50800000000000001</v>
      </c>
      <c r="BA230" s="68">
        <f t="shared" ref="BA230:BR230" si="548">BA220/(BA$8*1000)</f>
        <v>0.503</v>
      </c>
      <c r="BB230" s="68">
        <f t="shared" si="548"/>
        <v>0.502</v>
      </c>
      <c r="BC230" s="68">
        <f t="shared" si="548"/>
        <v>0.51076088187641622</v>
      </c>
      <c r="BD230" s="67">
        <f t="shared" si="548"/>
        <v>0.50600000000000001</v>
      </c>
      <c r="BE230" s="68">
        <f t="shared" si="548"/>
        <v>0.50600000000000001</v>
      </c>
      <c r="BF230" s="68">
        <f t="shared" si="548"/>
        <v>0.51100000000000001</v>
      </c>
      <c r="BG230" s="68">
        <f t="shared" si="548"/>
        <v>0.52200000000000002</v>
      </c>
      <c r="BH230" s="68">
        <f t="shared" si="548"/>
        <v>0.50721503209573016</v>
      </c>
      <c r="BI230" s="67">
        <f t="shared" si="548"/>
        <v>0.51500000000000001</v>
      </c>
      <c r="BJ230" s="68">
        <f t="shared" si="548"/>
        <v>0.50389626934489862</v>
      </c>
      <c r="BK230" s="68">
        <f t="shared" si="548"/>
        <v>0.51031569270782728</v>
      </c>
      <c r="BL230" s="68">
        <f t="shared" si="548"/>
        <v>0.50387552442596173</v>
      </c>
      <c r="BM230" s="68">
        <f t="shared" si="548"/>
        <v>0.52011100033022595</v>
      </c>
      <c r="BN230" s="67">
        <f t="shared" si="548"/>
        <v>0.50955428746598197</v>
      </c>
      <c r="BO230" s="68">
        <f t="shared" si="548"/>
        <v>0.51836862109332582</v>
      </c>
      <c r="BP230" s="68">
        <f t="shared" si="548"/>
        <v>0.5092733998647262</v>
      </c>
      <c r="BQ230" s="68">
        <f t="shared" si="548"/>
        <v>0.5142590136633346</v>
      </c>
      <c r="BR230" s="68">
        <f t="shared" si="548"/>
        <v>0.52614136181346438</v>
      </c>
      <c r="BS230" s="584">
        <v>0.51700000000000002</v>
      </c>
      <c r="BT230" s="68">
        <v>0.496</v>
      </c>
      <c r="BU230" s="68">
        <v>0.51</v>
      </c>
      <c r="BV230" s="68">
        <v>0.51</v>
      </c>
      <c r="BW230" s="68">
        <f>BW220/(BW$8*1000)</f>
        <v>0.5219657350555349</v>
      </c>
      <c r="BX230" s="584">
        <v>0.51500000000000001</v>
      </c>
      <c r="BY230" s="1237">
        <v>0.52200000000000002</v>
      </c>
      <c r="BZ230" s="1237">
        <v>0.52500000000000002</v>
      </c>
      <c r="CA230" s="1237">
        <v>0.51400000000000001</v>
      </c>
      <c r="CB230" s="1237">
        <v>0.53300000000000003</v>
      </c>
      <c r="CC230" s="1239">
        <v>0.52400000000000002</v>
      </c>
      <c r="CD230" s="1238">
        <v>0.52500000000000002</v>
      </c>
      <c r="CE230" s="1238">
        <v>0.53200000000000003</v>
      </c>
      <c r="CF230" s="1238">
        <v>0.53200000000000003</v>
      </c>
      <c r="CG230" s="1238">
        <v>0.53200000000000003</v>
      </c>
      <c r="CH230" s="1239">
        <v>0.52400000000000002</v>
      </c>
      <c r="CI230" s="1238">
        <v>0.53900000000000003</v>
      </c>
      <c r="CJ230" s="1238">
        <v>0.54200000000000004</v>
      </c>
      <c r="CK230" s="1238">
        <v>0.53500000000000003</v>
      </c>
      <c r="CL230" s="68">
        <f t="shared" si="546"/>
        <v>0.55600000000000005</v>
      </c>
      <c r="CM230" s="1239">
        <v>0.54300000000000004</v>
      </c>
      <c r="CN230" s="68"/>
      <c r="CO230" s="68"/>
      <c r="CP230" s="68"/>
      <c r="CQ230" s="68"/>
      <c r="CR230" s="67"/>
      <c r="CS230" s="68"/>
      <c r="CT230" s="68"/>
      <c r="CU230" s="68"/>
      <c r="CV230" s="68"/>
      <c r="CW230" s="67"/>
      <c r="CX230" s="68"/>
      <c r="CY230" s="68"/>
      <c r="CZ230" s="68"/>
      <c r="DA230" s="68"/>
      <c r="DB230" s="67"/>
      <c r="DC230" s="16"/>
      <c r="DD230" s="16"/>
      <c r="DE230" s="16"/>
      <c r="DF230" s="16"/>
      <c r="DG230" s="16"/>
      <c r="DH230" s="16"/>
      <c r="DI230" s="16"/>
      <c r="DJ230" s="16"/>
    </row>
    <row r="231" spans="1:114" s="725" customFormat="1" ht="11.25" hidden="1" customHeight="1" outlineLevel="1">
      <c r="A231" s="66"/>
      <c r="B231" s="66" t="s">
        <v>60</v>
      </c>
      <c r="C231" s="237"/>
      <c r="D231" s="422">
        <f t="shared" si="538"/>
        <v>0</v>
      </c>
      <c r="E231" s="67">
        <f t="shared" si="538"/>
        <v>0</v>
      </c>
      <c r="F231" s="67">
        <f>F221/(F$8*1000)</f>
        <v>0</v>
      </c>
      <c r="G231" s="68" t="str">
        <f t="shared" si="539"/>
        <v>NM</v>
      </c>
      <c r="H231" s="68" t="str">
        <f t="shared" si="539"/>
        <v>NM</v>
      </c>
      <c r="I231" s="68" t="str">
        <f t="shared" si="539"/>
        <v>NM</v>
      </c>
      <c r="J231" s="68" t="str">
        <f t="shared" si="539"/>
        <v>NM</v>
      </c>
      <c r="K231" s="67">
        <f>K221/(K$8*1000)</f>
        <v>0</v>
      </c>
      <c r="L231" s="68" t="str">
        <f t="shared" si="540"/>
        <v>NM</v>
      </c>
      <c r="M231" s="68" t="str">
        <f t="shared" si="540"/>
        <v>NM</v>
      </c>
      <c r="N231" s="68" t="str">
        <f t="shared" si="540"/>
        <v>NM</v>
      </c>
      <c r="O231" s="68" t="str">
        <f t="shared" si="540"/>
        <v>NM</v>
      </c>
      <c r="P231" s="67">
        <f>P221/(P$8*1000)</f>
        <v>0</v>
      </c>
      <c r="Q231" s="68" t="str">
        <f t="shared" si="541"/>
        <v>NM</v>
      </c>
      <c r="R231" s="68" t="str">
        <f t="shared" si="541"/>
        <v>NM</v>
      </c>
      <c r="S231" s="68" t="str">
        <f t="shared" si="541"/>
        <v>NM</v>
      </c>
      <c r="T231" s="68" t="str">
        <f t="shared" si="541"/>
        <v>NM</v>
      </c>
      <c r="U231" s="67">
        <f t="shared" ref="U231:AZ231" si="549">U221/(U$8*1000)</f>
        <v>0.128</v>
      </c>
      <c r="V231" s="68">
        <f t="shared" si="549"/>
        <v>0.128</v>
      </c>
      <c r="W231" s="68">
        <f t="shared" si="549"/>
        <v>0.14299999999999999</v>
      </c>
      <c r="X231" s="68">
        <f t="shared" si="549"/>
        <v>0.128</v>
      </c>
      <c r="Y231" s="68">
        <f t="shared" si="549"/>
        <v>0.11883835222612152</v>
      </c>
      <c r="Z231" s="67">
        <f t="shared" si="549"/>
        <v>0.13</v>
      </c>
      <c r="AA231" s="68">
        <f t="shared" si="549"/>
        <v>0.128</v>
      </c>
      <c r="AB231" s="68">
        <f t="shared" si="549"/>
        <v>0.106</v>
      </c>
      <c r="AC231" s="68">
        <f t="shared" si="549"/>
        <v>0.11799999999999999</v>
      </c>
      <c r="AD231" s="68">
        <f t="shared" si="549"/>
        <v>0.1077959066054355</v>
      </c>
      <c r="AE231" s="67">
        <f t="shared" si="549"/>
        <v>0.11482047399086312</v>
      </c>
      <c r="AF231" s="68">
        <f t="shared" si="549"/>
        <v>0.11700000000000002</v>
      </c>
      <c r="AG231" s="68">
        <f t="shared" si="549"/>
        <v>0.127</v>
      </c>
      <c r="AH231" s="68">
        <f t="shared" si="549"/>
        <v>0.121</v>
      </c>
      <c r="AI231" s="68">
        <f t="shared" si="549"/>
        <v>0.11147947425544202</v>
      </c>
      <c r="AJ231" s="67">
        <f t="shared" si="549"/>
        <v>0.11899999999999999</v>
      </c>
      <c r="AK231" s="68">
        <f t="shared" si="549"/>
        <v>0.126</v>
      </c>
      <c r="AL231" s="68">
        <f t="shared" si="549"/>
        <v>0.124</v>
      </c>
      <c r="AM231" s="68">
        <f t="shared" si="549"/>
        <v>0.109</v>
      </c>
      <c r="AN231" s="68">
        <f t="shared" si="549"/>
        <v>5.9238988633657973E-2</v>
      </c>
      <c r="AO231" s="67">
        <f t="shared" si="549"/>
        <v>0.1</v>
      </c>
      <c r="AP231" s="68">
        <f t="shared" si="549"/>
        <v>0.106</v>
      </c>
      <c r="AQ231" s="68">
        <f t="shared" si="549"/>
        <v>0.11</v>
      </c>
      <c r="AR231" s="68">
        <f t="shared" si="549"/>
        <v>0.112</v>
      </c>
      <c r="AS231" s="68">
        <f t="shared" si="549"/>
        <v>9.5687056270817222E-2</v>
      </c>
      <c r="AT231" s="67">
        <f t="shared" si="549"/>
        <v>0.107</v>
      </c>
      <c r="AU231" s="68">
        <f t="shared" si="549"/>
        <v>0.11599999999999999</v>
      </c>
      <c r="AV231" s="68">
        <f t="shared" si="549"/>
        <v>0.108</v>
      </c>
      <c r="AW231" s="68">
        <f t="shared" si="549"/>
        <v>0.114</v>
      </c>
      <c r="AX231" s="68">
        <f t="shared" si="549"/>
        <v>0.11090169471128186</v>
      </c>
      <c r="AY231" s="67" t="e">
        <f t="shared" si="549"/>
        <v>#REF!</v>
      </c>
      <c r="AZ231" s="68">
        <f t="shared" si="549"/>
        <v>0.114</v>
      </c>
      <c r="BA231" s="68">
        <f t="shared" ref="BA231:BR231" si="550">BA221/(BA$8*1000)</f>
        <v>0.115</v>
      </c>
      <c r="BB231" s="68">
        <f t="shared" si="550"/>
        <v>0.11799999999999999</v>
      </c>
      <c r="BC231" s="68">
        <f t="shared" si="550"/>
        <v>0.1168782316625714</v>
      </c>
      <c r="BD231" s="67">
        <f t="shared" si="550"/>
        <v>0.11600000000000001</v>
      </c>
      <c r="BE231" s="68">
        <f t="shared" si="550"/>
        <v>0.123</v>
      </c>
      <c r="BF231" s="68">
        <f t="shared" si="550"/>
        <v>0.12</v>
      </c>
      <c r="BG231" s="68">
        <f t="shared" si="550"/>
        <v>0.123</v>
      </c>
      <c r="BH231" s="68">
        <f t="shared" si="550"/>
        <v>0.11084794833078379</v>
      </c>
      <c r="BI231" s="67">
        <f t="shared" si="550"/>
        <v>0.12</v>
      </c>
      <c r="BJ231" s="68">
        <f t="shared" si="550"/>
        <v>0.13155971561713772</v>
      </c>
      <c r="BK231" s="68">
        <f t="shared" si="550"/>
        <v>0.13002091592311396</v>
      </c>
      <c r="BL231" s="68">
        <f t="shared" si="550"/>
        <v>0.13346287365814719</v>
      </c>
      <c r="BM231" s="68">
        <f t="shared" si="550"/>
        <v>0.12536675804903996</v>
      </c>
      <c r="BN231" s="67">
        <f t="shared" si="550"/>
        <v>0.13009509330211672</v>
      </c>
      <c r="BO231" s="68">
        <f t="shared" si="550"/>
        <v>0.13415378584919402</v>
      </c>
      <c r="BP231" s="68">
        <f t="shared" si="550"/>
        <v>0.13898118627601833</v>
      </c>
      <c r="BQ231" s="68">
        <f t="shared" si="550"/>
        <v>0.13927993198241043</v>
      </c>
      <c r="BR231" s="68">
        <f t="shared" si="550"/>
        <v>0.13559711637236127</v>
      </c>
      <c r="BS231" s="584">
        <v>0.13700000000000001</v>
      </c>
      <c r="BT231" s="68">
        <v>0.14499999999999999</v>
      </c>
      <c r="BU231" s="68">
        <v>0.128</v>
      </c>
      <c r="BV231" s="68">
        <v>0.128</v>
      </c>
      <c r="BW231" s="68">
        <f>BW221/(BW$8*1000)</f>
        <v>0.11460765520893873</v>
      </c>
      <c r="BX231" s="584">
        <v>0.13</v>
      </c>
      <c r="BY231" s="1237">
        <v>0.126</v>
      </c>
      <c r="BZ231" s="1237">
        <v>0.11899999999999999</v>
      </c>
      <c r="CA231" s="1237">
        <v>0.128</v>
      </c>
      <c r="CB231" s="1237">
        <v>0.11899999999999999</v>
      </c>
      <c r="CC231" s="1239">
        <v>0.123</v>
      </c>
      <c r="CD231" s="1238">
        <v>0.12300000000000001</v>
      </c>
      <c r="CE231" s="1238">
        <v>0.124</v>
      </c>
      <c r="CF231" s="1238">
        <v>0.124</v>
      </c>
      <c r="CG231" s="1238">
        <v>0.124</v>
      </c>
      <c r="CH231" s="1239">
        <v>0.123</v>
      </c>
      <c r="CI231" s="1238">
        <v>0.122</v>
      </c>
      <c r="CJ231" s="1238">
        <v>0.122</v>
      </c>
      <c r="CK231" s="1238">
        <v>0.13300000000000001</v>
      </c>
      <c r="CL231" s="68">
        <f t="shared" si="546"/>
        <v>0.127</v>
      </c>
      <c r="CM231" s="1239">
        <v>0.126</v>
      </c>
      <c r="CN231" s="68"/>
      <c r="CO231" s="68"/>
      <c r="CP231" s="68"/>
      <c r="CQ231" s="68"/>
      <c r="CR231" s="67"/>
      <c r="CS231" s="68"/>
      <c r="CT231" s="68"/>
      <c r="CU231" s="68"/>
      <c r="CV231" s="68"/>
      <c r="CW231" s="67"/>
      <c r="CX231" s="68"/>
      <c r="CY231" s="68"/>
      <c r="CZ231" s="68"/>
      <c r="DA231" s="68"/>
      <c r="DB231" s="67"/>
      <c r="DC231" s="66"/>
      <c r="DD231" s="66"/>
      <c r="DE231" s="66"/>
      <c r="DF231" s="66"/>
      <c r="DG231" s="66"/>
      <c r="DH231" s="66"/>
      <c r="DI231" s="66"/>
      <c r="DJ231" s="66"/>
    </row>
    <row r="232" spans="1:114" s="725" customFormat="1" ht="11.25" hidden="1" customHeight="1" outlineLevel="1">
      <c r="A232" s="37"/>
      <c r="B232" s="1126" t="s">
        <v>657</v>
      </c>
      <c r="C232" s="1240"/>
      <c r="D232" s="1240"/>
      <c r="E232" s="1241"/>
      <c r="F232" s="1241"/>
      <c r="G232" s="1242"/>
      <c r="H232" s="1242"/>
      <c r="I232" s="1242"/>
      <c r="J232" s="1242"/>
      <c r="K232" s="1241"/>
      <c r="L232" s="1242"/>
      <c r="M232" s="1242"/>
      <c r="N232" s="1242"/>
      <c r="O232" s="1242"/>
      <c r="P232" s="1241"/>
      <c r="Q232" s="1242"/>
      <c r="R232" s="1242"/>
      <c r="S232" s="1242"/>
      <c r="T232" s="1242"/>
      <c r="U232" s="1241"/>
      <c r="V232" s="1242"/>
      <c r="W232" s="1242"/>
      <c r="X232" s="1242"/>
      <c r="Y232" s="1242"/>
      <c r="Z232" s="1241"/>
      <c r="AA232" s="1242"/>
      <c r="AB232" s="1242"/>
      <c r="AC232" s="1242"/>
      <c r="AD232" s="1242"/>
      <c r="AE232" s="1241"/>
      <c r="AF232" s="1242"/>
      <c r="AG232" s="1242"/>
      <c r="AH232" s="1242"/>
      <c r="AI232" s="1242"/>
      <c r="AJ232" s="1241"/>
      <c r="AK232" s="1242"/>
      <c r="AL232" s="1242"/>
      <c r="AM232" s="1242"/>
      <c r="AN232" s="1242"/>
      <c r="AO232" s="1241"/>
      <c r="AP232" s="1242"/>
      <c r="AQ232" s="1242"/>
      <c r="AR232" s="1242"/>
      <c r="AS232" s="1242"/>
      <c r="AT232" s="1241"/>
      <c r="AU232" s="1242"/>
      <c r="AV232" s="1242"/>
      <c r="AW232" s="1242"/>
      <c r="AX232" s="1242"/>
      <c r="AY232" s="1241"/>
      <c r="AZ232" s="1242"/>
      <c r="BA232" s="1242"/>
      <c r="BB232" s="1242"/>
      <c r="BC232" s="1242"/>
      <c r="BD232" s="1241"/>
      <c r="BE232" s="1242"/>
      <c r="BF232" s="1242"/>
      <c r="BG232" s="1242"/>
      <c r="BH232" s="1242"/>
      <c r="BI232" s="1241"/>
      <c r="BJ232" s="1242"/>
      <c r="BK232" s="1242"/>
      <c r="BL232" s="1242"/>
      <c r="BM232" s="1242"/>
      <c r="BN232" s="1241"/>
      <c r="BO232" s="1242"/>
      <c r="BP232" s="1242"/>
      <c r="BQ232" s="1242"/>
      <c r="BR232" s="1242"/>
      <c r="BS232" s="1241"/>
      <c r="BT232" s="1242"/>
      <c r="BU232" s="1242"/>
      <c r="BV232" s="1242"/>
      <c r="BW232" s="1242"/>
      <c r="BX232" s="1241"/>
      <c r="BY232" s="1242"/>
      <c r="BZ232" s="1242"/>
      <c r="CA232" s="1242"/>
      <c r="CB232" s="1242"/>
      <c r="CC232" s="1241"/>
      <c r="CD232" s="1242"/>
      <c r="CE232" s="1242"/>
      <c r="CF232" s="1242"/>
      <c r="CG232" s="1242"/>
      <c r="CH232" s="1241"/>
      <c r="CI232" s="1242"/>
      <c r="CJ232" s="1242"/>
      <c r="CK232" s="1242"/>
      <c r="CL232" s="1242"/>
      <c r="CM232" s="1241"/>
      <c r="CN232" s="1242"/>
      <c r="CO232" s="1242"/>
      <c r="CP232" s="1242"/>
      <c r="CQ232" s="1242"/>
      <c r="CR232" s="1241"/>
      <c r="CS232" s="1242"/>
      <c r="CT232" s="1242"/>
      <c r="CU232" s="1242"/>
      <c r="CV232" s="1242"/>
      <c r="CW232" s="1241"/>
      <c r="CX232" s="1242"/>
      <c r="CY232" s="1242"/>
      <c r="CZ232" s="1242"/>
      <c r="DA232" s="1242"/>
      <c r="DB232" s="1241"/>
      <c r="DC232" s="37"/>
      <c r="DD232" s="37"/>
      <c r="DE232" s="37"/>
      <c r="DF232" s="37"/>
      <c r="DG232" s="37"/>
      <c r="DH232" s="37"/>
      <c r="DI232" s="37"/>
      <c r="DJ232" s="37"/>
    </row>
    <row r="233" spans="1:114" s="725" customFormat="1" ht="11.25" hidden="1" customHeight="1" outlineLevel="1">
      <c r="A233" s="16"/>
      <c r="B233" s="21" t="s">
        <v>420</v>
      </c>
      <c r="C233" s="37"/>
      <c r="D233" s="106"/>
      <c r="E233" s="16"/>
      <c r="F233" s="18"/>
      <c r="G233" s="16"/>
      <c r="H233" s="16"/>
      <c r="I233" s="16"/>
      <c r="J233" s="16"/>
      <c r="K233" s="18"/>
      <c r="L233" s="16"/>
      <c r="M233" s="16"/>
      <c r="N233" s="16"/>
      <c r="O233" s="16"/>
      <c r="P233" s="18"/>
      <c r="Q233" s="16"/>
      <c r="R233" s="16"/>
      <c r="S233" s="16"/>
      <c r="T233" s="16"/>
      <c r="U233" s="18"/>
      <c r="V233" s="16"/>
      <c r="W233" s="16"/>
      <c r="X233" s="16"/>
      <c r="Y233" s="16"/>
      <c r="Z233" s="18"/>
      <c r="AA233" s="16"/>
      <c r="AB233" s="16"/>
      <c r="AC233" s="16"/>
      <c r="AD233" s="16"/>
      <c r="AE233" s="18"/>
      <c r="AF233" s="16"/>
      <c r="AG233" s="16"/>
      <c r="AH233" s="16"/>
      <c r="AI233" s="16"/>
      <c r="AJ233" s="18"/>
      <c r="AK233" s="16"/>
      <c r="AL233" s="16"/>
      <c r="AM233" s="16"/>
      <c r="AN233" s="16"/>
      <c r="AO233" s="18"/>
      <c r="AP233" s="16"/>
      <c r="AQ233" s="16"/>
      <c r="AR233" s="16"/>
      <c r="AS233" s="16"/>
      <c r="AT233" s="18"/>
      <c r="AU233" s="16"/>
      <c r="AV233" s="16"/>
      <c r="AW233" s="16"/>
      <c r="AX233" s="16"/>
      <c r="AY233" s="18"/>
      <c r="AZ233" s="16"/>
      <c r="BA233" s="16"/>
      <c r="BB233" s="16"/>
      <c r="BC233" s="16"/>
      <c r="BD233" s="18"/>
      <c r="BE233" s="16"/>
      <c r="BF233" s="16"/>
      <c r="BG233" s="16"/>
      <c r="BH233" s="16"/>
      <c r="BI233" s="18"/>
      <c r="BJ233" s="16"/>
      <c r="BK233" s="16"/>
      <c r="BL233" s="16"/>
      <c r="BM233" s="16"/>
      <c r="BN233" s="18"/>
      <c r="BO233" s="16"/>
      <c r="BP233" s="16"/>
      <c r="BQ233" s="16"/>
      <c r="BR233" s="16"/>
      <c r="BS233" s="18"/>
      <c r="BT233" s="16"/>
      <c r="BU233" s="16"/>
      <c r="BV233" s="16"/>
      <c r="BW233" s="16"/>
      <c r="BX233" s="18"/>
      <c r="BY233" s="16"/>
      <c r="BZ233" s="16"/>
      <c r="CA233" s="16"/>
      <c r="CB233" s="16"/>
      <c r="CC233" s="18"/>
      <c r="CD233" s="16"/>
      <c r="CE233" s="16"/>
      <c r="CF233" s="16"/>
      <c r="CG233" s="16"/>
      <c r="CH233" s="18"/>
      <c r="CI233" s="16"/>
      <c r="CJ233" s="16"/>
      <c r="CK233" s="16"/>
      <c r="CL233" s="16"/>
      <c r="CM233" s="18"/>
      <c r="CN233" s="16"/>
      <c r="CO233" s="16"/>
      <c r="CP233" s="16"/>
      <c r="CQ233" s="16"/>
      <c r="CR233" s="18"/>
      <c r="CS233" s="16"/>
      <c r="CT233" s="16"/>
      <c r="CU233" s="16"/>
      <c r="CV233" s="16"/>
      <c r="CW233" s="18"/>
      <c r="CX233" s="16"/>
      <c r="CY233" s="16"/>
      <c r="CZ233" s="16"/>
      <c r="DA233" s="16"/>
      <c r="DB233" s="18"/>
      <c r="DC233" s="16"/>
      <c r="DD233" s="16"/>
      <c r="DE233" s="16"/>
      <c r="DF233" s="16"/>
      <c r="DG233" s="16"/>
      <c r="DH233" s="16"/>
      <c r="DI233" s="16"/>
      <c r="DJ233" s="16"/>
    </row>
    <row r="234" spans="1:114" s="725" customFormat="1" ht="11.25" hidden="1" customHeight="1" outlineLevel="1">
      <c r="A234" s="37"/>
      <c r="B234" s="246" t="s">
        <v>533</v>
      </c>
      <c r="C234" s="247"/>
      <c r="D234" s="423"/>
      <c r="E234" s="248">
        <v>46</v>
      </c>
      <c r="F234" s="248">
        <v>52</v>
      </c>
      <c r="G234" s="247">
        <v>52</v>
      </c>
      <c r="H234" s="247">
        <v>53</v>
      </c>
      <c r="I234" s="247">
        <v>54</v>
      </c>
      <c r="J234" s="247">
        <v>57</v>
      </c>
      <c r="K234" s="449">
        <v>57</v>
      </c>
      <c r="L234" s="450">
        <v>59</v>
      </c>
      <c r="M234" s="450">
        <v>59</v>
      </c>
      <c r="N234" s="450">
        <v>61</v>
      </c>
      <c r="O234" s="450">
        <v>63</v>
      </c>
      <c r="P234" s="449">
        <v>63</v>
      </c>
      <c r="Q234" s="450">
        <v>70</v>
      </c>
      <c r="R234" s="450">
        <v>70</v>
      </c>
      <c r="S234" s="450">
        <v>72</v>
      </c>
      <c r="T234" s="450">
        <v>72</v>
      </c>
      <c r="U234" s="449">
        <v>72</v>
      </c>
      <c r="V234" s="450">
        <v>72</v>
      </c>
      <c r="W234" s="450">
        <v>72</v>
      </c>
      <c r="X234" s="450">
        <v>71</v>
      </c>
      <c r="Y234" s="450">
        <v>71</v>
      </c>
      <c r="Z234" s="449">
        <v>71</v>
      </c>
      <c r="AA234" s="450">
        <v>68</v>
      </c>
      <c r="AB234" s="450">
        <v>67</v>
      </c>
      <c r="AC234" s="450">
        <v>68</v>
      </c>
      <c r="AD234" s="450">
        <v>70</v>
      </c>
      <c r="AE234" s="449">
        <v>70</v>
      </c>
      <c r="AF234" s="450">
        <v>71</v>
      </c>
      <c r="AG234" s="450">
        <v>75</v>
      </c>
      <c r="AH234" s="450">
        <v>76</v>
      </c>
      <c r="AI234" s="450">
        <v>77</v>
      </c>
      <c r="AJ234" s="449">
        <v>77</v>
      </c>
      <c r="AK234" s="450">
        <v>77</v>
      </c>
      <c r="AL234" s="450">
        <v>79</v>
      </c>
      <c r="AM234" s="450">
        <v>125</v>
      </c>
      <c r="AN234" s="450">
        <v>115</v>
      </c>
      <c r="AO234" s="449">
        <v>115</v>
      </c>
      <c r="AP234" s="450">
        <v>115</v>
      </c>
      <c r="AQ234" s="450">
        <v>116</v>
      </c>
      <c r="AR234" s="450">
        <v>116</v>
      </c>
      <c r="AS234" s="450">
        <v>118</v>
      </c>
      <c r="AT234" s="449">
        <v>118</v>
      </c>
      <c r="AU234" s="450">
        <v>119</v>
      </c>
      <c r="AV234" s="450">
        <v>122</v>
      </c>
      <c r="AW234" s="450">
        <v>122</v>
      </c>
      <c r="AX234" s="450">
        <v>122</v>
      </c>
      <c r="AY234" s="449">
        <v>122</v>
      </c>
      <c r="AZ234" s="450">
        <v>122</v>
      </c>
      <c r="BA234" s="450">
        <v>122</v>
      </c>
      <c r="BB234" s="450">
        <v>123</v>
      </c>
      <c r="BC234" s="450">
        <v>130</v>
      </c>
      <c r="BD234" s="449">
        <v>130</v>
      </c>
      <c r="BE234" s="450">
        <v>129</v>
      </c>
      <c r="BF234" s="450">
        <v>130</v>
      </c>
      <c r="BG234" s="450">
        <v>130</v>
      </c>
      <c r="BH234" s="450">
        <v>131</v>
      </c>
      <c r="BI234" s="449">
        <v>131</v>
      </c>
      <c r="BJ234" s="450">
        <v>134</v>
      </c>
      <c r="BK234" s="450">
        <v>134</v>
      </c>
      <c r="BL234" s="450">
        <v>135</v>
      </c>
      <c r="BM234" s="450">
        <v>135</v>
      </c>
      <c r="BN234" s="449">
        <v>135</v>
      </c>
      <c r="BO234" s="450">
        <v>135</v>
      </c>
      <c r="BP234" s="450">
        <v>135</v>
      </c>
      <c r="BQ234" s="450">
        <v>135</v>
      </c>
      <c r="BR234" s="450">
        <v>135</v>
      </c>
      <c r="BS234" s="449">
        <v>135</v>
      </c>
      <c r="BT234" s="450">
        <v>197</v>
      </c>
      <c r="BU234" s="450">
        <v>198</v>
      </c>
      <c r="BV234" s="450">
        <v>196</v>
      </c>
      <c r="BW234" s="450">
        <v>197</v>
      </c>
      <c r="BX234" s="449">
        <v>197</v>
      </c>
      <c r="BY234" s="1141">
        <v>197</v>
      </c>
      <c r="BZ234" s="1141">
        <v>196</v>
      </c>
      <c r="CA234" s="1141">
        <v>195</v>
      </c>
      <c r="CB234" s="1120">
        <v>194</v>
      </c>
      <c r="CC234" s="1121">
        <v>194</v>
      </c>
      <c r="CD234" s="1120">
        <v>194</v>
      </c>
      <c r="CE234" s="1120">
        <v>156</v>
      </c>
      <c r="CF234" s="1120">
        <v>155</v>
      </c>
      <c r="CG234" s="1120">
        <v>155</v>
      </c>
      <c r="CH234" s="1121">
        <v>155</v>
      </c>
      <c r="CI234" s="1120">
        <v>155</v>
      </c>
      <c r="CJ234" s="1120">
        <v>143</v>
      </c>
      <c r="CK234" s="1120">
        <v>133</v>
      </c>
      <c r="CL234" s="1120">
        <v>125</v>
      </c>
      <c r="CM234" s="1366">
        <f>CL234</f>
        <v>125</v>
      </c>
      <c r="CN234" s="249"/>
      <c r="CO234" s="249"/>
      <c r="CP234" s="249"/>
      <c r="CQ234" s="249"/>
      <c r="CR234" s="148"/>
      <c r="CS234" s="249"/>
      <c r="CT234" s="249"/>
      <c r="CU234" s="249"/>
      <c r="CV234" s="249"/>
      <c r="CW234" s="148"/>
      <c r="CX234" s="249"/>
      <c r="CY234" s="249"/>
      <c r="CZ234" s="249"/>
      <c r="DA234" s="249"/>
      <c r="DB234" s="148"/>
      <c r="DC234" s="249"/>
      <c r="DD234" s="249"/>
      <c r="DE234" s="249"/>
      <c r="DF234" s="249"/>
      <c r="DG234" s="37"/>
      <c r="DH234" s="37"/>
      <c r="DI234" s="37"/>
      <c r="DJ234" s="37"/>
    </row>
    <row r="235" spans="1:114" s="725" customFormat="1" ht="11.25" hidden="1" customHeight="1" outlineLevel="1">
      <c r="A235" s="37"/>
      <c r="B235" s="250" t="s">
        <v>534</v>
      </c>
      <c r="C235" s="247"/>
      <c r="D235" s="423"/>
      <c r="E235" s="248">
        <v>4115</v>
      </c>
      <c r="F235" s="248">
        <v>4688</v>
      </c>
      <c r="G235" s="247">
        <v>4688</v>
      </c>
      <c r="H235" s="247">
        <v>4848</v>
      </c>
      <c r="I235" s="247">
        <v>4935</v>
      </c>
      <c r="J235" s="247">
        <v>5391</v>
      </c>
      <c r="K235" s="449">
        <v>5391</v>
      </c>
      <c r="L235" s="450">
        <v>5917</v>
      </c>
      <c r="M235" s="450">
        <v>5914</v>
      </c>
      <c r="N235" s="450">
        <v>6023</v>
      </c>
      <c r="O235" s="450">
        <v>6310</v>
      </c>
      <c r="P235" s="449">
        <v>6310</v>
      </c>
      <c r="Q235" s="450">
        <v>6972</v>
      </c>
      <c r="R235" s="450">
        <v>6962</v>
      </c>
      <c r="S235" s="450">
        <v>7581</v>
      </c>
      <c r="T235" s="450">
        <v>7810</v>
      </c>
      <c r="U235" s="449">
        <v>7810</v>
      </c>
      <c r="V235" s="450">
        <v>7810</v>
      </c>
      <c r="W235" s="450">
        <v>7810</v>
      </c>
      <c r="X235" s="450">
        <v>7971</v>
      </c>
      <c r="Y235" s="450">
        <v>7888</v>
      </c>
      <c r="Z235" s="449">
        <v>7888</v>
      </c>
      <c r="AA235" s="450">
        <v>7703</v>
      </c>
      <c r="AB235" s="450">
        <v>7575</v>
      </c>
      <c r="AC235" s="450">
        <v>7684</v>
      </c>
      <c r="AD235" s="450">
        <v>7974</v>
      </c>
      <c r="AE235" s="449">
        <v>7974</v>
      </c>
      <c r="AF235" s="450">
        <v>8074</v>
      </c>
      <c r="AG235" s="450">
        <v>8546</v>
      </c>
      <c r="AH235" s="450">
        <v>8929</v>
      </c>
      <c r="AI235" s="450">
        <v>9117</v>
      </c>
      <c r="AJ235" s="449">
        <v>9117</v>
      </c>
      <c r="AK235" s="450">
        <v>9133</v>
      </c>
      <c r="AL235" s="450">
        <v>9550</v>
      </c>
      <c r="AM235" s="450">
        <v>18553</v>
      </c>
      <c r="AN235" s="450">
        <v>16971</v>
      </c>
      <c r="AO235" s="449">
        <v>16971</v>
      </c>
      <c r="AP235" s="450">
        <v>16966</v>
      </c>
      <c r="AQ235" s="450">
        <v>17108</v>
      </c>
      <c r="AR235" s="450">
        <v>16958</v>
      </c>
      <c r="AS235" s="450">
        <v>17245</v>
      </c>
      <c r="AT235" s="449">
        <v>17245</v>
      </c>
      <c r="AU235" s="450">
        <v>17276</v>
      </c>
      <c r="AV235" s="450">
        <v>18130</v>
      </c>
      <c r="AW235" s="450">
        <v>18176</v>
      </c>
      <c r="AX235" s="450">
        <v>18140</v>
      </c>
      <c r="AY235" s="449">
        <v>18140</v>
      </c>
      <c r="AZ235" s="450">
        <v>18205</v>
      </c>
      <c r="BA235" s="450">
        <v>18279</v>
      </c>
      <c r="BB235" s="450">
        <v>18421</v>
      </c>
      <c r="BC235" s="450">
        <v>19372</v>
      </c>
      <c r="BD235" s="449">
        <v>19372</v>
      </c>
      <c r="BE235" s="450">
        <v>19242</v>
      </c>
      <c r="BF235" s="450">
        <v>19361</v>
      </c>
      <c r="BG235" s="450">
        <v>19358</v>
      </c>
      <c r="BH235" s="450">
        <v>19695</v>
      </c>
      <c r="BI235" s="449">
        <v>19695</v>
      </c>
      <c r="BJ235" s="450">
        <v>20217</v>
      </c>
      <c r="BK235" s="450">
        <v>20235</v>
      </c>
      <c r="BL235" s="450">
        <v>20357</v>
      </c>
      <c r="BM235" s="450">
        <v>20334</v>
      </c>
      <c r="BN235" s="449">
        <v>20334</v>
      </c>
      <c r="BO235" s="450">
        <v>20341</v>
      </c>
      <c r="BP235" s="450">
        <v>20176</v>
      </c>
      <c r="BQ235" s="450">
        <v>20196</v>
      </c>
      <c r="BR235" s="450">
        <v>20180</v>
      </c>
      <c r="BS235" s="449">
        <v>20180</v>
      </c>
      <c r="BT235" s="450">
        <v>29672</v>
      </c>
      <c r="BU235" s="450">
        <v>30117</v>
      </c>
      <c r="BV235" s="450">
        <v>30062</v>
      </c>
      <c r="BW235" s="450">
        <v>30137</v>
      </c>
      <c r="BX235" s="449">
        <v>30137</v>
      </c>
      <c r="BY235" s="1141">
        <v>30256</v>
      </c>
      <c r="BZ235" s="1141">
        <v>29964</v>
      </c>
      <c r="CA235" s="1141">
        <v>30019</v>
      </c>
      <c r="CB235" s="1120">
        <v>29853</v>
      </c>
      <c r="CC235" s="1121">
        <v>29853</v>
      </c>
      <c r="CD235" s="1120">
        <v>29936</v>
      </c>
      <c r="CE235" s="1120">
        <v>26366</v>
      </c>
      <c r="CF235" s="1120">
        <v>26246</v>
      </c>
      <c r="CG235" s="1120">
        <v>26222</v>
      </c>
      <c r="CH235" s="1121">
        <v>26222</v>
      </c>
      <c r="CI235" s="1120">
        <v>26009</v>
      </c>
      <c r="CJ235" s="1120">
        <v>23829</v>
      </c>
      <c r="CK235" s="1120">
        <v>22012</v>
      </c>
      <c r="CL235" s="1120">
        <v>20850</v>
      </c>
      <c r="CM235" s="1366">
        <f>CL235</f>
        <v>20850</v>
      </c>
      <c r="CN235" s="249"/>
      <c r="CO235" s="249"/>
      <c r="CP235" s="249"/>
      <c r="CQ235" s="249"/>
      <c r="CR235" s="148"/>
      <c r="CS235" s="249"/>
      <c r="CT235" s="249"/>
      <c r="CU235" s="249"/>
      <c r="CV235" s="249"/>
      <c r="CW235" s="148"/>
      <c r="CX235" s="249"/>
      <c r="CY235" s="249"/>
      <c r="CZ235" s="249"/>
      <c r="DA235" s="249"/>
      <c r="DB235" s="148"/>
      <c r="DC235" s="249"/>
      <c r="DD235" s="249"/>
      <c r="DE235" s="249"/>
      <c r="DF235" s="249"/>
      <c r="DG235" s="37"/>
      <c r="DH235" s="37"/>
      <c r="DI235" s="37"/>
      <c r="DJ235" s="37"/>
    </row>
    <row r="236" spans="1:114" s="725" customFormat="1" ht="11.25" hidden="1" customHeight="1" outlineLevel="1">
      <c r="A236" s="37"/>
      <c r="B236" s="246" t="s">
        <v>535</v>
      </c>
      <c r="C236" s="247"/>
      <c r="D236" s="423"/>
      <c r="E236" s="248">
        <v>3123</v>
      </c>
      <c r="F236" s="248">
        <v>3587</v>
      </c>
      <c r="G236" s="247">
        <v>3595</v>
      </c>
      <c r="H236" s="247">
        <v>3722</v>
      </c>
      <c r="I236" s="247">
        <v>3788</v>
      </c>
      <c r="J236" s="247">
        <v>4139</v>
      </c>
      <c r="K236" s="449">
        <v>4139</v>
      </c>
      <c r="L236" s="450">
        <v>4510</v>
      </c>
      <c r="M236" s="450">
        <v>4502</v>
      </c>
      <c r="N236" s="450">
        <v>4753</v>
      </c>
      <c r="O236" s="450">
        <v>4939</v>
      </c>
      <c r="P236" s="449">
        <v>4939</v>
      </c>
      <c r="Q236" s="450">
        <v>5403</v>
      </c>
      <c r="R236" s="450">
        <v>5390</v>
      </c>
      <c r="S236" s="450">
        <v>5887</v>
      </c>
      <c r="T236" s="450">
        <v>6180</v>
      </c>
      <c r="U236" s="449">
        <v>6180</v>
      </c>
      <c r="V236" s="450">
        <v>6187</v>
      </c>
      <c r="W236" s="450">
        <v>6241</v>
      </c>
      <c r="X236" s="450">
        <v>6440</v>
      </c>
      <c r="Y236" s="450">
        <v>6346</v>
      </c>
      <c r="Z236" s="449">
        <v>6346</v>
      </c>
      <c r="AA236" s="450">
        <v>6298</v>
      </c>
      <c r="AB236" s="450">
        <v>6187</v>
      </c>
      <c r="AC236" s="450">
        <v>6239</v>
      </c>
      <c r="AD236" s="450">
        <v>6476</v>
      </c>
      <c r="AE236" s="449">
        <v>6476</v>
      </c>
      <c r="AF236" s="450">
        <v>6528</v>
      </c>
      <c r="AG236" s="450">
        <v>6874</v>
      </c>
      <c r="AH236" s="450">
        <v>7187</v>
      </c>
      <c r="AI236" s="450">
        <v>7341</v>
      </c>
      <c r="AJ236" s="449">
        <v>7341</v>
      </c>
      <c r="AK236" s="450">
        <v>7343</v>
      </c>
      <c r="AL236" s="450">
        <v>7777</v>
      </c>
      <c r="AM236" s="450">
        <v>11722</v>
      </c>
      <c r="AN236" s="450">
        <v>14604</v>
      </c>
      <c r="AO236" s="449">
        <v>14604</v>
      </c>
      <c r="AP236" s="450">
        <v>14689</v>
      </c>
      <c r="AQ236" s="450">
        <v>14784</v>
      </c>
      <c r="AR236" s="450">
        <v>14729</v>
      </c>
      <c r="AS236" s="450">
        <v>15063</v>
      </c>
      <c r="AT236" s="449">
        <v>15063</v>
      </c>
      <c r="AU236" s="450">
        <v>15126</v>
      </c>
      <c r="AV236" s="450">
        <v>16077</v>
      </c>
      <c r="AW236" s="450">
        <v>15907</v>
      </c>
      <c r="AX236" s="450">
        <v>15897</v>
      </c>
      <c r="AY236" s="449">
        <v>15897</v>
      </c>
      <c r="AZ236" s="450">
        <v>15953</v>
      </c>
      <c r="BA236" s="450">
        <v>15972</v>
      </c>
      <c r="BB236" s="450">
        <v>16071</v>
      </c>
      <c r="BC236" s="450">
        <v>16622</v>
      </c>
      <c r="BD236" s="449">
        <v>16622</v>
      </c>
      <c r="BE236" s="450">
        <v>16610</v>
      </c>
      <c r="BF236" s="450">
        <v>16617</v>
      </c>
      <c r="BG236" s="450">
        <v>16542</v>
      </c>
      <c r="BH236" s="450">
        <v>16832</v>
      </c>
      <c r="BI236" s="449">
        <v>16832</v>
      </c>
      <c r="BJ236" s="450">
        <v>17198</v>
      </c>
      <c r="BK236" s="450">
        <v>17180</v>
      </c>
      <c r="BL236" s="450">
        <v>17274</v>
      </c>
      <c r="BM236" s="450">
        <v>17265</v>
      </c>
      <c r="BN236" s="449">
        <v>17265</v>
      </c>
      <c r="BO236" s="450">
        <v>17169</v>
      </c>
      <c r="BP236" s="450">
        <v>17299</v>
      </c>
      <c r="BQ236" s="450">
        <v>17370</v>
      </c>
      <c r="BR236" s="450">
        <v>17320</v>
      </c>
      <c r="BS236" s="449">
        <v>17320</v>
      </c>
      <c r="BT236" s="450">
        <v>25899</v>
      </c>
      <c r="BU236" s="450">
        <v>26780</v>
      </c>
      <c r="BV236" s="450">
        <v>26871</v>
      </c>
      <c r="BW236" s="450">
        <v>27000</v>
      </c>
      <c r="BX236" s="449">
        <v>27000</v>
      </c>
      <c r="BY236" s="1141">
        <v>26498</v>
      </c>
      <c r="BZ236" s="1141">
        <v>26206</v>
      </c>
      <c r="CA236" s="1141">
        <v>26309</v>
      </c>
      <c r="CB236" s="1120">
        <v>26312</v>
      </c>
      <c r="CC236" s="1121">
        <v>26312</v>
      </c>
      <c r="CD236" s="1120">
        <v>26285</v>
      </c>
      <c r="CE236" s="1120">
        <v>23371</v>
      </c>
      <c r="CF236" s="1120">
        <v>23231</v>
      </c>
      <c r="CG236" s="1120">
        <v>23229</v>
      </c>
      <c r="CH236" s="1121">
        <v>23229</v>
      </c>
      <c r="CI236" s="1120">
        <v>23336</v>
      </c>
      <c r="CJ236" s="1120">
        <v>21459</v>
      </c>
      <c r="CK236" s="1120">
        <v>19616</v>
      </c>
      <c r="CL236" s="1120">
        <v>18457</v>
      </c>
      <c r="CM236" s="1366">
        <f>CL236</f>
        <v>18457</v>
      </c>
      <c r="CN236" s="249"/>
      <c r="CO236" s="249"/>
      <c r="CP236" s="249"/>
      <c r="CQ236" s="249"/>
      <c r="CR236" s="148"/>
      <c r="CS236" s="249"/>
      <c r="CT236" s="249"/>
      <c r="CU236" s="249"/>
      <c r="CV236" s="249"/>
      <c r="CW236" s="148"/>
      <c r="CX236" s="249"/>
      <c r="CY236" s="249"/>
      <c r="CZ236" s="249"/>
      <c r="DA236" s="249"/>
      <c r="DB236" s="148"/>
      <c r="DC236" s="249"/>
      <c r="DD236" s="249"/>
      <c r="DE236" s="249"/>
      <c r="DF236" s="249"/>
      <c r="DG236" s="37"/>
      <c r="DH236" s="37"/>
      <c r="DI236" s="37"/>
      <c r="DJ236" s="37"/>
    </row>
    <row r="237" spans="1:114" s="725" customFormat="1" ht="11.25" hidden="1" customHeight="1" outlineLevel="1">
      <c r="A237" s="37"/>
      <c r="B237" s="250" t="s">
        <v>237</v>
      </c>
      <c r="C237" s="247"/>
      <c r="D237" s="423"/>
      <c r="E237" s="248">
        <v>120414</v>
      </c>
      <c r="F237" s="248">
        <v>143310</v>
      </c>
      <c r="G237" s="247">
        <v>42882</v>
      </c>
      <c r="H237" s="247">
        <v>39677</v>
      </c>
      <c r="I237" s="247">
        <v>40772</v>
      </c>
      <c r="J237" s="247">
        <v>46243</v>
      </c>
      <c r="K237" s="449">
        <v>169574</v>
      </c>
      <c r="L237" s="450">
        <v>53515</v>
      </c>
      <c r="M237" s="450">
        <v>50771</v>
      </c>
      <c r="N237" s="450">
        <v>52032</v>
      </c>
      <c r="O237" s="450">
        <v>53649</v>
      </c>
      <c r="P237" s="449">
        <v>209967</v>
      </c>
      <c r="Q237" s="450">
        <v>61648</v>
      </c>
      <c r="R237" s="450">
        <v>57979</v>
      </c>
      <c r="S237" s="450">
        <v>64264</v>
      </c>
      <c r="T237" s="450">
        <v>70976</v>
      </c>
      <c r="U237" s="449">
        <v>254867</v>
      </c>
      <c r="V237" s="450">
        <v>72633</v>
      </c>
      <c r="W237" s="450">
        <v>69145</v>
      </c>
      <c r="X237" s="450">
        <v>69208</v>
      </c>
      <c r="Y237" s="450">
        <v>70706</v>
      </c>
      <c r="Z237" s="449">
        <v>279678</v>
      </c>
      <c r="AA237" s="450">
        <v>75885</v>
      </c>
      <c r="AB237" s="450">
        <v>70844</v>
      </c>
      <c r="AC237" s="450">
        <v>71337</v>
      </c>
      <c r="AD237" s="450">
        <v>73962</v>
      </c>
      <c r="AE237" s="449">
        <v>291633</v>
      </c>
      <c r="AF237" s="450">
        <v>78966</v>
      </c>
      <c r="AG237" s="450">
        <v>78248</v>
      </c>
      <c r="AH237" s="450">
        <v>83423</v>
      </c>
      <c r="AI237" s="450">
        <v>85598</v>
      </c>
      <c r="AJ237" s="449">
        <v>326235</v>
      </c>
      <c r="AK237" s="450">
        <v>89024</v>
      </c>
      <c r="AL237" s="450">
        <v>86739</v>
      </c>
      <c r="AM237" s="450">
        <v>141847</v>
      </c>
      <c r="AN237" s="450">
        <v>163107</v>
      </c>
      <c r="AO237" s="449">
        <v>463212</v>
      </c>
      <c r="AP237" s="450">
        <v>177280</v>
      </c>
      <c r="AQ237" s="450">
        <v>165155</v>
      </c>
      <c r="AR237" s="450">
        <v>164437</v>
      </c>
      <c r="AS237" s="450">
        <v>163664</v>
      </c>
      <c r="AT237" s="449">
        <v>663328</v>
      </c>
      <c r="AU237" s="450">
        <v>170886</v>
      </c>
      <c r="AV237" s="450">
        <v>173494</v>
      </c>
      <c r="AW237" s="450">
        <v>175107</v>
      </c>
      <c r="AX237" s="450">
        <v>171648</v>
      </c>
      <c r="AY237" s="449">
        <v>692569</v>
      </c>
      <c r="AZ237" s="450">
        <v>177413</v>
      </c>
      <c r="BA237" s="450">
        <v>171082</v>
      </c>
      <c r="BB237" s="450">
        <v>169775</v>
      </c>
      <c r="BC237" s="450">
        <v>175112</v>
      </c>
      <c r="BD237" s="449">
        <v>693382</v>
      </c>
      <c r="BE237" s="450">
        <v>179079</v>
      </c>
      <c r="BF237" s="450">
        <v>168336</v>
      </c>
      <c r="BG237" s="450">
        <v>164842</v>
      </c>
      <c r="BH237" s="450">
        <v>165542</v>
      </c>
      <c r="BI237" s="449">
        <v>675050</v>
      </c>
      <c r="BJ237" s="450">
        <v>181888</v>
      </c>
      <c r="BK237" s="450">
        <v>173449</v>
      </c>
      <c r="BL237" s="450">
        <v>173108</v>
      </c>
      <c r="BM237" s="450">
        <v>173392</v>
      </c>
      <c r="BN237" s="449">
        <v>701837</v>
      </c>
      <c r="BO237" s="450">
        <v>173956</v>
      </c>
      <c r="BP237" s="450">
        <v>164588</v>
      </c>
      <c r="BQ237" s="450">
        <v>161256</v>
      </c>
      <c r="BR237" s="450">
        <v>155145</v>
      </c>
      <c r="BS237" s="449">
        <v>654945</v>
      </c>
      <c r="BT237" s="450">
        <v>213720</v>
      </c>
      <c r="BU237" s="450">
        <v>238906</v>
      </c>
      <c r="BV237" s="450">
        <v>236258</v>
      </c>
      <c r="BW237" s="450">
        <v>238740</v>
      </c>
      <c r="BX237" s="449">
        <v>924951</v>
      </c>
      <c r="BY237" s="1141">
        <v>246015</v>
      </c>
      <c r="BZ237" s="1141">
        <v>233517</v>
      </c>
      <c r="CA237" s="1141">
        <v>230510</v>
      </c>
      <c r="CB237" s="1120">
        <v>230250</v>
      </c>
      <c r="CC237" s="1121">
        <v>940292</v>
      </c>
      <c r="CD237" s="1120">
        <v>239700</v>
      </c>
      <c r="CE237" s="1120">
        <v>212259</v>
      </c>
      <c r="CF237" s="1120">
        <v>201957</v>
      </c>
      <c r="CG237" s="1120">
        <v>203496</v>
      </c>
      <c r="CH237" s="1121">
        <v>857412</v>
      </c>
      <c r="CI237" s="1120">
        <v>212242</v>
      </c>
      <c r="CJ237" s="1120">
        <v>189435</v>
      </c>
      <c r="CK237" s="1120">
        <v>171994</v>
      </c>
      <c r="CL237" s="1120">
        <v>164365</v>
      </c>
      <c r="CM237" s="1366">
        <f>SUM(CI237:CL237)</f>
        <v>738036</v>
      </c>
      <c r="CN237" s="249"/>
      <c r="CO237" s="249"/>
      <c r="CP237" s="249"/>
      <c r="CQ237" s="249"/>
      <c r="CR237" s="148"/>
      <c r="CS237" s="249"/>
      <c r="CT237" s="249"/>
      <c r="CU237" s="249"/>
      <c r="CV237" s="249"/>
      <c r="CW237" s="148"/>
      <c r="CX237" s="249"/>
      <c r="CY237" s="249"/>
      <c r="CZ237" s="249"/>
      <c r="DA237" s="249"/>
      <c r="DB237" s="148"/>
      <c r="DC237" s="249"/>
      <c r="DD237" s="249"/>
      <c r="DE237" s="249"/>
      <c r="DF237" s="249"/>
      <c r="DG237" s="37"/>
      <c r="DH237" s="37"/>
      <c r="DI237" s="37"/>
      <c r="DJ237" s="37"/>
    </row>
    <row r="238" spans="1:114" s="725" customFormat="1" ht="11.25" hidden="1" customHeight="1" outlineLevel="1">
      <c r="A238" s="37"/>
      <c r="B238" s="246" t="s">
        <v>536</v>
      </c>
      <c r="C238" s="247"/>
      <c r="D238" s="423"/>
      <c r="E238" s="248">
        <v>217006</v>
      </c>
      <c r="F238" s="248">
        <v>262419</v>
      </c>
      <c r="G238" s="247">
        <v>76137</v>
      </c>
      <c r="H238" s="247">
        <v>73546</v>
      </c>
      <c r="I238" s="247">
        <v>76905</v>
      </c>
      <c r="J238" s="247">
        <v>84551</v>
      </c>
      <c r="K238" s="449">
        <v>311238</v>
      </c>
      <c r="L238" s="450">
        <v>96281</v>
      </c>
      <c r="M238" s="450">
        <v>94871</v>
      </c>
      <c r="N238" s="450">
        <v>97848</v>
      </c>
      <c r="O238" s="450">
        <v>98292</v>
      </c>
      <c r="P238" s="449">
        <v>387311</v>
      </c>
      <c r="Q238" s="450">
        <v>110730</v>
      </c>
      <c r="R238" s="450">
        <v>107096</v>
      </c>
      <c r="S238" s="450">
        <v>119640</v>
      </c>
      <c r="T238" s="450">
        <v>128313</v>
      </c>
      <c r="U238" s="449">
        <v>465848</v>
      </c>
      <c r="V238" s="450">
        <v>130972</v>
      </c>
      <c r="W238" s="450">
        <v>128265</v>
      </c>
      <c r="X238" s="450">
        <v>131301</v>
      </c>
      <c r="Y238" s="450">
        <v>131531</v>
      </c>
      <c r="Z238" s="449">
        <v>518603</v>
      </c>
      <c r="AA238" s="450">
        <v>135341</v>
      </c>
      <c r="AB238" s="450">
        <v>132764</v>
      </c>
      <c r="AC238" s="450">
        <v>134952</v>
      </c>
      <c r="AD238" s="450">
        <v>136195</v>
      </c>
      <c r="AE238" s="449">
        <v>538445</v>
      </c>
      <c r="AF238" s="450">
        <v>143168</v>
      </c>
      <c r="AG238" s="450">
        <v>147223</v>
      </c>
      <c r="AH238" s="450">
        <v>156319</v>
      </c>
      <c r="AI238" s="450">
        <v>158944</v>
      </c>
      <c r="AJ238" s="449">
        <v>605511</v>
      </c>
      <c r="AK238" s="450">
        <v>163016</v>
      </c>
      <c r="AL238" s="450">
        <v>163882</v>
      </c>
      <c r="AM238" s="450">
        <v>263136</v>
      </c>
      <c r="AN238" s="450">
        <v>293186</v>
      </c>
      <c r="AO238" s="449">
        <v>848707</v>
      </c>
      <c r="AP238" s="450">
        <v>310251</v>
      </c>
      <c r="AQ238" s="450">
        <v>299247</v>
      </c>
      <c r="AR238" s="450">
        <v>301683</v>
      </c>
      <c r="AS238" s="450">
        <v>296329</v>
      </c>
      <c r="AT238" s="449">
        <v>1196602</v>
      </c>
      <c r="AU238" s="450">
        <v>306686</v>
      </c>
      <c r="AV238" s="450">
        <v>321383</v>
      </c>
      <c r="AW238" s="450">
        <v>327837</v>
      </c>
      <c r="AX238" s="450">
        <v>317175</v>
      </c>
      <c r="AY238" s="449">
        <v>1275888</v>
      </c>
      <c r="AZ238" s="450">
        <v>324066</v>
      </c>
      <c r="BA238" s="450">
        <v>323267</v>
      </c>
      <c r="BB238" s="450">
        <v>327048</v>
      </c>
      <c r="BC238" s="450">
        <v>333466</v>
      </c>
      <c r="BD238" s="449">
        <v>1308334</v>
      </c>
      <c r="BE238" s="450">
        <v>337153</v>
      </c>
      <c r="BF238" s="450">
        <v>332180</v>
      </c>
      <c r="BG238" s="450">
        <v>334644</v>
      </c>
      <c r="BH238" s="450">
        <v>331720</v>
      </c>
      <c r="BI238" s="449">
        <v>1330988</v>
      </c>
      <c r="BJ238" s="450">
        <v>358815</v>
      </c>
      <c r="BK238" s="450">
        <v>350982</v>
      </c>
      <c r="BL238" s="450">
        <v>355672</v>
      </c>
      <c r="BM238" s="450">
        <v>352855</v>
      </c>
      <c r="BN238" s="449">
        <v>1418472</v>
      </c>
      <c r="BO238" s="450">
        <v>346253</v>
      </c>
      <c r="BP238" s="450">
        <v>344672</v>
      </c>
      <c r="BQ238" s="450">
        <v>341652</v>
      </c>
      <c r="BR238" s="450">
        <v>329291</v>
      </c>
      <c r="BS238" s="449">
        <v>1362344</v>
      </c>
      <c r="BT238" s="450">
        <v>437664</v>
      </c>
      <c r="BU238" s="450">
        <v>512962</v>
      </c>
      <c r="BV238" s="450">
        <v>514148</v>
      </c>
      <c r="BW238" s="450">
        <v>511988</v>
      </c>
      <c r="BX238" s="449">
        <v>1970610</v>
      </c>
      <c r="BY238" s="1141">
        <v>509719</v>
      </c>
      <c r="BZ238" s="1141">
        <v>511456</v>
      </c>
      <c r="CA238" s="1141">
        <v>512465</v>
      </c>
      <c r="CB238" s="1120">
        <v>504119</v>
      </c>
      <c r="CC238" s="1121">
        <v>2038103</v>
      </c>
      <c r="CD238" s="1120">
        <v>513192</v>
      </c>
      <c r="CE238" s="1120">
        <v>468087</v>
      </c>
      <c r="CF238" s="1120">
        <v>445817</v>
      </c>
      <c r="CG238" s="1120">
        <v>440160</v>
      </c>
      <c r="CH238" s="1121">
        <v>1867348</v>
      </c>
      <c r="CI238" s="1120">
        <v>449012</v>
      </c>
      <c r="CJ238" s="1120">
        <v>415515</v>
      </c>
      <c r="CK238" s="1120">
        <v>376597</v>
      </c>
      <c r="CL238" s="1120">
        <v>355418</v>
      </c>
      <c r="CM238" s="1121">
        <v>1596739</v>
      </c>
      <c r="CN238" s="249"/>
      <c r="CO238" s="249"/>
      <c r="CP238" s="249"/>
      <c r="CQ238" s="249"/>
      <c r="CR238" s="148"/>
      <c r="CS238" s="249"/>
      <c r="CT238" s="249"/>
      <c r="CU238" s="249"/>
      <c r="CV238" s="249"/>
      <c r="CW238" s="148"/>
      <c r="CX238" s="249"/>
      <c r="CY238" s="249"/>
      <c r="CZ238" s="249"/>
      <c r="DA238" s="249"/>
      <c r="DB238" s="148"/>
      <c r="DC238" s="249"/>
      <c r="DD238" s="249"/>
      <c r="DE238" s="249"/>
      <c r="DF238" s="249"/>
      <c r="DG238" s="37"/>
      <c r="DH238" s="37"/>
      <c r="DI238" s="37"/>
      <c r="DJ238" s="37"/>
    </row>
    <row r="239" spans="1:114" s="725" customFormat="1" ht="11.25" hidden="1" customHeight="1" outlineLevel="1">
      <c r="A239" s="37"/>
      <c r="B239" s="250" t="s">
        <v>537</v>
      </c>
      <c r="C239" s="247"/>
      <c r="D239" s="423"/>
      <c r="E239" s="248">
        <v>478658</v>
      </c>
      <c r="F239" s="248">
        <v>548827</v>
      </c>
      <c r="G239" s="247">
        <v>165743</v>
      </c>
      <c r="H239" s="247">
        <v>150251</v>
      </c>
      <c r="I239" s="247">
        <v>152720</v>
      </c>
      <c r="J239" s="247">
        <v>174515</v>
      </c>
      <c r="K239" s="449">
        <v>643229</v>
      </c>
      <c r="L239" s="450">
        <v>210612</v>
      </c>
      <c r="M239" s="450">
        <v>195922</v>
      </c>
      <c r="N239" s="450">
        <v>198137</v>
      </c>
      <c r="O239" s="450">
        <v>204495</v>
      </c>
      <c r="P239" s="449">
        <v>809166</v>
      </c>
      <c r="Q239" s="450">
        <v>245252</v>
      </c>
      <c r="R239" s="450">
        <v>221735</v>
      </c>
      <c r="S239" s="450">
        <v>249871</v>
      </c>
      <c r="T239" s="450">
        <v>288854</v>
      </c>
      <c r="U239" s="449">
        <v>1005712</v>
      </c>
      <c r="V239" s="450">
        <v>300657</v>
      </c>
      <c r="W239" s="450">
        <v>279830</v>
      </c>
      <c r="X239" s="450">
        <v>277216</v>
      </c>
      <c r="Y239" s="450">
        <v>286112</v>
      </c>
      <c r="Z239" s="449">
        <v>1135844</v>
      </c>
      <c r="AA239" s="450">
        <v>320746</v>
      </c>
      <c r="AB239" s="450">
        <v>293320</v>
      </c>
      <c r="AC239" s="450">
        <v>286340</v>
      </c>
      <c r="AD239" s="450">
        <v>304842</v>
      </c>
      <c r="AE239" s="449">
        <v>1204001</v>
      </c>
      <c r="AF239" s="450">
        <v>333249</v>
      </c>
      <c r="AG239" s="450">
        <v>321573</v>
      </c>
      <c r="AH239" s="450">
        <v>335914</v>
      </c>
      <c r="AI239" s="450">
        <v>343992</v>
      </c>
      <c r="AJ239" s="449">
        <v>1334728</v>
      </c>
      <c r="AK239" s="450">
        <v>364180</v>
      </c>
      <c r="AL239" s="450">
        <v>353474</v>
      </c>
      <c r="AM239" s="450">
        <v>598042</v>
      </c>
      <c r="AN239" s="450">
        <v>694373</v>
      </c>
      <c r="AO239" s="449">
        <v>1941887</v>
      </c>
      <c r="AP239" s="450">
        <v>772361</v>
      </c>
      <c r="AQ239" s="450">
        <v>695023</v>
      </c>
      <c r="AR239" s="450">
        <v>681204</v>
      </c>
      <c r="AS239" s="450">
        <v>693614</v>
      </c>
      <c r="AT239" s="449">
        <v>2808247</v>
      </c>
      <c r="AU239" s="450">
        <v>734727</v>
      </c>
      <c r="AV239" s="450">
        <v>731059</v>
      </c>
      <c r="AW239" s="450">
        <v>730676</v>
      </c>
      <c r="AX239" s="450">
        <v>733571</v>
      </c>
      <c r="AY239" s="449">
        <v>2937194</v>
      </c>
      <c r="AZ239" s="450">
        <v>761225</v>
      </c>
      <c r="BA239" s="450">
        <v>721659</v>
      </c>
      <c r="BB239" s="450">
        <v>714576</v>
      </c>
      <c r="BC239" s="450">
        <v>751416</v>
      </c>
      <c r="BD239" s="449">
        <v>2948876</v>
      </c>
      <c r="BE239" s="450">
        <v>792862</v>
      </c>
      <c r="BF239" s="450">
        <v>737850</v>
      </c>
      <c r="BG239" s="450">
        <v>717951</v>
      </c>
      <c r="BH239" s="450">
        <v>732430</v>
      </c>
      <c r="BI239" s="449">
        <v>2970044</v>
      </c>
      <c r="BJ239" s="450">
        <v>804412</v>
      </c>
      <c r="BK239" s="450">
        <v>750686</v>
      </c>
      <c r="BL239" s="450">
        <v>747616</v>
      </c>
      <c r="BM239" s="450">
        <v>756217</v>
      </c>
      <c r="BN239" s="449">
        <v>3058931</v>
      </c>
      <c r="BO239" s="450">
        <v>790522</v>
      </c>
      <c r="BP239" s="450">
        <v>723662</v>
      </c>
      <c r="BQ239" s="450">
        <v>695844</v>
      </c>
      <c r="BR239" s="450">
        <v>687463</v>
      </c>
      <c r="BS239" s="449">
        <v>2897491</v>
      </c>
      <c r="BT239" s="450">
        <v>973486</v>
      </c>
      <c r="BU239" s="450">
        <v>1056261</v>
      </c>
      <c r="BV239" s="450">
        <v>1026759</v>
      </c>
      <c r="BW239" s="450">
        <v>1046254</v>
      </c>
      <c r="BX239" s="449">
        <v>4091183</v>
      </c>
      <c r="BY239" s="1141">
        <v>1127077</v>
      </c>
      <c r="BZ239" s="1141">
        <v>1033244</v>
      </c>
      <c r="CA239" s="1141">
        <v>1003025</v>
      </c>
      <c r="CB239" s="1120">
        <v>1011868</v>
      </c>
      <c r="CC239" s="1121">
        <v>4175214</v>
      </c>
      <c r="CD239" s="1120">
        <v>1076226</v>
      </c>
      <c r="CE239" s="1120">
        <v>947492</v>
      </c>
      <c r="CF239" s="1120">
        <v>898177</v>
      </c>
      <c r="CG239" s="1120">
        <v>910209</v>
      </c>
      <c r="CH239" s="1121">
        <v>3832104</v>
      </c>
      <c r="CI239" s="1120">
        <v>972885</v>
      </c>
      <c r="CJ239" s="1120">
        <v>840516</v>
      </c>
      <c r="CK239" s="1120">
        <v>756186</v>
      </c>
      <c r="CL239" s="1120">
        <v>726882</v>
      </c>
      <c r="CM239" s="1366">
        <f>SUM(CI239:CL239)</f>
        <v>3296469</v>
      </c>
      <c r="CN239" s="249"/>
      <c r="CO239" s="249"/>
      <c r="CP239" s="249"/>
      <c r="CQ239" s="249"/>
      <c r="CR239" s="148"/>
      <c r="CS239" s="249"/>
      <c r="CT239" s="249"/>
      <c r="CU239" s="249"/>
      <c r="CV239" s="249"/>
      <c r="CW239" s="148"/>
      <c r="CX239" s="249"/>
      <c r="CY239" s="249"/>
      <c r="CZ239" s="249"/>
      <c r="DA239" s="249"/>
      <c r="DB239" s="148"/>
      <c r="DC239" s="249"/>
      <c r="DD239" s="249"/>
      <c r="DE239" s="249"/>
      <c r="DF239" s="249"/>
      <c r="DG239" s="37"/>
      <c r="DH239" s="37"/>
      <c r="DI239" s="37"/>
      <c r="DJ239" s="37"/>
    </row>
    <row r="240" spans="1:114" s="725" customFormat="1" ht="11.25" hidden="1" customHeight="1" outlineLevel="1">
      <c r="A240" s="37"/>
      <c r="B240" s="250" t="s">
        <v>429</v>
      </c>
      <c r="C240" s="251"/>
      <c r="D240" s="424"/>
      <c r="E240" s="252">
        <v>4</v>
      </c>
      <c r="F240" s="252">
        <v>3.8</v>
      </c>
      <c r="G240" s="251">
        <v>3.9</v>
      </c>
      <c r="H240" s="251">
        <v>3.8</v>
      </c>
      <c r="I240" s="251">
        <v>3.7</v>
      </c>
      <c r="J240" s="251">
        <v>3.8</v>
      </c>
      <c r="K240" s="252">
        <v>3.8</v>
      </c>
      <c r="L240" s="251">
        <v>3.9</v>
      </c>
      <c r="M240" s="251">
        <v>3.9</v>
      </c>
      <c r="N240" s="251">
        <v>3.8</v>
      </c>
      <c r="O240" s="251">
        <v>3.8</v>
      </c>
      <c r="P240" s="252">
        <v>3.9</v>
      </c>
      <c r="Q240" s="251">
        <v>4</v>
      </c>
      <c r="R240" s="251">
        <v>3.8</v>
      </c>
      <c r="S240" s="251">
        <v>3.9</v>
      </c>
      <c r="T240" s="251">
        <v>4.0999999999999996</v>
      </c>
      <c r="U240" s="252">
        <v>3.9</v>
      </c>
      <c r="V240" s="251">
        <v>4.0999999999999996</v>
      </c>
      <c r="W240" s="251">
        <v>4</v>
      </c>
      <c r="X240" s="251">
        <v>4</v>
      </c>
      <c r="Y240" s="251">
        <v>4</v>
      </c>
      <c r="Z240" s="252">
        <v>4.0999999999999996</v>
      </c>
      <c r="AA240" s="251">
        <v>4.2</v>
      </c>
      <c r="AB240" s="251">
        <v>4.0999999999999996</v>
      </c>
      <c r="AC240" s="251">
        <v>4</v>
      </c>
      <c r="AD240" s="251">
        <v>4.0999999999999996</v>
      </c>
      <c r="AE240" s="252">
        <v>4.0999999999999996</v>
      </c>
      <c r="AF240" s="251">
        <v>4.2</v>
      </c>
      <c r="AG240" s="251">
        <v>4.0999999999999996</v>
      </c>
      <c r="AH240" s="251">
        <v>4</v>
      </c>
      <c r="AI240" s="251">
        <v>4</v>
      </c>
      <c r="AJ240" s="252">
        <v>4.0999999999999996</v>
      </c>
      <c r="AK240" s="251">
        <v>4.0999999999999996</v>
      </c>
      <c r="AL240" s="251">
        <v>4.0999999999999996</v>
      </c>
      <c r="AM240" s="251">
        <v>4.2</v>
      </c>
      <c r="AN240" s="251">
        <v>4.3</v>
      </c>
      <c r="AO240" s="252">
        <v>4.2</v>
      </c>
      <c r="AP240" s="251">
        <v>4.4000000000000004</v>
      </c>
      <c r="AQ240" s="251">
        <v>4.2</v>
      </c>
      <c r="AR240" s="251">
        <v>4.0999999999999996</v>
      </c>
      <c r="AS240" s="251">
        <v>4.2</v>
      </c>
      <c r="AT240" s="252">
        <v>4.2</v>
      </c>
      <c r="AU240" s="251">
        <v>4.3</v>
      </c>
      <c r="AV240" s="251">
        <v>4.2</v>
      </c>
      <c r="AW240" s="251">
        <v>4.2</v>
      </c>
      <c r="AX240" s="251">
        <v>4.3</v>
      </c>
      <c r="AY240" s="252">
        <v>4.2</v>
      </c>
      <c r="AZ240" s="251">
        <v>4.3</v>
      </c>
      <c r="BA240" s="251">
        <v>4.2</v>
      </c>
      <c r="BB240" s="251">
        <v>4.2</v>
      </c>
      <c r="BC240" s="251">
        <v>4.3</v>
      </c>
      <c r="BD240" s="252">
        <v>4.3</v>
      </c>
      <c r="BE240" s="251">
        <v>4.4000000000000004</v>
      </c>
      <c r="BF240" s="251">
        <v>4.4000000000000004</v>
      </c>
      <c r="BG240" s="251">
        <v>4.4000000000000004</v>
      </c>
      <c r="BH240" s="251">
        <v>4.4000000000000004</v>
      </c>
      <c r="BI240" s="252">
        <v>4.4000000000000004</v>
      </c>
      <c r="BJ240" s="251">
        <v>4.4000000000000004</v>
      </c>
      <c r="BK240" s="251">
        <v>4.3</v>
      </c>
      <c r="BL240" s="251">
        <v>4.3</v>
      </c>
      <c r="BM240" s="251">
        <v>4.4000000000000004</v>
      </c>
      <c r="BN240" s="252">
        <v>4.4000000000000004</v>
      </c>
      <c r="BO240" s="251">
        <v>4.5</v>
      </c>
      <c r="BP240" s="251">
        <v>4.4000000000000004</v>
      </c>
      <c r="BQ240" s="251">
        <v>4.3</v>
      </c>
      <c r="BR240" s="251">
        <v>4.4000000000000004</v>
      </c>
      <c r="BS240" s="252">
        <v>4.4000000000000004</v>
      </c>
      <c r="BT240" s="251">
        <v>4.5999999999999996</v>
      </c>
      <c r="BU240" s="251">
        <v>4.4000000000000004</v>
      </c>
      <c r="BV240" s="251">
        <v>4.3</v>
      </c>
      <c r="BW240" s="251">
        <v>4.4000000000000004</v>
      </c>
      <c r="BX240" s="252">
        <v>4.4000000000000004</v>
      </c>
      <c r="BY240" s="1122">
        <v>4.5999999999999996</v>
      </c>
      <c r="BZ240" s="1122">
        <v>4.4000000000000004</v>
      </c>
      <c r="CA240" s="1122">
        <v>4.4000000000000004</v>
      </c>
      <c r="CB240" s="1122">
        <v>4.4000000000000004</v>
      </c>
      <c r="CC240" s="1123">
        <v>4.4000000000000004</v>
      </c>
      <c r="CD240" s="1122">
        <v>4.5</v>
      </c>
      <c r="CE240" s="1122">
        <v>4.5</v>
      </c>
      <c r="CF240" s="1122">
        <v>4.4000000000000004</v>
      </c>
      <c r="CG240" s="1122">
        <v>4.5</v>
      </c>
      <c r="CH240" s="1123">
        <v>4.5</v>
      </c>
      <c r="CI240" s="1122">
        <v>4.5999999999999996</v>
      </c>
      <c r="CJ240" s="1122">
        <v>4.4000000000000004</v>
      </c>
      <c r="CK240" s="1122">
        <v>4.4000000000000004</v>
      </c>
      <c r="CL240" s="1122">
        <v>4.4000000000000004</v>
      </c>
      <c r="CM240" s="1367">
        <f>AVERAGE(CI240:CL240)</f>
        <v>4.45</v>
      </c>
      <c r="CN240" s="253"/>
      <c r="CO240" s="253"/>
      <c r="CP240" s="253"/>
      <c r="CQ240" s="253"/>
      <c r="CR240" s="254"/>
      <c r="CS240" s="253"/>
      <c r="CT240" s="253"/>
      <c r="CU240" s="253"/>
      <c r="CV240" s="253"/>
      <c r="CW240" s="254"/>
      <c r="CX240" s="253"/>
      <c r="CY240" s="253"/>
      <c r="CZ240" s="253"/>
      <c r="DA240" s="253"/>
      <c r="DB240" s="254"/>
      <c r="DC240" s="253"/>
      <c r="DD240" s="253"/>
      <c r="DE240" s="253"/>
      <c r="DF240" s="253"/>
      <c r="DG240" s="37"/>
      <c r="DH240" s="37"/>
      <c r="DI240" s="37"/>
      <c r="DJ240" s="37"/>
    </row>
    <row r="241" spans="1:114" s="725" customFormat="1" ht="11.25" hidden="1" customHeight="1" outlineLevel="1">
      <c r="A241" s="37"/>
      <c r="B241" s="246" t="s">
        <v>417</v>
      </c>
      <c r="C241" s="255"/>
      <c r="D241" s="425"/>
      <c r="E241" s="256">
        <v>0.441</v>
      </c>
      <c r="F241" s="256">
        <v>0.44600000000000001</v>
      </c>
      <c r="G241" s="255">
        <v>0.51300000000000001</v>
      </c>
      <c r="H241" s="255">
        <v>0.45500000000000002</v>
      </c>
      <c r="I241" s="255">
        <v>0.44400000000000001</v>
      </c>
      <c r="J241" s="255">
        <v>0.46</v>
      </c>
      <c r="K241" s="256">
        <v>0.46700000000000003</v>
      </c>
      <c r="L241" s="255">
        <v>0.52800000000000002</v>
      </c>
      <c r="M241" s="255">
        <v>0.47899999999999998</v>
      </c>
      <c r="N241" s="255">
        <v>0.45900000000000002</v>
      </c>
      <c r="O241" s="255">
        <v>0.45400000000000001</v>
      </c>
      <c r="P241" s="256">
        <v>0.47499999999999998</v>
      </c>
      <c r="Q241" s="255">
        <v>0.50600000000000001</v>
      </c>
      <c r="R241" s="255">
        <v>0.45200000000000001</v>
      </c>
      <c r="S241" s="255">
        <v>0.47</v>
      </c>
      <c r="T241" s="255">
        <v>0.50800000000000001</v>
      </c>
      <c r="U241" s="256">
        <v>0.48499999999999999</v>
      </c>
      <c r="V241" s="255">
        <v>0.53400000000000003</v>
      </c>
      <c r="W241" s="255">
        <v>0.49399999999999999</v>
      </c>
      <c r="X241" s="255">
        <v>0.47199999999999998</v>
      </c>
      <c r="Y241" s="255">
        <v>0.49</v>
      </c>
      <c r="Z241" s="256">
        <v>0.499</v>
      </c>
      <c r="AA241" s="255">
        <v>0.57799999999999996</v>
      </c>
      <c r="AB241" s="255">
        <v>0.52200000000000002</v>
      </c>
      <c r="AC241" s="255">
        <v>0.5</v>
      </c>
      <c r="AD241" s="255">
        <v>0.51200000000000001</v>
      </c>
      <c r="AE241" s="256">
        <v>0.52900000000000003</v>
      </c>
      <c r="AF241" s="255">
        <v>0.56999999999999995</v>
      </c>
      <c r="AG241" s="255">
        <v>0.52100000000000002</v>
      </c>
      <c r="AH241" s="255">
        <v>0.50800000000000001</v>
      </c>
      <c r="AI241" s="255">
        <v>0.51200000000000001</v>
      </c>
      <c r="AJ241" s="256">
        <v>0.53</v>
      </c>
      <c r="AK241" s="255">
        <v>0.55100000000000005</v>
      </c>
      <c r="AL241" s="255">
        <v>0.50900000000000001</v>
      </c>
      <c r="AM241" s="255">
        <v>0.55500000000000005</v>
      </c>
      <c r="AN241" s="255">
        <v>0.51700000000000002</v>
      </c>
      <c r="AO241" s="256">
        <v>0.52400000000000002</v>
      </c>
      <c r="AP241" s="255">
        <v>0.58299999999999996</v>
      </c>
      <c r="AQ241" s="255">
        <v>0.51800000000000002</v>
      </c>
      <c r="AR241" s="255">
        <v>0.501</v>
      </c>
      <c r="AS241" s="255">
        <v>0.501</v>
      </c>
      <c r="AT241" s="256">
        <v>0.52</v>
      </c>
      <c r="AU241" s="255">
        <v>0.54</v>
      </c>
      <c r="AV241" s="255">
        <v>0.51100000000000001</v>
      </c>
      <c r="AW241" s="255">
        <v>0.499</v>
      </c>
      <c r="AX241" s="255">
        <v>0.501</v>
      </c>
      <c r="AY241" s="256">
        <v>0.51300000000000001</v>
      </c>
      <c r="AZ241" s="255">
        <v>0.53100000000000003</v>
      </c>
      <c r="BA241" s="255">
        <v>0.497</v>
      </c>
      <c r="BB241" s="255">
        <v>0.48399999999999999</v>
      </c>
      <c r="BC241" s="255">
        <v>0.49199999999999999</v>
      </c>
      <c r="BD241" s="256">
        <v>0.5</v>
      </c>
      <c r="BE241" s="255">
        <v>0.53</v>
      </c>
      <c r="BF241" s="255">
        <v>0.49099999999999999</v>
      </c>
      <c r="BG241" s="255">
        <v>0.47099999999999997</v>
      </c>
      <c r="BH241" s="255">
        <v>0.47299999999999998</v>
      </c>
      <c r="BI241" s="256">
        <v>0.49099999999999999</v>
      </c>
      <c r="BJ241" s="255">
        <v>0.51700000000000002</v>
      </c>
      <c r="BK241" s="255">
        <v>0.48099999999999998</v>
      </c>
      <c r="BL241" s="255">
        <v>0.47099999999999997</v>
      </c>
      <c r="BM241" s="255">
        <v>0.47599999999999998</v>
      </c>
      <c r="BN241" s="256">
        <v>0.48599999999999999</v>
      </c>
      <c r="BO241" s="255">
        <v>0.51200000000000001</v>
      </c>
      <c r="BP241" s="255">
        <v>0.46</v>
      </c>
      <c r="BQ241" s="255">
        <v>0.436</v>
      </c>
      <c r="BR241" s="255">
        <v>0.43099999999999999</v>
      </c>
      <c r="BS241" s="256">
        <v>0.45900000000000002</v>
      </c>
      <c r="BT241" s="255">
        <v>0.47899999999999998</v>
      </c>
      <c r="BU241" s="255">
        <v>0.432</v>
      </c>
      <c r="BV241" s="255">
        <v>0.41899999999999998</v>
      </c>
      <c r="BW241" s="255">
        <v>0.42399999999999999</v>
      </c>
      <c r="BX241" s="256">
        <v>0.438</v>
      </c>
      <c r="BY241" s="1124">
        <v>0.47099999999999997</v>
      </c>
      <c r="BZ241" s="1124">
        <v>0.43</v>
      </c>
      <c r="CA241" s="1124">
        <v>0.41599999999999998</v>
      </c>
      <c r="CB241" s="1124">
        <v>0.41799999999999998</v>
      </c>
      <c r="CC241" s="1125">
        <v>0.433</v>
      </c>
      <c r="CD241" s="1124">
        <v>0.45100000000000001</v>
      </c>
      <c r="CE241" s="1124">
        <v>0.42499999999999999</v>
      </c>
      <c r="CF241" s="1124">
        <v>0.41899999999999998</v>
      </c>
      <c r="CG241" s="1124">
        <v>0.42599999999999999</v>
      </c>
      <c r="CH241" s="1125">
        <v>0.43099999999999999</v>
      </c>
      <c r="CI241" s="1124">
        <v>0.46500000000000002</v>
      </c>
      <c r="CJ241" s="1124">
        <v>0.41899999999999998</v>
      </c>
      <c r="CK241" s="1124">
        <v>0.41799999999999998</v>
      </c>
      <c r="CL241" s="1124">
        <v>0.42799999999999999</v>
      </c>
      <c r="CM241" s="1368">
        <f>AVERAGE(CI241:CL241)</f>
        <v>0.4325</v>
      </c>
      <c r="CN241" s="257"/>
      <c r="CO241" s="257"/>
      <c r="CP241" s="257"/>
      <c r="CQ241" s="257"/>
      <c r="CR241" s="110"/>
      <c r="CS241" s="257"/>
      <c r="CT241" s="257"/>
      <c r="CU241" s="257"/>
      <c r="CV241" s="257"/>
      <c r="CW241" s="110"/>
      <c r="CX241" s="257"/>
      <c r="CY241" s="257"/>
      <c r="CZ241" s="257"/>
      <c r="DA241" s="257"/>
      <c r="DB241" s="110"/>
      <c r="DC241" s="257"/>
      <c r="DD241" s="257"/>
      <c r="DE241" s="257"/>
      <c r="DF241" s="257"/>
      <c r="DG241" s="37"/>
      <c r="DH241" s="37"/>
      <c r="DI241" s="37"/>
      <c r="DJ241" s="37"/>
    </row>
    <row r="242" spans="1:114" s="725" customFormat="1" ht="11.25" hidden="1" customHeight="1" outlineLevel="1">
      <c r="A242" s="37"/>
      <c r="B242" s="250" t="s">
        <v>538</v>
      </c>
      <c r="C242" s="247"/>
      <c r="D242" s="423"/>
      <c r="E242" s="248">
        <v>1079953</v>
      </c>
      <c r="F242" s="248">
        <v>1337501</v>
      </c>
      <c r="G242" s="247">
        <v>398645</v>
      </c>
      <c r="H242" s="247">
        <v>400909</v>
      </c>
      <c r="I242" s="247">
        <v>416569</v>
      </c>
      <c r="J242" s="247">
        <v>477502</v>
      </c>
      <c r="K242" s="449">
        <v>1693625</v>
      </c>
      <c r="L242" s="450">
        <v>533519</v>
      </c>
      <c r="M242" s="450">
        <v>530582</v>
      </c>
      <c r="N242" s="450">
        <v>552841</v>
      </c>
      <c r="O242" s="450">
        <v>583475</v>
      </c>
      <c r="P242" s="449">
        <v>2200417</v>
      </c>
      <c r="Q242" s="450">
        <v>659277</v>
      </c>
      <c r="R242" s="450">
        <v>657293</v>
      </c>
      <c r="S242" s="450">
        <v>723022</v>
      </c>
      <c r="T242" s="450">
        <v>795032</v>
      </c>
      <c r="U242" s="449">
        <v>2834624</v>
      </c>
      <c r="V242" s="450">
        <v>822376</v>
      </c>
      <c r="W242" s="450">
        <v>813669</v>
      </c>
      <c r="X242" s="450">
        <v>844034</v>
      </c>
      <c r="Y242" s="450">
        <v>871673</v>
      </c>
      <c r="Z242" s="449">
        <v>3332641</v>
      </c>
      <c r="AA242" s="450">
        <v>914108</v>
      </c>
      <c r="AB242" s="450">
        <v>918718</v>
      </c>
      <c r="AC242" s="450">
        <v>929269</v>
      </c>
      <c r="AD242" s="450">
        <v>982070</v>
      </c>
      <c r="AE242" s="449">
        <v>3738320</v>
      </c>
      <c r="AF242" s="450">
        <v>1026562</v>
      </c>
      <c r="AG242" s="450">
        <v>1061054</v>
      </c>
      <c r="AH242" s="450">
        <v>1123483</v>
      </c>
      <c r="AI242" s="450">
        <v>1154477</v>
      </c>
      <c r="AJ242" s="449">
        <v>4365576</v>
      </c>
      <c r="AK242" s="450">
        <v>1203997</v>
      </c>
      <c r="AL242" s="450">
        <v>1249128</v>
      </c>
      <c r="AM242" s="450">
        <v>2352087</v>
      </c>
      <c r="AN242" s="450">
        <v>2528342</v>
      </c>
      <c r="AO242" s="449">
        <v>7127494</v>
      </c>
      <c r="AP242" s="450">
        <v>2727554</v>
      </c>
      <c r="AQ242" s="450">
        <v>2690600</v>
      </c>
      <c r="AR242" s="450">
        <v>2772860</v>
      </c>
      <c r="AS242" s="450">
        <v>2761538</v>
      </c>
      <c r="AT242" s="449">
        <v>10840098</v>
      </c>
      <c r="AU242" s="450">
        <v>2892390</v>
      </c>
      <c r="AV242" s="450">
        <v>3016961</v>
      </c>
      <c r="AW242" s="450">
        <v>3086757</v>
      </c>
      <c r="AX242" s="450">
        <v>3091146</v>
      </c>
      <c r="AY242" s="449">
        <v>12107613</v>
      </c>
      <c r="AZ242" s="450">
        <v>3160722</v>
      </c>
      <c r="BA242" s="450">
        <v>3171024</v>
      </c>
      <c r="BB242" s="450">
        <v>3252055</v>
      </c>
      <c r="BC242" s="450">
        <v>3402699</v>
      </c>
      <c r="BD242" s="449">
        <v>12986500</v>
      </c>
      <c r="BE242" s="450">
        <v>3405342</v>
      </c>
      <c r="BF242" s="450">
        <v>3433829</v>
      </c>
      <c r="BG242" s="450">
        <v>3436000</v>
      </c>
      <c r="BH242" s="450">
        <v>3442514</v>
      </c>
      <c r="BI242" s="449">
        <v>13626168</v>
      </c>
      <c r="BJ242" s="450">
        <v>3297035</v>
      </c>
      <c r="BK242" s="450">
        <v>3242974</v>
      </c>
      <c r="BL242" s="450">
        <v>3212030</v>
      </c>
      <c r="BM242" s="450">
        <v>3276946</v>
      </c>
      <c r="BN242" s="449">
        <v>13028985</v>
      </c>
      <c r="BO242" s="450">
        <v>3311750</v>
      </c>
      <c r="BP242" s="450">
        <v>3236391</v>
      </c>
      <c r="BQ242" s="450">
        <v>3218231</v>
      </c>
      <c r="BR242" s="450">
        <v>3231321</v>
      </c>
      <c r="BS242" s="449">
        <v>12997693</v>
      </c>
      <c r="BT242" s="450">
        <v>4195000</v>
      </c>
      <c r="BU242" s="450">
        <v>4779000</v>
      </c>
      <c r="BV242" s="450">
        <v>4795000</v>
      </c>
      <c r="BW242" s="450">
        <v>4918000</v>
      </c>
      <c r="BX242" s="449">
        <v>18639</v>
      </c>
      <c r="BY242" s="1141">
        <v>4911</v>
      </c>
      <c r="BZ242" s="1141">
        <v>4882</v>
      </c>
      <c r="CA242" s="1141">
        <v>4846</v>
      </c>
      <c r="CB242" s="1120">
        <v>4798</v>
      </c>
      <c r="CC242" s="1121">
        <v>19437</v>
      </c>
      <c r="CD242" s="1120">
        <v>4999</v>
      </c>
      <c r="CE242" s="1120">
        <v>4590</v>
      </c>
      <c r="CF242" s="1120">
        <v>4380</v>
      </c>
      <c r="CG242" s="1120">
        <v>4469</v>
      </c>
      <c r="CH242" s="1121">
        <v>18438</v>
      </c>
      <c r="CI242" s="1120">
        <v>4486</v>
      </c>
      <c r="CJ242" s="1120">
        <v>4144</v>
      </c>
      <c r="CK242" s="1120">
        <v>3666</v>
      </c>
      <c r="CL242" s="1120">
        <v>3059</v>
      </c>
      <c r="CM242" s="1121">
        <v>15353</v>
      </c>
      <c r="CN242" s="249"/>
      <c r="CO242" s="249"/>
      <c r="CP242" s="249"/>
      <c r="CQ242" s="249"/>
      <c r="CR242" s="148"/>
      <c r="CS242" s="249"/>
      <c r="CT242" s="249"/>
      <c r="CU242" s="249"/>
      <c r="CV242" s="249"/>
      <c r="CW242" s="148"/>
      <c r="CX242" s="249"/>
      <c r="CY242" s="249"/>
      <c r="CZ242" s="249"/>
      <c r="DA242" s="249"/>
      <c r="DB242" s="148"/>
      <c r="DC242" s="249"/>
      <c r="DD242" s="249"/>
      <c r="DE242" s="249"/>
      <c r="DF242" s="249"/>
      <c r="DG242" s="37"/>
      <c r="DH242" s="37"/>
      <c r="DI242" s="37"/>
      <c r="DJ242" s="37"/>
    </row>
    <row r="243" spans="1:114" s="725" customFormat="1" ht="11.25" hidden="1" customHeight="1" outlineLevel="1">
      <c r="A243" s="37"/>
      <c r="B243" s="246" t="s">
        <v>4</v>
      </c>
      <c r="C243" s="255"/>
      <c r="D243" s="425"/>
      <c r="E243" s="256">
        <v>0.52700000000000002</v>
      </c>
      <c r="F243" s="256">
        <v>0.51</v>
      </c>
      <c r="G243" s="255">
        <v>0.52500000000000002</v>
      </c>
      <c r="H243" s="255">
        <v>0.496</v>
      </c>
      <c r="I243" s="255">
        <v>0.50900000000000001</v>
      </c>
      <c r="J243" s="255">
        <v>0.53100000000000003</v>
      </c>
      <c r="K243" s="256">
        <v>0.51600000000000001</v>
      </c>
      <c r="L243" s="255">
        <v>0.52800000000000002</v>
      </c>
      <c r="M243" s="255">
        <v>0.51700000000000002</v>
      </c>
      <c r="N243" s="255">
        <v>0.52200000000000002</v>
      </c>
      <c r="O243" s="255">
        <v>0.53300000000000003</v>
      </c>
      <c r="P243" s="256">
        <v>0.52500000000000002</v>
      </c>
      <c r="Q243" s="255">
        <v>0.53100000000000003</v>
      </c>
      <c r="R243" s="255">
        <v>0.502</v>
      </c>
      <c r="S243" s="255">
        <v>0.502</v>
      </c>
      <c r="T243" s="255">
        <v>0.51500000000000001</v>
      </c>
      <c r="U243" s="256">
        <v>0.51300000000000001</v>
      </c>
      <c r="V243" s="255">
        <v>0.51300000000000001</v>
      </c>
      <c r="W243" s="255">
        <v>0.504</v>
      </c>
      <c r="X243" s="255">
        <v>0.496</v>
      </c>
      <c r="Y243" s="255">
        <v>0.50800000000000001</v>
      </c>
      <c r="Z243" s="256">
        <v>0.505</v>
      </c>
      <c r="AA243" s="255">
        <v>0.51900000000000002</v>
      </c>
      <c r="AB243" s="255">
        <v>0.504</v>
      </c>
      <c r="AC243" s="255">
        <v>0.502</v>
      </c>
      <c r="AD243" s="255">
        <v>0.51200000000000001</v>
      </c>
      <c r="AE243" s="256">
        <v>0.50900000000000001</v>
      </c>
      <c r="AF243" s="255">
        <v>0.50900000000000001</v>
      </c>
      <c r="AG243" s="255">
        <v>0.498</v>
      </c>
      <c r="AH243" s="255">
        <v>0.49299999999999999</v>
      </c>
      <c r="AI243" s="255">
        <v>0.504</v>
      </c>
      <c r="AJ243" s="256">
        <v>0.501</v>
      </c>
      <c r="AK243" s="255">
        <v>0.504</v>
      </c>
      <c r="AL243" s="255">
        <v>0.48099999999999998</v>
      </c>
      <c r="AM243" s="255">
        <v>0.49299999999999999</v>
      </c>
      <c r="AN243" s="255">
        <v>0.495</v>
      </c>
      <c r="AO243" s="256">
        <v>0.49299999999999999</v>
      </c>
      <c r="AP243" s="255">
        <v>0.51</v>
      </c>
      <c r="AQ243" s="255">
        <v>0.498</v>
      </c>
      <c r="AR243" s="255">
        <v>0.49399999999999999</v>
      </c>
      <c r="AS243" s="255">
        <v>0.50700000000000001</v>
      </c>
      <c r="AT243" s="256">
        <v>0.503</v>
      </c>
      <c r="AU243" s="255">
        <v>0.52</v>
      </c>
      <c r="AV243" s="255">
        <v>0.49399999999999999</v>
      </c>
      <c r="AW243" s="255">
        <v>0.497</v>
      </c>
      <c r="AX243" s="255">
        <v>0.504</v>
      </c>
      <c r="AY243" s="256">
        <v>0.501</v>
      </c>
      <c r="AZ243" s="255">
        <v>0.505</v>
      </c>
      <c r="BA243" s="255">
        <v>0.48699999999999999</v>
      </c>
      <c r="BB243" s="255">
        <v>0.47699999999999998</v>
      </c>
      <c r="BC243" s="255">
        <v>0.48799999999999999</v>
      </c>
      <c r="BD243" s="256">
        <v>0.48899999999999999</v>
      </c>
      <c r="BE243" s="255">
        <v>0.49</v>
      </c>
      <c r="BF243" s="255">
        <v>0.46400000000000002</v>
      </c>
      <c r="BG243" s="255">
        <v>0.44</v>
      </c>
      <c r="BH243" s="255">
        <v>0.44500000000000001</v>
      </c>
      <c r="BI243" s="256">
        <v>0.46100000000000002</v>
      </c>
      <c r="BJ243" s="255">
        <v>0.46100000000000002</v>
      </c>
      <c r="BK243" s="255">
        <v>0.45500000000000002</v>
      </c>
      <c r="BL243" s="255">
        <v>0.436</v>
      </c>
      <c r="BM243" s="255">
        <v>0.438</v>
      </c>
      <c r="BN243" s="256">
        <v>0.44700000000000001</v>
      </c>
      <c r="BO243" s="255">
        <v>0.44600000000000001</v>
      </c>
      <c r="BP243" s="255">
        <v>0.437</v>
      </c>
      <c r="BQ243" s="255">
        <v>0.43099999999999999</v>
      </c>
      <c r="BR243" s="255">
        <v>0.41399999999999998</v>
      </c>
      <c r="BS243" s="256">
        <v>0.432</v>
      </c>
      <c r="BT243" s="255">
        <v>0.44900000000000001</v>
      </c>
      <c r="BU243" s="255">
        <v>0.42899999999999999</v>
      </c>
      <c r="BV243" s="255">
        <v>0.442</v>
      </c>
      <c r="BW243" s="255">
        <v>0.436</v>
      </c>
      <c r="BX243" s="256">
        <v>0.439</v>
      </c>
      <c r="BY243" s="1124">
        <v>0.442</v>
      </c>
      <c r="BZ243" s="1124">
        <v>0.42399999999999999</v>
      </c>
      <c r="CA243" s="1124">
        <v>0.41699999999999998</v>
      </c>
      <c r="CB243" s="1124">
        <v>0.43</v>
      </c>
      <c r="CC243" s="1125">
        <v>0.42799999999999999</v>
      </c>
      <c r="CD243" s="1124">
        <v>0.439</v>
      </c>
      <c r="CE243" s="1124">
        <v>0.42799999999999999</v>
      </c>
      <c r="CF243" s="1124">
        <v>0.42599999999999999</v>
      </c>
      <c r="CG243" s="1124">
        <v>0.436</v>
      </c>
      <c r="CH243" s="1125">
        <v>0.432</v>
      </c>
      <c r="CI243" s="1124">
        <v>0.439</v>
      </c>
      <c r="CJ243" s="1124">
        <v>0.433</v>
      </c>
      <c r="CK243" s="1124">
        <v>0.43</v>
      </c>
      <c r="CL243" s="1124">
        <v>0.434</v>
      </c>
      <c r="CM243" s="1368">
        <f>AVERAGE(CI243:CL243)</f>
        <v>0.434</v>
      </c>
      <c r="CN243" s="257"/>
      <c r="CO243" s="257"/>
      <c r="CP243" s="257"/>
      <c r="CQ243" s="257"/>
      <c r="CR243" s="110"/>
      <c r="CS243" s="257"/>
      <c r="CT243" s="257"/>
      <c r="CU243" s="257"/>
      <c r="CV243" s="257"/>
      <c r="CW243" s="110"/>
      <c r="CX243" s="257"/>
      <c r="CY243" s="257"/>
      <c r="CZ243" s="257"/>
      <c r="DA243" s="257"/>
      <c r="DB243" s="110"/>
      <c r="DC243" s="257"/>
      <c r="DD243" s="257"/>
      <c r="DE243" s="257"/>
      <c r="DF243" s="257"/>
      <c r="DG243" s="37"/>
      <c r="DH243" s="37"/>
      <c r="DI243" s="37"/>
      <c r="DJ243" s="37"/>
    </row>
    <row r="244" spans="1:114" s="725" customFormat="1" ht="11.25" hidden="1" customHeight="1" outlineLevel="1">
      <c r="A244" s="37"/>
      <c r="B244" s="246" t="s">
        <v>3</v>
      </c>
      <c r="C244" s="255"/>
      <c r="D244" s="425"/>
      <c r="E244" s="256">
        <v>0.45500000000000002</v>
      </c>
      <c r="F244" s="256">
        <v>0.47299999999999998</v>
      </c>
      <c r="G244" s="255">
        <v>0.46400000000000002</v>
      </c>
      <c r="H244" s="255">
        <v>0.49199999999999999</v>
      </c>
      <c r="I244" s="255">
        <v>0.47899999999999998</v>
      </c>
      <c r="J244" s="255">
        <v>0.45600000000000002</v>
      </c>
      <c r="K244" s="256">
        <v>0.47199999999999998</v>
      </c>
      <c r="L244" s="255">
        <v>0.45900000000000002</v>
      </c>
      <c r="M244" s="255">
        <v>0.47</v>
      </c>
      <c r="N244" s="255">
        <v>0.46600000000000003</v>
      </c>
      <c r="O244" s="255">
        <v>0.45500000000000002</v>
      </c>
      <c r="P244" s="256">
        <v>0.46200000000000002</v>
      </c>
      <c r="Q244" s="255">
        <v>0.45800000000000002</v>
      </c>
      <c r="R244" s="255">
        <v>0.48499999999999999</v>
      </c>
      <c r="S244" s="255">
        <v>0.48599999999999999</v>
      </c>
      <c r="T244" s="255">
        <v>0.47</v>
      </c>
      <c r="U244" s="256">
        <v>0.47499999999999998</v>
      </c>
      <c r="V244" s="255">
        <v>0.47199999999999998</v>
      </c>
      <c r="W244" s="255">
        <v>0.48399999999999999</v>
      </c>
      <c r="X244" s="255">
        <v>0.49099999999999999</v>
      </c>
      <c r="Y244" s="255">
        <v>0.47799999999999998</v>
      </c>
      <c r="Z244" s="256">
        <v>0.48099999999999998</v>
      </c>
      <c r="AA244" s="255">
        <v>0.47</v>
      </c>
      <c r="AB244" s="255">
        <v>0.48399999999999999</v>
      </c>
      <c r="AC244" s="255">
        <v>0.48499999999999999</v>
      </c>
      <c r="AD244" s="255">
        <v>0.47399999999999998</v>
      </c>
      <c r="AE244" s="256">
        <v>0.47799999999999998</v>
      </c>
      <c r="AF244" s="255">
        <v>0.47799999999999998</v>
      </c>
      <c r="AG244" s="255">
        <v>0.48899999999999999</v>
      </c>
      <c r="AH244" s="255">
        <v>0.495</v>
      </c>
      <c r="AI244" s="255">
        <v>0.48599999999999999</v>
      </c>
      <c r="AJ244" s="256">
        <v>0.48699999999999999</v>
      </c>
      <c r="AK244" s="255">
        <v>0.48499999999999999</v>
      </c>
      <c r="AL244" s="255">
        <v>0.50600000000000001</v>
      </c>
      <c r="AM244" s="255">
        <v>0.48599999999999999</v>
      </c>
      <c r="AN244" s="255">
        <v>0.47899999999999998</v>
      </c>
      <c r="AO244" s="256">
        <v>0.48599999999999999</v>
      </c>
      <c r="AP244" s="255">
        <v>0.46500000000000002</v>
      </c>
      <c r="AQ244" s="255">
        <v>0.47899999999999998</v>
      </c>
      <c r="AR244" s="255">
        <v>0.48299999999999998</v>
      </c>
      <c r="AS244" s="255">
        <v>0.47399999999999998</v>
      </c>
      <c r="AT244" s="256">
        <v>0.47499999999999998</v>
      </c>
      <c r="AU244" s="255">
        <v>0.48</v>
      </c>
      <c r="AV244" s="255">
        <v>0.48199999999999998</v>
      </c>
      <c r="AW244" s="255">
        <v>0.48</v>
      </c>
      <c r="AX244" s="255">
        <v>0.47299999999999998</v>
      </c>
      <c r="AY244" s="256">
        <v>0.47599999999999998</v>
      </c>
      <c r="AZ244" s="255">
        <v>0.47399999999999998</v>
      </c>
      <c r="BA244" s="255">
        <v>0.49399999999999999</v>
      </c>
      <c r="BB244" s="255">
        <v>0.499</v>
      </c>
      <c r="BC244" s="255">
        <v>0.48799999999999999</v>
      </c>
      <c r="BD244" s="256">
        <v>0.48899999999999999</v>
      </c>
      <c r="BE244" s="255">
        <v>0.48899999999999999</v>
      </c>
      <c r="BF244" s="255">
        <v>0.51500000000000001</v>
      </c>
      <c r="BG244" s="255">
        <v>0.53200000000000003</v>
      </c>
      <c r="BH244" s="255">
        <v>0.53500000000000003</v>
      </c>
      <c r="BI244" s="256">
        <v>0.51900000000000002</v>
      </c>
      <c r="BJ244" s="255">
        <v>0.51900000000000002</v>
      </c>
      <c r="BK244" s="255">
        <v>0.52800000000000002</v>
      </c>
      <c r="BL244" s="255">
        <v>0.54600000000000004</v>
      </c>
      <c r="BM244" s="255">
        <v>0.54300000000000004</v>
      </c>
      <c r="BN244" s="256">
        <v>0.53400000000000003</v>
      </c>
      <c r="BO244" s="255">
        <v>0.53500000000000003</v>
      </c>
      <c r="BP244" s="255">
        <v>0.54600000000000004</v>
      </c>
      <c r="BQ244" s="255">
        <v>0.55100000000000005</v>
      </c>
      <c r="BR244" s="255">
        <v>0.56699999999999995</v>
      </c>
      <c r="BS244" s="256">
        <v>0.55000000000000004</v>
      </c>
      <c r="BT244" s="255">
        <v>0.55100000000000005</v>
      </c>
      <c r="BU244" s="255">
        <v>0.57099999999999995</v>
      </c>
      <c r="BV244" s="255">
        <v>0.55800000000000005</v>
      </c>
      <c r="BW244" s="255">
        <v>0.56399999999999995</v>
      </c>
      <c r="BX244" s="256">
        <v>0.56100000000000005</v>
      </c>
      <c r="BY244" s="1124">
        <v>0.55800000000000005</v>
      </c>
      <c r="BZ244" s="1124">
        <v>0.57599999999999996</v>
      </c>
      <c r="CA244" s="1124">
        <v>0.58299999999999996</v>
      </c>
      <c r="CB244" s="1124">
        <v>0.56999999999999995</v>
      </c>
      <c r="CC244" s="1125">
        <v>0.57199999999999995</v>
      </c>
      <c r="CD244" s="1124">
        <v>0.56100000000000005</v>
      </c>
      <c r="CE244" s="1124">
        <v>0.57199999999999995</v>
      </c>
      <c r="CF244" s="1124">
        <v>0.57399999999999995</v>
      </c>
      <c r="CG244" s="1124">
        <v>0.56399999999999995</v>
      </c>
      <c r="CH244" s="1125">
        <v>0.56799999999999995</v>
      </c>
      <c r="CI244" s="1124">
        <v>0.56100000000000005</v>
      </c>
      <c r="CJ244" s="1124">
        <v>0.56699999999999995</v>
      </c>
      <c r="CK244" s="1124">
        <v>0.56999999999999995</v>
      </c>
      <c r="CL244" s="1124">
        <v>0.56599999999999995</v>
      </c>
      <c r="CM244" s="1368">
        <f>AVERAGE(CI244:CL244)</f>
        <v>0.56599999999999995</v>
      </c>
      <c r="CN244" s="257"/>
      <c r="CO244" s="257"/>
      <c r="CP244" s="257"/>
      <c r="CQ244" s="257"/>
      <c r="CR244" s="110"/>
      <c r="CS244" s="257"/>
      <c r="CT244" s="257"/>
      <c r="CU244" s="257"/>
      <c r="CV244" s="257"/>
      <c r="CW244" s="110"/>
      <c r="CX244" s="257"/>
      <c r="CY244" s="257"/>
      <c r="CZ244" s="257"/>
      <c r="DA244" s="257"/>
      <c r="DB244" s="110"/>
      <c r="DC244" s="257"/>
      <c r="DD244" s="257"/>
      <c r="DE244" s="257"/>
      <c r="DF244" s="257"/>
      <c r="DG244" s="37"/>
      <c r="DH244" s="37"/>
      <c r="DI244" s="37"/>
      <c r="DJ244" s="37"/>
    </row>
    <row r="245" spans="1:114" s="725" customFormat="1" ht="11.25" hidden="1" customHeight="1" outlineLevel="1">
      <c r="A245" s="37"/>
      <c r="B245" s="250" t="s">
        <v>539</v>
      </c>
      <c r="C245" s="247"/>
      <c r="D245" s="423"/>
      <c r="E245" s="248">
        <v>105255</v>
      </c>
      <c r="F245" s="248">
        <v>155112</v>
      </c>
      <c r="G245" s="247">
        <v>48741</v>
      </c>
      <c r="H245" s="247">
        <v>45169</v>
      </c>
      <c r="I245" s="247">
        <v>43395</v>
      </c>
      <c r="J245" s="247">
        <v>51738</v>
      </c>
      <c r="K245" s="449">
        <v>189043</v>
      </c>
      <c r="L245" s="450">
        <v>63155</v>
      </c>
      <c r="M245" s="450">
        <v>57814</v>
      </c>
      <c r="N245" s="450">
        <v>57987</v>
      </c>
      <c r="O245" s="450">
        <v>62554</v>
      </c>
      <c r="P245" s="449">
        <v>241510</v>
      </c>
      <c r="Q245" s="450">
        <v>72960</v>
      </c>
      <c r="R245" s="450">
        <v>67695</v>
      </c>
      <c r="S245" s="450">
        <v>71268</v>
      </c>
      <c r="T245" s="450">
        <v>78847</v>
      </c>
      <c r="U245" s="449">
        <v>290770</v>
      </c>
      <c r="V245" s="450">
        <v>86199</v>
      </c>
      <c r="W245" s="450">
        <v>82129</v>
      </c>
      <c r="X245" s="450">
        <v>81625</v>
      </c>
      <c r="Y245" s="450">
        <v>87887</v>
      </c>
      <c r="Z245" s="449">
        <v>338867</v>
      </c>
      <c r="AA245" s="450">
        <v>100964</v>
      </c>
      <c r="AB245" s="450">
        <v>98552</v>
      </c>
      <c r="AC245" s="450">
        <v>96292</v>
      </c>
      <c r="AD245" s="450">
        <v>107591</v>
      </c>
      <c r="AE245" s="449">
        <v>405533</v>
      </c>
      <c r="AF245" s="450">
        <v>115339</v>
      </c>
      <c r="AG245" s="450">
        <v>109106</v>
      </c>
      <c r="AH245" s="450">
        <v>40808</v>
      </c>
      <c r="AI245" s="450">
        <v>115207</v>
      </c>
      <c r="AJ245" s="449">
        <v>380460</v>
      </c>
      <c r="AK245" s="450">
        <v>118736</v>
      </c>
      <c r="AL245" s="450">
        <v>118575</v>
      </c>
      <c r="AM245" s="450">
        <v>192648</v>
      </c>
      <c r="AN245" s="450">
        <v>62106</v>
      </c>
      <c r="AO245" s="449">
        <v>485685</v>
      </c>
      <c r="AP245" s="450">
        <v>247556</v>
      </c>
      <c r="AQ245" s="450">
        <v>233074</v>
      </c>
      <c r="AR245" s="450">
        <v>253067</v>
      </c>
      <c r="AS245" s="450">
        <v>255941</v>
      </c>
      <c r="AT245" s="449">
        <v>983574</v>
      </c>
      <c r="AU245" s="450">
        <v>255142</v>
      </c>
      <c r="AV245" s="450">
        <v>261403</v>
      </c>
      <c r="AW245" s="450">
        <v>267268</v>
      </c>
      <c r="AX245" s="450">
        <v>284956</v>
      </c>
      <c r="AY245" s="449">
        <v>1068665</v>
      </c>
      <c r="AZ245" s="450">
        <v>273012</v>
      </c>
      <c r="BA245" s="450">
        <v>278772</v>
      </c>
      <c r="BB245" s="450">
        <v>280819</v>
      </c>
      <c r="BC245" s="450">
        <v>282325</v>
      </c>
      <c r="BD245" s="449">
        <v>1114928</v>
      </c>
      <c r="BE245" s="450">
        <v>280965</v>
      </c>
      <c r="BF245" s="450">
        <v>288908</v>
      </c>
      <c r="BG245" s="450">
        <v>283803</v>
      </c>
      <c r="BH245" s="450">
        <v>280993</v>
      </c>
      <c r="BI245" s="449">
        <v>1134485</v>
      </c>
      <c r="BJ245" s="450">
        <v>349128</v>
      </c>
      <c r="BK245" s="450">
        <v>290112</v>
      </c>
      <c r="BL245" s="450">
        <v>287628</v>
      </c>
      <c r="BM245" s="450">
        <v>283256</v>
      </c>
      <c r="BN245" s="449">
        <v>1210124</v>
      </c>
      <c r="BO245" s="450">
        <v>285991</v>
      </c>
      <c r="BP245" s="450">
        <v>210572</v>
      </c>
      <c r="BQ245" s="450">
        <v>167728</v>
      </c>
      <c r="BR245" s="450">
        <v>235472</v>
      </c>
      <c r="BS245" s="449">
        <v>899763</v>
      </c>
      <c r="BT245" s="450">
        <v>175</v>
      </c>
      <c r="BU245" s="450">
        <v>351</v>
      </c>
      <c r="BV245" s="450">
        <v>371</v>
      </c>
      <c r="BW245" s="450">
        <v>477</v>
      </c>
      <c r="BX245" s="449">
        <v>1380</v>
      </c>
      <c r="BY245" s="1141">
        <v>399</v>
      </c>
      <c r="BZ245" s="1141">
        <v>447</v>
      </c>
      <c r="CA245" s="1141">
        <v>351</v>
      </c>
      <c r="CB245" s="1120">
        <v>146</v>
      </c>
      <c r="CC245" s="1369">
        <v>1337</v>
      </c>
      <c r="CD245" s="1370">
        <v>294</v>
      </c>
      <c r="CE245" s="1370">
        <v>-1375</v>
      </c>
      <c r="CF245" s="1370">
        <v>146</v>
      </c>
      <c r="CG245" s="1370">
        <v>75</v>
      </c>
      <c r="CH245" s="1369">
        <v>-860</v>
      </c>
      <c r="CI245" s="1370">
        <v>71</v>
      </c>
      <c r="CJ245" s="1370">
        <v>113</v>
      </c>
      <c r="CK245" s="1370">
        <v>90</v>
      </c>
      <c r="CL245" s="1370">
        <v>-2151</v>
      </c>
      <c r="CM245" s="1369">
        <v>-1878</v>
      </c>
      <c r="CN245" s="249"/>
      <c r="CO245" s="249"/>
      <c r="CP245" s="249"/>
      <c r="CQ245" s="249"/>
      <c r="CR245" s="148"/>
      <c r="CS245" s="249"/>
      <c r="CT245" s="249"/>
      <c r="CU245" s="249"/>
      <c r="CV245" s="249"/>
      <c r="CW245" s="148"/>
      <c r="CX245" s="249"/>
      <c r="CY245" s="249"/>
      <c r="CZ245" s="249"/>
      <c r="DA245" s="249"/>
      <c r="DB245" s="148"/>
      <c r="DC245" s="249"/>
      <c r="DD245" s="249"/>
      <c r="DE245" s="249"/>
      <c r="DF245" s="249"/>
      <c r="DG245" s="37"/>
      <c r="DH245" s="37"/>
      <c r="DI245" s="37"/>
      <c r="DJ245" s="37"/>
    </row>
    <row r="246" spans="1:114" s="725" customFormat="1" ht="11.25" hidden="1" customHeight="1" outlineLevel="1">
      <c r="A246" s="37"/>
      <c r="B246" s="246" t="s">
        <v>540</v>
      </c>
      <c r="C246" s="257"/>
      <c r="D246" s="111"/>
      <c r="E246" s="110">
        <f t="shared" ref="E246:P246" si="551">E245/E242</f>
        <v>9.7462574760197901E-2</v>
      </c>
      <c r="F246" s="110">
        <f t="shared" si="551"/>
        <v>0.11597150207738162</v>
      </c>
      <c r="G246" s="257">
        <f t="shared" si="551"/>
        <v>0.1222666783729885</v>
      </c>
      <c r="H246" s="257">
        <f t="shared" si="551"/>
        <v>0.1126664654572484</v>
      </c>
      <c r="I246" s="257">
        <f t="shared" si="551"/>
        <v>0.10417241801478266</v>
      </c>
      <c r="J246" s="257">
        <f t="shared" si="551"/>
        <v>0.10835137863296908</v>
      </c>
      <c r="K246" s="110">
        <f t="shared" si="551"/>
        <v>0.1116203409845745</v>
      </c>
      <c r="L246" s="257">
        <f t="shared" si="551"/>
        <v>0.11837441590646257</v>
      </c>
      <c r="M246" s="257">
        <f t="shared" si="551"/>
        <v>0.10896336475794505</v>
      </c>
      <c r="N246" s="257">
        <f t="shared" si="551"/>
        <v>0.10488910916520301</v>
      </c>
      <c r="O246" s="257">
        <f t="shared" si="551"/>
        <v>0.10720939200479883</v>
      </c>
      <c r="P246" s="110">
        <f t="shared" si="551"/>
        <v>0.10975646888748815</v>
      </c>
      <c r="Q246" s="257">
        <f>Q245/Q242</f>
        <v>0.11066668486842404</v>
      </c>
      <c r="R246" s="257">
        <f>R245/R242</f>
        <v>0.10299059932176366</v>
      </c>
      <c r="S246" s="257">
        <f>S245/S242</f>
        <v>9.856961475584422E-2</v>
      </c>
      <c r="T246" s="255">
        <v>9.9000000000000005E-2</v>
      </c>
      <c r="U246" s="256">
        <v>0.10299999999999999</v>
      </c>
      <c r="V246" s="255">
        <v>0.105</v>
      </c>
      <c r="W246" s="255">
        <v>0.10100000000000001</v>
      </c>
      <c r="X246" s="255">
        <v>9.7000000000000003E-2</v>
      </c>
      <c r="Y246" s="255">
        <v>0.10100000000000001</v>
      </c>
      <c r="Z246" s="256">
        <v>0.10199999999999999</v>
      </c>
      <c r="AA246" s="255">
        <v>0.11</v>
      </c>
      <c r="AB246" s="255">
        <v>0.107</v>
      </c>
      <c r="AC246" s="255">
        <v>0.104</v>
      </c>
      <c r="AD246" s="255">
        <v>0.11</v>
      </c>
      <c r="AE246" s="256">
        <v>0.108</v>
      </c>
      <c r="AF246" s="255">
        <v>0.112</v>
      </c>
      <c r="AG246" s="255">
        <v>0.10299999999999999</v>
      </c>
      <c r="AH246" s="255">
        <v>3.5999999999999997E-2</v>
      </c>
      <c r="AI246" s="255">
        <v>0.1</v>
      </c>
      <c r="AJ246" s="256">
        <v>8.6999999999999994E-2</v>
      </c>
      <c r="AK246" s="255">
        <v>9.9000000000000005E-2</v>
      </c>
      <c r="AL246" s="255">
        <v>9.5000000000000001E-2</v>
      </c>
      <c r="AM246" s="255">
        <v>8.2000000000000003E-2</v>
      </c>
      <c r="AN246" s="255">
        <v>2.5000000000000001E-2</v>
      </c>
      <c r="AO246" s="256">
        <v>6.8000000000000005E-2</v>
      </c>
      <c r="AP246" s="255">
        <v>0.09</v>
      </c>
      <c r="AQ246" s="255">
        <v>8.6999999999999994E-2</v>
      </c>
      <c r="AR246" s="255">
        <v>9.0999999999999998E-2</v>
      </c>
      <c r="AS246" s="255">
        <v>9.2999999999999999E-2</v>
      </c>
      <c r="AT246" s="256">
        <v>9.0999999999999998E-2</v>
      </c>
      <c r="AU246" s="255">
        <v>8.8999999999999996E-2</v>
      </c>
      <c r="AV246" s="255">
        <v>8.6999999999999994E-2</v>
      </c>
      <c r="AW246" s="255">
        <v>8.6999999999999994E-2</v>
      </c>
      <c r="AX246" s="255">
        <v>9.1999999999999998E-2</v>
      </c>
      <c r="AY246" s="256">
        <v>8.7999999999999995E-2</v>
      </c>
      <c r="AZ246" s="255">
        <v>8.5999999999999993E-2</v>
      </c>
      <c r="BA246" s="255">
        <v>8.7999999999999995E-2</v>
      </c>
      <c r="BB246" s="255">
        <v>8.5999999999999993E-2</v>
      </c>
      <c r="BC246" s="255">
        <v>8.3000000000000004E-2</v>
      </c>
      <c r="BD246" s="256">
        <v>8.5999999999999993E-2</v>
      </c>
      <c r="BE246" s="255">
        <v>8.3000000000000004E-2</v>
      </c>
      <c r="BF246" s="255">
        <v>8.5000000000000006E-2</v>
      </c>
      <c r="BG246" s="255">
        <v>8.3000000000000004E-2</v>
      </c>
      <c r="BH246" s="255">
        <v>8.2000000000000003E-2</v>
      </c>
      <c r="BI246" s="256">
        <v>8.3000000000000004E-2</v>
      </c>
      <c r="BJ246" s="255">
        <v>0.106</v>
      </c>
      <c r="BK246" s="255">
        <v>0.09</v>
      </c>
      <c r="BL246" s="255">
        <v>0.09</v>
      </c>
      <c r="BM246" s="255">
        <v>8.5999999999999993E-2</v>
      </c>
      <c r="BN246" s="256">
        <v>9.2999999999999999E-2</v>
      </c>
      <c r="BO246" s="255">
        <v>8.5999999999999993E-2</v>
      </c>
      <c r="BP246" s="255">
        <v>6.5000000000000002E-2</v>
      </c>
      <c r="BQ246" s="255">
        <v>5.1999999999999998E-2</v>
      </c>
      <c r="BR246" s="255">
        <v>7.2999999999999995E-2</v>
      </c>
      <c r="BS246" s="256">
        <v>7.0000000000000007E-2</v>
      </c>
      <c r="BT246" s="255">
        <v>4.2000000000000003E-2</v>
      </c>
      <c r="BU246" s="255">
        <v>7.3999999999999996E-2</v>
      </c>
      <c r="BV246" s="255">
        <v>7.6999999999999999E-2</v>
      </c>
      <c r="BW246" s="255">
        <v>9.7000000000000003E-2</v>
      </c>
      <c r="BX246" s="256">
        <v>7.3999999999999996E-2</v>
      </c>
      <c r="BY246" s="1124">
        <v>8.1000000000000003E-2</v>
      </c>
      <c r="BZ246" s="1124">
        <v>9.1999999999999998E-2</v>
      </c>
      <c r="CA246" s="1124">
        <v>7.1999999999999995E-2</v>
      </c>
      <c r="CB246" s="1124">
        <v>0.03</v>
      </c>
      <c r="CC246" s="1125">
        <v>6.9000000000000006E-2</v>
      </c>
      <c r="CD246" s="1124">
        <v>5.8999999999999997E-2</v>
      </c>
      <c r="CE246" s="1124">
        <v>-0.3</v>
      </c>
      <c r="CF246" s="1124">
        <v>3.3000000000000002E-2</v>
      </c>
      <c r="CG246" s="1124">
        <v>1.7000000000000001E-2</v>
      </c>
      <c r="CH246" s="1125">
        <v>-4.7E-2</v>
      </c>
      <c r="CI246" s="1124">
        <v>1.6E-2</v>
      </c>
      <c r="CJ246" s="1124">
        <v>2.7E-2</v>
      </c>
      <c r="CK246" s="1124">
        <v>2.5000000000000001E-2</v>
      </c>
      <c r="CL246" s="1124">
        <v>-0.70299999999999996</v>
      </c>
      <c r="CM246" s="1368">
        <f>CM245/CM242</f>
        <v>-0.12232137041620531</v>
      </c>
      <c r="CN246" s="257"/>
      <c r="CO246" s="257"/>
      <c r="CP246" s="257"/>
      <c r="CQ246" s="257"/>
      <c r="CR246" s="110"/>
      <c r="CS246" s="257"/>
      <c r="CT246" s="257"/>
      <c r="CU246" s="257"/>
      <c r="CV246" s="257"/>
      <c r="CW246" s="110"/>
      <c r="CX246" s="257"/>
      <c r="CY246" s="257"/>
      <c r="CZ246" s="257"/>
      <c r="DA246" s="257"/>
      <c r="DB246" s="110"/>
      <c r="DC246" s="257"/>
      <c r="DD246" s="257"/>
      <c r="DE246" s="257"/>
      <c r="DF246" s="257"/>
      <c r="DG246" s="37"/>
      <c r="DH246" s="37"/>
      <c r="DI246" s="37"/>
      <c r="DJ246" s="37"/>
    </row>
    <row r="247" spans="1:114" s="725" customFormat="1" ht="11.25" hidden="1" customHeight="1" outlineLevel="1">
      <c r="A247" s="37"/>
      <c r="B247" s="250" t="s">
        <v>310</v>
      </c>
      <c r="C247" s="247"/>
      <c r="D247" s="423"/>
      <c r="E247" s="248">
        <v>56943</v>
      </c>
      <c r="F247" s="248">
        <v>71931</v>
      </c>
      <c r="G247" s="247">
        <v>21461</v>
      </c>
      <c r="H247" s="247">
        <v>21633</v>
      </c>
      <c r="I247" s="247">
        <v>23318</v>
      </c>
      <c r="J247" s="247">
        <v>24501</v>
      </c>
      <c r="K247" s="449">
        <v>90913</v>
      </c>
      <c r="L247" s="450">
        <v>28484</v>
      </c>
      <c r="M247" s="450">
        <v>28951</v>
      </c>
      <c r="N247" s="450">
        <v>28982</v>
      </c>
      <c r="O247" s="450">
        <v>31801</v>
      </c>
      <c r="P247" s="449">
        <v>118218</v>
      </c>
      <c r="Q247" s="450">
        <v>33242</v>
      </c>
      <c r="R247" s="450">
        <v>34358</v>
      </c>
      <c r="S247" s="450">
        <v>36374</v>
      </c>
      <c r="T247" s="450">
        <v>39792</v>
      </c>
      <c r="U247" s="449">
        <v>143766</v>
      </c>
      <c r="V247" s="450">
        <v>38451</v>
      </c>
      <c r="W247" s="450">
        <v>38706</v>
      </c>
      <c r="X247" s="450">
        <v>39312</v>
      </c>
      <c r="Y247" s="450">
        <v>41604</v>
      </c>
      <c r="Z247" s="449">
        <v>156684</v>
      </c>
      <c r="AA247" s="450">
        <v>40246</v>
      </c>
      <c r="AB247" s="450">
        <v>40483</v>
      </c>
      <c r="AC247" s="450">
        <v>40490</v>
      </c>
      <c r="AD247" s="450">
        <v>43793</v>
      </c>
      <c r="AE247" s="449">
        <v>164563</v>
      </c>
      <c r="AF247" s="450">
        <v>42506</v>
      </c>
      <c r="AG247" s="450">
        <v>47183</v>
      </c>
      <c r="AH247" s="450">
        <v>49951</v>
      </c>
      <c r="AI247" s="450">
        <v>49131</v>
      </c>
      <c r="AJ247" s="449">
        <v>188771</v>
      </c>
      <c r="AK247" s="450">
        <v>51270</v>
      </c>
      <c r="AL247" s="450">
        <v>53349</v>
      </c>
      <c r="AM247" s="450">
        <v>106435</v>
      </c>
      <c r="AN247" s="450">
        <v>115104</v>
      </c>
      <c r="AO247" s="449">
        <v>316215</v>
      </c>
      <c r="AP247" s="450">
        <v>122715</v>
      </c>
      <c r="AQ247" s="450">
        <v>124942</v>
      </c>
      <c r="AR247" s="450">
        <v>130507</v>
      </c>
      <c r="AS247" s="450">
        <v>125787</v>
      </c>
      <c r="AT247" s="449">
        <v>499085</v>
      </c>
      <c r="AU247" s="450">
        <v>135532</v>
      </c>
      <c r="AV247" s="450">
        <v>142447</v>
      </c>
      <c r="AW247" s="450">
        <v>143558</v>
      </c>
      <c r="AX247" s="450">
        <v>144645</v>
      </c>
      <c r="AY247" s="449">
        <v>566211</v>
      </c>
      <c r="AZ247" s="450">
        <v>147679</v>
      </c>
      <c r="BA247" s="450">
        <v>153381</v>
      </c>
      <c r="BB247" s="450">
        <v>151119</v>
      </c>
      <c r="BC247" s="450">
        <v>157660</v>
      </c>
      <c r="BD247" s="449">
        <v>609839</v>
      </c>
      <c r="BE247" s="450">
        <v>160677</v>
      </c>
      <c r="BF247" s="450">
        <v>161376</v>
      </c>
      <c r="BG247" s="450">
        <v>161515</v>
      </c>
      <c r="BH247" s="450">
        <v>171628</v>
      </c>
      <c r="BI247" s="449">
        <v>652674</v>
      </c>
      <c r="BJ247" s="450">
        <v>174354</v>
      </c>
      <c r="BK247" s="450">
        <v>179801</v>
      </c>
      <c r="BL247" s="450">
        <v>182207</v>
      </c>
      <c r="BM247" s="450">
        <v>189196</v>
      </c>
      <c r="BN247" s="449">
        <v>725558</v>
      </c>
      <c r="BO247" s="450">
        <v>192158</v>
      </c>
      <c r="BP247" s="450">
        <v>194605</v>
      </c>
      <c r="BQ247" s="450">
        <v>195841</v>
      </c>
      <c r="BR247" s="450">
        <v>200071</v>
      </c>
      <c r="BS247" s="449">
        <v>782675</v>
      </c>
      <c r="BT247" s="450">
        <v>299</v>
      </c>
      <c r="BU247" s="450">
        <v>315</v>
      </c>
      <c r="BV247" s="450">
        <v>280</v>
      </c>
      <c r="BW247" s="450">
        <v>291</v>
      </c>
      <c r="BX247" s="449">
        <v>1181</v>
      </c>
      <c r="BY247" s="1141">
        <v>296</v>
      </c>
      <c r="BZ247" s="1141">
        <v>291</v>
      </c>
      <c r="CA247" s="1141">
        <v>288</v>
      </c>
      <c r="CB247" s="1120">
        <v>297</v>
      </c>
      <c r="CC247" s="1369">
        <v>1172</v>
      </c>
      <c r="CD247" s="1370">
        <v>298</v>
      </c>
      <c r="CE247" s="1370">
        <v>276</v>
      </c>
      <c r="CF247" s="1370">
        <v>265</v>
      </c>
      <c r="CG247" s="1370">
        <v>261</v>
      </c>
      <c r="CH247" s="1369">
        <v>1100</v>
      </c>
      <c r="CI247" s="1370">
        <v>236</v>
      </c>
      <c r="CJ247" s="1370">
        <v>223</v>
      </c>
      <c r="CK247" s="1370">
        <v>206</v>
      </c>
      <c r="CL247" s="1370">
        <v>196</v>
      </c>
      <c r="CM247" s="1371">
        <f>SUM(CI247:CL247)</f>
        <v>861</v>
      </c>
      <c r="CN247" s="249"/>
      <c r="CO247" s="249"/>
      <c r="CP247" s="249"/>
      <c r="CQ247" s="249"/>
      <c r="CR247" s="148"/>
      <c r="CS247" s="249"/>
      <c r="CT247" s="249"/>
      <c r="CU247" s="249"/>
      <c r="CV247" s="249"/>
      <c r="CW247" s="148"/>
      <c r="CX247" s="249"/>
      <c r="CY247" s="249"/>
      <c r="CZ247" s="249"/>
      <c r="DA247" s="249"/>
      <c r="DB247" s="148"/>
      <c r="DC247" s="249"/>
      <c r="DD247" s="249"/>
      <c r="DE247" s="249"/>
      <c r="DF247" s="249"/>
      <c r="DG247" s="37"/>
      <c r="DH247" s="37"/>
      <c r="DI247" s="37"/>
      <c r="DJ247" s="37"/>
    </row>
    <row r="248" spans="1:114" s="725" customFormat="1" ht="11.25" hidden="1" customHeight="1" outlineLevel="1">
      <c r="A248" s="37"/>
      <c r="B248" s="250" t="s">
        <v>381</v>
      </c>
      <c r="C248" s="366"/>
      <c r="D248" s="426"/>
      <c r="E248" s="365">
        <v>0</v>
      </c>
      <c r="F248" s="365">
        <v>0</v>
      </c>
      <c r="G248" s="366">
        <v>0</v>
      </c>
      <c r="H248" s="366">
        <v>0</v>
      </c>
      <c r="I248" s="366">
        <v>0</v>
      </c>
      <c r="J248" s="366">
        <v>0</v>
      </c>
      <c r="K248" s="449">
        <v>0</v>
      </c>
      <c r="L248" s="450">
        <v>-761</v>
      </c>
      <c r="M248" s="450">
        <v>-755</v>
      </c>
      <c r="N248" s="450">
        <v>-345</v>
      </c>
      <c r="O248" s="450">
        <v>-375</v>
      </c>
      <c r="P248" s="449">
        <v>-2236</v>
      </c>
      <c r="Q248" s="450">
        <v>-372</v>
      </c>
      <c r="R248" s="450">
        <v>-680</v>
      </c>
      <c r="S248" s="450">
        <v>-651</v>
      </c>
      <c r="T248" s="450">
        <v>-284</v>
      </c>
      <c r="U248" s="449">
        <v>-1987</v>
      </c>
      <c r="V248" s="450">
        <v>-373</v>
      </c>
      <c r="W248" s="450">
        <v>-635</v>
      </c>
      <c r="X248" s="450">
        <v>-80</v>
      </c>
      <c r="Y248" s="450">
        <v>-490</v>
      </c>
      <c r="Z248" s="449">
        <v>-1578</v>
      </c>
      <c r="AA248" s="450">
        <v>887</v>
      </c>
      <c r="AB248" s="450">
        <v>1117</v>
      </c>
      <c r="AC248" s="450">
        <v>715</v>
      </c>
      <c r="AD248" s="450">
        <v>385</v>
      </c>
      <c r="AE248" s="449">
        <v>3104</v>
      </c>
      <c r="AF248" s="450">
        <v>613</v>
      </c>
      <c r="AG248" s="450">
        <v>455</v>
      </c>
      <c r="AH248" s="450">
        <v>601</v>
      </c>
      <c r="AI248" s="450">
        <v>1126</v>
      </c>
      <c r="AJ248" s="449">
        <v>2795</v>
      </c>
      <c r="AK248" s="450">
        <v>193</v>
      </c>
      <c r="AL248" s="450">
        <v>625</v>
      </c>
      <c r="AM248" s="450">
        <v>4511</v>
      </c>
      <c r="AN248" s="450">
        <v>10848</v>
      </c>
      <c r="AO248" s="449">
        <v>25132</v>
      </c>
      <c r="AP248" s="450">
        <v>12884</v>
      </c>
      <c r="AQ248" s="450">
        <v>10508</v>
      </c>
      <c r="AR248" s="450">
        <v>8691</v>
      </c>
      <c r="AS248" s="450">
        <v>9981</v>
      </c>
      <c r="AT248" s="449">
        <v>42064</v>
      </c>
      <c r="AU248" s="450">
        <v>12919</v>
      </c>
      <c r="AV248" s="450">
        <v>-11783</v>
      </c>
      <c r="AW248" s="450">
        <v>-7001</v>
      </c>
      <c r="AX248" s="450">
        <v>-4820</v>
      </c>
      <c r="AY248" s="449">
        <v>-36521</v>
      </c>
      <c r="AZ248" s="450">
        <v>-12588</v>
      </c>
      <c r="BA248" s="450">
        <v>-10977</v>
      </c>
      <c r="BB248" s="450">
        <v>-9535</v>
      </c>
      <c r="BC248" s="450">
        <v>-12332</v>
      </c>
      <c r="BD248" s="449">
        <v>-45432</v>
      </c>
      <c r="BE248" s="450">
        <v>-18130</v>
      </c>
      <c r="BF248" s="450">
        <v>-12017</v>
      </c>
      <c r="BG248" s="450">
        <v>8194</v>
      </c>
      <c r="BH248" s="450">
        <v>-11146</v>
      </c>
      <c r="BI248" s="449">
        <v>-49491</v>
      </c>
      <c r="BJ248" s="450">
        <v>-12013</v>
      </c>
      <c r="BK248" s="450">
        <v>-13181</v>
      </c>
      <c r="BL248" s="450">
        <v>-7419</v>
      </c>
      <c r="BM248" s="450">
        <v>-9420</v>
      </c>
      <c r="BN248" s="449">
        <v>-42033</v>
      </c>
      <c r="BO248" s="450">
        <v>-15680</v>
      </c>
      <c r="BP248" s="450">
        <v>-9054</v>
      </c>
      <c r="BQ248" s="450">
        <v>-11641</v>
      </c>
      <c r="BR248" s="450">
        <v>-6266</v>
      </c>
      <c r="BS248" s="449">
        <v>-42641</v>
      </c>
      <c r="BT248" s="450">
        <v>-11</v>
      </c>
      <c r="BU248" s="450">
        <v>-11</v>
      </c>
      <c r="BV248" s="450">
        <v>-12</v>
      </c>
      <c r="BW248" s="450">
        <v>-14</v>
      </c>
      <c r="BX248" s="449">
        <v>-48</v>
      </c>
      <c r="BY248" s="1141">
        <v>-18</v>
      </c>
      <c r="BZ248" s="1141">
        <v>-21</v>
      </c>
      <c r="CA248" s="1141">
        <v>-12</v>
      </c>
      <c r="CB248" s="1120">
        <v>-12</v>
      </c>
      <c r="CC248" s="1369">
        <v>-63</v>
      </c>
      <c r="CD248" s="1370">
        <v>-20</v>
      </c>
      <c r="CE248" s="1370">
        <v>-14</v>
      </c>
      <c r="CF248" s="1370">
        <v>-4</v>
      </c>
      <c r="CG248" s="1370">
        <v>-5</v>
      </c>
      <c r="CH248" s="1369">
        <v>-43</v>
      </c>
      <c r="CI248" s="1370">
        <v>-3</v>
      </c>
      <c r="CJ248" s="1370">
        <v>-5</v>
      </c>
      <c r="CK248" s="1370">
        <v>-5</v>
      </c>
      <c r="CL248" s="1370">
        <v>-2</v>
      </c>
      <c r="CM248" s="1369">
        <v>-16</v>
      </c>
      <c r="CN248" s="249"/>
      <c r="CO248" s="249"/>
      <c r="CP248" s="249"/>
      <c r="CQ248" s="249"/>
      <c r="CR248" s="148"/>
      <c r="CS248" s="249"/>
      <c r="CT248" s="249"/>
      <c r="CU248" s="249"/>
      <c r="CV248" s="249"/>
      <c r="CW248" s="148"/>
      <c r="CX248" s="249"/>
      <c r="CY248" s="249"/>
      <c r="CZ248" s="249"/>
      <c r="DA248" s="249"/>
      <c r="DB248" s="148"/>
      <c r="DC248" s="249"/>
      <c r="DD248" s="249"/>
      <c r="DE248" s="249"/>
      <c r="DF248" s="249"/>
      <c r="DG248" s="37"/>
      <c r="DH248" s="37"/>
      <c r="DI248" s="37"/>
      <c r="DJ248" s="37"/>
    </row>
    <row r="249" spans="1:114" s="725" customFormat="1" ht="11.25" hidden="1" customHeight="1" outlineLevel="1">
      <c r="A249" s="37"/>
      <c r="B249" s="246" t="s">
        <v>221</v>
      </c>
      <c r="C249" s="368"/>
      <c r="D249" s="427"/>
      <c r="E249" s="367">
        <v>204185</v>
      </c>
      <c r="F249" s="367" t="s">
        <v>309</v>
      </c>
      <c r="G249" s="368" t="s">
        <v>309</v>
      </c>
      <c r="H249" s="368" t="s">
        <v>309</v>
      </c>
      <c r="I249" s="368" t="s">
        <v>309</v>
      </c>
      <c r="J249" s="368" t="s">
        <v>309</v>
      </c>
      <c r="K249" s="451" t="s">
        <v>309</v>
      </c>
      <c r="L249" s="452" t="s">
        <v>309</v>
      </c>
      <c r="M249" s="452" t="s">
        <v>309</v>
      </c>
      <c r="N249" s="452" t="s">
        <v>309</v>
      </c>
      <c r="O249" s="452" t="s">
        <v>309</v>
      </c>
      <c r="P249" s="451" t="s">
        <v>309</v>
      </c>
      <c r="Q249" s="452" t="s">
        <v>309</v>
      </c>
      <c r="R249" s="452" t="s">
        <v>309</v>
      </c>
      <c r="S249" s="452" t="s">
        <v>309</v>
      </c>
      <c r="T249" s="450">
        <v>118923</v>
      </c>
      <c r="U249" s="449">
        <v>436523</v>
      </c>
      <c r="V249" s="450">
        <v>125023</v>
      </c>
      <c r="W249" s="450">
        <v>121470</v>
      </c>
      <c r="X249" s="450">
        <v>121017</v>
      </c>
      <c r="Y249" s="450">
        <v>129981</v>
      </c>
      <c r="Z249" s="449">
        <v>497129</v>
      </c>
      <c r="AA249" s="450">
        <v>142097</v>
      </c>
      <c r="AB249" s="450">
        <v>140152</v>
      </c>
      <c r="AC249" s="450">
        <v>137497</v>
      </c>
      <c r="AD249" s="450">
        <v>151769</v>
      </c>
      <c r="AE249" s="449">
        <v>573200</v>
      </c>
      <c r="AF249" s="450">
        <v>158458</v>
      </c>
      <c r="AG249" s="450">
        <v>156744</v>
      </c>
      <c r="AH249" s="450">
        <v>91360</v>
      </c>
      <c r="AI249" s="450">
        <v>165464</v>
      </c>
      <c r="AJ249" s="449">
        <v>572026</v>
      </c>
      <c r="AK249" s="450">
        <v>170199</v>
      </c>
      <c r="AL249" s="450">
        <v>172549</v>
      </c>
      <c r="AM249" s="450">
        <v>303594</v>
      </c>
      <c r="AN249" s="450">
        <v>188058</v>
      </c>
      <c r="AO249" s="449">
        <v>827032</v>
      </c>
      <c r="AP249" s="450">
        <v>383155</v>
      </c>
      <c r="AQ249" s="450">
        <v>368524</v>
      </c>
      <c r="AR249" s="450">
        <v>392265</v>
      </c>
      <c r="AS249" s="450">
        <v>391709</v>
      </c>
      <c r="AT249" s="449">
        <v>1524723</v>
      </c>
      <c r="AU249" s="450">
        <v>403593</v>
      </c>
      <c r="AV249" s="450">
        <v>415633</v>
      </c>
      <c r="AW249" s="450">
        <v>417827</v>
      </c>
      <c r="AX249" s="450">
        <v>434421</v>
      </c>
      <c r="AY249" s="449">
        <v>1671397</v>
      </c>
      <c r="AZ249" s="450">
        <v>433279</v>
      </c>
      <c r="BA249" s="450">
        <v>443130</v>
      </c>
      <c r="BB249" s="450">
        <v>441473</v>
      </c>
      <c r="BC249" s="450">
        <v>452317</v>
      </c>
      <c r="BD249" s="449">
        <v>1770199</v>
      </c>
      <c r="BE249" s="450">
        <v>459772</v>
      </c>
      <c r="BF249" s="450">
        <v>462301</v>
      </c>
      <c r="BG249" s="450">
        <v>453512</v>
      </c>
      <c r="BH249" s="450">
        <v>463767</v>
      </c>
      <c r="BI249" s="449">
        <v>1836650</v>
      </c>
      <c r="BJ249" s="450">
        <v>535495</v>
      </c>
      <c r="BK249" s="450">
        <v>483094</v>
      </c>
      <c r="BL249" s="450">
        <v>477254</v>
      </c>
      <c r="BM249" s="450">
        <v>481872</v>
      </c>
      <c r="BN249" s="449">
        <v>1977715</v>
      </c>
      <c r="BO249" s="450">
        <v>493829</v>
      </c>
      <c r="BP249" s="450">
        <v>414231</v>
      </c>
      <c r="BQ249" s="450">
        <v>375210</v>
      </c>
      <c r="BR249" s="450">
        <v>441809</v>
      </c>
      <c r="BS249" s="449">
        <v>1725079</v>
      </c>
      <c r="BT249" s="450">
        <v>485</v>
      </c>
      <c r="BU249" s="450">
        <v>677</v>
      </c>
      <c r="BV249" s="450">
        <v>663</v>
      </c>
      <c r="BW249" s="450">
        <v>785</v>
      </c>
      <c r="BX249" s="449">
        <v>2777</v>
      </c>
      <c r="BY249" s="1141">
        <v>715</v>
      </c>
      <c r="BZ249" s="1141">
        <v>769</v>
      </c>
      <c r="CA249" s="1141">
        <v>661</v>
      </c>
      <c r="CB249" s="1120">
        <v>527</v>
      </c>
      <c r="CC249" s="1369">
        <v>2670</v>
      </c>
      <c r="CD249" s="1370">
        <v>633</v>
      </c>
      <c r="CE249" s="1370">
        <v>563</v>
      </c>
      <c r="CF249" s="1370">
        <v>465</v>
      </c>
      <c r="CG249" s="1370">
        <v>564</v>
      </c>
      <c r="CH249" s="1369">
        <v>2225</v>
      </c>
      <c r="CI249" s="1370">
        <v>527</v>
      </c>
      <c r="CJ249" s="1370">
        <v>435</v>
      </c>
      <c r="CK249" s="1370">
        <v>331</v>
      </c>
      <c r="CL249" s="1370">
        <v>409</v>
      </c>
      <c r="CM249" s="1369">
        <v>1703</v>
      </c>
      <c r="CN249" s="249"/>
      <c r="CO249" s="249"/>
      <c r="CP249" s="249"/>
      <c r="CQ249" s="249"/>
      <c r="CR249" s="148"/>
      <c r="CS249" s="249"/>
      <c r="CT249" s="249"/>
      <c r="CU249" s="249"/>
      <c r="CV249" s="249"/>
      <c r="CW249" s="148"/>
      <c r="CX249" s="249"/>
      <c r="CY249" s="249"/>
      <c r="CZ249" s="249"/>
      <c r="DA249" s="249"/>
      <c r="DB249" s="148"/>
      <c r="DC249" s="249"/>
      <c r="DD249" s="249"/>
      <c r="DE249" s="249"/>
      <c r="DF249" s="249"/>
      <c r="DG249" s="37"/>
      <c r="DH249" s="37"/>
      <c r="DI249" s="37"/>
      <c r="DJ249" s="37"/>
    </row>
    <row r="250" spans="1:114" s="725" customFormat="1" ht="11.25" hidden="1" customHeight="1" outlineLevel="1">
      <c r="A250" s="37"/>
      <c r="B250" s="250" t="s">
        <v>1</v>
      </c>
      <c r="C250" s="255"/>
      <c r="D250" s="425"/>
      <c r="E250" s="256">
        <v>0.189</v>
      </c>
      <c r="F250" s="256">
        <v>0.189</v>
      </c>
      <c r="G250" s="255">
        <v>0.19400000000000001</v>
      </c>
      <c r="H250" s="255">
        <v>0.184</v>
      </c>
      <c r="I250" s="255">
        <v>0.17799999999999999</v>
      </c>
      <c r="J250" s="255">
        <v>0.17499999999999999</v>
      </c>
      <c r="K250" s="256">
        <v>0.182</v>
      </c>
      <c r="L250" s="255">
        <v>0.17299999999999999</v>
      </c>
      <c r="M250" s="255">
        <v>0.16500000000000001</v>
      </c>
      <c r="N250" s="255">
        <v>0.158</v>
      </c>
      <c r="O250" s="255">
        <v>0.16200000000000001</v>
      </c>
      <c r="P250" s="256">
        <v>0.16400000000000001</v>
      </c>
      <c r="Q250" s="255">
        <v>0.16200000000000001</v>
      </c>
      <c r="R250" s="255">
        <v>0.156</v>
      </c>
      <c r="S250" s="255">
        <v>0.15</v>
      </c>
      <c r="T250" s="255">
        <v>0.15</v>
      </c>
      <c r="U250" s="256">
        <v>0.154</v>
      </c>
      <c r="V250" s="255">
        <v>0.152</v>
      </c>
      <c r="W250" s="255">
        <v>0.14899999999999999</v>
      </c>
      <c r="X250" s="255">
        <v>0.14299999999999999</v>
      </c>
      <c r="Y250" s="255">
        <v>0.14899999999999999</v>
      </c>
      <c r="Z250" s="256">
        <v>0.14899999999999999</v>
      </c>
      <c r="AA250" s="255">
        <v>0.155</v>
      </c>
      <c r="AB250" s="255">
        <v>0.153</v>
      </c>
      <c r="AC250" s="255">
        <v>0.14799999999999999</v>
      </c>
      <c r="AD250" s="255">
        <v>0.155</v>
      </c>
      <c r="AE250" s="256">
        <v>0.153</v>
      </c>
      <c r="AF250" s="255">
        <v>0.154</v>
      </c>
      <c r="AG250" s="255">
        <v>0.14799999999999999</v>
      </c>
      <c r="AH250" s="255">
        <v>8.1000000000000003E-2</v>
      </c>
      <c r="AI250" s="255">
        <v>0.14299999999999999</v>
      </c>
      <c r="AJ250" s="256">
        <v>0.13100000000000001</v>
      </c>
      <c r="AK250" s="255">
        <v>0.14099999999999999</v>
      </c>
      <c r="AL250" s="255">
        <v>0.13800000000000001</v>
      </c>
      <c r="AM250" s="255">
        <v>0.129</v>
      </c>
      <c r="AN250" s="255">
        <v>7.3999999999999996E-2</v>
      </c>
      <c r="AO250" s="256">
        <v>0.11600000000000001</v>
      </c>
      <c r="AP250" s="255">
        <v>0.14000000000000001</v>
      </c>
      <c r="AQ250" s="255">
        <v>0.13700000000000001</v>
      </c>
      <c r="AR250" s="255">
        <v>0.14099999999999999</v>
      </c>
      <c r="AS250" s="255">
        <v>0.14199999999999999</v>
      </c>
      <c r="AT250" s="256">
        <v>0.14099999999999999</v>
      </c>
      <c r="AU250" s="255">
        <v>0.14000000000000001</v>
      </c>
      <c r="AV250" s="255">
        <v>0.13800000000000001</v>
      </c>
      <c r="AW250" s="255">
        <v>0.13500000000000001</v>
      </c>
      <c r="AX250" s="255">
        <v>0.14099999999999999</v>
      </c>
      <c r="AY250" s="256">
        <v>0.13800000000000001</v>
      </c>
      <c r="AZ250" s="255">
        <v>0.13700000000000001</v>
      </c>
      <c r="BA250" s="255">
        <v>0.14000000000000001</v>
      </c>
      <c r="BB250" s="255">
        <v>0.13600000000000001</v>
      </c>
      <c r="BC250" s="255">
        <v>0.13300000000000001</v>
      </c>
      <c r="BD250" s="256">
        <v>0.13600000000000001</v>
      </c>
      <c r="BE250" s="255">
        <v>0.13500000000000001</v>
      </c>
      <c r="BF250" s="255">
        <v>0.13500000000000001</v>
      </c>
      <c r="BG250" s="255">
        <v>0.13200000000000001</v>
      </c>
      <c r="BH250" s="255">
        <v>0.13500000000000001</v>
      </c>
      <c r="BI250" s="256">
        <v>0.13500000000000001</v>
      </c>
      <c r="BJ250" s="255">
        <v>0.16200000000000001</v>
      </c>
      <c r="BK250" s="255">
        <v>0.14899999999999999</v>
      </c>
      <c r="BL250" s="255">
        <v>0.14899999999999999</v>
      </c>
      <c r="BM250" s="255">
        <v>0.14699999999999999</v>
      </c>
      <c r="BN250" s="256">
        <v>0.152</v>
      </c>
      <c r="BO250" s="255">
        <v>0.14899999999999999</v>
      </c>
      <c r="BP250" s="255">
        <v>0.128</v>
      </c>
      <c r="BQ250" s="255">
        <v>0.11700000000000001</v>
      </c>
      <c r="BR250" s="255">
        <v>0.13700000000000001</v>
      </c>
      <c r="BS250" s="256">
        <v>0.13300000000000001</v>
      </c>
      <c r="BT250" s="255">
        <v>0.11600000000000001</v>
      </c>
      <c r="BU250" s="255">
        <v>0.14199999999999999</v>
      </c>
      <c r="BV250" s="255">
        <v>0.13800000000000001</v>
      </c>
      <c r="BW250" s="255">
        <v>0.16</v>
      </c>
      <c r="BX250" s="256">
        <v>0.14899999999999999</v>
      </c>
      <c r="BY250" s="1124">
        <v>0.14599999999999999</v>
      </c>
      <c r="BZ250" s="1124">
        <v>0.158</v>
      </c>
      <c r="CA250" s="1124">
        <v>0.13600000000000001</v>
      </c>
      <c r="CB250" s="1124">
        <v>0.11</v>
      </c>
      <c r="CC250" s="1125">
        <v>0.13700000000000001</v>
      </c>
      <c r="CD250" s="1124">
        <v>0.127</v>
      </c>
      <c r="CE250" s="1124">
        <v>0.123</v>
      </c>
      <c r="CF250" s="1124">
        <v>0.106</v>
      </c>
      <c r="CG250" s="1124">
        <v>0.126</v>
      </c>
      <c r="CH250" s="1125">
        <v>0.121</v>
      </c>
      <c r="CI250" s="1124">
        <v>0.11700000000000001</v>
      </c>
      <c r="CJ250" s="1124">
        <v>0.105</v>
      </c>
      <c r="CK250" s="1124">
        <v>0.09</v>
      </c>
      <c r="CL250" s="1124">
        <v>0.13400000000000001</v>
      </c>
      <c r="CM250" s="1368">
        <f>CM249/CM242</f>
        <v>0.1109229466553768</v>
      </c>
      <c r="CN250" s="257"/>
      <c r="CO250" s="257"/>
      <c r="CP250" s="257"/>
      <c r="CQ250" s="257"/>
      <c r="CR250" s="110"/>
      <c r="CS250" s="257"/>
      <c r="CT250" s="257"/>
      <c r="CU250" s="257"/>
      <c r="CV250" s="257"/>
      <c r="CW250" s="110"/>
      <c r="CX250" s="257"/>
      <c r="CY250" s="257"/>
      <c r="CZ250" s="257"/>
      <c r="DA250" s="257"/>
      <c r="DB250" s="110"/>
      <c r="DC250" s="257"/>
      <c r="DD250" s="257"/>
      <c r="DE250" s="257"/>
      <c r="DF250" s="257"/>
      <c r="DG250" s="37"/>
      <c r="DH250" s="37"/>
      <c r="DI250" s="37"/>
      <c r="DJ250" s="37"/>
    </row>
    <row r="251" spans="1:114" s="725" customFormat="1" ht="11.25" hidden="1" customHeight="1" outlineLevel="1">
      <c r="A251" s="37"/>
      <c r="B251" s="250" t="s">
        <v>2</v>
      </c>
      <c r="C251" s="247"/>
      <c r="D251" s="423"/>
      <c r="E251" s="248">
        <v>-11746</v>
      </c>
      <c r="F251" s="248">
        <v>22985</v>
      </c>
      <c r="G251" s="247">
        <v>31555</v>
      </c>
      <c r="H251" s="247">
        <f>95528-G251</f>
        <v>63973</v>
      </c>
      <c r="I251" s="247">
        <f>114066-SUM(G251:H251)</f>
        <v>18538</v>
      </c>
      <c r="J251" s="247">
        <f>154387-SUM(G251:I251)</f>
        <v>40321</v>
      </c>
      <c r="K251" s="449">
        <v>154387</v>
      </c>
      <c r="L251" s="450">
        <v>48859</v>
      </c>
      <c r="M251" s="450">
        <f>135755-L251</f>
        <v>86896</v>
      </c>
      <c r="N251" s="450">
        <f>196856-SUM(L251:M251)</f>
        <v>61101</v>
      </c>
      <c r="O251" s="450">
        <f>285499-SUM(L251:N251)</f>
        <v>88643</v>
      </c>
      <c r="P251" s="449">
        <v>285499</v>
      </c>
      <c r="Q251" s="450">
        <v>8510</v>
      </c>
      <c r="R251" s="450">
        <f>151291-Q251</f>
        <v>142781</v>
      </c>
      <c r="S251" s="450">
        <f>198356-Q251-R251</f>
        <v>47065</v>
      </c>
      <c r="T251" s="450">
        <v>45348</v>
      </c>
      <c r="U251" s="449">
        <v>243704</v>
      </c>
      <c r="V251" s="450">
        <v>61731</v>
      </c>
      <c r="W251" s="450">
        <v>144254</v>
      </c>
      <c r="X251" s="450">
        <v>57189</v>
      </c>
      <c r="Y251" s="450">
        <v>62577</v>
      </c>
      <c r="Z251" s="449">
        <v>325751</v>
      </c>
      <c r="AA251" s="450">
        <v>148709</v>
      </c>
      <c r="AB251" s="450">
        <v>127686</v>
      </c>
      <c r="AC251" s="450">
        <v>59367</v>
      </c>
      <c r="AD251" s="450">
        <v>75286</v>
      </c>
      <c r="AE251" s="449">
        <v>411049</v>
      </c>
      <c r="AF251" s="450">
        <v>90814</v>
      </c>
      <c r="AG251" s="450">
        <v>116232</v>
      </c>
      <c r="AH251" s="450">
        <v>61005</v>
      </c>
      <c r="AI251" s="450">
        <v>82204</v>
      </c>
      <c r="AJ251" s="449">
        <v>350255</v>
      </c>
      <c r="AK251" s="450">
        <v>120347</v>
      </c>
      <c r="AL251" s="450">
        <v>95641</v>
      </c>
      <c r="AM251" s="450">
        <v>188662</v>
      </c>
      <c r="AN251" s="450">
        <v>283088</v>
      </c>
      <c r="AO251" s="449">
        <v>687738</v>
      </c>
      <c r="AP251" s="450">
        <v>8878</v>
      </c>
      <c r="AQ251" s="450">
        <v>407905</v>
      </c>
      <c r="AR251" s="450">
        <v>268273</v>
      </c>
      <c r="AS251" s="450">
        <v>372225</v>
      </c>
      <c r="AT251" s="449">
        <v>1057281</v>
      </c>
      <c r="AU251" s="450">
        <v>259427</v>
      </c>
      <c r="AV251" s="450">
        <v>284980</v>
      </c>
      <c r="AW251" s="450">
        <v>356353</v>
      </c>
      <c r="AX251" s="450">
        <v>175669</v>
      </c>
      <c r="AY251" s="449">
        <v>1076429</v>
      </c>
      <c r="AZ251" s="450">
        <v>299360</v>
      </c>
      <c r="BA251" s="450">
        <v>242432</v>
      </c>
      <c r="BB251" s="450">
        <v>356585</v>
      </c>
      <c r="BC251" s="450">
        <v>290354</v>
      </c>
      <c r="BD251" s="449">
        <v>1188730</v>
      </c>
      <c r="BE251" s="450">
        <v>187511</v>
      </c>
      <c r="BF251" s="450">
        <v>397174</v>
      </c>
      <c r="BG251" s="450">
        <v>235550</v>
      </c>
      <c r="BH251" s="450">
        <v>441673</v>
      </c>
      <c r="BI251" s="449">
        <v>1261908</v>
      </c>
      <c r="BJ251" s="450">
        <v>187310</v>
      </c>
      <c r="BK251" s="450">
        <v>295617</v>
      </c>
      <c r="BL251" s="450">
        <v>294938</v>
      </c>
      <c r="BM251" s="450">
        <v>502255</v>
      </c>
      <c r="BN251" s="449">
        <v>1280120</v>
      </c>
      <c r="BO251" s="450">
        <v>57154</v>
      </c>
      <c r="BP251" s="450">
        <v>252018</v>
      </c>
      <c r="BQ251" s="450">
        <v>131927</v>
      </c>
      <c r="BR251" s="450">
        <v>647619</v>
      </c>
      <c r="BS251" s="449">
        <v>1088719</v>
      </c>
      <c r="BT251" s="450">
        <v>65000</v>
      </c>
      <c r="BU251" s="450">
        <v>449</v>
      </c>
      <c r="BV251" s="450">
        <v>126</v>
      </c>
      <c r="BW251" s="450">
        <v>976</v>
      </c>
      <c r="BX251" s="449">
        <v>1615</v>
      </c>
      <c r="BY251" s="1141">
        <v>-61</v>
      </c>
      <c r="BZ251" s="1141">
        <v>565</v>
      </c>
      <c r="CA251" s="1141">
        <v>111</v>
      </c>
      <c r="CB251" s="1120">
        <v>306</v>
      </c>
      <c r="CC251" s="1369">
        <v>921</v>
      </c>
      <c r="CD251" s="1370">
        <v>294</v>
      </c>
      <c r="CE251" s="1370">
        <v>338</v>
      </c>
      <c r="CF251" s="1370">
        <v>178</v>
      </c>
      <c r="CG251" s="1370">
        <v>327</v>
      </c>
      <c r="CH251" s="1369">
        <v>1137</v>
      </c>
      <c r="CI251" s="1370">
        <v>242</v>
      </c>
      <c r="CJ251" s="1370">
        <v>261</v>
      </c>
      <c r="CK251" s="1370">
        <v>114</v>
      </c>
      <c r="CL251" s="1370">
        <v>156</v>
      </c>
      <c r="CM251" s="1371">
        <f>SUM(CI251:CL251)</f>
        <v>773</v>
      </c>
      <c r="CN251" s="249"/>
      <c r="CO251" s="249"/>
      <c r="CP251" s="249"/>
      <c r="CQ251" s="249"/>
      <c r="CR251" s="148"/>
      <c r="CS251" s="249"/>
      <c r="CT251" s="249"/>
      <c r="CU251" s="249"/>
      <c r="CV251" s="249"/>
      <c r="CW251" s="148"/>
      <c r="CX251" s="249"/>
      <c r="CY251" s="249"/>
      <c r="CZ251" s="249"/>
      <c r="DA251" s="249"/>
      <c r="DB251" s="148"/>
      <c r="DC251" s="249"/>
      <c r="DD251" s="249"/>
      <c r="DE251" s="249"/>
      <c r="DF251" s="249"/>
      <c r="DG251" s="37"/>
      <c r="DH251" s="37"/>
      <c r="DI251" s="37"/>
      <c r="DJ251" s="37"/>
    </row>
    <row r="252" spans="1:114" s="725" customFormat="1" ht="11.25" hidden="1" customHeight="1" outlineLevel="1">
      <c r="A252" s="37"/>
      <c r="B252" s="246" t="s">
        <v>5</v>
      </c>
      <c r="C252" s="257"/>
      <c r="D252" s="111"/>
      <c r="E252" s="110">
        <f t="shared" ref="E252:P252" si="552">E251/E242</f>
        <v>-1.0876399250708133E-2</v>
      </c>
      <c r="F252" s="110">
        <f t="shared" si="552"/>
        <v>1.7185033880348501E-2</v>
      </c>
      <c r="G252" s="257">
        <f t="shared" si="552"/>
        <v>7.9155639729583963E-2</v>
      </c>
      <c r="H252" s="257">
        <f t="shared" si="552"/>
        <v>0.15956987745348694</v>
      </c>
      <c r="I252" s="257">
        <f t="shared" si="552"/>
        <v>4.4501631182349143E-2</v>
      </c>
      <c r="J252" s="257">
        <f t="shared" si="552"/>
        <v>8.4441531134948122E-2</v>
      </c>
      <c r="K252" s="110">
        <f t="shared" si="552"/>
        <v>9.1157723817255884E-2</v>
      </c>
      <c r="L252" s="257">
        <f t="shared" si="552"/>
        <v>9.1578744149692887E-2</v>
      </c>
      <c r="M252" s="257">
        <f t="shared" si="552"/>
        <v>0.16377487362933532</v>
      </c>
      <c r="N252" s="257">
        <f t="shared" si="552"/>
        <v>0.11052183177441616</v>
      </c>
      <c r="O252" s="257">
        <f t="shared" si="552"/>
        <v>0.1519225330991045</v>
      </c>
      <c r="P252" s="110">
        <f t="shared" si="552"/>
        <v>0.12974767964435832</v>
      </c>
      <c r="Q252" s="257">
        <f>Q251/Q242</f>
        <v>1.2908079608419526E-2</v>
      </c>
      <c r="R252" s="257">
        <f>R251/R242</f>
        <v>0.21722580340882985</v>
      </c>
      <c r="S252" s="257">
        <f>S251/S242</f>
        <v>6.5094838054720328E-2</v>
      </c>
      <c r="T252" s="255">
        <v>5.7000000000000002E-2</v>
      </c>
      <c r="U252" s="256">
        <v>8.5999999999999993E-2</v>
      </c>
      <c r="V252" s="255">
        <v>7.4999999999999997E-2</v>
      </c>
      <c r="W252" s="255">
        <v>0.17699999999999999</v>
      </c>
      <c r="X252" s="255">
        <v>6.8000000000000005E-2</v>
      </c>
      <c r="Y252" s="255">
        <v>7.1999999999999995E-2</v>
      </c>
      <c r="Z252" s="256">
        <v>9.8000000000000004E-2</v>
      </c>
      <c r="AA252" s="255">
        <v>0.16300000000000001</v>
      </c>
      <c r="AB252" s="255">
        <v>0.13900000000000001</v>
      </c>
      <c r="AC252" s="255">
        <v>6.4000000000000001E-2</v>
      </c>
      <c r="AD252" s="255">
        <v>7.6999999999999999E-2</v>
      </c>
      <c r="AE252" s="256">
        <v>0.11</v>
      </c>
      <c r="AF252" s="255">
        <v>8.7999999999999995E-2</v>
      </c>
      <c r="AG252" s="255">
        <v>0.11</v>
      </c>
      <c r="AH252" s="255">
        <v>5.3999999999999999E-2</v>
      </c>
      <c r="AI252" s="255">
        <v>7.0999999999999994E-2</v>
      </c>
      <c r="AJ252" s="256">
        <v>0.08</v>
      </c>
      <c r="AK252" s="255">
        <v>0.1</v>
      </c>
      <c r="AL252" s="255">
        <v>7.6999999999999999E-2</v>
      </c>
      <c r="AM252" s="255">
        <v>0.08</v>
      </c>
      <c r="AN252" s="255">
        <v>0.112</v>
      </c>
      <c r="AO252" s="256">
        <v>9.6000000000000002E-2</v>
      </c>
      <c r="AP252" s="255">
        <v>3.0000000000000001E-3</v>
      </c>
      <c r="AQ252" s="255">
        <v>0.152</v>
      </c>
      <c r="AR252" s="255">
        <v>9.7000000000000003E-2</v>
      </c>
      <c r="AS252" s="255">
        <v>0.13500000000000001</v>
      </c>
      <c r="AT252" s="256">
        <v>9.8000000000000004E-2</v>
      </c>
      <c r="AU252" s="255">
        <v>0.09</v>
      </c>
      <c r="AV252" s="255">
        <v>9.4E-2</v>
      </c>
      <c r="AW252" s="255">
        <v>0.115</v>
      </c>
      <c r="AX252" s="255">
        <v>5.7000000000000002E-2</v>
      </c>
      <c r="AY252" s="256">
        <v>8.8999999999999996E-2</v>
      </c>
      <c r="AZ252" s="255">
        <v>9.5000000000000001E-2</v>
      </c>
      <c r="BA252" s="255">
        <v>7.5999999999999998E-2</v>
      </c>
      <c r="BB252" s="255">
        <v>0.11</v>
      </c>
      <c r="BC252" s="255">
        <v>8.5000000000000006E-2</v>
      </c>
      <c r="BD252" s="256">
        <v>9.1999999999999998E-2</v>
      </c>
      <c r="BE252" s="255">
        <v>5.5E-2</v>
      </c>
      <c r="BF252" s="255">
        <v>0.11600000000000001</v>
      </c>
      <c r="BG252" s="255">
        <v>6.9000000000000006E-2</v>
      </c>
      <c r="BH252" s="255">
        <v>0.128</v>
      </c>
      <c r="BI252" s="256">
        <v>9.2999999999999999E-2</v>
      </c>
      <c r="BJ252" s="255">
        <v>5.7000000000000002E-2</v>
      </c>
      <c r="BK252" s="255">
        <v>9.0999999999999998E-2</v>
      </c>
      <c r="BL252" s="255">
        <v>9.1999999999999998E-2</v>
      </c>
      <c r="BM252" s="255">
        <v>0.153</v>
      </c>
      <c r="BN252" s="256">
        <v>9.8000000000000004E-2</v>
      </c>
      <c r="BO252" s="255">
        <v>1.7000000000000001E-2</v>
      </c>
      <c r="BP252" s="255">
        <v>7.8E-2</v>
      </c>
      <c r="BQ252" s="255">
        <v>4.1000000000000002E-2</v>
      </c>
      <c r="BR252" s="255">
        <v>0.2</v>
      </c>
      <c r="BS252" s="256">
        <v>8.4000000000000005E-2</v>
      </c>
      <c r="BT252" s="255">
        <v>1.4999999999999999E-2</v>
      </c>
      <c r="BU252" s="255">
        <v>9.4E-2</v>
      </c>
      <c r="BV252" s="255">
        <v>2.5999999999999999E-2</v>
      </c>
      <c r="BW252" s="255">
        <v>0.19800000000000001</v>
      </c>
      <c r="BX252" s="256">
        <v>8.6999999999999994E-2</v>
      </c>
      <c r="BY252" s="1124">
        <v>-1.2E-2</v>
      </c>
      <c r="BZ252" s="1124">
        <v>0.11600000000000001</v>
      </c>
      <c r="CA252" s="1124">
        <v>2.3E-2</v>
      </c>
      <c r="CB252" s="1124">
        <v>6.4000000000000001E-2</v>
      </c>
      <c r="CC252" s="1125">
        <v>4.7E-2</v>
      </c>
      <c r="CD252" s="1124">
        <v>5.8999999999999997E-2</v>
      </c>
      <c r="CE252" s="1124">
        <v>7.3999999999999996E-2</v>
      </c>
      <c r="CF252" s="1124">
        <v>4.1000000000000002E-2</v>
      </c>
      <c r="CG252" s="1124"/>
      <c r="CH252" s="1125"/>
      <c r="CI252" s="1124"/>
      <c r="CJ252" s="257"/>
      <c r="CK252" s="257"/>
      <c r="CL252" s="257"/>
      <c r="CM252" s="110"/>
      <c r="CN252" s="257"/>
      <c r="CO252" s="257"/>
      <c r="CP252" s="257"/>
      <c r="CQ252" s="257"/>
      <c r="CR252" s="110"/>
      <c r="CS252" s="257"/>
      <c r="CT252" s="257"/>
      <c r="CU252" s="257"/>
      <c r="CV252" s="257"/>
      <c r="CW252" s="110"/>
      <c r="CX252" s="257"/>
      <c r="CY252" s="257"/>
      <c r="CZ252" s="257"/>
      <c r="DA252" s="257"/>
      <c r="DB252" s="110"/>
      <c r="DC252" s="257"/>
      <c r="DD252" s="257"/>
      <c r="DE252" s="257"/>
      <c r="DF252" s="257"/>
      <c r="DG252" s="37"/>
      <c r="DH252" s="37"/>
      <c r="DI252" s="37"/>
      <c r="DJ252" s="37"/>
    </row>
    <row r="253" spans="1:114" s="725" customFormat="1" ht="11.25" hidden="1" customHeight="1" outlineLevel="1">
      <c r="A253" s="37"/>
      <c r="B253" s="1126" t="s">
        <v>6</v>
      </c>
      <c r="C253" s="1243"/>
      <c r="D253" s="1243"/>
      <c r="E253" s="1243"/>
      <c r="F253" s="1243"/>
      <c r="G253" s="1243"/>
      <c r="H253" s="1243"/>
      <c r="I253" s="1243"/>
      <c r="J253" s="1243"/>
      <c r="K253" s="1243"/>
      <c r="L253" s="1243"/>
      <c r="M253" s="1243"/>
      <c r="N253" s="1243"/>
      <c r="O253" s="1243"/>
      <c r="P253" s="1243"/>
      <c r="Q253" s="1243"/>
      <c r="R253" s="1243"/>
      <c r="S253" s="1243"/>
      <c r="T253" s="1243"/>
      <c r="U253" s="1243"/>
      <c r="V253" s="1243"/>
      <c r="W253" s="1243"/>
      <c r="X253" s="1243"/>
      <c r="Y253" s="1243"/>
      <c r="Z253" s="1243"/>
      <c r="AA253" s="1243"/>
      <c r="AB253" s="1243"/>
      <c r="AC253" s="1243"/>
      <c r="AD253" s="1243"/>
      <c r="AE253" s="1243"/>
      <c r="AF253" s="1243"/>
      <c r="AG253" s="1243"/>
      <c r="AH253" s="1243"/>
      <c r="AI253" s="1243"/>
      <c r="AJ253" s="1243"/>
      <c r="AK253" s="1243"/>
      <c r="AL253" s="1243"/>
      <c r="AM253" s="1243"/>
      <c r="AN253" s="1243"/>
      <c r="AO253" s="1243"/>
      <c r="AP253" s="1243"/>
      <c r="AQ253" s="1243"/>
      <c r="AR253" s="1243"/>
      <c r="AS253" s="1243"/>
      <c r="AT253" s="1243"/>
      <c r="AU253" s="1243"/>
      <c r="AV253" s="1243"/>
      <c r="AW253" s="1243"/>
      <c r="AX253" s="1243"/>
      <c r="AY253" s="1243"/>
      <c r="AZ253" s="1243"/>
      <c r="BA253" s="1243"/>
      <c r="BB253" s="1243"/>
      <c r="BC253" s="1243"/>
      <c r="BD253" s="1243"/>
      <c r="BE253" s="1243"/>
      <c r="BF253" s="1243"/>
      <c r="BG253" s="1243"/>
      <c r="BH253" s="1243"/>
      <c r="BI253" s="1243"/>
      <c r="BJ253" s="1243"/>
      <c r="BK253" s="1243"/>
      <c r="BL253" s="1243"/>
      <c r="BM253" s="1243"/>
      <c r="BN253" s="1243"/>
      <c r="BO253" s="1243"/>
      <c r="BP253" s="1243"/>
      <c r="BQ253" s="1243"/>
      <c r="BR253" s="1243"/>
      <c r="BS253" s="1243"/>
      <c r="BT253" s="1243"/>
      <c r="BU253" s="1243"/>
      <c r="BV253" s="1243"/>
      <c r="BW253" s="1243"/>
      <c r="BX253" s="1243"/>
      <c r="BY253" s="1244"/>
      <c r="BZ253" s="1244"/>
      <c r="CA253" s="1244"/>
      <c r="CB253" s="1244"/>
      <c r="CC253" s="1245"/>
      <c r="CD253" s="1243"/>
      <c r="CE253" s="1243"/>
      <c r="CF253" s="1243"/>
      <c r="CG253" s="1243"/>
      <c r="CH253" s="1245"/>
      <c r="CI253" s="1243"/>
      <c r="CJ253" s="1243"/>
      <c r="CK253" s="1243"/>
      <c r="CL253" s="1243"/>
      <c r="CM253" s="1245"/>
      <c r="CN253" s="1243"/>
      <c r="CO253" s="1243"/>
      <c r="CP253" s="1243"/>
      <c r="CQ253" s="1243"/>
      <c r="CR253" s="1245"/>
      <c r="CS253" s="1243"/>
      <c r="CT253" s="1243"/>
      <c r="CU253" s="1243"/>
      <c r="CV253" s="1243"/>
      <c r="CW253" s="1245"/>
      <c r="CX253" s="1243"/>
      <c r="CY253" s="1243"/>
      <c r="CZ253" s="1243"/>
      <c r="DA253" s="1243"/>
      <c r="DB253" s="1245"/>
      <c r="DC253" s="726"/>
      <c r="DD253" s="726"/>
      <c r="DE253" s="726"/>
      <c r="DF253" s="726"/>
      <c r="DG253" s="37"/>
      <c r="DH253" s="37"/>
      <c r="DI253" s="37"/>
      <c r="DJ253" s="37"/>
    </row>
    <row r="254" spans="1:114" s="725" customFormat="1" ht="11.25" hidden="1" customHeight="1" outlineLevel="1">
      <c r="A254" s="37"/>
      <c r="B254" s="246" t="s">
        <v>533</v>
      </c>
      <c r="C254" s="368"/>
      <c r="D254" s="427"/>
      <c r="E254" s="367" t="s">
        <v>309</v>
      </c>
      <c r="F254" s="248">
        <v>44</v>
      </c>
      <c r="G254" s="247">
        <v>46</v>
      </c>
      <c r="H254" s="247">
        <v>49</v>
      </c>
      <c r="I254" s="247">
        <v>50</v>
      </c>
      <c r="J254" s="247">
        <v>52</v>
      </c>
      <c r="K254" s="449">
        <v>52</v>
      </c>
      <c r="L254" s="450">
        <v>52</v>
      </c>
      <c r="M254" s="450">
        <v>53</v>
      </c>
      <c r="N254" s="450">
        <v>54</v>
      </c>
      <c r="O254" s="450">
        <v>57</v>
      </c>
      <c r="P254" s="449">
        <v>57</v>
      </c>
      <c r="Q254" s="450">
        <v>59</v>
      </c>
      <c r="R254" s="450">
        <v>59</v>
      </c>
      <c r="S254" s="450">
        <v>61</v>
      </c>
      <c r="T254" s="450">
        <v>62</v>
      </c>
      <c r="U254" s="449">
        <v>62</v>
      </c>
      <c r="V254" s="450">
        <v>69</v>
      </c>
      <c r="W254" s="450">
        <v>69</v>
      </c>
      <c r="X254" s="450">
        <v>68</v>
      </c>
      <c r="Y254" s="450">
        <v>69</v>
      </c>
      <c r="Z254" s="449">
        <v>69</v>
      </c>
      <c r="AA254" s="450">
        <v>65</v>
      </c>
      <c r="AB254" s="450">
        <v>64</v>
      </c>
      <c r="AC254" s="450">
        <v>66</v>
      </c>
      <c r="AD254" s="450">
        <v>66</v>
      </c>
      <c r="AE254" s="449">
        <v>66</v>
      </c>
      <c r="AF254" s="450">
        <v>67</v>
      </c>
      <c r="AG254" s="450">
        <v>67</v>
      </c>
      <c r="AH254" s="450">
        <v>68</v>
      </c>
      <c r="AI254" s="450">
        <v>69</v>
      </c>
      <c r="AJ254" s="449">
        <v>69</v>
      </c>
      <c r="AK254" s="450">
        <v>69</v>
      </c>
      <c r="AL254" s="450">
        <v>73</v>
      </c>
      <c r="AM254" s="450">
        <v>120</v>
      </c>
      <c r="AN254" s="450">
        <v>112</v>
      </c>
      <c r="AO254" s="449">
        <v>112</v>
      </c>
      <c r="AP254" s="450">
        <v>112</v>
      </c>
      <c r="AQ254" s="450">
        <v>115</v>
      </c>
      <c r="AR254" s="450">
        <v>115</v>
      </c>
      <c r="AS254" s="450">
        <v>116</v>
      </c>
      <c r="AT254" s="449">
        <v>116</v>
      </c>
      <c r="AU254" s="450">
        <v>116</v>
      </c>
      <c r="AV254" s="450">
        <v>117</v>
      </c>
      <c r="AW254" s="450">
        <v>117</v>
      </c>
      <c r="AX254" s="450">
        <v>119</v>
      </c>
      <c r="AY254" s="449">
        <v>119</v>
      </c>
      <c r="AZ254" s="450">
        <v>120</v>
      </c>
      <c r="BA254" s="450">
        <v>122</v>
      </c>
      <c r="BB254" s="450">
        <v>122</v>
      </c>
      <c r="BC254" s="450">
        <v>125</v>
      </c>
      <c r="BD254" s="449">
        <v>125</v>
      </c>
      <c r="BE254" s="450">
        <v>124</v>
      </c>
      <c r="BF254" s="450">
        <v>122</v>
      </c>
      <c r="BG254" s="450">
        <v>123</v>
      </c>
      <c r="BH254" s="450">
        <v>127</v>
      </c>
      <c r="BI254" s="449">
        <v>127</v>
      </c>
      <c r="BJ254" s="450">
        <v>127</v>
      </c>
      <c r="BK254" s="450">
        <v>130</v>
      </c>
      <c r="BL254" s="450">
        <v>130</v>
      </c>
      <c r="BM254" s="450">
        <v>131</v>
      </c>
      <c r="BN254" s="449">
        <v>131</v>
      </c>
      <c r="BO254" s="450">
        <v>134</v>
      </c>
      <c r="BP254" s="450">
        <v>134</v>
      </c>
      <c r="BQ254" s="450">
        <v>135</v>
      </c>
      <c r="BR254" s="450">
        <v>135</v>
      </c>
      <c r="BS254" s="449">
        <v>135</v>
      </c>
      <c r="BT254" s="450">
        <v>196</v>
      </c>
      <c r="BU254" s="450">
        <v>196</v>
      </c>
      <c r="BV254" s="450">
        <v>194</v>
      </c>
      <c r="BW254" s="450">
        <v>193</v>
      </c>
      <c r="BX254" s="449">
        <v>193</v>
      </c>
      <c r="BY254" s="1141">
        <v>193</v>
      </c>
      <c r="BZ254" s="1141">
        <v>194</v>
      </c>
      <c r="CA254" s="1141">
        <v>193</v>
      </c>
      <c r="CB254" s="1120">
        <v>194</v>
      </c>
      <c r="CC254" s="1121">
        <v>194</v>
      </c>
      <c r="CD254" s="1120">
        <v>192</v>
      </c>
      <c r="CE254" s="1120">
        <v>153</v>
      </c>
      <c r="CF254" s="1120">
        <v>152</v>
      </c>
      <c r="CG254" s="1120">
        <v>152</v>
      </c>
      <c r="CH254" s="1121">
        <v>152</v>
      </c>
      <c r="CI254" s="1120">
        <v>154</v>
      </c>
      <c r="CJ254" s="1120">
        <v>143</v>
      </c>
      <c r="CK254" s="1120">
        <v>133</v>
      </c>
      <c r="CL254" s="1120">
        <v>125</v>
      </c>
      <c r="CM254" s="1366">
        <f>CL254</f>
        <v>125</v>
      </c>
      <c r="CN254" s="249"/>
      <c r="CO254" s="249"/>
      <c r="CP254" s="249"/>
      <c r="CQ254" s="249"/>
      <c r="CR254" s="148"/>
      <c r="CS254" s="249"/>
      <c r="CT254" s="249"/>
      <c r="CU254" s="249"/>
      <c r="CV254" s="249"/>
      <c r="CW254" s="148"/>
      <c r="CX254" s="249"/>
      <c r="CY254" s="249"/>
      <c r="CZ254" s="249"/>
      <c r="DA254" s="249"/>
      <c r="DB254" s="148"/>
      <c r="DC254" s="249"/>
      <c r="DD254" s="249"/>
      <c r="DE254" s="249"/>
      <c r="DF254" s="249"/>
      <c r="DG254" s="37"/>
      <c r="DH254" s="37"/>
      <c r="DI254" s="37"/>
      <c r="DJ254" s="37"/>
    </row>
    <row r="255" spans="1:114" s="725" customFormat="1" ht="11.25" hidden="1" customHeight="1" outlineLevel="1">
      <c r="A255" s="37"/>
      <c r="B255" s="250" t="s">
        <v>534</v>
      </c>
      <c r="C255" s="368"/>
      <c r="D255" s="427"/>
      <c r="E255" s="367" t="s">
        <v>309</v>
      </c>
      <c r="F255" s="248">
        <v>3958</v>
      </c>
      <c r="G255" s="247">
        <v>4186</v>
      </c>
      <c r="H255" s="247">
        <v>4388</v>
      </c>
      <c r="I255" s="247">
        <v>4478</v>
      </c>
      <c r="J255" s="247">
        <v>4625</v>
      </c>
      <c r="K255" s="449">
        <v>4625</v>
      </c>
      <c r="L255" s="450">
        <v>4610</v>
      </c>
      <c r="M255" s="450">
        <v>4775</v>
      </c>
      <c r="N255" s="450">
        <v>4810</v>
      </c>
      <c r="O255" s="450">
        <v>5298</v>
      </c>
      <c r="P255" s="449">
        <v>5298</v>
      </c>
      <c r="Q255" s="450">
        <v>5835</v>
      </c>
      <c r="R255" s="450">
        <v>5825</v>
      </c>
      <c r="S255" s="450">
        <v>5981</v>
      </c>
      <c r="T255" s="450">
        <v>6178</v>
      </c>
      <c r="U255" s="449">
        <v>6178</v>
      </c>
      <c r="V255" s="450">
        <v>6854</v>
      </c>
      <c r="W255" s="450">
        <v>6854</v>
      </c>
      <c r="X255" s="450">
        <v>7332</v>
      </c>
      <c r="Y255" s="450">
        <v>7575</v>
      </c>
      <c r="Z255" s="449">
        <v>7575</v>
      </c>
      <c r="AA255" s="450">
        <v>7168</v>
      </c>
      <c r="AB255" s="450">
        <v>7040</v>
      </c>
      <c r="AC255" s="450">
        <v>7358</v>
      </c>
      <c r="AD255" s="450">
        <v>7315</v>
      </c>
      <c r="AE255" s="449">
        <v>7315</v>
      </c>
      <c r="AF255" s="450">
        <v>7509</v>
      </c>
      <c r="AG255" s="450">
        <v>7512</v>
      </c>
      <c r="AH255" s="450">
        <v>7592</v>
      </c>
      <c r="AI255" s="450">
        <v>7999</v>
      </c>
      <c r="AJ255" s="449">
        <v>7999</v>
      </c>
      <c r="AK255" s="450">
        <v>8053</v>
      </c>
      <c r="AL255" s="450">
        <v>8479</v>
      </c>
      <c r="AM255" s="450">
        <v>17738</v>
      </c>
      <c r="AN255" s="450">
        <v>16434</v>
      </c>
      <c r="AO255" s="449">
        <v>16434</v>
      </c>
      <c r="AP255" s="450">
        <v>16429</v>
      </c>
      <c r="AQ255" s="450">
        <v>17031</v>
      </c>
      <c r="AR255" s="450">
        <v>16881</v>
      </c>
      <c r="AS255" s="450">
        <v>16734</v>
      </c>
      <c r="AT255" s="449">
        <v>16734</v>
      </c>
      <c r="AU255" s="450">
        <v>16692</v>
      </c>
      <c r="AV255" s="450">
        <v>16855</v>
      </c>
      <c r="AW255" s="450">
        <v>16873</v>
      </c>
      <c r="AX255" s="450">
        <v>17348</v>
      </c>
      <c r="AY255" s="449">
        <v>17348</v>
      </c>
      <c r="AZ255" s="450">
        <v>17486</v>
      </c>
      <c r="BA255" s="450">
        <v>18279</v>
      </c>
      <c r="BB255" s="450">
        <v>18297</v>
      </c>
      <c r="BC255" s="450">
        <v>18273</v>
      </c>
      <c r="BD255" s="449">
        <v>18273</v>
      </c>
      <c r="BE255" s="450">
        <v>18143</v>
      </c>
      <c r="BF255" s="450">
        <v>17917</v>
      </c>
      <c r="BG255" s="450">
        <v>18038</v>
      </c>
      <c r="BH255" s="450">
        <v>18992</v>
      </c>
      <c r="BI255" s="449">
        <v>18992</v>
      </c>
      <c r="BJ255" s="450">
        <v>18942</v>
      </c>
      <c r="BK255" s="450">
        <v>19305</v>
      </c>
      <c r="BL255" s="450">
        <v>19327</v>
      </c>
      <c r="BM255" s="450">
        <v>19662</v>
      </c>
      <c r="BN255" s="449">
        <v>19662</v>
      </c>
      <c r="BO255" s="450">
        <v>20241</v>
      </c>
      <c r="BP255" s="450">
        <v>20076</v>
      </c>
      <c r="BQ255" s="450">
        <v>20196</v>
      </c>
      <c r="BR255" s="450">
        <v>20180</v>
      </c>
      <c r="BS255" s="449">
        <v>20180</v>
      </c>
      <c r="BT255" s="450">
        <v>29192</v>
      </c>
      <c r="BU255" s="450">
        <v>29438</v>
      </c>
      <c r="BV255" s="450">
        <v>29383</v>
      </c>
      <c r="BW255" s="450">
        <v>29154</v>
      </c>
      <c r="BX255" s="449">
        <v>29154</v>
      </c>
      <c r="BY255" s="1141">
        <v>29267</v>
      </c>
      <c r="BZ255" s="1141">
        <v>29660</v>
      </c>
      <c r="CA255" s="1141">
        <v>29715</v>
      </c>
      <c r="CB255" s="1120">
        <v>29853</v>
      </c>
      <c r="CC255" s="1121">
        <v>29853</v>
      </c>
      <c r="CD255" s="1120">
        <v>29611</v>
      </c>
      <c r="CE255" s="1120">
        <v>26065</v>
      </c>
      <c r="CF255" s="1120">
        <v>25945</v>
      </c>
      <c r="CG255" s="1120">
        <v>25921</v>
      </c>
      <c r="CH255" s="1121">
        <v>25921</v>
      </c>
      <c r="CI255" s="1120">
        <v>25989</v>
      </c>
      <c r="CJ255" s="1120">
        <v>23829</v>
      </c>
      <c r="CK255" s="1120">
        <v>22012</v>
      </c>
      <c r="CL255" s="1120">
        <v>20850</v>
      </c>
      <c r="CM255" s="1366">
        <f>CL255</f>
        <v>20850</v>
      </c>
      <c r="CN255" s="249"/>
      <c r="CO255" s="249"/>
      <c r="CP255" s="249"/>
      <c r="CQ255" s="249"/>
      <c r="CR255" s="148"/>
      <c r="CS255" s="249"/>
      <c r="CT255" s="249"/>
      <c r="CU255" s="249"/>
      <c r="CV255" s="249"/>
      <c r="CW255" s="148"/>
      <c r="CX255" s="249"/>
      <c r="CY255" s="249"/>
      <c r="CZ255" s="249"/>
      <c r="DA255" s="249"/>
      <c r="DB255" s="148"/>
      <c r="DC255" s="249"/>
      <c r="DD255" s="249"/>
      <c r="DE255" s="249"/>
      <c r="DF255" s="249"/>
      <c r="DG255" s="37"/>
      <c r="DH255" s="37"/>
      <c r="DI255" s="37"/>
      <c r="DJ255" s="37"/>
    </row>
    <row r="256" spans="1:114" s="725" customFormat="1" ht="11.25" hidden="1" customHeight="1" outlineLevel="1">
      <c r="A256" s="37"/>
      <c r="B256" s="246" t="s">
        <v>535</v>
      </c>
      <c r="C256" s="368"/>
      <c r="D256" s="427"/>
      <c r="E256" s="367" t="s">
        <v>309</v>
      </c>
      <c r="F256" s="248">
        <v>3044</v>
      </c>
      <c r="G256" s="247">
        <v>3199</v>
      </c>
      <c r="H256" s="247">
        <v>3341</v>
      </c>
      <c r="I256" s="247">
        <v>3421</v>
      </c>
      <c r="J256" s="247">
        <v>3560</v>
      </c>
      <c r="K256" s="449">
        <v>3560</v>
      </c>
      <c r="L256" s="450">
        <v>3620</v>
      </c>
      <c r="M256" s="450">
        <v>3761</v>
      </c>
      <c r="N256" s="450">
        <v>3934</v>
      </c>
      <c r="O256" s="450">
        <v>4301</v>
      </c>
      <c r="P256" s="449">
        <v>4301</v>
      </c>
      <c r="Q256" s="450">
        <v>4634</v>
      </c>
      <c r="R256" s="450">
        <v>4618</v>
      </c>
      <c r="S256" s="450">
        <v>4791</v>
      </c>
      <c r="T256" s="450">
        <v>4932</v>
      </c>
      <c r="U256" s="449">
        <v>4932</v>
      </c>
      <c r="V256" s="450">
        <v>5384</v>
      </c>
      <c r="W256" s="450">
        <v>5417</v>
      </c>
      <c r="X256" s="450">
        <v>5822</v>
      </c>
      <c r="Y256" s="450">
        <v>6040</v>
      </c>
      <c r="Z256" s="449">
        <v>6040</v>
      </c>
      <c r="AA256" s="450">
        <v>5800</v>
      </c>
      <c r="AB256" s="450">
        <v>5689</v>
      </c>
      <c r="AC256" s="450">
        <v>5991</v>
      </c>
      <c r="AD256" s="450">
        <v>5991</v>
      </c>
      <c r="AE256" s="449">
        <v>5991</v>
      </c>
      <c r="AF256" s="450">
        <v>6183</v>
      </c>
      <c r="AG256" s="450">
        <v>6186</v>
      </c>
      <c r="AH256" s="450">
        <v>6225</v>
      </c>
      <c r="AI256" s="450">
        <v>6524</v>
      </c>
      <c r="AJ256" s="449">
        <v>6524</v>
      </c>
      <c r="AK256" s="450">
        <v>6521</v>
      </c>
      <c r="AL256" s="450">
        <v>6863</v>
      </c>
      <c r="AM256" s="450">
        <v>15045</v>
      </c>
      <c r="AN256" s="450">
        <v>14159</v>
      </c>
      <c r="AO256" s="449">
        <v>14159</v>
      </c>
      <c r="AP256" s="450">
        <v>14177</v>
      </c>
      <c r="AQ256" s="450">
        <v>14707</v>
      </c>
      <c r="AR256" s="450">
        <v>14652</v>
      </c>
      <c r="AS256" s="450">
        <v>14552</v>
      </c>
      <c r="AT256" s="449">
        <v>14552</v>
      </c>
      <c r="AU256" s="450">
        <v>14571</v>
      </c>
      <c r="AV256" s="450">
        <v>14733</v>
      </c>
      <c r="AW256" s="450">
        <v>14688</v>
      </c>
      <c r="AX256" s="450">
        <v>15200</v>
      </c>
      <c r="AY256" s="449">
        <v>15200</v>
      </c>
      <c r="AZ256" s="450">
        <v>15299</v>
      </c>
      <c r="BA256" s="450">
        <v>15972</v>
      </c>
      <c r="BB256" s="450">
        <v>15981</v>
      </c>
      <c r="BC256" s="450">
        <v>15914</v>
      </c>
      <c r="BD256" s="449">
        <v>15914</v>
      </c>
      <c r="BE256" s="450">
        <v>15837</v>
      </c>
      <c r="BF256" s="450">
        <v>15510</v>
      </c>
      <c r="BG256" s="450">
        <v>15523</v>
      </c>
      <c r="BH256" s="450">
        <v>16207</v>
      </c>
      <c r="BI256" s="449">
        <v>16207</v>
      </c>
      <c r="BJ256" s="450">
        <v>16152</v>
      </c>
      <c r="BK256" s="450">
        <v>16470</v>
      </c>
      <c r="BL256" s="450">
        <v>16464</v>
      </c>
      <c r="BM256" s="450">
        <v>16745</v>
      </c>
      <c r="BN256" s="449">
        <v>16745</v>
      </c>
      <c r="BO256" s="450">
        <v>17069</v>
      </c>
      <c r="BP256" s="450">
        <v>17199</v>
      </c>
      <c r="BQ256" s="450">
        <v>17370</v>
      </c>
      <c r="BR256" s="450">
        <v>17320</v>
      </c>
      <c r="BS256" s="449">
        <v>17320</v>
      </c>
      <c r="BT256" s="450">
        <v>25419</v>
      </c>
      <c r="BU256" s="450">
        <v>26147</v>
      </c>
      <c r="BV256" s="450">
        <v>26238</v>
      </c>
      <c r="BW256" s="450">
        <v>26242</v>
      </c>
      <c r="BX256" s="449">
        <v>26242</v>
      </c>
      <c r="BY256" s="1141">
        <v>25718</v>
      </c>
      <c r="BZ256" s="1141">
        <v>26081</v>
      </c>
      <c r="CA256" s="1141">
        <v>26105</v>
      </c>
      <c r="CB256" s="1120">
        <v>26312</v>
      </c>
      <c r="CC256" s="1121">
        <v>26312</v>
      </c>
      <c r="CD256" s="1120">
        <v>26097</v>
      </c>
      <c r="CE256" s="1120">
        <v>23206</v>
      </c>
      <c r="CF256" s="1120">
        <v>23066</v>
      </c>
      <c r="CG256" s="1120">
        <v>23064</v>
      </c>
      <c r="CH256" s="1121">
        <v>23064</v>
      </c>
      <c r="CI256" s="1120">
        <v>23316</v>
      </c>
      <c r="CJ256" s="1120">
        <v>21549</v>
      </c>
      <c r="CK256" s="1120">
        <v>19616</v>
      </c>
      <c r="CL256" s="1120">
        <v>18457</v>
      </c>
      <c r="CM256" s="1366">
        <f>CL256</f>
        <v>18457</v>
      </c>
      <c r="CN256" s="249"/>
      <c r="CO256" s="249"/>
      <c r="CP256" s="249"/>
      <c r="CQ256" s="249"/>
      <c r="CR256" s="148"/>
      <c r="CS256" s="249"/>
      <c r="CT256" s="249"/>
      <c r="CU256" s="249"/>
      <c r="CV256" s="249"/>
      <c r="CW256" s="148"/>
      <c r="CX256" s="249"/>
      <c r="CY256" s="249"/>
      <c r="CZ256" s="249"/>
      <c r="DA256" s="249"/>
      <c r="DB256" s="148"/>
      <c r="DC256" s="249"/>
      <c r="DD256" s="249"/>
      <c r="DE256" s="249"/>
      <c r="DF256" s="249"/>
      <c r="DG256" s="37"/>
      <c r="DH256" s="37"/>
      <c r="DI256" s="37"/>
      <c r="DJ256" s="37"/>
    </row>
    <row r="257" spans="1:114" s="725" customFormat="1" ht="11.25" hidden="1" customHeight="1" outlineLevel="1">
      <c r="A257" s="37"/>
      <c r="B257" s="250" t="s">
        <v>237</v>
      </c>
      <c r="C257" s="247"/>
      <c r="D257" s="423"/>
      <c r="E257" s="248">
        <v>105053</v>
      </c>
      <c r="F257" s="248">
        <v>125207</v>
      </c>
      <c r="G257" s="247">
        <v>36837</v>
      </c>
      <c r="H257" s="247">
        <v>35289</v>
      </c>
      <c r="I257" s="247">
        <v>37287</v>
      </c>
      <c r="J257" s="247">
        <v>39262</v>
      </c>
      <c r="K257" s="449">
        <v>148675</v>
      </c>
      <c r="L257" s="450">
        <v>44232</v>
      </c>
      <c r="M257" s="450">
        <v>41509</v>
      </c>
      <c r="N257" s="450">
        <v>43267</v>
      </c>
      <c r="O257" s="450">
        <v>47951</v>
      </c>
      <c r="P257" s="449">
        <v>176959</v>
      </c>
      <c r="Q257" s="450">
        <v>53288</v>
      </c>
      <c r="R257" s="450">
        <v>50320</v>
      </c>
      <c r="S257" s="450">
        <v>52551</v>
      </c>
      <c r="T257" s="450">
        <v>55795</v>
      </c>
      <c r="U257" s="449">
        <v>211954</v>
      </c>
      <c r="V257" s="450">
        <v>62602</v>
      </c>
      <c r="W257" s="450">
        <v>59634</v>
      </c>
      <c r="X257" s="450">
        <v>61643</v>
      </c>
      <c r="Y257" s="450">
        <v>67550</v>
      </c>
      <c r="Z257" s="449">
        <v>249415</v>
      </c>
      <c r="AA257" s="450">
        <v>71407</v>
      </c>
      <c r="AB257" s="450">
        <v>65284</v>
      </c>
      <c r="AC257" s="450">
        <v>67826</v>
      </c>
      <c r="AD257" s="450">
        <v>68765</v>
      </c>
      <c r="AE257" s="449">
        <v>272887</v>
      </c>
      <c r="AF257" s="450">
        <v>73703</v>
      </c>
      <c r="AG257" s="450">
        <v>71634</v>
      </c>
      <c r="AH257" s="450">
        <v>73159</v>
      </c>
      <c r="AI257" s="450">
        <v>76324</v>
      </c>
      <c r="AJ257" s="449">
        <v>294820</v>
      </c>
      <c r="AK257" s="450">
        <v>79030</v>
      </c>
      <c r="AL257" s="450">
        <v>77300</v>
      </c>
      <c r="AM257" s="450">
        <v>135197</v>
      </c>
      <c r="AN257" s="450">
        <v>157836</v>
      </c>
      <c r="AO257" s="449">
        <v>434317</v>
      </c>
      <c r="AP257" s="450">
        <v>172105</v>
      </c>
      <c r="AQ257" s="450">
        <v>163403</v>
      </c>
      <c r="AR257" s="450">
        <v>163670</v>
      </c>
      <c r="AS257" s="450">
        <v>159241</v>
      </c>
      <c r="AT257" s="449">
        <v>651211</v>
      </c>
      <c r="AU257" s="450">
        <v>166204</v>
      </c>
      <c r="AV257" s="450">
        <v>163273</v>
      </c>
      <c r="AW257" s="450">
        <v>163133</v>
      </c>
      <c r="AX257" s="450">
        <v>164171</v>
      </c>
      <c r="AY257" s="449">
        <v>658215</v>
      </c>
      <c r="AZ257" s="450">
        <v>170231</v>
      </c>
      <c r="BA257" s="450">
        <v>169234</v>
      </c>
      <c r="BB257" s="450">
        <v>168832</v>
      </c>
      <c r="BC257" s="450">
        <v>166789</v>
      </c>
      <c r="BD257" s="449">
        <v>675086</v>
      </c>
      <c r="BE257" s="450">
        <v>170555</v>
      </c>
      <c r="BF257" s="450">
        <v>158054</v>
      </c>
      <c r="BG257" s="450">
        <v>154434</v>
      </c>
      <c r="BH257" s="450">
        <v>160008</v>
      </c>
      <c r="BI257" s="449">
        <v>640302</v>
      </c>
      <c r="BJ257" s="450">
        <v>172231</v>
      </c>
      <c r="BK257" s="450">
        <v>164995</v>
      </c>
      <c r="BL257" s="450">
        <v>164336</v>
      </c>
      <c r="BM257" s="450">
        <v>167117</v>
      </c>
      <c r="BN257" s="449">
        <v>668679</v>
      </c>
      <c r="BO257" s="450">
        <v>171138</v>
      </c>
      <c r="BP257" s="450">
        <v>163505</v>
      </c>
      <c r="BQ257" s="450">
        <v>161256</v>
      </c>
      <c r="BR257" s="450">
        <v>155145</v>
      </c>
      <c r="BS257" s="449">
        <v>651044</v>
      </c>
      <c r="BT257" s="450">
        <v>206228</v>
      </c>
      <c r="BU257" s="450">
        <v>230928</v>
      </c>
      <c r="BV257" s="450">
        <v>228396</v>
      </c>
      <c r="BW257" s="450">
        <v>229657</v>
      </c>
      <c r="BX257" s="449">
        <v>892536</v>
      </c>
      <c r="BY257" s="1141">
        <v>236883</v>
      </c>
      <c r="BZ257" s="1141">
        <v>232584</v>
      </c>
      <c r="CA257" s="1141">
        <v>229679</v>
      </c>
      <c r="CB257" s="1120">
        <v>230067</v>
      </c>
      <c r="CC257" s="1121">
        <v>929213</v>
      </c>
      <c r="CD257" s="1120">
        <v>238829</v>
      </c>
      <c r="CE257" s="1120">
        <v>202702</v>
      </c>
      <c r="CF257" s="1120">
        <v>200365</v>
      </c>
      <c r="CG257" s="1120">
        <v>201803</v>
      </c>
      <c r="CH257" s="1121">
        <v>818559</v>
      </c>
      <c r="CI257" s="1120">
        <v>211090</v>
      </c>
      <c r="CJ257" s="1120">
        <v>184992</v>
      </c>
      <c r="CK257" s="1120">
        <v>171241</v>
      </c>
      <c r="CL257" s="1120">
        <v>163859</v>
      </c>
      <c r="CM257" s="1121">
        <v>659681</v>
      </c>
      <c r="CN257" s="249"/>
      <c r="CO257" s="249"/>
      <c r="CP257" s="249"/>
      <c r="CQ257" s="249"/>
      <c r="CR257" s="148"/>
      <c r="CS257" s="249"/>
      <c r="CT257" s="249"/>
      <c r="CU257" s="249"/>
      <c r="CV257" s="249"/>
      <c r="CW257" s="148"/>
      <c r="CX257" s="249"/>
      <c r="CY257" s="249"/>
      <c r="CZ257" s="249"/>
      <c r="DA257" s="249"/>
      <c r="DB257" s="148"/>
      <c r="DC257" s="249"/>
      <c r="DD257" s="249"/>
      <c r="DE257" s="249"/>
      <c r="DF257" s="249"/>
      <c r="DG257" s="37"/>
      <c r="DH257" s="37"/>
      <c r="DI257" s="37"/>
      <c r="DJ257" s="37"/>
    </row>
    <row r="258" spans="1:114" s="725" customFormat="1" ht="11.25" hidden="1" customHeight="1" outlineLevel="1">
      <c r="A258" s="37"/>
      <c r="B258" s="246" t="s">
        <v>536</v>
      </c>
      <c r="C258" s="247"/>
      <c r="D258" s="423"/>
      <c r="E258" s="248">
        <v>190661</v>
      </c>
      <c r="F258" s="248">
        <v>227780</v>
      </c>
      <c r="G258" s="247">
        <v>65325</v>
      </c>
      <c r="H258" s="247">
        <v>65670</v>
      </c>
      <c r="I258" s="247">
        <v>70529</v>
      </c>
      <c r="J258" s="247">
        <v>72110</v>
      </c>
      <c r="K258" s="449">
        <v>273700</v>
      </c>
      <c r="L258" s="450">
        <v>79505</v>
      </c>
      <c r="M258" s="450">
        <v>78231</v>
      </c>
      <c r="N258" s="450">
        <v>81555</v>
      </c>
      <c r="O258" s="450">
        <v>87910</v>
      </c>
      <c r="P258" s="449">
        <v>327201</v>
      </c>
      <c r="Q258" s="450">
        <v>95322</v>
      </c>
      <c r="R258" s="450">
        <v>92848</v>
      </c>
      <c r="S258" s="450">
        <v>96838</v>
      </c>
      <c r="T258" s="450">
        <v>100366</v>
      </c>
      <c r="U258" s="449">
        <v>385404</v>
      </c>
      <c r="V258" s="450">
        <v>112678</v>
      </c>
      <c r="W258" s="450">
        <v>110501</v>
      </c>
      <c r="X258" s="450">
        <v>118051</v>
      </c>
      <c r="Y258" s="450">
        <v>124828</v>
      </c>
      <c r="Z258" s="449">
        <v>462521</v>
      </c>
      <c r="AA258" s="450">
        <v>126931</v>
      </c>
      <c r="AB258" s="450">
        <v>121896</v>
      </c>
      <c r="AC258" s="450">
        <v>128300</v>
      </c>
      <c r="AD258" s="450">
        <v>126187</v>
      </c>
      <c r="AE258" s="449">
        <v>502449</v>
      </c>
      <c r="AF258" s="450">
        <v>133266</v>
      </c>
      <c r="AG258" s="450">
        <v>133410</v>
      </c>
      <c r="AH258" s="450">
        <v>135845</v>
      </c>
      <c r="AI258" s="450">
        <v>140568</v>
      </c>
      <c r="AJ258" s="449">
        <v>543074</v>
      </c>
      <c r="AK258" s="450">
        <v>143820</v>
      </c>
      <c r="AL258" s="450">
        <v>145359</v>
      </c>
      <c r="AM258" s="450">
        <v>249813</v>
      </c>
      <c r="AN258" s="450">
        <v>282674</v>
      </c>
      <c r="AO258" s="449">
        <v>792190</v>
      </c>
      <c r="AP258" s="450">
        <v>300594</v>
      </c>
      <c r="AQ258" s="450">
        <v>295792</v>
      </c>
      <c r="AR258" s="450">
        <v>300199</v>
      </c>
      <c r="AS258" s="450">
        <v>288913</v>
      </c>
      <c r="AT258" s="449">
        <v>1174600</v>
      </c>
      <c r="AU258" s="450">
        <v>298722</v>
      </c>
      <c r="AV258" s="450">
        <v>303489</v>
      </c>
      <c r="AW258" s="450">
        <v>306657</v>
      </c>
      <c r="AX258" s="450">
        <v>303862</v>
      </c>
      <c r="AY258" s="449">
        <v>1215606</v>
      </c>
      <c r="AZ258" s="450">
        <v>309881</v>
      </c>
      <c r="BA258" s="450">
        <v>318446</v>
      </c>
      <c r="BB258" s="450">
        <v>323671</v>
      </c>
      <c r="BC258" s="450">
        <v>317004</v>
      </c>
      <c r="BD258" s="449">
        <v>1269467</v>
      </c>
      <c r="BE258" s="450">
        <v>322126</v>
      </c>
      <c r="BF258" s="450">
        <v>313299</v>
      </c>
      <c r="BG258" s="450">
        <v>315672</v>
      </c>
      <c r="BH258" s="450">
        <v>321502</v>
      </c>
      <c r="BI258" s="449">
        <v>1267860</v>
      </c>
      <c r="BJ258" s="450">
        <v>340264</v>
      </c>
      <c r="BK258" s="450">
        <v>333970</v>
      </c>
      <c r="BL258" s="450">
        <v>337252</v>
      </c>
      <c r="BM258" s="450">
        <v>339427</v>
      </c>
      <c r="BN258" s="449">
        <v>1351043</v>
      </c>
      <c r="BO258" s="450">
        <v>340151</v>
      </c>
      <c r="BP258" s="450">
        <v>341716</v>
      </c>
      <c r="BQ258" s="450">
        <v>341652</v>
      </c>
      <c r="BR258" s="450">
        <v>329291</v>
      </c>
      <c r="BS258" s="449">
        <v>1353195</v>
      </c>
      <c r="BT258" s="450">
        <v>424125</v>
      </c>
      <c r="BU258" s="450">
        <v>497340</v>
      </c>
      <c r="BV258" s="450">
        <v>498576</v>
      </c>
      <c r="BW258" s="450">
        <v>493906</v>
      </c>
      <c r="BX258" s="449">
        <v>1908074</v>
      </c>
      <c r="BY258" s="1141">
        <v>492194</v>
      </c>
      <c r="BZ258" s="1141">
        <v>509227</v>
      </c>
      <c r="CA258" s="1141">
        <v>510330</v>
      </c>
      <c r="CB258" s="1120">
        <v>503681</v>
      </c>
      <c r="CC258" s="1121">
        <v>2015496</v>
      </c>
      <c r="CD258" s="1120">
        <v>510755</v>
      </c>
      <c r="CE258" s="1120">
        <v>444270</v>
      </c>
      <c r="CF258" s="1120">
        <v>441545</v>
      </c>
      <c r="CG258" s="1120">
        <v>435605</v>
      </c>
      <c r="CH258" s="1121">
        <v>1173093</v>
      </c>
      <c r="CI258" s="1120">
        <v>446053</v>
      </c>
      <c r="CJ258" s="1120">
        <v>405584</v>
      </c>
      <c r="CK258" s="1120">
        <v>374808</v>
      </c>
      <c r="CL258" s="1120">
        <v>354134</v>
      </c>
      <c r="CM258" s="1121">
        <v>1421816</v>
      </c>
      <c r="CN258" s="249"/>
      <c r="CO258" s="249"/>
      <c r="CP258" s="249"/>
      <c r="CQ258" s="249"/>
      <c r="CR258" s="148"/>
      <c r="CS258" s="249"/>
      <c r="CT258" s="249"/>
      <c r="CU258" s="249"/>
      <c r="CV258" s="249"/>
      <c r="CW258" s="148"/>
      <c r="CX258" s="249"/>
      <c r="CY258" s="249"/>
      <c r="CZ258" s="249"/>
      <c r="DA258" s="249"/>
      <c r="DB258" s="148"/>
      <c r="DC258" s="249"/>
      <c r="DD258" s="249"/>
      <c r="DE258" s="249"/>
      <c r="DF258" s="249"/>
      <c r="DG258" s="37"/>
      <c r="DH258" s="37"/>
      <c r="DI258" s="37"/>
      <c r="DJ258" s="37"/>
    </row>
    <row r="259" spans="1:114" s="725" customFormat="1" ht="11.25" hidden="1" customHeight="1" outlineLevel="1">
      <c r="A259" s="37"/>
      <c r="B259" s="250" t="s">
        <v>537</v>
      </c>
      <c r="C259" s="247"/>
      <c r="D259" s="423"/>
      <c r="E259" s="248">
        <v>419942</v>
      </c>
      <c r="F259" s="248">
        <v>481620</v>
      </c>
      <c r="G259" s="247">
        <v>142053</v>
      </c>
      <c r="H259" s="247">
        <v>134081</v>
      </c>
      <c r="I259" s="247">
        <v>138444</v>
      </c>
      <c r="J259" s="247">
        <v>144648</v>
      </c>
      <c r="K259" s="449">
        <v>559226</v>
      </c>
      <c r="L259" s="450">
        <v>169150</v>
      </c>
      <c r="M259" s="450">
        <v>153245</v>
      </c>
      <c r="N259" s="450">
        <v>158531</v>
      </c>
      <c r="O259" s="450">
        <v>179996</v>
      </c>
      <c r="P259" s="449">
        <v>660922</v>
      </c>
      <c r="Q259" s="450">
        <v>212402</v>
      </c>
      <c r="R259" s="450">
        <v>194764</v>
      </c>
      <c r="S259" s="450">
        <v>204589</v>
      </c>
      <c r="T259" s="450">
        <v>223372</v>
      </c>
      <c r="U259" s="449">
        <v>835127</v>
      </c>
      <c r="V259" s="450">
        <v>252634</v>
      </c>
      <c r="W259" s="450">
        <v>234899</v>
      </c>
      <c r="X259" s="450">
        <v>242306</v>
      </c>
      <c r="Y259" s="450">
        <v>272446</v>
      </c>
      <c r="Z259" s="449">
        <v>994314</v>
      </c>
      <c r="AA259" s="450">
        <v>299897</v>
      </c>
      <c r="AB259" s="450">
        <v>268812</v>
      </c>
      <c r="AC259" s="450">
        <v>270787</v>
      </c>
      <c r="AD259" s="450">
        <v>280365</v>
      </c>
      <c r="AE259" s="449">
        <v>1118614</v>
      </c>
      <c r="AF259" s="450">
        <v>310266</v>
      </c>
      <c r="AG259" s="450">
        <v>297178</v>
      </c>
      <c r="AH259" s="450">
        <v>296299</v>
      </c>
      <c r="AI259" s="450">
        <v>309686</v>
      </c>
      <c r="AJ259" s="449">
        <v>1213429</v>
      </c>
      <c r="AK259" s="450">
        <v>326503</v>
      </c>
      <c r="AL259" s="450">
        <v>314721</v>
      </c>
      <c r="AM259" s="450">
        <v>570446</v>
      </c>
      <c r="AN259" s="450">
        <v>672248</v>
      </c>
      <c r="AO259" s="449">
        <v>1824399</v>
      </c>
      <c r="AP259" s="450">
        <v>748202</v>
      </c>
      <c r="AQ259" s="450">
        <v>688455</v>
      </c>
      <c r="AR259" s="450">
        <v>679255</v>
      </c>
      <c r="AS259" s="450">
        <v>672379</v>
      </c>
      <c r="AT259" s="449">
        <v>2754336</v>
      </c>
      <c r="AU259" s="450">
        <v>713299</v>
      </c>
      <c r="AV259" s="450">
        <v>681164</v>
      </c>
      <c r="AW259" s="450">
        <v>672483</v>
      </c>
      <c r="AX259" s="450">
        <v>694366</v>
      </c>
      <c r="AY259" s="449">
        <v>2768470</v>
      </c>
      <c r="AZ259" s="450">
        <v>721661</v>
      </c>
      <c r="BA259" s="450">
        <v>710593</v>
      </c>
      <c r="BB259" s="450">
        <v>711026</v>
      </c>
      <c r="BC259" s="450">
        <v>715252</v>
      </c>
      <c r="BD259" s="449">
        <v>2858532</v>
      </c>
      <c r="BE259" s="450">
        <v>755259</v>
      </c>
      <c r="BF259" s="450">
        <v>691706</v>
      </c>
      <c r="BG259" s="450">
        <v>669010</v>
      </c>
      <c r="BH259" s="450">
        <v>701213</v>
      </c>
      <c r="BI259" s="449">
        <v>2806139</v>
      </c>
      <c r="BJ259" s="450">
        <v>753701</v>
      </c>
      <c r="BK259" s="450">
        <v>711276</v>
      </c>
      <c r="BL259" s="450">
        <v>707598</v>
      </c>
      <c r="BM259" s="450">
        <v>729843</v>
      </c>
      <c r="BN259" s="449">
        <v>2902418</v>
      </c>
      <c r="BO259" s="450">
        <v>779684</v>
      </c>
      <c r="BP259" s="450">
        <v>719341</v>
      </c>
      <c r="BQ259" s="450">
        <v>695844</v>
      </c>
      <c r="BR259" s="450">
        <v>687463</v>
      </c>
      <c r="BS259" s="449">
        <v>2882332</v>
      </c>
      <c r="BT259" s="450">
        <v>940281</v>
      </c>
      <c r="BU259" s="450">
        <v>1017399</v>
      </c>
      <c r="BV259" s="450">
        <v>990935</v>
      </c>
      <c r="BW259" s="450">
        <v>1004207</v>
      </c>
      <c r="BX259" s="449">
        <v>3941245</v>
      </c>
      <c r="BY259" s="1141">
        <v>1081155</v>
      </c>
      <c r="BZ259" s="1141">
        <v>1028442</v>
      </c>
      <c r="CA259" s="1141">
        <v>998575</v>
      </c>
      <c r="CB259" s="1120">
        <v>1010993</v>
      </c>
      <c r="CC259" s="1121">
        <v>4119165</v>
      </c>
      <c r="CD259" s="1120">
        <v>1072943</v>
      </c>
      <c r="CE259" s="1120">
        <v>909067</v>
      </c>
      <c r="CF259" s="1120">
        <v>892828</v>
      </c>
      <c r="CG259" s="1120">
        <v>904723</v>
      </c>
      <c r="CH259" s="1121">
        <v>3678397</v>
      </c>
      <c r="CI259" s="1120">
        <v>969056</v>
      </c>
      <c r="CJ259" s="1120">
        <v>818249</v>
      </c>
      <c r="CK259" s="1120">
        <v>753086</v>
      </c>
      <c r="CL259" s="1120">
        <v>724920</v>
      </c>
      <c r="CM259" s="1121">
        <v>2937290</v>
      </c>
      <c r="CN259" s="249"/>
      <c r="CO259" s="249"/>
      <c r="CP259" s="249"/>
      <c r="CQ259" s="249"/>
      <c r="CR259" s="148"/>
      <c r="CS259" s="249"/>
      <c r="CT259" s="249"/>
      <c r="CU259" s="249"/>
      <c r="CV259" s="249"/>
      <c r="CW259" s="148"/>
      <c r="CX259" s="249"/>
      <c r="CY259" s="249"/>
      <c r="CZ259" s="249"/>
      <c r="DA259" s="249"/>
      <c r="DB259" s="148"/>
      <c r="DC259" s="249"/>
      <c r="DD259" s="249"/>
      <c r="DE259" s="249"/>
      <c r="DF259" s="249"/>
      <c r="DG259" s="37"/>
      <c r="DH259" s="37"/>
      <c r="DI259" s="37"/>
      <c r="DJ259" s="37"/>
    </row>
    <row r="260" spans="1:114" s="725" customFormat="1" ht="11.25" hidden="1" customHeight="1" outlineLevel="1">
      <c r="A260" s="37"/>
      <c r="B260" s="250" t="s">
        <v>429</v>
      </c>
      <c r="C260" s="251"/>
      <c r="D260" s="424"/>
      <c r="E260" s="252">
        <v>4</v>
      </c>
      <c r="F260" s="252">
        <v>3.8</v>
      </c>
      <c r="G260" s="251">
        <v>3.9</v>
      </c>
      <c r="H260" s="251">
        <v>3.8</v>
      </c>
      <c r="I260" s="251">
        <v>3.7</v>
      </c>
      <c r="J260" s="251">
        <v>3.7</v>
      </c>
      <c r="K260" s="252">
        <v>3.8</v>
      </c>
      <c r="L260" s="251">
        <v>3.8</v>
      </c>
      <c r="M260" s="251">
        <v>3.7</v>
      </c>
      <c r="N260" s="251">
        <v>3.7</v>
      </c>
      <c r="O260" s="251">
        <v>3.8</v>
      </c>
      <c r="P260" s="252">
        <v>3.7</v>
      </c>
      <c r="Q260" s="251">
        <v>4</v>
      </c>
      <c r="R260" s="251">
        <v>3.9</v>
      </c>
      <c r="S260" s="251">
        <v>3.9</v>
      </c>
      <c r="T260" s="251">
        <v>4</v>
      </c>
      <c r="U260" s="252">
        <v>3.9</v>
      </c>
      <c r="V260" s="251">
        <v>4</v>
      </c>
      <c r="W260" s="251">
        <v>3.9</v>
      </c>
      <c r="X260" s="251">
        <v>3.9</v>
      </c>
      <c r="Y260" s="251">
        <v>4</v>
      </c>
      <c r="Z260" s="252">
        <v>4</v>
      </c>
      <c r="AA260" s="251">
        <v>4.2</v>
      </c>
      <c r="AB260" s="251">
        <v>4.0999999999999996</v>
      </c>
      <c r="AC260" s="251">
        <v>4</v>
      </c>
      <c r="AD260" s="251">
        <v>4.0999999999999996</v>
      </c>
      <c r="AE260" s="252">
        <v>4.0999999999999996</v>
      </c>
      <c r="AF260" s="251">
        <v>4.2</v>
      </c>
      <c r="AG260" s="251">
        <v>4.0999999999999996</v>
      </c>
      <c r="AH260" s="251">
        <v>4.0999999999999996</v>
      </c>
      <c r="AI260" s="251">
        <v>4.0999999999999996</v>
      </c>
      <c r="AJ260" s="252">
        <v>4.0999999999999996</v>
      </c>
      <c r="AK260" s="251">
        <v>4.0999999999999996</v>
      </c>
      <c r="AL260" s="251">
        <v>4.0999999999999996</v>
      </c>
      <c r="AM260" s="251">
        <v>4.2</v>
      </c>
      <c r="AN260" s="251">
        <v>4.3</v>
      </c>
      <c r="AO260" s="252">
        <v>4.2</v>
      </c>
      <c r="AP260" s="251">
        <v>4.3</v>
      </c>
      <c r="AQ260" s="251">
        <v>4.2</v>
      </c>
      <c r="AR260" s="251">
        <v>4.2</v>
      </c>
      <c r="AS260" s="251">
        <v>4.2</v>
      </c>
      <c r="AT260" s="252">
        <v>4.2</v>
      </c>
      <c r="AU260" s="251">
        <v>4.3</v>
      </c>
      <c r="AV260" s="251">
        <v>4.2</v>
      </c>
      <c r="AW260" s="251">
        <v>4.0999999999999996</v>
      </c>
      <c r="AX260" s="251">
        <v>4.2</v>
      </c>
      <c r="AY260" s="252">
        <v>4.2</v>
      </c>
      <c r="AZ260" s="251">
        <v>4.2</v>
      </c>
      <c r="BA260" s="251">
        <v>4.2</v>
      </c>
      <c r="BB260" s="251">
        <v>4.2</v>
      </c>
      <c r="BC260" s="251">
        <v>4.3</v>
      </c>
      <c r="BD260" s="252">
        <v>4.2</v>
      </c>
      <c r="BE260" s="251">
        <v>4.4000000000000004</v>
      </c>
      <c r="BF260" s="251">
        <v>4.4000000000000004</v>
      </c>
      <c r="BG260" s="251">
        <v>4.3</v>
      </c>
      <c r="BH260" s="251">
        <v>4.4000000000000004</v>
      </c>
      <c r="BI260" s="252">
        <v>4.4000000000000004</v>
      </c>
      <c r="BJ260" s="251">
        <v>4.4000000000000004</v>
      </c>
      <c r="BK260" s="251">
        <v>4.3</v>
      </c>
      <c r="BL260" s="251">
        <v>4.3</v>
      </c>
      <c r="BM260" s="251">
        <v>4.4000000000000004</v>
      </c>
      <c r="BN260" s="252">
        <v>4.3</v>
      </c>
      <c r="BO260" s="251">
        <v>4.5999999999999996</v>
      </c>
      <c r="BP260" s="251">
        <v>4.4000000000000004</v>
      </c>
      <c r="BQ260" s="251">
        <v>4.3</v>
      </c>
      <c r="BR260" s="251">
        <v>4.4000000000000004</v>
      </c>
      <c r="BS260" s="252">
        <v>4.4000000000000004</v>
      </c>
      <c r="BT260" s="251">
        <v>4.5999999999999996</v>
      </c>
      <c r="BU260" s="251">
        <v>4.4000000000000004</v>
      </c>
      <c r="BV260" s="251">
        <v>4.3</v>
      </c>
      <c r="BW260" s="251">
        <v>4.4000000000000004</v>
      </c>
      <c r="BX260" s="252">
        <v>4.4000000000000004</v>
      </c>
      <c r="BY260" s="1122">
        <v>4.5999999999999996</v>
      </c>
      <c r="BZ260" s="1122">
        <v>4.4000000000000004</v>
      </c>
      <c r="CA260" s="1122">
        <v>4.3</v>
      </c>
      <c r="CB260" s="1122">
        <v>4.4000000000000004</v>
      </c>
      <c r="CC260" s="1123">
        <v>4.4000000000000004</v>
      </c>
      <c r="CD260" s="1122">
        <v>4.5</v>
      </c>
      <c r="CE260" s="1122">
        <v>4.5</v>
      </c>
      <c r="CF260" s="1122">
        <v>4.5</v>
      </c>
      <c r="CG260" s="1122">
        <v>4.5</v>
      </c>
      <c r="CH260" s="1123">
        <v>4.5</v>
      </c>
      <c r="CI260" s="1122">
        <v>4.5999999999999996</v>
      </c>
      <c r="CJ260" s="1122">
        <v>4.4000000000000004</v>
      </c>
      <c r="CK260" s="1122">
        <v>4.4000000000000004</v>
      </c>
      <c r="CL260" s="1122">
        <v>4.4000000000000004</v>
      </c>
      <c r="CM260" s="1123">
        <v>4.5</v>
      </c>
      <c r="CN260" s="253"/>
      <c r="CO260" s="253"/>
      <c r="CP260" s="253"/>
      <c r="CQ260" s="253"/>
      <c r="CR260" s="254"/>
      <c r="CS260" s="253"/>
      <c r="CT260" s="253"/>
      <c r="CU260" s="253"/>
      <c r="CV260" s="253"/>
      <c r="CW260" s="254"/>
      <c r="CX260" s="253"/>
      <c r="CY260" s="253"/>
      <c r="CZ260" s="253"/>
      <c r="DA260" s="253"/>
      <c r="DB260" s="254"/>
      <c r="DC260" s="253"/>
      <c r="DD260" s="253"/>
      <c r="DE260" s="253"/>
      <c r="DF260" s="253"/>
      <c r="DG260" s="37"/>
      <c r="DH260" s="37"/>
      <c r="DI260" s="37"/>
      <c r="DJ260" s="37"/>
    </row>
    <row r="261" spans="1:114" s="725" customFormat="1" ht="11.25" hidden="1" customHeight="1" outlineLevel="1">
      <c r="A261" s="37"/>
      <c r="B261" s="246" t="s">
        <v>417</v>
      </c>
      <c r="C261" s="255"/>
      <c r="D261" s="425"/>
      <c r="E261" s="256">
        <v>0.435</v>
      </c>
      <c r="F261" s="256">
        <v>0.45100000000000001</v>
      </c>
      <c r="G261" s="255">
        <v>0.502</v>
      </c>
      <c r="H261" s="255">
        <v>0.44800000000000001</v>
      </c>
      <c r="I261" s="255">
        <v>0.439</v>
      </c>
      <c r="J261" s="255">
        <v>0.45100000000000001</v>
      </c>
      <c r="K261" s="256">
        <v>0.45900000000000002</v>
      </c>
      <c r="L261" s="255">
        <v>0.52100000000000002</v>
      </c>
      <c r="M261" s="255">
        <v>0.46</v>
      </c>
      <c r="N261" s="255">
        <v>0.44900000000000001</v>
      </c>
      <c r="O261" s="255">
        <v>0.45700000000000002</v>
      </c>
      <c r="P261" s="256">
        <v>0.47099999999999997</v>
      </c>
      <c r="Q261" s="255">
        <v>0.51800000000000002</v>
      </c>
      <c r="R261" s="255">
        <v>0.46300000000000002</v>
      </c>
      <c r="S261" s="255">
        <v>0.46700000000000003</v>
      </c>
      <c r="T261" s="255">
        <v>0.496</v>
      </c>
      <c r="U261" s="256">
        <v>0.48599999999999999</v>
      </c>
      <c r="V261" s="255">
        <v>0.51600000000000001</v>
      </c>
      <c r="W261" s="255">
        <v>0.47699999999999998</v>
      </c>
      <c r="X261" s="255">
        <v>0.46</v>
      </c>
      <c r="Y261" s="255">
        <v>0.49</v>
      </c>
      <c r="Z261" s="256">
        <v>0.48699999999999999</v>
      </c>
      <c r="AA261" s="255">
        <v>0.57499999999999996</v>
      </c>
      <c r="AB261" s="255">
        <v>0.52</v>
      </c>
      <c r="AC261" s="255">
        <v>0.496</v>
      </c>
      <c r="AD261" s="255">
        <v>0.50900000000000001</v>
      </c>
      <c r="AE261" s="256">
        <v>0.52600000000000002</v>
      </c>
      <c r="AF261" s="255">
        <v>0.56899999999999995</v>
      </c>
      <c r="AG261" s="255">
        <v>0.52800000000000002</v>
      </c>
      <c r="AH261" s="255">
        <v>0.51700000000000002</v>
      </c>
      <c r="AI261" s="255">
        <v>0.51900000000000002</v>
      </c>
      <c r="AJ261" s="256">
        <v>0.53300000000000003</v>
      </c>
      <c r="AK261" s="255">
        <v>0.56000000000000005</v>
      </c>
      <c r="AL261" s="255">
        <v>0.51600000000000001</v>
      </c>
      <c r="AM261" s="255">
        <v>0.498</v>
      </c>
      <c r="AN261" s="255">
        <v>0.51900000000000002</v>
      </c>
      <c r="AO261" s="256">
        <v>0.52600000000000002</v>
      </c>
      <c r="AP261" s="255">
        <v>0.57899999999999996</v>
      </c>
      <c r="AQ261" s="255">
        <v>0.51900000000000002</v>
      </c>
      <c r="AR261" s="255">
        <v>0.502</v>
      </c>
      <c r="AS261" s="255">
        <v>0.504</v>
      </c>
      <c r="AT261" s="256">
        <v>0.52100000000000002</v>
      </c>
      <c r="AU261" s="255">
        <v>0.53800000000000003</v>
      </c>
      <c r="AV261" s="255">
        <v>0.50900000000000001</v>
      </c>
      <c r="AW261" s="255">
        <v>0.497</v>
      </c>
      <c r="AX261" s="255">
        <v>0.496</v>
      </c>
      <c r="AY261" s="256">
        <v>0.51100000000000001</v>
      </c>
      <c r="AZ261" s="255">
        <v>0.52500000000000002</v>
      </c>
      <c r="BA261" s="255">
        <v>0.49399999999999999</v>
      </c>
      <c r="BB261" s="255">
        <v>0.48399999999999999</v>
      </c>
      <c r="BC261" s="255">
        <v>0.48899999999999999</v>
      </c>
      <c r="BD261" s="256">
        <v>0.498</v>
      </c>
      <c r="BE261" s="255">
        <v>0.53</v>
      </c>
      <c r="BF261" s="255">
        <v>0.49</v>
      </c>
      <c r="BG261" s="255">
        <v>0.46800000000000003</v>
      </c>
      <c r="BH261" s="255">
        <v>0.47099999999999997</v>
      </c>
      <c r="BI261" s="256">
        <v>0.48899999999999999</v>
      </c>
      <c r="BJ261" s="255">
        <v>0.51200000000000001</v>
      </c>
      <c r="BK261" s="255">
        <v>0.47799999999999998</v>
      </c>
      <c r="BL261" s="255">
        <v>0.46700000000000003</v>
      </c>
      <c r="BM261" s="255">
        <v>0.47399999999999998</v>
      </c>
      <c r="BN261" s="256">
        <v>0.48299999999999998</v>
      </c>
      <c r="BO261" s="255">
        <v>0.51100000000000001</v>
      </c>
      <c r="BP261" s="255">
        <v>0.46</v>
      </c>
      <c r="BQ261" s="255">
        <v>0.436</v>
      </c>
      <c r="BR261" s="255">
        <v>0.43099999999999999</v>
      </c>
      <c r="BS261" s="256">
        <v>0.45900000000000002</v>
      </c>
      <c r="BT261" s="255">
        <v>0.46899999999999997</v>
      </c>
      <c r="BU261" s="255">
        <v>0.42599999999999999</v>
      </c>
      <c r="BV261" s="255">
        <v>0.41399999999999998</v>
      </c>
      <c r="BW261" s="255">
        <v>0.41799999999999998</v>
      </c>
      <c r="BX261" s="256">
        <v>0.432</v>
      </c>
      <c r="BY261" s="1124">
        <v>0.46500000000000002</v>
      </c>
      <c r="BZ261" s="1124">
        <v>0.43</v>
      </c>
      <c r="CA261" s="1124">
        <v>0.41599999999999998</v>
      </c>
      <c r="CB261" s="1124">
        <v>0.41799999999999998</v>
      </c>
      <c r="CC261" s="1125">
        <v>0.435</v>
      </c>
      <c r="CD261" s="1124">
        <v>0.45200000000000001</v>
      </c>
      <c r="CE261" s="1124">
        <v>0.42799999999999999</v>
      </c>
      <c r="CF261" s="1124">
        <v>0.42</v>
      </c>
      <c r="CG261" s="1124">
        <v>0.42699999999999999</v>
      </c>
      <c r="CH261" s="1125">
        <v>0.434</v>
      </c>
      <c r="CI261" s="1124">
        <v>0.46500000000000002</v>
      </c>
      <c r="CJ261" s="1124">
        <v>0.41799999999999998</v>
      </c>
      <c r="CK261" s="1124">
        <v>0.41799999999999998</v>
      </c>
      <c r="CL261" s="1124">
        <v>0.42699999999999999</v>
      </c>
      <c r="CM261" s="1125">
        <v>0.434</v>
      </c>
      <c r="CN261" s="257"/>
      <c r="CO261" s="257"/>
      <c r="CP261" s="257"/>
      <c r="CQ261" s="257"/>
      <c r="CR261" s="110"/>
      <c r="CS261" s="257"/>
      <c r="CT261" s="257"/>
      <c r="CU261" s="257"/>
      <c r="CV261" s="257"/>
      <c r="CW261" s="110"/>
      <c r="CX261" s="257"/>
      <c r="CY261" s="257"/>
      <c r="CZ261" s="257"/>
      <c r="DA261" s="257"/>
      <c r="DB261" s="110"/>
      <c r="DC261" s="257"/>
      <c r="DD261" s="257"/>
      <c r="DE261" s="257"/>
      <c r="DF261" s="257"/>
      <c r="DG261" s="37"/>
      <c r="DH261" s="37"/>
      <c r="DI261" s="37"/>
      <c r="DJ261" s="37"/>
    </row>
    <row r="262" spans="1:114" s="725" customFormat="1" ht="11.25" hidden="1" customHeight="1" outlineLevel="1">
      <c r="A262" s="37"/>
      <c r="B262" s="250" t="s">
        <v>538</v>
      </c>
      <c r="C262" s="247"/>
      <c r="D262" s="423"/>
      <c r="E262" s="248">
        <v>915811</v>
      </c>
      <c r="F262" s="248">
        <v>1155850</v>
      </c>
      <c r="G262" s="247">
        <v>337750</v>
      </c>
      <c r="H262" s="247">
        <v>351155</v>
      </c>
      <c r="I262" s="247">
        <v>378298</v>
      </c>
      <c r="J262" s="247">
        <v>401341</v>
      </c>
      <c r="K262" s="449">
        <v>1468544</v>
      </c>
      <c r="L262" s="450">
        <v>436407</v>
      </c>
      <c r="M262" s="450">
        <v>432870</v>
      </c>
      <c r="N262" s="450">
        <v>461147</v>
      </c>
      <c r="O262" s="450">
        <v>526727</v>
      </c>
      <c r="P262" s="449">
        <v>1857151</v>
      </c>
      <c r="Q262" s="450">
        <v>577263</v>
      </c>
      <c r="R262" s="450">
        <v>574574</v>
      </c>
      <c r="S262" s="450">
        <v>597351</v>
      </c>
      <c r="T262" s="450">
        <v>636216</v>
      </c>
      <c r="U262" s="449">
        <v>2385404</v>
      </c>
      <c r="V262" s="450">
        <v>708908</v>
      </c>
      <c r="W262" s="450">
        <v>699998</v>
      </c>
      <c r="X262" s="450">
        <v>752096</v>
      </c>
      <c r="Y262" s="450">
        <v>824517</v>
      </c>
      <c r="Z262" s="449">
        <v>2966410</v>
      </c>
      <c r="AA262" s="450">
        <v>851343</v>
      </c>
      <c r="AB262" s="450">
        <v>841734</v>
      </c>
      <c r="AC262" s="450">
        <v>881083</v>
      </c>
      <c r="AD262" s="450">
        <v>918303</v>
      </c>
      <c r="AE262" s="449">
        <v>3486508</v>
      </c>
      <c r="AF262" s="450">
        <v>970036</v>
      </c>
      <c r="AG262" s="450">
        <v>989537</v>
      </c>
      <c r="AH262" s="450">
        <v>1002906</v>
      </c>
      <c r="AI262" s="450">
        <v>1038349</v>
      </c>
      <c r="AJ262" s="449">
        <v>4000828</v>
      </c>
      <c r="AK262" s="450">
        <v>1079826</v>
      </c>
      <c r="AL262" s="450">
        <v>1102325</v>
      </c>
      <c r="AM262" s="450">
        <v>2131988</v>
      </c>
      <c r="AN262" s="450">
        <v>2433261</v>
      </c>
      <c r="AO262" s="449">
        <v>6571528</v>
      </c>
      <c r="AP262" s="450">
        <v>2639263</v>
      </c>
      <c r="AQ262" s="450">
        <v>2658043</v>
      </c>
      <c r="AR262" s="450">
        <v>2761755</v>
      </c>
      <c r="AS262" s="450">
        <v>2674020</v>
      </c>
      <c r="AT262" s="449">
        <v>10620627</v>
      </c>
      <c r="AU262" s="450">
        <v>2805202</v>
      </c>
      <c r="AV262" s="450">
        <v>2850807</v>
      </c>
      <c r="AW262" s="450">
        <v>2895990</v>
      </c>
      <c r="AX262" s="450">
        <v>2984043</v>
      </c>
      <c r="AY262" s="449">
        <v>11556401</v>
      </c>
      <c r="AZ262" s="450">
        <v>3020483</v>
      </c>
      <c r="BA262" s="450">
        <v>3114943</v>
      </c>
      <c r="BB262" s="450">
        <v>3204902</v>
      </c>
      <c r="BC262" s="450">
        <v>3242078</v>
      </c>
      <c r="BD262" s="449">
        <v>12582406</v>
      </c>
      <c r="BE262" s="450">
        <v>3286461</v>
      </c>
      <c r="BF262" s="450">
        <v>3258355</v>
      </c>
      <c r="BG262" s="450">
        <v>3278629</v>
      </c>
      <c r="BH262" s="450">
        <v>3351302</v>
      </c>
      <c r="BI262" s="449">
        <v>13083230</v>
      </c>
      <c r="BJ262" s="450">
        <v>3081753</v>
      </c>
      <c r="BK262" s="450">
        <v>3120431</v>
      </c>
      <c r="BL262" s="450">
        <v>3063944</v>
      </c>
      <c r="BM262" s="450">
        <v>3172452</v>
      </c>
      <c r="BN262" s="449">
        <v>12438580</v>
      </c>
      <c r="BO262" s="450">
        <v>3261067</v>
      </c>
      <c r="BP262" s="450">
        <v>3212738</v>
      </c>
      <c r="BQ262" s="450">
        <v>3217252</v>
      </c>
      <c r="BR262" s="450">
        <v>3231129</v>
      </c>
      <c r="BS262" s="449">
        <v>12922186</v>
      </c>
      <c r="BT262" s="450">
        <v>4054000</v>
      </c>
      <c r="BU262" s="450">
        <v>4622000</v>
      </c>
      <c r="BV262" s="450">
        <v>4676000</v>
      </c>
      <c r="BW262" s="450">
        <v>4795000</v>
      </c>
      <c r="BX262" s="449">
        <v>18138</v>
      </c>
      <c r="BY262" s="1141">
        <v>4781000</v>
      </c>
      <c r="BZ262" s="1141">
        <v>4863000</v>
      </c>
      <c r="CA262" s="1141">
        <v>4824000</v>
      </c>
      <c r="CB262" s="1120">
        <v>4963000</v>
      </c>
      <c r="CC262" s="1121">
        <v>19432000</v>
      </c>
      <c r="CD262" s="1120">
        <v>4974000</v>
      </c>
      <c r="CE262" s="1120">
        <v>4339000</v>
      </c>
      <c r="CF262" s="1120">
        <v>4321000</v>
      </c>
      <c r="CG262" s="1120">
        <v>4404000</v>
      </c>
      <c r="CH262" s="1121">
        <v>17481000</v>
      </c>
      <c r="CI262" s="1120">
        <v>4424000</v>
      </c>
      <c r="CJ262" s="1120">
        <v>4054000</v>
      </c>
      <c r="CK262" s="1120">
        <v>3653000</v>
      </c>
      <c r="CL262" s="1120">
        <v>3640000</v>
      </c>
      <c r="CM262" s="1121">
        <v>14142</v>
      </c>
      <c r="CN262" s="249"/>
      <c r="CO262" s="249"/>
      <c r="CP262" s="249"/>
      <c r="CQ262" s="249"/>
      <c r="CR262" s="148"/>
      <c r="CS262" s="249"/>
      <c r="CT262" s="249"/>
      <c r="CU262" s="249"/>
      <c r="CV262" s="249"/>
      <c r="CW262" s="148"/>
      <c r="CX262" s="249"/>
      <c r="CY262" s="249"/>
      <c r="CZ262" s="249"/>
      <c r="DA262" s="249"/>
      <c r="DB262" s="148"/>
      <c r="DC262" s="249"/>
      <c r="DD262" s="249"/>
      <c r="DE262" s="249"/>
      <c r="DF262" s="249"/>
      <c r="DG262" s="37"/>
      <c r="DH262" s="37"/>
      <c r="DI262" s="37"/>
      <c r="DJ262" s="37"/>
    </row>
    <row r="263" spans="1:114" s="725" customFormat="1" ht="11.25" hidden="1" customHeight="1" outlineLevel="1">
      <c r="A263" s="37"/>
      <c r="B263" s="246" t="s">
        <v>4</v>
      </c>
      <c r="C263" s="370"/>
      <c r="D263" s="428"/>
      <c r="E263" s="369" t="s">
        <v>309</v>
      </c>
      <c r="F263" s="256">
        <v>0.51300000000000001</v>
      </c>
      <c r="G263" s="255">
        <v>0.52</v>
      </c>
      <c r="H263" s="255">
        <v>0.49</v>
      </c>
      <c r="I263" s="255">
        <v>0.505</v>
      </c>
      <c r="J263" s="255">
        <v>0.52500000000000002</v>
      </c>
      <c r="K263" s="256">
        <v>0.51</v>
      </c>
      <c r="L263" s="255">
        <v>0.52800000000000002</v>
      </c>
      <c r="M263" s="255">
        <v>0.50700000000000001</v>
      </c>
      <c r="N263" s="255">
        <v>0.52200000000000002</v>
      </c>
      <c r="O263" s="255">
        <v>0.53200000000000003</v>
      </c>
      <c r="P263" s="256">
        <v>0.52300000000000002</v>
      </c>
      <c r="Q263" s="255">
        <v>0.53100000000000003</v>
      </c>
      <c r="R263" s="255">
        <v>0.502</v>
      </c>
      <c r="S263" s="255">
        <v>0.50800000000000001</v>
      </c>
      <c r="T263" s="255">
        <v>0.51900000000000002</v>
      </c>
      <c r="U263" s="256">
        <v>0.51500000000000001</v>
      </c>
      <c r="V263" s="255">
        <v>0.51800000000000002</v>
      </c>
      <c r="W263" s="255">
        <v>0.498</v>
      </c>
      <c r="X263" s="255">
        <v>0.49</v>
      </c>
      <c r="Y263" s="255">
        <v>0.51400000000000001</v>
      </c>
      <c r="Z263" s="256">
        <v>0.505</v>
      </c>
      <c r="AA263" s="255">
        <v>0.52</v>
      </c>
      <c r="AB263" s="255">
        <v>0.51</v>
      </c>
      <c r="AC263" s="255">
        <v>0.5</v>
      </c>
      <c r="AD263" s="255">
        <v>0.51500000000000001</v>
      </c>
      <c r="AE263" s="256">
        <v>0.51100000000000001</v>
      </c>
      <c r="AF263" s="255">
        <v>0.50900000000000001</v>
      </c>
      <c r="AG263" s="255">
        <v>0.5</v>
      </c>
      <c r="AH263" s="255">
        <v>0.496</v>
      </c>
      <c r="AI263" s="255">
        <v>0.505</v>
      </c>
      <c r="AJ263" s="256">
        <v>0.502</v>
      </c>
      <c r="AK263" s="255">
        <v>0.505</v>
      </c>
      <c r="AL263" s="255">
        <v>0.48199999999999998</v>
      </c>
      <c r="AM263" s="255">
        <v>0.496</v>
      </c>
      <c r="AN263" s="255">
        <v>0.497</v>
      </c>
      <c r="AO263" s="256">
        <v>0.495</v>
      </c>
      <c r="AP263" s="255">
        <v>0.51100000000000001</v>
      </c>
      <c r="AQ263" s="255">
        <v>0.498</v>
      </c>
      <c r="AR263" s="255">
        <v>0.49399999999999999</v>
      </c>
      <c r="AS263" s="255">
        <v>0.504</v>
      </c>
      <c r="AT263" s="256">
        <v>0.502</v>
      </c>
      <c r="AU263" s="255">
        <v>0.51700000000000002</v>
      </c>
      <c r="AV263" s="255">
        <v>0.48899999999999999</v>
      </c>
      <c r="AW263" s="255">
        <v>0.49299999999999999</v>
      </c>
      <c r="AX263" s="255">
        <v>0.502</v>
      </c>
      <c r="AY263" s="256">
        <v>0.497</v>
      </c>
      <c r="AZ263" s="255">
        <v>0.50800000000000001</v>
      </c>
      <c r="BA263" s="255">
        <v>0.49099999999999999</v>
      </c>
      <c r="BB263" s="255">
        <v>0.48199999999999998</v>
      </c>
      <c r="BC263" s="255">
        <v>0.49</v>
      </c>
      <c r="BD263" s="256">
        <v>0.49299999999999999</v>
      </c>
      <c r="BE263" s="255">
        <v>0.48699999999999999</v>
      </c>
      <c r="BF263" s="255">
        <v>0.46</v>
      </c>
      <c r="BG263" s="255">
        <v>0.432</v>
      </c>
      <c r="BH263" s="255">
        <v>0.442</v>
      </c>
      <c r="BI263" s="256">
        <v>0.45700000000000002</v>
      </c>
      <c r="BJ263" s="255">
        <v>0.44600000000000001</v>
      </c>
      <c r="BK263" s="255">
        <v>0.45200000000000001</v>
      </c>
      <c r="BL263" s="255">
        <v>0.434</v>
      </c>
      <c r="BM263" s="255">
        <v>0.437</v>
      </c>
      <c r="BN263" s="256">
        <v>0.442</v>
      </c>
      <c r="BO263" s="255">
        <v>0.44600000000000001</v>
      </c>
      <c r="BP263" s="255">
        <v>0.46</v>
      </c>
      <c r="BQ263" s="255">
        <v>0.43099999999999999</v>
      </c>
      <c r="BR263" s="255">
        <v>0.41399999999999998</v>
      </c>
      <c r="BS263" s="256">
        <v>0.432</v>
      </c>
      <c r="BT263" s="255">
        <v>0.44800000000000001</v>
      </c>
      <c r="BU263" s="255">
        <v>0.42799999999999999</v>
      </c>
      <c r="BV263" s="255">
        <v>0.442</v>
      </c>
      <c r="BW263" s="255">
        <v>0.436</v>
      </c>
      <c r="BX263" s="256">
        <v>0.438</v>
      </c>
      <c r="BY263" s="1124">
        <v>0.441</v>
      </c>
      <c r="BZ263" s="1124">
        <v>0.42399999999999999</v>
      </c>
      <c r="CA263" s="1124">
        <v>0.41699999999999998</v>
      </c>
      <c r="CB263" s="1124">
        <v>0.42899999999999999</v>
      </c>
      <c r="CC263" s="1125">
        <v>0.42799999999999999</v>
      </c>
      <c r="CD263" s="1124">
        <v>0.44</v>
      </c>
      <c r="CE263" s="1124">
        <v>0.43</v>
      </c>
      <c r="CF263" s="1124">
        <v>0.42599999999999999</v>
      </c>
      <c r="CG263" s="1124">
        <v>0.437</v>
      </c>
      <c r="CH263" s="1125">
        <v>0.433</v>
      </c>
      <c r="CI263" s="1124">
        <v>0.439</v>
      </c>
      <c r="CJ263" s="1124">
        <v>0.432</v>
      </c>
      <c r="CK263" s="1124">
        <v>0.43</v>
      </c>
      <c r="CL263" s="1124">
        <v>0.434</v>
      </c>
      <c r="CM263" s="1125">
        <v>0.439</v>
      </c>
      <c r="CN263" s="257"/>
      <c r="CO263" s="257"/>
      <c r="CP263" s="257"/>
      <c r="CQ263" s="257"/>
      <c r="CR263" s="110"/>
      <c r="CS263" s="257"/>
      <c r="CT263" s="257"/>
      <c r="CU263" s="257"/>
      <c r="CV263" s="257"/>
      <c r="CW263" s="110"/>
      <c r="CX263" s="257"/>
      <c r="CY263" s="257"/>
      <c r="CZ263" s="257"/>
      <c r="DA263" s="257"/>
      <c r="DB263" s="110"/>
      <c r="DC263" s="257"/>
      <c r="DD263" s="257"/>
      <c r="DE263" s="257"/>
      <c r="DF263" s="257"/>
      <c r="DG263" s="37"/>
      <c r="DH263" s="37"/>
      <c r="DI263" s="37"/>
      <c r="DJ263" s="37"/>
    </row>
    <row r="264" spans="1:114" s="725" customFormat="1" ht="11.25" hidden="1" customHeight="1" outlineLevel="1">
      <c r="A264" s="37"/>
      <c r="B264" s="246" t="s">
        <v>3</v>
      </c>
      <c r="C264" s="370"/>
      <c r="D264" s="428"/>
      <c r="E264" s="369" t="s">
        <v>309</v>
      </c>
      <c r="F264" s="256">
        <v>0.47099999999999997</v>
      </c>
      <c r="G264" s="255">
        <v>0.46899999999999997</v>
      </c>
      <c r="H264" s="255">
        <v>0.499</v>
      </c>
      <c r="I264" s="255">
        <v>0.48499999999999999</v>
      </c>
      <c r="J264" s="255">
        <v>0.46400000000000002</v>
      </c>
      <c r="K264" s="256">
        <v>0.47899999999999998</v>
      </c>
      <c r="L264" s="255">
        <v>0.46200000000000002</v>
      </c>
      <c r="M264" s="255">
        <v>0.48299999999999998</v>
      </c>
      <c r="N264" s="255">
        <v>0.46700000000000003</v>
      </c>
      <c r="O264" s="255">
        <v>0.45700000000000002</v>
      </c>
      <c r="P264" s="256">
        <v>0.46700000000000003</v>
      </c>
      <c r="Q264" s="255">
        <v>0.45800000000000002</v>
      </c>
      <c r="R264" s="255">
        <v>0.48499999999999999</v>
      </c>
      <c r="S264" s="255">
        <v>0.48</v>
      </c>
      <c r="T264" s="255">
        <v>0.47</v>
      </c>
      <c r="U264" s="256">
        <v>0.47299999999999998</v>
      </c>
      <c r="V264" s="255">
        <v>0.46899999999999997</v>
      </c>
      <c r="W264" s="255">
        <v>0.49099999999999999</v>
      </c>
      <c r="X264" s="255">
        <v>0.499</v>
      </c>
      <c r="Y264" s="255">
        <v>0.47299999999999998</v>
      </c>
      <c r="Z264" s="256">
        <v>0.48299999999999998</v>
      </c>
      <c r="AA264" s="255">
        <v>0.47</v>
      </c>
      <c r="AB264" s="255">
        <v>0.48</v>
      </c>
      <c r="AC264" s="255">
        <v>0.48599999999999999</v>
      </c>
      <c r="AD264" s="255">
        <v>0.47299999999999998</v>
      </c>
      <c r="AE264" s="256">
        <v>0.47799999999999998</v>
      </c>
      <c r="AF264" s="255">
        <v>0.47799999999999998</v>
      </c>
      <c r="AG264" s="255">
        <v>0.48699999999999999</v>
      </c>
      <c r="AH264" s="255">
        <v>0.49199999999999999</v>
      </c>
      <c r="AI264" s="255">
        <v>0.48499999999999999</v>
      </c>
      <c r="AJ264" s="256">
        <v>0.48599999999999999</v>
      </c>
      <c r="AK264" s="255">
        <v>0.48399999999999999</v>
      </c>
      <c r="AL264" s="255">
        <v>0.505</v>
      </c>
      <c r="AM264" s="255">
        <v>0.48199999999999998</v>
      </c>
      <c r="AN264" s="255">
        <v>0.47599999999999998</v>
      </c>
      <c r="AO264" s="256">
        <v>0.48399999999999999</v>
      </c>
      <c r="AP264" s="255">
        <v>0.46400000000000002</v>
      </c>
      <c r="AQ264" s="255">
        <v>0.47899999999999998</v>
      </c>
      <c r="AR264" s="255">
        <v>0.48299999999999998</v>
      </c>
      <c r="AS264" s="255">
        <v>0.47699999999999998</v>
      </c>
      <c r="AT264" s="256">
        <v>0.47499999999999998</v>
      </c>
      <c r="AU264" s="255">
        <v>0.48299999999999998</v>
      </c>
      <c r="AV264" s="255">
        <v>0.48699999999999999</v>
      </c>
      <c r="AW264" s="255">
        <v>0.48499999999999999</v>
      </c>
      <c r="AX264" s="255">
        <v>0.47599999999999998</v>
      </c>
      <c r="AY264" s="256">
        <v>0.48</v>
      </c>
      <c r="AZ264" s="255">
        <v>0.47099999999999997</v>
      </c>
      <c r="BA264" s="255">
        <v>0.48899999999999999</v>
      </c>
      <c r="BB264" s="255">
        <v>0.496</v>
      </c>
      <c r="BC264" s="255">
        <v>0.48699999999999999</v>
      </c>
      <c r="BD264" s="256">
        <v>0.48599999999999999</v>
      </c>
      <c r="BE264" s="255">
        <v>0.49199999999999999</v>
      </c>
      <c r="BF264" s="255">
        <v>0.51900000000000002</v>
      </c>
      <c r="BG264" s="255">
        <v>0.53900000000000003</v>
      </c>
      <c r="BH264" s="255">
        <v>0.53700000000000003</v>
      </c>
      <c r="BI264" s="256">
        <v>0.52300000000000002</v>
      </c>
      <c r="BJ264" s="255">
        <v>0.53400000000000003</v>
      </c>
      <c r="BK264" s="255">
        <v>0.53100000000000003</v>
      </c>
      <c r="BL264" s="255">
        <v>0.54800000000000004</v>
      </c>
      <c r="BM264" s="255">
        <v>0.54500000000000004</v>
      </c>
      <c r="BN264" s="256">
        <v>0.53900000000000003</v>
      </c>
      <c r="BO264" s="255">
        <v>0.53500000000000003</v>
      </c>
      <c r="BP264" s="255">
        <v>0.54500000000000004</v>
      </c>
      <c r="BQ264" s="255">
        <v>0.55100000000000005</v>
      </c>
      <c r="BR264" s="255">
        <v>0.56699999999999995</v>
      </c>
      <c r="BS264" s="256">
        <v>0.54900000000000004</v>
      </c>
      <c r="BT264" s="255">
        <v>0.55200000000000005</v>
      </c>
      <c r="BU264" s="255">
        <v>0.57199999999999995</v>
      </c>
      <c r="BV264" s="255">
        <v>0.55800000000000005</v>
      </c>
      <c r="BW264" s="255">
        <v>0.56399999999999995</v>
      </c>
      <c r="BX264" s="256">
        <v>0.56200000000000006</v>
      </c>
      <c r="BY264" s="1124">
        <v>0.55900000000000005</v>
      </c>
      <c r="BZ264" s="1124">
        <v>0.57599999999999996</v>
      </c>
      <c r="CA264" s="1124">
        <v>0.58299999999999996</v>
      </c>
      <c r="CB264" s="1124">
        <v>0.57099999999999995</v>
      </c>
      <c r="CC264" s="1125">
        <v>0.57199999999999995</v>
      </c>
      <c r="CD264" s="1124">
        <v>0.56000000000000005</v>
      </c>
      <c r="CE264" s="1124">
        <v>0.56999999999999995</v>
      </c>
      <c r="CF264" s="1124">
        <v>0.57399999999999995</v>
      </c>
      <c r="CG264" s="1124">
        <v>0.56299999999999994</v>
      </c>
      <c r="CH264" s="1125">
        <v>0.56699999999999995</v>
      </c>
      <c r="CI264" s="1124">
        <v>0.56100000000000005</v>
      </c>
      <c r="CJ264" s="1124">
        <v>0.56799999999999995</v>
      </c>
      <c r="CK264" s="1124">
        <v>0.56999999999999995</v>
      </c>
      <c r="CL264" s="1124">
        <v>0.56599999999999995</v>
      </c>
      <c r="CM264" s="1125">
        <v>0.56100000000000005</v>
      </c>
      <c r="CN264" s="257"/>
      <c r="CO264" s="257"/>
      <c r="CP264" s="257"/>
      <c r="CQ264" s="257"/>
      <c r="CR264" s="110"/>
      <c r="CS264" s="257"/>
      <c r="CT264" s="257"/>
      <c r="CU264" s="257"/>
      <c r="CV264" s="257"/>
      <c r="CW264" s="110"/>
      <c r="CX264" s="257"/>
      <c r="CY264" s="257"/>
      <c r="CZ264" s="257"/>
      <c r="DA264" s="257"/>
      <c r="DB264" s="110"/>
      <c r="DC264" s="257"/>
      <c r="DD264" s="257"/>
      <c r="DE264" s="257"/>
      <c r="DF264" s="257"/>
      <c r="DG264" s="37"/>
      <c r="DH264" s="37"/>
      <c r="DI264" s="37"/>
      <c r="DJ264" s="37"/>
    </row>
    <row r="265" spans="1:114" s="725" customFormat="1" ht="11.25" hidden="1" customHeight="1" outlineLevel="1">
      <c r="A265" s="37"/>
      <c r="B265" s="250" t="s">
        <v>539</v>
      </c>
      <c r="C265" s="368"/>
      <c r="D265" s="427"/>
      <c r="E265" s="367" t="s">
        <v>309</v>
      </c>
      <c r="F265" s="367" t="s">
        <v>309</v>
      </c>
      <c r="G265" s="368" t="s">
        <v>309</v>
      </c>
      <c r="H265" s="368" t="s">
        <v>309</v>
      </c>
      <c r="I265" s="368" t="s">
        <v>309</v>
      </c>
      <c r="J265" s="368" t="s">
        <v>309</v>
      </c>
      <c r="K265" s="451" t="s">
        <v>309</v>
      </c>
      <c r="L265" s="452" t="s">
        <v>309</v>
      </c>
      <c r="M265" s="452" t="s">
        <v>309</v>
      </c>
      <c r="N265" s="452" t="s">
        <v>309</v>
      </c>
      <c r="O265" s="452" t="s">
        <v>309</v>
      </c>
      <c r="P265" s="451" t="s">
        <v>309</v>
      </c>
      <c r="Q265" s="452" t="s">
        <v>309</v>
      </c>
      <c r="R265" s="452" t="s">
        <v>309</v>
      </c>
      <c r="S265" s="452" t="s">
        <v>309</v>
      </c>
      <c r="T265" s="450">
        <v>70790</v>
      </c>
      <c r="U265" s="449">
        <v>267831</v>
      </c>
      <c r="V265" s="450">
        <v>78745</v>
      </c>
      <c r="W265" s="450">
        <v>76538</v>
      </c>
      <c r="X265" s="450">
        <v>77412</v>
      </c>
      <c r="Y265" s="450">
        <v>83574</v>
      </c>
      <c r="Z265" s="449">
        <v>317296</v>
      </c>
      <c r="AA265" s="450">
        <v>96495</v>
      </c>
      <c r="AB265" s="450">
        <v>94754</v>
      </c>
      <c r="AC265" s="450">
        <v>94634</v>
      </c>
      <c r="AD265" s="450">
        <v>106138</v>
      </c>
      <c r="AE265" s="449">
        <v>394360</v>
      </c>
      <c r="AF265" s="450">
        <v>114810</v>
      </c>
      <c r="AG265" s="450">
        <v>106301</v>
      </c>
      <c r="AH265" s="450">
        <v>40631</v>
      </c>
      <c r="AI265" s="450">
        <v>103434</v>
      </c>
      <c r="AJ265" s="449">
        <v>365173</v>
      </c>
      <c r="AK265" s="450">
        <v>206662</v>
      </c>
      <c r="AL265" s="450">
        <v>110925</v>
      </c>
      <c r="AM265" s="450">
        <v>182230</v>
      </c>
      <c r="AN265" s="450">
        <v>62477</v>
      </c>
      <c r="AO265" s="449">
        <v>460110</v>
      </c>
      <c r="AP265" s="450">
        <v>247963</v>
      </c>
      <c r="AQ265" s="450">
        <v>232959</v>
      </c>
      <c r="AR265" s="450">
        <v>254584</v>
      </c>
      <c r="AS265" s="450">
        <v>251924</v>
      </c>
      <c r="AT265" s="449">
        <v>981365</v>
      </c>
      <c r="AU265" s="450">
        <v>260042</v>
      </c>
      <c r="AV265" s="450">
        <v>263341</v>
      </c>
      <c r="AW265" s="450">
        <v>272479</v>
      </c>
      <c r="AX265" s="450">
        <v>283211</v>
      </c>
      <c r="AY265" s="449">
        <v>1078969</v>
      </c>
      <c r="AZ265" s="450">
        <v>268773</v>
      </c>
      <c r="BA265" s="450">
        <v>286429</v>
      </c>
      <c r="BB265" s="450">
        <v>288090</v>
      </c>
      <c r="BC265" s="450">
        <v>296209</v>
      </c>
      <c r="BD265" s="449">
        <v>1139501</v>
      </c>
      <c r="BE265" s="450">
        <v>297914</v>
      </c>
      <c r="BF265" s="450">
        <v>295741</v>
      </c>
      <c r="BG265" s="450">
        <v>296430</v>
      </c>
      <c r="BH265" s="450">
        <v>298275</v>
      </c>
      <c r="BI265" s="449">
        <v>1188176</v>
      </c>
      <c r="BJ265" s="450">
        <v>296225</v>
      </c>
      <c r="BK265" s="450">
        <v>302954</v>
      </c>
      <c r="BL265" s="450">
        <v>297361</v>
      </c>
      <c r="BM265" s="450">
        <v>296206</v>
      </c>
      <c r="BN265" s="449">
        <v>1198243</v>
      </c>
      <c r="BO265" s="450">
        <v>290043</v>
      </c>
      <c r="BP265" s="450">
        <v>218763</v>
      </c>
      <c r="BQ265" s="450">
        <v>273704</v>
      </c>
      <c r="BR265" s="450">
        <v>251495</v>
      </c>
      <c r="BS265" s="449">
        <v>1034005</v>
      </c>
      <c r="BT265" s="450"/>
      <c r="BU265" s="450"/>
      <c r="BV265" s="249"/>
      <c r="BW265" s="450"/>
      <c r="BX265" s="449"/>
      <c r="BY265" s="450"/>
      <c r="BZ265" s="450"/>
      <c r="CA265" s="249"/>
      <c r="CB265" s="249"/>
      <c r="CC265" s="148"/>
      <c r="CD265" s="249"/>
      <c r="CE265" s="249"/>
      <c r="CF265" s="249"/>
      <c r="CG265" s="249"/>
      <c r="CH265" s="148"/>
      <c r="CI265" s="249"/>
      <c r="CJ265" s="249"/>
      <c r="CK265" s="249"/>
      <c r="CL265" s="249"/>
      <c r="CM265" s="148"/>
      <c r="CN265" s="249"/>
      <c r="CO265" s="249"/>
      <c r="CP265" s="249"/>
      <c r="CQ265" s="249"/>
      <c r="CR265" s="148"/>
      <c r="CS265" s="249"/>
      <c r="CT265" s="249"/>
      <c r="CU265" s="249"/>
      <c r="CV265" s="249"/>
      <c r="CW265" s="148"/>
      <c r="CX265" s="249"/>
      <c r="CY265" s="249"/>
      <c r="CZ265" s="249"/>
      <c r="DA265" s="249"/>
      <c r="DB265" s="148"/>
      <c r="DC265" s="249"/>
      <c r="DD265" s="249"/>
      <c r="DE265" s="249"/>
      <c r="DF265" s="249"/>
      <c r="DG265" s="37"/>
      <c r="DH265" s="37"/>
      <c r="DI265" s="37"/>
      <c r="DJ265" s="37"/>
    </row>
    <row r="266" spans="1:114" s="725" customFormat="1" ht="11.25" hidden="1" customHeight="1" outlineLevel="1">
      <c r="A266" s="37"/>
      <c r="B266" s="246" t="s">
        <v>540</v>
      </c>
      <c r="C266" s="370"/>
      <c r="D266" s="428"/>
      <c r="E266" s="369" t="s">
        <v>309</v>
      </c>
      <c r="F266" s="369" t="s">
        <v>309</v>
      </c>
      <c r="G266" s="370" t="s">
        <v>309</v>
      </c>
      <c r="H266" s="370" t="s">
        <v>309</v>
      </c>
      <c r="I266" s="368" t="s">
        <v>309</v>
      </c>
      <c r="J266" s="370" t="s">
        <v>309</v>
      </c>
      <c r="K266" s="369" t="s">
        <v>309</v>
      </c>
      <c r="L266" s="370" t="s">
        <v>309</v>
      </c>
      <c r="M266" s="370" t="s">
        <v>309</v>
      </c>
      <c r="N266" s="368" t="s">
        <v>309</v>
      </c>
      <c r="O266" s="370" t="s">
        <v>309</v>
      </c>
      <c r="P266" s="369" t="s">
        <v>309</v>
      </c>
      <c r="Q266" s="370" t="s">
        <v>309</v>
      </c>
      <c r="R266" s="370" t="s">
        <v>309</v>
      </c>
      <c r="S266" s="370" t="s">
        <v>309</v>
      </c>
      <c r="T266" s="255">
        <v>0.111</v>
      </c>
      <c r="U266" s="256">
        <v>0.112</v>
      </c>
      <c r="V266" s="255">
        <v>0.111</v>
      </c>
      <c r="W266" s="255">
        <v>0.109</v>
      </c>
      <c r="X266" s="255">
        <v>0.10299999999999999</v>
      </c>
      <c r="Y266" s="255">
        <v>0.10100000000000001</v>
      </c>
      <c r="Z266" s="256">
        <v>0.107</v>
      </c>
      <c r="AA266" s="255">
        <v>0.113</v>
      </c>
      <c r="AB266" s="255">
        <v>0.113</v>
      </c>
      <c r="AC266" s="255">
        <v>0.107</v>
      </c>
      <c r="AD266" s="255">
        <v>0.11600000000000001</v>
      </c>
      <c r="AE266" s="256">
        <v>0.113</v>
      </c>
      <c r="AF266" s="255">
        <v>0.11799999999999999</v>
      </c>
      <c r="AG266" s="255">
        <v>0.107</v>
      </c>
      <c r="AH266" s="255">
        <v>4.1000000000000002E-2</v>
      </c>
      <c r="AI266" s="255">
        <v>0.1</v>
      </c>
      <c r="AJ266" s="256">
        <v>9.0999999999999998E-2</v>
      </c>
      <c r="AK266" s="255">
        <v>0.191</v>
      </c>
      <c r="AL266" s="255">
        <v>0.10100000000000001</v>
      </c>
      <c r="AM266" s="255">
        <v>8.5000000000000006E-2</v>
      </c>
      <c r="AN266" s="255">
        <v>2.5999999999999999E-2</v>
      </c>
      <c r="AO266" s="256">
        <v>7.0000000000000007E-2</v>
      </c>
      <c r="AP266" s="255">
        <v>9.4E-2</v>
      </c>
      <c r="AQ266" s="255">
        <v>8.7999999999999995E-2</v>
      </c>
      <c r="AR266" s="255">
        <v>9.1999999999999998E-2</v>
      </c>
      <c r="AS266" s="255">
        <v>9.4E-2</v>
      </c>
      <c r="AT266" s="256">
        <v>9.1999999999999998E-2</v>
      </c>
      <c r="AU266" s="255">
        <v>9.2999999999999999E-2</v>
      </c>
      <c r="AV266" s="255">
        <v>9.1999999999999998E-2</v>
      </c>
      <c r="AW266" s="255">
        <v>9.4E-2</v>
      </c>
      <c r="AX266" s="255">
        <v>9.5000000000000001E-2</v>
      </c>
      <c r="AY266" s="256">
        <v>9.2999999999999999E-2</v>
      </c>
      <c r="AZ266" s="255">
        <v>8.8999999999999996E-2</v>
      </c>
      <c r="BA266" s="255">
        <v>9.1999999999999998E-2</v>
      </c>
      <c r="BB266" s="255">
        <v>0.09</v>
      </c>
      <c r="BC266" s="255">
        <v>9.0999999999999998E-2</v>
      </c>
      <c r="BD266" s="256">
        <v>9.0999999999999998E-2</v>
      </c>
      <c r="BE266" s="255">
        <v>9.0999999999999998E-2</v>
      </c>
      <c r="BF266" s="255">
        <v>9.0999999999999998E-2</v>
      </c>
      <c r="BG266" s="255">
        <v>0.09</v>
      </c>
      <c r="BH266" s="255">
        <v>8.8999999999999996E-2</v>
      </c>
      <c r="BI266" s="256">
        <v>9.0999999999999998E-2</v>
      </c>
      <c r="BJ266" s="255">
        <v>9.6000000000000002E-2</v>
      </c>
      <c r="BK266" s="255">
        <v>9.7000000000000003E-2</v>
      </c>
      <c r="BL266" s="255">
        <v>9.7000000000000003E-2</v>
      </c>
      <c r="BM266" s="255">
        <v>9.2999999999999999E-2</v>
      </c>
      <c r="BN266" s="256">
        <v>9.6000000000000002E-2</v>
      </c>
      <c r="BO266" s="255">
        <v>8.8999999999999996E-2</v>
      </c>
      <c r="BP266" s="255">
        <v>6.8000000000000005E-2</v>
      </c>
      <c r="BQ266" s="255">
        <v>8.5000000000000006E-2</v>
      </c>
      <c r="BR266" s="255">
        <v>7.8E-2</v>
      </c>
      <c r="BS266" s="256">
        <v>0.08</v>
      </c>
      <c r="BT266" s="255"/>
      <c r="BU266" s="255"/>
      <c r="BV266" s="257"/>
      <c r="BW266" s="255"/>
      <c r="BX266" s="256"/>
      <c r="BY266" s="255"/>
      <c r="BZ266" s="257"/>
      <c r="CA266" s="257"/>
      <c r="CB266" s="257"/>
      <c r="CC266" s="110"/>
      <c r="CD266" s="257"/>
      <c r="CE266" s="257"/>
      <c r="CF266" s="257"/>
      <c r="CG266" s="257"/>
      <c r="CH266" s="110"/>
      <c r="CI266" s="257"/>
      <c r="CJ266" s="257"/>
      <c r="CK266" s="257"/>
      <c r="CL266" s="257"/>
      <c r="CM266" s="110"/>
      <c r="CN266" s="257"/>
      <c r="CO266" s="257"/>
      <c r="CP266" s="257"/>
      <c r="CQ266" s="257"/>
      <c r="CR266" s="110"/>
      <c r="CS266" s="257"/>
      <c r="CT266" s="257"/>
      <c r="CU266" s="257"/>
      <c r="CV266" s="257"/>
      <c r="CW266" s="110"/>
      <c r="CX266" s="257"/>
      <c r="CY266" s="257"/>
      <c r="CZ266" s="257"/>
      <c r="DA266" s="257"/>
      <c r="DB266" s="110"/>
      <c r="DC266" s="257"/>
      <c r="DD266" s="257"/>
      <c r="DE266" s="257"/>
      <c r="DF266" s="257"/>
      <c r="DG266" s="37"/>
      <c r="DH266" s="37"/>
      <c r="DI266" s="37"/>
      <c r="DJ266" s="37"/>
    </row>
    <row r="267" spans="1:114" s="725" customFormat="1" ht="11.25" hidden="1" customHeight="1" outlineLevel="1">
      <c r="A267" s="37"/>
      <c r="B267" s="250" t="s">
        <v>310</v>
      </c>
      <c r="C267" s="368"/>
      <c r="D267" s="427"/>
      <c r="E267" s="367" t="s">
        <v>309</v>
      </c>
      <c r="F267" s="367" t="s">
        <v>309</v>
      </c>
      <c r="G267" s="368" t="s">
        <v>309</v>
      </c>
      <c r="H267" s="368" t="s">
        <v>309</v>
      </c>
      <c r="I267" s="368" t="s">
        <v>309</v>
      </c>
      <c r="J267" s="368" t="s">
        <v>309</v>
      </c>
      <c r="K267" s="451" t="s">
        <v>309</v>
      </c>
      <c r="L267" s="452" t="s">
        <v>309</v>
      </c>
      <c r="M267" s="452" t="s">
        <v>309</v>
      </c>
      <c r="N267" s="452" t="s">
        <v>309</v>
      </c>
      <c r="O267" s="452" t="s">
        <v>309</v>
      </c>
      <c r="P267" s="451" t="s">
        <v>309</v>
      </c>
      <c r="Q267" s="452" t="s">
        <v>309</v>
      </c>
      <c r="R267" s="452" t="s">
        <v>309</v>
      </c>
      <c r="S267" s="452" t="s">
        <v>309</v>
      </c>
      <c r="T267" s="450">
        <v>32815</v>
      </c>
      <c r="U267" s="449">
        <v>125011</v>
      </c>
      <c r="V267" s="450">
        <v>33973</v>
      </c>
      <c r="W267" s="450">
        <v>33821</v>
      </c>
      <c r="X267" s="450">
        <v>36165</v>
      </c>
      <c r="Y267" s="450">
        <v>39943</v>
      </c>
      <c r="Z267" s="449">
        <v>142513</v>
      </c>
      <c r="AA267" s="450">
        <v>38235</v>
      </c>
      <c r="AB267" s="450">
        <v>37580</v>
      </c>
      <c r="AC267" s="450">
        <v>39248</v>
      </c>
      <c r="AD267" s="450">
        <v>41054</v>
      </c>
      <c r="AE267" s="449">
        <v>155499</v>
      </c>
      <c r="AF267" s="450">
        <v>40344</v>
      </c>
      <c r="AG267" s="450">
        <v>43628</v>
      </c>
      <c r="AH267" s="450">
        <v>44608</v>
      </c>
      <c r="AI267" s="450">
        <v>44863</v>
      </c>
      <c r="AJ267" s="449">
        <v>173443</v>
      </c>
      <c r="AK267" s="450">
        <v>45783</v>
      </c>
      <c r="AL267" s="450">
        <v>47903</v>
      </c>
      <c r="AM267" s="450">
        <v>97094</v>
      </c>
      <c r="AN267" s="450">
        <v>111399</v>
      </c>
      <c r="AO267" s="449">
        <v>293977</v>
      </c>
      <c r="AP267" s="450">
        <v>117940</v>
      </c>
      <c r="AQ267" s="450">
        <v>122492</v>
      </c>
      <c r="AR267" s="450">
        <v>129057</v>
      </c>
      <c r="AS267" s="450">
        <v>123013</v>
      </c>
      <c r="AT267" s="449">
        <v>487637</v>
      </c>
      <c r="AU267" s="450">
        <v>133754</v>
      </c>
      <c r="AV267" s="450">
        <v>136387</v>
      </c>
      <c r="AW267" s="450">
        <v>135507</v>
      </c>
      <c r="AX267" s="450">
        <v>139731</v>
      </c>
      <c r="AY267" s="449">
        <v>545408</v>
      </c>
      <c r="AZ267" s="450">
        <v>141815</v>
      </c>
      <c r="BA267" s="450">
        <v>150640</v>
      </c>
      <c r="BB267" s="450">
        <v>149714</v>
      </c>
      <c r="BC267" s="450">
        <v>153313</v>
      </c>
      <c r="BD267" s="449">
        <v>595482</v>
      </c>
      <c r="BE267" s="450">
        <v>157178</v>
      </c>
      <c r="BF267" s="450">
        <v>155809</v>
      </c>
      <c r="BG267" s="450">
        <v>155669</v>
      </c>
      <c r="BH267" s="450">
        <v>167283</v>
      </c>
      <c r="BI267" s="449">
        <v>633417</v>
      </c>
      <c r="BJ267" s="450">
        <v>167853</v>
      </c>
      <c r="BK267" s="450">
        <v>174283</v>
      </c>
      <c r="BL267" s="450">
        <v>175921</v>
      </c>
      <c r="BM267" s="450">
        <v>185179</v>
      </c>
      <c r="BN267" s="449">
        <v>703236</v>
      </c>
      <c r="BO267" s="450">
        <v>189993</v>
      </c>
      <c r="BP267" s="450">
        <v>193386</v>
      </c>
      <c r="BQ267" s="450">
        <v>195840</v>
      </c>
      <c r="BR267" s="450">
        <v>200072</v>
      </c>
      <c r="BS267" s="449">
        <v>779291</v>
      </c>
      <c r="BT267" s="450"/>
      <c r="BU267" s="450"/>
      <c r="BV267" s="249"/>
      <c r="BW267" s="450"/>
      <c r="BX267" s="449"/>
      <c r="BY267" s="450"/>
      <c r="BZ267" s="249"/>
      <c r="CA267" s="249"/>
      <c r="CB267" s="249"/>
      <c r="CC267" s="148"/>
      <c r="CD267" s="249"/>
      <c r="CE267" s="249"/>
      <c r="CF267" s="249"/>
      <c r="CG267" s="249"/>
      <c r="CH267" s="148"/>
      <c r="CI267" s="249"/>
      <c r="CJ267" s="249"/>
      <c r="CK267" s="249"/>
      <c r="CL267" s="249"/>
      <c r="CM267" s="148"/>
      <c r="CN267" s="249"/>
      <c r="CO267" s="249"/>
      <c r="CP267" s="249"/>
      <c r="CQ267" s="249"/>
      <c r="CR267" s="148"/>
      <c r="CS267" s="249"/>
      <c r="CT267" s="249"/>
      <c r="CU267" s="249"/>
      <c r="CV267" s="249"/>
      <c r="CW267" s="148"/>
      <c r="CX267" s="249"/>
      <c r="CY267" s="249"/>
      <c r="CZ267" s="249"/>
      <c r="DA267" s="249"/>
      <c r="DB267" s="148"/>
      <c r="DC267" s="249"/>
      <c r="DD267" s="249"/>
      <c r="DE267" s="249"/>
      <c r="DF267" s="249"/>
      <c r="DG267" s="37"/>
      <c r="DH267" s="37"/>
      <c r="DI267" s="37"/>
      <c r="DJ267" s="37"/>
    </row>
    <row r="268" spans="1:114" s="725" customFormat="1" ht="11.25" hidden="1" customHeight="1" outlineLevel="1">
      <c r="A268" s="37"/>
      <c r="B268" s="250" t="s">
        <v>381</v>
      </c>
      <c r="C268" s="372"/>
      <c r="D268" s="429"/>
      <c r="E268" s="371" t="s">
        <v>309</v>
      </c>
      <c r="F268" s="371" t="s">
        <v>309</v>
      </c>
      <c r="G268" s="372" t="s">
        <v>309</v>
      </c>
      <c r="H268" s="372" t="s">
        <v>309</v>
      </c>
      <c r="I268" s="368" t="s">
        <v>309</v>
      </c>
      <c r="J268" s="372" t="s">
        <v>309</v>
      </c>
      <c r="K268" s="451" t="s">
        <v>309</v>
      </c>
      <c r="L268" s="452" t="s">
        <v>309</v>
      </c>
      <c r="M268" s="452" t="s">
        <v>309</v>
      </c>
      <c r="N268" s="452" t="s">
        <v>309</v>
      </c>
      <c r="O268" s="452" t="s">
        <v>309</v>
      </c>
      <c r="P268" s="451" t="s">
        <v>309</v>
      </c>
      <c r="Q268" s="452" t="s">
        <v>309</v>
      </c>
      <c r="R268" s="452" t="s">
        <v>309</v>
      </c>
      <c r="S268" s="452" t="s">
        <v>309</v>
      </c>
      <c r="T268" s="450">
        <v>-284</v>
      </c>
      <c r="U268" s="449">
        <v>-1987</v>
      </c>
      <c r="V268" s="450">
        <v>-373</v>
      </c>
      <c r="W268" s="450">
        <v>-635</v>
      </c>
      <c r="X268" s="450">
        <v>-80</v>
      </c>
      <c r="Y268" s="450">
        <v>-490</v>
      </c>
      <c r="Z268" s="449">
        <v>-1578</v>
      </c>
      <c r="AA268" s="450">
        <v>800</v>
      </c>
      <c r="AB268" s="450">
        <v>811</v>
      </c>
      <c r="AC268" s="450">
        <v>759</v>
      </c>
      <c r="AD268" s="450">
        <v>931</v>
      </c>
      <c r="AE268" s="449">
        <v>3300</v>
      </c>
      <c r="AF268" s="450">
        <v>958</v>
      </c>
      <c r="AG268" s="450">
        <v>455</v>
      </c>
      <c r="AH268" s="450">
        <v>601</v>
      </c>
      <c r="AI268" s="450">
        <v>1126</v>
      </c>
      <c r="AJ268" s="449">
        <v>3140</v>
      </c>
      <c r="AK268" s="450">
        <v>193</v>
      </c>
      <c r="AL268" s="450">
        <v>625</v>
      </c>
      <c r="AM268" s="450">
        <v>4271</v>
      </c>
      <c r="AN268" s="450">
        <v>10850</v>
      </c>
      <c r="AO268" s="449">
        <v>23627</v>
      </c>
      <c r="AP268" s="450">
        <v>12884</v>
      </c>
      <c r="AQ268" s="450">
        <v>10508</v>
      </c>
      <c r="AR268" s="450">
        <v>8691</v>
      </c>
      <c r="AS268" s="450">
        <v>9981</v>
      </c>
      <c r="AT268" s="449">
        <v>42064</v>
      </c>
      <c r="AU268" s="450">
        <v>12919</v>
      </c>
      <c r="AV268" s="450">
        <v>-11783</v>
      </c>
      <c r="AW268" s="450">
        <v>-6739</v>
      </c>
      <c r="AX268" s="450">
        <v>-4706</v>
      </c>
      <c r="AY268" s="449">
        <v>-36145</v>
      </c>
      <c r="AZ268" s="450">
        <v>-12432</v>
      </c>
      <c r="BA268" s="450">
        <v>-10921</v>
      </c>
      <c r="BB268" s="450">
        <v>-9535</v>
      </c>
      <c r="BC268" s="450">
        <v>-12332</v>
      </c>
      <c r="BD268" s="449">
        <v>-45220</v>
      </c>
      <c r="BE268" s="450">
        <v>-18130</v>
      </c>
      <c r="BF268" s="450">
        <v>-12017</v>
      </c>
      <c r="BG268" s="450">
        <v>8195</v>
      </c>
      <c r="BH268" s="450">
        <v>-11161</v>
      </c>
      <c r="BI268" s="449">
        <v>-49507</v>
      </c>
      <c r="BJ268" s="450">
        <v>-12080</v>
      </c>
      <c r="BK268" s="450">
        <v>-13220</v>
      </c>
      <c r="BL268" s="450">
        <v>-7491</v>
      </c>
      <c r="BM268" s="450">
        <v>-9419</v>
      </c>
      <c r="BN268" s="449">
        <v>-42210</v>
      </c>
      <c r="BO268" s="450">
        <v>-15680</v>
      </c>
      <c r="BP268" s="450">
        <v>-9054</v>
      </c>
      <c r="BQ268" s="450">
        <v>-11641</v>
      </c>
      <c r="BR268" s="450">
        <v>-6266</v>
      </c>
      <c r="BS268" s="449">
        <v>-42641</v>
      </c>
      <c r="BT268" s="450"/>
      <c r="BU268" s="450"/>
      <c r="BV268" s="249"/>
      <c r="BW268" s="450"/>
      <c r="BX268" s="449"/>
      <c r="BY268" s="450"/>
      <c r="BZ268" s="249"/>
      <c r="CA268" s="249"/>
      <c r="CB268" s="249"/>
      <c r="CC268" s="148"/>
      <c r="CD268" s="249"/>
      <c r="CE268" s="249"/>
      <c r="CF268" s="249"/>
      <c r="CG268" s="249"/>
      <c r="CH268" s="148"/>
      <c r="CI268" s="249"/>
      <c r="CJ268" s="249"/>
      <c r="CK268" s="249"/>
      <c r="CL268" s="249"/>
      <c r="CM268" s="148"/>
      <c r="CN268" s="249"/>
      <c r="CO268" s="249"/>
      <c r="CP268" s="249"/>
      <c r="CQ268" s="249"/>
      <c r="CR268" s="148"/>
      <c r="CS268" s="249"/>
      <c r="CT268" s="249"/>
      <c r="CU268" s="249"/>
      <c r="CV268" s="249"/>
      <c r="CW268" s="148"/>
      <c r="CX268" s="249"/>
      <c r="CY268" s="249"/>
      <c r="CZ268" s="249"/>
      <c r="DA268" s="249"/>
      <c r="DB268" s="148"/>
      <c r="DC268" s="249"/>
      <c r="DD268" s="249"/>
      <c r="DE268" s="249"/>
      <c r="DF268" s="249"/>
      <c r="DG268" s="37"/>
      <c r="DH268" s="37"/>
      <c r="DI268" s="37"/>
      <c r="DJ268" s="37"/>
    </row>
    <row r="269" spans="1:114" s="725" customFormat="1" ht="11.25" hidden="1" customHeight="1" outlineLevel="1">
      <c r="A269" s="37"/>
      <c r="B269" s="1106"/>
      <c r="C269" s="50"/>
      <c r="D269" s="50"/>
      <c r="E269" s="50"/>
      <c r="F269" s="50"/>
      <c r="G269" s="50"/>
      <c r="H269" s="50"/>
      <c r="I269" s="50"/>
      <c r="J269" s="50"/>
      <c r="K269" s="50"/>
      <c r="L269" s="50"/>
      <c r="M269" s="50"/>
      <c r="N269" s="50"/>
      <c r="O269" s="50"/>
      <c r="P269" s="50"/>
      <c r="Q269" s="50"/>
      <c r="R269" s="50"/>
      <c r="S269" s="50"/>
      <c r="T269" s="50"/>
      <c r="U269" s="50"/>
      <c r="V269" s="50"/>
      <c r="W269" s="50"/>
      <c r="X269" s="50"/>
      <c r="Y269" s="50"/>
      <c r="Z269" s="50"/>
      <c r="AA269" s="50"/>
      <c r="AB269" s="50"/>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c r="BA269" s="50"/>
      <c r="BB269" s="50"/>
      <c r="BC269" s="50"/>
      <c r="BD269" s="50"/>
      <c r="BE269" s="50"/>
      <c r="BF269" s="50"/>
      <c r="BG269" s="50"/>
      <c r="BH269" s="50"/>
      <c r="BI269" s="1000"/>
      <c r="BJ269" s="50"/>
      <c r="BK269" s="249"/>
      <c r="BL269" s="50"/>
      <c r="BM269" s="50"/>
      <c r="BN269" s="1000"/>
      <c r="BO269" s="50"/>
      <c r="BP269" s="50"/>
      <c r="BQ269" s="50"/>
      <c r="BR269" s="50"/>
      <c r="BS269" s="1000"/>
      <c r="BT269" s="50"/>
      <c r="BU269" s="50"/>
      <c r="BV269" s="50"/>
      <c r="BW269" s="50"/>
      <c r="BX269" s="1000"/>
      <c r="BY269" s="50"/>
      <c r="BZ269" s="50"/>
      <c r="CA269" s="50"/>
      <c r="CB269" s="50"/>
      <c r="CC269" s="1000"/>
      <c r="CD269" s="50"/>
      <c r="CE269" s="50"/>
      <c r="CF269" s="50"/>
      <c r="CG269" s="50"/>
      <c r="CH269" s="1000"/>
      <c r="CI269" s="50"/>
      <c r="CJ269" s="50"/>
      <c r="CK269" s="50"/>
      <c r="CL269" s="50"/>
      <c r="CM269" s="1000"/>
      <c r="CN269" s="50"/>
      <c r="CO269" s="50"/>
      <c r="CP269" s="50"/>
      <c r="CQ269" s="50"/>
      <c r="CR269" s="1000"/>
      <c r="CS269" s="50"/>
      <c r="CT269" s="50"/>
      <c r="CU269" s="50"/>
      <c r="CV269" s="50"/>
      <c r="CW269" s="1000"/>
      <c r="CX269" s="50"/>
      <c r="CY269" s="50"/>
      <c r="CZ269" s="50"/>
      <c r="DA269" s="50"/>
      <c r="DB269" s="1000"/>
      <c r="DC269" s="37"/>
      <c r="DD269" s="37"/>
      <c r="DE269" s="37"/>
      <c r="DF269" s="37"/>
      <c r="DG269" s="37"/>
      <c r="DH269" s="37"/>
      <c r="DI269" s="37"/>
      <c r="DJ269" s="37"/>
    </row>
    <row r="270" spans="1:114" s="725" customFormat="1" ht="11.25" hidden="1" customHeight="1" outlineLevel="1">
      <c r="A270" s="37"/>
      <c r="B270" s="1126" t="s">
        <v>658</v>
      </c>
      <c r="C270" s="1246"/>
      <c r="D270" s="1246"/>
      <c r="E270" s="1246"/>
      <c r="F270" s="1246"/>
      <c r="G270" s="1246"/>
      <c r="H270" s="1246"/>
      <c r="I270" s="1246"/>
      <c r="J270" s="1246"/>
      <c r="K270" s="1246"/>
      <c r="L270" s="1246"/>
      <c r="M270" s="1246"/>
      <c r="N270" s="1246"/>
      <c r="O270" s="1246"/>
      <c r="P270" s="1246"/>
      <c r="Q270" s="1246"/>
      <c r="R270" s="1246"/>
      <c r="S270" s="1246"/>
      <c r="T270" s="1246"/>
      <c r="U270" s="1246"/>
      <c r="V270" s="1246"/>
      <c r="W270" s="1246"/>
      <c r="X270" s="1246"/>
      <c r="Y270" s="1246"/>
      <c r="Z270" s="1246"/>
      <c r="AA270" s="1246"/>
      <c r="AB270" s="1246"/>
      <c r="AC270" s="1246"/>
      <c r="AD270" s="1246"/>
      <c r="AE270" s="1246"/>
      <c r="AF270" s="1246"/>
      <c r="AG270" s="1246"/>
      <c r="AH270" s="1246"/>
      <c r="AI270" s="1246"/>
      <c r="AJ270" s="1246"/>
      <c r="AK270" s="1246"/>
      <c r="AL270" s="1246"/>
      <c r="AM270" s="1246"/>
      <c r="AN270" s="1246"/>
      <c r="AO270" s="1246"/>
      <c r="AP270" s="1246"/>
      <c r="AQ270" s="1246"/>
      <c r="AR270" s="1246"/>
      <c r="AS270" s="1246"/>
      <c r="AT270" s="1246"/>
      <c r="AU270" s="1246"/>
      <c r="AV270" s="1246"/>
      <c r="AW270" s="1246"/>
      <c r="AX270" s="1246"/>
      <c r="AY270" s="1246"/>
      <c r="AZ270" s="1246"/>
      <c r="BA270" s="1246"/>
      <c r="BB270" s="1246"/>
      <c r="BC270" s="1246"/>
      <c r="BD270" s="1246"/>
      <c r="BE270" s="1246"/>
      <c r="BF270" s="1246"/>
      <c r="BG270" s="1246"/>
      <c r="BH270" s="1246"/>
      <c r="BI270" s="1247"/>
      <c r="BJ270" s="1246"/>
      <c r="BK270" s="1248"/>
      <c r="BL270" s="1246"/>
      <c r="BM270" s="1246"/>
      <c r="BN270" s="1247"/>
      <c r="BO270" s="1246"/>
      <c r="BP270" s="1246"/>
      <c r="BQ270" s="1246"/>
      <c r="BR270" s="1246"/>
      <c r="BS270" s="1247"/>
      <c r="BT270" s="1246"/>
      <c r="BU270" s="1246"/>
      <c r="BV270" s="1246"/>
      <c r="BW270" s="1246"/>
      <c r="BX270" s="1247"/>
      <c r="BY270" s="1246"/>
      <c r="BZ270" s="1246"/>
      <c r="CA270" s="1246"/>
      <c r="CB270" s="1246"/>
      <c r="CC270" s="1247"/>
      <c r="CD270" s="1246"/>
      <c r="CE270" s="1246"/>
      <c r="CF270" s="1246"/>
      <c r="CG270" s="1246"/>
      <c r="CH270" s="1247"/>
      <c r="CI270" s="1246"/>
      <c r="CJ270" s="1246"/>
      <c r="CK270" s="1246"/>
      <c r="CL270" s="1246"/>
      <c r="CM270" s="1247"/>
      <c r="CN270" s="1246"/>
      <c r="CO270" s="1246"/>
      <c r="CP270" s="1246"/>
      <c r="CQ270" s="1246"/>
      <c r="CR270" s="1247"/>
      <c r="CS270" s="1246"/>
      <c r="CT270" s="1246"/>
      <c r="CU270" s="1246"/>
      <c r="CV270" s="1246"/>
      <c r="CW270" s="1247"/>
      <c r="CX270" s="1246"/>
      <c r="CY270" s="1246"/>
      <c r="CZ270" s="1246"/>
      <c r="DA270" s="1246"/>
      <c r="DB270" s="1247"/>
      <c r="DC270" s="37"/>
      <c r="DD270" s="37"/>
      <c r="DE270" s="37"/>
      <c r="DF270" s="37"/>
      <c r="DG270" s="37"/>
      <c r="DH270" s="37"/>
      <c r="DI270" s="37"/>
      <c r="DJ270" s="37"/>
    </row>
    <row r="271" spans="1:114" s="725" customFormat="1" ht="11.25" hidden="1" customHeight="1" outlineLevel="1">
      <c r="A271" s="37"/>
      <c r="B271" s="344" t="s">
        <v>533</v>
      </c>
      <c r="C271" s="247"/>
      <c r="D271" s="423">
        <v>41</v>
      </c>
      <c r="E271" s="248">
        <v>46</v>
      </c>
      <c r="F271" s="248">
        <v>52</v>
      </c>
      <c r="G271" s="247">
        <v>52</v>
      </c>
      <c r="H271" s="247">
        <v>53</v>
      </c>
      <c r="I271" s="247">
        <v>54</v>
      </c>
      <c r="J271" s="247">
        <v>57</v>
      </c>
      <c r="K271" s="449">
        <v>57</v>
      </c>
      <c r="L271" s="450">
        <v>59</v>
      </c>
      <c r="M271" s="450">
        <v>59</v>
      </c>
      <c r="N271" s="450">
        <v>61</v>
      </c>
      <c r="O271" s="450">
        <v>63</v>
      </c>
      <c r="P271" s="449">
        <v>63</v>
      </c>
      <c r="Q271" s="450">
        <v>70</v>
      </c>
      <c r="R271" s="450">
        <v>70</v>
      </c>
      <c r="S271" s="450">
        <v>69</v>
      </c>
      <c r="T271" s="450">
        <v>69</v>
      </c>
      <c r="U271" s="449">
        <v>69</v>
      </c>
      <c r="V271" s="450">
        <v>65</v>
      </c>
      <c r="W271" s="450">
        <v>64</v>
      </c>
      <c r="X271" s="450">
        <v>66</v>
      </c>
      <c r="Y271" s="450">
        <v>66</v>
      </c>
      <c r="Z271" s="449">
        <v>66</v>
      </c>
      <c r="AA271" s="450">
        <v>67</v>
      </c>
      <c r="AB271" s="450">
        <v>67</v>
      </c>
      <c r="AC271" s="450">
        <v>68</v>
      </c>
      <c r="AD271" s="450">
        <v>69</v>
      </c>
      <c r="AE271" s="449">
        <v>69</v>
      </c>
      <c r="AF271" s="450">
        <v>70</v>
      </c>
      <c r="AG271" s="450">
        <v>74</v>
      </c>
      <c r="AH271" s="450">
        <v>74</v>
      </c>
      <c r="AI271" s="450">
        <v>70</v>
      </c>
      <c r="AJ271" s="449">
        <v>70</v>
      </c>
      <c r="AK271" s="450">
        <v>70</v>
      </c>
      <c r="AL271" s="450">
        <v>72</v>
      </c>
      <c r="AM271" s="450">
        <v>114</v>
      </c>
      <c r="AN271" s="450">
        <v>115</v>
      </c>
      <c r="AO271" s="449">
        <v>115</v>
      </c>
      <c r="AP271" s="450">
        <v>116</v>
      </c>
      <c r="AQ271" s="450">
        <v>117</v>
      </c>
      <c r="AR271" s="450">
        <v>117</v>
      </c>
      <c r="AS271" s="450">
        <v>119</v>
      </c>
      <c r="AT271" s="449">
        <v>119</v>
      </c>
      <c r="AU271" s="450">
        <v>120</v>
      </c>
      <c r="AV271" s="450">
        <v>122</v>
      </c>
      <c r="AW271" s="450">
        <v>122</v>
      </c>
      <c r="AX271" s="450">
        <v>125</v>
      </c>
      <c r="AY271" s="449">
        <v>125</v>
      </c>
      <c r="AZ271" s="450">
        <v>124</v>
      </c>
      <c r="BA271" s="450">
        <v>122</v>
      </c>
      <c r="BB271" s="450">
        <v>123</v>
      </c>
      <c r="BC271" s="450">
        <v>127</v>
      </c>
      <c r="BD271" s="449">
        <v>127</v>
      </c>
      <c r="BE271" s="450">
        <v>127</v>
      </c>
      <c r="BF271" s="450">
        <v>130</v>
      </c>
      <c r="BG271" s="450">
        <v>130</v>
      </c>
      <c r="BH271" s="247">
        <v>131</v>
      </c>
      <c r="BI271" s="248">
        <v>131</v>
      </c>
      <c r="BJ271" s="450">
        <v>134</v>
      </c>
      <c r="BK271" s="450">
        <v>134</v>
      </c>
      <c r="BL271" s="450">
        <v>135</v>
      </c>
      <c r="BM271" s="247">
        <v>135</v>
      </c>
      <c r="BN271" s="248">
        <v>135</v>
      </c>
      <c r="BO271" s="572">
        <v>130</v>
      </c>
      <c r="BP271" s="572">
        <v>129</v>
      </c>
      <c r="BQ271" s="247">
        <v>129</v>
      </c>
      <c r="BR271" s="247">
        <v>129</v>
      </c>
      <c r="BS271" s="248">
        <v>129</v>
      </c>
      <c r="BT271" s="572">
        <v>195</v>
      </c>
      <c r="BU271" s="450">
        <v>195</v>
      </c>
      <c r="BV271" s="450">
        <v>195</v>
      </c>
      <c r="BW271" s="37">
        <v>197</v>
      </c>
      <c r="BX271" s="248">
        <v>197</v>
      </c>
      <c r="BY271" s="1143">
        <v>197</v>
      </c>
      <c r="BZ271" s="1140">
        <v>196</v>
      </c>
      <c r="CA271" s="1140">
        <v>195</v>
      </c>
      <c r="CB271" s="1140">
        <v>194</v>
      </c>
      <c r="CC271" s="200">
        <f>CB271</f>
        <v>194</v>
      </c>
      <c r="CD271" s="1140">
        <v>194</v>
      </c>
      <c r="CE271" s="1140">
        <v>156</v>
      </c>
      <c r="CF271" s="1140">
        <v>155</v>
      </c>
      <c r="CG271" s="1140">
        <v>155</v>
      </c>
      <c r="CH271" s="1366">
        <f>CG271</f>
        <v>155</v>
      </c>
      <c r="CI271" s="37"/>
      <c r="CJ271" s="37"/>
      <c r="CK271" s="37"/>
      <c r="CL271" s="37"/>
      <c r="CM271" s="18"/>
      <c r="CN271" s="37"/>
      <c r="CO271" s="37"/>
      <c r="CP271" s="37"/>
      <c r="CQ271" s="37"/>
      <c r="CR271" s="18"/>
      <c r="CS271" s="37"/>
      <c r="CT271" s="37"/>
      <c r="CU271" s="37"/>
      <c r="CV271" s="37"/>
      <c r="CW271" s="18"/>
      <c r="CX271" s="37"/>
      <c r="CY271" s="37"/>
      <c r="CZ271" s="37"/>
      <c r="DA271" s="37"/>
      <c r="DB271" s="18"/>
      <c r="DC271" s="37"/>
      <c r="DD271" s="37"/>
      <c r="DE271" s="37"/>
      <c r="DF271" s="37"/>
      <c r="DG271" s="37"/>
      <c r="DH271" s="37"/>
      <c r="DI271" s="37"/>
      <c r="DJ271" s="37"/>
    </row>
    <row r="272" spans="1:114" s="725" customFormat="1" ht="11.25" hidden="1" customHeight="1" outlineLevel="1">
      <c r="A272" s="37"/>
      <c r="B272" s="258" t="s">
        <v>534</v>
      </c>
      <c r="C272" s="247"/>
      <c r="D272" s="423">
        <v>3644</v>
      </c>
      <c r="E272" s="248">
        <v>4115</v>
      </c>
      <c r="F272" s="248">
        <v>4688</v>
      </c>
      <c r="G272" s="247">
        <v>4688</v>
      </c>
      <c r="H272" s="247">
        <v>4848</v>
      </c>
      <c r="I272" s="247">
        <v>4935</v>
      </c>
      <c r="J272" s="247">
        <v>5391</v>
      </c>
      <c r="K272" s="449">
        <v>5391</v>
      </c>
      <c r="L272" s="450">
        <v>5917</v>
      </c>
      <c r="M272" s="450">
        <v>5914</v>
      </c>
      <c r="N272" s="450">
        <v>6023</v>
      </c>
      <c r="O272" s="450">
        <v>6310</v>
      </c>
      <c r="P272" s="449">
        <v>6310</v>
      </c>
      <c r="Q272" s="450">
        <v>6972</v>
      </c>
      <c r="R272" s="450">
        <v>6962</v>
      </c>
      <c r="S272" s="450">
        <v>7408</v>
      </c>
      <c r="T272" s="450">
        <v>7637</v>
      </c>
      <c r="U272" s="449">
        <v>7637</v>
      </c>
      <c r="V272" s="450">
        <v>7230</v>
      </c>
      <c r="W272" s="450">
        <v>7107</v>
      </c>
      <c r="X272" s="450">
        <v>7441</v>
      </c>
      <c r="Y272" s="450">
        <v>7358</v>
      </c>
      <c r="Z272" s="449">
        <v>7358</v>
      </c>
      <c r="AA272" s="450">
        <v>7580</v>
      </c>
      <c r="AB272" s="450">
        <v>7575</v>
      </c>
      <c r="AC272" s="450">
        <v>7684</v>
      </c>
      <c r="AD272" s="450">
        <v>7974</v>
      </c>
      <c r="AE272" s="449">
        <v>7974</v>
      </c>
      <c r="AF272" s="450">
        <v>8074</v>
      </c>
      <c r="AG272" s="450">
        <v>8546</v>
      </c>
      <c r="AH272" s="450">
        <v>8849</v>
      </c>
      <c r="AI272" s="450">
        <v>8406</v>
      </c>
      <c r="AJ272" s="449">
        <v>8406</v>
      </c>
      <c r="AK272" s="450">
        <v>8422</v>
      </c>
      <c r="AL272" s="450">
        <v>8839</v>
      </c>
      <c r="AM272" s="450">
        <v>16985</v>
      </c>
      <c r="AN272" s="450">
        <v>16716</v>
      </c>
      <c r="AO272" s="449">
        <v>16716</v>
      </c>
      <c r="AP272" s="450">
        <v>16711</v>
      </c>
      <c r="AQ272" s="450">
        <v>17285</v>
      </c>
      <c r="AR272" s="450">
        <v>16869</v>
      </c>
      <c r="AS272" s="450">
        <v>17411</v>
      </c>
      <c r="AT272" s="449">
        <v>17411</v>
      </c>
      <c r="AU272" s="450">
        <v>17442</v>
      </c>
      <c r="AV272" s="450">
        <v>18130</v>
      </c>
      <c r="AW272" s="450">
        <v>18176</v>
      </c>
      <c r="AX272" s="450">
        <v>18140</v>
      </c>
      <c r="AY272" s="449">
        <v>18140</v>
      </c>
      <c r="AZ272" s="450">
        <v>18098</v>
      </c>
      <c r="BA272" s="450">
        <v>17911</v>
      </c>
      <c r="BB272" s="450">
        <v>18053</v>
      </c>
      <c r="BC272" s="450">
        <v>19004</v>
      </c>
      <c r="BD272" s="449">
        <v>19004</v>
      </c>
      <c r="BE272" s="450">
        <v>18981</v>
      </c>
      <c r="BF272" s="450">
        <v>19361</v>
      </c>
      <c r="BG272" s="450">
        <v>19358</v>
      </c>
      <c r="BH272" s="247">
        <v>19695</v>
      </c>
      <c r="BI272" s="248">
        <v>19695</v>
      </c>
      <c r="BJ272" s="450">
        <v>20217</v>
      </c>
      <c r="BK272" s="450">
        <v>20235</v>
      </c>
      <c r="BL272" s="450">
        <v>20357</v>
      </c>
      <c r="BM272" s="247">
        <v>20334</v>
      </c>
      <c r="BN272" s="248">
        <v>20334</v>
      </c>
      <c r="BO272" s="572">
        <v>19840</v>
      </c>
      <c r="BP272" s="572">
        <v>19628</v>
      </c>
      <c r="BQ272" s="247">
        <v>19648</v>
      </c>
      <c r="BR272" s="247">
        <v>19632</v>
      </c>
      <c r="BS272" s="248">
        <v>19632</v>
      </c>
      <c r="BT272" s="572">
        <v>29423</v>
      </c>
      <c r="BU272" s="450">
        <v>29915</v>
      </c>
      <c r="BV272" s="450">
        <v>29922</v>
      </c>
      <c r="BW272" s="259">
        <v>30137</v>
      </c>
      <c r="BX272" s="248">
        <v>30137</v>
      </c>
      <c r="BY272" s="1143">
        <v>30256</v>
      </c>
      <c r="BZ272" s="1141">
        <v>29964</v>
      </c>
      <c r="CA272" s="1141">
        <v>30019</v>
      </c>
      <c r="CB272" s="1141">
        <v>29853</v>
      </c>
      <c r="CC272" s="1149">
        <f>CB272</f>
        <v>29853</v>
      </c>
      <c r="CD272" s="1141">
        <v>29936</v>
      </c>
      <c r="CE272" s="1141">
        <v>26366</v>
      </c>
      <c r="CF272" s="1141">
        <v>26246</v>
      </c>
      <c r="CG272" s="1141">
        <v>26222</v>
      </c>
      <c r="CH272" s="1366">
        <f>CG272</f>
        <v>26222</v>
      </c>
      <c r="CI272" s="259"/>
      <c r="CJ272" s="259"/>
      <c r="CK272" s="259"/>
      <c r="CL272" s="259"/>
      <c r="CM272" s="109"/>
      <c r="CN272" s="259"/>
      <c r="CO272" s="259"/>
      <c r="CP272" s="259"/>
      <c r="CQ272" s="259"/>
      <c r="CR272" s="109"/>
      <c r="CS272" s="259"/>
      <c r="CT272" s="259"/>
      <c r="CU272" s="259"/>
      <c r="CV272" s="259"/>
      <c r="CW272" s="109"/>
      <c r="CX272" s="259"/>
      <c r="CY272" s="259"/>
      <c r="CZ272" s="259"/>
      <c r="DA272" s="259"/>
      <c r="DB272" s="109"/>
      <c r="DC272" s="259"/>
      <c r="DD272" s="259"/>
      <c r="DE272" s="259"/>
      <c r="DF272" s="259"/>
      <c r="DG272" s="259"/>
      <c r="DH272" s="259"/>
      <c r="DI272" s="259"/>
      <c r="DJ272" s="259"/>
    </row>
    <row r="273" spans="1:114" s="725" customFormat="1" ht="11.25" hidden="1" customHeight="1" outlineLevel="1">
      <c r="A273" s="37"/>
      <c r="B273" s="258" t="s">
        <v>535</v>
      </c>
      <c r="C273" s="247"/>
      <c r="D273" s="423">
        <v>2776</v>
      </c>
      <c r="E273" s="248">
        <v>3123</v>
      </c>
      <c r="F273" s="248">
        <v>3587</v>
      </c>
      <c r="G273" s="247">
        <v>3595</v>
      </c>
      <c r="H273" s="247">
        <v>3722</v>
      </c>
      <c r="I273" s="247">
        <v>3788</v>
      </c>
      <c r="J273" s="247">
        <v>4139</v>
      </c>
      <c r="K273" s="449">
        <v>4139</v>
      </c>
      <c r="L273" s="450">
        <v>4510</v>
      </c>
      <c r="M273" s="450">
        <v>4502</v>
      </c>
      <c r="N273" s="450">
        <v>4753</v>
      </c>
      <c r="O273" s="450">
        <v>4939</v>
      </c>
      <c r="P273" s="449">
        <v>4939</v>
      </c>
      <c r="Q273" s="450">
        <v>5403</v>
      </c>
      <c r="R273" s="450">
        <v>5390</v>
      </c>
      <c r="S273" s="450">
        <v>5748</v>
      </c>
      <c r="T273" s="450">
        <v>6041</v>
      </c>
      <c r="U273" s="449">
        <v>6041</v>
      </c>
      <c r="V273" s="450">
        <v>5785</v>
      </c>
      <c r="W273" s="450">
        <v>5716</v>
      </c>
      <c r="X273" s="450">
        <v>6054</v>
      </c>
      <c r="Y273" s="450">
        <v>5960</v>
      </c>
      <c r="Z273" s="449">
        <v>5960</v>
      </c>
      <c r="AA273" s="450">
        <v>6175</v>
      </c>
      <c r="AB273" s="450">
        <v>6187</v>
      </c>
      <c r="AC273" s="450">
        <v>6239</v>
      </c>
      <c r="AD273" s="450">
        <v>6476</v>
      </c>
      <c r="AE273" s="449">
        <v>6476</v>
      </c>
      <c r="AF273" s="450">
        <v>6528</v>
      </c>
      <c r="AG273" s="450">
        <v>6871</v>
      </c>
      <c r="AH273" s="450">
        <v>7112</v>
      </c>
      <c r="AI273" s="450">
        <v>6753</v>
      </c>
      <c r="AJ273" s="449">
        <v>6753</v>
      </c>
      <c r="AK273" s="450">
        <v>6755</v>
      </c>
      <c r="AL273" s="450">
        <v>7189</v>
      </c>
      <c r="AM273" s="450">
        <v>14598</v>
      </c>
      <c r="AN273" s="450">
        <v>14446</v>
      </c>
      <c r="AO273" s="449">
        <v>14446</v>
      </c>
      <c r="AP273" s="450">
        <v>14499</v>
      </c>
      <c r="AQ273" s="450">
        <v>14748</v>
      </c>
      <c r="AR273" s="450">
        <v>14670</v>
      </c>
      <c r="AS273" s="450">
        <v>15194</v>
      </c>
      <c r="AT273" s="449">
        <v>15194</v>
      </c>
      <c r="AU273" s="450">
        <v>15257</v>
      </c>
      <c r="AV273" s="450">
        <v>16077</v>
      </c>
      <c r="AW273" s="450">
        <v>15907</v>
      </c>
      <c r="AX273" s="450">
        <v>15897</v>
      </c>
      <c r="AY273" s="449">
        <v>15897</v>
      </c>
      <c r="AZ273" s="450">
        <v>15846</v>
      </c>
      <c r="BA273" s="450">
        <v>15614</v>
      </c>
      <c r="BB273" s="450">
        <v>15713</v>
      </c>
      <c r="BC273" s="450">
        <v>16264</v>
      </c>
      <c r="BD273" s="449">
        <v>16264</v>
      </c>
      <c r="BE273" s="450">
        <v>16359</v>
      </c>
      <c r="BF273" s="450">
        <v>16617</v>
      </c>
      <c r="BG273" s="450">
        <v>16542</v>
      </c>
      <c r="BH273" s="247">
        <v>16832</v>
      </c>
      <c r="BI273" s="248">
        <v>16832</v>
      </c>
      <c r="BJ273" s="450">
        <v>17198</v>
      </c>
      <c r="BK273" s="450">
        <v>17180</v>
      </c>
      <c r="BL273" s="450">
        <v>17274</v>
      </c>
      <c r="BM273" s="247">
        <v>17265</v>
      </c>
      <c r="BN273" s="248">
        <v>17265</v>
      </c>
      <c r="BO273" s="572">
        <v>16746</v>
      </c>
      <c r="BP273" s="572">
        <v>16829</v>
      </c>
      <c r="BQ273" s="247">
        <v>16900</v>
      </c>
      <c r="BR273" s="247">
        <v>16850</v>
      </c>
      <c r="BS273" s="248">
        <v>16850</v>
      </c>
      <c r="BT273" s="572">
        <v>25771</v>
      </c>
      <c r="BU273" s="450">
        <v>26578</v>
      </c>
      <c r="BV273" s="450">
        <v>26669</v>
      </c>
      <c r="BW273" s="259">
        <v>27000</v>
      </c>
      <c r="BX273" s="248">
        <v>27000</v>
      </c>
      <c r="BY273" s="1143">
        <v>26498</v>
      </c>
      <c r="BZ273" s="1141">
        <v>26206</v>
      </c>
      <c r="CA273" s="1141">
        <v>26309</v>
      </c>
      <c r="CB273" s="1141">
        <v>26312</v>
      </c>
      <c r="CC273" s="1149">
        <f>CB273</f>
        <v>26312</v>
      </c>
      <c r="CD273" s="1141">
        <v>26285</v>
      </c>
      <c r="CE273" s="1141">
        <v>23371</v>
      </c>
      <c r="CF273" s="1141">
        <v>23231</v>
      </c>
      <c r="CG273" s="1141">
        <v>23229</v>
      </c>
      <c r="CH273" s="1366">
        <f>CG273</f>
        <v>23229</v>
      </c>
      <c r="CI273" s="259"/>
      <c r="CJ273" s="259"/>
      <c r="CK273" s="259"/>
      <c r="CL273" s="259"/>
      <c r="CM273" s="109"/>
      <c r="CN273" s="259"/>
      <c r="CO273" s="259"/>
      <c r="CP273" s="259"/>
      <c r="CQ273" s="259"/>
      <c r="CR273" s="109"/>
      <c r="CS273" s="259"/>
      <c r="CT273" s="259"/>
      <c r="CU273" s="259"/>
      <c r="CV273" s="259"/>
      <c r="CW273" s="109"/>
      <c r="CX273" s="259"/>
      <c r="CY273" s="259"/>
      <c r="CZ273" s="259"/>
      <c r="DA273" s="259"/>
      <c r="DB273" s="109"/>
      <c r="DC273" s="259"/>
      <c r="DD273" s="259"/>
      <c r="DE273" s="259"/>
      <c r="DF273" s="259"/>
      <c r="DG273" s="259"/>
      <c r="DH273" s="259"/>
      <c r="DI273" s="259"/>
      <c r="DJ273" s="259"/>
    </row>
    <row r="274" spans="1:114" s="725" customFormat="1" ht="11.25" hidden="1" customHeight="1" outlineLevel="1">
      <c r="A274" s="37"/>
      <c r="B274" s="258" t="s">
        <v>237</v>
      </c>
      <c r="C274" s="247"/>
      <c r="D274" s="423">
        <v>100114</v>
      </c>
      <c r="E274" s="248">
        <v>120414</v>
      </c>
      <c r="F274" s="248">
        <v>143310</v>
      </c>
      <c r="G274" s="247">
        <v>42882</v>
      </c>
      <c r="H274" s="247">
        <v>39677</v>
      </c>
      <c r="I274" s="247">
        <v>40772</v>
      </c>
      <c r="J274" s="247">
        <v>46243</v>
      </c>
      <c r="K274" s="449">
        <v>169574</v>
      </c>
      <c r="L274" s="450">
        <v>53515</v>
      </c>
      <c r="M274" s="450">
        <v>50771</v>
      </c>
      <c r="N274" s="450">
        <v>52032</v>
      </c>
      <c r="O274" s="450">
        <v>53649</v>
      </c>
      <c r="P274" s="449">
        <v>209967</v>
      </c>
      <c r="Q274" s="450">
        <v>61648</v>
      </c>
      <c r="R274" s="450">
        <v>57979</v>
      </c>
      <c r="S274" s="450">
        <v>63297</v>
      </c>
      <c r="T274" s="450">
        <v>70035</v>
      </c>
      <c r="U274" s="449">
        <v>250901</v>
      </c>
      <c r="V274" s="450">
        <v>68682</v>
      </c>
      <c r="W274" s="450">
        <v>65097</v>
      </c>
      <c r="X274" s="450">
        <v>66269</v>
      </c>
      <c r="Y274" s="450">
        <v>67767</v>
      </c>
      <c r="Z274" s="449">
        <v>267390</v>
      </c>
      <c r="AA274" s="450">
        <v>75490</v>
      </c>
      <c r="AB274" s="450">
        <v>70844</v>
      </c>
      <c r="AC274" s="450">
        <v>71337</v>
      </c>
      <c r="AD274" s="450">
        <v>73962</v>
      </c>
      <c r="AE274" s="449">
        <v>291633</v>
      </c>
      <c r="AF274" s="450">
        <v>78966</v>
      </c>
      <c r="AG274" s="450">
        <v>78248</v>
      </c>
      <c r="AH274" s="450">
        <v>82821</v>
      </c>
      <c r="AI274" s="450">
        <v>80723</v>
      </c>
      <c r="AJ274" s="449">
        <v>307964</v>
      </c>
      <c r="AK274" s="450">
        <v>83962</v>
      </c>
      <c r="AL274" s="450">
        <v>82037</v>
      </c>
      <c r="AM274" s="450">
        <v>134106</v>
      </c>
      <c r="AN274" s="450">
        <v>160678</v>
      </c>
      <c r="AO274" s="449">
        <v>459046</v>
      </c>
      <c r="AP274" s="450">
        <v>174733</v>
      </c>
      <c r="AQ274" s="450">
        <v>164008</v>
      </c>
      <c r="AR274" s="450">
        <v>163382</v>
      </c>
      <c r="AS274" s="450">
        <v>165051</v>
      </c>
      <c r="AT274" s="449">
        <v>668526</v>
      </c>
      <c r="AU274" s="450">
        <v>172320</v>
      </c>
      <c r="AV274" s="450">
        <v>173494</v>
      </c>
      <c r="AW274" s="450">
        <v>175107</v>
      </c>
      <c r="AX274" s="450">
        <v>171648</v>
      </c>
      <c r="AY274" s="449">
        <v>692569</v>
      </c>
      <c r="AZ274" s="450">
        <v>176624</v>
      </c>
      <c r="BA274" s="450">
        <v>167352</v>
      </c>
      <c r="BB274" s="450">
        <v>166046</v>
      </c>
      <c r="BC274" s="450">
        <v>171510</v>
      </c>
      <c r="BD274" s="449">
        <v>678284</v>
      </c>
      <c r="BE274" s="450">
        <v>176330</v>
      </c>
      <c r="BF274" s="450">
        <v>168336</v>
      </c>
      <c r="BG274" s="450">
        <v>164842</v>
      </c>
      <c r="BH274" s="247">
        <v>165542</v>
      </c>
      <c r="BI274" s="248">
        <v>675050</v>
      </c>
      <c r="BJ274" s="450">
        <v>181888</v>
      </c>
      <c r="BK274" s="450">
        <v>173449</v>
      </c>
      <c r="BL274" s="450">
        <v>173108</v>
      </c>
      <c r="BM274" s="247">
        <v>173392</v>
      </c>
      <c r="BN274" s="248">
        <v>701837</v>
      </c>
      <c r="BO274" s="572">
        <v>171392</v>
      </c>
      <c r="BP274" s="572">
        <v>161613</v>
      </c>
      <c r="BQ274" s="247">
        <v>158516</v>
      </c>
      <c r="BR274" s="247">
        <v>152641</v>
      </c>
      <c r="BS274" s="248">
        <v>643497</v>
      </c>
      <c r="BT274" s="572">
        <v>212696</v>
      </c>
      <c r="BU274" s="450">
        <v>238112</v>
      </c>
      <c r="BV274" s="450">
        <v>235009</v>
      </c>
      <c r="BW274" s="259">
        <v>238740</v>
      </c>
      <c r="BX274" s="248">
        <v>924557</v>
      </c>
      <c r="BY274" s="1143">
        <v>246015</v>
      </c>
      <c r="BZ274" s="1141">
        <v>233517</v>
      </c>
      <c r="CA274" s="1141">
        <v>230510</v>
      </c>
      <c r="CB274" s="1141">
        <v>230250</v>
      </c>
      <c r="CC274" s="1145">
        <v>940292</v>
      </c>
      <c r="CD274" s="1141">
        <v>239700</v>
      </c>
      <c r="CE274" s="1141">
        <v>212259</v>
      </c>
      <c r="CF274" s="1141">
        <v>201957</v>
      </c>
      <c r="CG274" s="1141">
        <v>203496</v>
      </c>
      <c r="CH274" s="1366">
        <f>SUM(CD274:CG274)</f>
        <v>857412</v>
      </c>
      <c r="CI274" s="259"/>
      <c r="CJ274" s="259"/>
      <c r="CK274" s="259"/>
      <c r="CL274" s="259"/>
      <c r="CM274" s="109"/>
      <c r="CN274" s="259"/>
      <c r="CO274" s="259"/>
      <c r="CP274" s="259"/>
      <c r="CQ274" s="259"/>
      <c r="CR274" s="109"/>
      <c r="CS274" s="259"/>
      <c r="CT274" s="259"/>
      <c r="CU274" s="259"/>
      <c r="CV274" s="259"/>
      <c r="CW274" s="109"/>
      <c r="CX274" s="259"/>
      <c r="CY274" s="259"/>
      <c r="CZ274" s="259"/>
      <c r="DA274" s="259"/>
      <c r="DB274" s="109"/>
      <c r="DC274" s="259"/>
      <c r="DD274" s="259"/>
      <c r="DE274" s="259"/>
      <c r="DF274" s="259"/>
      <c r="DG274" s="259"/>
      <c r="DH274" s="259"/>
      <c r="DI274" s="259"/>
      <c r="DJ274" s="259"/>
    </row>
    <row r="275" spans="1:114" s="725" customFormat="1" ht="11.25" hidden="1" customHeight="1" outlineLevel="1">
      <c r="A275" s="37"/>
      <c r="B275" s="258" t="s">
        <v>536</v>
      </c>
      <c r="C275" s="247"/>
      <c r="D275" s="423">
        <v>177075</v>
      </c>
      <c r="E275" s="248">
        <v>217006</v>
      </c>
      <c r="F275" s="248">
        <v>262419</v>
      </c>
      <c r="G275" s="247">
        <v>76137</v>
      </c>
      <c r="H275" s="247">
        <v>73546</v>
      </c>
      <c r="I275" s="247">
        <v>76905</v>
      </c>
      <c r="J275" s="247">
        <v>84551</v>
      </c>
      <c r="K275" s="449">
        <v>311238</v>
      </c>
      <c r="L275" s="450">
        <v>96281</v>
      </c>
      <c r="M275" s="450">
        <v>94871</v>
      </c>
      <c r="N275" s="450">
        <v>97848</v>
      </c>
      <c r="O275" s="450">
        <v>98292</v>
      </c>
      <c r="P275" s="449">
        <v>387311</v>
      </c>
      <c r="Q275" s="450">
        <v>110730</v>
      </c>
      <c r="R275" s="450">
        <v>107096</v>
      </c>
      <c r="S275" s="450">
        <v>117895</v>
      </c>
      <c r="T275" s="450">
        <v>126625</v>
      </c>
      <c r="U275" s="449">
        <v>458709</v>
      </c>
      <c r="V275" s="450">
        <v>123511</v>
      </c>
      <c r="W275" s="450">
        <v>120287</v>
      </c>
      <c r="X275" s="450">
        <v>125047</v>
      </c>
      <c r="Y275" s="450">
        <v>125513</v>
      </c>
      <c r="Z275" s="449">
        <v>493776</v>
      </c>
      <c r="AA275" s="450">
        <v>134513</v>
      </c>
      <c r="AB275" s="450">
        <v>132764</v>
      </c>
      <c r="AC275" s="450">
        <v>134952</v>
      </c>
      <c r="AD275" s="450">
        <v>136195</v>
      </c>
      <c r="AE275" s="449">
        <v>538445</v>
      </c>
      <c r="AF275" s="450">
        <v>143168</v>
      </c>
      <c r="AG275" s="450">
        <v>147223</v>
      </c>
      <c r="AH275" s="450">
        <v>155379</v>
      </c>
      <c r="AI275" s="450">
        <v>149735</v>
      </c>
      <c r="AJ275" s="449">
        <v>570969</v>
      </c>
      <c r="AK275" s="450">
        <v>153556</v>
      </c>
      <c r="AL275" s="450">
        <v>154763</v>
      </c>
      <c r="AM275" s="450">
        <v>247585</v>
      </c>
      <c r="AN275" s="450">
        <v>289451</v>
      </c>
      <c r="AO275" s="449">
        <v>842368</v>
      </c>
      <c r="AP275" s="450">
        <v>306143</v>
      </c>
      <c r="AQ275" s="450">
        <v>298301</v>
      </c>
      <c r="AR275" s="450">
        <v>300822</v>
      </c>
      <c r="AS275" s="450">
        <v>299156</v>
      </c>
      <c r="AT275" s="449">
        <v>1207756</v>
      </c>
      <c r="AU275" s="450">
        <v>309424</v>
      </c>
      <c r="AV275" s="450">
        <v>321383</v>
      </c>
      <c r="AW275" s="450">
        <v>327837</v>
      </c>
      <c r="AX275" s="450">
        <v>317175</v>
      </c>
      <c r="AY275" s="449">
        <v>1275888</v>
      </c>
      <c r="AZ275" s="450">
        <v>322003</v>
      </c>
      <c r="BA275" s="450">
        <v>315414</v>
      </c>
      <c r="BB275" s="450">
        <v>319141</v>
      </c>
      <c r="BC275" s="450">
        <v>325957</v>
      </c>
      <c r="BD275" s="449">
        <v>1277235</v>
      </c>
      <c r="BE275" s="450">
        <v>331849</v>
      </c>
      <c r="BF275" s="450">
        <v>332180</v>
      </c>
      <c r="BG275" s="450">
        <v>334644</v>
      </c>
      <c r="BH275" s="247">
        <v>331720</v>
      </c>
      <c r="BI275" s="248">
        <v>1330988</v>
      </c>
      <c r="BJ275" s="450">
        <v>358815</v>
      </c>
      <c r="BK275" s="450">
        <v>350982</v>
      </c>
      <c r="BL275" s="450">
        <v>355672</v>
      </c>
      <c r="BM275" s="247">
        <v>352855</v>
      </c>
      <c r="BN275" s="248">
        <v>1418472</v>
      </c>
      <c r="BO275" s="572">
        <v>340842</v>
      </c>
      <c r="BP275" s="572">
        <v>338276</v>
      </c>
      <c r="BQ275" s="247">
        <v>335582</v>
      </c>
      <c r="BR275" s="247">
        <v>323658</v>
      </c>
      <c r="BS275" s="248">
        <v>1337683</v>
      </c>
      <c r="BT275" s="572">
        <v>435613</v>
      </c>
      <c r="BU275" s="450">
        <v>511219</v>
      </c>
      <c r="BV275" s="450">
        <v>511268</v>
      </c>
      <c r="BW275" s="259">
        <v>511988</v>
      </c>
      <c r="BX275" s="248">
        <v>1969770</v>
      </c>
      <c r="BY275" s="1143">
        <v>509719</v>
      </c>
      <c r="BZ275" s="1141">
        <v>511456</v>
      </c>
      <c r="CA275" s="1141">
        <v>512465</v>
      </c>
      <c r="CB275" s="1141">
        <v>504119</v>
      </c>
      <c r="CC275" s="1145">
        <v>2038103</v>
      </c>
      <c r="CD275" s="1141">
        <v>513192</v>
      </c>
      <c r="CE275" s="1141">
        <v>467087</v>
      </c>
      <c r="CF275" s="1141">
        <v>445817</v>
      </c>
      <c r="CG275" s="1141">
        <v>440160</v>
      </c>
      <c r="CH275" s="1121">
        <v>1867348</v>
      </c>
      <c r="CI275" s="259"/>
      <c r="CJ275" s="259"/>
      <c r="CK275" s="259"/>
      <c r="CL275" s="259"/>
      <c r="CM275" s="109"/>
      <c r="CN275" s="259"/>
      <c r="CO275" s="259"/>
      <c r="CP275" s="259"/>
      <c r="CQ275" s="259"/>
      <c r="CR275" s="109"/>
      <c r="CS275" s="259"/>
      <c r="CT275" s="259"/>
      <c r="CU275" s="259"/>
      <c r="CV275" s="259"/>
      <c r="CW275" s="109"/>
      <c r="CX275" s="259"/>
      <c r="CY275" s="259"/>
      <c r="CZ275" s="259"/>
      <c r="DA275" s="259"/>
      <c r="DB275" s="109"/>
      <c r="DC275" s="259"/>
      <c r="DD275" s="259"/>
      <c r="DE275" s="259"/>
      <c r="DF275" s="259"/>
      <c r="DG275" s="259"/>
      <c r="DH275" s="259"/>
      <c r="DI275" s="259"/>
      <c r="DJ275" s="259"/>
    </row>
    <row r="276" spans="1:114" s="725" customFormat="1" ht="11.25" hidden="1" customHeight="1" outlineLevel="1">
      <c r="A276" s="37"/>
      <c r="B276" s="346" t="s">
        <v>537</v>
      </c>
      <c r="C276" s="247"/>
      <c r="D276" s="423">
        <v>416845</v>
      </c>
      <c r="E276" s="248">
        <v>478658</v>
      </c>
      <c r="F276" s="248">
        <v>548827</v>
      </c>
      <c r="G276" s="247">
        <v>165743</v>
      </c>
      <c r="H276" s="247">
        <v>150251</v>
      </c>
      <c r="I276" s="247">
        <v>152720</v>
      </c>
      <c r="J276" s="247">
        <v>174515</v>
      </c>
      <c r="K276" s="449">
        <v>643229</v>
      </c>
      <c r="L276" s="450">
        <v>210612</v>
      </c>
      <c r="M276" s="450">
        <v>195922</v>
      </c>
      <c r="N276" s="450">
        <v>198137</v>
      </c>
      <c r="O276" s="450">
        <v>204495</v>
      </c>
      <c r="P276" s="449">
        <v>809166</v>
      </c>
      <c r="Q276" s="450">
        <v>245252</v>
      </c>
      <c r="R276" s="450">
        <v>221735</v>
      </c>
      <c r="S276" s="450">
        <v>245937</v>
      </c>
      <c r="T276" s="450">
        <v>284964</v>
      </c>
      <c r="U276" s="449">
        <v>989891</v>
      </c>
      <c r="V276" s="450">
        <v>285780</v>
      </c>
      <c r="W276" s="450">
        <v>265253</v>
      </c>
      <c r="X276" s="450">
        <v>266735</v>
      </c>
      <c r="Y276" s="450">
        <v>275707</v>
      </c>
      <c r="Z276" s="449">
        <v>1091889</v>
      </c>
      <c r="AA276" s="450">
        <v>319499</v>
      </c>
      <c r="AB276" s="450">
        <v>293320</v>
      </c>
      <c r="AC276" s="450">
        <v>286340</v>
      </c>
      <c r="AD276" s="450">
        <v>304842</v>
      </c>
      <c r="AE276" s="449">
        <v>1204001</v>
      </c>
      <c r="AF276" s="450">
        <v>333249</v>
      </c>
      <c r="AG276" s="450">
        <v>321573</v>
      </c>
      <c r="AH276" s="450">
        <v>333364</v>
      </c>
      <c r="AI276" s="450">
        <v>325669</v>
      </c>
      <c r="AJ276" s="449">
        <v>1264256</v>
      </c>
      <c r="AK276" s="450">
        <v>345155</v>
      </c>
      <c r="AL276" s="450">
        <v>336324</v>
      </c>
      <c r="AM276" s="450">
        <v>566035</v>
      </c>
      <c r="AN276" s="450">
        <v>683686</v>
      </c>
      <c r="AO276" s="449">
        <v>1923457</v>
      </c>
      <c r="AP276" s="450">
        <v>759897</v>
      </c>
      <c r="AQ276" s="450">
        <v>691011</v>
      </c>
      <c r="AR276" s="450">
        <v>677034</v>
      </c>
      <c r="AS276" s="450">
        <v>700360</v>
      </c>
      <c r="AT276" s="449">
        <v>2835795</v>
      </c>
      <c r="AU276" s="450">
        <v>741888</v>
      </c>
      <c r="AV276" s="450">
        <v>731059</v>
      </c>
      <c r="AW276" s="450">
        <v>730676</v>
      </c>
      <c r="AX276" s="450">
        <v>733571</v>
      </c>
      <c r="AY276" s="449">
        <v>2937194</v>
      </c>
      <c r="AZ276" s="450">
        <v>758395</v>
      </c>
      <c r="BA276" s="450">
        <v>707624</v>
      </c>
      <c r="BB276" s="450">
        <v>700971</v>
      </c>
      <c r="BC276" s="450">
        <v>737642</v>
      </c>
      <c r="BD276" s="449">
        <v>2891699</v>
      </c>
      <c r="BE276" s="450">
        <v>781813</v>
      </c>
      <c r="BF276" s="450">
        <v>737850</v>
      </c>
      <c r="BG276" s="450">
        <v>717951</v>
      </c>
      <c r="BH276" s="247">
        <v>732430</v>
      </c>
      <c r="BI276" s="248">
        <v>2970044</v>
      </c>
      <c r="BJ276" s="450">
        <v>804212</v>
      </c>
      <c r="BK276" s="450">
        <v>750686</v>
      </c>
      <c r="BL276" s="450">
        <v>747616</v>
      </c>
      <c r="BM276" s="247">
        <v>756217</v>
      </c>
      <c r="BN276" s="248">
        <v>3058931</v>
      </c>
      <c r="BO276" s="572">
        <v>778002</v>
      </c>
      <c r="BP276" s="572">
        <v>710257</v>
      </c>
      <c r="BQ276" s="247">
        <v>683677</v>
      </c>
      <c r="BR276" s="247">
        <v>676168</v>
      </c>
      <c r="BS276" s="248">
        <v>2845281</v>
      </c>
      <c r="BT276" s="572">
        <v>968852</v>
      </c>
      <c r="BU276" s="450">
        <v>1052886</v>
      </c>
      <c r="BV276" s="450">
        <v>1023191</v>
      </c>
      <c r="BW276" s="259">
        <v>1046254</v>
      </c>
      <c r="BX276" s="248">
        <v>4091183</v>
      </c>
      <c r="BY276" s="1143">
        <v>1127077</v>
      </c>
      <c r="BZ276" s="1141">
        <v>1033244</v>
      </c>
      <c r="CA276" s="1141">
        <v>1003025</v>
      </c>
      <c r="CB276" s="1141">
        <v>1011868</v>
      </c>
      <c r="CC276" s="1145">
        <v>4175214</v>
      </c>
      <c r="CD276" s="1141">
        <v>1076226</v>
      </c>
      <c r="CE276" s="1141">
        <v>947492</v>
      </c>
      <c r="CF276" s="1141">
        <v>898177</v>
      </c>
      <c r="CG276" s="1141">
        <v>910209</v>
      </c>
      <c r="CH276" s="1366">
        <f>SUM(CD276:CG276)</f>
        <v>3832104</v>
      </c>
      <c r="CI276" s="259"/>
      <c r="CJ276" s="259"/>
      <c r="CK276" s="259"/>
      <c r="CL276" s="259"/>
      <c r="CM276" s="109"/>
      <c r="CN276" s="259"/>
      <c r="CO276" s="259"/>
      <c r="CP276" s="259"/>
      <c r="CQ276" s="259"/>
      <c r="CR276" s="109"/>
      <c r="CS276" s="259"/>
      <c r="CT276" s="259"/>
      <c r="CU276" s="259"/>
      <c r="CV276" s="259"/>
      <c r="CW276" s="109"/>
      <c r="CX276" s="259"/>
      <c r="CY276" s="259"/>
      <c r="CZ276" s="259"/>
      <c r="DA276" s="259"/>
      <c r="DB276" s="109"/>
      <c r="DC276" s="259"/>
      <c r="DD276" s="259"/>
      <c r="DE276" s="259"/>
      <c r="DF276" s="259"/>
      <c r="DG276" s="259"/>
      <c r="DH276" s="259"/>
      <c r="DI276" s="259"/>
      <c r="DJ276" s="259"/>
    </row>
    <row r="277" spans="1:114" s="725" customFormat="1" ht="11.25" hidden="1" customHeight="1" outlineLevel="1">
      <c r="A277" s="37"/>
      <c r="B277" s="258" t="s">
        <v>429</v>
      </c>
      <c r="C277" s="251"/>
      <c r="D277" s="424">
        <v>4.2</v>
      </c>
      <c r="E277" s="252">
        <v>4</v>
      </c>
      <c r="F277" s="252">
        <v>3.8</v>
      </c>
      <c r="G277" s="251">
        <v>3.9</v>
      </c>
      <c r="H277" s="251">
        <v>3.8</v>
      </c>
      <c r="I277" s="251">
        <v>3.7</v>
      </c>
      <c r="J277" s="251">
        <v>3.8</v>
      </c>
      <c r="K277" s="252">
        <v>3.8</v>
      </c>
      <c r="L277" s="251">
        <v>3.9</v>
      </c>
      <c r="M277" s="251">
        <v>3.9</v>
      </c>
      <c r="N277" s="251">
        <v>3.8</v>
      </c>
      <c r="O277" s="251">
        <v>3.8</v>
      </c>
      <c r="P277" s="252">
        <v>3.9</v>
      </c>
      <c r="Q277" s="251">
        <v>4</v>
      </c>
      <c r="R277" s="251">
        <v>3.8</v>
      </c>
      <c r="S277" s="251">
        <v>3.9</v>
      </c>
      <c r="T277" s="251">
        <v>4.0999999999999996</v>
      </c>
      <c r="U277" s="252">
        <v>3.9</v>
      </c>
      <c r="V277" s="251">
        <v>4.2</v>
      </c>
      <c r="W277" s="251">
        <v>4.0999999999999996</v>
      </c>
      <c r="X277" s="251">
        <v>4</v>
      </c>
      <c r="Y277" s="251">
        <v>4.0999999999999996</v>
      </c>
      <c r="Z277" s="252">
        <v>4.0999999999999996</v>
      </c>
      <c r="AA277" s="251">
        <v>4.2</v>
      </c>
      <c r="AB277" s="251">
        <v>4.0999999999999996</v>
      </c>
      <c r="AC277" s="251">
        <v>4</v>
      </c>
      <c r="AD277" s="251">
        <v>4.0999999999999996</v>
      </c>
      <c r="AE277" s="252">
        <v>4.0999999999999996</v>
      </c>
      <c r="AF277" s="251">
        <v>4.2</v>
      </c>
      <c r="AG277" s="251">
        <v>4.0999999999999996</v>
      </c>
      <c r="AH277" s="251">
        <v>4</v>
      </c>
      <c r="AI277" s="251">
        <v>4</v>
      </c>
      <c r="AJ277" s="252">
        <v>4.0999999999999996</v>
      </c>
      <c r="AK277" s="251">
        <v>4.0999999999999996</v>
      </c>
      <c r="AL277" s="251">
        <v>4.0999999999999996</v>
      </c>
      <c r="AM277" s="251">
        <v>4.2</v>
      </c>
      <c r="AN277" s="251">
        <v>4.3</v>
      </c>
      <c r="AO277" s="252">
        <v>4.2</v>
      </c>
      <c r="AP277" s="251">
        <v>4.3</v>
      </c>
      <c r="AQ277" s="251">
        <v>4.2</v>
      </c>
      <c r="AR277" s="251">
        <v>4.0999999999999996</v>
      </c>
      <c r="AS277" s="251">
        <v>4.2</v>
      </c>
      <c r="AT277" s="252">
        <v>4.2</v>
      </c>
      <c r="AU277" s="251">
        <v>4.3</v>
      </c>
      <c r="AV277" s="251">
        <v>4.2</v>
      </c>
      <c r="AW277" s="251">
        <v>4.2</v>
      </c>
      <c r="AX277" s="251">
        <v>4.3</v>
      </c>
      <c r="AY277" s="252">
        <v>4.2</v>
      </c>
      <c r="AZ277" s="251">
        <v>4.3</v>
      </c>
      <c r="BA277" s="251">
        <v>4.2</v>
      </c>
      <c r="BB277" s="251">
        <v>4.2</v>
      </c>
      <c r="BC277" s="251">
        <v>4.3</v>
      </c>
      <c r="BD277" s="252">
        <v>4.3</v>
      </c>
      <c r="BE277" s="251">
        <v>4.4000000000000004</v>
      </c>
      <c r="BF277" s="251">
        <v>4.4000000000000004</v>
      </c>
      <c r="BG277" s="251">
        <v>4.4000000000000004</v>
      </c>
      <c r="BH277" s="251">
        <v>4.4000000000000004</v>
      </c>
      <c r="BI277" s="252">
        <v>4.4000000000000004</v>
      </c>
      <c r="BJ277" s="251">
        <v>4.4000000000000004</v>
      </c>
      <c r="BK277" s="251">
        <v>4.3</v>
      </c>
      <c r="BL277" s="251">
        <v>4.3</v>
      </c>
      <c r="BM277" s="251">
        <v>4.4000000000000004</v>
      </c>
      <c r="BN277" s="252">
        <v>4.4000000000000004</v>
      </c>
      <c r="BO277" s="573">
        <v>4.5</v>
      </c>
      <c r="BP277" s="573">
        <v>4.4000000000000004</v>
      </c>
      <c r="BQ277" s="251">
        <v>4.3</v>
      </c>
      <c r="BR277" s="251">
        <v>4.4000000000000004</v>
      </c>
      <c r="BS277" s="252">
        <v>4.4000000000000004</v>
      </c>
      <c r="BT277" s="573">
        <v>4.5999999999999996</v>
      </c>
      <c r="BU277" s="251">
        <v>4.4000000000000004</v>
      </c>
      <c r="BV277" s="251">
        <v>4.4000000000000004</v>
      </c>
      <c r="BW277" s="37">
        <v>4.4000000000000004</v>
      </c>
      <c r="BX277" s="252">
        <v>4.4000000000000004</v>
      </c>
      <c r="BY277" s="1146">
        <v>4.5999999999999996</v>
      </c>
      <c r="BZ277" s="1140">
        <v>4.4000000000000004</v>
      </c>
      <c r="CA277" s="1140">
        <v>4.4000000000000004</v>
      </c>
      <c r="CB277" s="1140">
        <v>4.4000000000000004</v>
      </c>
      <c r="CC277" s="1144">
        <v>4.4000000000000004</v>
      </c>
      <c r="CD277" s="1140">
        <v>4.5</v>
      </c>
      <c r="CE277" s="1140">
        <v>4.5</v>
      </c>
      <c r="CF277" s="1140">
        <v>4.4000000000000004</v>
      </c>
      <c r="CG277" s="1140">
        <v>4.5</v>
      </c>
      <c r="CH277" s="1367">
        <f>AVERAGE(CD277:CG277)</f>
        <v>4.4749999999999996</v>
      </c>
      <c r="CI277" s="37"/>
      <c r="CJ277" s="37"/>
      <c r="CK277" s="37"/>
      <c r="CL277" s="37"/>
      <c r="CM277" s="18"/>
      <c r="CN277" s="37"/>
      <c r="CO277" s="37"/>
      <c r="CP277" s="37"/>
      <c r="CQ277" s="37"/>
      <c r="CR277" s="18"/>
      <c r="CS277" s="37"/>
      <c r="CT277" s="37"/>
      <c r="CU277" s="37"/>
      <c r="CV277" s="37"/>
      <c r="CW277" s="18"/>
      <c r="CX277" s="37"/>
      <c r="CY277" s="37"/>
      <c r="CZ277" s="37"/>
      <c r="DA277" s="37"/>
      <c r="DB277" s="18"/>
      <c r="DC277" s="37"/>
      <c r="DD277" s="37"/>
      <c r="DE277" s="37"/>
      <c r="DF277" s="37"/>
      <c r="DG277" s="37"/>
      <c r="DH277" s="37"/>
      <c r="DI277" s="37"/>
      <c r="DJ277" s="37"/>
    </row>
    <row r="278" spans="1:114" s="725" customFormat="1" ht="11.25" hidden="1" customHeight="1" outlineLevel="1">
      <c r="A278" s="37"/>
      <c r="B278" s="344" t="s">
        <v>417</v>
      </c>
      <c r="C278" s="255"/>
      <c r="D278" s="425">
        <v>0.433</v>
      </c>
      <c r="E278" s="256">
        <v>0.441</v>
      </c>
      <c r="F278" s="256">
        <v>0.44600000000000001</v>
      </c>
      <c r="G278" s="255">
        <v>0.51300000000000001</v>
      </c>
      <c r="H278" s="255">
        <v>0.45500000000000002</v>
      </c>
      <c r="I278" s="255">
        <v>0.44400000000000001</v>
      </c>
      <c r="J278" s="255">
        <v>0.46</v>
      </c>
      <c r="K278" s="256">
        <v>0.46700000000000003</v>
      </c>
      <c r="L278" s="255">
        <v>0.52800000000000002</v>
      </c>
      <c r="M278" s="255">
        <v>0.47899999999999998</v>
      </c>
      <c r="N278" s="255">
        <v>0.45900000000000002</v>
      </c>
      <c r="O278" s="255">
        <v>0.45400000000000001</v>
      </c>
      <c r="P278" s="256">
        <v>0.47899999999999998</v>
      </c>
      <c r="Q278" s="255">
        <v>0.50600000000000001</v>
      </c>
      <c r="R278" s="255">
        <v>0.45200000000000001</v>
      </c>
      <c r="S278" s="255">
        <v>0.47399999999999998</v>
      </c>
      <c r="T278" s="255">
        <v>0.51300000000000001</v>
      </c>
      <c r="U278" s="256">
        <v>0.48899999999999999</v>
      </c>
      <c r="V278" s="255">
        <v>0.54300000000000004</v>
      </c>
      <c r="W278" s="255">
        <v>0.51200000000000001</v>
      </c>
      <c r="X278" s="255">
        <v>0.48299999999999998</v>
      </c>
      <c r="Y278" s="255">
        <v>0.502</v>
      </c>
      <c r="Z278" s="256">
        <v>0.51200000000000001</v>
      </c>
      <c r="AA278" s="255">
        <v>0.58699999999999997</v>
      </c>
      <c r="AB278" s="255">
        <v>0.52200000000000002</v>
      </c>
      <c r="AC278" s="255">
        <v>0.5</v>
      </c>
      <c r="AD278" s="255">
        <v>0.51200000000000001</v>
      </c>
      <c r="AE278" s="256">
        <v>0.52900000000000003</v>
      </c>
      <c r="AF278" s="255">
        <v>0.56999999999999995</v>
      </c>
      <c r="AG278" s="255">
        <v>0.52500000000000002</v>
      </c>
      <c r="AH278" s="255">
        <v>0.51</v>
      </c>
      <c r="AI278" s="255">
        <v>0.53</v>
      </c>
      <c r="AJ278" s="256">
        <v>0.54300000000000004</v>
      </c>
      <c r="AK278" s="255">
        <v>0.54300000000000004</v>
      </c>
      <c r="AL278" s="255">
        <v>0.52100000000000002</v>
      </c>
      <c r="AM278" s="255">
        <v>0.50800000000000001</v>
      </c>
      <c r="AN278" s="255">
        <v>0.51300000000000001</v>
      </c>
      <c r="AO278" s="256">
        <v>0.52200000000000002</v>
      </c>
      <c r="AP278" s="255">
        <v>0.57499999999999996</v>
      </c>
      <c r="AQ278" s="255">
        <v>0.51600000000000001</v>
      </c>
      <c r="AR278" s="255">
        <v>0.499</v>
      </c>
      <c r="AS278" s="255">
        <v>0.501</v>
      </c>
      <c r="AT278" s="256">
        <v>0.52300000000000002</v>
      </c>
      <c r="AU278" s="255">
        <v>0.54100000000000004</v>
      </c>
      <c r="AV278" s="255">
        <v>0.51100000000000001</v>
      </c>
      <c r="AW278" s="255">
        <v>0.499</v>
      </c>
      <c r="AX278" s="255">
        <v>0.501</v>
      </c>
      <c r="AY278" s="256">
        <v>0.51300000000000001</v>
      </c>
      <c r="AZ278" s="255">
        <v>0.53200000000000003</v>
      </c>
      <c r="BA278" s="255">
        <v>0.498</v>
      </c>
      <c r="BB278" s="255">
        <v>0.48499999999999999</v>
      </c>
      <c r="BC278" s="255">
        <v>0.49299999999999999</v>
      </c>
      <c r="BD278" s="256">
        <v>0.502</v>
      </c>
      <c r="BE278" s="255">
        <v>0.53100000000000003</v>
      </c>
      <c r="BF278" s="255">
        <v>0.49099999999999999</v>
      </c>
      <c r="BG278" s="255">
        <v>0.47099999999999997</v>
      </c>
      <c r="BH278" s="255">
        <v>0.47299999999999998</v>
      </c>
      <c r="BI278" s="256">
        <v>0.49099999999999999</v>
      </c>
      <c r="BJ278" s="255">
        <v>0.51700000000000002</v>
      </c>
      <c r="BK278" s="255">
        <v>0.48099999999999998</v>
      </c>
      <c r="BL278" s="255">
        <v>0.47099999999999997</v>
      </c>
      <c r="BM278" s="255">
        <v>0.47599999999999998</v>
      </c>
      <c r="BN278" s="256">
        <v>0.48599999999999999</v>
      </c>
      <c r="BO278" s="574">
        <v>0.51600000000000001</v>
      </c>
      <c r="BP278" s="574">
        <v>0.46400000000000002</v>
      </c>
      <c r="BQ278" s="255">
        <v>0.441</v>
      </c>
      <c r="BR278" s="255">
        <v>0.436</v>
      </c>
      <c r="BS278" s="256">
        <v>0.46400000000000002</v>
      </c>
      <c r="BT278" s="574">
        <v>0.47899999999999998</v>
      </c>
      <c r="BU278" s="255">
        <v>0.434</v>
      </c>
      <c r="BV278" s="255">
        <v>0.42099999999999999</v>
      </c>
      <c r="BW278" s="260">
        <v>0.42399999999999999</v>
      </c>
      <c r="BX278" s="256">
        <v>0.438</v>
      </c>
      <c r="BY278" s="1147">
        <v>0.47099999999999997</v>
      </c>
      <c r="BZ278" s="1142">
        <v>0.43</v>
      </c>
      <c r="CA278" s="1142">
        <v>0.41599999999999998</v>
      </c>
      <c r="CB278" s="1142">
        <v>0.41799999999999998</v>
      </c>
      <c r="CC278" s="1148">
        <v>0.433</v>
      </c>
      <c r="CD278" s="1142">
        <v>0.45100000000000001</v>
      </c>
      <c r="CE278" s="1142">
        <v>0.42499999999999999</v>
      </c>
      <c r="CF278" s="1142">
        <v>0.41899999999999998</v>
      </c>
      <c r="CG278" s="1142">
        <v>0.42599999999999999</v>
      </c>
      <c r="CH278" s="1125">
        <v>0.43099999999999999</v>
      </c>
      <c r="CI278" s="260"/>
      <c r="CJ278" s="260"/>
      <c r="CK278" s="260"/>
      <c r="CL278" s="260"/>
      <c r="CM278" s="261"/>
      <c r="CN278" s="260"/>
      <c r="CO278" s="260"/>
      <c r="CP278" s="260"/>
      <c r="CQ278" s="260"/>
      <c r="CR278" s="261"/>
      <c r="CS278" s="260"/>
      <c r="CT278" s="260"/>
      <c r="CU278" s="260"/>
      <c r="CV278" s="260"/>
      <c r="CW278" s="261"/>
      <c r="CX278" s="260"/>
      <c r="CY278" s="260"/>
      <c r="CZ278" s="260"/>
      <c r="DA278" s="260"/>
      <c r="DB278" s="261"/>
      <c r="DC278" s="260"/>
      <c r="DD278" s="260"/>
      <c r="DE278" s="260"/>
      <c r="DF278" s="260"/>
      <c r="DG278" s="260"/>
      <c r="DH278" s="260"/>
      <c r="DI278" s="260"/>
      <c r="DJ278" s="260"/>
    </row>
    <row r="279" spans="1:114" s="725" customFormat="1" ht="11.25" hidden="1" customHeight="1" outlineLevel="1">
      <c r="A279" s="37"/>
      <c r="B279" s="258" t="s">
        <v>538</v>
      </c>
      <c r="C279" s="247"/>
      <c r="D279" s="423">
        <v>854580</v>
      </c>
      <c r="E279" s="248">
        <v>1079953</v>
      </c>
      <c r="F279" s="248">
        <v>1337501</v>
      </c>
      <c r="G279" s="247">
        <v>398645</v>
      </c>
      <c r="H279" s="247">
        <v>400909</v>
      </c>
      <c r="I279" s="247">
        <v>416569</v>
      </c>
      <c r="J279" s="247">
        <v>477502</v>
      </c>
      <c r="K279" s="449">
        <v>1693625</v>
      </c>
      <c r="L279" s="450">
        <v>533519</v>
      </c>
      <c r="M279" s="450">
        <v>530582</v>
      </c>
      <c r="N279" s="450">
        <v>552841</v>
      </c>
      <c r="O279" s="450">
        <v>583475</v>
      </c>
      <c r="P279" s="449">
        <v>2200417</v>
      </c>
      <c r="Q279" s="450">
        <v>659277</v>
      </c>
      <c r="R279" s="450">
        <v>657293</v>
      </c>
      <c r="S279" s="450">
        <v>712697</v>
      </c>
      <c r="T279" s="450">
        <v>785844</v>
      </c>
      <c r="U279" s="449">
        <v>2796766</v>
      </c>
      <c r="V279" s="450">
        <v>787373</v>
      </c>
      <c r="W279" s="450">
        <v>771108</v>
      </c>
      <c r="X279" s="450">
        <v>811815</v>
      </c>
      <c r="Y279" s="450">
        <v>840625</v>
      </c>
      <c r="Z279" s="449">
        <v>3203507</v>
      </c>
      <c r="AA279" s="450">
        <v>908263</v>
      </c>
      <c r="AB279" s="450">
        <v>918718</v>
      </c>
      <c r="AC279" s="450">
        <v>929269</v>
      </c>
      <c r="AD279" s="450">
        <v>982070</v>
      </c>
      <c r="AE279" s="449">
        <v>3738320</v>
      </c>
      <c r="AF279" s="450">
        <v>1026562</v>
      </c>
      <c r="AG279" s="450">
        <v>1061054</v>
      </c>
      <c r="AH279" s="450">
        <v>1117859</v>
      </c>
      <c r="AI279" s="450">
        <v>1104527</v>
      </c>
      <c r="AJ279" s="449">
        <v>4180136</v>
      </c>
      <c r="AK279" s="450">
        <v>1154278</v>
      </c>
      <c r="AL279" s="450">
        <v>1197865</v>
      </c>
      <c r="AM279" s="450">
        <v>2247009</v>
      </c>
      <c r="AN279" s="450">
        <v>2490454</v>
      </c>
      <c r="AO279" s="449">
        <v>7063775</v>
      </c>
      <c r="AP279" s="450">
        <v>2688924</v>
      </c>
      <c r="AQ279" s="450">
        <v>2673153</v>
      </c>
      <c r="AR279" s="450">
        <v>2754509</v>
      </c>
      <c r="AS279" s="450">
        <v>2781078</v>
      </c>
      <c r="AT279" s="449">
        <v>10919095</v>
      </c>
      <c r="AU279" s="450">
        <v>2912749</v>
      </c>
      <c r="AV279" s="450">
        <v>3016961</v>
      </c>
      <c r="AW279" s="450">
        <v>3086757</v>
      </c>
      <c r="AX279" s="450">
        <v>3091146</v>
      </c>
      <c r="AY279" s="449">
        <v>12107613</v>
      </c>
      <c r="AZ279" s="450">
        <v>3125507</v>
      </c>
      <c r="BA279" s="450">
        <v>3080646</v>
      </c>
      <c r="BB279" s="450">
        <v>3159823</v>
      </c>
      <c r="BC279" s="450">
        <v>3314193</v>
      </c>
      <c r="BD279" s="449">
        <v>12623274</v>
      </c>
      <c r="BE279" s="450">
        <v>2954083</v>
      </c>
      <c r="BF279" s="450">
        <v>3000827</v>
      </c>
      <c r="BG279" s="450">
        <v>2945477</v>
      </c>
      <c r="BH279" s="247">
        <v>3005825</v>
      </c>
      <c r="BI279" s="248">
        <v>11906212</v>
      </c>
      <c r="BJ279" s="450">
        <v>3297035</v>
      </c>
      <c r="BK279" s="450">
        <v>3242974</v>
      </c>
      <c r="BL279" s="450">
        <v>3212030</v>
      </c>
      <c r="BM279" s="247">
        <v>3276946</v>
      </c>
      <c r="BN279" s="248">
        <v>13028985</v>
      </c>
      <c r="BO279" s="572">
        <v>3274</v>
      </c>
      <c r="BP279" s="572">
        <v>3191</v>
      </c>
      <c r="BQ279" s="247">
        <v>3174</v>
      </c>
      <c r="BR279" s="247">
        <v>3191</v>
      </c>
      <c r="BS279" s="248">
        <v>12819</v>
      </c>
      <c r="BT279" s="572">
        <v>4176</v>
      </c>
      <c r="BU279" s="450">
        <v>4765</v>
      </c>
      <c r="BV279" s="450">
        <v>4780</v>
      </c>
      <c r="BW279" s="259">
        <v>4918</v>
      </c>
      <c r="BX279" s="248">
        <v>18639</v>
      </c>
      <c r="BY279" s="1143">
        <v>4911</v>
      </c>
      <c r="BZ279" s="1141">
        <v>4882</v>
      </c>
      <c r="CA279" s="1141">
        <v>4846</v>
      </c>
      <c r="CB279" s="1141">
        <v>4798</v>
      </c>
      <c r="CC279" s="1145">
        <v>19437</v>
      </c>
      <c r="CD279" s="1141">
        <v>4999</v>
      </c>
      <c r="CE279" s="1141">
        <v>4590</v>
      </c>
      <c r="CF279" s="1141">
        <v>4380</v>
      </c>
      <c r="CG279" s="1141">
        <v>4469</v>
      </c>
      <c r="CH279" s="1121">
        <v>18438</v>
      </c>
      <c r="CI279" s="259"/>
      <c r="CJ279" s="259"/>
      <c r="CK279" s="259"/>
      <c r="CL279" s="259"/>
      <c r="CM279" s="109"/>
      <c r="CN279" s="259"/>
      <c r="CO279" s="259"/>
      <c r="CP279" s="259"/>
      <c r="CQ279" s="259"/>
      <c r="CR279" s="109"/>
      <c r="CS279" s="259"/>
      <c r="CT279" s="259"/>
      <c r="CU279" s="259"/>
      <c r="CV279" s="259"/>
      <c r="CW279" s="109"/>
      <c r="CX279" s="259"/>
      <c r="CY279" s="259"/>
      <c r="CZ279" s="259"/>
      <c r="DA279" s="259"/>
      <c r="DB279" s="109"/>
      <c r="DC279" s="259"/>
      <c r="DD279" s="259"/>
      <c r="DE279" s="259"/>
      <c r="DF279" s="259"/>
      <c r="DG279" s="259"/>
      <c r="DH279" s="259"/>
      <c r="DI279" s="259"/>
      <c r="DJ279" s="259"/>
    </row>
    <row r="280" spans="1:114" s="725" customFormat="1" ht="11.25" hidden="1" customHeight="1" outlineLevel="1">
      <c r="A280" s="37"/>
      <c r="B280" s="346" t="s">
        <v>4</v>
      </c>
      <c r="C280" s="255"/>
      <c r="D280" s="425">
        <v>0.55700000000000005</v>
      </c>
      <c r="E280" s="256">
        <v>0.52700000000000002</v>
      </c>
      <c r="F280" s="256">
        <v>0.51100000000000001</v>
      </c>
      <c r="G280" s="255">
        <v>0.52500000000000002</v>
      </c>
      <c r="H280" s="255">
        <v>0.496</v>
      </c>
      <c r="I280" s="255">
        <v>0.50900000000000001</v>
      </c>
      <c r="J280" s="255">
        <v>0.53100000000000003</v>
      </c>
      <c r="K280" s="256">
        <v>0.51600000000000001</v>
      </c>
      <c r="L280" s="255">
        <v>0.52800000000000002</v>
      </c>
      <c r="M280" s="255">
        <v>0.51700000000000002</v>
      </c>
      <c r="N280" s="255">
        <v>0.52200000000000002</v>
      </c>
      <c r="O280" s="255">
        <v>0.53300000000000003</v>
      </c>
      <c r="P280" s="256">
        <v>0.52500000000000002</v>
      </c>
      <c r="Q280" s="255">
        <v>0.53100000000000003</v>
      </c>
      <c r="R280" s="255">
        <v>0.502</v>
      </c>
      <c r="S280" s="255">
        <v>0.502</v>
      </c>
      <c r="T280" s="255">
        <v>0.51600000000000001</v>
      </c>
      <c r="U280" s="256">
        <v>0.51300000000000001</v>
      </c>
      <c r="V280" s="255">
        <v>0.51200000000000001</v>
      </c>
      <c r="W280" s="255">
        <v>0.504</v>
      </c>
      <c r="X280" s="255">
        <v>0.496</v>
      </c>
      <c r="Y280" s="255">
        <v>0.50800000000000001</v>
      </c>
      <c r="Z280" s="256">
        <v>0.505</v>
      </c>
      <c r="AA280" s="255">
        <v>0.51900000000000002</v>
      </c>
      <c r="AB280" s="255">
        <v>0.504</v>
      </c>
      <c r="AC280" s="255">
        <v>0.502</v>
      </c>
      <c r="AD280" s="255">
        <v>0.51200000000000001</v>
      </c>
      <c r="AE280" s="256">
        <v>0.50900000000000001</v>
      </c>
      <c r="AF280" s="255">
        <v>0.50900000000000001</v>
      </c>
      <c r="AG280" s="255">
        <v>0.498</v>
      </c>
      <c r="AH280" s="255">
        <v>0.49299999999999999</v>
      </c>
      <c r="AI280" s="255">
        <v>0.503</v>
      </c>
      <c r="AJ280" s="256">
        <v>0.5</v>
      </c>
      <c r="AK280" s="255">
        <v>0.505</v>
      </c>
      <c r="AL280" s="255">
        <v>0.48099999999999998</v>
      </c>
      <c r="AM280" s="255">
        <v>0.49299999999999999</v>
      </c>
      <c r="AN280" s="255">
        <v>0.49299999999999999</v>
      </c>
      <c r="AO280" s="256">
        <v>0.49199999999999999</v>
      </c>
      <c r="AP280" s="255">
        <v>0.52900000000000003</v>
      </c>
      <c r="AQ280" s="255">
        <v>0.495</v>
      </c>
      <c r="AR280" s="255">
        <v>0.49199999999999999</v>
      </c>
      <c r="AS280" s="255">
        <v>0.50600000000000001</v>
      </c>
      <c r="AT280" s="256">
        <v>0.502</v>
      </c>
      <c r="AU280" s="255">
        <v>0.50700000000000001</v>
      </c>
      <c r="AV280" s="255">
        <v>0.49399999999999999</v>
      </c>
      <c r="AW280" s="255">
        <v>0.497</v>
      </c>
      <c r="AX280" s="255">
        <v>0.504</v>
      </c>
      <c r="AY280" s="256">
        <v>0.501</v>
      </c>
      <c r="AZ280" s="255">
        <v>0.50900000000000001</v>
      </c>
      <c r="BA280" s="255">
        <v>0.49099999999999999</v>
      </c>
      <c r="BB280" s="255">
        <v>0.48199999999999998</v>
      </c>
      <c r="BC280" s="255">
        <v>0.49199999999999999</v>
      </c>
      <c r="BD280" s="256">
        <v>0.49299999999999999</v>
      </c>
      <c r="BE280" s="255">
        <v>0.49</v>
      </c>
      <c r="BF280" s="255">
        <v>0.46400000000000002</v>
      </c>
      <c r="BG280" s="255">
        <v>0.44500000000000001</v>
      </c>
      <c r="BH280" s="255">
        <v>0.44500000000000001</v>
      </c>
      <c r="BI280" s="256">
        <v>0.46100000000000002</v>
      </c>
      <c r="BJ280" s="255">
        <v>0.46100000000000002</v>
      </c>
      <c r="BK280" s="255">
        <v>0.45500000000000002</v>
      </c>
      <c r="BL280" s="255">
        <v>0.436</v>
      </c>
      <c r="BM280" s="255">
        <v>0.438</v>
      </c>
      <c r="BN280" s="256">
        <v>0.44700000000000001</v>
      </c>
      <c r="BO280" s="574">
        <v>0.45500000000000002</v>
      </c>
      <c r="BP280" s="574">
        <v>0.44400000000000001</v>
      </c>
      <c r="BQ280" s="255">
        <v>0.439</v>
      </c>
      <c r="BR280" s="255">
        <v>0.42199999999999999</v>
      </c>
      <c r="BS280" s="256">
        <v>0.44</v>
      </c>
      <c r="BT280" s="574">
        <v>0.45300000000000001</v>
      </c>
      <c r="BU280" s="255">
        <v>0.434</v>
      </c>
      <c r="BV280" s="255">
        <v>0.433</v>
      </c>
      <c r="BW280" s="260">
        <v>0.436</v>
      </c>
      <c r="BX280" s="256">
        <v>0.439</v>
      </c>
      <c r="BY280" s="1147">
        <v>0.442</v>
      </c>
      <c r="BZ280" s="1142">
        <v>0.42399999999999999</v>
      </c>
      <c r="CA280" s="1142">
        <v>0.41699999999999998</v>
      </c>
      <c r="CB280" s="1142">
        <v>0.43</v>
      </c>
      <c r="CC280" s="1148">
        <v>0.42799999999999999</v>
      </c>
      <c r="CD280" s="1142">
        <v>0.439</v>
      </c>
      <c r="CE280" s="1142">
        <v>0.42799999999999999</v>
      </c>
      <c r="CF280" s="1142">
        <v>0.42599999999999999</v>
      </c>
      <c r="CG280" s="1142">
        <v>0.436</v>
      </c>
      <c r="CH280" s="1368">
        <f>AVERAGE(CD280:CG280)</f>
        <v>0.43224999999999997</v>
      </c>
      <c r="CI280" s="260"/>
      <c r="CJ280" s="260"/>
      <c r="CK280" s="260"/>
      <c r="CL280" s="260"/>
      <c r="CM280" s="261"/>
      <c r="CN280" s="260"/>
      <c r="CO280" s="260"/>
      <c r="CP280" s="260"/>
      <c r="CQ280" s="260"/>
      <c r="CR280" s="261"/>
      <c r="CS280" s="260"/>
      <c r="CT280" s="260"/>
      <c r="CU280" s="260"/>
      <c r="CV280" s="260"/>
      <c r="CW280" s="261"/>
      <c r="CX280" s="260"/>
      <c r="CY280" s="260"/>
      <c r="CZ280" s="260"/>
      <c r="DA280" s="260"/>
      <c r="DB280" s="261"/>
      <c r="DC280" s="260"/>
      <c r="DD280" s="260"/>
      <c r="DE280" s="260"/>
      <c r="DF280" s="260"/>
      <c r="DG280" s="260"/>
      <c r="DH280" s="260"/>
      <c r="DI280" s="260"/>
      <c r="DJ280" s="260"/>
    </row>
    <row r="281" spans="1:114" s="725" customFormat="1" ht="11.25" hidden="1" customHeight="1" outlineLevel="1">
      <c r="A281" s="37"/>
      <c r="B281" s="346" t="s">
        <v>3</v>
      </c>
      <c r="C281" s="255"/>
      <c r="D281" s="425">
        <v>0.42599999999999999</v>
      </c>
      <c r="E281" s="256">
        <v>0.45500000000000002</v>
      </c>
      <c r="F281" s="256">
        <v>0.47299999999999998</v>
      </c>
      <c r="G281" s="255">
        <v>0.46400000000000002</v>
      </c>
      <c r="H281" s="255">
        <v>0.49199999999999999</v>
      </c>
      <c r="I281" s="255">
        <v>0.47899999999999998</v>
      </c>
      <c r="J281" s="255">
        <v>0.45600000000000002</v>
      </c>
      <c r="K281" s="256">
        <v>0.47199999999999998</v>
      </c>
      <c r="L281" s="255">
        <v>0.45900000000000002</v>
      </c>
      <c r="M281" s="255">
        <v>0.47</v>
      </c>
      <c r="N281" s="255">
        <v>0.46600000000000003</v>
      </c>
      <c r="O281" s="255">
        <v>0.45500000000000002</v>
      </c>
      <c r="P281" s="256">
        <v>0.46200000000000002</v>
      </c>
      <c r="Q281" s="255">
        <v>0.45800000000000002</v>
      </c>
      <c r="R281" s="255">
        <v>0.48499999999999999</v>
      </c>
      <c r="S281" s="255">
        <v>0.48599999999999999</v>
      </c>
      <c r="T281" s="255">
        <v>0.46899999999999997</v>
      </c>
      <c r="U281" s="256">
        <v>0.47499999999999998</v>
      </c>
      <c r="V281" s="255">
        <v>0.47199999999999998</v>
      </c>
      <c r="W281" s="255">
        <v>0.48299999999999998</v>
      </c>
      <c r="X281" s="255">
        <v>0.49099999999999999</v>
      </c>
      <c r="Y281" s="255">
        <v>0.47699999999999998</v>
      </c>
      <c r="Z281" s="256">
        <v>0.48099999999999998</v>
      </c>
      <c r="AA281" s="255">
        <v>0.47</v>
      </c>
      <c r="AB281" s="255">
        <v>0.48399999999999999</v>
      </c>
      <c r="AC281" s="255">
        <v>0.48499999999999999</v>
      </c>
      <c r="AD281" s="255">
        <v>0.47399999999999998</v>
      </c>
      <c r="AE281" s="256">
        <v>0.47799999999999998</v>
      </c>
      <c r="AF281" s="255">
        <v>0.47799999999999998</v>
      </c>
      <c r="AG281" s="255">
        <v>0.48899999999999999</v>
      </c>
      <c r="AH281" s="255">
        <v>0.495</v>
      </c>
      <c r="AI281" s="255">
        <v>0.48599999999999999</v>
      </c>
      <c r="AJ281" s="256">
        <v>0.48799999999999999</v>
      </c>
      <c r="AK281" s="255">
        <v>0.48399999999999999</v>
      </c>
      <c r="AL281" s="255">
        <v>0.50700000000000001</v>
      </c>
      <c r="AM281" s="255">
        <v>0.48499999999999999</v>
      </c>
      <c r="AN281" s="255">
        <v>0.48</v>
      </c>
      <c r="AO281" s="256">
        <v>0.48799999999999999</v>
      </c>
      <c r="AP281" s="255">
        <v>0.47099999999999997</v>
      </c>
      <c r="AQ281" s="255">
        <v>0.48099999999999998</v>
      </c>
      <c r="AR281" s="255">
        <v>0.48399999999999999</v>
      </c>
      <c r="AS281" s="255">
        <v>0.47499999999999998</v>
      </c>
      <c r="AT281" s="256">
        <v>0.47499999999999998</v>
      </c>
      <c r="AU281" s="255">
        <v>0.47</v>
      </c>
      <c r="AV281" s="255">
        <v>0.48199999999999998</v>
      </c>
      <c r="AW281" s="255">
        <v>0.48</v>
      </c>
      <c r="AX281" s="255">
        <v>0.47299999999999998</v>
      </c>
      <c r="AY281" s="256">
        <v>0.47599999999999998</v>
      </c>
      <c r="AZ281" s="255">
        <v>0.47</v>
      </c>
      <c r="BA281" s="255">
        <v>0.49</v>
      </c>
      <c r="BB281" s="255">
        <v>0.495</v>
      </c>
      <c r="BC281" s="255">
        <v>0.48399999999999999</v>
      </c>
      <c r="BD281" s="256">
        <v>0.48499999999999999</v>
      </c>
      <c r="BE281" s="255">
        <v>0.48799999999999999</v>
      </c>
      <c r="BF281" s="255">
        <v>0.51500000000000001</v>
      </c>
      <c r="BG281" s="255">
        <v>0.53900000000000003</v>
      </c>
      <c r="BH281" s="255">
        <v>0.53500000000000003</v>
      </c>
      <c r="BI281" s="256">
        <v>0.51900000000000002</v>
      </c>
      <c r="BJ281" s="255">
        <v>0.51900000000000002</v>
      </c>
      <c r="BK281" s="255">
        <v>0.52800000000000002</v>
      </c>
      <c r="BL281" s="255">
        <v>0.54600000000000004</v>
      </c>
      <c r="BM281" s="255">
        <v>0.54300000000000004</v>
      </c>
      <c r="BN281" s="256">
        <v>0.53400000000000003</v>
      </c>
      <c r="BO281" s="574">
        <v>0.54500000000000004</v>
      </c>
      <c r="BP281" s="574">
        <v>0.55600000000000005</v>
      </c>
      <c r="BQ281" s="255">
        <v>0.56100000000000005</v>
      </c>
      <c r="BR281" s="255">
        <v>0.57799999999999996</v>
      </c>
      <c r="BS281" s="256">
        <v>0.56000000000000005</v>
      </c>
      <c r="BT281" s="574">
        <v>0.54700000000000004</v>
      </c>
      <c r="BU281" s="255">
        <v>0.56599999999999995</v>
      </c>
      <c r="BV281" s="255">
        <v>0.56699999999999995</v>
      </c>
      <c r="BW281" s="260">
        <v>0.56399999999999995</v>
      </c>
      <c r="BX281" s="256">
        <v>0.56100000000000005</v>
      </c>
      <c r="BY281" s="1147">
        <v>0.55800000000000005</v>
      </c>
      <c r="BZ281" s="1142">
        <v>0.57599999999999996</v>
      </c>
      <c r="CA281" s="1142">
        <v>0.58299999999999996</v>
      </c>
      <c r="CB281" s="1142">
        <v>0.56999999999999995</v>
      </c>
      <c r="CC281" s="1148">
        <v>0.57199999999999995</v>
      </c>
      <c r="CD281" s="1142">
        <v>0.56100000000000005</v>
      </c>
      <c r="CE281" s="1142">
        <v>0.57199999999999995</v>
      </c>
      <c r="CF281" s="1142">
        <v>0.57399999999999995</v>
      </c>
      <c r="CG281" s="1142">
        <v>0.56399999999999995</v>
      </c>
      <c r="CH281" s="1368">
        <f>AVERAGE(CD281:CG281)</f>
        <v>0.56774999999999998</v>
      </c>
      <c r="CI281" s="260"/>
      <c r="CJ281" s="260"/>
      <c r="CK281" s="260"/>
      <c r="CL281" s="260"/>
      <c r="CM281" s="261"/>
      <c r="CN281" s="260"/>
      <c r="CO281" s="260"/>
      <c r="CP281" s="260"/>
      <c r="CQ281" s="260"/>
      <c r="CR281" s="261"/>
      <c r="CS281" s="260"/>
      <c r="CT281" s="260"/>
      <c r="CU281" s="260"/>
      <c r="CV281" s="260"/>
      <c r="CW281" s="261"/>
      <c r="CX281" s="260"/>
      <c r="CY281" s="260"/>
      <c r="CZ281" s="260"/>
      <c r="DA281" s="260"/>
      <c r="DB281" s="261"/>
      <c r="DC281" s="260"/>
      <c r="DD281" s="260"/>
      <c r="DE281" s="260"/>
      <c r="DF281" s="260"/>
      <c r="DG281" s="260"/>
      <c r="DH281" s="260"/>
      <c r="DI281" s="260"/>
      <c r="DJ281" s="260"/>
    </row>
    <row r="282" spans="1:114" s="725" customFormat="1" ht="11.25" hidden="1" customHeight="1" outlineLevel="1">
      <c r="A282" s="37"/>
      <c r="B282" s="346" t="s">
        <v>539</v>
      </c>
      <c r="C282" s="247"/>
      <c r="D282" s="423">
        <v>-95152</v>
      </c>
      <c r="E282" s="248">
        <v>105255</v>
      </c>
      <c r="F282" s="248">
        <v>155112</v>
      </c>
      <c r="G282" s="247">
        <v>48741</v>
      </c>
      <c r="H282" s="247">
        <v>45169</v>
      </c>
      <c r="I282" s="247">
        <v>43395</v>
      </c>
      <c r="J282" s="247">
        <v>51738</v>
      </c>
      <c r="K282" s="449">
        <v>189043</v>
      </c>
      <c r="L282" s="450">
        <v>63155</v>
      </c>
      <c r="M282" s="450">
        <v>57814</v>
      </c>
      <c r="N282" s="450">
        <v>57987</v>
      </c>
      <c r="O282" s="450">
        <v>62554</v>
      </c>
      <c r="P282" s="449">
        <v>241510</v>
      </c>
      <c r="Q282" s="450">
        <v>72960</v>
      </c>
      <c r="R282" s="450">
        <v>67695</v>
      </c>
      <c r="S282" s="450">
        <v>71067</v>
      </c>
      <c r="T282" s="450">
        <v>79216</v>
      </c>
      <c r="U282" s="449">
        <v>291358</v>
      </c>
      <c r="V282" s="450">
        <v>86758</v>
      </c>
      <c r="W282" s="450">
        <v>81915</v>
      </c>
      <c r="X282" s="450">
        <v>82839</v>
      </c>
      <c r="Y282" s="450">
        <v>90035</v>
      </c>
      <c r="Z282" s="449">
        <v>342472</v>
      </c>
      <c r="AA282" s="450">
        <v>103098</v>
      </c>
      <c r="AB282" s="450">
        <v>98552</v>
      </c>
      <c r="AC282" s="450">
        <v>96292</v>
      </c>
      <c r="AD282" s="450">
        <v>107591</v>
      </c>
      <c r="AE282" s="449">
        <v>405533</v>
      </c>
      <c r="AF282" s="450">
        <v>115339</v>
      </c>
      <c r="AG282" s="450">
        <v>109106</v>
      </c>
      <c r="AH282" s="450">
        <v>42346</v>
      </c>
      <c r="AI282" s="450">
        <v>116398</v>
      </c>
      <c r="AJ282" s="449">
        <v>385057</v>
      </c>
      <c r="AK282" s="450">
        <v>121747</v>
      </c>
      <c r="AL282" s="450">
        <v>116923</v>
      </c>
      <c r="AM282" s="450">
        <v>184909</v>
      </c>
      <c r="AN282" s="450">
        <v>58178</v>
      </c>
      <c r="AO282" s="449">
        <v>478726</v>
      </c>
      <c r="AP282" s="450">
        <v>243346</v>
      </c>
      <c r="AQ282" s="450">
        <v>228445</v>
      </c>
      <c r="AR282" s="450">
        <v>248393</v>
      </c>
      <c r="AS282" s="450">
        <v>253777</v>
      </c>
      <c r="AT282" s="449">
        <v>971880</v>
      </c>
      <c r="AU282" s="450">
        <v>255038</v>
      </c>
      <c r="AV282" s="450">
        <v>261403</v>
      </c>
      <c r="AW282" s="450">
        <v>267268</v>
      </c>
      <c r="AX282" s="450">
        <v>284956</v>
      </c>
      <c r="AY282" s="449">
        <v>1068665</v>
      </c>
      <c r="AZ282" s="450">
        <v>275246</v>
      </c>
      <c r="BA282" s="450">
        <v>280919</v>
      </c>
      <c r="BB282" s="450">
        <v>284658</v>
      </c>
      <c r="BC282" s="450">
        <v>284728</v>
      </c>
      <c r="BD282" s="449">
        <v>1121044</v>
      </c>
      <c r="BE282" s="450">
        <v>280781</v>
      </c>
      <c r="BF282" s="450">
        <v>288908</v>
      </c>
      <c r="BG282" s="450">
        <v>283803</v>
      </c>
      <c r="BH282" s="247">
        <v>280993</v>
      </c>
      <c r="BI282" s="248">
        <v>1134485</v>
      </c>
      <c r="BJ282" s="450">
        <v>349128</v>
      </c>
      <c r="BK282" s="450">
        <v>290112</v>
      </c>
      <c r="BL282" s="450">
        <v>287628</v>
      </c>
      <c r="BM282" s="247">
        <v>283256</v>
      </c>
      <c r="BN282" s="248">
        <v>1210124</v>
      </c>
      <c r="BO282" s="572">
        <v>288</v>
      </c>
      <c r="BP282" s="572">
        <v>219</v>
      </c>
      <c r="BQ282" s="247">
        <v>177</v>
      </c>
      <c r="BR282" s="247">
        <v>243</v>
      </c>
      <c r="BS282" s="248">
        <v>929</v>
      </c>
      <c r="BT282" s="572">
        <v>178</v>
      </c>
      <c r="BU282" s="450">
        <v>352</v>
      </c>
      <c r="BV282" s="450">
        <v>370</v>
      </c>
      <c r="BW282" s="259">
        <v>460</v>
      </c>
      <c r="BX282" s="248">
        <v>1339</v>
      </c>
      <c r="BY282" s="1143">
        <v>399</v>
      </c>
      <c r="BZ282" s="1141">
        <v>441</v>
      </c>
      <c r="CA282" s="1141">
        <v>351</v>
      </c>
      <c r="CB282" s="1141">
        <v>146</v>
      </c>
      <c r="CC282" s="1145">
        <v>1337</v>
      </c>
      <c r="CD282" s="1141">
        <v>294</v>
      </c>
      <c r="CE282" s="1141">
        <v>-1375</v>
      </c>
      <c r="CF282" s="1141">
        <v>146</v>
      </c>
      <c r="CG282" s="1141">
        <v>75</v>
      </c>
      <c r="CH282" s="1369">
        <v>-860</v>
      </c>
      <c r="CI282" s="259"/>
      <c r="CJ282" s="259"/>
      <c r="CK282" s="259"/>
      <c r="CL282" s="259"/>
      <c r="CM282" s="109"/>
      <c r="CN282" s="259"/>
      <c r="CO282" s="259"/>
      <c r="CP282" s="259"/>
      <c r="CQ282" s="259"/>
      <c r="CR282" s="109"/>
      <c r="CS282" s="259"/>
      <c r="CT282" s="259"/>
      <c r="CU282" s="259"/>
      <c r="CV282" s="259"/>
      <c r="CW282" s="109"/>
      <c r="CX282" s="259"/>
      <c r="CY282" s="259"/>
      <c r="CZ282" s="259"/>
      <c r="DA282" s="259"/>
      <c r="DB282" s="109"/>
      <c r="DC282" s="259"/>
      <c r="DD282" s="259"/>
      <c r="DE282" s="259"/>
      <c r="DF282" s="259"/>
      <c r="DG282" s="259"/>
      <c r="DH282" s="259"/>
      <c r="DI282" s="259"/>
      <c r="DJ282" s="259"/>
    </row>
    <row r="283" spans="1:114" s="725" customFormat="1" ht="11.25" hidden="1" customHeight="1" outlineLevel="1">
      <c r="A283" s="37"/>
      <c r="B283" s="344" t="s">
        <v>540</v>
      </c>
      <c r="C283" s="257"/>
      <c r="D283" s="111">
        <f>D282/D279</f>
        <v>-0.11134358398277516</v>
      </c>
      <c r="E283" s="110">
        <f t="shared" ref="E283:K283" si="553">E282/E279</f>
        <v>9.7462574760197901E-2</v>
      </c>
      <c r="F283" s="110">
        <f t="shared" si="553"/>
        <v>0.11597150207738162</v>
      </c>
      <c r="G283" s="257">
        <f t="shared" si="553"/>
        <v>0.1222666783729885</v>
      </c>
      <c r="H283" s="257">
        <f t="shared" si="553"/>
        <v>0.1126664654572484</v>
      </c>
      <c r="I283" s="257">
        <f t="shared" si="553"/>
        <v>0.10417241801478266</v>
      </c>
      <c r="J283" s="257">
        <f t="shared" si="553"/>
        <v>0.10835137863296908</v>
      </c>
      <c r="K283" s="110">
        <f t="shared" si="553"/>
        <v>0.1116203409845745</v>
      </c>
      <c r="L283" s="257">
        <f>L282/L279</f>
        <v>0.11837441590646257</v>
      </c>
      <c r="M283" s="257">
        <f>M282/M279</f>
        <v>0.10896336475794505</v>
      </c>
      <c r="N283" s="257">
        <f>N282/N279</f>
        <v>0.10488910916520301</v>
      </c>
      <c r="O283" s="255">
        <v>0.107</v>
      </c>
      <c r="P283" s="256">
        <v>0.11</v>
      </c>
      <c r="Q283" s="255">
        <v>0.111</v>
      </c>
      <c r="R283" s="255">
        <v>0.10299999999999999</v>
      </c>
      <c r="S283" s="255">
        <v>0.1</v>
      </c>
      <c r="T283" s="255">
        <v>0.10100000000000001</v>
      </c>
      <c r="U283" s="256">
        <v>0.104</v>
      </c>
      <c r="V283" s="255">
        <v>0.11</v>
      </c>
      <c r="W283" s="255">
        <v>0.106</v>
      </c>
      <c r="X283" s="255">
        <v>0.10199999999999999</v>
      </c>
      <c r="Y283" s="255">
        <v>0.107</v>
      </c>
      <c r="Z283" s="256">
        <v>0.107</v>
      </c>
      <c r="AA283" s="255">
        <v>0.114</v>
      </c>
      <c r="AB283" s="255">
        <v>0.107</v>
      </c>
      <c r="AC283" s="255">
        <v>0.104</v>
      </c>
      <c r="AD283" s="255">
        <v>0.11</v>
      </c>
      <c r="AE283" s="256">
        <v>0.108</v>
      </c>
      <c r="AF283" s="255">
        <v>0.112</v>
      </c>
      <c r="AG283" s="255">
        <v>0.10299999999999999</v>
      </c>
      <c r="AH283" s="255">
        <v>3.7999999999999999E-2</v>
      </c>
      <c r="AI283" s="255">
        <v>0.105</v>
      </c>
      <c r="AJ283" s="256">
        <v>9.1999999999999998E-2</v>
      </c>
      <c r="AK283" s="255">
        <v>0.105</v>
      </c>
      <c r="AL283" s="255">
        <v>9.8000000000000004E-2</v>
      </c>
      <c r="AM283" s="255">
        <v>8.2000000000000003E-2</v>
      </c>
      <c r="AN283" s="255">
        <v>2.4E-2</v>
      </c>
      <c r="AO283" s="256">
        <v>6.7000000000000004E-2</v>
      </c>
      <c r="AP283" s="255">
        <v>0.09</v>
      </c>
      <c r="AQ283" s="255">
        <v>8.5000000000000006E-2</v>
      </c>
      <c r="AR283" s="255">
        <v>0.09</v>
      </c>
      <c r="AS283" s="255">
        <v>9.0999999999999998E-2</v>
      </c>
      <c r="AT283" s="256">
        <v>8.8999999999999996E-2</v>
      </c>
      <c r="AU283" s="255">
        <v>8.7999999999999995E-2</v>
      </c>
      <c r="AV283" s="255">
        <v>8.6999999999999994E-2</v>
      </c>
      <c r="AW283" s="255">
        <v>8.5999999999999993E-2</v>
      </c>
      <c r="AX283" s="255">
        <v>9.1999999999999998E-2</v>
      </c>
      <c r="AY283" s="256">
        <v>8.7999999999999995E-2</v>
      </c>
      <c r="AZ283" s="255">
        <v>8.7999999999999995E-2</v>
      </c>
      <c r="BA283" s="255">
        <v>9.0999999999999998E-2</v>
      </c>
      <c r="BB283" s="255">
        <v>0.09</v>
      </c>
      <c r="BC283" s="255">
        <v>8.5999999999999993E-2</v>
      </c>
      <c r="BD283" s="256">
        <v>8.8999999999999996E-2</v>
      </c>
      <c r="BE283" s="255">
        <v>9.5000000000000001E-2</v>
      </c>
      <c r="BF283" s="255">
        <v>9.6000000000000002E-2</v>
      </c>
      <c r="BG283" s="255">
        <v>9.6000000000000002E-2</v>
      </c>
      <c r="BH283" s="255">
        <v>9.2999999999999999E-2</v>
      </c>
      <c r="BI283" s="256">
        <v>9.5000000000000001E-2</v>
      </c>
      <c r="BJ283" s="255">
        <v>0.106</v>
      </c>
      <c r="BK283" s="255">
        <v>0.09</v>
      </c>
      <c r="BL283" s="255">
        <v>0.09</v>
      </c>
      <c r="BM283" s="255">
        <v>8.5999999999999993E-2</v>
      </c>
      <c r="BN283" s="256">
        <v>9.2999999999999999E-2</v>
      </c>
      <c r="BO283" s="574">
        <v>8.7999999999999995E-2</v>
      </c>
      <c r="BP283" s="574">
        <v>6.9000000000000006E-2</v>
      </c>
      <c r="BQ283" s="255">
        <v>5.6000000000000001E-2</v>
      </c>
      <c r="BR283" s="255">
        <v>7.6999999999999999E-2</v>
      </c>
      <c r="BS283" s="256">
        <v>7.2999999999999995E-2</v>
      </c>
      <c r="BT283" s="574">
        <v>4.2999999999999997E-2</v>
      </c>
      <c r="BU283" s="255">
        <v>7.3999999999999996E-2</v>
      </c>
      <c r="BV283" s="255">
        <v>7.6999999999999999E-2</v>
      </c>
      <c r="BW283" s="260">
        <v>9.4E-2</v>
      </c>
      <c r="BX283" s="256">
        <v>7.1999999999999995E-2</v>
      </c>
      <c r="BY283" s="1147">
        <v>8.1000000000000003E-2</v>
      </c>
      <c r="BZ283" s="1142">
        <v>0.09</v>
      </c>
      <c r="CA283" s="1142">
        <v>7.1999999999999995E-2</v>
      </c>
      <c r="CB283" s="1142">
        <v>0.03</v>
      </c>
      <c r="CC283" s="1148">
        <v>6.9000000000000006E-2</v>
      </c>
      <c r="CD283" s="1142">
        <v>5.8999999999999997E-2</v>
      </c>
      <c r="CE283" s="1142">
        <v>-0.3</v>
      </c>
      <c r="CF283" s="1142">
        <v>3.3000000000000002E-2</v>
      </c>
      <c r="CG283" s="1142">
        <v>1.7000000000000001E-2</v>
      </c>
      <c r="CH283" s="1368">
        <f>CH282/CH279</f>
        <v>-4.6642802907039808E-2</v>
      </c>
      <c r="CI283" s="260"/>
      <c r="CJ283" s="260"/>
      <c r="CK283" s="260"/>
      <c r="CL283" s="260"/>
      <c r="CM283" s="261"/>
      <c r="CN283" s="260"/>
      <c r="CO283" s="260"/>
      <c r="CP283" s="260"/>
      <c r="CQ283" s="260"/>
      <c r="CR283" s="261"/>
      <c r="CS283" s="260"/>
      <c r="CT283" s="260"/>
      <c r="CU283" s="260"/>
      <c r="CV283" s="260"/>
      <c r="CW283" s="261"/>
      <c r="CX283" s="260"/>
      <c r="CY283" s="260"/>
      <c r="CZ283" s="260"/>
      <c r="DA283" s="260"/>
      <c r="DB283" s="261"/>
      <c r="DC283" s="260"/>
      <c r="DD283" s="260"/>
      <c r="DE283" s="260"/>
      <c r="DF283" s="260"/>
      <c r="DG283" s="260"/>
      <c r="DH283" s="260"/>
      <c r="DI283" s="260"/>
      <c r="DJ283" s="260"/>
    </row>
    <row r="284" spans="1:114" s="725" customFormat="1" ht="11.25" hidden="1" customHeight="1" outlineLevel="1">
      <c r="A284" s="37"/>
      <c r="B284" s="346" t="s">
        <v>310</v>
      </c>
      <c r="C284" s="247"/>
      <c r="D284" s="423">
        <v>49861</v>
      </c>
      <c r="E284" s="248">
        <v>56943</v>
      </c>
      <c r="F284" s="248">
        <v>71931</v>
      </c>
      <c r="G284" s="247">
        <v>21461</v>
      </c>
      <c r="H284" s="247">
        <v>21633</v>
      </c>
      <c r="I284" s="247">
        <v>23318</v>
      </c>
      <c r="J284" s="247">
        <v>24501</v>
      </c>
      <c r="K284" s="449">
        <v>90913</v>
      </c>
      <c r="L284" s="450">
        <v>28484</v>
      </c>
      <c r="M284" s="450">
        <v>28951</v>
      </c>
      <c r="N284" s="450">
        <v>28982</v>
      </c>
      <c r="O284" s="450">
        <v>31801</v>
      </c>
      <c r="P284" s="449">
        <v>118218</v>
      </c>
      <c r="Q284" s="450">
        <v>33242</v>
      </c>
      <c r="R284" s="450">
        <v>34358</v>
      </c>
      <c r="S284" s="450">
        <v>35580</v>
      </c>
      <c r="T284" s="450">
        <v>39090</v>
      </c>
      <c r="U284" s="449">
        <v>140630</v>
      </c>
      <c r="V284" s="450">
        <v>36449</v>
      </c>
      <c r="W284" s="450">
        <v>36143</v>
      </c>
      <c r="X284" s="450">
        <v>37373</v>
      </c>
      <c r="Y284" s="450">
        <v>39736</v>
      </c>
      <c r="Z284" s="449">
        <v>149155</v>
      </c>
      <c r="AA284" s="450">
        <v>39797</v>
      </c>
      <c r="AB284" s="450">
        <v>40483</v>
      </c>
      <c r="AC284" s="450">
        <v>40490</v>
      </c>
      <c r="AD284" s="450">
        <v>43793</v>
      </c>
      <c r="AE284" s="449">
        <v>164563</v>
      </c>
      <c r="AF284" s="450">
        <v>42506</v>
      </c>
      <c r="AG284" s="450">
        <v>47183</v>
      </c>
      <c r="AH284" s="450">
        <v>49535</v>
      </c>
      <c r="AI284" s="450">
        <v>46399</v>
      </c>
      <c r="AJ284" s="449">
        <v>179282</v>
      </c>
      <c r="AK284" s="450">
        <v>48497</v>
      </c>
      <c r="AL284" s="450">
        <v>51982</v>
      </c>
      <c r="AM284" s="450">
        <v>100632</v>
      </c>
      <c r="AN284" s="450">
        <v>112075</v>
      </c>
      <c r="AO284" s="449">
        <v>311122</v>
      </c>
      <c r="AP284" s="450">
        <v>121270</v>
      </c>
      <c r="AQ284" s="450">
        <v>123544</v>
      </c>
      <c r="AR284" s="450">
        <v>128663</v>
      </c>
      <c r="AS284" s="450">
        <v>125873</v>
      </c>
      <c r="AT284" s="449">
        <v>499386</v>
      </c>
      <c r="AU284" s="450">
        <v>135561</v>
      </c>
      <c r="AV284" s="450">
        <v>142447</v>
      </c>
      <c r="AW284" s="450">
        <v>143558</v>
      </c>
      <c r="AX284" s="450">
        <v>144645</v>
      </c>
      <c r="AY284" s="449">
        <v>566211</v>
      </c>
      <c r="AZ284" s="450">
        <v>146706</v>
      </c>
      <c r="BA284" s="450">
        <v>149779</v>
      </c>
      <c r="BB284" s="450">
        <v>147289</v>
      </c>
      <c r="BC284" s="450">
        <v>154026</v>
      </c>
      <c r="BD284" s="449">
        <v>594997</v>
      </c>
      <c r="BE284" s="450">
        <v>158155</v>
      </c>
      <c r="BF284" s="450">
        <v>161376</v>
      </c>
      <c r="BG284" s="450">
        <v>161515</v>
      </c>
      <c r="BH284" s="247">
        <v>171628</v>
      </c>
      <c r="BI284" s="248">
        <v>652674</v>
      </c>
      <c r="BJ284" s="450">
        <v>174354</v>
      </c>
      <c r="BK284" s="450">
        <v>179801</v>
      </c>
      <c r="BL284" s="450">
        <v>182207</v>
      </c>
      <c r="BM284" s="247">
        <v>189196</v>
      </c>
      <c r="BN284" s="248">
        <v>725558</v>
      </c>
      <c r="BO284" s="572">
        <v>190</v>
      </c>
      <c r="BP284" s="572">
        <v>192</v>
      </c>
      <c r="BQ284" s="247">
        <v>193</v>
      </c>
      <c r="BR284" s="247">
        <v>197</v>
      </c>
      <c r="BS284" s="248">
        <v>771</v>
      </c>
      <c r="BT284" s="572">
        <v>297</v>
      </c>
      <c r="BU284" s="450">
        <v>314</v>
      </c>
      <c r="BV284" s="450">
        <v>279</v>
      </c>
      <c r="BW284" s="259">
        <v>291</v>
      </c>
      <c r="BX284" s="248">
        <v>1181</v>
      </c>
      <c r="BY284" s="1143">
        <v>296</v>
      </c>
      <c r="BZ284" s="1141">
        <v>291</v>
      </c>
      <c r="CA284" s="1141">
        <v>288</v>
      </c>
      <c r="CB284" s="1141">
        <v>297</v>
      </c>
      <c r="CC284" s="1145">
        <v>1172</v>
      </c>
      <c r="CD284" s="1141">
        <v>298</v>
      </c>
      <c r="CE284" s="1141">
        <v>276</v>
      </c>
      <c r="CF284" s="1141">
        <v>265</v>
      </c>
      <c r="CG284" s="1141">
        <v>261</v>
      </c>
      <c r="CH284" s="1371">
        <f>SUM(CD284:CG284)</f>
        <v>1100</v>
      </c>
      <c r="CI284" s="259"/>
      <c r="CJ284" s="259"/>
      <c r="CK284" s="259"/>
      <c r="CL284" s="259"/>
      <c r="CM284" s="109"/>
      <c r="CN284" s="259"/>
      <c r="CO284" s="259"/>
      <c r="CP284" s="259"/>
      <c r="CQ284" s="259"/>
      <c r="CR284" s="109"/>
      <c r="CS284" s="259"/>
      <c r="CT284" s="259"/>
      <c r="CU284" s="259"/>
      <c r="CV284" s="259"/>
      <c r="CW284" s="109"/>
      <c r="CX284" s="259"/>
      <c r="CY284" s="259"/>
      <c r="CZ284" s="259"/>
      <c r="DA284" s="259"/>
      <c r="DB284" s="109"/>
      <c r="DC284" s="259"/>
      <c r="DD284" s="259"/>
      <c r="DE284" s="259"/>
      <c r="DF284" s="259"/>
      <c r="DG284" s="259"/>
      <c r="DH284" s="259"/>
      <c r="DI284" s="259"/>
      <c r="DJ284" s="259"/>
    </row>
    <row r="285" spans="1:114" s="725" customFormat="1" ht="11.25" hidden="1" customHeight="1" outlineLevel="1">
      <c r="A285" s="37"/>
      <c r="B285" s="346" t="s">
        <v>381</v>
      </c>
      <c r="C285" s="366"/>
      <c r="D285" s="426">
        <v>0</v>
      </c>
      <c r="E285" s="365">
        <v>0</v>
      </c>
      <c r="F285" s="365">
        <v>0</v>
      </c>
      <c r="G285" s="366">
        <v>0</v>
      </c>
      <c r="H285" s="366">
        <v>0</v>
      </c>
      <c r="I285" s="366">
        <v>0</v>
      </c>
      <c r="J285" s="366">
        <v>0</v>
      </c>
      <c r="K285" s="449">
        <v>0</v>
      </c>
      <c r="L285" s="450">
        <v>-761</v>
      </c>
      <c r="M285" s="450">
        <v>-755</v>
      </c>
      <c r="N285" s="450">
        <v>-345</v>
      </c>
      <c r="O285" s="450">
        <v>-375</v>
      </c>
      <c r="P285" s="449">
        <v>-2236</v>
      </c>
      <c r="Q285" s="450">
        <v>-372</v>
      </c>
      <c r="R285" s="450">
        <v>-680</v>
      </c>
      <c r="S285" s="450">
        <v>-651</v>
      </c>
      <c r="T285" s="450">
        <v>-284</v>
      </c>
      <c r="U285" s="449">
        <v>-1987</v>
      </c>
      <c r="V285" s="450">
        <v>-373</v>
      </c>
      <c r="W285" s="450">
        <v>-768</v>
      </c>
      <c r="X285" s="450">
        <v>-341</v>
      </c>
      <c r="Y285" s="450">
        <v>-799</v>
      </c>
      <c r="Z285" s="449">
        <v>-2494</v>
      </c>
      <c r="AA285" s="450">
        <v>887</v>
      </c>
      <c r="AB285" s="450">
        <v>1117</v>
      </c>
      <c r="AC285" s="450">
        <v>715</v>
      </c>
      <c r="AD285" s="450">
        <v>385</v>
      </c>
      <c r="AE285" s="449">
        <v>3104</v>
      </c>
      <c r="AF285" s="450">
        <v>613</v>
      </c>
      <c r="AG285" s="450">
        <v>455</v>
      </c>
      <c r="AH285" s="450">
        <v>601</v>
      </c>
      <c r="AI285" s="450">
        <v>0</v>
      </c>
      <c r="AJ285" s="449">
        <v>0</v>
      </c>
      <c r="AK285" s="450">
        <v>0</v>
      </c>
      <c r="AL285" s="450">
        <v>0</v>
      </c>
      <c r="AM285" s="450">
        <v>14284</v>
      </c>
      <c r="AN285" s="450">
        <v>10848</v>
      </c>
      <c r="AO285" s="449">
        <v>25132</v>
      </c>
      <c r="AP285" s="450">
        <v>12884</v>
      </c>
      <c r="AQ285" s="450">
        <v>-10499</v>
      </c>
      <c r="AR285" s="450">
        <v>-8695</v>
      </c>
      <c r="AS285" s="450">
        <v>-9985</v>
      </c>
      <c r="AT285" s="449">
        <v>-42063</v>
      </c>
      <c r="AU285" s="450">
        <v>-12917</v>
      </c>
      <c r="AV285" s="450">
        <v>-11783</v>
      </c>
      <c r="AW285" s="450">
        <v>-7001</v>
      </c>
      <c r="AX285" s="450">
        <v>-4820</v>
      </c>
      <c r="AY285" s="449">
        <v>-36521</v>
      </c>
      <c r="AZ285" s="450">
        <v>-12588</v>
      </c>
      <c r="BA285" s="450">
        <v>-10980</v>
      </c>
      <c r="BB285" s="450">
        <v>9538</v>
      </c>
      <c r="BC285" s="450">
        <v>-12335</v>
      </c>
      <c r="BD285" s="449">
        <v>-45443</v>
      </c>
      <c r="BE285" s="450">
        <v>-18134</v>
      </c>
      <c r="BF285" s="450">
        <v>-12017</v>
      </c>
      <c r="BG285" s="450">
        <v>-8194</v>
      </c>
      <c r="BH285" s="247">
        <v>-11146</v>
      </c>
      <c r="BI285" s="248">
        <v>-49491</v>
      </c>
      <c r="BJ285" s="450">
        <v>-12013</v>
      </c>
      <c r="BK285" s="450">
        <v>-13181</v>
      </c>
      <c r="BL285" s="450">
        <v>-7419</v>
      </c>
      <c r="BM285" s="247">
        <v>-9420</v>
      </c>
      <c r="BN285" s="248">
        <v>-42033</v>
      </c>
      <c r="BO285" s="572">
        <v>-16</v>
      </c>
      <c r="BP285" s="572">
        <v>-9</v>
      </c>
      <c r="BQ285" s="247">
        <v>-12</v>
      </c>
      <c r="BR285" s="247">
        <v>-6</v>
      </c>
      <c r="BS285" s="248">
        <v>-43</v>
      </c>
      <c r="BT285" s="572">
        <v>-11</v>
      </c>
      <c r="BU285" s="450">
        <v>-12</v>
      </c>
      <c r="BV285" s="450">
        <v>-12</v>
      </c>
      <c r="BW285" s="259">
        <v>-14</v>
      </c>
      <c r="BX285" s="248">
        <v>-48</v>
      </c>
      <c r="BY285" s="1143">
        <v>-18</v>
      </c>
      <c r="BZ285" s="1141">
        <v>-21</v>
      </c>
      <c r="CA285" s="1141">
        <v>-12</v>
      </c>
      <c r="CB285" s="1141">
        <v>-12</v>
      </c>
      <c r="CC285" s="1145">
        <v>-63</v>
      </c>
      <c r="CD285" s="1141">
        <v>-20</v>
      </c>
      <c r="CE285" s="1141">
        <v>-14</v>
      </c>
      <c r="CF285" s="1141">
        <v>-4</v>
      </c>
      <c r="CG285" s="1141">
        <v>-5</v>
      </c>
      <c r="CH285" s="1369">
        <v>-43</v>
      </c>
      <c r="CI285" s="259"/>
      <c r="CJ285" s="259"/>
      <c r="CK285" s="259"/>
      <c r="CL285" s="259"/>
      <c r="CM285" s="109"/>
      <c r="CN285" s="259"/>
      <c r="CO285" s="259"/>
      <c r="CP285" s="259"/>
      <c r="CQ285" s="259"/>
      <c r="CR285" s="109"/>
      <c r="CS285" s="259"/>
      <c r="CT285" s="259"/>
      <c r="CU285" s="259"/>
      <c r="CV285" s="259"/>
      <c r="CW285" s="109"/>
      <c r="CX285" s="259"/>
      <c r="CY285" s="259"/>
      <c r="CZ285" s="259"/>
      <c r="DA285" s="259"/>
      <c r="DB285" s="109"/>
      <c r="DC285" s="259"/>
      <c r="DD285" s="259"/>
      <c r="DE285" s="259"/>
      <c r="DF285" s="259"/>
      <c r="DG285" s="259"/>
      <c r="DH285" s="259"/>
      <c r="DI285" s="259"/>
      <c r="DJ285" s="259"/>
    </row>
    <row r="286" spans="1:114" s="725" customFormat="1" ht="11.25" hidden="1" customHeight="1" outlineLevel="1">
      <c r="A286" s="37"/>
      <c r="B286" s="346" t="s">
        <v>0</v>
      </c>
      <c r="C286" s="368"/>
      <c r="D286" s="427">
        <v>166390</v>
      </c>
      <c r="E286" s="367" t="s">
        <v>309</v>
      </c>
      <c r="F286" s="367" t="s">
        <v>309</v>
      </c>
      <c r="G286" s="368" t="s">
        <v>309</v>
      </c>
      <c r="H286" s="368" t="s">
        <v>309</v>
      </c>
      <c r="I286" s="368" t="s">
        <v>309</v>
      </c>
      <c r="J286" s="368" t="s">
        <v>309</v>
      </c>
      <c r="K286" s="451" t="s">
        <v>309</v>
      </c>
      <c r="L286" s="452" t="s">
        <v>309</v>
      </c>
      <c r="M286" s="452" t="s">
        <v>309</v>
      </c>
      <c r="N286" s="452" t="s">
        <v>309</v>
      </c>
      <c r="O286" s="450">
        <v>94730</v>
      </c>
      <c r="P286" s="449">
        <v>361964</v>
      </c>
      <c r="Q286" s="450">
        <v>106574</v>
      </c>
      <c r="R286" s="450">
        <v>102733</v>
      </c>
      <c r="S286" s="450">
        <v>107298</v>
      </c>
      <c r="T286" s="450">
        <v>118590</v>
      </c>
      <c r="U286" s="449">
        <v>433975</v>
      </c>
      <c r="V286" s="450">
        <v>123580</v>
      </c>
      <c r="W286" s="450">
        <v>118826</v>
      </c>
      <c r="X286" s="450">
        <v>120553</v>
      </c>
      <c r="Y286" s="450">
        <v>130570</v>
      </c>
      <c r="Z286" s="449">
        <v>494121</v>
      </c>
      <c r="AA286" s="450">
        <v>143782</v>
      </c>
      <c r="AB286" s="450">
        <v>140152</v>
      </c>
      <c r="AC286" s="450">
        <v>137497</v>
      </c>
      <c r="AD286" s="450">
        <v>151769</v>
      </c>
      <c r="AE286" s="449">
        <v>573200</v>
      </c>
      <c r="AF286" s="450">
        <v>158458</v>
      </c>
      <c r="AG286" s="450">
        <v>156744</v>
      </c>
      <c r="AH286" s="450">
        <v>92482</v>
      </c>
      <c r="AI286" s="450">
        <v>162797</v>
      </c>
      <c r="AJ286" s="449">
        <v>564339</v>
      </c>
      <c r="AK286" s="450">
        <v>170244</v>
      </c>
      <c r="AL286" s="450">
        <v>168905</v>
      </c>
      <c r="AM286" s="450">
        <v>299825</v>
      </c>
      <c r="AN286" s="450">
        <v>181101</v>
      </c>
      <c r="AO286" s="449">
        <v>814980</v>
      </c>
      <c r="AP286" s="450">
        <v>377500</v>
      </c>
      <c r="AQ286" s="450">
        <v>362488</v>
      </c>
      <c r="AR286" s="450">
        <v>385751</v>
      </c>
      <c r="AS286" s="450">
        <v>389635</v>
      </c>
      <c r="AT286" s="449">
        <v>1513329</v>
      </c>
      <c r="AU286" s="450">
        <v>403516</v>
      </c>
      <c r="AV286" s="450">
        <v>415633</v>
      </c>
      <c r="AW286" s="450">
        <v>417827</v>
      </c>
      <c r="AX286" s="450">
        <v>434421</v>
      </c>
      <c r="AY286" s="449">
        <v>1671397</v>
      </c>
      <c r="AZ286" s="450">
        <v>434540</v>
      </c>
      <c r="BA286" s="450">
        <v>441678</v>
      </c>
      <c r="BB286" s="450">
        <v>441485</v>
      </c>
      <c r="BC286" s="450">
        <v>451089</v>
      </c>
      <c r="BD286" s="449">
        <v>1761484</v>
      </c>
      <c r="BE286" s="450">
        <v>457070</v>
      </c>
      <c r="BF286" s="450">
        <v>462301</v>
      </c>
      <c r="BG286" s="450">
        <v>453512</v>
      </c>
      <c r="BH286" s="247">
        <v>463767</v>
      </c>
      <c r="BI286" s="248">
        <v>1836650</v>
      </c>
      <c r="BJ286" s="450">
        <v>535495</v>
      </c>
      <c r="BK286" s="450">
        <v>483094</v>
      </c>
      <c r="BL286" s="450">
        <v>477254</v>
      </c>
      <c r="BM286" s="247">
        <v>481872</v>
      </c>
      <c r="BN286" s="248">
        <v>1977715</v>
      </c>
      <c r="BO286" s="572">
        <v>495</v>
      </c>
      <c r="BP286" s="572">
        <v>420</v>
      </c>
      <c r="BQ286" s="247">
        <v>382</v>
      </c>
      <c r="BR286" s="247">
        <v>459</v>
      </c>
      <c r="BS286" s="248">
        <v>1860</v>
      </c>
      <c r="BT286" s="572">
        <v>543</v>
      </c>
      <c r="BU286" s="450">
        <v>700</v>
      </c>
      <c r="BV286" s="450">
        <v>750</v>
      </c>
      <c r="BW286" s="259">
        <v>785</v>
      </c>
      <c r="BX286" s="248">
        <v>2777</v>
      </c>
      <c r="BY286" s="1143">
        <v>715</v>
      </c>
      <c r="BZ286" s="1141">
        <v>769</v>
      </c>
      <c r="CA286" s="1141">
        <v>661</v>
      </c>
      <c r="CB286" s="1141">
        <v>527</v>
      </c>
      <c r="CC286" s="1145">
        <v>2670</v>
      </c>
      <c r="CD286" s="1141">
        <v>633</v>
      </c>
      <c r="CE286" s="1141">
        <v>563</v>
      </c>
      <c r="CF286" s="1141">
        <v>465</v>
      </c>
      <c r="CG286" s="1141">
        <v>-220</v>
      </c>
      <c r="CH286" s="1369">
        <v>2225</v>
      </c>
      <c r="CI286" s="259"/>
      <c r="CJ286" s="259"/>
      <c r="CK286" s="259"/>
      <c r="CL286" s="259"/>
      <c r="CM286" s="109"/>
      <c r="CN286" s="259"/>
      <c r="CO286" s="259"/>
      <c r="CP286" s="259"/>
      <c r="CQ286" s="259"/>
      <c r="CR286" s="109"/>
      <c r="CS286" s="259"/>
      <c r="CT286" s="259"/>
      <c r="CU286" s="259"/>
      <c r="CV286" s="259"/>
      <c r="CW286" s="109"/>
      <c r="CX286" s="259"/>
      <c r="CY286" s="259"/>
      <c r="CZ286" s="259"/>
      <c r="DA286" s="259"/>
      <c r="DB286" s="109"/>
      <c r="DC286" s="259"/>
      <c r="DD286" s="259"/>
      <c r="DE286" s="259"/>
      <c r="DF286" s="259"/>
      <c r="DG286" s="259"/>
      <c r="DH286" s="259"/>
      <c r="DI286" s="259"/>
      <c r="DJ286" s="259"/>
    </row>
    <row r="287" spans="1:114" s="725" customFormat="1" ht="11.25" hidden="1" customHeight="1" outlineLevel="1">
      <c r="A287" s="37"/>
      <c r="B287" s="346" t="s">
        <v>1</v>
      </c>
      <c r="C287" s="255"/>
      <c r="D287" s="425">
        <v>0.19500000000000001</v>
      </c>
      <c r="E287" s="256">
        <v>0.189</v>
      </c>
      <c r="F287" s="256">
        <v>0.189</v>
      </c>
      <c r="G287" s="255">
        <v>0.19400000000000001</v>
      </c>
      <c r="H287" s="255">
        <v>0.184</v>
      </c>
      <c r="I287" s="255">
        <v>0.17799999999999999</v>
      </c>
      <c r="J287" s="255">
        <v>0.17499999999999999</v>
      </c>
      <c r="K287" s="256">
        <v>0.182</v>
      </c>
      <c r="L287" s="255">
        <v>0.17299999999999999</v>
      </c>
      <c r="M287" s="255">
        <v>0.16500000000000001</v>
      </c>
      <c r="N287" s="255">
        <v>0.158</v>
      </c>
      <c r="O287" s="255">
        <v>0.16200000000000001</v>
      </c>
      <c r="P287" s="256">
        <v>0.16400000000000001</v>
      </c>
      <c r="Q287" s="255">
        <v>0.16200000000000001</v>
      </c>
      <c r="R287" s="255">
        <v>0.156</v>
      </c>
      <c r="S287" s="255">
        <v>0.151</v>
      </c>
      <c r="T287" s="255">
        <v>0.151</v>
      </c>
      <c r="U287" s="256">
        <v>0.155</v>
      </c>
      <c r="V287" s="255">
        <v>0.157</v>
      </c>
      <c r="W287" s="255">
        <v>0.154</v>
      </c>
      <c r="X287" s="255">
        <v>0.14799999999999999</v>
      </c>
      <c r="Y287" s="255">
        <v>0.155</v>
      </c>
      <c r="Z287" s="256">
        <v>0.154</v>
      </c>
      <c r="AA287" s="255">
        <v>0.158</v>
      </c>
      <c r="AB287" s="255">
        <v>0.153</v>
      </c>
      <c r="AC287" s="255">
        <v>0.14799999999999999</v>
      </c>
      <c r="AD287" s="255">
        <v>0.155</v>
      </c>
      <c r="AE287" s="256">
        <v>0.153</v>
      </c>
      <c r="AF287" s="255">
        <v>0.154</v>
      </c>
      <c r="AG287" s="255">
        <v>0.14799999999999999</v>
      </c>
      <c r="AH287" s="255">
        <v>8.3000000000000004E-2</v>
      </c>
      <c r="AI287" s="255">
        <v>0.14699999999999999</v>
      </c>
      <c r="AJ287" s="256">
        <v>0.13500000000000001</v>
      </c>
      <c r="AK287" s="255">
        <v>0.14699999999999999</v>
      </c>
      <c r="AL287" s="255">
        <v>0.14099999999999999</v>
      </c>
      <c r="AM287" s="255">
        <v>0.13300000000000001</v>
      </c>
      <c r="AN287" s="255">
        <v>7.2999999999999995E-2</v>
      </c>
      <c r="AO287" s="256">
        <v>0.115</v>
      </c>
      <c r="AP287" s="255">
        <v>0.14000000000000001</v>
      </c>
      <c r="AQ287" s="255">
        <v>0.13600000000000001</v>
      </c>
      <c r="AR287" s="255">
        <v>0.14000000000000001</v>
      </c>
      <c r="AS287" s="255">
        <v>0.14000000000000001</v>
      </c>
      <c r="AT287" s="256">
        <v>0.13900000000000001</v>
      </c>
      <c r="AU287" s="255">
        <v>0.13900000000000001</v>
      </c>
      <c r="AV287" s="255">
        <v>0.13800000000000001</v>
      </c>
      <c r="AW287" s="255">
        <v>0.13500000000000001</v>
      </c>
      <c r="AX287" s="255">
        <v>0.14099999999999999</v>
      </c>
      <c r="AY287" s="256">
        <v>0.13800000000000001</v>
      </c>
      <c r="AZ287" s="255">
        <v>0.13900000000000001</v>
      </c>
      <c r="BA287" s="255">
        <v>0.14299999999999999</v>
      </c>
      <c r="BB287" s="255">
        <v>0.14000000000000001</v>
      </c>
      <c r="BC287" s="255">
        <v>0.13600000000000001</v>
      </c>
      <c r="BD287" s="256">
        <v>0.14000000000000001</v>
      </c>
      <c r="BE287" s="255">
        <v>0.155</v>
      </c>
      <c r="BF287" s="255">
        <v>0.154</v>
      </c>
      <c r="BG287" s="255">
        <v>0.154</v>
      </c>
      <c r="BH287" s="255">
        <v>0.154</v>
      </c>
      <c r="BI287" s="256">
        <v>0.154</v>
      </c>
      <c r="BJ287" s="255">
        <v>0.16200000000000001</v>
      </c>
      <c r="BK287" s="255">
        <v>0.14899999999999999</v>
      </c>
      <c r="BL287" s="255">
        <v>0.14899999999999999</v>
      </c>
      <c r="BM287" s="255">
        <v>0.14699999999999999</v>
      </c>
      <c r="BN287" s="256">
        <v>0.152</v>
      </c>
      <c r="BO287" s="574">
        <v>0.151</v>
      </c>
      <c r="BP287" s="574">
        <v>0.13200000000000001</v>
      </c>
      <c r="BQ287" s="255">
        <v>0.12</v>
      </c>
      <c r="BR287" s="255">
        <v>0.14399999999999999</v>
      </c>
      <c r="BS287" s="256">
        <v>0.14499999999999999</v>
      </c>
      <c r="BT287" s="574">
        <v>0.13</v>
      </c>
      <c r="BU287" s="255">
        <v>0.14699999999999999</v>
      </c>
      <c r="BV287" s="255">
        <v>0.157</v>
      </c>
      <c r="BW287" s="260">
        <v>0.16</v>
      </c>
      <c r="BX287" s="256">
        <v>0.14899999999999999</v>
      </c>
      <c r="BY287" s="1147">
        <v>0.14599999999999999</v>
      </c>
      <c r="BZ287" s="1142">
        <v>0.158</v>
      </c>
      <c r="CA287" s="1142">
        <v>0.13600000000000001</v>
      </c>
      <c r="CB287" s="1142">
        <v>0.11</v>
      </c>
      <c r="CC287" s="1148">
        <v>0.13700000000000001</v>
      </c>
      <c r="CD287" s="1142">
        <v>0.127</v>
      </c>
      <c r="CE287" s="1142">
        <v>0.123</v>
      </c>
      <c r="CF287" s="1142">
        <v>0.106</v>
      </c>
      <c r="CG287" s="1142">
        <v>0.126</v>
      </c>
      <c r="CH287" s="1368">
        <f>CH286/CH279</f>
        <v>0.12067469356763207</v>
      </c>
      <c r="CI287" s="260"/>
      <c r="CJ287" s="260"/>
      <c r="CK287" s="260"/>
      <c r="CL287" s="260"/>
      <c r="CM287" s="261"/>
      <c r="CN287" s="260"/>
      <c r="CO287" s="260"/>
      <c r="CP287" s="260"/>
      <c r="CQ287" s="260"/>
      <c r="CR287" s="261"/>
      <c r="CS287" s="260"/>
      <c r="CT287" s="260"/>
      <c r="CU287" s="260"/>
      <c r="CV287" s="260"/>
      <c r="CW287" s="261"/>
      <c r="CX287" s="260"/>
      <c r="CY287" s="260"/>
      <c r="CZ287" s="260"/>
      <c r="DA287" s="260"/>
      <c r="DB287" s="261"/>
      <c r="DC287" s="260"/>
      <c r="DD287" s="260"/>
      <c r="DE287" s="260"/>
      <c r="DF287" s="260"/>
      <c r="DG287" s="260"/>
      <c r="DH287" s="260"/>
      <c r="DI287" s="260"/>
      <c r="DJ287" s="260"/>
    </row>
    <row r="288" spans="1:114" s="725" customFormat="1" ht="11.25" hidden="1" customHeight="1" outlineLevel="1">
      <c r="A288" s="37"/>
      <c r="B288" s="346" t="s">
        <v>2</v>
      </c>
      <c r="C288" s="247"/>
      <c r="D288" s="423">
        <v>15719</v>
      </c>
      <c r="E288" s="248">
        <v>-11746</v>
      </c>
      <c r="F288" s="248">
        <v>25080</v>
      </c>
      <c r="G288" s="247">
        <v>31555</v>
      </c>
      <c r="H288" s="247">
        <f>95745-G288</f>
        <v>64190</v>
      </c>
      <c r="I288" s="247">
        <f>114066-SUM(G288:H288)</f>
        <v>18321</v>
      </c>
      <c r="J288" s="247">
        <f>154387-SUM(G288:I288)</f>
        <v>40321</v>
      </c>
      <c r="K288" s="449">
        <v>154387</v>
      </c>
      <c r="L288" s="450">
        <v>48859</v>
      </c>
      <c r="M288" s="450">
        <f>135755-L288</f>
        <v>86896</v>
      </c>
      <c r="N288" s="450">
        <f>196856-L288-M288</f>
        <v>61101</v>
      </c>
      <c r="O288" s="450">
        <v>88643</v>
      </c>
      <c r="P288" s="449">
        <v>285499</v>
      </c>
      <c r="Q288" s="450">
        <v>8510</v>
      </c>
      <c r="R288" s="450">
        <v>142781</v>
      </c>
      <c r="S288" s="450">
        <v>47065</v>
      </c>
      <c r="T288" s="450">
        <v>45348</v>
      </c>
      <c r="U288" s="449">
        <v>243704</v>
      </c>
      <c r="V288" s="450">
        <v>61731</v>
      </c>
      <c r="W288" s="450">
        <v>144254</v>
      </c>
      <c r="X288" s="450">
        <v>57189</v>
      </c>
      <c r="Y288" s="450">
        <v>62576</v>
      </c>
      <c r="Z288" s="449">
        <v>325750</v>
      </c>
      <c r="AA288" s="450">
        <v>148709</v>
      </c>
      <c r="AB288" s="450">
        <v>127686</v>
      </c>
      <c r="AC288" s="450">
        <v>59367</v>
      </c>
      <c r="AD288" s="450">
        <v>75286</v>
      </c>
      <c r="AE288" s="449">
        <v>411049</v>
      </c>
      <c r="AF288" s="450">
        <v>90814</v>
      </c>
      <c r="AG288" s="450">
        <v>116232</v>
      </c>
      <c r="AH288" s="450">
        <v>61005</v>
      </c>
      <c r="AI288" s="450">
        <v>82204</v>
      </c>
      <c r="AJ288" s="449">
        <v>350255</v>
      </c>
      <c r="AK288" s="450">
        <v>120347</v>
      </c>
      <c r="AL288" s="450">
        <v>95641</v>
      </c>
      <c r="AM288" s="450">
        <v>188662</v>
      </c>
      <c r="AN288" s="450">
        <v>283088</v>
      </c>
      <c r="AO288" s="449">
        <v>687738</v>
      </c>
      <c r="AP288" s="450">
        <v>55133</v>
      </c>
      <c r="AQ288" s="450">
        <v>361650</v>
      </c>
      <c r="AR288" s="450">
        <v>268273</v>
      </c>
      <c r="AS288" s="450">
        <v>372225</v>
      </c>
      <c r="AT288" s="449">
        <v>1056581</v>
      </c>
      <c r="AU288" s="450">
        <v>259427</v>
      </c>
      <c r="AV288" s="450">
        <v>284980</v>
      </c>
      <c r="AW288" s="450">
        <v>356353</v>
      </c>
      <c r="AX288" s="450">
        <v>175669</v>
      </c>
      <c r="AY288" s="449">
        <v>1076429</v>
      </c>
      <c r="AZ288" s="450">
        <v>299360</v>
      </c>
      <c r="BA288" s="450">
        <v>242432</v>
      </c>
      <c r="BB288" s="450">
        <v>356585</v>
      </c>
      <c r="BC288" s="450">
        <v>290353</v>
      </c>
      <c r="BD288" s="449">
        <v>1188730</v>
      </c>
      <c r="BE288" s="450">
        <v>187511</v>
      </c>
      <c r="BF288" s="450">
        <v>397174</v>
      </c>
      <c r="BG288" s="450">
        <v>235550</v>
      </c>
      <c r="BH288" s="247">
        <v>441673</v>
      </c>
      <c r="BI288" s="248">
        <v>1261908</v>
      </c>
      <c r="BJ288" s="450">
        <v>187310</v>
      </c>
      <c r="BK288" s="450">
        <v>295617</v>
      </c>
      <c r="BL288" s="450">
        <v>294938</v>
      </c>
      <c r="BM288" s="247">
        <v>502255</v>
      </c>
      <c r="BN288" s="248">
        <v>1280120</v>
      </c>
      <c r="BO288" s="572">
        <v>57</v>
      </c>
      <c r="BP288" s="572">
        <v>252</v>
      </c>
      <c r="BQ288" s="247">
        <v>132</v>
      </c>
      <c r="BR288" s="247">
        <v>648</v>
      </c>
      <c r="BS288" s="248">
        <v>1089</v>
      </c>
      <c r="BT288" s="572">
        <v>65</v>
      </c>
      <c r="BU288" s="450">
        <v>449</v>
      </c>
      <c r="BV288" s="450">
        <v>126</v>
      </c>
      <c r="BW288" s="259">
        <v>976</v>
      </c>
      <c r="BX288" s="248">
        <v>1615</v>
      </c>
      <c r="BY288" s="1143">
        <v>-61</v>
      </c>
      <c r="BZ288" s="1141">
        <v>565</v>
      </c>
      <c r="CA288" s="1141">
        <v>111</v>
      </c>
      <c r="CB288" s="1141">
        <v>306</v>
      </c>
      <c r="CC288" s="1145">
        <v>921</v>
      </c>
      <c r="CD288" s="1141">
        <v>294</v>
      </c>
      <c r="CE288" s="1141">
        <v>338</v>
      </c>
      <c r="CF288" s="1141">
        <v>178</v>
      </c>
      <c r="CG288" s="1141">
        <v>327</v>
      </c>
      <c r="CH288" s="1371">
        <f>SUM(CD288:CG288)</f>
        <v>1137</v>
      </c>
      <c r="CI288" s="259"/>
      <c r="CJ288" s="259"/>
      <c r="CK288" s="259"/>
      <c r="CL288" s="259"/>
      <c r="CM288" s="109"/>
      <c r="CN288" s="259"/>
      <c r="CO288" s="259"/>
      <c r="CP288" s="259"/>
      <c r="CQ288" s="259"/>
      <c r="CR288" s="109"/>
      <c r="CS288" s="259"/>
      <c r="CT288" s="259"/>
      <c r="CU288" s="259"/>
      <c r="CV288" s="259"/>
      <c r="CW288" s="109"/>
      <c r="CX288" s="259"/>
      <c r="CY288" s="259"/>
      <c r="CZ288" s="259"/>
      <c r="DA288" s="259"/>
      <c r="DB288" s="109"/>
      <c r="DC288" s="259"/>
      <c r="DD288" s="259"/>
      <c r="DE288" s="259"/>
      <c r="DF288" s="259"/>
      <c r="DG288" s="259"/>
      <c r="DH288" s="259"/>
      <c r="DI288" s="259"/>
      <c r="DJ288" s="259"/>
    </row>
    <row r="289" spans="1:114" s="725" customFormat="1" ht="11.25" hidden="1" customHeight="1" outlineLevel="1">
      <c r="A289" s="37"/>
      <c r="B289" s="344" t="s">
        <v>5</v>
      </c>
      <c r="C289" s="257"/>
      <c r="D289" s="111">
        <f>D288/D279</f>
        <v>1.8393830887687521E-2</v>
      </c>
      <c r="E289" s="110">
        <f t="shared" ref="E289:K289" si="554">E288/E279</f>
        <v>-1.0876399250708133E-2</v>
      </c>
      <c r="F289" s="110">
        <f t="shared" si="554"/>
        <v>1.8751387849429646E-2</v>
      </c>
      <c r="G289" s="257">
        <f t="shared" si="554"/>
        <v>7.9155639729583963E-2</v>
      </c>
      <c r="H289" s="257">
        <f t="shared" si="554"/>
        <v>0.16011114741749374</v>
      </c>
      <c r="I289" s="257">
        <f t="shared" si="554"/>
        <v>4.3980709078207933E-2</v>
      </c>
      <c r="J289" s="257">
        <f t="shared" si="554"/>
        <v>8.4441531134948122E-2</v>
      </c>
      <c r="K289" s="110">
        <f t="shared" si="554"/>
        <v>9.1157723817255884E-2</v>
      </c>
      <c r="L289" s="257">
        <f>L288/L279</f>
        <v>9.1578744149692887E-2</v>
      </c>
      <c r="M289" s="257">
        <f>M288/M279</f>
        <v>0.16377487362933532</v>
      </c>
      <c r="N289" s="257">
        <f>N288/N279</f>
        <v>0.11052183177441616</v>
      </c>
      <c r="O289" s="255">
        <v>0.152</v>
      </c>
      <c r="P289" s="256">
        <v>0.13</v>
      </c>
      <c r="Q289" s="255">
        <v>1.2999999999999999E-2</v>
      </c>
      <c r="R289" s="255">
        <v>0.217</v>
      </c>
      <c r="S289" s="255">
        <v>6.6000000000000003E-2</v>
      </c>
      <c r="T289" s="255">
        <v>5.8000000000000003E-2</v>
      </c>
      <c r="U289" s="256">
        <v>8.6999999999999994E-2</v>
      </c>
      <c r="V289" s="255">
        <v>7.8E-2</v>
      </c>
      <c r="W289" s="255">
        <v>0.187</v>
      </c>
      <c r="X289" s="255">
        <v>7.0000000000000007E-2</v>
      </c>
      <c r="Y289" s="255">
        <v>7.3999999999999996E-2</v>
      </c>
      <c r="Z289" s="256">
        <v>0.10199999999999999</v>
      </c>
      <c r="AA289" s="255">
        <v>0.16400000000000001</v>
      </c>
      <c r="AB289" s="255">
        <v>0.13900000000000001</v>
      </c>
      <c r="AC289" s="255">
        <v>6.4000000000000001E-2</v>
      </c>
      <c r="AD289" s="255">
        <v>7.6999999999999999E-2</v>
      </c>
      <c r="AE289" s="256">
        <v>0.11</v>
      </c>
      <c r="AF289" s="255">
        <v>8.7999999999999995E-2</v>
      </c>
      <c r="AG289" s="255">
        <v>0.11</v>
      </c>
      <c r="AH289" s="255">
        <v>5.5E-2</v>
      </c>
      <c r="AI289" s="255">
        <v>7.3999999999999996E-2</v>
      </c>
      <c r="AJ289" s="256">
        <v>8.4000000000000005E-2</v>
      </c>
      <c r="AK289" s="255">
        <v>0.104</v>
      </c>
      <c r="AL289" s="255">
        <v>0.08</v>
      </c>
      <c r="AM289" s="255">
        <v>8.4000000000000005E-2</v>
      </c>
      <c r="AN289" s="255">
        <v>0.114</v>
      </c>
      <c r="AO289" s="256">
        <v>9.7000000000000003E-2</v>
      </c>
      <c r="AP289" s="255">
        <v>2.1000000000000001E-2</v>
      </c>
      <c r="AQ289" s="255">
        <v>0.13500000000000001</v>
      </c>
      <c r="AR289" s="255">
        <v>9.7000000000000003E-2</v>
      </c>
      <c r="AS289" s="255">
        <v>0.13400000000000001</v>
      </c>
      <c r="AT289" s="256">
        <v>9.7000000000000003E-2</v>
      </c>
      <c r="AU289" s="255">
        <v>8.8999999999999996E-2</v>
      </c>
      <c r="AV289" s="255">
        <v>9.4E-2</v>
      </c>
      <c r="AW289" s="255">
        <v>0.115</v>
      </c>
      <c r="AX289" s="255">
        <v>5.7000000000000002E-2</v>
      </c>
      <c r="AY289" s="256">
        <v>8.8999999999999996E-2</v>
      </c>
      <c r="AZ289" s="255">
        <v>9.6000000000000002E-2</v>
      </c>
      <c r="BA289" s="255">
        <v>7.9000000000000001E-2</v>
      </c>
      <c r="BB289" s="255">
        <v>0.113</v>
      </c>
      <c r="BC289" s="255">
        <v>8.7999999999999995E-2</v>
      </c>
      <c r="BD289" s="256">
        <v>9.4E-2</v>
      </c>
      <c r="BE289" s="255">
        <v>6.3E-2</v>
      </c>
      <c r="BF289" s="255">
        <v>0.13200000000000001</v>
      </c>
      <c r="BG289" s="255">
        <v>0.08</v>
      </c>
      <c r="BH289" s="255">
        <v>0.14699999999999999</v>
      </c>
      <c r="BI289" s="256">
        <v>0.106</v>
      </c>
      <c r="BJ289" s="255">
        <v>5.7000000000000002E-2</v>
      </c>
      <c r="BK289" s="255">
        <v>9.0999999999999998E-2</v>
      </c>
      <c r="BL289" s="255">
        <v>9.1999999999999998E-2</v>
      </c>
      <c r="BM289" s="255">
        <v>0.153</v>
      </c>
      <c r="BN289" s="256">
        <v>9.8000000000000004E-2</v>
      </c>
      <c r="BO289" s="574">
        <v>1.7000000000000001E-2</v>
      </c>
      <c r="BP289" s="574">
        <v>7.9000000000000001E-2</v>
      </c>
      <c r="BQ289" s="255">
        <v>4.2000000000000003E-2</v>
      </c>
      <c r="BR289" s="255">
        <v>0.20300000000000001</v>
      </c>
      <c r="BS289" s="256">
        <v>8.5000000000000006E-2</v>
      </c>
      <c r="BT289" s="574">
        <v>1.6E-2</v>
      </c>
      <c r="BU289" s="255">
        <v>9.4E-2</v>
      </c>
      <c r="BV289" s="255">
        <v>2.5999999999999999E-2</v>
      </c>
      <c r="BW289" s="260">
        <v>0.19800000000000001</v>
      </c>
      <c r="BX289" s="256">
        <v>8.6999999999999994E-2</v>
      </c>
      <c r="BY289" s="1147">
        <v>-1.2E-2</v>
      </c>
      <c r="BZ289" s="1142">
        <v>0.11600000000000001</v>
      </c>
      <c r="CA289" s="1142">
        <v>2.3E-2</v>
      </c>
      <c r="CB289" s="1142"/>
      <c r="CC289" s="1148"/>
      <c r="CD289" s="260"/>
      <c r="CE289" s="260"/>
      <c r="CF289" s="260"/>
      <c r="CG289" s="260"/>
      <c r="CH289" s="261"/>
      <c r="CI289" s="260"/>
      <c r="CJ289" s="260"/>
      <c r="CK289" s="260"/>
      <c r="CL289" s="260"/>
      <c r="CM289" s="261"/>
      <c r="CN289" s="260"/>
      <c r="CO289" s="260"/>
      <c r="CP289" s="260"/>
      <c r="CQ289" s="260"/>
      <c r="CR289" s="261"/>
      <c r="CS289" s="260"/>
      <c r="CT289" s="260"/>
      <c r="CU289" s="260"/>
      <c r="CV289" s="260"/>
      <c r="CW289" s="261"/>
      <c r="CX289" s="260"/>
      <c r="CY289" s="260"/>
      <c r="CZ289" s="260"/>
      <c r="DA289" s="260"/>
      <c r="DB289" s="261"/>
      <c r="DC289" s="260"/>
      <c r="DD289" s="260"/>
      <c r="DE289" s="260"/>
      <c r="DF289" s="260"/>
      <c r="DG289" s="260"/>
      <c r="DH289" s="260"/>
      <c r="DI289" s="260"/>
      <c r="DJ289" s="260"/>
    </row>
    <row r="290" spans="1:114" s="725" customFormat="1" ht="11.25" hidden="1" customHeight="1" outlineLevel="1">
      <c r="A290" s="37"/>
      <c r="B290" s="1126" t="s">
        <v>648</v>
      </c>
      <c r="C290" s="1243"/>
      <c r="D290" s="1243"/>
      <c r="E290" s="1243"/>
      <c r="F290" s="1243"/>
      <c r="G290" s="1243"/>
      <c r="H290" s="1243"/>
      <c r="I290" s="1243"/>
      <c r="J290" s="1243"/>
      <c r="K290" s="1243"/>
      <c r="L290" s="1243"/>
      <c r="M290" s="1243"/>
      <c r="N290" s="1243"/>
      <c r="O290" s="1243"/>
      <c r="P290" s="1243"/>
      <c r="Q290" s="1243"/>
      <c r="R290" s="1243"/>
      <c r="S290" s="1243"/>
      <c r="T290" s="1243"/>
      <c r="U290" s="1243"/>
      <c r="V290" s="1243"/>
      <c r="W290" s="1243"/>
      <c r="X290" s="1243"/>
      <c r="Y290" s="1243"/>
      <c r="Z290" s="1243"/>
      <c r="AA290" s="1243"/>
      <c r="AB290" s="1243"/>
      <c r="AC290" s="1243"/>
      <c r="AD290" s="1243"/>
      <c r="AE290" s="1243"/>
      <c r="AF290" s="1243"/>
      <c r="AG290" s="1243"/>
      <c r="AH290" s="1243"/>
      <c r="AI290" s="1243"/>
      <c r="AJ290" s="1243"/>
      <c r="AK290" s="1243"/>
      <c r="AL290" s="1243"/>
      <c r="AM290" s="1243"/>
      <c r="AN290" s="1243"/>
      <c r="AO290" s="1243"/>
      <c r="AP290" s="1243"/>
      <c r="AQ290" s="1243"/>
      <c r="AR290" s="1243"/>
      <c r="AS290" s="1243"/>
      <c r="AT290" s="1243"/>
      <c r="AU290" s="1243"/>
      <c r="AV290" s="1243"/>
      <c r="AW290" s="1243"/>
      <c r="AX290" s="1243"/>
      <c r="AY290" s="1243"/>
      <c r="AZ290" s="1243"/>
      <c r="BA290" s="1243"/>
      <c r="BB290" s="1243"/>
      <c r="BC290" s="1243"/>
      <c r="BD290" s="1243"/>
      <c r="BE290" s="1243"/>
      <c r="BF290" s="1243"/>
      <c r="BG290" s="1243"/>
      <c r="BH290" s="1243"/>
      <c r="BI290" s="1245"/>
      <c r="BJ290" s="1243"/>
      <c r="BK290" s="1240"/>
      <c r="BL290" s="1240"/>
      <c r="BM290" s="1243"/>
      <c r="BN290" s="1245"/>
      <c r="BO290" s="1249"/>
      <c r="BP290" s="1249"/>
      <c r="BQ290" s="1243"/>
      <c r="BR290" s="1243"/>
      <c r="BS290" s="1245"/>
      <c r="BT290" s="1249"/>
      <c r="BU290" s="1240"/>
      <c r="BV290" s="1240"/>
      <c r="BW290" s="1240"/>
      <c r="BX290" s="1245"/>
      <c r="BY290" s="1250"/>
      <c r="BZ290" s="1251"/>
      <c r="CA290" s="1251"/>
      <c r="CB290" s="1251"/>
      <c r="CC290" s="1252"/>
      <c r="CD290" s="1240"/>
      <c r="CE290" s="1240"/>
      <c r="CF290" s="1240"/>
      <c r="CG290" s="1240"/>
      <c r="CH290" s="1253"/>
      <c r="CI290" s="1240"/>
      <c r="CJ290" s="1240"/>
      <c r="CK290" s="1240"/>
      <c r="CL290" s="1240"/>
      <c r="CM290" s="1253"/>
      <c r="CN290" s="1240"/>
      <c r="CO290" s="1240"/>
      <c r="CP290" s="1240"/>
      <c r="CQ290" s="1240"/>
      <c r="CR290" s="1253"/>
      <c r="CS290" s="1240"/>
      <c r="CT290" s="1240"/>
      <c r="CU290" s="1240"/>
      <c r="CV290" s="1240"/>
      <c r="CW290" s="1253"/>
      <c r="CX290" s="1240"/>
      <c r="CY290" s="1240"/>
      <c r="CZ290" s="1240"/>
      <c r="DA290" s="1240"/>
      <c r="DB290" s="1253"/>
      <c r="DC290" s="37"/>
      <c r="DD290" s="37"/>
      <c r="DE290" s="37"/>
      <c r="DF290" s="37"/>
      <c r="DG290" s="37"/>
      <c r="DH290" s="37"/>
      <c r="DI290" s="37"/>
      <c r="DJ290" s="37"/>
    </row>
    <row r="291" spans="1:114" s="725" customFormat="1" ht="11.25" hidden="1" customHeight="1" outlineLevel="1">
      <c r="A291" s="37"/>
      <c r="B291" s="344" t="s">
        <v>533</v>
      </c>
      <c r="C291" s="368"/>
      <c r="D291" s="427" t="s">
        <v>309</v>
      </c>
      <c r="E291" s="248">
        <v>44</v>
      </c>
      <c r="F291" s="248">
        <v>52</v>
      </c>
      <c r="G291" s="247">
        <v>52</v>
      </c>
      <c r="H291" s="247">
        <v>53</v>
      </c>
      <c r="I291" s="247">
        <v>54</v>
      </c>
      <c r="J291" s="247">
        <v>57</v>
      </c>
      <c r="K291" s="449">
        <v>57</v>
      </c>
      <c r="L291" s="450">
        <v>59</v>
      </c>
      <c r="M291" s="450">
        <v>59</v>
      </c>
      <c r="N291" s="450">
        <v>61</v>
      </c>
      <c r="O291" s="450">
        <v>62</v>
      </c>
      <c r="P291" s="449">
        <v>62</v>
      </c>
      <c r="Q291" s="450">
        <v>69</v>
      </c>
      <c r="R291" s="450">
        <v>69</v>
      </c>
      <c r="S291" s="450">
        <v>68</v>
      </c>
      <c r="T291" s="450">
        <v>69</v>
      </c>
      <c r="U291" s="449">
        <v>69</v>
      </c>
      <c r="V291" s="450">
        <v>65</v>
      </c>
      <c r="W291" s="450">
        <v>64</v>
      </c>
      <c r="X291" s="450">
        <v>66</v>
      </c>
      <c r="Y291" s="450">
        <v>66</v>
      </c>
      <c r="Z291" s="449">
        <v>66</v>
      </c>
      <c r="AA291" s="450">
        <v>67</v>
      </c>
      <c r="AB291" s="450">
        <v>67</v>
      </c>
      <c r="AC291" s="450">
        <v>68</v>
      </c>
      <c r="AD291" s="450">
        <v>69</v>
      </c>
      <c r="AE291" s="449">
        <v>69</v>
      </c>
      <c r="AF291" s="450">
        <v>69</v>
      </c>
      <c r="AG291" s="450">
        <v>73</v>
      </c>
      <c r="AH291" s="450">
        <v>120</v>
      </c>
      <c r="AI291" s="450">
        <v>112</v>
      </c>
      <c r="AJ291" s="449">
        <v>112</v>
      </c>
      <c r="AK291" s="450">
        <v>112</v>
      </c>
      <c r="AL291" s="450">
        <v>115</v>
      </c>
      <c r="AM291" s="450">
        <v>114</v>
      </c>
      <c r="AN291" s="450">
        <v>115</v>
      </c>
      <c r="AO291" s="449">
        <v>115</v>
      </c>
      <c r="AP291" s="450">
        <v>116</v>
      </c>
      <c r="AQ291" s="450">
        <v>117</v>
      </c>
      <c r="AR291" s="450">
        <v>117</v>
      </c>
      <c r="AS291" s="450">
        <v>119</v>
      </c>
      <c r="AT291" s="449">
        <v>119</v>
      </c>
      <c r="AU291" s="450">
        <v>120</v>
      </c>
      <c r="AV291" s="450">
        <v>122</v>
      </c>
      <c r="AW291" s="450">
        <v>122</v>
      </c>
      <c r="AX291" s="450">
        <v>125</v>
      </c>
      <c r="AY291" s="449">
        <v>125</v>
      </c>
      <c r="AZ291" s="450">
        <v>124</v>
      </c>
      <c r="BA291" s="450">
        <v>122</v>
      </c>
      <c r="BB291" s="450">
        <v>123</v>
      </c>
      <c r="BC291" s="450">
        <v>127</v>
      </c>
      <c r="BD291" s="449">
        <v>127</v>
      </c>
      <c r="BE291" s="450">
        <v>127</v>
      </c>
      <c r="BF291" s="450">
        <v>130</v>
      </c>
      <c r="BG291" s="450">
        <v>130</v>
      </c>
      <c r="BH291" s="247">
        <v>131</v>
      </c>
      <c r="BI291" s="248">
        <v>131</v>
      </c>
      <c r="BJ291" s="450">
        <v>132</v>
      </c>
      <c r="BK291" s="450">
        <v>134</v>
      </c>
      <c r="BL291" s="450">
        <v>135</v>
      </c>
      <c r="BM291" s="247">
        <v>135</v>
      </c>
      <c r="BN291" s="248">
        <v>135</v>
      </c>
      <c r="BO291" s="572">
        <v>195</v>
      </c>
      <c r="BP291" s="572">
        <v>196</v>
      </c>
      <c r="BQ291" s="247">
        <v>194</v>
      </c>
      <c r="BR291" s="247">
        <v>193</v>
      </c>
      <c r="BS291" s="248">
        <v>193</v>
      </c>
      <c r="BT291" s="572">
        <v>193</v>
      </c>
      <c r="BU291" s="572">
        <v>194</v>
      </c>
      <c r="BV291" s="572">
        <v>193</v>
      </c>
      <c r="BW291" s="37">
        <v>194</v>
      </c>
      <c r="BX291" s="248">
        <v>194</v>
      </c>
      <c r="BY291" s="1143">
        <v>192</v>
      </c>
      <c r="BZ291" s="1140">
        <v>153</v>
      </c>
      <c r="CA291" s="1140">
        <v>152</v>
      </c>
      <c r="CB291" s="1140">
        <v>152</v>
      </c>
      <c r="CC291" s="200">
        <f>CB291</f>
        <v>152</v>
      </c>
      <c r="CD291" s="1140">
        <v>154</v>
      </c>
      <c r="CE291" s="1140">
        <v>143</v>
      </c>
      <c r="CF291" s="1140">
        <v>133</v>
      </c>
      <c r="CG291" s="1120">
        <v>125</v>
      </c>
      <c r="CH291" s="1366">
        <f>CG291</f>
        <v>125</v>
      </c>
      <c r="CI291" s="37"/>
      <c r="CJ291" s="37"/>
      <c r="CK291" s="37"/>
      <c r="CL291" s="37"/>
      <c r="CM291" s="18"/>
      <c r="CN291" s="37"/>
      <c r="CO291" s="37"/>
      <c r="CP291" s="37"/>
      <c r="CQ291" s="37"/>
      <c r="CR291" s="18"/>
      <c r="CS291" s="37"/>
      <c r="CT291" s="37"/>
      <c r="CU291" s="37"/>
      <c r="CV291" s="37"/>
      <c r="CW291" s="18"/>
      <c r="CX291" s="37"/>
      <c r="CY291" s="37"/>
      <c r="CZ291" s="37"/>
      <c r="DA291" s="37"/>
      <c r="DB291" s="18"/>
      <c r="DC291" s="37"/>
      <c r="DD291" s="37"/>
      <c r="DE291" s="37"/>
      <c r="DF291" s="37"/>
      <c r="DG291" s="37"/>
      <c r="DH291" s="37"/>
      <c r="DI291" s="37"/>
      <c r="DJ291" s="37"/>
    </row>
    <row r="292" spans="1:114" s="725" customFormat="1" ht="11.25" hidden="1" customHeight="1" outlineLevel="1">
      <c r="A292" s="37"/>
      <c r="B292" s="346" t="s">
        <v>534</v>
      </c>
      <c r="C292" s="368"/>
      <c r="D292" s="427" t="s">
        <v>309</v>
      </c>
      <c r="E292" s="248">
        <v>3954</v>
      </c>
      <c r="F292" s="248">
        <v>4625</v>
      </c>
      <c r="G292" s="247">
        <v>4688</v>
      </c>
      <c r="H292" s="247">
        <v>4848</v>
      </c>
      <c r="I292" s="247">
        <v>4935</v>
      </c>
      <c r="J292" s="247">
        <v>5391</v>
      </c>
      <c r="K292" s="449">
        <v>5391</v>
      </c>
      <c r="L292" s="450">
        <v>5917</v>
      </c>
      <c r="M292" s="450">
        <v>5914</v>
      </c>
      <c r="N292" s="450">
        <v>6023</v>
      </c>
      <c r="O292" s="450">
        <v>6247</v>
      </c>
      <c r="P292" s="449">
        <v>6247</v>
      </c>
      <c r="Q292" s="450">
        <v>6909</v>
      </c>
      <c r="R292" s="450">
        <v>6899</v>
      </c>
      <c r="S292" s="450">
        <v>7345</v>
      </c>
      <c r="T292" s="450">
        <v>7637</v>
      </c>
      <c r="U292" s="449">
        <v>7637</v>
      </c>
      <c r="V292" s="450">
        <v>7230</v>
      </c>
      <c r="W292" s="450">
        <v>7107</v>
      </c>
      <c r="X292" s="450">
        <v>7441</v>
      </c>
      <c r="Y292" s="450">
        <v>7358</v>
      </c>
      <c r="Z292" s="449">
        <v>7358</v>
      </c>
      <c r="AA292" s="450">
        <v>7580</v>
      </c>
      <c r="AB292" s="450">
        <v>7575</v>
      </c>
      <c r="AC292" s="450">
        <v>7684</v>
      </c>
      <c r="AD292" s="450">
        <v>7974</v>
      </c>
      <c r="AE292" s="449">
        <v>7974</v>
      </c>
      <c r="AF292" s="450">
        <v>7994</v>
      </c>
      <c r="AG292" s="450">
        <v>8466</v>
      </c>
      <c r="AH292" s="450">
        <v>17730</v>
      </c>
      <c r="AI292" s="450">
        <v>16544</v>
      </c>
      <c r="AJ292" s="449">
        <v>16544</v>
      </c>
      <c r="AK292" s="450">
        <v>16564</v>
      </c>
      <c r="AL292" s="450">
        <v>16981</v>
      </c>
      <c r="AM292" s="450">
        <v>16985</v>
      </c>
      <c r="AN292" s="450">
        <v>16716</v>
      </c>
      <c r="AO292" s="449">
        <v>16716</v>
      </c>
      <c r="AP292" s="450">
        <v>16711</v>
      </c>
      <c r="AQ292" s="450">
        <v>17285</v>
      </c>
      <c r="AR292" s="450">
        <v>16869</v>
      </c>
      <c r="AS292" s="450">
        <v>17411</v>
      </c>
      <c r="AT292" s="449">
        <v>17411</v>
      </c>
      <c r="AU292" s="450">
        <v>17442</v>
      </c>
      <c r="AV292" s="450">
        <v>18130</v>
      </c>
      <c r="AW292" s="450">
        <v>18176</v>
      </c>
      <c r="AX292" s="450">
        <v>18140</v>
      </c>
      <c r="AY292" s="449">
        <v>18140</v>
      </c>
      <c r="AZ292" s="450">
        <v>18098</v>
      </c>
      <c r="BA292" s="450">
        <v>17911</v>
      </c>
      <c r="BB292" s="450">
        <v>18053</v>
      </c>
      <c r="BC292" s="450">
        <v>19004</v>
      </c>
      <c r="BD292" s="449">
        <v>19004</v>
      </c>
      <c r="BE292" s="450">
        <v>18981</v>
      </c>
      <c r="BF292" s="450">
        <v>19361</v>
      </c>
      <c r="BG292" s="450">
        <v>19358</v>
      </c>
      <c r="BH292" s="247">
        <v>19695</v>
      </c>
      <c r="BI292" s="248">
        <v>19695</v>
      </c>
      <c r="BJ292" s="450">
        <v>20217</v>
      </c>
      <c r="BK292" s="450">
        <v>20235</v>
      </c>
      <c r="BL292" s="450">
        <v>20357</v>
      </c>
      <c r="BM292" s="247">
        <v>20334</v>
      </c>
      <c r="BN292" s="248">
        <v>20334</v>
      </c>
      <c r="BO292" s="572">
        <v>29470</v>
      </c>
      <c r="BP292" s="572">
        <v>29716</v>
      </c>
      <c r="BQ292" s="247">
        <v>29731</v>
      </c>
      <c r="BR292" s="247">
        <v>29499</v>
      </c>
      <c r="BS292" s="248">
        <v>29499</v>
      </c>
      <c r="BT292" s="572">
        <v>29336</v>
      </c>
      <c r="BU292" s="572">
        <v>29758</v>
      </c>
      <c r="BV292" s="572">
        <v>29746</v>
      </c>
      <c r="BW292" s="259">
        <v>30023</v>
      </c>
      <c r="BX292" s="248">
        <v>30023</v>
      </c>
      <c r="BY292" s="1143">
        <v>29931</v>
      </c>
      <c r="BZ292" s="1141">
        <v>26177</v>
      </c>
      <c r="CA292" s="1141">
        <v>26169</v>
      </c>
      <c r="CB292" s="1141">
        <v>26013</v>
      </c>
      <c r="CC292" s="1149">
        <f>CB292</f>
        <v>26013</v>
      </c>
      <c r="CD292" s="1141">
        <v>26261</v>
      </c>
      <c r="CE292" s="1141">
        <v>24163</v>
      </c>
      <c r="CF292" s="1141">
        <v>22176</v>
      </c>
      <c r="CG292" s="1120">
        <v>20979</v>
      </c>
      <c r="CH292" s="1366">
        <f>CG292</f>
        <v>20979</v>
      </c>
      <c r="CI292" s="259"/>
      <c r="CJ292" s="259"/>
      <c r="CK292" s="259"/>
      <c r="CL292" s="259"/>
      <c r="CM292" s="109"/>
      <c r="CN292" s="259"/>
      <c r="CO292" s="259"/>
      <c r="CP292" s="259"/>
      <c r="CQ292" s="259"/>
      <c r="CR292" s="109"/>
      <c r="CS292" s="259"/>
      <c r="CT292" s="259"/>
      <c r="CU292" s="259"/>
      <c r="CV292" s="259"/>
      <c r="CW292" s="109"/>
      <c r="CX292" s="259"/>
      <c r="CY292" s="259"/>
      <c r="CZ292" s="259"/>
      <c r="DA292" s="259"/>
      <c r="DB292" s="109"/>
      <c r="DC292" s="259"/>
      <c r="DD292" s="259"/>
      <c r="DE292" s="259"/>
      <c r="DF292" s="259"/>
      <c r="DG292" s="259"/>
      <c r="DH292" s="259"/>
      <c r="DI292" s="259"/>
      <c r="DJ292" s="259"/>
    </row>
    <row r="293" spans="1:114" s="725" customFormat="1" ht="11.25" hidden="1" customHeight="1" outlineLevel="1">
      <c r="A293" s="37"/>
      <c r="B293" s="345" t="s">
        <v>535</v>
      </c>
      <c r="C293" s="368"/>
      <c r="D293" s="427" t="s">
        <v>309</v>
      </c>
      <c r="E293" s="248">
        <v>3013</v>
      </c>
      <c r="F293" s="248">
        <v>3560</v>
      </c>
      <c r="G293" s="247">
        <v>3595</v>
      </c>
      <c r="H293" s="247">
        <v>3722</v>
      </c>
      <c r="I293" s="247">
        <v>3788</v>
      </c>
      <c r="J293" s="247">
        <v>4139</v>
      </c>
      <c r="K293" s="449">
        <v>4139</v>
      </c>
      <c r="L293" s="450">
        <v>4510</v>
      </c>
      <c r="M293" s="450">
        <v>4502</v>
      </c>
      <c r="N293" s="450">
        <v>4753</v>
      </c>
      <c r="O293" s="450">
        <v>4900</v>
      </c>
      <c r="P293" s="449">
        <v>4900</v>
      </c>
      <c r="Q293" s="450">
        <v>5364</v>
      </c>
      <c r="R293" s="450">
        <v>5355</v>
      </c>
      <c r="S293" s="450">
        <v>5709</v>
      </c>
      <c r="T293" s="450">
        <v>6041</v>
      </c>
      <c r="U293" s="449">
        <v>6041</v>
      </c>
      <c r="V293" s="450">
        <v>5785</v>
      </c>
      <c r="W293" s="450">
        <v>5716</v>
      </c>
      <c r="X293" s="450">
        <v>6054</v>
      </c>
      <c r="Y293" s="450">
        <v>5960</v>
      </c>
      <c r="Z293" s="449">
        <v>5960</v>
      </c>
      <c r="AA293" s="450">
        <v>6175</v>
      </c>
      <c r="AB293" s="450">
        <v>6187</v>
      </c>
      <c r="AC293" s="450">
        <v>6239</v>
      </c>
      <c r="AD293" s="450">
        <v>6476</v>
      </c>
      <c r="AE293" s="449">
        <v>6476</v>
      </c>
      <c r="AF293" s="450">
        <v>6453</v>
      </c>
      <c r="AG293" s="450">
        <v>6796</v>
      </c>
      <c r="AH293" s="450">
        <v>14957</v>
      </c>
      <c r="AI293" s="450">
        <v>14066</v>
      </c>
      <c r="AJ293" s="449">
        <v>14066</v>
      </c>
      <c r="AK293" s="450">
        <v>14070</v>
      </c>
      <c r="AL293" s="450">
        <v>14541</v>
      </c>
      <c r="AM293" s="450">
        <v>14598</v>
      </c>
      <c r="AN293" s="450">
        <v>14446</v>
      </c>
      <c r="AO293" s="449">
        <v>14446</v>
      </c>
      <c r="AP293" s="450">
        <v>14499</v>
      </c>
      <c r="AQ293" s="450">
        <v>14748</v>
      </c>
      <c r="AR293" s="450">
        <v>14670</v>
      </c>
      <c r="AS293" s="450">
        <v>15194</v>
      </c>
      <c r="AT293" s="449">
        <v>15194</v>
      </c>
      <c r="AU293" s="450">
        <v>15257</v>
      </c>
      <c r="AV293" s="450">
        <v>16077</v>
      </c>
      <c r="AW293" s="450">
        <v>15907</v>
      </c>
      <c r="AX293" s="450">
        <v>15897</v>
      </c>
      <c r="AY293" s="449">
        <v>15897</v>
      </c>
      <c r="AZ293" s="450">
        <v>15846</v>
      </c>
      <c r="BA293" s="450">
        <v>15614</v>
      </c>
      <c r="BB293" s="450">
        <v>15713</v>
      </c>
      <c r="BC293" s="450">
        <v>16264</v>
      </c>
      <c r="BD293" s="449">
        <v>16264</v>
      </c>
      <c r="BE293" s="450">
        <v>16359</v>
      </c>
      <c r="BF293" s="450">
        <v>16617</v>
      </c>
      <c r="BG293" s="450">
        <v>16542</v>
      </c>
      <c r="BH293" s="247">
        <v>16832</v>
      </c>
      <c r="BI293" s="248">
        <v>16832</v>
      </c>
      <c r="BJ293" s="450">
        <v>17198</v>
      </c>
      <c r="BK293" s="450">
        <v>17180</v>
      </c>
      <c r="BL293" s="450">
        <v>17274</v>
      </c>
      <c r="BM293" s="247">
        <v>17265</v>
      </c>
      <c r="BN293" s="248">
        <v>17265</v>
      </c>
      <c r="BO293" s="572">
        <v>26376</v>
      </c>
      <c r="BP293" s="572">
        <v>26917</v>
      </c>
      <c r="BQ293" s="247">
        <v>27009</v>
      </c>
      <c r="BR293" s="247">
        <v>26743</v>
      </c>
      <c r="BS293" s="248">
        <v>26743</v>
      </c>
      <c r="BT293" s="572">
        <v>25710</v>
      </c>
      <c r="BU293" s="572">
        <v>26469</v>
      </c>
      <c r="BV293" s="572">
        <v>26577</v>
      </c>
      <c r="BW293" s="259">
        <v>26908</v>
      </c>
      <c r="BX293" s="248">
        <v>26908</v>
      </c>
      <c r="BY293" s="1143">
        <v>26290</v>
      </c>
      <c r="BZ293" s="1141">
        <v>23112</v>
      </c>
      <c r="CA293" s="1141">
        <v>23164</v>
      </c>
      <c r="CB293" s="1141">
        <v>23167</v>
      </c>
      <c r="CC293" s="1149">
        <f>CB293</f>
        <v>23167</v>
      </c>
      <c r="CD293" s="1141">
        <v>23300</v>
      </c>
      <c r="CE293" s="1141">
        <v>21673</v>
      </c>
      <c r="CF293" s="1141">
        <v>19839</v>
      </c>
      <c r="CG293" s="1120">
        <v>18662</v>
      </c>
      <c r="CH293" s="1366">
        <f>CG293</f>
        <v>18662</v>
      </c>
      <c r="CI293" s="259"/>
      <c r="CJ293" s="259"/>
      <c r="CK293" s="259"/>
      <c r="CL293" s="259"/>
      <c r="CM293" s="109"/>
      <c r="CN293" s="259"/>
      <c r="CO293" s="259"/>
      <c r="CP293" s="259"/>
      <c r="CQ293" s="259"/>
      <c r="CR293" s="109"/>
      <c r="CS293" s="259"/>
      <c r="CT293" s="259"/>
      <c r="CU293" s="259"/>
      <c r="CV293" s="259"/>
      <c r="CW293" s="109"/>
      <c r="CX293" s="259"/>
      <c r="CY293" s="259"/>
      <c r="CZ293" s="259"/>
      <c r="DA293" s="259"/>
      <c r="DB293" s="109"/>
      <c r="DC293" s="259"/>
      <c r="DD293" s="259"/>
      <c r="DE293" s="259"/>
      <c r="DF293" s="259"/>
      <c r="DG293" s="259"/>
      <c r="DH293" s="259"/>
      <c r="DI293" s="259"/>
      <c r="DJ293" s="259"/>
    </row>
    <row r="294" spans="1:114" s="725" customFormat="1" ht="11.25" hidden="1" customHeight="1" outlineLevel="1">
      <c r="A294" s="37"/>
      <c r="B294" s="346" t="s">
        <v>237</v>
      </c>
      <c r="C294" s="247"/>
      <c r="D294" s="423">
        <v>100114</v>
      </c>
      <c r="E294" s="248">
        <v>117768</v>
      </c>
      <c r="F294" s="248">
        <v>148675</v>
      </c>
      <c r="G294" s="247">
        <v>42882</v>
      </c>
      <c r="H294" s="247">
        <v>39677</v>
      </c>
      <c r="I294" s="247">
        <v>40772</v>
      </c>
      <c r="J294" s="247">
        <v>46243</v>
      </c>
      <c r="K294" s="449">
        <v>169574</v>
      </c>
      <c r="L294" s="450">
        <v>53515</v>
      </c>
      <c r="M294" s="450">
        <v>50771</v>
      </c>
      <c r="N294" s="450">
        <v>52032</v>
      </c>
      <c r="O294" s="450">
        <v>53522</v>
      </c>
      <c r="P294" s="449">
        <v>209840</v>
      </c>
      <c r="Q294" s="450">
        <v>61429</v>
      </c>
      <c r="R294" s="450">
        <v>57744</v>
      </c>
      <c r="S294" s="450">
        <v>62732</v>
      </c>
      <c r="T294" s="450">
        <v>69960</v>
      </c>
      <c r="U294" s="449">
        <v>249807</v>
      </c>
      <c r="V294" s="450">
        <v>68682</v>
      </c>
      <c r="W294" s="450">
        <v>65097</v>
      </c>
      <c r="X294" s="450">
        <v>66269</v>
      </c>
      <c r="Y294" s="450">
        <v>67767</v>
      </c>
      <c r="Z294" s="449">
        <v>267390</v>
      </c>
      <c r="AA294" s="450">
        <v>75490</v>
      </c>
      <c r="AB294" s="450">
        <v>70844</v>
      </c>
      <c r="AC294" s="450">
        <v>71337</v>
      </c>
      <c r="AD294" s="450">
        <v>73962</v>
      </c>
      <c r="AE294" s="449">
        <v>291633</v>
      </c>
      <c r="AF294" s="450">
        <v>78271</v>
      </c>
      <c r="AG294" s="450">
        <v>77425</v>
      </c>
      <c r="AH294" s="450">
        <v>139321</v>
      </c>
      <c r="AI294" s="450">
        <v>159293</v>
      </c>
      <c r="AJ294" s="449">
        <v>439056</v>
      </c>
      <c r="AK294" s="450">
        <v>165802</v>
      </c>
      <c r="AL294" s="450">
        <v>159738</v>
      </c>
      <c r="AM294" s="450">
        <v>159916</v>
      </c>
      <c r="AN294" s="450">
        <v>160678</v>
      </c>
      <c r="AO294" s="449">
        <v>638635</v>
      </c>
      <c r="AP294" s="450">
        <v>174733</v>
      </c>
      <c r="AQ294" s="450">
        <v>164008</v>
      </c>
      <c r="AR294" s="450">
        <v>163382</v>
      </c>
      <c r="AS294" s="450">
        <v>165051</v>
      </c>
      <c r="AT294" s="449">
        <v>668526</v>
      </c>
      <c r="AU294" s="450">
        <v>172320</v>
      </c>
      <c r="AV294" s="450">
        <v>173494</v>
      </c>
      <c r="AW294" s="450">
        <v>175107</v>
      </c>
      <c r="AX294" s="450">
        <v>171648</v>
      </c>
      <c r="AY294" s="449">
        <v>692569</v>
      </c>
      <c r="AZ294" s="450">
        <v>176624</v>
      </c>
      <c r="BA294" s="450">
        <v>167352</v>
      </c>
      <c r="BB294" s="450">
        <v>166046</v>
      </c>
      <c r="BC294" s="450">
        <v>171510</v>
      </c>
      <c r="BD294" s="449">
        <v>678284</v>
      </c>
      <c r="BE294" s="450">
        <v>176330</v>
      </c>
      <c r="BF294" s="450">
        <v>168336</v>
      </c>
      <c r="BG294" s="450">
        <v>164842</v>
      </c>
      <c r="BH294" s="247">
        <v>165542</v>
      </c>
      <c r="BI294" s="248">
        <v>675050</v>
      </c>
      <c r="BJ294" s="450">
        <v>181888</v>
      </c>
      <c r="BK294" s="450">
        <v>173449</v>
      </c>
      <c r="BL294" s="450">
        <v>173108</v>
      </c>
      <c r="BM294" s="247">
        <v>173392</v>
      </c>
      <c r="BN294" s="248">
        <v>701837</v>
      </c>
      <c r="BO294" s="572">
        <v>224289</v>
      </c>
      <c r="BP294" s="572">
        <v>242516</v>
      </c>
      <c r="BQ294" s="247">
        <v>237731</v>
      </c>
      <c r="BR294" s="247">
        <v>230070</v>
      </c>
      <c r="BS294" s="248">
        <v>931511</v>
      </c>
      <c r="BT294" s="572">
        <v>235922</v>
      </c>
      <c r="BU294" s="572">
        <v>237905</v>
      </c>
      <c r="BV294" s="572">
        <v>234576</v>
      </c>
      <c r="BW294" s="259">
        <v>238128</v>
      </c>
      <c r="BX294" s="248">
        <v>946531</v>
      </c>
      <c r="BY294" s="1143">
        <v>243776</v>
      </c>
      <c r="BZ294" s="1141">
        <v>207091</v>
      </c>
      <c r="CA294" s="1141">
        <v>204600</v>
      </c>
      <c r="CB294" s="1141">
        <v>204727</v>
      </c>
      <c r="CC294" s="1145">
        <v>834383</v>
      </c>
      <c r="CD294" s="1141">
        <v>214289</v>
      </c>
      <c r="CE294" s="1141">
        <v>189762</v>
      </c>
      <c r="CF294" s="1141">
        <v>175285</v>
      </c>
      <c r="CG294" s="1120">
        <v>166688</v>
      </c>
      <c r="CH294" s="1121">
        <v>672375</v>
      </c>
      <c r="CI294" s="259"/>
      <c r="CJ294" s="259"/>
      <c r="CK294" s="259"/>
      <c r="CL294" s="259"/>
      <c r="CM294" s="109"/>
      <c r="CN294" s="259"/>
      <c r="CO294" s="259"/>
      <c r="CP294" s="259"/>
      <c r="CQ294" s="259"/>
      <c r="CR294" s="109"/>
      <c r="CS294" s="259"/>
      <c r="CT294" s="259"/>
      <c r="CU294" s="259"/>
      <c r="CV294" s="259"/>
      <c r="CW294" s="109"/>
      <c r="CX294" s="259"/>
      <c r="CY294" s="259"/>
      <c r="CZ294" s="259"/>
      <c r="DA294" s="259"/>
      <c r="DB294" s="109"/>
      <c r="DC294" s="259"/>
      <c r="DD294" s="259"/>
      <c r="DE294" s="259"/>
      <c r="DF294" s="259"/>
      <c r="DG294" s="259"/>
      <c r="DH294" s="259"/>
      <c r="DI294" s="259"/>
      <c r="DJ294" s="259"/>
    </row>
    <row r="295" spans="1:114" s="725" customFormat="1" ht="11.25" hidden="1" customHeight="1" outlineLevel="1">
      <c r="A295" s="37"/>
      <c r="B295" s="346" t="s">
        <v>536</v>
      </c>
      <c r="C295" s="247"/>
      <c r="D295" s="423">
        <v>177075</v>
      </c>
      <c r="E295" s="248">
        <v>212246</v>
      </c>
      <c r="F295" s="248">
        <v>273700</v>
      </c>
      <c r="G295" s="247">
        <v>76137</v>
      </c>
      <c r="H295" s="247">
        <v>73546</v>
      </c>
      <c r="I295" s="247">
        <v>76905</v>
      </c>
      <c r="J295" s="247">
        <v>84551</v>
      </c>
      <c r="K295" s="449">
        <v>311238</v>
      </c>
      <c r="L295" s="450">
        <v>96281</v>
      </c>
      <c r="M295" s="450">
        <v>94871</v>
      </c>
      <c r="N295" s="450">
        <v>97848</v>
      </c>
      <c r="O295" s="450">
        <v>98032</v>
      </c>
      <c r="P295" s="449">
        <v>387049</v>
      </c>
      <c r="Q295" s="450">
        <v>110328</v>
      </c>
      <c r="R295" s="450">
        <v>106692</v>
      </c>
      <c r="S295" s="450">
        <v>116873</v>
      </c>
      <c r="T295" s="450">
        <v>126490</v>
      </c>
      <c r="U295" s="449">
        <v>456758</v>
      </c>
      <c r="V295" s="450">
        <v>123511</v>
      </c>
      <c r="W295" s="450">
        <v>120287</v>
      </c>
      <c r="X295" s="450">
        <v>125047</v>
      </c>
      <c r="Y295" s="450">
        <v>125513</v>
      </c>
      <c r="Z295" s="449">
        <v>493776</v>
      </c>
      <c r="AA295" s="450">
        <v>134513</v>
      </c>
      <c r="AB295" s="450">
        <v>132764</v>
      </c>
      <c r="AC295" s="450">
        <v>134952</v>
      </c>
      <c r="AD295" s="450">
        <v>136195</v>
      </c>
      <c r="AE295" s="449">
        <v>538445</v>
      </c>
      <c r="AF295" s="450">
        <v>142178</v>
      </c>
      <c r="AG295" s="450">
        <v>145920</v>
      </c>
      <c r="AH295" s="450">
        <v>251245</v>
      </c>
      <c r="AI295" s="450">
        <v>280431</v>
      </c>
      <c r="AJ295" s="449">
        <v>789184</v>
      </c>
      <c r="AK295" s="450">
        <v>289707</v>
      </c>
      <c r="AL295" s="450">
        <v>288835</v>
      </c>
      <c r="AM295" s="450">
        <v>292751</v>
      </c>
      <c r="AN295" s="450">
        <v>289445</v>
      </c>
      <c r="AO295" s="449">
        <v>1149284</v>
      </c>
      <c r="AP295" s="450">
        <v>306138</v>
      </c>
      <c r="AQ295" s="450">
        <v>298300</v>
      </c>
      <c r="AR295" s="450">
        <v>300822</v>
      </c>
      <c r="AS295" s="450">
        <v>299156</v>
      </c>
      <c r="AT295" s="449">
        <v>1207750</v>
      </c>
      <c r="AU295" s="450">
        <v>309424</v>
      </c>
      <c r="AV295" s="450">
        <v>321383</v>
      </c>
      <c r="AW295" s="450">
        <v>327837</v>
      </c>
      <c r="AX295" s="450">
        <v>317175</v>
      </c>
      <c r="AY295" s="449">
        <v>1275888</v>
      </c>
      <c r="AZ295" s="450">
        <v>322003</v>
      </c>
      <c r="BA295" s="450">
        <v>315414</v>
      </c>
      <c r="BB295" s="450">
        <v>319141</v>
      </c>
      <c r="BC295" s="450">
        <v>325957</v>
      </c>
      <c r="BD295" s="449">
        <v>1277235</v>
      </c>
      <c r="BE295" s="450">
        <v>331849</v>
      </c>
      <c r="BF295" s="450">
        <v>332180</v>
      </c>
      <c r="BG295" s="450">
        <v>334644</v>
      </c>
      <c r="BH295" s="247">
        <v>331720</v>
      </c>
      <c r="BI295" s="248">
        <v>1330988</v>
      </c>
      <c r="BJ295" s="450">
        <v>358815</v>
      </c>
      <c r="BK295" s="450">
        <v>350982</v>
      </c>
      <c r="BL295" s="450">
        <v>355672</v>
      </c>
      <c r="BM295" s="247">
        <v>352855</v>
      </c>
      <c r="BN295" s="248">
        <v>1418472</v>
      </c>
      <c r="BO295" s="572">
        <v>448094</v>
      </c>
      <c r="BP295" s="572">
        <v>503510</v>
      </c>
      <c r="BQ295" s="247">
        <v>498520</v>
      </c>
      <c r="BR295" s="247">
        <v>480841</v>
      </c>
      <c r="BS295" s="248">
        <v>1926045</v>
      </c>
      <c r="BT295" s="572">
        <v>480133</v>
      </c>
      <c r="BU295" s="572">
        <v>510405</v>
      </c>
      <c r="BV295" s="572">
        <v>509702</v>
      </c>
      <c r="BW295" s="259">
        <v>509935</v>
      </c>
      <c r="BX295" s="248">
        <v>2009847</v>
      </c>
      <c r="BY295" s="1143">
        <v>504095</v>
      </c>
      <c r="BZ295" s="1141">
        <v>446912</v>
      </c>
      <c r="CA295" s="1141">
        <v>448317</v>
      </c>
      <c r="CB295" s="1141">
        <v>441727</v>
      </c>
      <c r="CC295" s="1145">
        <v>1782134</v>
      </c>
      <c r="CD295" s="1141">
        <v>452436</v>
      </c>
      <c r="CE295" s="1141">
        <v>415778</v>
      </c>
      <c r="CF295" s="1141">
        <v>383816</v>
      </c>
      <c r="CG295" s="1120">
        <v>357170</v>
      </c>
      <c r="CH295" s="1121">
        <v>1446502</v>
      </c>
      <c r="CI295" s="259"/>
      <c r="CJ295" s="259"/>
      <c r="CK295" s="259"/>
      <c r="CL295" s="259"/>
      <c r="CM295" s="109"/>
      <c r="CN295" s="259"/>
      <c r="CO295" s="259"/>
      <c r="CP295" s="259"/>
      <c r="CQ295" s="259"/>
      <c r="CR295" s="109"/>
      <c r="CS295" s="259"/>
      <c r="CT295" s="259"/>
      <c r="CU295" s="259"/>
      <c r="CV295" s="259"/>
      <c r="CW295" s="109"/>
      <c r="CX295" s="259"/>
      <c r="CY295" s="259"/>
      <c r="CZ295" s="259"/>
      <c r="DA295" s="259"/>
      <c r="DB295" s="109"/>
      <c r="DC295" s="259"/>
      <c r="DD295" s="259"/>
      <c r="DE295" s="259"/>
      <c r="DF295" s="259"/>
      <c r="DG295" s="259"/>
      <c r="DH295" s="259"/>
      <c r="DI295" s="259"/>
      <c r="DJ295" s="259"/>
    </row>
    <row r="296" spans="1:114" s="725" customFormat="1" ht="11.25" hidden="1" customHeight="1" outlineLevel="1">
      <c r="A296" s="37"/>
      <c r="B296" s="346" t="s">
        <v>537</v>
      </c>
      <c r="C296" s="247"/>
      <c r="D296" s="423">
        <v>416845</v>
      </c>
      <c r="E296" s="248">
        <v>467884</v>
      </c>
      <c r="F296" s="248">
        <v>559226</v>
      </c>
      <c r="G296" s="247">
        <v>165743</v>
      </c>
      <c r="H296" s="247">
        <v>150251</v>
      </c>
      <c r="I296" s="247">
        <v>152720</v>
      </c>
      <c r="J296" s="247">
        <v>174515</v>
      </c>
      <c r="K296" s="449">
        <v>643229</v>
      </c>
      <c r="L296" s="450">
        <v>210612</v>
      </c>
      <c r="M296" s="450">
        <v>195922</v>
      </c>
      <c r="N296" s="450">
        <v>198137</v>
      </c>
      <c r="O296" s="450">
        <v>204010</v>
      </c>
      <c r="P296" s="449">
        <v>808681</v>
      </c>
      <c r="Q296" s="450">
        <v>244388</v>
      </c>
      <c r="R296" s="450">
        <v>220904</v>
      </c>
      <c r="S296" s="450">
        <v>244388</v>
      </c>
      <c r="T296" s="450">
        <v>284533</v>
      </c>
      <c r="U296" s="449">
        <v>986216</v>
      </c>
      <c r="V296" s="450">
        <v>285780</v>
      </c>
      <c r="W296" s="450">
        <v>265253</v>
      </c>
      <c r="X296" s="450">
        <v>266735</v>
      </c>
      <c r="Y296" s="450">
        <v>275707</v>
      </c>
      <c r="Z296" s="449">
        <v>1091889</v>
      </c>
      <c r="AA296" s="450">
        <v>319499</v>
      </c>
      <c r="AB296" s="450">
        <v>293320</v>
      </c>
      <c r="AC296" s="450">
        <v>286340</v>
      </c>
      <c r="AD296" s="450">
        <v>304842</v>
      </c>
      <c r="AE296" s="449">
        <v>1204001</v>
      </c>
      <c r="AF296" s="450">
        <v>330382</v>
      </c>
      <c r="AG296" s="450">
        <v>319014</v>
      </c>
      <c r="AH296" s="450">
        <v>593844</v>
      </c>
      <c r="AI296" s="450">
        <v>690981</v>
      </c>
      <c r="AJ296" s="449">
        <v>1872581</v>
      </c>
      <c r="AK296" s="450">
        <v>732121</v>
      </c>
      <c r="AL296" s="450">
        <v>697433</v>
      </c>
      <c r="AM296" s="450">
        <v>683458</v>
      </c>
      <c r="AN296" s="450">
        <v>683686</v>
      </c>
      <c r="AO296" s="449">
        <v>2763735</v>
      </c>
      <c r="AP296" s="450">
        <v>759897</v>
      </c>
      <c r="AQ296" s="450">
        <v>691011</v>
      </c>
      <c r="AR296" s="450">
        <v>677034</v>
      </c>
      <c r="AS296" s="450">
        <v>700360</v>
      </c>
      <c r="AT296" s="449">
        <v>2835795</v>
      </c>
      <c r="AU296" s="450">
        <v>741888</v>
      </c>
      <c r="AV296" s="450">
        <v>731059</v>
      </c>
      <c r="AW296" s="450">
        <v>730676</v>
      </c>
      <c r="AX296" s="450">
        <v>733571</v>
      </c>
      <c r="AY296" s="449">
        <v>2937194</v>
      </c>
      <c r="AZ296" s="450">
        <v>758395</v>
      </c>
      <c r="BA296" s="450">
        <v>707624</v>
      </c>
      <c r="BB296" s="450">
        <v>700971</v>
      </c>
      <c r="BC296" s="450">
        <v>737642</v>
      </c>
      <c r="BD296" s="449">
        <v>2891699</v>
      </c>
      <c r="BE296" s="450">
        <v>781813</v>
      </c>
      <c r="BF296" s="450">
        <v>737850</v>
      </c>
      <c r="BG296" s="450">
        <v>717951</v>
      </c>
      <c r="BH296" s="247">
        <v>732430</v>
      </c>
      <c r="BI296" s="248">
        <v>2970044</v>
      </c>
      <c r="BJ296" s="450">
        <v>804412</v>
      </c>
      <c r="BK296" s="450">
        <v>750686</v>
      </c>
      <c r="BL296" s="450">
        <v>747616</v>
      </c>
      <c r="BM296" s="247">
        <v>756217</v>
      </c>
      <c r="BN296" s="248">
        <v>3058931</v>
      </c>
      <c r="BO296" s="572">
        <v>1015252</v>
      </c>
      <c r="BP296" s="572">
        <v>1064801</v>
      </c>
      <c r="BQ296" s="247">
        <v>1024148</v>
      </c>
      <c r="BR296" s="247">
        <v>1016927</v>
      </c>
      <c r="BS296" s="248">
        <v>4107903</v>
      </c>
      <c r="BT296" s="572">
        <v>1076938</v>
      </c>
      <c r="BU296" s="572">
        <v>1051769</v>
      </c>
      <c r="BV296" s="572">
        <v>1021919</v>
      </c>
      <c r="BW296" s="259">
        <v>1044488</v>
      </c>
      <c r="BX296" s="248">
        <v>4195141</v>
      </c>
      <c r="BY296" s="1143">
        <v>1118334</v>
      </c>
      <c r="BZ296" s="1141">
        <v>928935</v>
      </c>
      <c r="CA296" s="1141">
        <v>900086</v>
      </c>
      <c r="CB296" s="1141">
        <v>910403</v>
      </c>
      <c r="CC296" s="1145">
        <v>3752264</v>
      </c>
      <c r="CD296" s="1141">
        <v>973873</v>
      </c>
      <c r="CE296" s="1141">
        <v>842493</v>
      </c>
      <c r="CF296" s="1141">
        <v>772419</v>
      </c>
      <c r="CG296" s="1120">
        <v>738864</v>
      </c>
      <c r="CH296" s="1121">
        <v>2990760</v>
      </c>
      <c r="CI296" s="259"/>
      <c r="CJ296" s="259"/>
      <c r="CK296" s="259"/>
      <c r="CL296" s="259"/>
      <c r="CM296" s="109"/>
      <c r="CN296" s="259"/>
      <c r="CO296" s="259"/>
      <c r="CP296" s="259"/>
      <c r="CQ296" s="259"/>
      <c r="CR296" s="109"/>
      <c r="CS296" s="259"/>
      <c r="CT296" s="259"/>
      <c r="CU296" s="259"/>
      <c r="CV296" s="259"/>
      <c r="CW296" s="109"/>
      <c r="CX296" s="259"/>
      <c r="CY296" s="259"/>
      <c r="CZ296" s="259"/>
      <c r="DA296" s="259"/>
      <c r="DB296" s="109"/>
      <c r="DC296" s="259"/>
      <c r="DD296" s="259"/>
      <c r="DE296" s="259"/>
      <c r="DF296" s="259"/>
      <c r="DG296" s="259"/>
      <c r="DH296" s="259"/>
      <c r="DI296" s="259"/>
      <c r="DJ296" s="259"/>
    </row>
    <row r="297" spans="1:114" s="725" customFormat="1" ht="11.25" hidden="1" customHeight="1" outlineLevel="1">
      <c r="A297" s="37"/>
      <c r="B297" s="346" t="s">
        <v>429</v>
      </c>
      <c r="C297" s="251"/>
      <c r="D297" s="424">
        <v>4.2</v>
      </c>
      <c r="E297" s="252">
        <v>4</v>
      </c>
      <c r="F297" s="252">
        <v>3.8</v>
      </c>
      <c r="G297" s="251">
        <v>3.9</v>
      </c>
      <c r="H297" s="251">
        <v>3.8</v>
      </c>
      <c r="I297" s="251">
        <v>3.7</v>
      </c>
      <c r="J297" s="251">
        <v>3.8</v>
      </c>
      <c r="K297" s="252">
        <v>3.8</v>
      </c>
      <c r="L297" s="251">
        <v>3.9</v>
      </c>
      <c r="M297" s="251">
        <v>3.9</v>
      </c>
      <c r="N297" s="251">
        <v>3.8</v>
      </c>
      <c r="O297" s="251">
        <v>3.8</v>
      </c>
      <c r="P297" s="252">
        <v>3.9</v>
      </c>
      <c r="Q297" s="251">
        <v>4</v>
      </c>
      <c r="R297" s="251">
        <v>3.8</v>
      </c>
      <c r="S297" s="251">
        <v>3.9</v>
      </c>
      <c r="T297" s="251">
        <v>4.0999999999999996</v>
      </c>
      <c r="U297" s="252">
        <v>3.9</v>
      </c>
      <c r="V297" s="251">
        <v>4.2</v>
      </c>
      <c r="W297" s="251">
        <v>4.0999999999999996</v>
      </c>
      <c r="X297" s="251">
        <v>4</v>
      </c>
      <c r="Y297" s="251">
        <v>4.0999999999999996</v>
      </c>
      <c r="Z297" s="252">
        <v>4.0999999999999996</v>
      </c>
      <c r="AA297" s="251">
        <v>4.2</v>
      </c>
      <c r="AB297" s="251">
        <v>4.0999999999999996</v>
      </c>
      <c r="AC297" s="251">
        <v>4</v>
      </c>
      <c r="AD297" s="251">
        <v>4.0999999999999996</v>
      </c>
      <c r="AE297" s="252">
        <v>4.0999999999999996</v>
      </c>
      <c r="AF297" s="251">
        <v>4.2</v>
      </c>
      <c r="AG297" s="251">
        <v>4.0999999999999996</v>
      </c>
      <c r="AH297" s="251">
        <v>4.3</v>
      </c>
      <c r="AI297" s="251">
        <v>4.3</v>
      </c>
      <c r="AJ297" s="252">
        <v>4.3</v>
      </c>
      <c r="AK297" s="251">
        <v>4.4000000000000004</v>
      </c>
      <c r="AL297" s="251">
        <v>4.4000000000000004</v>
      </c>
      <c r="AM297" s="251">
        <v>4.3</v>
      </c>
      <c r="AN297" s="251">
        <v>4.3</v>
      </c>
      <c r="AO297" s="252">
        <v>4.3</v>
      </c>
      <c r="AP297" s="251">
        <v>4.3</v>
      </c>
      <c r="AQ297" s="251">
        <v>4.2</v>
      </c>
      <c r="AR297" s="251">
        <v>4.0999999999999996</v>
      </c>
      <c r="AS297" s="251">
        <v>4.2</v>
      </c>
      <c r="AT297" s="252">
        <v>4.2</v>
      </c>
      <c r="AU297" s="251">
        <v>4.3</v>
      </c>
      <c r="AV297" s="251">
        <v>4.2</v>
      </c>
      <c r="AW297" s="251">
        <v>4.2</v>
      </c>
      <c r="AX297" s="251">
        <v>4.3</v>
      </c>
      <c r="AY297" s="252">
        <v>4.2</v>
      </c>
      <c r="AZ297" s="251">
        <v>4.3</v>
      </c>
      <c r="BA297" s="251">
        <v>4.2</v>
      </c>
      <c r="BB297" s="251">
        <v>4.2</v>
      </c>
      <c r="BC297" s="251">
        <v>4.3</v>
      </c>
      <c r="BD297" s="252">
        <v>4.3</v>
      </c>
      <c r="BE297" s="251">
        <v>4.4000000000000004</v>
      </c>
      <c r="BF297" s="251">
        <v>4.4000000000000004</v>
      </c>
      <c r="BG297" s="251">
        <v>4.4000000000000004</v>
      </c>
      <c r="BH297" s="251">
        <v>4.4000000000000004</v>
      </c>
      <c r="BI297" s="252">
        <v>4.4000000000000004</v>
      </c>
      <c r="BJ297" s="251">
        <v>4.4000000000000004</v>
      </c>
      <c r="BK297" s="251">
        <v>4.3</v>
      </c>
      <c r="BL297" s="251">
        <v>4.3</v>
      </c>
      <c r="BM297" s="251">
        <v>4.4000000000000004</v>
      </c>
      <c r="BN297" s="252">
        <v>4.4000000000000004</v>
      </c>
      <c r="BO297" s="573">
        <v>4.5</v>
      </c>
      <c r="BP297" s="573">
        <v>4.4000000000000004</v>
      </c>
      <c r="BQ297" s="251">
        <v>4.3</v>
      </c>
      <c r="BR297" s="251">
        <v>4.4000000000000004</v>
      </c>
      <c r="BS297" s="252">
        <v>4.4000000000000004</v>
      </c>
      <c r="BT297" s="573">
        <v>4.5999999999999996</v>
      </c>
      <c r="BU297" s="573">
        <v>4.4000000000000004</v>
      </c>
      <c r="BV297" s="573">
        <v>4.4000000000000004</v>
      </c>
      <c r="BW297" s="37">
        <v>4.4000000000000004</v>
      </c>
      <c r="BX297" s="252">
        <v>4.4000000000000004</v>
      </c>
      <c r="BY297" s="1146">
        <v>4.5999999999999996</v>
      </c>
      <c r="BZ297" s="1140">
        <v>4.5</v>
      </c>
      <c r="CA297" s="1140">
        <v>4.4000000000000004</v>
      </c>
      <c r="CB297" s="1140">
        <v>4.4000000000000004</v>
      </c>
      <c r="CC297" s="1144">
        <v>4.5</v>
      </c>
      <c r="CD297" s="1140">
        <v>4.5</v>
      </c>
      <c r="CE297" s="1140">
        <v>4.4000000000000004</v>
      </c>
      <c r="CF297" s="1140">
        <v>4.4000000000000004</v>
      </c>
      <c r="CG297" s="1122">
        <v>4.4000000000000004</v>
      </c>
      <c r="CH297" s="1123">
        <v>4.4000000000000004</v>
      </c>
      <c r="CI297" s="37"/>
      <c r="CJ297" s="37"/>
      <c r="CK297" s="37"/>
      <c r="CL297" s="37"/>
      <c r="CM297" s="18"/>
      <c r="CN297" s="37"/>
      <c r="CO297" s="37"/>
      <c r="CP297" s="37"/>
      <c r="CQ297" s="37"/>
      <c r="CR297" s="18"/>
      <c r="CS297" s="37"/>
      <c r="CT297" s="37"/>
      <c r="CU297" s="37"/>
      <c r="CV297" s="37"/>
      <c r="CW297" s="18"/>
      <c r="CX297" s="37"/>
      <c r="CY297" s="37"/>
      <c r="CZ297" s="37"/>
      <c r="DA297" s="37"/>
      <c r="DB297" s="18"/>
      <c r="DC297" s="37"/>
      <c r="DD297" s="37"/>
      <c r="DE297" s="37"/>
      <c r="DF297" s="37"/>
      <c r="DG297" s="37"/>
      <c r="DH297" s="37"/>
      <c r="DI297" s="37"/>
      <c r="DJ297" s="37"/>
    </row>
    <row r="298" spans="1:114" s="725" customFormat="1" ht="11.25" hidden="1" customHeight="1" outlineLevel="1">
      <c r="A298" s="37"/>
      <c r="B298" s="344" t="s">
        <v>417</v>
      </c>
      <c r="C298" s="255"/>
      <c r="D298" s="425">
        <v>0.433</v>
      </c>
      <c r="E298" s="256">
        <v>0.44800000000000001</v>
      </c>
      <c r="F298" s="256">
        <v>0.45900000000000002</v>
      </c>
      <c r="G298" s="255">
        <v>0.51300000000000001</v>
      </c>
      <c r="H298" s="255">
        <v>0.45500000000000002</v>
      </c>
      <c r="I298" s="255">
        <v>0.44400000000000001</v>
      </c>
      <c r="J298" s="255">
        <v>0.46</v>
      </c>
      <c r="K298" s="256">
        <v>0.46700000000000003</v>
      </c>
      <c r="L298" s="255">
        <v>0.52800000000000002</v>
      </c>
      <c r="M298" s="255">
        <v>0.47899999999999998</v>
      </c>
      <c r="N298" s="255">
        <v>0.45900000000000002</v>
      </c>
      <c r="O298" s="255">
        <v>0.45500000000000002</v>
      </c>
      <c r="P298" s="256">
        <v>0.47899999999999998</v>
      </c>
      <c r="Q298" s="255">
        <v>0.50700000000000001</v>
      </c>
      <c r="R298" s="255">
        <v>0.45300000000000001</v>
      </c>
      <c r="S298" s="255">
        <v>0.47399999999999998</v>
      </c>
      <c r="T298" s="255">
        <v>0.51300000000000001</v>
      </c>
      <c r="U298" s="256">
        <v>0.49</v>
      </c>
      <c r="V298" s="255">
        <v>0.54300000000000004</v>
      </c>
      <c r="W298" s="255">
        <v>0.51200000000000001</v>
      </c>
      <c r="X298" s="255">
        <v>0.48299999999999998</v>
      </c>
      <c r="Y298" s="255">
        <v>0.502</v>
      </c>
      <c r="Z298" s="256">
        <v>0.51200000000000001</v>
      </c>
      <c r="AA298" s="255">
        <v>0.58699999999999997</v>
      </c>
      <c r="AB298" s="255">
        <v>0.52200000000000002</v>
      </c>
      <c r="AC298" s="255">
        <v>0.5</v>
      </c>
      <c r="AD298" s="255">
        <v>0.51200000000000001</v>
      </c>
      <c r="AE298" s="256">
        <v>0.52900000000000003</v>
      </c>
      <c r="AF298" s="255">
        <v>0.57199999999999995</v>
      </c>
      <c r="AG298" s="255">
        <v>0.52600000000000002</v>
      </c>
      <c r="AH298" s="255">
        <v>0.52200000000000002</v>
      </c>
      <c r="AI298" s="255">
        <v>0.53700000000000003</v>
      </c>
      <c r="AJ298" s="256">
        <v>0.54400000000000004</v>
      </c>
      <c r="AK298" s="255">
        <v>0.57699999999999996</v>
      </c>
      <c r="AL298" s="255">
        <v>0.53100000000000003</v>
      </c>
      <c r="AM298" s="255">
        <v>0.50900000000000001</v>
      </c>
      <c r="AN298" s="255">
        <v>0.51500000000000001</v>
      </c>
      <c r="AO298" s="256">
        <v>0.52800000000000002</v>
      </c>
      <c r="AP298" s="255">
        <v>0.57499999999999996</v>
      </c>
      <c r="AQ298" s="255">
        <v>0.51600000000000001</v>
      </c>
      <c r="AR298" s="255">
        <v>0.499</v>
      </c>
      <c r="AS298" s="255">
        <v>0.501</v>
      </c>
      <c r="AT298" s="256">
        <v>0.52300000000000002</v>
      </c>
      <c r="AU298" s="255">
        <v>0.54100000000000004</v>
      </c>
      <c r="AV298" s="255">
        <v>0.51100000000000001</v>
      </c>
      <c r="AW298" s="255">
        <v>0.499</v>
      </c>
      <c r="AX298" s="255">
        <v>0.501</v>
      </c>
      <c r="AY298" s="256">
        <v>0.51300000000000001</v>
      </c>
      <c r="AZ298" s="255">
        <v>0.53200000000000003</v>
      </c>
      <c r="BA298" s="255">
        <v>0.498</v>
      </c>
      <c r="BB298" s="255">
        <v>0.48499999999999999</v>
      </c>
      <c r="BC298" s="255">
        <v>0.49299999999999999</v>
      </c>
      <c r="BD298" s="256">
        <v>0.502</v>
      </c>
      <c r="BE298" s="255">
        <v>0.53100000000000003</v>
      </c>
      <c r="BF298" s="255">
        <v>0.49099999999999999</v>
      </c>
      <c r="BG298" s="255">
        <v>0.47099999999999997</v>
      </c>
      <c r="BH298" s="255">
        <v>0.47299999999999998</v>
      </c>
      <c r="BI298" s="256">
        <v>0.49099999999999999</v>
      </c>
      <c r="BJ298" s="255">
        <v>0.51700000000000002</v>
      </c>
      <c r="BK298" s="255">
        <v>0.48099999999999998</v>
      </c>
      <c r="BL298" s="255">
        <v>0.47099999999999997</v>
      </c>
      <c r="BM298" s="255">
        <v>0.47599999999999998</v>
      </c>
      <c r="BN298" s="256">
        <v>0.48599999999999999</v>
      </c>
      <c r="BO298" s="574">
        <v>0.48699999999999999</v>
      </c>
      <c r="BP298" s="574">
        <v>0.435</v>
      </c>
      <c r="BQ298" s="255">
        <v>0.41199999999999998</v>
      </c>
      <c r="BR298" s="255">
        <v>0.41299999999999998</v>
      </c>
      <c r="BS298" s="256">
        <v>0.436</v>
      </c>
      <c r="BT298" s="574">
        <v>0.46500000000000002</v>
      </c>
      <c r="BU298" s="574">
        <v>0.436</v>
      </c>
      <c r="BV298" s="574">
        <v>0.42199999999999999</v>
      </c>
      <c r="BW298" s="260">
        <v>0.42499999999999999</v>
      </c>
      <c r="BX298" s="256">
        <v>0.439</v>
      </c>
      <c r="BY298" s="1147">
        <v>0.47099999999999997</v>
      </c>
      <c r="BZ298" s="1142">
        <v>0.438</v>
      </c>
      <c r="CA298" s="1142">
        <v>0.42399999999999999</v>
      </c>
      <c r="CB298" s="1142">
        <v>0.42699999999999999</v>
      </c>
      <c r="CC298" s="1148">
        <v>0.443</v>
      </c>
      <c r="CD298" s="1142">
        <v>0.46100000000000002</v>
      </c>
      <c r="CE298" s="1142">
        <v>0.42499999999999999</v>
      </c>
      <c r="CF298" s="1142">
        <v>0.43</v>
      </c>
      <c r="CG298" s="1124">
        <v>0.43</v>
      </c>
      <c r="CH298" s="1125">
        <v>0.438</v>
      </c>
      <c r="CI298" s="260"/>
      <c r="CJ298" s="260"/>
      <c r="CK298" s="260"/>
      <c r="CL298" s="260"/>
      <c r="CM298" s="261"/>
      <c r="CN298" s="260"/>
      <c r="CO298" s="260"/>
      <c r="CP298" s="260"/>
      <c r="CQ298" s="260"/>
      <c r="CR298" s="261"/>
      <c r="CS298" s="260"/>
      <c r="CT298" s="260"/>
      <c r="CU298" s="260"/>
      <c r="CV298" s="260"/>
      <c r="CW298" s="261"/>
      <c r="CX298" s="260"/>
      <c r="CY298" s="260"/>
      <c r="CZ298" s="260"/>
      <c r="DA298" s="260"/>
      <c r="DB298" s="261"/>
      <c r="DC298" s="260"/>
      <c r="DD298" s="260"/>
      <c r="DE298" s="260"/>
      <c r="DF298" s="260"/>
      <c r="DG298" s="260"/>
      <c r="DH298" s="260"/>
      <c r="DI298" s="260"/>
      <c r="DJ298" s="260"/>
    </row>
    <row r="299" spans="1:114" s="725" customFormat="1" ht="11.25" hidden="1" customHeight="1" outlineLevel="1">
      <c r="A299" s="37"/>
      <c r="B299" s="346" t="s">
        <v>538</v>
      </c>
      <c r="C299" s="247"/>
      <c r="D299" s="423">
        <v>850980</v>
      </c>
      <c r="E299" s="248">
        <v>1047950</v>
      </c>
      <c r="F299" s="248">
        <v>1468544</v>
      </c>
      <c r="G299" s="247">
        <v>398624</v>
      </c>
      <c r="H299" s="247">
        <v>400807</v>
      </c>
      <c r="I299" s="247">
        <v>416659</v>
      </c>
      <c r="J299" s="247">
        <v>477502</v>
      </c>
      <c r="K299" s="449">
        <v>1693501</v>
      </c>
      <c r="L299" s="450">
        <v>533489</v>
      </c>
      <c r="M299" s="450">
        <v>530421</v>
      </c>
      <c r="N299" s="450">
        <v>552749</v>
      </c>
      <c r="O299" s="450">
        <v>581820</v>
      </c>
      <c r="P299" s="449">
        <v>2198479</v>
      </c>
      <c r="Q299" s="450">
        <v>655273</v>
      </c>
      <c r="R299" s="450">
        <v>654099</v>
      </c>
      <c r="S299" s="450">
        <v>709053</v>
      </c>
      <c r="T299" s="450">
        <v>782812</v>
      </c>
      <c r="U299" s="449">
        <v>2782892</v>
      </c>
      <c r="V299" s="450">
        <v>785513</v>
      </c>
      <c r="W299" s="450">
        <v>770066</v>
      </c>
      <c r="X299" s="450">
        <v>811265</v>
      </c>
      <c r="Y299" s="450">
        <v>840675</v>
      </c>
      <c r="Z299" s="449">
        <v>3199284</v>
      </c>
      <c r="AA299" s="450">
        <v>908153</v>
      </c>
      <c r="AB299" s="450">
        <v>918815</v>
      </c>
      <c r="AC299" s="450">
        <v>930169</v>
      </c>
      <c r="AD299" s="450">
        <v>980470</v>
      </c>
      <c r="AE299" s="449">
        <v>3737607</v>
      </c>
      <c r="AF299" s="450">
        <v>1017593</v>
      </c>
      <c r="AG299" s="450">
        <v>1054956</v>
      </c>
      <c r="AH299" s="450">
        <v>2017004</v>
      </c>
      <c r="AI299" s="450">
        <v>2394949</v>
      </c>
      <c r="AJ299" s="449">
        <v>6308656</v>
      </c>
      <c r="AK299" s="450">
        <v>2496985</v>
      </c>
      <c r="AL299" s="450">
        <v>2534331</v>
      </c>
      <c r="AM299" s="450">
        <v>2552070</v>
      </c>
      <c r="AN299" s="450">
        <v>2490297</v>
      </c>
      <c r="AO299" s="449">
        <v>9962447</v>
      </c>
      <c r="AP299" s="450">
        <v>2688798</v>
      </c>
      <c r="AQ299" s="450">
        <v>2672610</v>
      </c>
      <c r="AR299" s="450">
        <v>2754072</v>
      </c>
      <c r="AS299" s="450">
        <v>2780451</v>
      </c>
      <c r="AT299" s="449">
        <v>10917362</v>
      </c>
      <c r="AU299" s="450">
        <v>2911689</v>
      </c>
      <c r="AV299" s="450">
        <v>3016942</v>
      </c>
      <c r="AW299" s="450">
        <v>3086522</v>
      </c>
      <c r="AX299" s="450">
        <v>3090785</v>
      </c>
      <c r="AY299" s="449">
        <v>12105938</v>
      </c>
      <c r="AZ299" s="450">
        <v>3125604</v>
      </c>
      <c r="BA299" s="450">
        <v>3080654</v>
      </c>
      <c r="BB299" s="450">
        <v>3157864</v>
      </c>
      <c r="BC299" s="450">
        <v>3310799</v>
      </c>
      <c r="BD299" s="449">
        <v>12618026</v>
      </c>
      <c r="BE299" s="450">
        <v>2954021</v>
      </c>
      <c r="BF299" s="450">
        <v>2987386</v>
      </c>
      <c r="BG299" s="450">
        <v>2946032</v>
      </c>
      <c r="BH299" s="247">
        <v>3005656</v>
      </c>
      <c r="BI299" s="248">
        <v>11893095</v>
      </c>
      <c r="BJ299" s="450">
        <v>3214767</v>
      </c>
      <c r="BK299" s="450">
        <v>3242542</v>
      </c>
      <c r="BL299" s="450">
        <v>3209806</v>
      </c>
      <c r="BM299" s="247">
        <v>3276450</v>
      </c>
      <c r="BN299" s="248">
        <v>12943565</v>
      </c>
      <c r="BO299" s="572">
        <v>4222000</v>
      </c>
      <c r="BP299" s="572">
        <v>4641000</v>
      </c>
      <c r="BQ299" s="247">
        <v>4548</v>
      </c>
      <c r="BR299" s="247">
        <v>4580</v>
      </c>
      <c r="BS299" s="248">
        <v>17929</v>
      </c>
      <c r="BT299" s="572">
        <v>4544</v>
      </c>
      <c r="BU299" s="572">
        <v>4758</v>
      </c>
      <c r="BV299" s="572">
        <v>4769</v>
      </c>
      <c r="BW299" s="259">
        <v>4901</v>
      </c>
      <c r="BX299" s="248">
        <v>18973</v>
      </c>
      <c r="BY299" s="1143">
        <v>4869</v>
      </c>
      <c r="BZ299" s="1141">
        <v>4286</v>
      </c>
      <c r="CA299" s="1141">
        <v>4268</v>
      </c>
      <c r="CB299" s="1141">
        <v>4382</v>
      </c>
      <c r="CC299" s="1145">
        <v>17248</v>
      </c>
      <c r="CD299" s="1141">
        <v>4392</v>
      </c>
      <c r="CE299" s="1141">
        <v>4083</v>
      </c>
      <c r="CF299" s="1141">
        <v>3709</v>
      </c>
      <c r="CG299" s="1120">
        <v>3576000</v>
      </c>
      <c r="CH299" s="1121">
        <v>14110</v>
      </c>
      <c r="CI299" s="259"/>
      <c r="CJ299" s="259"/>
      <c r="CK299" s="259"/>
      <c r="CL299" s="259"/>
      <c r="CM299" s="109"/>
      <c r="CN299" s="259"/>
      <c r="CO299" s="259"/>
      <c r="CP299" s="259"/>
      <c r="CQ299" s="259"/>
      <c r="CR299" s="109"/>
      <c r="CS299" s="259"/>
      <c r="CT299" s="259"/>
      <c r="CU299" s="259"/>
      <c r="CV299" s="259"/>
      <c r="CW299" s="109"/>
      <c r="CX299" s="259"/>
      <c r="CY299" s="259"/>
      <c r="CZ299" s="259"/>
      <c r="DA299" s="259"/>
      <c r="DB299" s="109"/>
      <c r="DC299" s="259"/>
      <c r="DD299" s="259"/>
      <c r="DE299" s="259"/>
      <c r="DF299" s="259"/>
      <c r="DG299" s="259"/>
      <c r="DH299" s="259"/>
      <c r="DI299" s="259"/>
      <c r="DJ299" s="259"/>
    </row>
    <row r="300" spans="1:114" s="725" customFormat="1" ht="11.25" hidden="1" customHeight="1" outlineLevel="1">
      <c r="A300" s="37"/>
      <c r="B300" s="346" t="s">
        <v>4</v>
      </c>
      <c r="C300" s="370"/>
      <c r="D300" s="428" t="s">
        <v>309</v>
      </c>
      <c r="E300" s="256">
        <v>0.52800000000000002</v>
      </c>
      <c r="F300" s="256">
        <v>0.51</v>
      </c>
      <c r="G300" s="255">
        <v>0.52500000000000002</v>
      </c>
      <c r="H300" s="255">
        <v>0.496</v>
      </c>
      <c r="I300" s="255">
        <v>0.50900000000000001</v>
      </c>
      <c r="J300" s="255">
        <v>0.53100000000000003</v>
      </c>
      <c r="K300" s="256">
        <v>0.51600000000000001</v>
      </c>
      <c r="L300" s="255">
        <v>0.52800000000000002</v>
      </c>
      <c r="M300" s="255">
        <v>0.51300000000000001</v>
      </c>
      <c r="N300" s="255">
        <v>0.52500000000000002</v>
      </c>
      <c r="O300" s="255">
        <v>0.53300000000000003</v>
      </c>
      <c r="P300" s="256">
        <v>0.52500000000000002</v>
      </c>
      <c r="Q300" s="255">
        <v>0.53</v>
      </c>
      <c r="R300" s="255">
        <v>0.502</v>
      </c>
      <c r="S300" s="255">
        <v>0.501</v>
      </c>
      <c r="T300" s="255">
        <v>0.51700000000000002</v>
      </c>
      <c r="U300" s="256">
        <v>0.51300000000000001</v>
      </c>
      <c r="V300" s="255">
        <v>0.51300000000000001</v>
      </c>
      <c r="W300" s="255">
        <v>0.505</v>
      </c>
      <c r="X300" s="255">
        <v>0.497</v>
      </c>
      <c r="Y300" s="255">
        <v>0.50800000000000001</v>
      </c>
      <c r="Z300" s="256">
        <v>0.50600000000000001</v>
      </c>
      <c r="AA300" s="255">
        <v>0.51900000000000002</v>
      </c>
      <c r="AB300" s="255">
        <v>0.504</v>
      </c>
      <c r="AC300" s="255">
        <v>0.502</v>
      </c>
      <c r="AD300" s="255">
        <v>0.51200000000000001</v>
      </c>
      <c r="AE300" s="256">
        <v>0.50900000000000001</v>
      </c>
      <c r="AF300" s="255">
        <v>0.50900000000000001</v>
      </c>
      <c r="AG300" s="255">
        <v>0.498</v>
      </c>
      <c r="AH300" s="255">
        <v>0.51100000000000001</v>
      </c>
      <c r="AI300" s="255">
        <v>0.51200000000000001</v>
      </c>
      <c r="AJ300" s="256">
        <v>0.50900000000000001</v>
      </c>
      <c r="AK300" s="255">
        <v>0.503</v>
      </c>
      <c r="AL300" s="255">
        <v>0.496</v>
      </c>
      <c r="AM300" s="255">
        <v>0.48799999999999999</v>
      </c>
      <c r="AN300" s="255">
        <v>0.49299999999999999</v>
      </c>
      <c r="AO300" s="256">
        <v>0.496</v>
      </c>
      <c r="AP300" s="255">
        <v>0.52900000000000003</v>
      </c>
      <c r="AQ300" s="255">
        <v>0.496</v>
      </c>
      <c r="AR300" s="255">
        <v>0.49299999999999999</v>
      </c>
      <c r="AS300" s="255">
        <v>0.50600000000000001</v>
      </c>
      <c r="AT300" s="256">
        <v>0.502</v>
      </c>
      <c r="AU300" s="255">
        <v>0.50800000000000001</v>
      </c>
      <c r="AV300" s="255">
        <v>0.49399999999999999</v>
      </c>
      <c r="AW300" s="255">
        <v>0.497</v>
      </c>
      <c r="AX300" s="255">
        <v>0.504</v>
      </c>
      <c r="AY300" s="256">
        <v>0.501</v>
      </c>
      <c r="AZ300" s="255">
        <v>0.50900000000000001</v>
      </c>
      <c r="BA300" s="255">
        <v>0.49099999999999999</v>
      </c>
      <c r="BB300" s="255">
        <v>0.48199999999999998</v>
      </c>
      <c r="BC300" s="255">
        <v>0.49299999999999999</v>
      </c>
      <c r="BD300" s="256">
        <v>0.49299999999999999</v>
      </c>
      <c r="BE300" s="255">
        <v>0.49</v>
      </c>
      <c r="BF300" s="255">
        <v>0.46600000000000003</v>
      </c>
      <c r="BG300" s="255">
        <v>0.44500000000000001</v>
      </c>
      <c r="BH300" s="255">
        <v>0.44500000000000001</v>
      </c>
      <c r="BI300" s="256">
        <v>0.46100000000000002</v>
      </c>
      <c r="BJ300" s="255">
        <v>0.44900000000000001</v>
      </c>
      <c r="BK300" s="255">
        <v>0.45500000000000002</v>
      </c>
      <c r="BL300" s="255">
        <v>0.435</v>
      </c>
      <c r="BM300" s="255">
        <v>0.438</v>
      </c>
      <c r="BN300" s="256">
        <v>0.44400000000000001</v>
      </c>
      <c r="BO300" s="574">
        <v>0.46500000000000002</v>
      </c>
      <c r="BP300" s="574">
        <v>0.46400000000000002</v>
      </c>
      <c r="BQ300" s="255">
        <v>0.45100000000000001</v>
      </c>
      <c r="BR300" s="255">
        <v>0.441</v>
      </c>
      <c r="BS300" s="256">
        <v>0.45400000000000001</v>
      </c>
      <c r="BT300" s="574">
        <v>0.45900000000000002</v>
      </c>
      <c r="BU300" s="574">
        <v>0.435</v>
      </c>
      <c r="BV300" s="574">
        <v>0.433</v>
      </c>
      <c r="BW300" s="260">
        <v>0.437</v>
      </c>
      <c r="BX300" s="256">
        <v>0.441</v>
      </c>
      <c r="BY300" s="1147">
        <v>0.442</v>
      </c>
      <c r="BZ300" s="1142">
        <v>0.42399999999999999</v>
      </c>
      <c r="CA300" s="1142">
        <v>0.41699999999999998</v>
      </c>
      <c r="CB300" s="1142">
        <v>0.42899999999999999</v>
      </c>
      <c r="CC300" s="1148">
        <v>0.42799999999999999</v>
      </c>
      <c r="CD300" s="1142">
        <v>0.442</v>
      </c>
      <c r="CE300" s="1142">
        <v>0.43099999999999999</v>
      </c>
      <c r="CF300" s="1142">
        <v>0.432</v>
      </c>
      <c r="CG300" s="1124">
        <v>0.44500000000000001</v>
      </c>
      <c r="CH300" s="1125">
        <v>0.441</v>
      </c>
      <c r="CI300" s="260"/>
      <c r="CJ300" s="260"/>
      <c r="CK300" s="260"/>
      <c r="CL300" s="260"/>
      <c r="CM300" s="261"/>
      <c r="CN300" s="260"/>
      <c r="CO300" s="260"/>
      <c r="CP300" s="260"/>
      <c r="CQ300" s="260"/>
      <c r="CR300" s="261"/>
      <c r="CS300" s="260"/>
      <c r="CT300" s="260"/>
      <c r="CU300" s="260"/>
      <c r="CV300" s="260"/>
      <c r="CW300" s="261"/>
      <c r="CX300" s="260"/>
      <c r="CY300" s="260"/>
      <c r="CZ300" s="260"/>
      <c r="DA300" s="260"/>
      <c r="DB300" s="261"/>
      <c r="DC300" s="260"/>
      <c r="DD300" s="260"/>
      <c r="DE300" s="260"/>
      <c r="DF300" s="260"/>
      <c r="DG300" s="260"/>
      <c r="DH300" s="260"/>
      <c r="DI300" s="260"/>
      <c r="DJ300" s="260"/>
    </row>
    <row r="301" spans="1:114" s="725" customFormat="1" ht="11.25" hidden="1" customHeight="1" outlineLevel="1">
      <c r="A301" s="37"/>
      <c r="B301" s="346" t="s">
        <v>3</v>
      </c>
      <c r="C301" s="370"/>
      <c r="D301" s="428" t="s">
        <v>309</v>
      </c>
      <c r="E301" s="256">
        <v>0.45600000000000002</v>
      </c>
      <c r="F301" s="256">
        <v>0.47899999999999998</v>
      </c>
      <c r="G301" s="255">
        <v>0.46400000000000002</v>
      </c>
      <c r="H301" s="255">
        <v>0.49199999999999999</v>
      </c>
      <c r="I301" s="255">
        <v>0.47899999999999998</v>
      </c>
      <c r="J301" s="255">
        <v>0.45600000000000002</v>
      </c>
      <c r="K301" s="256">
        <v>0.47199999999999998</v>
      </c>
      <c r="L301" s="255">
        <v>0.45900000000000002</v>
      </c>
      <c r="M301" s="255">
        <v>0.47399999999999998</v>
      </c>
      <c r="N301" s="255">
        <v>0.46300000000000002</v>
      </c>
      <c r="O301" s="255">
        <v>0.45500000000000002</v>
      </c>
      <c r="P301" s="256">
        <v>0.46200000000000002</v>
      </c>
      <c r="Q301" s="255">
        <v>0.45800000000000002</v>
      </c>
      <c r="R301" s="255">
        <v>0.48499999999999999</v>
      </c>
      <c r="S301" s="255">
        <v>0.48599999999999999</v>
      </c>
      <c r="T301" s="255">
        <v>0.47099999999999997</v>
      </c>
      <c r="U301" s="256">
        <v>0.47499999999999998</v>
      </c>
      <c r="V301" s="255">
        <v>0.47299999999999998</v>
      </c>
      <c r="W301" s="255">
        <v>0.48399999999999999</v>
      </c>
      <c r="X301" s="255">
        <v>0.49099999999999999</v>
      </c>
      <c r="Y301" s="255">
        <v>0.47699999999999998</v>
      </c>
      <c r="Z301" s="256">
        <v>0.48199999999999998</v>
      </c>
      <c r="AA301" s="255">
        <v>0.47</v>
      </c>
      <c r="AB301" s="255">
        <v>0.48399999999999999</v>
      </c>
      <c r="AC301" s="255">
        <v>0.48399999999999999</v>
      </c>
      <c r="AD301" s="255">
        <v>0.47499999999999998</v>
      </c>
      <c r="AE301" s="256">
        <v>0.47799999999999998</v>
      </c>
      <c r="AF301" s="255">
        <v>0.45</v>
      </c>
      <c r="AG301" s="255">
        <v>0.48899999999999999</v>
      </c>
      <c r="AH301" s="255">
        <v>0.46600000000000003</v>
      </c>
      <c r="AI301" s="255">
        <v>0.45600000000000002</v>
      </c>
      <c r="AJ301" s="256">
        <v>0.46700000000000003</v>
      </c>
      <c r="AK301" s="255">
        <v>0.46899999999999997</v>
      </c>
      <c r="AL301" s="255">
        <v>0.47699999999999998</v>
      </c>
      <c r="AM301" s="255">
        <v>0.48699999999999999</v>
      </c>
      <c r="AN301" s="255">
        <v>0.48</v>
      </c>
      <c r="AO301" s="256">
        <v>0.47799999999999998</v>
      </c>
      <c r="AP301" s="255">
        <v>0.47099999999999997</v>
      </c>
      <c r="AQ301" s="255">
        <v>0.48099999999999998</v>
      </c>
      <c r="AR301" s="255">
        <v>0.48499999999999999</v>
      </c>
      <c r="AS301" s="255">
        <v>0.47499999999999998</v>
      </c>
      <c r="AT301" s="256">
        <v>0.47499999999999998</v>
      </c>
      <c r="AU301" s="255">
        <v>0.47</v>
      </c>
      <c r="AV301" s="255">
        <v>0.48199999999999998</v>
      </c>
      <c r="AW301" s="255">
        <v>0.48</v>
      </c>
      <c r="AX301" s="255">
        <v>0.47299999999999998</v>
      </c>
      <c r="AY301" s="256">
        <v>0.47599999999999998</v>
      </c>
      <c r="AZ301" s="255">
        <v>0.47</v>
      </c>
      <c r="BA301" s="255">
        <v>0.49</v>
      </c>
      <c r="BB301" s="255">
        <v>0.495</v>
      </c>
      <c r="BC301" s="255">
        <v>0.48499999999999999</v>
      </c>
      <c r="BD301" s="256">
        <v>0.48499999999999999</v>
      </c>
      <c r="BE301" s="255">
        <v>0.48799999999999999</v>
      </c>
      <c r="BF301" s="255">
        <v>0.51300000000000001</v>
      </c>
      <c r="BG301" s="255">
        <v>0.53900000000000003</v>
      </c>
      <c r="BH301" s="255">
        <v>0.53500000000000003</v>
      </c>
      <c r="BI301" s="256">
        <v>0.51900000000000002</v>
      </c>
      <c r="BJ301" s="255">
        <v>0.53100000000000003</v>
      </c>
      <c r="BK301" s="255">
        <v>0.52800000000000002</v>
      </c>
      <c r="BL301" s="255">
        <v>0.54600000000000004</v>
      </c>
      <c r="BM301" s="255">
        <v>0.54300000000000004</v>
      </c>
      <c r="BN301" s="256">
        <v>0.53700000000000003</v>
      </c>
      <c r="BO301" s="574">
        <v>0.53500000000000003</v>
      </c>
      <c r="BP301" s="574">
        <v>0.53600000000000003</v>
      </c>
      <c r="BQ301" s="255">
        <v>0.54900000000000004</v>
      </c>
      <c r="BR301" s="255">
        <v>0.55900000000000005</v>
      </c>
      <c r="BS301" s="256">
        <v>0.54600000000000004</v>
      </c>
      <c r="BT301" s="574">
        <v>0.54100000000000004</v>
      </c>
      <c r="BU301" s="574">
        <v>0.56499999999999995</v>
      </c>
      <c r="BV301" s="574">
        <v>0.56699999999999995</v>
      </c>
      <c r="BW301" s="260">
        <v>0.56299999999999994</v>
      </c>
      <c r="BX301" s="256">
        <v>0.55900000000000005</v>
      </c>
      <c r="BY301" s="1147">
        <v>0.55800000000000005</v>
      </c>
      <c r="BZ301" s="1142">
        <v>0.57599999999999996</v>
      </c>
      <c r="CA301" s="1142">
        <v>0.58299999999999996</v>
      </c>
      <c r="CB301" s="1142">
        <v>0.57099999999999995</v>
      </c>
      <c r="CC301" s="1148">
        <v>0.57199999999999995</v>
      </c>
      <c r="CD301" s="1142">
        <v>0.55800000000000005</v>
      </c>
      <c r="CE301" s="1142">
        <v>0.56899999999999995</v>
      </c>
      <c r="CF301" s="1142">
        <v>0.56799999999999995</v>
      </c>
      <c r="CG301" s="1124">
        <v>0.55500000000000005</v>
      </c>
      <c r="CH301" s="1125">
        <v>0.55900000000000005</v>
      </c>
      <c r="CI301" s="260"/>
      <c r="CJ301" s="260"/>
      <c r="CK301" s="260"/>
      <c r="CL301" s="260"/>
      <c r="CM301" s="261"/>
      <c r="CN301" s="260"/>
      <c r="CO301" s="260"/>
      <c r="CP301" s="260"/>
      <c r="CQ301" s="260"/>
      <c r="CR301" s="261"/>
      <c r="CS301" s="260"/>
      <c r="CT301" s="260"/>
      <c r="CU301" s="260"/>
      <c r="CV301" s="260"/>
      <c r="CW301" s="261"/>
      <c r="CX301" s="260"/>
      <c r="CY301" s="260"/>
      <c r="CZ301" s="260"/>
      <c r="DA301" s="260"/>
      <c r="DB301" s="261"/>
      <c r="DC301" s="260"/>
      <c r="DD301" s="260"/>
      <c r="DE301" s="260"/>
      <c r="DF301" s="260"/>
      <c r="DG301" s="260"/>
      <c r="DH301" s="260"/>
      <c r="DI301" s="260"/>
      <c r="DJ301" s="260"/>
    </row>
    <row r="302" spans="1:114" s="725" customFormat="1" ht="11.25" hidden="1" customHeight="1" outlineLevel="1">
      <c r="A302" s="37"/>
      <c r="B302" s="346" t="s">
        <v>539</v>
      </c>
      <c r="C302" s="368"/>
      <c r="D302" s="427" t="s">
        <v>309</v>
      </c>
      <c r="E302" s="367" t="s">
        <v>309</v>
      </c>
      <c r="F302" s="367" t="s">
        <v>309</v>
      </c>
      <c r="G302" s="368" t="s">
        <v>309</v>
      </c>
      <c r="H302" s="368" t="s">
        <v>309</v>
      </c>
      <c r="I302" s="368" t="s">
        <v>309</v>
      </c>
      <c r="J302" s="368" t="s">
        <v>309</v>
      </c>
      <c r="K302" s="451" t="s">
        <v>309</v>
      </c>
      <c r="L302" s="452" t="s">
        <v>309</v>
      </c>
      <c r="M302" s="452" t="s">
        <v>309</v>
      </c>
      <c r="N302" s="452" t="s">
        <v>309</v>
      </c>
      <c r="O302" s="450">
        <v>63087</v>
      </c>
      <c r="P302" s="449">
        <v>241980</v>
      </c>
      <c r="Q302" s="450">
        <v>72606</v>
      </c>
      <c r="R302" s="450">
        <v>67937</v>
      </c>
      <c r="S302" s="450">
        <v>71132</v>
      </c>
      <c r="T302" s="450">
        <v>77765</v>
      </c>
      <c r="U302" s="449">
        <v>289860</v>
      </c>
      <c r="V302" s="450">
        <v>85336</v>
      </c>
      <c r="W302" s="450">
        <v>82551</v>
      </c>
      <c r="X302" s="450">
        <v>83023</v>
      </c>
      <c r="Y302" s="450">
        <v>90364</v>
      </c>
      <c r="Z302" s="449">
        <v>341688</v>
      </c>
      <c r="AA302" s="450">
        <v>103302</v>
      </c>
      <c r="AB302" s="450">
        <v>99736</v>
      </c>
      <c r="AC302" s="450">
        <v>97375</v>
      </c>
      <c r="AD302" s="450">
        <v>106361</v>
      </c>
      <c r="AE302" s="449">
        <v>406774</v>
      </c>
      <c r="AF302" s="450">
        <v>200649</v>
      </c>
      <c r="AG302" s="450">
        <v>110121</v>
      </c>
      <c r="AH302" s="450">
        <v>125494</v>
      </c>
      <c r="AI302" s="450">
        <v>201710</v>
      </c>
      <c r="AJ302" s="449">
        <v>550519</v>
      </c>
      <c r="AK302" s="450">
        <v>215759</v>
      </c>
      <c r="AL302" s="450">
        <v>203063</v>
      </c>
      <c r="AM302" s="450">
        <v>156519</v>
      </c>
      <c r="AN302" s="450">
        <v>59807</v>
      </c>
      <c r="AO302" s="449">
        <v>621983</v>
      </c>
      <c r="AP302" s="450">
        <v>243408</v>
      </c>
      <c r="AQ302" s="450">
        <v>227216</v>
      </c>
      <c r="AR302" s="450">
        <v>247973</v>
      </c>
      <c r="AS302" s="450">
        <v>253221</v>
      </c>
      <c r="AT302" s="449">
        <v>969737</v>
      </c>
      <c r="AU302" s="450">
        <v>257137</v>
      </c>
      <c r="AV302" s="450">
        <v>266188</v>
      </c>
      <c r="AW302" s="450">
        <v>271750</v>
      </c>
      <c r="AX302" s="450">
        <v>288730</v>
      </c>
      <c r="AY302" s="449">
        <v>1083805</v>
      </c>
      <c r="AZ302" s="450">
        <v>277503</v>
      </c>
      <c r="BA302" s="450">
        <v>283880</v>
      </c>
      <c r="BB302" s="450">
        <v>286823</v>
      </c>
      <c r="BC302" s="450">
        <v>288151</v>
      </c>
      <c r="BD302" s="449">
        <v>1131850</v>
      </c>
      <c r="BE302" s="450">
        <v>284078</v>
      </c>
      <c r="BF302" s="450">
        <v>298525</v>
      </c>
      <c r="BG302" s="450">
        <v>293049</v>
      </c>
      <c r="BH302" s="247">
        <v>288893</v>
      </c>
      <c r="BI302" s="248">
        <v>1164545</v>
      </c>
      <c r="BJ302" s="450">
        <v>288876</v>
      </c>
      <c r="BK302" s="450">
        <v>295934</v>
      </c>
      <c r="BL302" s="450">
        <v>297809</v>
      </c>
      <c r="BM302" s="247">
        <v>299919</v>
      </c>
      <c r="BN302" s="248">
        <v>1182538</v>
      </c>
      <c r="BO302" s="896"/>
      <c r="BP302" s="896"/>
      <c r="BQ302" s="259"/>
      <c r="BR302" s="247"/>
      <c r="BS302" s="248"/>
      <c r="BT302" s="896"/>
      <c r="BU302" s="259"/>
      <c r="BV302" s="259"/>
      <c r="BW302" s="259"/>
      <c r="BX302" s="248"/>
      <c r="BY302" s="896"/>
      <c r="BZ302" s="259"/>
      <c r="CA302" s="259"/>
      <c r="CB302" s="259"/>
      <c r="CC302" s="109"/>
      <c r="CD302" s="259"/>
      <c r="CE302" s="259"/>
      <c r="CF302" s="259"/>
      <c r="CG302" s="259"/>
      <c r="CH302" s="109"/>
      <c r="CI302" s="259"/>
      <c r="CJ302" s="259"/>
      <c r="CK302" s="259"/>
      <c r="CL302" s="259"/>
      <c r="CM302" s="109"/>
      <c r="CN302" s="259"/>
      <c r="CO302" s="259"/>
      <c r="CP302" s="259"/>
      <c r="CQ302" s="259"/>
      <c r="CR302" s="109"/>
      <c r="CS302" s="259"/>
      <c r="CT302" s="259"/>
      <c r="CU302" s="259"/>
      <c r="CV302" s="259"/>
      <c r="CW302" s="109"/>
      <c r="CX302" s="259"/>
      <c r="CY302" s="259"/>
      <c r="CZ302" s="259"/>
      <c r="DA302" s="259"/>
      <c r="DB302" s="109"/>
      <c r="DC302" s="259"/>
      <c r="DD302" s="259"/>
      <c r="DE302" s="259"/>
      <c r="DF302" s="259"/>
      <c r="DG302" s="259"/>
      <c r="DH302" s="259"/>
      <c r="DI302" s="259"/>
      <c r="DJ302" s="259"/>
    </row>
    <row r="303" spans="1:114" s="725" customFormat="1" ht="11.25" hidden="1" customHeight="1" outlineLevel="1">
      <c r="A303" s="37"/>
      <c r="B303" s="344" t="s">
        <v>540</v>
      </c>
      <c r="C303" s="370"/>
      <c r="D303" s="428" t="s">
        <v>309</v>
      </c>
      <c r="E303" s="369" t="s">
        <v>309</v>
      </c>
      <c r="F303" s="369" t="s">
        <v>309</v>
      </c>
      <c r="G303" s="370" t="s">
        <v>309</v>
      </c>
      <c r="H303" s="368" t="s">
        <v>309</v>
      </c>
      <c r="I303" s="368" t="s">
        <v>309</v>
      </c>
      <c r="J303" s="370" t="s">
        <v>309</v>
      </c>
      <c r="K303" s="369" t="s">
        <v>309</v>
      </c>
      <c r="L303" s="370" t="s">
        <v>309</v>
      </c>
      <c r="M303" s="370" t="s">
        <v>309</v>
      </c>
      <c r="N303" s="370" t="s">
        <v>309</v>
      </c>
      <c r="O303" s="255">
        <v>0.108</v>
      </c>
      <c r="P303" s="256">
        <v>0.11</v>
      </c>
      <c r="Q303" s="255">
        <v>0.111</v>
      </c>
      <c r="R303" s="255">
        <v>0.10299999999999999</v>
      </c>
      <c r="S303" s="255">
        <v>0.1</v>
      </c>
      <c r="T303" s="255">
        <v>9.9000000000000005E-2</v>
      </c>
      <c r="U303" s="256">
        <v>0.104</v>
      </c>
      <c r="V303" s="255">
        <v>0.109</v>
      </c>
      <c r="W303" s="255">
        <v>0.107</v>
      </c>
      <c r="X303" s="255">
        <v>0.10199999999999999</v>
      </c>
      <c r="Y303" s="255">
        <v>0.107</v>
      </c>
      <c r="Z303" s="256">
        <v>0.107</v>
      </c>
      <c r="AA303" s="255">
        <v>0.114</v>
      </c>
      <c r="AB303" s="255">
        <v>0.109</v>
      </c>
      <c r="AC303" s="255">
        <v>0.105</v>
      </c>
      <c r="AD303" s="255">
        <v>0.109</v>
      </c>
      <c r="AE303" s="256">
        <v>0.109</v>
      </c>
      <c r="AF303" s="255">
        <v>0.19700000000000001</v>
      </c>
      <c r="AG303" s="255">
        <v>0.104</v>
      </c>
      <c r="AH303" s="255">
        <v>6.2E-2</v>
      </c>
      <c r="AI303" s="255">
        <v>8.4000000000000005E-2</v>
      </c>
      <c r="AJ303" s="256">
        <v>8.6999999999999994E-2</v>
      </c>
      <c r="AK303" s="255">
        <v>8.5999999999999993E-2</v>
      </c>
      <c r="AL303" s="255">
        <v>0.08</v>
      </c>
      <c r="AM303" s="255">
        <v>6.0999999999999999E-2</v>
      </c>
      <c r="AN303" s="255">
        <v>2.4E-2</v>
      </c>
      <c r="AO303" s="256">
        <v>6.2E-2</v>
      </c>
      <c r="AP303" s="255">
        <v>9.0999999999999998E-2</v>
      </c>
      <c r="AQ303" s="255">
        <v>8.5000000000000006E-2</v>
      </c>
      <c r="AR303" s="255">
        <v>0.09</v>
      </c>
      <c r="AS303" s="255">
        <v>9.0999999999999998E-2</v>
      </c>
      <c r="AT303" s="256">
        <v>8.8999999999999996E-2</v>
      </c>
      <c r="AU303" s="255">
        <v>8.7999999999999995E-2</v>
      </c>
      <c r="AV303" s="255">
        <v>8.7999999999999995E-2</v>
      </c>
      <c r="AW303" s="255">
        <v>8.7999999999999995E-2</v>
      </c>
      <c r="AX303" s="255">
        <v>9.2999999999999999E-2</v>
      </c>
      <c r="AY303" s="256">
        <v>0.09</v>
      </c>
      <c r="AZ303" s="255">
        <v>8.8999999999999996E-2</v>
      </c>
      <c r="BA303" s="255">
        <v>9.1999999999999998E-2</v>
      </c>
      <c r="BB303" s="255">
        <v>9.0999999999999998E-2</v>
      </c>
      <c r="BC303" s="255">
        <v>8.6999999999999994E-2</v>
      </c>
      <c r="BD303" s="256">
        <v>0.09</v>
      </c>
      <c r="BE303" s="255">
        <v>9.6000000000000002E-2</v>
      </c>
      <c r="BF303" s="255">
        <v>0.1</v>
      </c>
      <c r="BG303" s="255">
        <v>9.9000000000000005E-2</v>
      </c>
      <c r="BH303" s="255">
        <v>9.6000000000000002E-2</v>
      </c>
      <c r="BI303" s="256">
        <v>9.8000000000000004E-2</v>
      </c>
      <c r="BJ303" s="255">
        <v>0.09</v>
      </c>
      <c r="BK303" s="255">
        <v>9.0999999999999998E-2</v>
      </c>
      <c r="BL303" s="255">
        <v>9.2999999999999999E-2</v>
      </c>
      <c r="BM303" s="255">
        <v>9.1999999999999998E-2</v>
      </c>
      <c r="BN303" s="256">
        <v>9.0999999999999998E-2</v>
      </c>
      <c r="BO303" s="575"/>
      <c r="BP303" s="575"/>
      <c r="BQ303" s="260"/>
      <c r="BR303" s="255"/>
      <c r="BS303" s="256"/>
      <c r="BT303" s="575"/>
      <c r="BU303" s="260"/>
      <c r="BV303" s="260"/>
      <c r="BW303" s="260"/>
      <c r="BX303" s="256"/>
      <c r="BY303" s="575"/>
      <c r="BZ303" s="260"/>
      <c r="CA303" s="260"/>
      <c r="CB303" s="260"/>
      <c r="CC303" s="261"/>
      <c r="CD303" s="260"/>
      <c r="CE303" s="260"/>
      <c r="CF303" s="260"/>
      <c r="CG303" s="260"/>
      <c r="CH303" s="261"/>
      <c r="CI303" s="260"/>
      <c r="CJ303" s="260"/>
      <c r="CK303" s="260"/>
      <c r="CL303" s="260"/>
      <c r="CM303" s="261"/>
      <c r="CN303" s="260"/>
      <c r="CO303" s="260"/>
      <c r="CP303" s="260"/>
      <c r="CQ303" s="260"/>
      <c r="CR303" s="261"/>
      <c r="CS303" s="260"/>
      <c r="CT303" s="260"/>
      <c r="CU303" s="260"/>
      <c r="CV303" s="260"/>
      <c r="CW303" s="261"/>
      <c r="CX303" s="260"/>
      <c r="CY303" s="260"/>
      <c r="CZ303" s="260"/>
      <c r="DA303" s="260"/>
      <c r="DB303" s="261"/>
      <c r="DC303" s="260"/>
      <c r="DD303" s="260"/>
      <c r="DE303" s="260"/>
      <c r="DF303" s="260"/>
      <c r="DG303" s="260"/>
      <c r="DH303" s="260"/>
      <c r="DI303" s="260"/>
      <c r="DJ303" s="260"/>
    </row>
    <row r="304" spans="1:114" s="725" customFormat="1" ht="11.25" hidden="1" customHeight="1" outlineLevel="1">
      <c r="A304" s="37"/>
      <c r="B304" s="346" t="s">
        <v>310</v>
      </c>
      <c r="C304" s="368"/>
      <c r="D304" s="427" t="s">
        <v>309</v>
      </c>
      <c r="E304" s="367" t="s">
        <v>309</v>
      </c>
      <c r="F304" s="367" t="s">
        <v>309</v>
      </c>
      <c r="G304" s="368" t="s">
        <v>309</v>
      </c>
      <c r="H304" s="368" t="s">
        <v>309</v>
      </c>
      <c r="I304" s="368" t="s">
        <v>309</v>
      </c>
      <c r="J304" s="368" t="s">
        <v>309</v>
      </c>
      <c r="K304" s="451" t="s">
        <v>309</v>
      </c>
      <c r="L304" s="452" t="s">
        <v>309</v>
      </c>
      <c r="M304" s="452" t="s">
        <v>309</v>
      </c>
      <c r="N304" s="452" t="s">
        <v>309</v>
      </c>
      <c r="O304" s="450">
        <v>31644</v>
      </c>
      <c r="P304" s="449">
        <v>118061</v>
      </c>
      <c r="Q304" s="450">
        <v>33041</v>
      </c>
      <c r="R304" s="450">
        <v>34153</v>
      </c>
      <c r="S304" s="450">
        <v>35373</v>
      </c>
      <c r="T304" s="450">
        <v>39024</v>
      </c>
      <c r="U304" s="449">
        <v>139951</v>
      </c>
      <c r="V304" s="450">
        <v>36449</v>
      </c>
      <c r="W304" s="450">
        <v>36082</v>
      </c>
      <c r="X304" s="450">
        <v>37289</v>
      </c>
      <c r="Y304" s="450">
        <v>39649</v>
      </c>
      <c r="Z304" s="449">
        <v>148826</v>
      </c>
      <c r="AA304" s="450">
        <v>39628</v>
      </c>
      <c r="AB304" s="450">
        <v>39594</v>
      </c>
      <c r="AC304" s="450">
        <v>40491</v>
      </c>
      <c r="AD304" s="450">
        <v>43742</v>
      </c>
      <c r="AE304" s="449">
        <v>163455</v>
      </c>
      <c r="AF304" s="450">
        <v>42139</v>
      </c>
      <c r="AG304" s="450">
        <v>46822</v>
      </c>
      <c r="AH304" s="450">
        <v>90970</v>
      </c>
      <c r="AI304" s="450">
        <v>108130</v>
      </c>
      <c r="AJ304" s="449">
        <v>279485</v>
      </c>
      <c r="AK304" s="450">
        <v>110666</v>
      </c>
      <c r="AL304" s="450">
        <v>118025</v>
      </c>
      <c r="AM304" s="450">
        <v>114392</v>
      </c>
      <c r="AN304" s="450">
        <v>112019</v>
      </c>
      <c r="AO304" s="449">
        <v>446254</v>
      </c>
      <c r="AP304" s="450">
        <v>121270</v>
      </c>
      <c r="AQ304" s="450">
        <v>123544</v>
      </c>
      <c r="AR304" s="450">
        <v>128663</v>
      </c>
      <c r="AS304" s="450">
        <v>125873</v>
      </c>
      <c r="AT304" s="449">
        <v>499386</v>
      </c>
      <c r="AU304" s="450">
        <v>135593</v>
      </c>
      <c r="AV304" s="450">
        <v>142426</v>
      </c>
      <c r="AW304" s="450">
        <v>143558</v>
      </c>
      <c r="AX304" s="450">
        <v>144642</v>
      </c>
      <c r="AY304" s="449">
        <v>566219</v>
      </c>
      <c r="AZ304" s="450">
        <v>146706</v>
      </c>
      <c r="BA304" s="450">
        <v>149779</v>
      </c>
      <c r="BB304" s="450">
        <v>147289</v>
      </c>
      <c r="BC304" s="450">
        <v>154026</v>
      </c>
      <c r="BD304" s="449">
        <v>594997</v>
      </c>
      <c r="BE304" s="450">
        <v>158155</v>
      </c>
      <c r="BF304" s="450">
        <v>161376</v>
      </c>
      <c r="BG304" s="450">
        <v>161515</v>
      </c>
      <c r="BH304" s="247">
        <v>171628</v>
      </c>
      <c r="BI304" s="248">
        <v>652674</v>
      </c>
      <c r="BJ304" s="450">
        <v>174354</v>
      </c>
      <c r="BK304" s="450">
        <v>179801</v>
      </c>
      <c r="BL304" s="450">
        <v>182207</v>
      </c>
      <c r="BM304" s="247">
        <v>189195</v>
      </c>
      <c r="BN304" s="248">
        <v>725557</v>
      </c>
      <c r="BO304" s="896"/>
      <c r="BP304" s="896"/>
      <c r="BQ304" s="259"/>
      <c r="BR304" s="247"/>
      <c r="BS304" s="248"/>
      <c r="BT304" s="896"/>
      <c r="BU304" s="259"/>
      <c r="BV304" s="259"/>
      <c r="BW304" s="259"/>
      <c r="BX304" s="248"/>
      <c r="BY304" s="896"/>
      <c r="BZ304" s="259"/>
      <c r="CA304" s="259"/>
      <c r="CB304" s="259"/>
      <c r="CC304" s="109"/>
      <c r="CD304" s="259"/>
      <c r="CE304" s="259"/>
      <c r="CF304" s="259"/>
      <c r="CG304" s="259"/>
      <c r="CH304" s="109"/>
      <c r="CI304" s="259"/>
      <c r="CJ304" s="259"/>
      <c r="CK304" s="259"/>
      <c r="CL304" s="259"/>
      <c r="CM304" s="109"/>
      <c r="CN304" s="259"/>
      <c r="CO304" s="259"/>
      <c r="CP304" s="259"/>
      <c r="CQ304" s="259"/>
      <c r="CR304" s="109"/>
      <c r="CS304" s="259"/>
      <c r="CT304" s="259"/>
      <c r="CU304" s="259"/>
      <c r="CV304" s="259"/>
      <c r="CW304" s="109"/>
      <c r="CX304" s="259"/>
      <c r="CY304" s="259"/>
      <c r="CZ304" s="259"/>
      <c r="DA304" s="259"/>
      <c r="DB304" s="109"/>
      <c r="DC304" s="259"/>
      <c r="DD304" s="259"/>
      <c r="DE304" s="259"/>
      <c r="DF304" s="259"/>
      <c r="DG304" s="259"/>
      <c r="DH304" s="259"/>
      <c r="DI304" s="259"/>
      <c r="DJ304" s="259"/>
    </row>
    <row r="305" spans="1:114" s="725" customFormat="1" ht="11.25" hidden="1" customHeight="1" outlineLevel="1">
      <c r="A305" s="32"/>
      <c r="B305" s="347" t="s">
        <v>381</v>
      </c>
      <c r="C305" s="376"/>
      <c r="D305" s="430" t="s">
        <v>309</v>
      </c>
      <c r="E305" s="373" t="s">
        <v>309</v>
      </c>
      <c r="F305" s="373" t="s">
        <v>309</v>
      </c>
      <c r="G305" s="374" t="s">
        <v>309</v>
      </c>
      <c r="H305" s="375" t="s">
        <v>309</v>
      </c>
      <c r="I305" s="375" t="s">
        <v>309</v>
      </c>
      <c r="J305" s="376" t="s">
        <v>309</v>
      </c>
      <c r="K305" s="453" t="s">
        <v>309</v>
      </c>
      <c r="L305" s="454" t="s">
        <v>309</v>
      </c>
      <c r="M305" s="454" t="s">
        <v>309</v>
      </c>
      <c r="N305" s="454" t="s">
        <v>309</v>
      </c>
      <c r="O305" s="455">
        <v>-375</v>
      </c>
      <c r="P305" s="456">
        <v>-2236</v>
      </c>
      <c r="Q305" s="455">
        <v>-372</v>
      </c>
      <c r="R305" s="455">
        <v>-680</v>
      </c>
      <c r="S305" s="455">
        <v>-651</v>
      </c>
      <c r="T305" s="455">
        <v>-284</v>
      </c>
      <c r="U305" s="456">
        <v>-1987</v>
      </c>
      <c r="V305" s="455">
        <v>-373</v>
      </c>
      <c r="W305" s="455">
        <v>-768</v>
      </c>
      <c r="X305" s="455">
        <v>-341</v>
      </c>
      <c r="Y305" s="455">
        <v>-799</v>
      </c>
      <c r="Z305" s="456">
        <v>-2494</v>
      </c>
      <c r="AA305" s="455">
        <v>887</v>
      </c>
      <c r="AB305" s="455">
        <v>1117</v>
      </c>
      <c r="AC305" s="455">
        <v>715</v>
      </c>
      <c r="AD305" s="455">
        <v>385</v>
      </c>
      <c r="AE305" s="456">
        <v>3104</v>
      </c>
      <c r="AF305" s="455">
        <v>613</v>
      </c>
      <c r="AG305" s="455">
        <v>455</v>
      </c>
      <c r="AH305" s="455">
        <v>6923</v>
      </c>
      <c r="AI305" s="455">
        <v>12351</v>
      </c>
      <c r="AJ305" s="456">
        <v>20105</v>
      </c>
      <c r="AK305" s="455">
        <v>14214</v>
      </c>
      <c r="AL305" s="455">
        <v>9411</v>
      </c>
      <c r="AM305" s="455">
        <v>14324</v>
      </c>
      <c r="AN305" s="455">
        <v>10847</v>
      </c>
      <c r="AO305" s="456">
        <v>48796</v>
      </c>
      <c r="AP305" s="455">
        <v>12884</v>
      </c>
      <c r="AQ305" s="455">
        <v>-10710</v>
      </c>
      <c r="AR305" s="455">
        <v>-10201</v>
      </c>
      <c r="AS305" s="455">
        <v>-9982</v>
      </c>
      <c r="AT305" s="456">
        <v>-43777</v>
      </c>
      <c r="AU305" s="455">
        <v>-12904</v>
      </c>
      <c r="AV305" s="455">
        <v>-11724</v>
      </c>
      <c r="AW305" s="455">
        <v>-6961</v>
      </c>
      <c r="AX305" s="455">
        <v>-4820</v>
      </c>
      <c r="AY305" s="456">
        <v>-36409</v>
      </c>
      <c r="AZ305" s="455">
        <v>-12525</v>
      </c>
      <c r="BA305" s="455">
        <v>-10980</v>
      </c>
      <c r="BB305" s="455">
        <v>9538</v>
      </c>
      <c r="BC305" s="455">
        <v>-12335</v>
      </c>
      <c r="BD305" s="456">
        <v>-45380</v>
      </c>
      <c r="BE305" s="455">
        <v>-18134</v>
      </c>
      <c r="BF305" s="455">
        <v>-12017</v>
      </c>
      <c r="BG305" s="455">
        <v>-8194</v>
      </c>
      <c r="BH305" s="348">
        <v>-11146</v>
      </c>
      <c r="BI305" s="349">
        <v>-49491</v>
      </c>
      <c r="BJ305" s="455">
        <v>-12013</v>
      </c>
      <c r="BK305" s="455">
        <v>-13181</v>
      </c>
      <c r="BL305" s="455">
        <v>-7491</v>
      </c>
      <c r="BM305" s="348">
        <v>-9420</v>
      </c>
      <c r="BN305" s="349">
        <v>-42105</v>
      </c>
      <c r="BO305" s="576"/>
      <c r="BP305" s="576"/>
      <c r="BQ305" s="350"/>
      <c r="BR305" s="348"/>
      <c r="BS305" s="349"/>
      <c r="BT305" s="576"/>
      <c r="BU305" s="350"/>
      <c r="BV305" s="350"/>
      <c r="BW305" s="350"/>
      <c r="BX305" s="349"/>
      <c r="BY305" s="576"/>
      <c r="BZ305" s="350"/>
      <c r="CA305" s="350"/>
      <c r="CB305" s="350"/>
      <c r="CC305" s="351"/>
      <c r="CD305" s="350"/>
      <c r="CE305" s="350"/>
      <c r="CF305" s="350"/>
      <c r="CG305" s="350"/>
      <c r="CH305" s="351"/>
      <c r="CI305" s="350"/>
      <c r="CJ305" s="350"/>
      <c r="CK305" s="350"/>
      <c r="CL305" s="350"/>
      <c r="CM305" s="351"/>
      <c r="CN305" s="350"/>
      <c r="CO305" s="350"/>
      <c r="CP305" s="350"/>
      <c r="CQ305" s="350"/>
      <c r="CR305" s="351"/>
      <c r="CS305" s="350"/>
      <c r="CT305" s="350"/>
      <c r="CU305" s="350"/>
      <c r="CV305" s="350"/>
      <c r="CW305" s="351"/>
      <c r="CX305" s="350"/>
      <c r="CY305" s="350"/>
      <c r="CZ305" s="350"/>
      <c r="DA305" s="350"/>
      <c r="DB305" s="351"/>
      <c r="DC305" s="350"/>
      <c r="DD305" s="350"/>
      <c r="DE305" s="350"/>
      <c r="DF305" s="350"/>
      <c r="DG305" s="350"/>
      <c r="DH305" s="350"/>
      <c r="DI305" s="350"/>
      <c r="DJ305" s="350"/>
    </row>
    <row r="306" spans="1:114" s="725" customFormat="1" collapsed="1"/>
    <row r="308" spans="1:114" s="725" customFormat="1"/>
    <row r="309" spans="1:114" s="725" customFormat="1"/>
    <row r="310" spans="1:114" s="725" customFormat="1"/>
    <row r="311" spans="1:114" s="725" customFormat="1"/>
    <row r="312" spans="1:114" s="725" customFormat="1">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row>
  </sheetData>
  <phoneticPr fontId="18" type="noConversion"/>
  <pageMargins left="0.75" right="0.75" top="1" bottom="1" header="0.5" footer="0.5"/>
  <pageSetup paperSize="9"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J358"/>
  <sheetViews>
    <sheetView showGridLines="0" workbookViewId="0">
      <pane xSplit="2" ySplit="4" topLeftCell="BX5" activePane="bottomRight" state="frozen"/>
      <selection pane="topRight" activeCell="C1" sqref="C1"/>
      <selection pane="bottomLeft" activeCell="A8" sqref="A8"/>
      <selection pane="bottomRight" activeCell="CH22" sqref="CH22"/>
    </sheetView>
  </sheetViews>
  <sheetFormatPr defaultRowHeight="12.75" outlineLevelRow="1" outlineLevelCol="2"/>
  <cols>
    <col min="1" max="1" width="1.140625" customWidth="1"/>
    <col min="2" max="2" width="35.7109375" customWidth="1"/>
    <col min="3" max="3" width="9.140625" hidden="1" customWidth="1" outlineLevel="2"/>
    <col min="4" max="4" width="9.140625" hidden="1" customWidth="1" outlineLevel="1" collapsed="1"/>
    <col min="5" max="5" width="9.140625" hidden="1" customWidth="1" outlineLevel="2"/>
    <col min="6" max="6" width="9.140625" hidden="1" customWidth="1" outlineLevel="1" collapsed="1"/>
    <col min="7" max="10" width="9.140625" hidden="1" customWidth="1" outlineLevel="2"/>
    <col min="11" max="11" width="9.140625" hidden="1" customWidth="1" outlineLevel="1" collapsed="1"/>
    <col min="12" max="15" width="9.140625" hidden="1" customWidth="1" outlineLevel="2"/>
    <col min="16" max="16" width="9.140625" hidden="1" customWidth="1" outlineLevel="1" collapsed="1"/>
    <col min="17" max="20" width="9.140625" hidden="1" customWidth="1" outlineLevel="2"/>
    <col min="21" max="21" width="9.140625" hidden="1" customWidth="1" outlineLevel="1" collapsed="1"/>
    <col min="22" max="25" width="9.140625" hidden="1" customWidth="1" outlineLevel="2"/>
    <col min="26" max="26" width="9.140625" hidden="1" customWidth="1" outlineLevel="1" collapsed="1"/>
    <col min="27" max="30" width="9.140625" hidden="1" customWidth="1" outlineLevel="2"/>
    <col min="31" max="31" width="9.140625" hidden="1" customWidth="1" outlineLevel="1" collapsed="1"/>
    <col min="32" max="35" width="9.140625" hidden="1" customWidth="1" outlineLevel="2"/>
    <col min="36" max="36" width="9.42578125" hidden="1" customWidth="1" outlineLevel="1" collapsed="1"/>
    <col min="37" max="40" width="9.140625" hidden="1" customWidth="1" outlineLevel="2"/>
    <col min="41" max="41" width="9" hidden="1" customWidth="1" outlineLevel="1" collapsed="1"/>
    <col min="42" max="45" width="9.28515625" hidden="1" customWidth="1" outlineLevel="2"/>
    <col min="46" max="46" width="9" hidden="1" customWidth="1" outlineLevel="1" collapsed="1"/>
    <col min="47" max="50" width="9" hidden="1" customWidth="1" outlineLevel="2"/>
    <col min="51" max="51" width="9" hidden="1" customWidth="1" outlineLevel="1" collapsed="1"/>
    <col min="52" max="55" width="9" hidden="1" customWidth="1" outlineLevel="1"/>
    <col min="56" max="56" width="9.28515625" hidden="1" customWidth="1" collapsed="1"/>
    <col min="57" max="60" width="9.28515625" hidden="1" customWidth="1" outlineLevel="1"/>
    <col min="61" max="61" width="10" hidden="1" customWidth="1" collapsed="1"/>
    <col min="62" max="65" width="9.28515625" hidden="1" customWidth="1" outlineLevel="1"/>
    <col min="66" max="66" width="9" hidden="1" customWidth="1" collapsed="1"/>
    <col min="67" max="70" width="9.28515625" hidden="1" customWidth="1" outlineLevel="1"/>
    <col min="71" max="71" width="9" hidden="1" customWidth="1" collapsed="1"/>
    <col min="72" max="75" width="9.28515625" hidden="1" customWidth="1" outlineLevel="1"/>
    <col min="76" max="76" width="9" hidden="1" customWidth="1" collapsed="1"/>
    <col min="77" max="80" width="9.28515625" hidden="1" customWidth="1" outlineLevel="1"/>
    <col min="81" max="81" width="9" hidden="1" customWidth="1" collapsed="1"/>
    <col min="82" max="85" width="9.28515625" hidden="1" customWidth="1" outlineLevel="1"/>
    <col min="86" max="86" width="9" bestFit="1" customWidth="1" collapsed="1"/>
    <col min="87" max="90" width="9.28515625" hidden="1" customWidth="1" outlineLevel="1"/>
    <col min="91" max="91" width="9" bestFit="1" customWidth="1" collapsed="1"/>
    <col min="92" max="95" width="9.28515625" customWidth="1" outlineLevel="1"/>
    <col min="96" max="96" width="9" bestFit="1" customWidth="1"/>
    <col min="97" max="100" width="9.28515625" customWidth="1" outlineLevel="1"/>
    <col min="101" max="101" width="9" customWidth="1"/>
    <col min="102" max="105" width="9.28515625" hidden="1" customWidth="1" outlineLevel="1"/>
    <col min="106" max="106" width="9" customWidth="1" collapsed="1"/>
  </cols>
  <sheetData>
    <row r="1" spans="1:114" ht="15.75">
      <c r="A1" s="712" t="s">
        <v>97</v>
      </c>
      <c r="B1" s="727"/>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c r="BG1" s="714"/>
      <c r="BH1" s="714"/>
      <c r="BI1" s="714"/>
      <c r="BJ1" s="714"/>
      <c r="BK1" s="714"/>
      <c r="BL1" s="714"/>
      <c r="BM1" s="714"/>
      <c r="BN1" s="714"/>
      <c r="BO1" s="714"/>
      <c r="BP1" s="714"/>
      <c r="BQ1" s="714"/>
      <c r="BR1" s="714"/>
      <c r="BS1" s="714"/>
      <c r="BT1" s="714"/>
      <c r="BU1" s="714"/>
      <c r="BV1" s="714"/>
      <c r="BW1" s="714"/>
      <c r="BX1" s="714"/>
      <c r="BY1" s="714"/>
      <c r="BZ1" s="714"/>
      <c r="CA1" s="714"/>
      <c r="CB1" s="714"/>
      <c r="CC1" s="714"/>
      <c r="CD1" s="714"/>
      <c r="CE1" s="714"/>
      <c r="CF1" s="714"/>
      <c r="CG1" s="714"/>
      <c r="CH1" s="714"/>
      <c r="CI1" s="714"/>
      <c r="CJ1" s="714"/>
      <c r="CK1" s="714"/>
      <c r="CL1" s="714"/>
      <c r="CM1" s="714"/>
      <c r="CN1" s="714"/>
      <c r="CO1" s="714"/>
      <c r="CP1" s="714"/>
      <c r="CQ1" s="714"/>
      <c r="CR1" s="714"/>
      <c r="CS1" s="714"/>
      <c r="CT1" s="714"/>
      <c r="CU1" s="714"/>
      <c r="CV1" s="714"/>
      <c r="CW1" s="715"/>
      <c r="CX1" s="714"/>
      <c r="CY1" s="714"/>
      <c r="CZ1" s="714"/>
      <c r="DA1" s="714"/>
      <c r="DB1" s="715"/>
      <c r="DC1" s="11"/>
      <c r="DD1" s="11"/>
      <c r="DE1" s="5"/>
      <c r="DF1" s="7" t="s">
        <v>72</v>
      </c>
      <c r="DG1" s="7" t="s">
        <v>73</v>
      </c>
      <c r="DH1" s="7" t="s">
        <v>74</v>
      </c>
      <c r="DI1" s="7" t="s">
        <v>75</v>
      </c>
      <c r="DJ1" s="7" t="s">
        <v>76</v>
      </c>
    </row>
    <row r="2" spans="1:114" ht="12.75" customHeight="1" thickBot="1">
      <c r="A2" s="731" t="s">
        <v>152</v>
      </c>
      <c r="B2" s="717"/>
      <c r="C2" s="718"/>
      <c r="D2" s="718"/>
      <c r="E2" s="718"/>
      <c r="F2" s="718"/>
      <c r="G2" s="718"/>
      <c r="H2" s="718"/>
      <c r="I2" s="718"/>
      <c r="J2" s="718"/>
      <c r="K2" s="718"/>
      <c r="L2" s="718"/>
      <c r="M2" s="718"/>
      <c r="N2" s="718"/>
      <c r="O2" s="718"/>
      <c r="P2" s="718"/>
      <c r="Q2" s="718"/>
      <c r="R2" s="718"/>
      <c r="S2" s="718"/>
      <c r="T2" s="718"/>
      <c r="U2" s="718"/>
      <c r="V2" s="718"/>
      <c r="W2" s="718"/>
      <c r="X2" s="718"/>
      <c r="Y2" s="718"/>
      <c r="Z2" s="718"/>
      <c r="AA2" s="718"/>
      <c r="AB2" s="718"/>
      <c r="AC2" s="718"/>
      <c r="AD2" s="718"/>
      <c r="AE2" s="718"/>
      <c r="AF2" s="718"/>
      <c r="AG2" s="718"/>
      <c r="AH2" s="718"/>
      <c r="AI2" s="718"/>
      <c r="AJ2" s="718"/>
      <c r="AK2" s="718"/>
      <c r="AL2" s="718"/>
      <c r="AM2" s="718"/>
      <c r="AN2" s="718"/>
      <c r="AO2" s="718"/>
      <c r="AP2" s="718"/>
      <c r="AQ2" s="718"/>
      <c r="AR2" s="718"/>
      <c r="AS2" s="718"/>
      <c r="AT2" s="718"/>
      <c r="AU2" s="718"/>
      <c r="AV2" s="718"/>
      <c r="AW2" s="718"/>
      <c r="AX2" s="718"/>
      <c r="AY2" s="718"/>
      <c r="AZ2" s="719"/>
      <c r="BA2" s="718"/>
      <c r="BB2" s="718"/>
      <c r="BC2" s="718"/>
      <c r="BD2" s="718"/>
      <c r="BE2" s="719"/>
      <c r="BF2" s="718"/>
      <c r="BG2" s="718"/>
      <c r="BH2" s="718"/>
      <c r="BI2" s="719"/>
      <c r="BJ2" s="719"/>
      <c r="BK2" s="718"/>
      <c r="BL2" s="718"/>
      <c r="BM2" s="718"/>
      <c r="BN2" s="718"/>
      <c r="BO2" s="719"/>
      <c r="BP2" s="718"/>
      <c r="BQ2" s="718"/>
      <c r="BR2" s="718"/>
      <c r="BS2" s="718"/>
      <c r="BT2" s="720"/>
      <c r="BU2" s="718"/>
      <c r="BV2" s="718"/>
      <c r="BW2" s="718"/>
      <c r="BX2" s="718"/>
      <c r="BY2" s="720"/>
      <c r="BZ2" s="718"/>
      <c r="CA2" s="718"/>
      <c r="CB2" s="718"/>
      <c r="CC2" s="718"/>
      <c r="CD2" s="720"/>
      <c r="CE2" s="718"/>
      <c r="CF2" s="718"/>
      <c r="CG2" s="718"/>
      <c r="CH2" s="718"/>
      <c r="CI2" s="720"/>
      <c r="CJ2" s="718"/>
      <c r="CK2" s="718"/>
      <c r="CL2" s="718"/>
      <c r="CM2" s="718"/>
      <c r="CN2" s="720"/>
      <c r="CO2" s="718"/>
      <c r="CP2" s="718"/>
      <c r="CQ2" s="718"/>
      <c r="CR2" s="718"/>
      <c r="CS2" s="720"/>
      <c r="CT2" s="718"/>
      <c r="CU2" s="718"/>
      <c r="CV2" s="718"/>
      <c r="CW2" s="721"/>
      <c r="CX2" s="720"/>
      <c r="CY2" s="718"/>
      <c r="CZ2" s="718"/>
      <c r="DA2" s="718"/>
      <c r="DB2" s="721"/>
      <c r="DC2" s="11"/>
      <c r="DD2" s="11"/>
      <c r="DE2" s="5"/>
      <c r="DF2" s="5"/>
      <c r="DG2" s="5"/>
      <c r="DH2" s="5"/>
      <c r="DI2" s="5"/>
      <c r="DJ2" s="5"/>
    </row>
    <row r="3" spans="1:114" s="682" customFormat="1">
      <c r="A3" s="4"/>
      <c r="B3" s="514" t="s">
        <v>98</v>
      </c>
      <c r="C3" s="530" t="s">
        <v>99</v>
      </c>
      <c r="D3" s="515"/>
      <c r="E3" s="528"/>
      <c r="F3" s="515"/>
      <c r="G3" s="516"/>
      <c r="H3" s="516"/>
      <c r="I3" s="516"/>
      <c r="J3" s="516"/>
      <c r="K3" s="515"/>
      <c r="L3" s="516"/>
      <c r="M3" s="516"/>
      <c r="N3" s="516"/>
      <c r="O3" s="516"/>
      <c r="P3" s="515"/>
      <c r="Q3" s="516"/>
      <c r="R3" s="516"/>
      <c r="S3" s="516"/>
      <c r="T3" s="516"/>
      <c r="U3" s="515"/>
      <c r="V3" s="516"/>
      <c r="W3" s="516"/>
      <c r="X3" s="516"/>
      <c r="Y3" s="516"/>
      <c r="Z3" s="515"/>
      <c r="AA3" s="516"/>
      <c r="AB3" s="516"/>
      <c r="AC3" s="516"/>
      <c r="AD3" s="516"/>
      <c r="AE3" s="515"/>
      <c r="AF3" s="516"/>
      <c r="AG3" s="516"/>
      <c r="AH3" s="516"/>
      <c r="AI3" s="516"/>
      <c r="AJ3" s="515"/>
      <c r="AK3" s="516"/>
      <c r="AL3" s="516"/>
      <c r="AM3" s="516"/>
      <c r="AN3" s="516"/>
      <c r="AO3" s="515"/>
      <c r="AP3" s="516">
        <v>39538</v>
      </c>
      <c r="AQ3" s="516">
        <v>39629</v>
      </c>
      <c r="AR3" s="516">
        <v>39721</v>
      </c>
      <c r="AS3" s="516">
        <v>39813</v>
      </c>
      <c r="AT3" s="515"/>
      <c r="AU3" s="516">
        <v>39903</v>
      </c>
      <c r="AV3" s="516">
        <v>39994</v>
      </c>
      <c r="AW3" s="516">
        <v>40086</v>
      </c>
      <c r="AX3" s="516">
        <v>40178</v>
      </c>
      <c r="AY3" s="515"/>
      <c r="AZ3" s="516">
        <v>40268</v>
      </c>
      <c r="BA3" s="516">
        <v>40359</v>
      </c>
      <c r="BB3" s="516">
        <v>40451</v>
      </c>
      <c r="BC3" s="516">
        <v>40543</v>
      </c>
      <c r="BD3" s="679"/>
      <c r="BE3" s="680">
        <v>40633</v>
      </c>
      <c r="BF3" s="680">
        <v>40724</v>
      </c>
      <c r="BG3" s="680">
        <v>40816</v>
      </c>
      <c r="BH3" s="680">
        <v>40908</v>
      </c>
      <c r="BI3" s="679"/>
      <c r="BJ3" s="680">
        <v>40999</v>
      </c>
      <c r="BK3" s="680">
        <v>41090</v>
      </c>
      <c r="BL3" s="680">
        <v>41182</v>
      </c>
      <c r="BM3" s="680">
        <v>41274</v>
      </c>
      <c r="BN3" s="679"/>
      <c r="BO3" s="680">
        <v>41364</v>
      </c>
      <c r="BP3" s="680">
        <v>41455</v>
      </c>
      <c r="BQ3" s="680">
        <v>41547</v>
      </c>
      <c r="BR3" s="680">
        <v>41639</v>
      </c>
      <c r="BS3" s="679"/>
      <c r="BT3" s="680">
        <v>41729</v>
      </c>
      <c r="BU3" s="680">
        <v>41820</v>
      </c>
      <c r="BV3" s="680">
        <v>41912</v>
      </c>
      <c r="BW3" s="680">
        <v>42004</v>
      </c>
      <c r="BX3" s="679"/>
      <c r="BY3" s="680">
        <f>IS!BY3</f>
        <v>42094</v>
      </c>
      <c r="BZ3" s="680">
        <f>IS!BZ3</f>
        <v>42185</v>
      </c>
      <c r="CA3" s="680">
        <f>IS!CA3</f>
        <v>42277</v>
      </c>
      <c r="CB3" s="680">
        <f>IS!CB3</f>
        <v>42369</v>
      </c>
      <c r="CC3" s="676"/>
      <c r="CD3" s="680">
        <f>IS!CD3</f>
        <v>42460</v>
      </c>
      <c r="CE3" s="680">
        <f>IS!CE3</f>
        <v>42551</v>
      </c>
      <c r="CF3" s="680">
        <f>IS!CF3</f>
        <v>42643</v>
      </c>
      <c r="CG3" s="680">
        <f>IS!CG3</f>
        <v>42735</v>
      </c>
      <c r="CH3" s="676"/>
      <c r="CI3" s="680">
        <f>IS!CI3</f>
        <v>42825</v>
      </c>
      <c r="CJ3" s="680">
        <f>IS!CJ3</f>
        <v>42916</v>
      </c>
      <c r="CK3" s="680">
        <f>IS!CK3</f>
        <v>43008</v>
      </c>
      <c r="CL3" s="680">
        <f>IS!CL3</f>
        <v>43100</v>
      </c>
      <c r="CM3" s="676"/>
      <c r="CN3" s="680">
        <f>IS!CN3</f>
        <v>43190</v>
      </c>
      <c r="CO3" s="680">
        <f>IS!CO3</f>
        <v>43281</v>
      </c>
      <c r="CP3" s="680">
        <f>IS!CP3</f>
        <v>43373</v>
      </c>
      <c r="CQ3" s="680">
        <f>IS!CQ3</f>
        <v>43465</v>
      </c>
      <c r="CR3" s="676"/>
      <c r="CS3" s="680">
        <f>IS!CS3</f>
        <v>43555</v>
      </c>
      <c r="CT3" s="680">
        <f>IS!CT3</f>
        <v>43646</v>
      </c>
      <c r="CU3" s="680">
        <f>IS!CU3</f>
        <v>43738</v>
      </c>
      <c r="CV3" s="680">
        <f>IS!CV3</f>
        <v>43830</v>
      </c>
      <c r="CW3" s="676"/>
      <c r="CX3" s="680">
        <f>IS!CX3</f>
        <v>43921</v>
      </c>
      <c r="CY3" s="680">
        <f>IS!CY3</f>
        <v>44012</v>
      </c>
      <c r="CZ3" s="680">
        <f>IS!CZ3</f>
        <v>44104</v>
      </c>
      <c r="DA3" s="680">
        <f>IS!DA3</f>
        <v>44196</v>
      </c>
      <c r="DB3" s="676"/>
      <c r="DC3" s="681"/>
      <c r="DD3" s="681"/>
      <c r="DE3" s="681"/>
      <c r="DF3" s="681"/>
      <c r="DG3" s="681"/>
      <c r="DH3" s="681"/>
      <c r="DI3" s="681"/>
      <c r="DJ3" s="681"/>
    </row>
    <row r="4" spans="1:114" ht="13.5" thickBot="1">
      <c r="A4" s="4"/>
      <c r="B4" s="519" t="s">
        <v>100</v>
      </c>
      <c r="C4" s="531" t="s">
        <v>77</v>
      </c>
      <c r="D4" s="521" t="str">
        <f>IS!D4</f>
        <v>1998A</v>
      </c>
      <c r="E4" s="529" t="str">
        <f>IS!E4</f>
        <v>1999A</v>
      </c>
      <c r="F4" s="521" t="str">
        <f>IS!F4</f>
        <v>2000A</v>
      </c>
      <c r="G4" s="522" t="str">
        <f>IS!G4</f>
        <v>1Q01A</v>
      </c>
      <c r="H4" s="522" t="str">
        <f>IS!H4</f>
        <v>2Q01A</v>
      </c>
      <c r="I4" s="522" t="str">
        <f>IS!I4</f>
        <v>3Q01A</v>
      </c>
      <c r="J4" s="522" t="str">
        <f>IS!J4</f>
        <v>4Q01A</v>
      </c>
      <c r="K4" s="521" t="str">
        <f>IS!K4</f>
        <v>2001A</v>
      </c>
      <c r="L4" s="522" t="str">
        <f>IS!L4</f>
        <v>1Q02A</v>
      </c>
      <c r="M4" s="522" t="str">
        <f>IS!M4</f>
        <v>2Q02A</v>
      </c>
      <c r="N4" s="522" t="str">
        <f>IS!N4</f>
        <v>3Q02A</v>
      </c>
      <c r="O4" s="522" t="str">
        <f>IS!O4</f>
        <v>4Q02A</v>
      </c>
      <c r="P4" s="521" t="str">
        <f>IS!P4</f>
        <v>2002A</v>
      </c>
      <c r="Q4" s="522" t="str">
        <f>IS!Q4</f>
        <v>1Q03A</v>
      </c>
      <c r="R4" s="522" t="str">
        <f>IS!R4</f>
        <v>2Q03A</v>
      </c>
      <c r="S4" s="522" t="str">
        <f>IS!S4</f>
        <v>3Q03A</v>
      </c>
      <c r="T4" s="522" t="str">
        <f>IS!T4</f>
        <v>4Q03A</v>
      </c>
      <c r="U4" s="521" t="str">
        <f>IS!U4</f>
        <v>2003A</v>
      </c>
      <c r="V4" s="522" t="str">
        <f>IS!V4</f>
        <v>1Q04A</v>
      </c>
      <c r="W4" s="522" t="str">
        <f>IS!W4</f>
        <v>2Q04A</v>
      </c>
      <c r="X4" s="522" t="str">
        <f>IS!X4</f>
        <v>3Q04A</v>
      </c>
      <c r="Y4" s="522" t="str">
        <f>IS!Y4</f>
        <v>4Q04A</v>
      </c>
      <c r="Z4" s="521" t="str">
        <f>IS!Z4</f>
        <v>2004A</v>
      </c>
      <c r="AA4" s="522" t="str">
        <f>IS!AA4</f>
        <v>1Q05A</v>
      </c>
      <c r="AB4" s="522" t="str">
        <f>IS!AB4</f>
        <v>2Q05A</v>
      </c>
      <c r="AC4" s="522" t="str">
        <f>IS!AC4</f>
        <v>3Q05A</v>
      </c>
      <c r="AD4" s="522" t="str">
        <f>IS!AD4</f>
        <v>4Q05A</v>
      </c>
      <c r="AE4" s="521" t="str">
        <f>IS!AE4</f>
        <v>2005A</v>
      </c>
      <c r="AF4" s="522" t="str">
        <f>IS!AF4</f>
        <v>1Q06A</v>
      </c>
      <c r="AG4" s="522" t="str">
        <f>IS!AG4</f>
        <v>2Q06A</v>
      </c>
      <c r="AH4" s="522" t="str">
        <f>IS!AH4</f>
        <v>3Q06A</v>
      </c>
      <c r="AI4" s="522" t="str">
        <f>IS!AI4</f>
        <v>4Q06A</v>
      </c>
      <c r="AJ4" s="521" t="str">
        <f>IS!AJ4</f>
        <v>2006A</v>
      </c>
      <c r="AK4" s="522" t="str">
        <f>IS!AK4</f>
        <v>1Q07A</v>
      </c>
      <c r="AL4" s="522" t="str">
        <f>IS!AL4</f>
        <v>2Q07A</v>
      </c>
      <c r="AM4" s="522" t="str">
        <f>IS!AM4</f>
        <v>3Q07A</v>
      </c>
      <c r="AN4" s="522" t="str">
        <f>IS!AN4</f>
        <v>4Q07A</v>
      </c>
      <c r="AO4" s="521" t="str">
        <f>IS!AO4</f>
        <v>2007A</v>
      </c>
      <c r="AP4" s="522" t="str">
        <f>IS!AP4</f>
        <v>1Q08A</v>
      </c>
      <c r="AQ4" s="522" t="str">
        <f>IS!AQ4</f>
        <v>2Q08A</v>
      </c>
      <c r="AR4" s="522" t="str">
        <f>IS!AR4</f>
        <v>3Q08A</v>
      </c>
      <c r="AS4" s="522" t="str">
        <f>IS!AS4</f>
        <v>4Q08A</v>
      </c>
      <c r="AT4" s="521" t="str">
        <f>IS!AT4</f>
        <v>2008A</v>
      </c>
      <c r="AU4" s="522" t="str">
        <f>IS!AU4</f>
        <v>1Q09</v>
      </c>
      <c r="AV4" s="522" t="str">
        <f>IS!AV4</f>
        <v>2Q09</v>
      </c>
      <c r="AW4" s="522" t="str">
        <f>IS!AW4</f>
        <v>3Q09</v>
      </c>
      <c r="AX4" s="522" t="str">
        <f>IS!AX4</f>
        <v>4Q09</v>
      </c>
      <c r="AY4" s="521" t="str">
        <f>IS!AY4</f>
        <v>2009A</v>
      </c>
      <c r="AZ4" s="522" t="str">
        <f>IS!AZ4</f>
        <v>1Q10A</v>
      </c>
      <c r="BA4" s="522" t="str">
        <f>IS!BA4</f>
        <v>2Q10A</v>
      </c>
      <c r="BB4" s="522" t="str">
        <f>IS!BB4</f>
        <v>3Q10A</v>
      </c>
      <c r="BC4" s="522" t="str">
        <f>IS!BC4</f>
        <v>4Q10A</v>
      </c>
      <c r="BD4" s="521" t="str">
        <f>IS!BD4</f>
        <v>2010A</v>
      </c>
      <c r="BE4" s="522" t="str">
        <f>IS!BE4</f>
        <v>1Q11A</v>
      </c>
      <c r="BF4" s="522" t="str">
        <f>IS!BF4</f>
        <v>2Q11A</v>
      </c>
      <c r="BG4" s="522" t="str">
        <f>IS!BG4</f>
        <v>3Q11A</v>
      </c>
      <c r="BH4" s="522" t="str">
        <f>IS!BH4</f>
        <v>4Q11A</v>
      </c>
      <c r="BI4" s="521" t="str">
        <f>IS!BI4</f>
        <v>2011A</v>
      </c>
      <c r="BJ4" s="522" t="str">
        <f>IS!BJ4</f>
        <v>1Q12A</v>
      </c>
      <c r="BK4" s="522" t="str">
        <f>IS!BK4</f>
        <v>2Q12A</v>
      </c>
      <c r="BL4" s="522" t="str">
        <f>IS!BL4</f>
        <v>3Q12A</v>
      </c>
      <c r="BM4" s="522" t="str">
        <f>IS!BM4</f>
        <v>4Q12A</v>
      </c>
      <c r="BN4" s="521" t="str">
        <f>IS!BN4</f>
        <v>2012A</v>
      </c>
      <c r="BO4" s="522" t="str">
        <f>IS!BO4</f>
        <v>1Q13A</v>
      </c>
      <c r="BP4" s="522" t="str">
        <f>IS!BP4</f>
        <v>2Q13A</v>
      </c>
      <c r="BQ4" s="522" t="str">
        <f>IS!BQ4</f>
        <v>3Q13A</v>
      </c>
      <c r="BR4" s="522" t="str">
        <f>IS!BR4</f>
        <v>4Q13A</v>
      </c>
      <c r="BS4" s="521" t="str">
        <f>IS!BS4</f>
        <v>2013A</v>
      </c>
      <c r="BT4" s="522" t="str">
        <f>IS!BT4</f>
        <v>1Q14A</v>
      </c>
      <c r="BU4" s="522" t="str">
        <f>IS!BU4</f>
        <v>2Q14A</v>
      </c>
      <c r="BV4" s="522" t="str">
        <f>IS!BV4</f>
        <v>3Q14A</v>
      </c>
      <c r="BW4" s="522" t="str">
        <f>IS!BW4</f>
        <v>4Q14A</v>
      </c>
      <c r="BX4" s="521" t="str">
        <f>IS!BX4</f>
        <v>2014A</v>
      </c>
      <c r="BY4" s="522" t="str">
        <f>IS!BY4</f>
        <v>1Q15A</v>
      </c>
      <c r="BZ4" s="522" t="str">
        <f>IS!BZ4</f>
        <v>2Q15A</v>
      </c>
      <c r="CA4" s="522" t="str">
        <f>IS!CA4</f>
        <v>3Q15A</v>
      </c>
      <c r="CB4" s="522" t="str">
        <f>IS!CB4</f>
        <v>4Q15A</v>
      </c>
      <c r="CC4" s="521" t="str">
        <f>IS!CC4</f>
        <v>2015A</v>
      </c>
      <c r="CD4" s="522" t="str">
        <f>IS!CD4</f>
        <v>1Q16A</v>
      </c>
      <c r="CE4" s="522" t="str">
        <f>IS!CE4</f>
        <v>2Q16A</v>
      </c>
      <c r="CF4" s="522" t="str">
        <f>IS!CF4</f>
        <v>3Q16A</v>
      </c>
      <c r="CG4" s="522" t="str">
        <f>IS!CG4</f>
        <v>4Q16A</v>
      </c>
      <c r="CH4" s="521" t="str">
        <f>IS!CH4</f>
        <v>2016A</v>
      </c>
      <c r="CI4" s="522" t="str">
        <f>IS!CI4</f>
        <v>1Q17A</v>
      </c>
      <c r="CJ4" s="522" t="str">
        <f>IS!CJ4</f>
        <v>2Q17A</v>
      </c>
      <c r="CK4" s="522" t="str">
        <f>IS!CK4</f>
        <v>3Q17A</v>
      </c>
      <c r="CL4" s="522" t="str">
        <f>IS!CL4</f>
        <v>4Q17A</v>
      </c>
      <c r="CM4" s="521" t="str">
        <f>IS!CM4</f>
        <v>2017A</v>
      </c>
      <c r="CN4" s="522" t="str">
        <f>IS!CN4</f>
        <v>1Q18E</v>
      </c>
      <c r="CO4" s="522" t="str">
        <f>IS!CO4</f>
        <v>2Q18E</v>
      </c>
      <c r="CP4" s="522" t="str">
        <f>IS!CP4</f>
        <v>3Q18E</v>
      </c>
      <c r="CQ4" s="522" t="str">
        <f>IS!CQ4</f>
        <v>4Q18E</v>
      </c>
      <c r="CR4" s="521" t="str">
        <f>IS!CR4</f>
        <v>2018E</v>
      </c>
      <c r="CS4" s="522" t="str">
        <f>IS!CS4</f>
        <v>1Q19E</v>
      </c>
      <c r="CT4" s="522" t="str">
        <f>IS!CT4</f>
        <v>2Q19E</v>
      </c>
      <c r="CU4" s="522" t="str">
        <f>IS!CU4</f>
        <v>3Q19E</v>
      </c>
      <c r="CV4" s="522" t="str">
        <f>IS!CV4</f>
        <v>4Q19E</v>
      </c>
      <c r="CW4" s="521" t="str">
        <f>IS!CW4</f>
        <v>2019E</v>
      </c>
      <c r="CX4" s="522" t="str">
        <f>IS!CX4</f>
        <v>1Q20E</v>
      </c>
      <c r="CY4" s="522" t="str">
        <f>IS!CY4</f>
        <v>2Q20E</v>
      </c>
      <c r="CZ4" s="522" t="str">
        <f>IS!CZ4</f>
        <v>3Q20E</v>
      </c>
      <c r="DA4" s="522" t="str">
        <f>IS!DA4</f>
        <v>4Q20E</v>
      </c>
      <c r="DB4" s="521" t="str">
        <f>IS!DB4</f>
        <v>2020E</v>
      </c>
      <c r="DC4" s="37"/>
      <c r="DD4" s="37"/>
      <c r="DE4" s="37"/>
      <c r="DF4" s="37"/>
      <c r="DG4" s="37"/>
      <c r="DH4" s="37"/>
      <c r="DI4" s="37"/>
      <c r="DJ4" s="37"/>
    </row>
    <row r="5" spans="1:114" hidden="1" outlineLevel="1">
      <c r="A5" s="16"/>
      <c r="B5" s="504" t="s">
        <v>175</v>
      </c>
      <c r="C5" s="505"/>
      <c r="D5" s="506">
        <v>365</v>
      </c>
      <c r="E5" s="506">
        <v>365</v>
      </c>
      <c r="F5" s="506">
        <v>366</v>
      </c>
      <c r="G5" s="506">
        <v>90</v>
      </c>
      <c r="H5" s="506">
        <v>91</v>
      </c>
      <c r="I5" s="506">
        <v>92</v>
      </c>
      <c r="J5" s="506">
        <v>92</v>
      </c>
      <c r="K5" s="506">
        <f>SUM(G5:J5)</f>
        <v>365</v>
      </c>
      <c r="L5" s="506">
        <v>90</v>
      </c>
      <c r="M5" s="506">
        <v>91</v>
      </c>
      <c r="N5" s="506">
        <v>92</v>
      </c>
      <c r="O5" s="506">
        <v>92</v>
      </c>
      <c r="P5" s="506">
        <f>SUM(L5:O5)</f>
        <v>365</v>
      </c>
      <c r="Q5" s="506">
        <v>90</v>
      </c>
      <c r="R5" s="506">
        <v>91</v>
      </c>
      <c r="S5" s="506">
        <v>92</v>
      </c>
      <c r="T5" s="506">
        <v>92</v>
      </c>
      <c r="U5" s="506">
        <f>SUM(Q5:T5)</f>
        <v>365</v>
      </c>
      <c r="V5" s="506">
        <v>91</v>
      </c>
      <c r="W5" s="506">
        <v>91</v>
      </c>
      <c r="X5" s="506">
        <v>92</v>
      </c>
      <c r="Y5" s="506">
        <v>92</v>
      </c>
      <c r="Z5" s="506">
        <f>SUM(V5:Y5)</f>
        <v>366</v>
      </c>
      <c r="AA5" s="506">
        <v>90</v>
      </c>
      <c r="AB5" s="506">
        <v>91</v>
      </c>
      <c r="AC5" s="506">
        <v>92</v>
      </c>
      <c r="AD5" s="506">
        <v>92</v>
      </c>
      <c r="AE5" s="506">
        <f>SUM(AA5:AD5)</f>
        <v>365</v>
      </c>
      <c r="AF5" s="506">
        <v>90</v>
      </c>
      <c r="AG5" s="506">
        <v>91</v>
      </c>
      <c r="AH5" s="506">
        <v>92</v>
      </c>
      <c r="AI5" s="506">
        <v>92</v>
      </c>
      <c r="AJ5" s="506">
        <f>SUM(AF5:AI5)</f>
        <v>365</v>
      </c>
      <c r="AK5" s="506">
        <v>90</v>
      </c>
      <c r="AL5" s="506">
        <v>91</v>
      </c>
      <c r="AM5" s="506">
        <v>92</v>
      </c>
      <c r="AN5" s="506">
        <v>92</v>
      </c>
      <c r="AO5" s="506">
        <f>SUM(AK5:AN5)</f>
        <v>365</v>
      </c>
      <c r="AP5" s="506">
        <v>91</v>
      </c>
      <c r="AQ5" s="506">
        <v>91</v>
      </c>
      <c r="AR5" s="506">
        <v>92</v>
      </c>
      <c r="AS5" s="506">
        <v>92</v>
      </c>
      <c r="AT5" s="506">
        <f>SUM(AP5:AS5)</f>
        <v>366</v>
      </c>
      <c r="AU5" s="506">
        <f>+AU3-AS3</f>
        <v>90</v>
      </c>
      <c r="AV5" s="506">
        <f>+AV3-AU3</f>
        <v>91</v>
      </c>
      <c r="AW5" s="506">
        <f>+AW3-AV3</f>
        <v>92</v>
      </c>
      <c r="AX5" s="506">
        <f>+AX3-AW3</f>
        <v>92</v>
      </c>
      <c r="AY5" s="506">
        <f>SUM(AU5:AX5)</f>
        <v>365</v>
      </c>
      <c r="AZ5" s="506">
        <f>+AZ3-AX3</f>
        <v>90</v>
      </c>
      <c r="BA5" s="506">
        <f>+BA3-AZ3</f>
        <v>91</v>
      </c>
      <c r="BB5" s="506">
        <f>+BB3-BA3</f>
        <v>92</v>
      </c>
      <c r="BC5" s="506">
        <f>+BC3-BB3</f>
        <v>92</v>
      </c>
      <c r="BD5" s="506">
        <f>SUM(AZ5:BC5)</f>
        <v>365</v>
      </c>
      <c r="BE5" s="506">
        <f>+BE3-BC3</f>
        <v>90</v>
      </c>
      <c r="BF5" s="506">
        <f>+BF3-BE3</f>
        <v>91</v>
      </c>
      <c r="BG5" s="506">
        <f>+BG3-BF3</f>
        <v>92</v>
      </c>
      <c r="BH5" s="506">
        <f>+BH3-BG3</f>
        <v>92</v>
      </c>
      <c r="BI5" s="506">
        <f>SUM(BE5:BH5)</f>
        <v>365</v>
      </c>
      <c r="BJ5" s="506">
        <f>+BJ3-BH3</f>
        <v>91</v>
      </c>
      <c r="BK5" s="506">
        <f>+BK3-BJ3</f>
        <v>91</v>
      </c>
      <c r="BL5" s="506">
        <f>+BL3-BK3</f>
        <v>92</v>
      </c>
      <c r="BM5" s="506">
        <f>+BM3-BL3</f>
        <v>92</v>
      </c>
      <c r="BN5" s="506">
        <f>SUM(BJ5:BM5)</f>
        <v>366</v>
      </c>
      <c r="BO5" s="506">
        <f>+BO3-BM3</f>
        <v>90</v>
      </c>
      <c r="BP5" s="506">
        <f>+BP3-BO3</f>
        <v>91</v>
      </c>
      <c r="BQ5" s="506">
        <f>+BQ3-BP3</f>
        <v>92</v>
      </c>
      <c r="BR5" s="506">
        <f>+BR3-BQ3</f>
        <v>92</v>
      </c>
      <c r="BS5" s="506">
        <f>SUM(BO5:BR5)</f>
        <v>365</v>
      </c>
      <c r="BT5" s="506">
        <f>+BT3-BR3</f>
        <v>90</v>
      </c>
      <c r="BU5" s="506">
        <f>+BU3-BT3</f>
        <v>91</v>
      </c>
      <c r="BV5" s="506">
        <f>+BV3-BU3</f>
        <v>92</v>
      </c>
      <c r="BW5" s="506">
        <f>+BW3-BV3</f>
        <v>92</v>
      </c>
      <c r="BX5" s="506">
        <f>SUM(BT5:BW5)</f>
        <v>365</v>
      </c>
      <c r="BY5" s="506">
        <f>+BY3-BW3</f>
        <v>90</v>
      </c>
      <c r="BZ5" s="506">
        <f>+BZ3-BY3</f>
        <v>91</v>
      </c>
      <c r="CA5" s="506">
        <f>+CA3-BZ3</f>
        <v>92</v>
      </c>
      <c r="CB5" s="506">
        <f>+CB3-CA3</f>
        <v>92</v>
      </c>
      <c r="CC5" s="506">
        <f>SUM(BY5:CB5)</f>
        <v>365</v>
      </c>
      <c r="CD5" s="506">
        <f>+CD3-CB3</f>
        <v>91</v>
      </c>
      <c r="CE5" s="506">
        <f>+CE3-CD3</f>
        <v>91</v>
      </c>
      <c r="CF5" s="506">
        <f>+CF3-CE3</f>
        <v>92</v>
      </c>
      <c r="CG5" s="506">
        <f>+CG3-CF3</f>
        <v>92</v>
      </c>
      <c r="CH5" s="506">
        <f>SUM(CD5:CG5)</f>
        <v>366</v>
      </c>
      <c r="CI5" s="506">
        <f>+CI3-CG3</f>
        <v>90</v>
      </c>
      <c r="CJ5" s="506">
        <f>+CJ3-CI3</f>
        <v>91</v>
      </c>
      <c r="CK5" s="506">
        <f>+CK3-CJ3</f>
        <v>92</v>
      </c>
      <c r="CL5" s="506">
        <f>+CL3-CK3</f>
        <v>92</v>
      </c>
      <c r="CM5" s="506">
        <f>SUM(CI5:CL5)</f>
        <v>365</v>
      </c>
      <c r="CN5" s="506">
        <f>+CN3-CL3</f>
        <v>90</v>
      </c>
      <c r="CO5" s="506">
        <f>+CO3-CN3</f>
        <v>91</v>
      </c>
      <c r="CP5" s="506">
        <f>+CP3-CO3</f>
        <v>92</v>
      </c>
      <c r="CQ5" s="506">
        <f>+CQ3-CP3</f>
        <v>92</v>
      </c>
      <c r="CR5" s="506">
        <f>SUM(CN5:CQ5)</f>
        <v>365</v>
      </c>
      <c r="CS5" s="506">
        <f>+CS3-CQ3</f>
        <v>90</v>
      </c>
      <c r="CT5" s="506">
        <f>+CT3-CS3</f>
        <v>91</v>
      </c>
      <c r="CU5" s="506">
        <f>+CU3-CT3</f>
        <v>92</v>
      </c>
      <c r="CV5" s="506">
        <f>+CV3-CU3</f>
        <v>92</v>
      </c>
      <c r="CW5" s="506">
        <f>SUM(CS5:CV5)</f>
        <v>365</v>
      </c>
      <c r="CX5" s="506">
        <f>+CX3-CV3</f>
        <v>91</v>
      </c>
      <c r="CY5" s="506">
        <f>+CY3-CX3</f>
        <v>91</v>
      </c>
      <c r="CZ5" s="506">
        <f>+CZ3-CY3</f>
        <v>92</v>
      </c>
      <c r="DA5" s="506">
        <f>+DA3-CZ3</f>
        <v>92</v>
      </c>
      <c r="DB5" s="506">
        <f>SUM(CX5:DA5)</f>
        <v>366</v>
      </c>
      <c r="DC5" s="37"/>
      <c r="DD5" s="37"/>
      <c r="DE5" s="37"/>
      <c r="DF5" s="37"/>
      <c r="DG5" s="37"/>
      <c r="DH5" s="37"/>
      <c r="DI5" s="37"/>
      <c r="DJ5" s="37"/>
    </row>
    <row r="6" spans="1:114" ht="4.5" hidden="1" customHeight="1" outlineLevel="1" collapsed="1">
      <c r="A6" s="37"/>
      <c r="B6" s="507"/>
      <c r="C6" s="508"/>
      <c r="D6" s="509"/>
      <c r="E6" s="509"/>
      <c r="F6" s="509"/>
      <c r="G6" s="509"/>
      <c r="H6" s="509"/>
      <c r="I6" s="509"/>
      <c r="J6" s="509"/>
      <c r="K6" s="509"/>
      <c r="L6" s="509"/>
      <c r="M6" s="509"/>
      <c r="N6" s="509"/>
      <c r="O6" s="509"/>
      <c r="P6" s="509"/>
      <c r="Q6" s="510"/>
      <c r="R6" s="510"/>
      <c r="S6" s="510"/>
      <c r="T6" s="510"/>
      <c r="U6" s="510"/>
      <c r="V6" s="510"/>
      <c r="W6" s="510"/>
      <c r="X6" s="510"/>
      <c r="Y6" s="510"/>
      <c r="Z6" s="511"/>
      <c r="AA6" s="510"/>
      <c r="AB6" s="510"/>
      <c r="AC6" s="510"/>
      <c r="AD6" s="510"/>
      <c r="AE6" s="511"/>
      <c r="AF6" s="510"/>
      <c r="AG6" s="510"/>
      <c r="AH6" s="510"/>
      <c r="AI6" s="510"/>
      <c r="AJ6" s="510"/>
      <c r="AK6" s="152"/>
      <c r="AL6" s="152"/>
      <c r="AM6" s="152"/>
      <c r="AN6" s="152"/>
      <c r="AO6" s="511"/>
      <c r="AP6" s="152"/>
      <c r="AQ6" s="152"/>
      <c r="AR6" s="152"/>
      <c r="AS6" s="152"/>
      <c r="AT6" s="509"/>
      <c r="AU6" s="509"/>
      <c r="AV6" s="509"/>
      <c r="AW6" s="509"/>
      <c r="AX6" s="509"/>
      <c r="AY6" s="509"/>
      <c r="AZ6" s="509"/>
      <c r="BA6" s="509"/>
      <c r="BB6" s="509"/>
      <c r="BC6" s="509"/>
      <c r="BD6" s="509"/>
      <c r="BE6" s="509"/>
      <c r="BF6" s="509"/>
      <c r="BG6" s="509"/>
      <c r="BH6" s="509"/>
      <c r="BI6" s="509"/>
      <c r="BJ6" s="509"/>
      <c r="BK6" s="509"/>
      <c r="BL6" s="509"/>
      <c r="BM6" s="509"/>
      <c r="BN6" s="509"/>
      <c r="BO6" s="509"/>
      <c r="BP6" s="509"/>
      <c r="BQ6" s="509"/>
      <c r="BR6" s="509"/>
      <c r="BS6" s="509"/>
      <c r="BT6" s="509"/>
      <c r="BU6" s="509"/>
      <c r="BV6" s="509"/>
      <c r="BW6" s="509"/>
      <c r="BX6" s="509"/>
      <c r="BY6" s="509"/>
      <c r="BZ6" s="509"/>
      <c r="CA6" s="509"/>
      <c r="CB6" s="509"/>
      <c r="CC6" s="509"/>
      <c r="CD6" s="509"/>
      <c r="CE6" s="509"/>
      <c r="CF6" s="509"/>
      <c r="CG6" s="509"/>
      <c r="CH6" s="509"/>
      <c r="CI6" s="509"/>
      <c r="CJ6" s="509"/>
      <c r="CK6" s="509"/>
      <c r="CL6" s="509"/>
      <c r="CM6" s="509"/>
      <c r="CN6" s="509"/>
      <c r="CO6" s="509"/>
      <c r="CP6" s="509"/>
      <c r="CQ6" s="509"/>
      <c r="CR6" s="509"/>
      <c r="CS6" s="509"/>
      <c r="CT6" s="509"/>
      <c r="CU6" s="509"/>
      <c r="CV6" s="509"/>
      <c r="CW6" s="509"/>
      <c r="CX6" s="509"/>
      <c r="CY6" s="509"/>
      <c r="CZ6" s="509"/>
      <c r="DA6" s="509"/>
      <c r="DB6" s="509"/>
      <c r="DC6" s="37"/>
      <c r="DD6" s="37"/>
      <c r="DE6" s="37"/>
      <c r="DF6" s="37"/>
      <c r="DG6" s="37"/>
      <c r="DH6" s="37"/>
      <c r="DI6" s="37"/>
      <c r="DJ6" s="37"/>
    </row>
    <row r="7" spans="1:114" hidden="1" outlineLevel="1">
      <c r="A7" s="461"/>
      <c r="B7" s="462" t="s">
        <v>261</v>
      </c>
      <c r="C7" s="463"/>
      <c r="D7" s="464"/>
      <c r="E7" s="465"/>
      <c r="F7" s="464"/>
      <c r="G7" s="466"/>
      <c r="H7" s="466"/>
      <c r="I7" s="466"/>
      <c r="J7" s="466"/>
      <c r="K7" s="464"/>
      <c r="L7" s="466"/>
      <c r="M7" s="466"/>
      <c r="N7" s="466"/>
      <c r="O7" s="466"/>
      <c r="P7" s="464"/>
      <c r="Q7" s="466"/>
      <c r="R7" s="466"/>
      <c r="S7" s="466"/>
      <c r="T7" s="466"/>
      <c r="U7" s="464"/>
      <c r="V7" s="466"/>
      <c r="W7" s="466"/>
      <c r="X7" s="466"/>
      <c r="Y7" s="466"/>
      <c r="Z7" s="464"/>
      <c r="AA7" s="466"/>
      <c r="AB7" s="466"/>
      <c r="AC7" s="466"/>
      <c r="AD7" s="466"/>
      <c r="AE7" s="464"/>
      <c r="AF7" s="466"/>
      <c r="AG7" s="466"/>
      <c r="AH7" s="466"/>
      <c r="AI7" s="466"/>
      <c r="AJ7" s="464"/>
      <c r="AK7" s="466"/>
      <c r="AL7" s="466"/>
      <c r="AM7" s="466"/>
      <c r="AN7" s="466"/>
      <c r="AO7" s="464"/>
      <c r="AP7" s="466"/>
      <c r="AQ7" s="466"/>
      <c r="AR7" s="466"/>
      <c r="AS7" s="466"/>
      <c r="AT7" s="464"/>
      <c r="AU7" s="466"/>
      <c r="AV7" s="466"/>
      <c r="AW7" s="466"/>
      <c r="AX7" s="466"/>
      <c r="AY7" s="464"/>
      <c r="AZ7" s="466"/>
      <c r="BA7" s="466"/>
      <c r="BB7" s="466"/>
      <c r="BC7" s="466"/>
      <c r="BD7" s="464"/>
      <c r="BE7" s="466"/>
      <c r="BF7" s="466"/>
      <c r="BG7" s="466"/>
      <c r="BH7" s="466"/>
      <c r="BI7" s="464"/>
      <c r="BJ7" s="466"/>
      <c r="BK7" s="466"/>
      <c r="BL7" s="466"/>
      <c r="BM7" s="466"/>
      <c r="BN7" s="464"/>
      <c r="BO7" s="466"/>
      <c r="BP7" s="466"/>
      <c r="BQ7" s="466"/>
      <c r="BR7" s="466"/>
      <c r="BS7" s="464"/>
      <c r="BT7" s="466"/>
      <c r="BU7" s="466"/>
      <c r="BV7" s="466"/>
      <c r="BW7" s="466"/>
      <c r="BX7" s="464"/>
      <c r="BY7" s="466"/>
      <c r="BZ7" s="466"/>
      <c r="CA7" s="466"/>
      <c r="CB7" s="466"/>
      <c r="CC7" s="464"/>
      <c r="CD7" s="466"/>
      <c r="CE7" s="466"/>
      <c r="CF7" s="466"/>
      <c r="CG7" s="466"/>
      <c r="CH7" s="464"/>
      <c r="CI7" s="466"/>
      <c r="CJ7" s="466"/>
      <c r="CK7" s="466"/>
      <c r="CL7" s="466"/>
      <c r="CM7" s="464"/>
      <c r="CN7" s="466"/>
      <c r="CO7" s="466"/>
      <c r="CP7" s="466"/>
      <c r="CQ7" s="466"/>
      <c r="CR7" s="464"/>
      <c r="CS7" s="466"/>
      <c r="CT7" s="466"/>
      <c r="CU7" s="466"/>
      <c r="CV7" s="466"/>
      <c r="CW7" s="464"/>
      <c r="CX7" s="466"/>
      <c r="CY7" s="466"/>
      <c r="CZ7" s="466"/>
      <c r="DA7" s="466"/>
      <c r="DB7" s="464"/>
      <c r="DC7" s="37"/>
      <c r="DD7" s="37"/>
      <c r="DE7" s="37"/>
      <c r="DF7" s="37"/>
      <c r="DG7" s="37"/>
      <c r="DH7" s="37"/>
      <c r="DI7" s="37"/>
      <c r="DJ7" s="37"/>
    </row>
    <row r="8" spans="1:114" hidden="1" outlineLevel="1">
      <c r="A8" s="396"/>
      <c r="B8" s="37" t="s">
        <v>264</v>
      </c>
      <c r="C8" s="157"/>
      <c r="D8" s="80">
        <f>'Revenue Model'!D93</f>
        <v>100114</v>
      </c>
      <c r="E8" s="81">
        <f>'Revenue Model'!E93</f>
        <v>120414</v>
      </c>
      <c r="F8" s="82">
        <f>'Revenue Model'!F93</f>
        <v>143310</v>
      </c>
      <c r="G8" s="93">
        <f>'Revenue Model'!G93</f>
        <v>42882</v>
      </c>
      <c r="H8" s="93">
        <f>'Revenue Model'!H93</f>
        <v>39677</v>
      </c>
      <c r="I8" s="93">
        <f>'Revenue Model'!I93</f>
        <v>40772</v>
      </c>
      <c r="J8" s="93">
        <f>'Revenue Model'!J93</f>
        <v>46243</v>
      </c>
      <c r="K8" s="82">
        <f>'Revenue Model'!K93</f>
        <v>169574</v>
      </c>
      <c r="L8" s="93">
        <f>'Revenue Model'!L93</f>
        <v>53515</v>
      </c>
      <c r="M8" s="93">
        <f>'Revenue Model'!M93</f>
        <v>50771</v>
      </c>
      <c r="N8" s="93">
        <f>'Revenue Model'!N93</f>
        <v>52032</v>
      </c>
      <c r="O8" s="93">
        <f>'Revenue Model'!O93</f>
        <v>53649</v>
      </c>
      <c r="P8" s="82">
        <f>'Revenue Model'!P93</f>
        <v>209967</v>
      </c>
      <c r="Q8" s="93">
        <f>'Revenue Model'!Q93</f>
        <v>61648</v>
      </c>
      <c r="R8" s="93">
        <f>'Revenue Model'!R93</f>
        <v>57979</v>
      </c>
      <c r="S8" s="93">
        <f>'Revenue Model'!S93</f>
        <v>64264</v>
      </c>
      <c r="T8" s="93">
        <f>'Revenue Model'!T93</f>
        <v>70976</v>
      </c>
      <c r="U8" s="82">
        <f>'Revenue Model'!U93</f>
        <v>254867</v>
      </c>
      <c r="V8" s="93">
        <f>'Revenue Model'!V93</f>
        <v>72633</v>
      </c>
      <c r="W8" s="93">
        <f>'Revenue Model'!W93</f>
        <v>69145</v>
      </c>
      <c r="X8" s="93">
        <f>'Revenue Model'!X93</f>
        <v>69208</v>
      </c>
      <c r="Y8" s="93">
        <f>'Revenue Model'!Y93</f>
        <v>70706</v>
      </c>
      <c r="Z8" s="82">
        <f>'Revenue Model'!Z93</f>
        <v>281692</v>
      </c>
      <c r="AA8" s="93">
        <f>'Revenue Model'!AA93</f>
        <v>75885</v>
      </c>
      <c r="AB8" s="93">
        <f>'Revenue Model'!AB93</f>
        <v>70844</v>
      </c>
      <c r="AC8" s="93">
        <f>'Revenue Model'!AC93</f>
        <v>71337</v>
      </c>
      <c r="AD8" s="93">
        <f>'Revenue Model'!AD93</f>
        <v>73962</v>
      </c>
      <c r="AE8" s="82">
        <f>'Revenue Model'!AE93</f>
        <v>292028</v>
      </c>
      <c r="AF8" s="93">
        <f>'Revenue Model'!AF93</f>
        <v>78966</v>
      </c>
      <c r="AG8" s="93">
        <f>'Revenue Model'!AG93</f>
        <v>78248</v>
      </c>
      <c r="AH8" s="93">
        <f>'Revenue Model'!AH93</f>
        <v>83423</v>
      </c>
      <c r="AI8" s="93">
        <f>'Revenue Model'!AI93</f>
        <v>85598</v>
      </c>
      <c r="AJ8" s="82">
        <f>'Revenue Model'!AJ93</f>
        <v>326235</v>
      </c>
      <c r="AK8" s="93">
        <f>'Revenue Model'!AK93</f>
        <v>89024</v>
      </c>
      <c r="AL8" s="93">
        <f>'Revenue Model'!AL93</f>
        <v>86739</v>
      </c>
      <c r="AM8" s="93">
        <f>'Revenue Model'!AM93</f>
        <v>141847</v>
      </c>
      <c r="AN8" s="93">
        <f>'Revenue Model'!AN93</f>
        <v>163107</v>
      </c>
      <c r="AO8" s="82">
        <f>'Revenue Model'!AO93</f>
        <v>480717</v>
      </c>
      <c r="AP8" s="93">
        <f>'Revenue Model'!AP93</f>
        <v>177280</v>
      </c>
      <c r="AQ8" s="93">
        <f>'Revenue Model'!AQ93</f>
        <v>165155</v>
      </c>
      <c r="AR8" s="93">
        <f>'Revenue Model'!AR93</f>
        <v>164437</v>
      </c>
      <c r="AS8" s="93">
        <f>'Revenue Model'!AS93</f>
        <v>163664</v>
      </c>
      <c r="AT8" s="82">
        <f>'Revenue Model'!AT93</f>
        <v>670536</v>
      </c>
      <c r="AU8" s="93">
        <f>'Revenue Model'!AU93</f>
        <v>170886</v>
      </c>
      <c r="AV8" s="93">
        <f>'Revenue Model'!AV93</f>
        <v>173494</v>
      </c>
      <c r="AW8" s="93">
        <f>'Revenue Model'!AW93</f>
        <v>175107</v>
      </c>
      <c r="AX8" s="93">
        <f>'Revenue Model'!AX93</f>
        <v>171648</v>
      </c>
      <c r="AY8" s="82">
        <f>'Revenue Model'!AY93</f>
        <v>691135</v>
      </c>
      <c r="AZ8" s="93">
        <f>'Revenue Model'!AZ93</f>
        <v>177413</v>
      </c>
      <c r="BA8" s="93">
        <f>'Revenue Model'!BA93</f>
        <v>171082</v>
      </c>
      <c r="BB8" s="93">
        <f>'Revenue Model'!BB93</f>
        <v>169775</v>
      </c>
      <c r="BC8" s="93">
        <f>'Revenue Model'!BC93</f>
        <v>175112</v>
      </c>
      <c r="BD8" s="82">
        <f>'Revenue Model'!BD93</f>
        <v>693382</v>
      </c>
      <c r="BE8" s="93">
        <f>'Revenue Model'!BE93</f>
        <v>179079</v>
      </c>
      <c r="BF8" s="93">
        <f>'Revenue Model'!BF93</f>
        <v>168336</v>
      </c>
      <c r="BG8" s="93">
        <f>'Revenue Model'!BG93</f>
        <v>164842</v>
      </c>
      <c r="BH8" s="93">
        <f>'Revenue Model'!BH93</f>
        <v>165542</v>
      </c>
      <c r="BI8" s="82">
        <f>'Revenue Model'!BI93</f>
        <v>677799</v>
      </c>
      <c r="BJ8" s="93">
        <f>'Revenue Model'!BJ93</f>
        <v>181888</v>
      </c>
      <c r="BK8" s="93">
        <f>'Revenue Model'!BK93</f>
        <v>173449</v>
      </c>
      <c r="BL8" s="93">
        <f>'Revenue Model'!BL93</f>
        <v>173108</v>
      </c>
      <c r="BM8" s="93">
        <f>'Revenue Model'!BM93</f>
        <v>173392</v>
      </c>
      <c r="BN8" s="82">
        <f>'Revenue Model'!BN93</f>
        <v>701837</v>
      </c>
      <c r="BO8" s="93">
        <f>'Revenue Model'!BO93</f>
        <v>173956</v>
      </c>
      <c r="BP8" s="93">
        <f>'Revenue Model'!BP93</f>
        <v>164588</v>
      </c>
      <c r="BQ8" s="93">
        <f>'Revenue Model'!BQ93</f>
        <v>161256</v>
      </c>
      <c r="BR8" s="93">
        <f>'Revenue Model'!BR93</f>
        <v>155145</v>
      </c>
      <c r="BS8" s="82">
        <f>'Revenue Model'!BS93</f>
        <v>654945</v>
      </c>
      <c r="BT8" s="93">
        <f>'Revenue Model'!BT93</f>
        <v>213720</v>
      </c>
      <c r="BU8" s="93">
        <f>'Revenue Model'!BU93</f>
        <v>238906</v>
      </c>
      <c r="BV8" s="93">
        <f>'Revenue Model'!BV93</f>
        <v>236258</v>
      </c>
      <c r="BW8" s="93">
        <f>'Revenue Model'!BW93</f>
        <v>238740</v>
      </c>
      <c r="BX8" s="82">
        <f>'Revenue Model'!BX93</f>
        <v>927624</v>
      </c>
      <c r="BY8" s="93">
        <f>'Revenue Model'!BY93</f>
        <v>246015</v>
      </c>
      <c r="BZ8" s="93">
        <f>'Revenue Model'!BZ93</f>
        <v>233517</v>
      </c>
      <c r="CA8" s="93">
        <f>'Revenue Model'!CA93</f>
        <v>230510</v>
      </c>
      <c r="CB8" s="93">
        <f>'Revenue Model'!CB93</f>
        <v>230250</v>
      </c>
      <c r="CC8" s="82">
        <f>'Revenue Model'!CC93</f>
        <v>940292</v>
      </c>
      <c r="CD8" s="93">
        <f>'Revenue Model'!CD93</f>
        <v>239700</v>
      </c>
      <c r="CE8" s="93">
        <f>'Revenue Model'!CE93</f>
        <v>212259</v>
      </c>
      <c r="CF8" s="93">
        <f>'Revenue Model'!CF93</f>
        <v>201957</v>
      </c>
      <c r="CG8" s="93">
        <f>'Revenue Model'!CG93</f>
        <v>203496</v>
      </c>
      <c r="CH8" s="82">
        <f>'Revenue Model'!CH93</f>
        <v>857412</v>
      </c>
      <c r="CI8" s="93">
        <f>'Revenue Model'!CI93</f>
        <v>212242</v>
      </c>
      <c r="CJ8" s="93">
        <f>'Revenue Model'!CJ93</f>
        <v>189435</v>
      </c>
      <c r="CK8" s="93">
        <f>'Revenue Model'!CK93</f>
        <v>171994</v>
      </c>
      <c r="CL8" s="93">
        <f>'Revenue Model'!CL93</f>
        <v>164365</v>
      </c>
      <c r="CM8" s="82">
        <f>'Revenue Model'!CM93</f>
        <v>738036</v>
      </c>
      <c r="CN8" s="93">
        <f ca="1">'Revenue Model'!CN93</f>
        <v>155674.65975099281</v>
      </c>
      <c r="CO8" s="93">
        <f ca="1">'Revenue Model'!CO93</f>
        <v>147447.39249593922</v>
      </c>
      <c r="CP8" s="93">
        <f ca="1">'Revenue Model'!CP93</f>
        <v>138369.54399947109</v>
      </c>
      <c r="CQ8" s="93">
        <f ca="1">'Revenue Model'!CQ93</f>
        <v>134702.482158789</v>
      </c>
      <c r="CR8" s="82">
        <f ca="1">'Revenue Model'!CR93</f>
        <v>576194.07840519212</v>
      </c>
      <c r="CS8" s="93">
        <f ca="1">'Revenue Model'!CS93</f>
        <v>137047.2289193777</v>
      </c>
      <c r="CT8" s="93">
        <f ca="1">'Revenue Model'!CT93</f>
        <v>136553.56176132811</v>
      </c>
      <c r="CU8" s="93">
        <f ca="1">'Revenue Model'!CU93</f>
        <v>136899.4418112337</v>
      </c>
      <c r="CV8" s="93">
        <f ca="1">'Revenue Model'!CV93</f>
        <v>135706.61309601646</v>
      </c>
      <c r="CW8" s="82">
        <f ca="1">'Revenue Model'!CW93</f>
        <v>546206.84558795602</v>
      </c>
      <c r="CX8" s="93">
        <f ca="1">'Revenue Model'!CX93</f>
        <v>136457.55540158658</v>
      </c>
      <c r="CY8" s="93">
        <f ca="1">'Revenue Model'!CY93</f>
        <v>136048.18273538182</v>
      </c>
      <c r="CZ8" s="93">
        <f ca="1">'Revenue Model'!CZ93</f>
        <v>135640.03818717567</v>
      </c>
      <c r="DA8" s="93">
        <f ca="1">'Revenue Model'!DA93</f>
        <v>135233.11807261413</v>
      </c>
      <c r="DB8" s="82">
        <f ca="1">'Revenue Model'!DB93</f>
        <v>543378.89439675817</v>
      </c>
      <c r="DC8" s="37"/>
      <c r="DD8" s="37"/>
      <c r="DE8" s="37"/>
      <c r="DF8" s="37"/>
      <c r="DG8" s="37"/>
      <c r="DH8" s="37"/>
      <c r="DI8" s="37"/>
      <c r="DJ8" s="37"/>
    </row>
    <row r="9" spans="1:114" hidden="1" outlineLevel="1">
      <c r="A9" s="457"/>
      <c r="B9" s="55" t="s">
        <v>183</v>
      </c>
      <c r="C9" s="460"/>
      <c r="D9" s="96"/>
      <c r="E9" s="97"/>
      <c r="F9" s="96"/>
      <c r="G9" s="54"/>
      <c r="H9" s="54"/>
      <c r="I9" s="54"/>
      <c r="J9" s="54"/>
      <c r="K9" s="78">
        <f t="shared" ref="K9:AP9" si="0">K8/F8-1</f>
        <v>0.18326704347219325</v>
      </c>
      <c r="L9" s="52">
        <f t="shared" si="0"/>
        <v>0.24795951681358153</v>
      </c>
      <c r="M9" s="52">
        <f t="shared" si="0"/>
        <v>0.27960783325352212</v>
      </c>
      <c r="N9" s="52">
        <f t="shared" si="0"/>
        <v>0.2761699205336996</v>
      </c>
      <c r="O9" s="52">
        <f t="shared" si="0"/>
        <v>0.16015396924939984</v>
      </c>
      <c r="P9" s="78">
        <f t="shared" si="0"/>
        <v>0.238202790522132</v>
      </c>
      <c r="Q9" s="52">
        <f t="shared" si="0"/>
        <v>0.15197608147248443</v>
      </c>
      <c r="R9" s="52">
        <f t="shared" si="0"/>
        <v>0.14197081010813251</v>
      </c>
      <c r="S9" s="52">
        <f t="shared" si="0"/>
        <v>0.23508610086100856</v>
      </c>
      <c r="T9" s="52">
        <f t="shared" si="0"/>
        <v>0.32296967324647241</v>
      </c>
      <c r="U9" s="78">
        <f t="shared" si="0"/>
        <v>0.21384312772959557</v>
      </c>
      <c r="V9" s="52">
        <f t="shared" si="0"/>
        <v>0.17818907344926038</v>
      </c>
      <c r="W9" s="52">
        <f t="shared" si="0"/>
        <v>0.19258697114472478</v>
      </c>
      <c r="X9" s="52">
        <f t="shared" si="0"/>
        <v>7.6932652807170321E-2</v>
      </c>
      <c r="Y9" s="52">
        <f t="shared" si="0"/>
        <v>-3.8041027953110707E-3</v>
      </c>
      <c r="Z9" s="78">
        <f t="shared" si="0"/>
        <v>0.10525097403743922</v>
      </c>
      <c r="AA9" s="52">
        <f t="shared" si="0"/>
        <v>4.4773037049275155E-2</v>
      </c>
      <c r="AB9" s="52">
        <f t="shared" si="0"/>
        <v>2.4571552534528918E-2</v>
      </c>
      <c r="AC9" s="52">
        <f t="shared" si="0"/>
        <v>3.0762339613917389E-2</v>
      </c>
      <c r="AD9" s="52">
        <f t="shared" si="0"/>
        <v>4.6049840183294277E-2</v>
      </c>
      <c r="AE9" s="78">
        <f t="shared" si="0"/>
        <v>3.66925578291184E-2</v>
      </c>
      <c r="AF9" s="52">
        <f t="shared" si="0"/>
        <v>4.0600909270606778E-2</v>
      </c>
      <c r="AG9" s="52">
        <f t="shared" si="0"/>
        <v>0.10451132064818469</v>
      </c>
      <c r="AH9" s="52">
        <f t="shared" si="0"/>
        <v>0.1694211979758049</v>
      </c>
      <c r="AI9" s="52">
        <f t="shared" si="0"/>
        <v>0.15732403125929539</v>
      </c>
      <c r="AJ9" s="78">
        <f t="shared" si="0"/>
        <v>0.11713602805210455</v>
      </c>
      <c r="AK9" s="52">
        <f t="shared" si="0"/>
        <v>0.12737127371273704</v>
      </c>
      <c r="AL9" s="52">
        <f t="shared" si="0"/>
        <v>0.10851395562825883</v>
      </c>
      <c r="AM9" s="52">
        <f t="shared" si="0"/>
        <v>0.70033444014240676</v>
      </c>
      <c r="AN9" s="52">
        <f t="shared" si="0"/>
        <v>0.90550012850767536</v>
      </c>
      <c r="AO9" s="78">
        <f t="shared" si="0"/>
        <v>0.47352981746287193</v>
      </c>
      <c r="AP9" s="52">
        <f t="shared" si="0"/>
        <v>0.99137311286843999</v>
      </c>
      <c r="AQ9" s="52">
        <f t="shared" ref="AQ9:BK9" si="1">AQ8/AL8-1</f>
        <v>0.90404546974256106</v>
      </c>
      <c r="AR9" s="52">
        <f t="shared" si="1"/>
        <v>0.15925609988226741</v>
      </c>
      <c r="AS9" s="52">
        <f t="shared" si="1"/>
        <v>3.4149362075202028E-3</v>
      </c>
      <c r="AT9" s="78">
        <f t="shared" si="1"/>
        <v>0.39486641828768287</v>
      </c>
      <c r="AU9" s="52">
        <f t="shared" si="1"/>
        <v>-3.6067238267147972E-2</v>
      </c>
      <c r="AV9" s="52">
        <f t="shared" si="1"/>
        <v>5.0491962096212539E-2</v>
      </c>
      <c r="AW9" s="52">
        <f t="shared" si="1"/>
        <v>6.4888072635720606E-2</v>
      </c>
      <c r="AX9" s="52">
        <f t="shared" si="1"/>
        <v>4.8782872226023954E-2</v>
      </c>
      <c r="AY9" s="78">
        <f t="shared" si="1"/>
        <v>3.0720199959435535E-2</v>
      </c>
      <c r="AZ9" s="52">
        <f t="shared" si="1"/>
        <v>3.8195054012616581E-2</v>
      </c>
      <c r="BA9" s="52">
        <f t="shared" si="1"/>
        <v>-1.3902498069097491E-2</v>
      </c>
      <c r="BB9" s="52">
        <f t="shared" si="1"/>
        <v>-3.0449953457029166E-2</v>
      </c>
      <c r="BC9" s="52">
        <f t="shared" si="1"/>
        <v>2.0180835197613822E-2</v>
      </c>
      <c r="BD9" s="78">
        <f t="shared" si="1"/>
        <v>3.2511737938318852E-3</v>
      </c>
      <c r="BE9" s="52">
        <f t="shared" si="1"/>
        <v>9.3905181694688977E-3</v>
      </c>
      <c r="BF9" s="52">
        <f t="shared" si="1"/>
        <v>-1.6050782665622321E-2</v>
      </c>
      <c r="BG9" s="52">
        <f t="shared" si="1"/>
        <v>-2.9056103666617594E-2</v>
      </c>
      <c r="BH9" s="52">
        <f t="shared" si="1"/>
        <v>-5.4650737813513595E-2</v>
      </c>
      <c r="BI9" s="78">
        <f t="shared" si="1"/>
        <v>-2.2473903274097151E-2</v>
      </c>
      <c r="BJ9" s="52">
        <f t="shared" si="1"/>
        <v>1.5685814640465923E-2</v>
      </c>
      <c r="BK9" s="52">
        <f t="shared" si="1"/>
        <v>3.0373776257009766E-2</v>
      </c>
      <c r="BL9" s="52">
        <f t="shared" ref="BL9:CL9" si="2">BL8/BG8-1</f>
        <v>5.0144987321192325E-2</v>
      </c>
      <c r="BM9" s="52">
        <f t="shared" si="2"/>
        <v>4.7419990093148456E-2</v>
      </c>
      <c r="BN9" s="78">
        <f t="shared" si="2"/>
        <v>3.5464791184407263E-2</v>
      </c>
      <c r="BO9" s="52">
        <f t="shared" si="2"/>
        <v>-4.3609254046446111E-2</v>
      </c>
      <c r="BP9" s="52">
        <f t="shared" si="2"/>
        <v>-5.1087063055999193E-2</v>
      </c>
      <c r="BQ9" s="52">
        <f t="shared" si="2"/>
        <v>-6.8465928784342767E-2</v>
      </c>
      <c r="BR9" s="52">
        <f t="shared" si="2"/>
        <v>-0.10523553566485189</v>
      </c>
      <c r="BS9" s="78">
        <f t="shared" si="2"/>
        <v>-6.6813234411978839E-2</v>
      </c>
      <c r="BT9" s="52">
        <f t="shared" si="2"/>
        <v>0.22858653912483606</v>
      </c>
      <c r="BU9" s="52">
        <f t="shared" si="2"/>
        <v>0.45153960191508502</v>
      </c>
      <c r="BV9" s="52">
        <f t="shared" si="2"/>
        <v>0.46511137570074923</v>
      </c>
      <c r="BW9" s="52">
        <f t="shared" si="2"/>
        <v>0.53881852460601376</v>
      </c>
      <c r="BX9" s="78">
        <f t="shared" si="2"/>
        <v>0.41633877653848805</v>
      </c>
      <c r="BY9" s="52">
        <f t="shared" si="2"/>
        <v>0.15110892756878158</v>
      </c>
      <c r="BZ9" s="52">
        <f t="shared" si="2"/>
        <v>-2.2556988941257239E-2</v>
      </c>
      <c r="CA9" s="52">
        <f t="shared" si="2"/>
        <v>-2.4329334879665487E-2</v>
      </c>
      <c r="CB9" s="52">
        <f t="shared" si="2"/>
        <v>-3.5561698919326479E-2</v>
      </c>
      <c r="CC9" s="78">
        <f t="shared" ref="CC9:CH9" si="3">CC8/BX8-1</f>
        <v>1.3656395263598187E-2</v>
      </c>
      <c r="CD9" s="52">
        <f t="shared" si="2"/>
        <v>-2.5669166514236896E-2</v>
      </c>
      <c r="CE9" s="52">
        <f t="shared" si="2"/>
        <v>-9.1034057477614061E-2</v>
      </c>
      <c r="CF9" s="52">
        <f t="shared" si="2"/>
        <v>-0.12386881263285754</v>
      </c>
      <c r="CG9" s="52">
        <f t="shared" si="2"/>
        <v>-0.11619543973941371</v>
      </c>
      <c r="CH9" s="78">
        <f t="shared" si="3"/>
        <v>-8.8142832226584922E-2</v>
      </c>
      <c r="CI9" s="52">
        <f t="shared" si="2"/>
        <v>-0.11455152273675429</v>
      </c>
      <c r="CJ9" s="52">
        <f t="shared" si="2"/>
        <v>-0.10752900937062737</v>
      </c>
      <c r="CK9" s="52">
        <f t="shared" si="2"/>
        <v>-0.14836326544759526</v>
      </c>
      <c r="CL9" s="52">
        <f t="shared" si="2"/>
        <v>-0.19229370601879148</v>
      </c>
      <c r="CM9" s="78">
        <f t="shared" ref="CM9:CW9" si="4">CM8/CH8-1</f>
        <v>-0.13922828231935169</v>
      </c>
      <c r="CN9" s="52">
        <f t="shared" ca="1" si="4"/>
        <v>-0.26652283831196077</v>
      </c>
      <c r="CO9" s="52">
        <f t="shared" ca="1" si="4"/>
        <v>-0.22164651465706331</v>
      </c>
      <c r="CP9" s="52">
        <f t="shared" ca="1" si="4"/>
        <v>-0.19549784295108497</v>
      </c>
      <c r="CQ9" s="52">
        <f t="shared" ca="1" si="4"/>
        <v>-0.18046736130691443</v>
      </c>
      <c r="CR9" s="78">
        <f t="shared" ca="1" si="4"/>
        <v>-0.21928729979947847</v>
      </c>
      <c r="CS9" s="52">
        <f t="shared" ca="1" si="4"/>
        <v>-0.11965615252611028</v>
      </c>
      <c r="CT9" s="52">
        <f t="shared" ca="1" si="4"/>
        <v>-7.3882830684246503E-2</v>
      </c>
      <c r="CU9" s="52">
        <f t="shared" ca="1" si="4"/>
        <v>-1.0624463633724268E-2</v>
      </c>
      <c r="CV9" s="52">
        <f t="shared" ca="1" si="4"/>
        <v>7.4544352942491621E-3</v>
      </c>
      <c r="CW9" s="78">
        <f t="shared" ca="1" si="4"/>
        <v>-5.2043632416764352E-2</v>
      </c>
      <c r="CX9" s="52">
        <f t="shared" ref="CX9" ca="1" si="5">CX8/CS8-1</f>
        <v>-4.3027029618964985E-3</v>
      </c>
      <c r="CY9" s="52">
        <f t="shared" ref="CY9" ca="1" si="6">CY8/CT8-1</f>
        <v>-3.700958213229133E-3</v>
      </c>
      <c r="CZ9" s="52">
        <f t="shared" ref="CZ9" ca="1" si="7">CZ8/CU8-1</f>
        <v>-9.199479613617334E-3</v>
      </c>
      <c r="DA9" s="52">
        <f t="shared" ref="DA9" ca="1" si="8">DA8/CV8-1</f>
        <v>-3.4891079557582971E-3</v>
      </c>
      <c r="DB9" s="78">
        <f t="shared" ref="DB9" ca="1" si="9">DB8/CW8-1</f>
        <v>-5.1774363760559439E-3</v>
      </c>
      <c r="DC9" s="54"/>
      <c r="DD9" s="54"/>
      <c r="DE9" s="54"/>
      <c r="DF9" s="54"/>
      <c r="DG9" s="54"/>
      <c r="DH9" s="54"/>
      <c r="DI9" s="54"/>
      <c r="DJ9" s="54"/>
    </row>
    <row r="10" spans="1:114" hidden="1" outlineLevel="1">
      <c r="A10" s="396"/>
      <c r="B10" s="37" t="s">
        <v>238</v>
      </c>
      <c r="C10" s="157"/>
      <c r="D10" s="81">
        <f>'Revenue Model'!D102</f>
        <v>177075</v>
      </c>
      <c r="E10" s="81">
        <f>'Revenue Model'!E102</f>
        <v>217006</v>
      </c>
      <c r="F10" s="82">
        <f>'Revenue Model'!F102</f>
        <v>262419</v>
      </c>
      <c r="G10" s="93">
        <f>'Revenue Model'!G102</f>
        <v>76137</v>
      </c>
      <c r="H10" s="93">
        <f>'Revenue Model'!H102</f>
        <v>73546</v>
      </c>
      <c r="I10" s="93">
        <f>'Revenue Model'!I102</f>
        <v>76905</v>
      </c>
      <c r="J10" s="93">
        <f>'Revenue Model'!J102</f>
        <v>84551</v>
      </c>
      <c r="K10" s="82">
        <f>'Revenue Model'!K102</f>
        <v>311139</v>
      </c>
      <c r="L10" s="93">
        <f>'Revenue Model'!L102</f>
        <v>96281</v>
      </c>
      <c r="M10" s="93">
        <f>'Revenue Model'!M102</f>
        <v>94871</v>
      </c>
      <c r="N10" s="93">
        <f>'Revenue Model'!N102</f>
        <v>97848</v>
      </c>
      <c r="O10" s="93">
        <f>'Revenue Model'!O102</f>
        <v>98292</v>
      </c>
      <c r="P10" s="82">
        <f>'Revenue Model'!P102</f>
        <v>387292</v>
      </c>
      <c r="Q10" s="93">
        <f>'Revenue Model'!Q102</f>
        <v>110730</v>
      </c>
      <c r="R10" s="93">
        <f>'Revenue Model'!R102</f>
        <v>107096</v>
      </c>
      <c r="S10" s="93">
        <f>'Revenue Model'!S102</f>
        <v>119640</v>
      </c>
      <c r="T10" s="93">
        <f>'Revenue Model'!T102</f>
        <v>128313</v>
      </c>
      <c r="U10" s="82">
        <f>'Revenue Model'!U102</f>
        <v>465779</v>
      </c>
      <c r="V10" s="93">
        <f>'Revenue Model'!V102</f>
        <v>130972</v>
      </c>
      <c r="W10" s="93">
        <f>'Revenue Model'!W102</f>
        <v>128265</v>
      </c>
      <c r="X10" s="93">
        <f>'Revenue Model'!X102</f>
        <v>131301</v>
      </c>
      <c r="Y10" s="93">
        <f>'Revenue Model'!Y102</f>
        <v>131531</v>
      </c>
      <c r="Z10" s="82">
        <f>'Revenue Model'!Z102</f>
        <v>522069</v>
      </c>
      <c r="AA10" s="93">
        <f>'Revenue Model'!AA102</f>
        <v>135341</v>
      </c>
      <c r="AB10" s="93">
        <f>'Revenue Model'!AB102</f>
        <v>132764</v>
      </c>
      <c r="AC10" s="93">
        <f>'Revenue Model'!AC102</f>
        <v>134952</v>
      </c>
      <c r="AD10" s="93">
        <f>'Revenue Model'!AD102</f>
        <v>136195</v>
      </c>
      <c r="AE10" s="82">
        <f>'Revenue Model'!AE102</f>
        <v>539252</v>
      </c>
      <c r="AF10" s="93">
        <f>'Revenue Model'!AF102</f>
        <v>143168</v>
      </c>
      <c r="AG10" s="93">
        <f>'Revenue Model'!AG102</f>
        <v>147223</v>
      </c>
      <c r="AH10" s="93">
        <f>'Revenue Model'!AH102</f>
        <v>156319</v>
      </c>
      <c r="AI10" s="93">
        <f>'Revenue Model'!AI102</f>
        <v>158944</v>
      </c>
      <c r="AJ10" s="82">
        <f>'Revenue Model'!AJ102</f>
        <v>605654</v>
      </c>
      <c r="AK10" s="93">
        <f>'Revenue Model'!AK102</f>
        <v>163016</v>
      </c>
      <c r="AL10" s="93">
        <f>'Revenue Model'!AL102</f>
        <v>163882</v>
      </c>
      <c r="AM10" s="93">
        <f>'Revenue Model'!AM102</f>
        <v>263136</v>
      </c>
      <c r="AN10" s="93">
        <f>'Revenue Model'!AN102</f>
        <v>293186</v>
      </c>
      <c r="AO10" s="82">
        <f>'Revenue Model'!AO102</f>
        <v>883220</v>
      </c>
      <c r="AP10" s="93">
        <f>'Revenue Model'!AP102</f>
        <v>310251</v>
      </c>
      <c r="AQ10" s="93">
        <f>'Revenue Model'!AQ102</f>
        <v>299247</v>
      </c>
      <c r="AR10" s="93">
        <f>'Revenue Model'!AR102</f>
        <v>301683</v>
      </c>
      <c r="AS10" s="93">
        <f>'Revenue Model'!AS102</f>
        <v>296329</v>
      </c>
      <c r="AT10" s="82">
        <f>'Revenue Model'!AT102</f>
        <v>1207510</v>
      </c>
      <c r="AU10" s="93">
        <f>'Revenue Model'!AU102</f>
        <v>306686</v>
      </c>
      <c r="AV10" s="93">
        <f>'Revenue Model'!AV102</f>
        <v>321383</v>
      </c>
      <c r="AW10" s="93">
        <f>'Revenue Model'!AW102</f>
        <v>327837</v>
      </c>
      <c r="AX10" s="93">
        <f>'Revenue Model'!AX102</f>
        <v>317175</v>
      </c>
      <c r="AY10" s="82">
        <f>'Revenue Model'!AY102</f>
        <v>1273081</v>
      </c>
      <c r="AZ10" s="93">
        <f>'Revenue Model'!AZ102</f>
        <v>324066</v>
      </c>
      <c r="BA10" s="93">
        <f>'Revenue Model'!BA102</f>
        <v>323267</v>
      </c>
      <c r="BB10" s="93">
        <f>'Revenue Model'!BB102</f>
        <v>327048</v>
      </c>
      <c r="BC10" s="93">
        <f>'Revenue Model'!BC102</f>
        <v>333466</v>
      </c>
      <c r="BD10" s="82">
        <f>'Revenue Model'!BD102</f>
        <v>1307847</v>
      </c>
      <c r="BE10" s="93">
        <f>'Revenue Model'!BE102</f>
        <v>337153</v>
      </c>
      <c r="BF10" s="93">
        <f>'Revenue Model'!BF102</f>
        <v>332180</v>
      </c>
      <c r="BG10" s="93">
        <f>'Revenue Model'!BG102</f>
        <v>334644</v>
      </c>
      <c r="BH10" s="93">
        <f>'Revenue Model'!BH102</f>
        <v>331720</v>
      </c>
      <c r="BI10" s="82">
        <f>'Revenue Model'!BI102</f>
        <v>1335697</v>
      </c>
      <c r="BJ10" s="93">
        <f>'Revenue Model'!BJ102</f>
        <v>358815</v>
      </c>
      <c r="BK10" s="93">
        <f>'Revenue Model'!BK102</f>
        <v>350982</v>
      </c>
      <c r="BL10" s="93">
        <f>'Revenue Model'!BL102</f>
        <v>355672</v>
      </c>
      <c r="BM10" s="93">
        <f>'Revenue Model'!BM102</f>
        <v>352855</v>
      </c>
      <c r="BN10" s="82">
        <f>'Revenue Model'!BN102</f>
        <v>1418324</v>
      </c>
      <c r="BO10" s="93">
        <f>'Revenue Model'!BO102</f>
        <v>346253</v>
      </c>
      <c r="BP10" s="93">
        <f>'Revenue Model'!BP102</f>
        <v>344672</v>
      </c>
      <c r="BQ10" s="93">
        <f>'Revenue Model'!BQ102</f>
        <v>341652</v>
      </c>
      <c r="BR10" s="93">
        <f>'Revenue Model'!BR102</f>
        <v>329291</v>
      </c>
      <c r="BS10" s="82">
        <f>'Revenue Model'!BS102</f>
        <v>1361868</v>
      </c>
      <c r="BT10" s="93">
        <f>'Revenue Model'!BT102</f>
        <v>437664</v>
      </c>
      <c r="BU10" s="93">
        <f>'Revenue Model'!BU102</f>
        <v>512962</v>
      </c>
      <c r="BV10" s="93">
        <f>'Revenue Model'!BV102</f>
        <v>514148</v>
      </c>
      <c r="BW10" s="93">
        <f>'Revenue Model'!BW102</f>
        <v>511988</v>
      </c>
      <c r="BX10" s="82">
        <f>'Revenue Model'!BX102</f>
        <v>1976762</v>
      </c>
      <c r="BY10" s="93">
        <f>'Revenue Model'!BY102</f>
        <v>509719</v>
      </c>
      <c r="BZ10" s="93">
        <f>'Revenue Model'!BZ102</f>
        <v>511456</v>
      </c>
      <c r="CA10" s="93">
        <f>'Revenue Model'!CA102</f>
        <v>512465</v>
      </c>
      <c r="CB10" s="93">
        <f>'Revenue Model'!CB102</f>
        <v>504119</v>
      </c>
      <c r="CC10" s="82">
        <f>'Revenue Model'!CC102</f>
        <v>2037759</v>
      </c>
      <c r="CD10" s="93">
        <f>'Revenue Model'!CD102</f>
        <v>513192</v>
      </c>
      <c r="CE10" s="93">
        <f>'Revenue Model'!CE102</f>
        <v>468087</v>
      </c>
      <c r="CF10" s="93">
        <f>'Revenue Model'!CF102</f>
        <v>445817</v>
      </c>
      <c r="CG10" s="93">
        <f>'Revenue Model'!CG102</f>
        <v>440160</v>
      </c>
      <c r="CH10" s="82">
        <f>'Revenue Model'!CH102</f>
        <v>1867256</v>
      </c>
      <c r="CI10" s="93">
        <f>'Revenue Model'!CI102</f>
        <v>449012</v>
      </c>
      <c r="CJ10" s="93">
        <f>'Revenue Model'!CJ102</f>
        <v>415515</v>
      </c>
      <c r="CK10" s="93">
        <f>'Revenue Model'!CK102</f>
        <v>376597</v>
      </c>
      <c r="CL10" s="93">
        <f>'Revenue Model'!CL102</f>
        <v>355418</v>
      </c>
      <c r="CM10" s="82">
        <f>'Revenue Model'!CM102</f>
        <v>1596542</v>
      </c>
      <c r="CN10" s="93">
        <f ca="1">'Revenue Model'!CN102</f>
        <v>314440.95891113451</v>
      </c>
      <c r="CO10" s="93">
        <f ca="1">'Revenue Model'!CO102</f>
        <v>277691.38031613053</v>
      </c>
      <c r="CP10" s="93">
        <f ca="1">'Revenue Model'!CP102</f>
        <v>250448.70553328635</v>
      </c>
      <c r="CQ10" s="93">
        <f ca="1">'Revenue Model'!CQ102</f>
        <v>252109.64746804617</v>
      </c>
      <c r="CR10" s="82">
        <f ca="1">'Revenue Model'!CR102</f>
        <v>1094690.6922285976</v>
      </c>
      <c r="CS10" s="93">
        <f ca="1">'Revenue Model'!CS102</f>
        <v>277107.22462690005</v>
      </c>
      <c r="CT10" s="93">
        <f ca="1">'Revenue Model'!CT102</f>
        <v>273107.38406376808</v>
      </c>
      <c r="CU10" s="93">
        <f ca="1">'Revenue Model'!CU102</f>
        <v>276752.50366884307</v>
      </c>
      <c r="CV10" s="93">
        <f ca="1">'Revenue Model'!CV102</f>
        <v>265971.51533332444</v>
      </c>
      <c r="CW10" s="82">
        <f ca="1">'Revenue Model'!CW102</f>
        <v>1092938.6276928356</v>
      </c>
      <c r="CX10" s="93">
        <f ca="1">'Revenue Model'!CX102</f>
        <v>284241.01408583473</v>
      </c>
      <c r="CY10" s="93">
        <f ca="1">'Revenue Model'!CY102</f>
        <v>281040.29438617907</v>
      </c>
      <c r="CZ10" s="93">
        <f ca="1">'Revenue Model'!CZ102</f>
        <v>278864.14406913286</v>
      </c>
      <c r="DA10" s="93">
        <f ca="1">'Revenue Model'!DA102</f>
        <v>273551.68952560186</v>
      </c>
      <c r="DB10" s="82">
        <f ca="1">'Revenue Model'!DB102</f>
        <v>1117697.1420667486</v>
      </c>
      <c r="DC10" s="37"/>
      <c r="DD10" s="37"/>
      <c r="DE10" s="37"/>
      <c r="DF10" s="37"/>
      <c r="DG10" s="37"/>
      <c r="DH10" s="37"/>
      <c r="DI10" s="37"/>
      <c r="DJ10" s="37"/>
    </row>
    <row r="11" spans="1:114" hidden="1" outlineLevel="1">
      <c r="A11" s="457"/>
      <c r="B11" s="55" t="s">
        <v>183</v>
      </c>
      <c r="C11" s="460"/>
      <c r="D11" s="96"/>
      <c r="E11" s="97"/>
      <c r="F11" s="96"/>
      <c r="G11" s="54"/>
      <c r="H11" s="54"/>
      <c r="I11" s="54"/>
      <c r="J11" s="54"/>
      <c r="K11" s="78">
        <f t="shared" ref="K11:AP11" si="10">K10/F10-1</f>
        <v>0.18565728853474783</v>
      </c>
      <c r="L11" s="52">
        <f t="shared" si="10"/>
        <v>0.26457569906878398</v>
      </c>
      <c r="M11" s="52">
        <f t="shared" si="10"/>
        <v>0.28995458624534298</v>
      </c>
      <c r="N11" s="52">
        <f t="shared" si="10"/>
        <v>0.27232299590403741</v>
      </c>
      <c r="O11" s="52">
        <f t="shared" si="10"/>
        <v>0.16251729725254571</v>
      </c>
      <c r="P11" s="78">
        <f t="shared" si="10"/>
        <v>0.24475555941235272</v>
      </c>
      <c r="Q11" s="52">
        <f t="shared" si="10"/>
        <v>0.15007114591663973</v>
      </c>
      <c r="R11" s="52">
        <f t="shared" si="10"/>
        <v>0.12885918773914051</v>
      </c>
      <c r="S11" s="52">
        <f t="shared" si="10"/>
        <v>0.22271277900416964</v>
      </c>
      <c r="T11" s="52">
        <f t="shared" si="10"/>
        <v>0.305426687828104</v>
      </c>
      <c r="U11" s="78">
        <f t="shared" si="10"/>
        <v>0.20265587721925571</v>
      </c>
      <c r="V11" s="52">
        <f t="shared" si="10"/>
        <v>0.18280502122279429</v>
      </c>
      <c r="W11" s="52">
        <f t="shared" si="10"/>
        <v>0.19766377829237314</v>
      </c>
      <c r="X11" s="52">
        <f t="shared" si="10"/>
        <v>9.7467402206619758E-2</v>
      </c>
      <c r="Y11" s="52">
        <f t="shared" si="10"/>
        <v>2.5079298278428475E-2</v>
      </c>
      <c r="Z11" s="78">
        <f t="shared" si="10"/>
        <v>0.12085130501804509</v>
      </c>
      <c r="AA11" s="52">
        <f t="shared" si="10"/>
        <v>3.3358275051156072E-2</v>
      </c>
      <c r="AB11" s="52">
        <f t="shared" si="10"/>
        <v>3.5075819592250479E-2</v>
      </c>
      <c r="AC11" s="52">
        <f t="shared" si="10"/>
        <v>2.7806338108620654E-2</v>
      </c>
      <c r="AD11" s="52">
        <f t="shared" si="10"/>
        <v>3.5459321376709596E-2</v>
      </c>
      <c r="AE11" s="78">
        <f t="shared" si="10"/>
        <v>3.2913273915899932E-2</v>
      </c>
      <c r="AF11" s="52">
        <f t="shared" si="10"/>
        <v>5.7831699189454744E-2</v>
      </c>
      <c r="AG11" s="52">
        <f t="shared" si="10"/>
        <v>0.10890753517519802</v>
      </c>
      <c r="AH11" s="52">
        <f t="shared" si="10"/>
        <v>0.15833036931649769</v>
      </c>
      <c r="AI11" s="52">
        <f t="shared" si="10"/>
        <v>0.16703256360365648</v>
      </c>
      <c r="AJ11" s="78">
        <f t="shared" si="10"/>
        <v>0.12313723453969572</v>
      </c>
      <c r="AK11" s="52">
        <f t="shared" si="10"/>
        <v>0.13863433169423334</v>
      </c>
      <c r="AL11" s="52">
        <f t="shared" si="10"/>
        <v>0.11315487389877932</v>
      </c>
      <c r="AM11" s="52">
        <f t="shared" si="10"/>
        <v>0.68332704277790923</v>
      </c>
      <c r="AN11" s="52">
        <f t="shared" si="10"/>
        <v>0.84458677269981886</v>
      </c>
      <c r="AO11" s="78">
        <f t="shared" si="10"/>
        <v>0.45829136767857559</v>
      </c>
      <c r="AP11" s="52">
        <f t="shared" si="10"/>
        <v>0.90319355155322167</v>
      </c>
      <c r="AQ11" s="52">
        <f t="shared" ref="AQ11:CL11" si="11">AQ10/AL10-1</f>
        <v>0.82599065181044895</v>
      </c>
      <c r="AR11" s="52">
        <f t="shared" si="11"/>
        <v>0.14649078803356441</v>
      </c>
      <c r="AS11" s="52">
        <f t="shared" si="11"/>
        <v>1.0720157169851197E-2</v>
      </c>
      <c r="AT11" s="78">
        <f t="shared" si="11"/>
        <v>0.36716786304657956</v>
      </c>
      <c r="AU11" s="52">
        <f t="shared" si="11"/>
        <v>-1.1490696242719589E-2</v>
      </c>
      <c r="AV11" s="52">
        <f t="shared" si="11"/>
        <v>7.3972337233121799E-2</v>
      </c>
      <c r="AW11" s="52">
        <f t="shared" si="11"/>
        <v>8.6693648631179121E-2</v>
      </c>
      <c r="AX11" s="52">
        <f t="shared" si="11"/>
        <v>7.0347485396299314E-2</v>
      </c>
      <c r="AY11" s="78">
        <f t="shared" si="11"/>
        <v>5.4302655878626371E-2</v>
      </c>
      <c r="AZ11" s="52">
        <f t="shared" si="11"/>
        <v>5.6670340348108583E-2</v>
      </c>
      <c r="BA11" s="52">
        <f t="shared" si="11"/>
        <v>5.8621644579830434E-3</v>
      </c>
      <c r="BB11" s="52">
        <f t="shared" si="11"/>
        <v>-2.4066838093320664E-3</v>
      </c>
      <c r="BC11" s="52">
        <f t="shared" si="11"/>
        <v>5.1362812327579332E-2</v>
      </c>
      <c r="BD11" s="78">
        <f t="shared" si="11"/>
        <v>2.7308553030011451E-2</v>
      </c>
      <c r="BE11" s="52">
        <f t="shared" si="11"/>
        <v>4.0383748989403445E-2</v>
      </c>
      <c r="BF11" s="52">
        <f t="shared" si="11"/>
        <v>2.7571635830443642E-2</v>
      </c>
      <c r="BG11" s="52">
        <f t="shared" si="11"/>
        <v>2.3225948484626002E-2</v>
      </c>
      <c r="BH11" s="52">
        <f t="shared" si="11"/>
        <v>-5.2359161053900927E-3</v>
      </c>
      <c r="BI11" s="78">
        <f t="shared" si="11"/>
        <v>2.1294539804732615E-2</v>
      </c>
      <c r="BJ11" s="52">
        <f t="shared" si="11"/>
        <v>6.4249761977499764E-2</v>
      </c>
      <c r="BK11" s="52">
        <f t="shared" si="11"/>
        <v>5.6601842374616185E-2</v>
      </c>
      <c r="BL11" s="52">
        <f t="shared" si="11"/>
        <v>6.2836925210074002E-2</v>
      </c>
      <c r="BM11" s="52">
        <f t="shared" si="11"/>
        <v>6.371337272398403E-2</v>
      </c>
      <c r="BN11" s="78">
        <f t="shared" si="11"/>
        <v>6.1860586645025029E-2</v>
      </c>
      <c r="BO11" s="52">
        <f t="shared" si="11"/>
        <v>-3.50096846564385E-2</v>
      </c>
      <c r="BP11" s="52">
        <f t="shared" si="11"/>
        <v>-1.7978129932589182E-2</v>
      </c>
      <c r="BQ11" s="52">
        <f t="shared" si="11"/>
        <v>-3.9418340493488357E-2</v>
      </c>
      <c r="BR11" s="52">
        <f t="shared" si="11"/>
        <v>-6.678097235408309E-2</v>
      </c>
      <c r="BS11" s="78">
        <f t="shared" si="11"/>
        <v>-3.9804727269650675E-2</v>
      </c>
      <c r="BT11" s="52">
        <f t="shared" si="11"/>
        <v>0.26400060071681697</v>
      </c>
      <c r="BU11" s="52">
        <f t="shared" si="11"/>
        <v>0.4882613035001393</v>
      </c>
      <c r="BV11" s="52">
        <f t="shared" si="11"/>
        <v>0.50488801470502143</v>
      </c>
      <c r="BW11" s="52">
        <f t="shared" si="11"/>
        <v>0.55481929357316173</v>
      </c>
      <c r="BX11" s="78">
        <f>BX10/BS10-1</f>
        <v>0.45150778195831021</v>
      </c>
      <c r="BY11" s="52">
        <f t="shared" si="11"/>
        <v>0.16463542809095566</v>
      </c>
      <c r="BZ11" s="52">
        <f t="shared" si="11"/>
        <v>-2.9358899879523559E-3</v>
      </c>
      <c r="CA11" s="52">
        <f t="shared" si="11"/>
        <v>-3.273376537495043E-3</v>
      </c>
      <c r="CB11" s="52">
        <f t="shared" si="11"/>
        <v>-1.5369500847676076E-2</v>
      </c>
      <c r="CC11" s="78">
        <f>CC10/BX10-1</f>
        <v>3.0857027806078907E-2</v>
      </c>
      <c r="CD11" s="52">
        <f t="shared" si="11"/>
        <v>6.8135580584596234E-3</v>
      </c>
      <c r="CE11" s="52">
        <f t="shared" si="11"/>
        <v>-8.4795172996308565E-2</v>
      </c>
      <c r="CF11" s="52">
        <f t="shared" si="11"/>
        <v>-0.13005375976895983</v>
      </c>
      <c r="CG11" s="52">
        <f t="shared" si="11"/>
        <v>-0.12687282169487757</v>
      </c>
      <c r="CH11" s="78">
        <f>CH10/CC10-1</f>
        <v>-8.3671817913698376E-2</v>
      </c>
      <c r="CI11" s="52">
        <f t="shared" si="11"/>
        <v>-0.12506040624171855</v>
      </c>
      <c r="CJ11" s="52">
        <f t="shared" si="11"/>
        <v>-0.11231245473597862</v>
      </c>
      <c r="CK11" s="52">
        <f t="shared" si="11"/>
        <v>-0.15526550131556216</v>
      </c>
      <c r="CL11" s="52">
        <f t="shared" si="11"/>
        <v>-0.19252544529262083</v>
      </c>
      <c r="CM11" s="78">
        <f t="shared" ref="CM11" si="12">CM10/CH10-1</f>
        <v>-0.14497958501673047</v>
      </c>
      <c r="CN11" s="52">
        <f t="shared" ref="CN11:CW11" ca="1" si="13">CN10/CI10-1</f>
        <v>-0.2997047764622448</v>
      </c>
      <c r="CO11" s="52">
        <f t="shared" ca="1" si="13"/>
        <v>-0.33169348804223553</v>
      </c>
      <c r="CP11" s="52">
        <f t="shared" ca="1" si="13"/>
        <v>-0.33496893089088242</v>
      </c>
      <c r="CQ11" s="52">
        <f t="shared" ca="1" si="13"/>
        <v>-0.29066719336655389</v>
      </c>
      <c r="CR11" s="78">
        <f t="shared" ca="1" si="13"/>
        <v>-0.31433642695989361</v>
      </c>
      <c r="CS11" s="52">
        <f t="shared" ca="1" si="13"/>
        <v>-0.11873050639940808</v>
      </c>
      <c r="CT11" s="52">
        <f t="shared" ca="1" si="13"/>
        <v>-1.650752085694529E-2</v>
      </c>
      <c r="CU11" s="52">
        <f t="shared" ca="1" si="13"/>
        <v>0.10502668831746376</v>
      </c>
      <c r="CV11" s="52">
        <f t="shared" ca="1" si="13"/>
        <v>5.4983488353158805E-2</v>
      </c>
      <c r="CW11" s="78">
        <f t="shared" ca="1" si="13"/>
        <v>-1.6005110376841047E-3</v>
      </c>
      <c r="CX11" s="52">
        <f t="shared" ref="CX11" ca="1" si="14">CX10/CS10-1</f>
        <v>2.5743787331924173E-2</v>
      </c>
      <c r="CY11" s="52">
        <f t="shared" ref="CY11" ca="1" si="15">CY10/CT10-1</f>
        <v>2.9046854040968517E-2</v>
      </c>
      <c r="CZ11" s="52">
        <f t="shared" ref="CZ11" ca="1" si="16">CZ10/CU10-1</f>
        <v>7.6300679209628797E-3</v>
      </c>
      <c r="DA11" s="52">
        <f t="shared" ref="DA11" ca="1" si="17">DA10/CV10-1</f>
        <v>2.8499947382627511E-2</v>
      </c>
      <c r="DB11" s="78">
        <f t="shared" ref="DB11" ca="1" si="18">DB10/CW10-1</f>
        <v>2.2653160705077724E-2</v>
      </c>
      <c r="DC11" s="54"/>
      <c r="DD11" s="54"/>
      <c r="DE11" s="54"/>
      <c r="DF11" s="54"/>
      <c r="DG11" s="54"/>
      <c r="DH11" s="54"/>
      <c r="DI11" s="54"/>
      <c r="DJ11" s="54"/>
    </row>
    <row r="12" spans="1:114" ht="3.75" hidden="1" customHeight="1" outlineLevel="1">
      <c r="A12" s="457"/>
      <c r="B12" s="55"/>
      <c r="C12" s="460"/>
      <c r="D12" s="96"/>
      <c r="E12" s="97"/>
      <c r="F12" s="96"/>
      <c r="G12" s="54"/>
      <c r="H12" s="54"/>
      <c r="I12" s="54"/>
      <c r="J12" s="54"/>
      <c r="K12" s="78"/>
      <c r="L12" s="52"/>
      <c r="M12" s="52"/>
      <c r="N12" s="52"/>
      <c r="O12" s="52"/>
      <c r="P12" s="78"/>
      <c r="Q12" s="52"/>
      <c r="R12" s="52"/>
      <c r="S12" s="52"/>
      <c r="T12" s="52"/>
      <c r="U12" s="78"/>
      <c r="V12" s="52"/>
      <c r="W12" s="52"/>
      <c r="X12" s="52"/>
      <c r="Y12" s="52"/>
      <c r="Z12" s="78"/>
      <c r="AA12" s="52"/>
      <c r="AB12" s="52"/>
      <c r="AC12" s="52"/>
      <c r="AD12" s="52"/>
      <c r="AE12" s="78"/>
      <c r="AF12" s="52"/>
      <c r="AG12" s="52"/>
      <c r="AH12" s="52"/>
      <c r="AI12" s="52"/>
      <c r="AJ12" s="78"/>
      <c r="AK12" s="52"/>
      <c r="AL12" s="52"/>
      <c r="AM12" s="52"/>
      <c r="AN12" s="52"/>
      <c r="AO12" s="78"/>
      <c r="AP12" s="52"/>
      <c r="AQ12" s="52"/>
      <c r="AR12" s="52"/>
      <c r="AS12" s="52"/>
      <c r="AT12" s="78"/>
      <c r="AU12" s="52"/>
      <c r="AV12" s="52"/>
      <c r="AW12" s="52"/>
      <c r="AX12" s="52"/>
      <c r="AY12" s="78"/>
      <c r="AZ12" s="52"/>
      <c r="BA12" s="52"/>
      <c r="BB12" s="52"/>
      <c r="BC12" s="52"/>
      <c r="BD12" s="78"/>
      <c r="BE12" s="52"/>
      <c r="BF12" s="52"/>
      <c r="BG12" s="52"/>
      <c r="BH12" s="52"/>
      <c r="BI12" s="78"/>
      <c r="BJ12" s="52"/>
      <c r="BK12" s="52"/>
      <c r="BL12" s="52"/>
      <c r="BM12" s="52"/>
      <c r="BN12" s="78"/>
      <c r="BO12" s="52"/>
      <c r="BP12" s="52"/>
      <c r="BQ12" s="52"/>
      <c r="BR12" s="52"/>
      <c r="BS12" s="78"/>
      <c r="BT12" s="52"/>
      <c r="BU12" s="52"/>
      <c r="BV12" s="52"/>
      <c r="BW12" s="52"/>
      <c r="BX12" s="78"/>
      <c r="BY12" s="52"/>
      <c r="BZ12" s="52"/>
      <c r="CA12" s="52"/>
      <c r="CB12" s="52"/>
      <c r="CC12" s="78"/>
      <c r="CD12" s="52"/>
      <c r="CE12" s="52"/>
      <c r="CF12" s="52"/>
      <c r="CG12" s="52"/>
      <c r="CH12" s="78"/>
      <c r="CI12" s="52"/>
      <c r="CJ12" s="52"/>
      <c r="CK12" s="52"/>
      <c r="CL12" s="52"/>
      <c r="CM12" s="78"/>
      <c r="CN12" s="52"/>
      <c r="CO12" s="52"/>
      <c r="CP12" s="52"/>
      <c r="CQ12" s="52"/>
      <c r="CR12" s="78"/>
      <c r="CS12" s="52"/>
      <c r="CT12" s="52"/>
      <c r="CU12" s="52"/>
      <c r="CV12" s="52"/>
      <c r="CW12" s="78"/>
      <c r="CX12" s="52"/>
      <c r="CY12" s="52"/>
      <c r="CZ12" s="52"/>
      <c r="DA12" s="52"/>
      <c r="DB12" s="78"/>
      <c r="DC12" s="54"/>
      <c r="DD12" s="54"/>
      <c r="DE12" s="54"/>
      <c r="DF12" s="54"/>
      <c r="DG12" s="54"/>
      <c r="DH12" s="54"/>
      <c r="DI12" s="54"/>
      <c r="DJ12" s="54"/>
    </row>
    <row r="13" spans="1:114" hidden="1" outlineLevel="1">
      <c r="A13" s="396"/>
      <c r="B13" s="37" t="s">
        <v>239</v>
      </c>
      <c r="C13" s="157"/>
      <c r="D13" s="80">
        <f>'Revenue Model'!D$113</f>
        <v>416845</v>
      </c>
      <c r="E13" s="81">
        <f>'Revenue Model'!E$113</f>
        <v>478658</v>
      </c>
      <c r="F13" s="82">
        <f>'Revenue Model'!F$113</f>
        <v>548827</v>
      </c>
      <c r="G13" s="93">
        <f>'Revenue Model'!G$113</f>
        <v>165743</v>
      </c>
      <c r="H13" s="93">
        <f>'Revenue Model'!H$113</f>
        <v>150251</v>
      </c>
      <c r="I13" s="93">
        <f>'Revenue Model'!I$113</f>
        <v>152720</v>
      </c>
      <c r="J13" s="93">
        <f>'Revenue Model'!J$113</f>
        <v>174515</v>
      </c>
      <c r="K13" s="82">
        <f>'Revenue Model'!K$113</f>
        <v>643229</v>
      </c>
      <c r="L13" s="93">
        <f>'Revenue Model'!L$113</f>
        <v>210612</v>
      </c>
      <c r="M13" s="93">
        <f>'Revenue Model'!M$113</f>
        <v>195922</v>
      </c>
      <c r="N13" s="93">
        <f>'Revenue Model'!N$113</f>
        <v>198137</v>
      </c>
      <c r="O13" s="93">
        <f>'Revenue Model'!O$113</f>
        <v>204495</v>
      </c>
      <c r="P13" s="82">
        <f>'Revenue Model'!P$113</f>
        <v>809166</v>
      </c>
      <c r="Q13" s="93">
        <f>'Revenue Model'!Q$113</f>
        <v>245252</v>
      </c>
      <c r="R13" s="93">
        <f>'Revenue Model'!R$113</f>
        <v>221735</v>
      </c>
      <c r="S13" s="93">
        <f>'Revenue Model'!S$113</f>
        <v>249871</v>
      </c>
      <c r="T13" s="93">
        <f>'Revenue Model'!T$113</f>
        <v>288854</v>
      </c>
      <c r="U13" s="82">
        <f>'Revenue Model'!U$113</f>
        <v>1005712</v>
      </c>
      <c r="V13" s="93">
        <f>'Revenue Model'!V$113</f>
        <v>300657</v>
      </c>
      <c r="W13" s="93">
        <f>'Revenue Model'!W$113</f>
        <v>279830</v>
      </c>
      <c r="X13" s="93">
        <f>'Revenue Model'!X$113</f>
        <v>277216</v>
      </c>
      <c r="Y13" s="93">
        <f>'Revenue Model'!Y$113</f>
        <v>286112</v>
      </c>
      <c r="Z13" s="82">
        <f>'Revenue Model'!Z$113</f>
        <v>1143815</v>
      </c>
      <c r="AA13" s="93">
        <f>'Revenue Model'!AA$113</f>
        <v>320746</v>
      </c>
      <c r="AB13" s="93">
        <f>'Revenue Model'!AB$113</f>
        <v>293320</v>
      </c>
      <c r="AC13" s="93">
        <f>'Revenue Model'!AC$113</f>
        <v>286340</v>
      </c>
      <c r="AD13" s="93">
        <f>'Revenue Model'!AD$113</f>
        <v>304842</v>
      </c>
      <c r="AE13" s="82">
        <f>'Revenue Model'!AE$113</f>
        <v>1205248</v>
      </c>
      <c r="AF13" s="93">
        <f>'Revenue Model'!AF$113</f>
        <v>333249</v>
      </c>
      <c r="AG13" s="93">
        <f>'Revenue Model'!AG$113</f>
        <v>321573</v>
      </c>
      <c r="AH13" s="93">
        <f>'Revenue Model'!AH$113</f>
        <v>335914</v>
      </c>
      <c r="AI13" s="93">
        <f>'Revenue Model'!AI$113</f>
        <v>343992</v>
      </c>
      <c r="AJ13" s="82">
        <f>'Revenue Model'!AJ$113</f>
        <v>1334728</v>
      </c>
      <c r="AK13" s="93">
        <f>'Revenue Model'!AK$113</f>
        <v>364180</v>
      </c>
      <c r="AL13" s="93">
        <f>'Revenue Model'!AL$113</f>
        <v>353474</v>
      </c>
      <c r="AM13" s="93">
        <f>'Revenue Model'!AM$113</f>
        <v>598042</v>
      </c>
      <c r="AN13" s="93">
        <f>'Revenue Model'!AN$113</f>
        <v>694373</v>
      </c>
      <c r="AO13" s="82">
        <f>'Revenue Model'!AO$113</f>
        <v>2010069</v>
      </c>
      <c r="AP13" s="93">
        <f>'Revenue Model'!AP$113</f>
        <v>772361</v>
      </c>
      <c r="AQ13" s="93">
        <f>'Revenue Model'!AQ$113</f>
        <v>695023</v>
      </c>
      <c r="AR13" s="93">
        <f>'Revenue Model'!AR$113</f>
        <v>681204</v>
      </c>
      <c r="AS13" s="93">
        <f>'Revenue Model'!AS$113</f>
        <v>693614</v>
      </c>
      <c r="AT13" s="82">
        <f>'Revenue Model'!AT$113</f>
        <v>2842202</v>
      </c>
      <c r="AU13" s="93">
        <f>'Revenue Model'!AU$113</f>
        <v>734727</v>
      </c>
      <c r="AV13" s="93">
        <f>'Revenue Model'!AV$113</f>
        <v>731059</v>
      </c>
      <c r="AW13" s="93">
        <f>'Revenue Model'!AW$113</f>
        <v>730676</v>
      </c>
      <c r="AX13" s="93">
        <f>'Revenue Model'!AX$113</f>
        <v>733571</v>
      </c>
      <c r="AY13" s="82">
        <f>'Revenue Model'!AY$113</f>
        <v>2930033</v>
      </c>
      <c r="AZ13" s="93">
        <f>'Revenue Model'!AZ$113</f>
        <v>761225</v>
      </c>
      <c r="BA13" s="93">
        <f>'Revenue Model'!BA$113</f>
        <v>721659</v>
      </c>
      <c r="BB13" s="93">
        <f>'Revenue Model'!BB$113</f>
        <v>714576</v>
      </c>
      <c r="BC13" s="93">
        <f>'Revenue Model'!BC$113</f>
        <v>751416</v>
      </c>
      <c r="BD13" s="82">
        <f>'Revenue Model'!BD$113</f>
        <v>2948876</v>
      </c>
      <c r="BE13" s="93">
        <f>'Revenue Model'!BE$113</f>
        <v>792862</v>
      </c>
      <c r="BF13" s="93">
        <f>'Revenue Model'!BF$113</f>
        <v>737850</v>
      </c>
      <c r="BG13" s="93">
        <f>'Revenue Model'!BG$113</f>
        <v>717951</v>
      </c>
      <c r="BH13" s="93">
        <f>'Revenue Model'!BH$113</f>
        <v>732430</v>
      </c>
      <c r="BI13" s="82">
        <f>'Revenue Model'!BI$113</f>
        <v>2981093</v>
      </c>
      <c r="BJ13" s="93">
        <f>'Revenue Model'!BJ$113</f>
        <v>804412</v>
      </c>
      <c r="BK13" s="93">
        <f>'Revenue Model'!BK$113</f>
        <v>750686</v>
      </c>
      <c r="BL13" s="93">
        <f>'Revenue Model'!BL$113</f>
        <v>747616</v>
      </c>
      <c r="BM13" s="93">
        <f>'Revenue Model'!BM$113</f>
        <v>756217</v>
      </c>
      <c r="BN13" s="82">
        <f>'Revenue Model'!BN$113</f>
        <v>3058931</v>
      </c>
      <c r="BO13" s="93">
        <f>'Revenue Model'!BO$113</f>
        <v>790522</v>
      </c>
      <c r="BP13" s="93">
        <f>'Revenue Model'!BP$113</f>
        <v>723662</v>
      </c>
      <c r="BQ13" s="93">
        <f>'Revenue Model'!BQ$113</f>
        <v>695844</v>
      </c>
      <c r="BR13" s="93">
        <f>'Revenue Model'!BR$113</f>
        <v>687463</v>
      </c>
      <c r="BS13" s="82">
        <f>'Revenue Model'!BS$113</f>
        <v>2897491</v>
      </c>
      <c r="BT13" s="93">
        <f>'Revenue Model'!BT$113</f>
        <v>973486</v>
      </c>
      <c r="BU13" s="93">
        <f>'Revenue Model'!BU$113</f>
        <v>1056261</v>
      </c>
      <c r="BV13" s="93">
        <f>'Revenue Model'!BV$113</f>
        <v>1026759</v>
      </c>
      <c r="BW13" s="93">
        <f>'Revenue Model'!BW$113</f>
        <v>1046254</v>
      </c>
      <c r="BX13" s="82">
        <f>'Revenue Model'!BX$113</f>
        <v>4102760</v>
      </c>
      <c r="BY13" s="93">
        <f>'Revenue Model'!BY$113</f>
        <v>1127077</v>
      </c>
      <c r="BZ13" s="93">
        <f>'Revenue Model'!BZ$113</f>
        <v>1033244</v>
      </c>
      <c r="CA13" s="93">
        <f>'Revenue Model'!CA$113</f>
        <v>1003025</v>
      </c>
      <c r="CB13" s="93">
        <f>'Revenue Model'!CB$113</f>
        <v>1011868</v>
      </c>
      <c r="CC13" s="82">
        <f>'Revenue Model'!CC$113</f>
        <v>4175214</v>
      </c>
      <c r="CD13" s="93">
        <f>'Revenue Model'!CD$113</f>
        <v>1076226</v>
      </c>
      <c r="CE13" s="93">
        <f>'Revenue Model'!CE$113</f>
        <v>947492</v>
      </c>
      <c r="CF13" s="93">
        <f>'Revenue Model'!CF$113</f>
        <v>898177</v>
      </c>
      <c r="CG13" s="93">
        <f>'Revenue Model'!CG$113</f>
        <v>910209</v>
      </c>
      <c r="CH13" s="82">
        <f>'Revenue Model'!CH$113</f>
        <v>3832104</v>
      </c>
      <c r="CI13" s="93">
        <f>'Revenue Model'!CI$113</f>
        <v>972885</v>
      </c>
      <c r="CJ13" s="93">
        <f>'Revenue Model'!CJ$113</f>
        <v>840516</v>
      </c>
      <c r="CK13" s="93">
        <f>'Revenue Model'!CK$113</f>
        <v>756186</v>
      </c>
      <c r="CL13" s="93">
        <f>'Revenue Model'!CL$113</f>
        <v>726882</v>
      </c>
      <c r="CM13" s="82">
        <f>'Revenue Model'!CM$113</f>
        <v>3296469</v>
      </c>
      <c r="CN13" s="93">
        <f ca="1">'Revenue Model'!CN$113</f>
        <v>713588.92844886798</v>
      </c>
      <c r="CO13" s="93">
        <f ca="1">'Revenue Model'!CO$113</f>
        <v>675876.38850186032</v>
      </c>
      <c r="CP13" s="93">
        <f ca="1">'Revenue Model'!CP$113</f>
        <v>634264.91370193393</v>
      </c>
      <c r="CQ13" s="93">
        <f ca="1">'Revenue Model'!CQ$113</f>
        <v>617455.66077898629</v>
      </c>
      <c r="CR13" s="82">
        <f ca="1">'Revenue Model'!CR$113</f>
        <v>2641185.8914316483</v>
      </c>
      <c r="CS13" s="93">
        <f ca="1">'Revenue Model'!CS$113</f>
        <v>628203.62278544507</v>
      </c>
      <c r="CT13" s="93">
        <f ca="1">'Revenue Model'!CT$113</f>
        <v>625940.72772669827</v>
      </c>
      <c r="CU13" s="93">
        <f ca="1">'Revenue Model'!CU$113</f>
        <v>627526.18919215817</v>
      </c>
      <c r="CV13" s="93">
        <f ca="1">'Revenue Model'!CV$113</f>
        <v>622058.44404933031</v>
      </c>
      <c r="CW13" s="82">
        <f ca="1">'Revenue Model'!CW$113</f>
        <v>2503728.9837536318</v>
      </c>
      <c r="CX13" s="93">
        <f ca="1">'Revenue Model'!CX$113</f>
        <v>625500.64919701486</v>
      </c>
      <c r="CY13" s="93">
        <f ca="1">'Revenue Model'!CY$113</f>
        <v>623624.14724942157</v>
      </c>
      <c r="CZ13" s="93">
        <f ca="1">'Revenue Model'!CZ$113</f>
        <v>621753.274807674</v>
      </c>
      <c r="DA13" s="93">
        <f ca="1">'Revenue Model'!DA$113</f>
        <v>619888.01498325076</v>
      </c>
      <c r="DB13" s="82">
        <f ca="1">'Revenue Model'!DB$113</f>
        <v>2490766.0862373612</v>
      </c>
      <c r="DC13" s="37"/>
      <c r="DD13" s="37"/>
      <c r="DE13" s="37"/>
      <c r="DF13" s="37"/>
      <c r="DG13" s="37"/>
      <c r="DH13" s="37"/>
      <c r="DI13" s="37"/>
      <c r="DJ13" s="37"/>
    </row>
    <row r="14" spans="1:114" hidden="1" outlineLevel="1">
      <c r="A14" s="457"/>
      <c r="B14" s="55" t="s">
        <v>183</v>
      </c>
      <c r="C14" s="460"/>
      <c r="D14" s="96"/>
      <c r="E14" s="97"/>
      <c r="F14" s="96"/>
      <c r="G14" s="54"/>
      <c r="H14" s="54"/>
      <c r="I14" s="54"/>
      <c r="J14" s="54"/>
      <c r="K14" s="78">
        <f t="shared" ref="K14:AP14" si="19">K13/F13-1</f>
        <v>0.17200684368662622</v>
      </c>
      <c r="L14" s="52">
        <f t="shared" si="19"/>
        <v>0.27071429864307994</v>
      </c>
      <c r="M14" s="52">
        <f t="shared" si="19"/>
        <v>0.3039646990702225</v>
      </c>
      <c r="N14" s="52">
        <f t="shared" si="19"/>
        <v>0.29738737558931372</v>
      </c>
      <c r="O14" s="52">
        <f t="shared" si="19"/>
        <v>0.17179039051084444</v>
      </c>
      <c r="P14" s="78">
        <f t="shared" si="19"/>
        <v>0.25797499801781321</v>
      </c>
      <c r="Q14" s="52">
        <f t="shared" si="19"/>
        <v>0.16447305946479784</v>
      </c>
      <c r="R14" s="52">
        <f t="shared" si="19"/>
        <v>0.13175141127591594</v>
      </c>
      <c r="S14" s="52">
        <f t="shared" si="19"/>
        <v>0.26110216668264896</v>
      </c>
      <c r="T14" s="52">
        <f t="shared" si="19"/>
        <v>0.4125235335827282</v>
      </c>
      <c r="U14" s="78">
        <f t="shared" si="19"/>
        <v>0.2428994792168726</v>
      </c>
      <c r="V14" s="52">
        <f t="shared" si="19"/>
        <v>0.22591049206530434</v>
      </c>
      <c r="W14" s="52">
        <f t="shared" si="19"/>
        <v>0.26200193925180959</v>
      </c>
      <c r="X14" s="52">
        <f t="shared" si="19"/>
        <v>0.10943646921811645</v>
      </c>
      <c r="Y14" s="52">
        <f t="shared" si="19"/>
        <v>-9.4926848857900259E-3</v>
      </c>
      <c r="Z14" s="78">
        <f t="shared" si="19"/>
        <v>0.13731863595144533</v>
      </c>
      <c r="AA14" s="52">
        <f t="shared" si="19"/>
        <v>6.681700409436675E-2</v>
      </c>
      <c r="AB14" s="52">
        <f t="shared" si="19"/>
        <v>4.8207840474573826E-2</v>
      </c>
      <c r="AC14" s="52">
        <f t="shared" si="19"/>
        <v>3.2912963176728649E-2</v>
      </c>
      <c r="AD14" s="52">
        <f t="shared" si="19"/>
        <v>6.5463874286992407E-2</v>
      </c>
      <c r="AE14" s="78">
        <f t="shared" si="19"/>
        <v>5.3708860261493241E-2</v>
      </c>
      <c r="AF14" s="52">
        <f t="shared" si="19"/>
        <v>3.8981000542485322E-2</v>
      </c>
      <c r="AG14" s="52">
        <f t="shared" si="19"/>
        <v>9.6321423701077213E-2</v>
      </c>
      <c r="AH14" s="52">
        <f t="shared" si="19"/>
        <v>0.17312984563805256</v>
      </c>
      <c r="AI14" s="52">
        <f t="shared" si="19"/>
        <v>0.12842718523038155</v>
      </c>
      <c r="AJ14" s="78">
        <f t="shared" si="19"/>
        <v>0.10743017204757854</v>
      </c>
      <c r="AK14" s="52">
        <f t="shared" si="19"/>
        <v>9.2816482570090342E-2</v>
      </c>
      <c r="AL14" s="52">
        <f t="shared" si="19"/>
        <v>9.9202980349718306E-2</v>
      </c>
      <c r="AM14" s="52">
        <f t="shared" si="19"/>
        <v>0.78034258768613385</v>
      </c>
      <c r="AN14" s="52">
        <f t="shared" si="19"/>
        <v>1.0185731063513104</v>
      </c>
      <c r="AO14" s="78">
        <f t="shared" si="19"/>
        <v>0.50597649858248261</v>
      </c>
      <c r="AP14" s="52">
        <f t="shared" si="19"/>
        <v>1.1208221209292106</v>
      </c>
      <c r="AQ14" s="52">
        <f t="shared" ref="AQ14:CL14" si="20">AQ13/AL13-1</f>
        <v>0.96626343097370659</v>
      </c>
      <c r="AR14" s="52">
        <f t="shared" si="20"/>
        <v>0.13905712307831219</v>
      </c>
      <c r="AS14" s="52">
        <f t="shared" si="20"/>
        <v>-1.0930724552942195E-3</v>
      </c>
      <c r="AT14" s="78">
        <f t="shared" si="20"/>
        <v>0.41398230608004005</v>
      </c>
      <c r="AU14" s="52">
        <f t="shared" si="20"/>
        <v>-4.8725919615309476E-2</v>
      </c>
      <c r="AV14" s="52">
        <f t="shared" si="20"/>
        <v>5.1848643857829169E-2</v>
      </c>
      <c r="AW14" s="52">
        <f t="shared" si="20"/>
        <v>7.2624353350831727E-2</v>
      </c>
      <c r="AX14" s="52">
        <f t="shared" si="20"/>
        <v>5.7606968717471174E-2</v>
      </c>
      <c r="AY14" s="78">
        <f t="shared" si="20"/>
        <v>3.0902448172227093E-2</v>
      </c>
      <c r="AZ14" s="52">
        <f t="shared" si="20"/>
        <v>3.6065096287464682E-2</v>
      </c>
      <c r="BA14" s="52">
        <f t="shared" si="20"/>
        <v>-1.2858059335840166E-2</v>
      </c>
      <c r="BB14" s="52">
        <f t="shared" si="20"/>
        <v>-2.2034390071659637E-2</v>
      </c>
      <c r="BC14" s="52">
        <f t="shared" si="20"/>
        <v>2.4326207006547529E-2</v>
      </c>
      <c r="BD14" s="78">
        <f t="shared" si="20"/>
        <v>6.4309855895821055E-3</v>
      </c>
      <c r="BE14" s="52">
        <f t="shared" si="20"/>
        <v>4.156064238562851E-2</v>
      </c>
      <c r="BF14" s="52">
        <f t="shared" si="20"/>
        <v>2.2435804167896478E-2</v>
      </c>
      <c r="BG14" s="52">
        <f t="shared" si="20"/>
        <v>4.723080540068425E-3</v>
      </c>
      <c r="BH14" s="52">
        <f t="shared" si="20"/>
        <v>-2.5266962641200097E-2</v>
      </c>
      <c r="BI14" s="78">
        <f t="shared" si="20"/>
        <v>1.0925179627763182E-2</v>
      </c>
      <c r="BJ14" s="52">
        <f t="shared" si="20"/>
        <v>1.4567478325357985E-2</v>
      </c>
      <c r="BK14" s="52">
        <f t="shared" si="20"/>
        <v>1.7396489801450254E-2</v>
      </c>
      <c r="BL14" s="52">
        <f t="shared" si="20"/>
        <v>4.1318975807541181E-2</v>
      </c>
      <c r="BM14" s="52">
        <f t="shared" si="20"/>
        <v>3.2476823723768922E-2</v>
      </c>
      <c r="BN14" s="78">
        <f t="shared" si="20"/>
        <v>2.6110557436483939E-2</v>
      </c>
      <c r="BO14" s="52">
        <f t="shared" si="20"/>
        <v>-1.7267271000432571E-2</v>
      </c>
      <c r="BP14" s="52">
        <f t="shared" si="20"/>
        <v>-3.5999072848035052E-2</v>
      </c>
      <c r="BQ14" s="52">
        <f t="shared" si="20"/>
        <v>-6.9249454265291277E-2</v>
      </c>
      <c r="BR14" s="52">
        <f t="shared" si="20"/>
        <v>-9.0918347511362518E-2</v>
      </c>
      <c r="BS14" s="78">
        <f t="shared" si="20"/>
        <v>-5.277660725266442E-2</v>
      </c>
      <c r="BT14" s="52">
        <f t="shared" si="20"/>
        <v>0.2314470691517756</v>
      </c>
      <c r="BU14" s="52">
        <f t="shared" si="20"/>
        <v>0.45960545116366491</v>
      </c>
      <c r="BV14" s="52">
        <f t="shared" si="20"/>
        <v>0.47555917705692652</v>
      </c>
      <c r="BW14" s="52">
        <f t="shared" si="20"/>
        <v>0.52190590620877053</v>
      </c>
      <c r="BX14" s="78">
        <f>BX13/BS13-1</f>
        <v>0.41596988567005044</v>
      </c>
      <c r="BY14" s="52">
        <f t="shared" si="20"/>
        <v>0.15777422582348377</v>
      </c>
      <c r="BZ14" s="52">
        <f t="shared" si="20"/>
        <v>-2.1791015667529168E-2</v>
      </c>
      <c r="CA14" s="52">
        <f t="shared" si="20"/>
        <v>-2.311545357771394E-2</v>
      </c>
      <c r="CB14" s="52">
        <f t="shared" si="20"/>
        <v>-3.2865824168892055E-2</v>
      </c>
      <c r="CC14" s="78">
        <f>CC13/BX13-1</f>
        <v>1.7659819243631025E-2</v>
      </c>
      <c r="CD14" s="52">
        <f t="shared" si="20"/>
        <v>-4.5117591788316203E-2</v>
      </c>
      <c r="CE14" s="52">
        <f t="shared" si="20"/>
        <v>-8.2992981328708471E-2</v>
      </c>
      <c r="CF14" s="52">
        <f t="shared" si="20"/>
        <v>-0.10453179133122303</v>
      </c>
      <c r="CG14" s="52">
        <f t="shared" si="20"/>
        <v>-0.10046666165942597</v>
      </c>
      <c r="CH14" s="78">
        <f>CH13/CC13-1</f>
        <v>-8.2177823699575603E-2</v>
      </c>
      <c r="CI14" s="52">
        <f t="shared" si="20"/>
        <v>-9.6021653444536725E-2</v>
      </c>
      <c r="CJ14" s="52">
        <f t="shared" si="20"/>
        <v>-0.11290438336154818</v>
      </c>
      <c r="CK14" s="52">
        <f t="shared" si="20"/>
        <v>-0.15808799379186955</v>
      </c>
      <c r="CL14" s="52">
        <f t="shared" si="20"/>
        <v>-0.20141198340161437</v>
      </c>
      <c r="CM14" s="78">
        <f t="shared" ref="CM14" si="21">CM13/CH13-1</f>
        <v>-0.13977569502289078</v>
      </c>
      <c r="CN14" s="52">
        <f t="shared" ref="CN14:CW14" ca="1" si="22">CN13/CI13-1</f>
        <v>-0.26652283831196089</v>
      </c>
      <c r="CO14" s="52">
        <f t="shared" ca="1" si="22"/>
        <v>-0.19587921169631473</v>
      </c>
      <c r="CP14" s="52">
        <f t="shared" ca="1" si="22"/>
        <v>-0.1612316100775022</v>
      </c>
      <c r="CQ14" s="52">
        <f t="shared" ca="1" si="22"/>
        <v>-0.15054209516952366</v>
      </c>
      <c r="CR14" s="78">
        <f t="shared" ca="1" si="22"/>
        <v>-0.19878333713083662</v>
      </c>
      <c r="CS14" s="52">
        <f t="shared" ca="1" si="22"/>
        <v>-0.1196561525261125</v>
      </c>
      <c r="CT14" s="52">
        <f t="shared" ca="1" si="22"/>
        <v>-7.3882830684245171E-2</v>
      </c>
      <c r="CU14" s="52">
        <f t="shared" ca="1" si="22"/>
        <v>-1.0624463633727932E-2</v>
      </c>
      <c r="CV14" s="52">
        <f t="shared" ca="1" si="22"/>
        <v>7.4544352942478298E-3</v>
      </c>
      <c r="CW14" s="78">
        <f t="shared" ca="1" si="22"/>
        <v>-5.2043632416765795E-2</v>
      </c>
      <c r="CX14" s="52">
        <f t="shared" ref="CX14" ca="1" si="23">CX13/CS13-1</f>
        <v>-4.3027029618919466E-3</v>
      </c>
      <c r="CY14" s="52">
        <f t="shared" ref="CY14" ca="1" si="24">CY13/CT13-1</f>
        <v>-3.7009582132322416E-3</v>
      </c>
      <c r="CZ14" s="52">
        <f t="shared" ref="CZ14" ca="1" si="25">CZ13/CU13-1</f>
        <v>-9.199479613617223E-3</v>
      </c>
      <c r="DA14" s="52">
        <f t="shared" ref="DA14" ca="1" si="26">DA13/CV13-1</f>
        <v>-3.4891079557589633E-3</v>
      </c>
      <c r="DB14" s="78">
        <f t="shared" ref="DB14" ca="1" si="27">DB13/CW13-1</f>
        <v>-5.1774363760554998E-3</v>
      </c>
      <c r="DC14" s="54"/>
      <c r="DD14" s="54"/>
      <c r="DE14" s="54"/>
      <c r="DF14" s="54"/>
      <c r="DG14" s="54"/>
      <c r="DH14" s="54"/>
      <c r="DI14" s="54"/>
      <c r="DJ14" s="54"/>
    </row>
    <row r="15" spans="1:114" hidden="1" outlineLevel="1">
      <c r="A15" s="396"/>
      <c r="B15" s="53" t="s">
        <v>240</v>
      </c>
      <c r="C15" s="157"/>
      <c r="D15" s="80">
        <f>'Revenue Model'!D$116</f>
        <v>737287.77568571828</v>
      </c>
      <c r="E15" s="81">
        <f>'Revenue Model'!E$116</f>
        <v>862621.10674838477</v>
      </c>
      <c r="F15" s="82">
        <f>'Revenue Model'!F$116</f>
        <v>1004972.6642453423</v>
      </c>
      <c r="G15" s="93">
        <f>'Revenue Model'!G$116</f>
        <v>294276.73128585418</v>
      </c>
      <c r="H15" s="93">
        <f>'Revenue Model'!H$116</f>
        <v>278507.95286942058</v>
      </c>
      <c r="I15" s="93">
        <f>'Revenue Model'!I$116</f>
        <v>288063.66133621114</v>
      </c>
      <c r="J15" s="93">
        <f>'Revenue Model'!J$116</f>
        <v>319084.35363190103</v>
      </c>
      <c r="K15" s="82">
        <f>'Revenue Model'!K$116</f>
        <v>1179932.699123387</v>
      </c>
      <c r="L15" s="93">
        <f>'Revenue Model'!L$116</f>
        <v>378920.56380454078</v>
      </c>
      <c r="M15" s="93">
        <f>'Revenue Model'!M$116</f>
        <v>366101.04315455677</v>
      </c>
      <c r="N15" s="93">
        <f>'Revenue Model'!N$116</f>
        <v>372603.57426199265</v>
      </c>
      <c r="O15" s="93">
        <f>'Revenue Model'!O$116</f>
        <v>374661.64401945984</v>
      </c>
      <c r="P15" s="82">
        <f>'Revenue Model'!P$116</f>
        <v>1492286.8252405501</v>
      </c>
      <c r="Q15" s="93">
        <f>'Revenue Model'!Q$116</f>
        <v>440513.13846353488</v>
      </c>
      <c r="R15" s="93">
        <f>'Revenue Model'!R$116</f>
        <v>409578.15001983475</v>
      </c>
      <c r="S15" s="93">
        <f>'Revenue Model'!S$116</f>
        <v>465183.71778911987</v>
      </c>
      <c r="T15" s="93">
        <f>'Revenue Model'!T$116</f>
        <v>522200.79043620382</v>
      </c>
      <c r="U15" s="82">
        <f>'Revenue Model'!U$116</f>
        <v>1837475.7967086933</v>
      </c>
      <c r="V15" s="93">
        <f>'Revenue Model'!V$116</f>
        <v>542145.42431126349</v>
      </c>
      <c r="W15" s="93">
        <f>'Revenue Model'!W$116</f>
        <v>519088.7981777424</v>
      </c>
      <c r="X15" s="93">
        <f>'Revenue Model'!X$116</f>
        <v>525932.52248294989</v>
      </c>
      <c r="Y15" s="93">
        <f>'Revenue Model'!Y$116</f>
        <v>532240.50960314542</v>
      </c>
      <c r="Z15" s="82">
        <f>'Revenue Model'!Z$116</f>
        <v>2119407.2545751012</v>
      </c>
      <c r="AA15" s="93">
        <f>'Revenue Model'!AA$116</f>
        <v>572050.92424062733</v>
      </c>
      <c r="AB15" s="93">
        <f>'Revenue Model'!AB$116</f>
        <v>549691.3850149624</v>
      </c>
      <c r="AC15" s="93">
        <f>'Revenue Model'!AC$116</f>
        <v>541684.61920181673</v>
      </c>
      <c r="AD15" s="93">
        <f>'Revenue Model'!AD$116</f>
        <v>561341.71858521947</v>
      </c>
      <c r="AE15" s="82">
        <f>'Revenue Model'!AE$116</f>
        <v>2224768.6470426256</v>
      </c>
      <c r="AF15" s="93">
        <f>'Revenue Model'!AF$116</f>
        <v>604191.58665754879</v>
      </c>
      <c r="AG15" s="93">
        <f>'Revenue Model'!AG$116</f>
        <v>605037.08438554348</v>
      </c>
      <c r="AH15" s="93">
        <f>'Revenue Model'!AH$116</f>
        <v>629439.60977188544</v>
      </c>
      <c r="AI15" s="93">
        <f>'Revenue Model'!AI$116</f>
        <v>638746.98530339496</v>
      </c>
      <c r="AJ15" s="82">
        <f>'Revenue Model'!AJ$116</f>
        <v>2477415.2661183728</v>
      </c>
      <c r="AK15" s="93">
        <f>'Revenue Model'!AK$116</f>
        <v>666866.98957584472</v>
      </c>
      <c r="AL15" s="93">
        <f>'Revenue Model'!AL$116</f>
        <v>667842.90881840931</v>
      </c>
      <c r="AM15" s="93">
        <f>'Revenue Model'!AM$116</f>
        <v>1109409.2910812353</v>
      </c>
      <c r="AN15" s="93">
        <f>'Revenue Model'!AN$116</f>
        <v>1248140.4377371909</v>
      </c>
      <c r="AO15" s="82">
        <f>'Revenue Model'!AO$116</f>
        <v>3692259.6272126799</v>
      </c>
      <c r="AP15" s="93">
        <f>'Revenue Model'!AP$116</f>
        <v>1351679.6740241426</v>
      </c>
      <c r="AQ15" s="93">
        <f>'Revenue Model'!AQ$116</f>
        <v>1259323.3488601616</v>
      </c>
      <c r="AR15" s="93">
        <f>'Revenue Model'!AR$116</f>
        <v>1249765.3589642234</v>
      </c>
      <c r="AS15" s="93">
        <f>'Revenue Model'!AS$116</f>
        <v>1255853.107622935</v>
      </c>
      <c r="AT15" s="82">
        <f>'Revenue Model'!AT$116</f>
        <v>5116621.4894714626</v>
      </c>
      <c r="AU15" s="93">
        <f>'Revenue Model'!AU$116</f>
        <v>1318601.200344089</v>
      </c>
      <c r="AV15" s="93">
        <f>'Revenue Model'!AV$116</f>
        <v>1354225.1293819959</v>
      </c>
      <c r="AW15" s="93">
        <f>'Revenue Model'!AW$116</f>
        <v>1367978.594870565</v>
      </c>
      <c r="AX15" s="93">
        <f>'Revenue Model'!AX$116</f>
        <v>1355508.8432431489</v>
      </c>
      <c r="AY15" s="82">
        <f>'Revenue Model'!AY$116</f>
        <v>5396313.7678397987</v>
      </c>
      <c r="AZ15" s="93">
        <f>'Revenue Model'!AZ$116</f>
        <v>1390468.2342894827</v>
      </c>
      <c r="BA15" s="93">
        <f>'Revenue Model'!BA$116</f>
        <v>1363606.5743503117</v>
      </c>
      <c r="BB15" s="93">
        <f>'Revenue Model'!BB$116</f>
        <v>1376531.5956295095</v>
      </c>
      <c r="BC15" s="93">
        <f>'Revenue Model'!BC$116</f>
        <v>1430922.4259673809</v>
      </c>
      <c r="BD15" s="82">
        <f>'Revenue Model'!BD$116</f>
        <v>5561528.8302366845</v>
      </c>
      <c r="BE15" s="93">
        <f>'Revenue Model'!BE$116</f>
        <v>1492725.5674087971</v>
      </c>
      <c r="BF15" s="93">
        <f>'Revenue Model'!BF$116</f>
        <v>1456010.6750784146</v>
      </c>
      <c r="BG15" s="93">
        <f>'Revenue Model'!BG$116</f>
        <v>1457504.7284308609</v>
      </c>
      <c r="BH15" s="93">
        <f>'Revenue Model'!BH$116</f>
        <v>1467673.941356272</v>
      </c>
      <c r="BI15" s="82">
        <f>'Revenue Model'!BI$116</f>
        <v>5873914.9122743439</v>
      </c>
      <c r="BJ15" s="93">
        <f>'Revenue Model'!BJ$116</f>
        <v>1586883.6414716749</v>
      </c>
      <c r="BK15" s="93">
        <f>'Revenue Model'!BK$116</f>
        <v>1519047.5220497092</v>
      </c>
      <c r="BL15" s="93">
        <f>'Revenue Model'!BL$116</f>
        <v>1536070.4181898006</v>
      </c>
      <c r="BM15" s="93">
        <f>'Revenue Model'!BM$116</f>
        <v>1538911.538796484</v>
      </c>
      <c r="BN15" s="82">
        <f>'Revenue Model'!BN$116</f>
        <v>6180913.1205076687</v>
      </c>
      <c r="BO15" s="93">
        <f>'Revenue Model'!BO$116</f>
        <v>1573504.8751753317</v>
      </c>
      <c r="BP15" s="93">
        <f>'Revenue Model'!BP$116</f>
        <v>1515456.9522929981</v>
      </c>
      <c r="BQ15" s="93">
        <f>'Revenue Model'!BQ$116</f>
        <v>1474279.9913677629</v>
      </c>
      <c r="BR15" s="93">
        <f>'Revenue Model'!BR$116</f>
        <v>1459121.3299365109</v>
      </c>
      <c r="BS15" s="82">
        <f>'Revenue Model'!BS$116</f>
        <v>6022363.1487726038</v>
      </c>
      <c r="BT15" s="93">
        <f>'Revenue Model'!BT$116</f>
        <v>1993541.9085906793</v>
      </c>
      <c r="BU15" s="93">
        <f>'Revenue Model'!BU$116</f>
        <v>2267928.6208048356</v>
      </c>
      <c r="BV15" s="93">
        <f>'Revenue Model'!BV$116</f>
        <v>2234447.4529201128</v>
      </c>
      <c r="BW15" s="93">
        <f>'Revenue Model'!BW$116</f>
        <v>2243735.8337605763</v>
      </c>
      <c r="BX15" s="82">
        <f>'Revenue Model'!BX$116</f>
        <v>8739653.8160762042</v>
      </c>
      <c r="BY15" s="93">
        <f>'Revenue Model'!BY$116</f>
        <v>2335193.2254659268</v>
      </c>
      <c r="BZ15" s="93">
        <f>'Revenue Model'!BZ$116</f>
        <v>2263042.2764252708</v>
      </c>
      <c r="CA15" s="93">
        <f>'Revenue Model'!CA$116</f>
        <v>2229904.1543750814</v>
      </c>
      <c r="CB15" s="93">
        <f>'Revenue Model'!CB$116</f>
        <v>2215426.2075656895</v>
      </c>
      <c r="CC15" s="82">
        <f>'Revenue Model'!CC$116</f>
        <v>9043565.863831969</v>
      </c>
      <c r="CD15" s="93">
        <f>'Revenue Model'!CD$116</f>
        <v>2304174.2736420529</v>
      </c>
      <c r="CE15" s="93">
        <f>'Revenue Model'!CE$116</f>
        <v>2089469.411445451</v>
      </c>
      <c r="CF15" s="93">
        <f>'Revenue Model'!CF$116</f>
        <v>1982712.0407264913</v>
      </c>
      <c r="CG15" s="93">
        <f>'Revenue Model'!CG$116</f>
        <v>1968773.801155797</v>
      </c>
      <c r="CH15" s="82">
        <f>'Revenue Model'!CH$116</f>
        <v>8345129.5269697923</v>
      </c>
      <c r="CI15" s="93">
        <f>'Revenue Model'!CI$116</f>
        <v>2055797.3987635605</v>
      </c>
      <c r="CJ15" s="93">
        <f>'Revenue Model'!CJ$116</f>
        <v>1842781.5329527762</v>
      </c>
      <c r="CK15" s="93">
        <f>'Revenue Model'!CK$116</f>
        <v>1655120.9248252464</v>
      </c>
      <c r="CL15" s="93">
        <f>'Revenue Model'!CL$116</f>
        <v>1570945.9363721248</v>
      </c>
      <c r="CM15" s="82">
        <f>'Revenue Model'!CM$116</f>
        <v>7124645.7929137079</v>
      </c>
      <c r="CN15" s="93">
        <f ca="1">'Revenue Model'!CN$116</f>
        <v>1533313.4726194527</v>
      </c>
      <c r="CO15" s="93">
        <f ca="1">'Revenue Model'!CO$116</f>
        <v>1380348.4333663622</v>
      </c>
      <c r="CP15" s="93">
        <f ca="1">'Revenue Model'!CP$116</f>
        <v>1272915.2901521008</v>
      </c>
      <c r="CQ15" s="93">
        <f ca="1">'Revenue Model'!CQ$116</f>
        <v>1276214.8672527904</v>
      </c>
      <c r="CR15" s="82">
        <f ca="1">'Revenue Model'!CR$116</f>
        <v>5462792.0633907057</v>
      </c>
      <c r="CS15" s="93">
        <f ca="1">'Revenue Model'!CS$116</f>
        <v>1299800.1491781231</v>
      </c>
      <c r="CT15" s="93">
        <f ca="1">'Revenue Model'!CT$116</f>
        <v>1284742.0695756604</v>
      </c>
      <c r="CU15" s="93">
        <f ca="1">'Revenue Model'!CU$116</f>
        <v>1286581.7868180897</v>
      </c>
      <c r="CV15" s="93">
        <f ca="1">'Revenue Model'!CV$116</f>
        <v>1252520.8684455862</v>
      </c>
      <c r="CW15" s="82">
        <f ca="1">'Revenue Model'!CW$116</f>
        <v>5123644.8740174593</v>
      </c>
      <c r="CX15" s="93">
        <f ca="1">'Revenue Model'!CX$116</f>
        <v>1302917.5139175935</v>
      </c>
      <c r="CY15" s="93">
        <f ca="1">'Revenue Model'!CY$116</f>
        <v>1288245.9023374137</v>
      </c>
      <c r="CZ15" s="93">
        <f ca="1">'Revenue Model'!CZ$116</f>
        <v>1278270.7607481</v>
      </c>
      <c r="DA15" s="93">
        <f ca="1">'Revenue Model'!DA$116</f>
        <v>1253919.2782960723</v>
      </c>
      <c r="DB15" s="82">
        <f ca="1">'Revenue Model'!DB$116</f>
        <v>5123353.45529918</v>
      </c>
      <c r="DC15" s="37"/>
      <c r="DD15" s="37"/>
      <c r="DE15" s="37"/>
      <c r="DF15" s="37"/>
      <c r="DG15" s="37"/>
      <c r="DH15" s="37"/>
      <c r="DI15" s="37"/>
      <c r="DJ15" s="37"/>
    </row>
    <row r="16" spans="1:114" hidden="1" outlineLevel="1">
      <c r="A16" s="457"/>
      <c r="B16" s="55" t="s">
        <v>183</v>
      </c>
      <c r="C16" s="460"/>
      <c r="D16" s="96"/>
      <c r="E16" s="97"/>
      <c r="F16" s="96"/>
      <c r="G16" s="54"/>
      <c r="H16" s="54"/>
      <c r="I16" s="54"/>
      <c r="J16" s="54"/>
      <c r="K16" s="78">
        <f t="shared" ref="K16:AP16" si="28">K15/F15-1</f>
        <v>0.17409432226639354</v>
      </c>
      <c r="L16" s="52">
        <f t="shared" si="28"/>
        <v>0.28763345354840641</v>
      </c>
      <c r="M16" s="52">
        <f t="shared" si="28"/>
        <v>0.31450839871062675</v>
      </c>
      <c r="N16" s="52">
        <f t="shared" si="28"/>
        <v>0.29347649243099583</v>
      </c>
      <c r="O16" s="52">
        <f t="shared" si="28"/>
        <v>0.17417742285061499</v>
      </c>
      <c r="P16" s="78">
        <f t="shared" si="28"/>
        <v>0.2647219848633926</v>
      </c>
      <c r="Q16" s="52">
        <f t="shared" si="28"/>
        <v>0.16254745860339614</v>
      </c>
      <c r="R16" s="52">
        <f t="shared" si="28"/>
        <v>0.11875712369091307</v>
      </c>
      <c r="S16" s="52">
        <f t="shared" si="28"/>
        <v>0.24846821104842753</v>
      </c>
      <c r="T16" s="52">
        <f t="shared" si="28"/>
        <v>0.39379303638853624</v>
      </c>
      <c r="U16" s="78">
        <f t="shared" si="28"/>
        <v>0.2313154318791899</v>
      </c>
      <c r="V16" s="52">
        <f t="shared" si="28"/>
        <v>0.23071340437702204</v>
      </c>
      <c r="W16" s="52">
        <f t="shared" si="28"/>
        <v>0.26737424384724706</v>
      </c>
      <c r="X16" s="52">
        <f t="shared" si="28"/>
        <v>0.13059099527935136</v>
      </c>
      <c r="Y16" s="52">
        <f t="shared" si="28"/>
        <v>1.9225783167726052E-2</v>
      </c>
      <c r="Z16" s="78">
        <f t="shared" si="28"/>
        <v>0.15343410692614645</v>
      </c>
      <c r="AA16" s="52">
        <f t="shared" si="28"/>
        <v>5.5161398747126666E-2</v>
      </c>
      <c r="AB16" s="52">
        <f t="shared" si="28"/>
        <v>5.8954435049745291E-2</v>
      </c>
      <c r="AC16" s="52">
        <f t="shared" si="28"/>
        <v>2.9950794152262095E-2</v>
      </c>
      <c r="AD16" s="52">
        <f t="shared" si="28"/>
        <v>5.4676802041567329E-2</v>
      </c>
      <c r="AE16" s="78">
        <f t="shared" si="28"/>
        <v>4.9712669540072474E-2</v>
      </c>
      <c r="AF16" s="52">
        <f t="shared" si="28"/>
        <v>5.6184967203027902E-2</v>
      </c>
      <c r="AG16" s="52">
        <f t="shared" si="28"/>
        <v>0.10068504051427807</v>
      </c>
      <c r="AH16" s="52">
        <f t="shared" si="28"/>
        <v>0.16200384404374901</v>
      </c>
      <c r="AI16" s="52">
        <f t="shared" si="28"/>
        <v>0.13789330839914093</v>
      </c>
      <c r="AJ16" s="78">
        <f t="shared" si="28"/>
        <v>0.11356085020866735</v>
      </c>
      <c r="AK16" s="52">
        <f t="shared" si="28"/>
        <v>0.10373431921656318</v>
      </c>
      <c r="AL16" s="52">
        <f t="shared" si="28"/>
        <v>0.10380491717569584</v>
      </c>
      <c r="AM16" s="52">
        <f t="shared" si="28"/>
        <v>0.76253491813661856</v>
      </c>
      <c r="AN16" s="52">
        <f t="shared" si="28"/>
        <v>0.95404513282257364</v>
      </c>
      <c r="AO16" s="78">
        <f t="shared" si="28"/>
        <v>0.49036767380453394</v>
      </c>
      <c r="AP16" s="52">
        <f t="shared" si="28"/>
        <v>1.0269104561373887</v>
      </c>
      <c r="AQ16" s="52">
        <f t="shared" ref="AQ16:CL16" si="29">AQ15/AL15-1</f>
        <v>0.88565803758886585</v>
      </c>
      <c r="AR16" s="52">
        <f t="shared" si="29"/>
        <v>0.12651423510812365</v>
      </c>
      <c r="AS16" s="52">
        <f t="shared" si="29"/>
        <v>6.1793285855931135E-3</v>
      </c>
      <c r="AT16" s="78">
        <f t="shared" si="29"/>
        <v>0.38576969283550788</v>
      </c>
      <c r="AU16" s="52">
        <f t="shared" si="29"/>
        <v>-2.4472124805705153E-2</v>
      </c>
      <c r="AV16" s="52">
        <f t="shared" si="29"/>
        <v>7.5359343259800315E-2</v>
      </c>
      <c r="AW16" s="52">
        <f t="shared" si="29"/>
        <v>9.4588344170712046E-2</v>
      </c>
      <c r="AX16" s="52">
        <f t="shared" si="29"/>
        <v>7.9353019087432308E-2</v>
      </c>
      <c r="AY16" s="78">
        <f t="shared" si="29"/>
        <v>5.4663468647009106E-2</v>
      </c>
      <c r="AZ16" s="52">
        <f t="shared" si="29"/>
        <v>5.4502478783304609E-2</v>
      </c>
      <c r="BA16" s="52">
        <f t="shared" si="29"/>
        <v>6.9275372054253825E-3</v>
      </c>
      <c r="BB16" s="52">
        <f t="shared" si="29"/>
        <v>6.2522913669960101E-3</v>
      </c>
      <c r="BC16" s="52">
        <f t="shared" si="29"/>
        <v>5.5634888034960861E-2</v>
      </c>
      <c r="BD16" s="78">
        <f t="shared" si="29"/>
        <v>3.0616281688717217E-2</v>
      </c>
      <c r="BE16" s="52">
        <f t="shared" si="29"/>
        <v>7.3541653521892236E-2</v>
      </c>
      <c r="BF16" s="52">
        <f t="shared" si="29"/>
        <v>6.7764487548124919E-2</v>
      </c>
      <c r="BG16" s="52">
        <f t="shared" si="29"/>
        <v>5.8824027765465914E-2</v>
      </c>
      <c r="BH16" s="52">
        <f t="shared" si="29"/>
        <v>2.5683793000899513E-2</v>
      </c>
      <c r="BI16" s="78">
        <f t="shared" si="29"/>
        <v>5.616910234094119E-2</v>
      </c>
      <c r="BJ16" s="52">
        <f t="shared" si="29"/>
        <v>6.3077953589503855E-2</v>
      </c>
      <c r="BK16" s="52">
        <f t="shared" si="29"/>
        <v>4.3294220331111077E-2</v>
      </c>
      <c r="BL16" s="52">
        <f t="shared" si="29"/>
        <v>5.3904243482985503E-2</v>
      </c>
      <c r="BM16" s="52">
        <f t="shared" si="29"/>
        <v>4.8537754492242069E-2</v>
      </c>
      <c r="BN16" s="78">
        <f t="shared" si="29"/>
        <v>5.2264667231016526E-2</v>
      </c>
      <c r="BO16" s="52">
        <f t="shared" si="29"/>
        <v>-8.4308426570808281E-3</v>
      </c>
      <c r="BP16" s="52">
        <f t="shared" si="29"/>
        <v>-2.3636981098960064E-3</v>
      </c>
      <c r="BQ16" s="52">
        <f t="shared" si="29"/>
        <v>-4.0226298280553574E-2</v>
      </c>
      <c r="BR16" s="52">
        <f t="shared" si="29"/>
        <v>-5.1848470070198882E-2</v>
      </c>
      <c r="BS16" s="78">
        <f t="shared" si="29"/>
        <v>-2.5651545110545459E-2</v>
      </c>
      <c r="BT16" s="52">
        <f t="shared" si="29"/>
        <v>0.26694358564891263</v>
      </c>
      <c r="BU16" s="52">
        <f t="shared" si="29"/>
        <v>0.49653120623010261</v>
      </c>
      <c r="BV16" s="52">
        <f t="shared" si="29"/>
        <v>0.515619465775361</v>
      </c>
      <c r="BW16" s="52">
        <f t="shared" si="29"/>
        <v>0.53773081629764508</v>
      </c>
      <c r="BX16" s="78">
        <f>BX15/BS15-1</f>
        <v>0.45120006883965491</v>
      </c>
      <c r="BY16" s="52">
        <f t="shared" si="29"/>
        <v>0.1713790492203775</v>
      </c>
      <c r="BZ16" s="52">
        <f t="shared" si="29"/>
        <v>-2.1545406388631116E-3</v>
      </c>
      <c r="CA16" s="52">
        <f t="shared" si="29"/>
        <v>-2.0332984510751384E-3</v>
      </c>
      <c r="CB16" s="52">
        <f t="shared" si="29"/>
        <v>-1.2617183257014219E-2</v>
      </c>
      <c r="CC16" s="78">
        <f>CC15/BX15-1</f>
        <v>3.4773922875152241E-2</v>
      </c>
      <c r="CD16" s="52">
        <f t="shared" si="29"/>
        <v>-1.3283248463383579E-2</v>
      </c>
      <c r="CE16" s="52">
        <f t="shared" si="29"/>
        <v>-7.66989051808602E-2</v>
      </c>
      <c r="CF16" s="52">
        <f t="shared" si="29"/>
        <v>-0.11085324594045809</v>
      </c>
      <c r="CG16" s="52">
        <f t="shared" si="29"/>
        <v>-0.11133406545773161</v>
      </c>
      <c r="CH16" s="78">
        <f>CH15/CC15-1</f>
        <v>-7.7230192976803669E-2</v>
      </c>
      <c r="CI16" s="52">
        <f t="shared" si="29"/>
        <v>-0.10779430953627478</v>
      </c>
      <c r="CJ16" s="52">
        <f t="shared" si="29"/>
        <v>-0.11806245027632223</v>
      </c>
      <c r="CK16" s="52">
        <f t="shared" si="29"/>
        <v>-0.16522374866963097</v>
      </c>
      <c r="CL16" s="52">
        <f t="shared" si="29"/>
        <v>-0.20206885349150905</v>
      </c>
      <c r="CM16" s="78">
        <f t="shared" ref="CM16" si="30">CM15/CH15-1</f>
        <v>-0.1462510234396871</v>
      </c>
      <c r="CN16" s="52">
        <f t="shared" ref="CN16:CW16" ca="1" si="31">CN15/CI15-1</f>
        <v>-0.25415146767787067</v>
      </c>
      <c r="CO16" s="52">
        <f t="shared" ca="1" si="31"/>
        <v>-0.25094298554502847</v>
      </c>
      <c r="CP16" s="52">
        <f t="shared" ca="1" si="31"/>
        <v>-0.23092308781819082</v>
      </c>
      <c r="CQ16" s="52">
        <f t="shared" ca="1" si="31"/>
        <v>-0.18761375696987626</v>
      </c>
      <c r="CR16" s="78">
        <f t="shared" ca="1" si="31"/>
        <v>-0.23325422453645484</v>
      </c>
      <c r="CS16" s="52">
        <f t="shared" ca="1" si="31"/>
        <v>-0.15229327049634844</v>
      </c>
      <c r="CT16" s="52">
        <f t="shared" ca="1" si="31"/>
        <v>-6.9262485818554653E-2</v>
      </c>
      <c r="CU16" s="52">
        <f t="shared" ca="1" si="31"/>
        <v>1.0736375603089598E-2</v>
      </c>
      <c r="CV16" s="52">
        <f t="shared" ca="1" si="31"/>
        <v>-1.8565838257478151E-2</v>
      </c>
      <c r="CW16" s="78">
        <f t="shared" ca="1" si="31"/>
        <v>-6.2083122593310058E-2</v>
      </c>
      <c r="CX16" s="52">
        <f t="shared" ref="CX16" ca="1" si="32">CX15/CS15-1</f>
        <v>2.3983415769275318E-3</v>
      </c>
      <c r="CY16" s="52">
        <f t="shared" ref="CY16" ca="1" si="33">CY15/CT15-1</f>
        <v>2.7272655303571813E-3</v>
      </c>
      <c r="CZ16" s="52">
        <f t="shared" ref="CZ16" ca="1" si="34">CZ15/CU15-1</f>
        <v>-6.4597728299450319E-3</v>
      </c>
      <c r="DA16" s="52">
        <f t="shared" ref="DA16" ca="1" si="35">DA15/CV15-1</f>
        <v>1.1164762885120805E-3</v>
      </c>
      <c r="DB16" s="78">
        <f t="shared" ref="DB16" ca="1" si="36">DB15/CW15-1</f>
        <v>-5.6877228114871059E-5</v>
      </c>
      <c r="DC16" s="54"/>
      <c r="DD16" s="54"/>
      <c r="DE16" s="54"/>
      <c r="DF16" s="54"/>
      <c r="DG16" s="54"/>
      <c r="DH16" s="54"/>
      <c r="DI16" s="54"/>
      <c r="DJ16" s="54"/>
    </row>
    <row r="17" spans="1:114" ht="3.75" hidden="1" customHeight="1" outlineLevel="1">
      <c r="A17" s="457"/>
      <c r="B17" s="55"/>
      <c r="C17" s="460"/>
      <c r="D17" s="96"/>
      <c r="E17" s="97"/>
      <c r="F17" s="96"/>
      <c r="G17" s="54"/>
      <c r="H17" s="54"/>
      <c r="I17" s="54"/>
      <c r="J17" s="54"/>
      <c r="K17" s="78"/>
      <c r="L17" s="52"/>
      <c r="M17" s="52"/>
      <c r="N17" s="52"/>
      <c r="O17" s="52"/>
      <c r="P17" s="78"/>
      <c r="Q17" s="52"/>
      <c r="R17" s="52"/>
      <c r="S17" s="52"/>
      <c r="T17" s="52"/>
      <c r="U17" s="78"/>
      <c r="V17" s="52"/>
      <c r="W17" s="52"/>
      <c r="X17" s="52"/>
      <c r="Y17" s="52"/>
      <c r="Z17" s="78"/>
      <c r="AA17" s="52"/>
      <c r="AB17" s="52"/>
      <c r="AC17" s="52"/>
      <c r="AD17" s="52"/>
      <c r="AE17" s="78"/>
      <c r="AF17" s="52"/>
      <c r="AG17" s="52"/>
      <c r="AH17" s="52"/>
      <c r="AI17" s="52"/>
      <c r="AJ17" s="78"/>
      <c r="AK17" s="52"/>
      <c r="AL17" s="52"/>
      <c r="AM17" s="52"/>
      <c r="AN17" s="52"/>
      <c r="AO17" s="78"/>
      <c r="AP17" s="52"/>
      <c r="AQ17" s="52"/>
      <c r="AR17" s="52"/>
      <c r="AS17" s="52"/>
      <c r="AT17" s="78"/>
      <c r="AU17" s="52"/>
      <c r="AV17" s="52"/>
      <c r="AW17" s="52"/>
      <c r="AX17" s="52"/>
      <c r="AY17" s="78"/>
      <c r="AZ17" s="52"/>
      <c r="BA17" s="52"/>
      <c r="BB17" s="52"/>
      <c r="BC17" s="52"/>
      <c r="BD17" s="78"/>
      <c r="BE17" s="52"/>
      <c r="BF17" s="52"/>
      <c r="BG17" s="52"/>
      <c r="BH17" s="52"/>
      <c r="BI17" s="78"/>
      <c r="BJ17" s="52"/>
      <c r="BK17" s="52"/>
      <c r="BL17" s="52"/>
      <c r="BM17" s="52"/>
      <c r="BN17" s="78"/>
      <c r="BO17" s="52"/>
      <c r="BP17" s="52"/>
      <c r="BQ17" s="52"/>
      <c r="BR17" s="52"/>
      <c r="BS17" s="78"/>
      <c r="BT17" s="52"/>
      <c r="BU17" s="52"/>
      <c r="BV17" s="52"/>
      <c r="BW17" s="52"/>
      <c r="BX17" s="78"/>
      <c r="BY17" s="52"/>
      <c r="BZ17" s="52"/>
      <c r="CA17" s="52"/>
      <c r="CB17" s="52"/>
      <c r="CC17" s="78"/>
      <c r="CD17" s="52"/>
      <c r="CE17" s="52"/>
      <c r="CF17" s="52"/>
      <c r="CG17" s="52"/>
      <c r="CH17" s="78"/>
      <c r="CI17" s="52"/>
      <c r="CJ17" s="52"/>
      <c r="CK17" s="52"/>
      <c r="CL17" s="52"/>
      <c r="CM17" s="78"/>
      <c r="CN17" s="52"/>
      <c r="CO17" s="52"/>
      <c r="CP17" s="52"/>
      <c r="CQ17" s="52"/>
      <c r="CR17" s="78"/>
      <c r="CS17" s="52"/>
      <c r="CT17" s="52"/>
      <c r="CU17" s="52"/>
      <c r="CV17" s="52"/>
      <c r="CW17" s="78"/>
      <c r="CX17" s="52"/>
      <c r="CY17" s="52"/>
      <c r="CZ17" s="52"/>
      <c r="DA17" s="52"/>
      <c r="DB17" s="78"/>
      <c r="DC17" s="54"/>
      <c r="DD17" s="54"/>
      <c r="DE17" s="54"/>
      <c r="DF17" s="54"/>
      <c r="DG17" s="54"/>
      <c r="DH17" s="54"/>
      <c r="DI17" s="54"/>
      <c r="DJ17" s="54"/>
    </row>
    <row r="18" spans="1:114" hidden="1" outlineLevel="1">
      <c r="A18" s="396"/>
      <c r="B18" s="37" t="str">
        <f>IS!B8</f>
        <v>Gross Revenue</v>
      </c>
      <c r="C18" s="157"/>
      <c r="D18" s="80">
        <f>IS!D8</f>
        <v>854.85</v>
      </c>
      <c r="E18" s="81">
        <f>IS!E8</f>
        <v>1079.953</v>
      </c>
      <c r="F18" s="82">
        <f>IS!F8</f>
        <v>1337.501</v>
      </c>
      <c r="G18" s="93">
        <f>IS!G8</f>
        <v>398.64499999999998</v>
      </c>
      <c r="H18" s="93">
        <f>IS!H8</f>
        <v>400.90899999999999</v>
      </c>
      <c r="I18" s="93">
        <f>IS!I8</f>
        <v>416.56900000000002</v>
      </c>
      <c r="J18" s="93">
        <f>IS!J8</f>
        <v>477.50200000000001</v>
      </c>
      <c r="K18" s="82">
        <f>IS!K8</f>
        <v>1693.625</v>
      </c>
      <c r="L18" s="93">
        <f>IS!L8</f>
        <v>533.51900000000001</v>
      </c>
      <c r="M18" s="93">
        <f>IS!M8</f>
        <v>530.58199999999999</v>
      </c>
      <c r="N18" s="93">
        <f>IS!N8</f>
        <v>552.84100000000001</v>
      </c>
      <c r="O18" s="93">
        <f>IS!O8</f>
        <v>583.47500000000002</v>
      </c>
      <c r="P18" s="82">
        <f>IS!P8</f>
        <v>2200.4169999999999</v>
      </c>
      <c r="Q18" s="93">
        <f>IS!Q8</f>
        <v>659.27700000000004</v>
      </c>
      <c r="R18" s="93">
        <f>IS!R8</f>
        <v>657.29300000000001</v>
      </c>
      <c r="S18" s="93">
        <f>IS!S8</f>
        <v>723.02200000000005</v>
      </c>
      <c r="T18" s="93">
        <f>IS!T8</f>
        <v>795.03200000000004</v>
      </c>
      <c r="U18" s="82">
        <f>IS!U8</f>
        <v>2834.6240000000003</v>
      </c>
      <c r="V18" s="93">
        <f>IS!V8</f>
        <v>822.37599999999998</v>
      </c>
      <c r="W18" s="93">
        <f>IS!W8</f>
        <v>813.66899999999998</v>
      </c>
      <c r="X18" s="93">
        <f>IS!X8</f>
        <v>844.03399999999999</v>
      </c>
      <c r="Y18" s="93">
        <f>IS!Y8</f>
        <v>871.673</v>
      </c>
      <c r="Z18" s="82">
        <f>IS!Z8</f>
        <v>3351.7520000000004</v>
      </c>
      <c r="AA18" s="93">
        <f>IS!AA8</f>
        <v>914.10799999999995</v>
      </c>
      <c r="AB18" s="93">
        <f>IS!AB8</f>
        <v>918.71799999999996</v>
      </c>
      <c r="AC18" s="93">
        <f>IS!AC8</f>
        <v>929.26900000000001</v>
      </c>
      <c r="AD18" s="93">
        <f>IS!AD8</f>
        <v>982.07</v>
      </c>
      <c r="AE18" s="82">
        <f>IS!AE8</f>
        <v>3744.1650000000004</v>
      </c>
      <c r="AF18" s="93">
        <f>IS!AF8</f>
        <v>1026.5619999999999</v>
      </c>
      <c r="AG18" s="93">
        <f>IS!AG8</f>
        <v>1061.0540000000001</v>
      </c>
      <c r="AH18" s="93">
        <f>IS!AH8</f>
        <v>1123.4829999999999</v>
      </c>
      <c r="AI18" s="93">
        <f>IS!AI8</f>
        <v>1154.4770000000001</v>
      </c>
      <c r="AJ18" s="82">
        <f>IS!AJ8</f>
        <v>4365.576</v>
      </c>
      <c r="AK18" s="93">
        <f>IS!AK8</f>
        <v>1203.9970000000001</v>
      </c>
      <c r="AL18" s="93">
        <f>IS!AL8</f>
        <v>1249.1279999999999</v>
      </c>
      <c r="AM18" s="93">
        <f>IS!AM8</f>
        <v>2352.087</v>
      </c>
      <c r="AN18" s="93">
        <f>IS!AN8</f>
        <v>2528.3420000000001</v>
      </c>
      <c r="AO18" s="82">
        <f>IS!AO8</f>
        <v>7333.5540000000001</v>
      </c>
      <c r="AP18" s="93">
        <f>IS!AP8</f>
        <v>2727.5540000000001</v>
      </c>
      <c r="AQ18" s="93">
        <f>IS!AQ8</f>
        <v>2690.6</v>
      </c>
      <c r="AR18" s="93">
        <f>IS!AR8</f>
        <v>2772.86</v>
      </c>
      <c r="AS18" s="93">
        <f>IS!AS8</f>
        <v>2761.538</v>
      </c>
      <c r="AT18" s="82">
        <f>IS!AT8</f>
        <v>10952.552000000001</v>
      </c>
      <c r="AU18" s="93">
        <f>IS!AU8</f>
        <v>2892.39</v>
      </c>
      <c r="AV18" s="93">
        <f>IS!AV8</f>
        <v>3016.9609999999998</v>
      </c>
      <c r="AW18" s="93">
        <f>IS!AW8</f>
        <v>3086.7570000000001</v>
      </c>
      <c r="AX18" s="93">
        <f>IS!AX8</f>
        <v>3091.1460000000002</v>
      </c>
      <c r="AY18" s="82">
        <f>IS!AY8</f>
        <v>12087.254000000001</v>
      </c>
      <c r="AZ18" s="93">
        <f>IS!AZ8</f>
        <v>3160.7220000000002</v>
      </c>
      <c r="BA18" s="93">
        <f>IS!BA8</f>
        <v>3171.0239999999999</v>
      </c>
      <c r="BB18" s="93">
        <f>IS!BB8</f>
        <v>3252.0549999999998</v>
      </c>
      <c r="BC18" s="93">
        <f>IS!BC8</f>
        <v>3402.6990000000001</v>
      </c>
      <c r="BD18" s="82">
        <f>IS!BD8</f>
        <v>12986.5</v>
      </c>
      <c r="BE18" s="93">
        <f>IS!BE8</f>
        <v>3405.3420000000001</v>
      </c>
      <c r="BF18" s="93">
        <f>IS!BF8</f>
        <v>3433.8290000000002</v>
      </c>
      <c r="BG18" s="93">
        <f>IS!BG8</f>
        <v>3436</v>
      </c>
      <c r="BH18" s="93">
        <f>IS!BH8</f>
        <v>3442.5140000000001</v>
      </c>
      <c r="BI18" s="82">
        <f>IS!BI8</f>
        <v>13717.685000000001</v>
      </c>
      <c r="BJ18" s="93">
        <f>IS!BJ8</f>
        <v>3783.491</v>
      </c>
      <c r="BK18" s="93">
        <f>IS!BK8</f>
        <v>3746.4279999999999</v>
      </c>
      <c r="BL18" s="93">
        <f>IS!BL8</f>
        <v>3696.6610000000001</v>
      </c>
      <c r="BM18" s="93">
        <f>IS!BM8</f>
        <v>3761.5990000000002</v>
      </c>
      <c r="BN18" s="82">
        <f>IS!BN8</f>
        <v>14988.179</v>
      </c>
      <c r="BO18" s="93">
        <f>IS!BO8</f>
        <v>3799.864</v>
      </c>
      <c r="BP18" s="93">
        <f>IS!BP8</f>
        <v>3768.0859999999998</v>
      </c>
      <c r="BQ18" s="93">
        <f>IS!BQ8</f>
        <v>3766.8330000000001</v>
      </c>
      <c r="BR18" s="93">
        <f>IS!BR8</f>
        <v>3743.2910000000002</v>
      </c>
      <c r="BS18" s="82">
        <f>IS!BS8</f>
        <v>15078.074000000001</v>
      </c>
      <c r="BT18" s="93">
        <f>IS!BT8</f>
        <v>4900</v>
      </c>
      <c r="BU18" s="93">
        <f>IS!BU8</f>
        <v>5531</v>
      </c>
      <c r="BV18" s="93">
        <f>IS!BV8</f>
        <v>5563</v>
      </c>
      <c r="BW18" s="93">
        <f>IS!BW8</f>
        <v>5641</v>
      </c>
      <c r="BX18" s="82">
        <f>IS!BX8</f>
        <v>21635</v>
      </c>
      <c r="BY18" s="93">
        <f>IS!BY8</f>
        <v>5646</v>
      </c>
      <c r="BZ18" s="93">
        <f>IS!BZ8</f>
        <v>5614</v>
      </c>
      <c r="CA18" s="93">
        <f>IS!CA8</f>
        <v>5580</v>
      </c>
      <c r="CB18" s="93">
        <f>IS!CB8</f>
        <v>5724</v>
      </c>
      <c r="CC18" s="82">
        <f>IS!CC8</f>
        <v>22564</v>
      </c>
      <c r="CD18" s="93">
        <f>IS!CD8</f>
        <v>5754</v>
      </c>
      <c r="CE18" s="93">
        <f>IS!CE8</f>
        <v>5290</v>
      </c>
      <c r="CF18" s="93">
        <f>IS!CF8</f>
        <v>5084</v>
      </c>
      <c r="CG18" s="93">
        <f>IS!CG8</f>
        <v>5147</v>
      </c>
      <c r="CH18" s="82">
        <f>IS!CH8</f>
        <v>21275</v>
      </c>
      <c r="CI18" s="93">
        <f>IS!CI8</f>
        <v>5168</v>
      </c>
      <c r="CJ18" s="93">
        <f>IS!CJ8</f>
        <v>4823</v>
      </c>
      <c r="CK18" s="93">
        <f>IS!CK8</f>
        <v>4333</v>
      </c>
      <c r="CL18" s="93">
        <f>IS!CL8</f>
        <v>4076</v>
      </c>
      <c r="CM18" s="82">
        <f>IS!CM8</f>
        <v>18400</v>
      </c>
      <c r="CN18" s="93">
        <f ca="1">IS!CN8</f>
        <v>4271.1672374030713</v>
      </c>
      <c r="CO18" s="93">
        <f ca="1">IS!CO8</f>
        <v>3990.9826135142248</v>
      </c>
      <c r="CP18" s="93">
        <f ca="1">IS!CP8</f>
        <v>3650.4670994206772</v>
      </c>
      <c r="CQ18" s="93">
        <f ca="1">IS!CQ8</f>
        <v>4142.9644025066837</v>
      </c>
      <c r="CR18" s="82">
        <f ca="1">IS!CR8</f>
        <v>16055.581352844656</v>
      </c>
      <c r="CS18" s="93">
        <f ca="1">IS!CS8</f>
        <v>4006.7951151067136</v>
      </c>
      <c r="CT18" s="93">
        <f ca="1">IS!CT8</f>
        <v>3848.5117689885728</v>
      </c>
      <c r="CU18" s="93">
        <f ca="1">IS!CU8</f>
        <v>3675.5187238237022</v>
      </c>
      <c r="CV18" s="93">
        <f ca="1">IS!CV8</f>
        <v>4149.8020493725444</v>
      </c>
      <c r="CW18" s="82">
        <f ca="1">IS!CW8</f>
        <v>15680.627657291534</v>
      </c>
      <c r="CX18" s="93">
        <f ca="1">IS!CX8</f>
        <v>4029.630506447148</v>
      </c>
      <c r="CY18" s="93">
        <f ca="1">IS!CY8</f>
        <v>3872.661507397439</v>
      </c>
      <c r="CZ18" s="93">
        <f ca="1">IS!CZ8</f>
        <v>3668.0927346937315</v>
      </c>
      <c r="DA18" s="93">
        <f ca="1">IS!DA8</f>
        <v>4171.7439089006011</v>
      </c>
      <c r="DB18" s="82">
        <f ca="1">IS!DB8</f>
        <v>15742.12865743892</v>
      </c>
      <c r="DC18" s="37"/>
      <c r="DD18" s="37"/>
      <c r="DE18" s="37"/>
      <c r="DF18" s="37"/>
      <c r="DG18" s="37"/>
      <c r="DH18" s="37"/>
      <c r="DI18" s="37"/>
      <c r="DJ18" s="37"/>
    </row>
    <row r="19" spans="1:114" hidden="1" outlineLevel="1">
      <c r="A19" s="397"/>
      <c r="B19" s="32" t="str">
        <f>IS!B9</f>
        <v>Provision for bad debt</v>
      </c>
      <c r="C19" s="385"/>
      <c r="D19" s="149">
        <f>IS!D9</f>
        <v>122.303</v>
      </c>
      <c r="E19" s="150">
        <f>IS!E9</f>
        <v>95.149000000000001</v>
      </c>
      <c r="F19" s="151">
        <f>IS!F9</f>
        <v>122.303</v>
      </c>
      <c r="G19" s="152">
        <f>IS!G9</f>
        <v>36.972999999999999</v>
      </c>
      <c r="H19" s="152">
        <f>IS!H9</f>
        <v>36.985999999999997</v>
      </c>
      <c r="I19" s="152">
        <f>IS!I9</f>
        <v>38.384</v>
      </c>
      <c r="J19" s="152">
        <f>IS!J9</f>
        <v>43.883000000000003</v>
      </c>
      <c r="K19" s="151">
        <f>IS!K9</f>
        <v>156.226</v>
      </c>
      <c r="L19" s="152">
        <f>IS!L9</f>
        <v>49.896999999999998</v>
      </c>
      <c r="M19" s="152">
        <f>IS!M9</f>
        <v>47.722000000000001</v>
      </c>
      <c r="N19" s="152">
        <f>IS!N9</f>
        <v>52.350999999999999</v>
      </c>
      <c r="O19" s="152">
        <f>IS!O9</f>
        <v>51.363999999999997</v>
      </c>
      <c r="P19" s="151">
        <f>IS!P9</f>
        <v>201.334</v>
      </c>
      <c r="Q19" s="152">
        <f>IS!Q9</f>
        <v>62.341000000000001</v>
      </c>
      <c r="R19" s="152">
        <f>IS!R9</f>
        <v>62.078000000000003</v>
      </c>
      <c r="S19" s="152">
        <f>IS!S9</f>
        <v>70.69</v>
      </c>
      <c r="T19" s="152">
        <f>IS!T9</f>
        <v>81.409000000000006</v>
      </c>
      <c r="U19" s="151">
        <f>IS!U9</f>
        <v>276.51800000000003</v>
      </c>
      <c r="V19" s="152">
        <f>IS!V9</f>
        <v>86.111000000000004</v>
      </c>
      <c r="W19" s="152">
        <f>IS!W9</f>
        <v>81.721000000000004</v>
      </c>
      <c r="X19" s="152">
        <f>IS!X9</f>
        <v>88.400999999999996</v>
      </c>
      <c r="Y19" s="152">
        <f>IS!Y9</f>
        <v>89.975999999999999</v>
      </c>
      <c r="Z19" s="151">
        <f>IS!Z9</f>
        <v>346.209</v>
      </c>
      <c r="AA19" s="152">
        <f>IS!AA9</f>
        <v>93.994</v>
      </c>
      <c r="AB19" s="152">
        <f>IS!AB9</f>
        <v>91.581999999999994</v>
      </c>
      <c r="AC19" s="152">
        <f>IS!AC9</f>
        <v>92.98</v>
      </c>
      <c r="AD19" s="152">
        <f>IS!AD9</f>
        <v>99.983000000000004</v>
      </c>
      <c r="AE19" s="151">
        <f>IS!AE9</f>
        <v>378.53899999999999</v>
      </c>
      <c r="AF19" s="152">
        <f>IS!AF9</f>
        <v>107.59099999999999</v>
      </c>
      <c r="AG19" s="152">
        <f>IS!AG9</f>
        <v>115.70399999999999</v>
      </c>
      <c r="AH19" s="152">
        <f>IS!AH9</f>
        <v>192.43899999999999</v>
      </c>
      <c r="AI19" s="152">
        <f>IS!AI9</f>
        <v>132.047</v>
      </c>
      <c r="AJ19" s="151">
        <f>IS!AJ9</f>
        <v>547.78099999999995</v>
      </c>
      <c r="AK19" s="152">
        <f>IS!AK9</f>
        <v>135.69900000000001</v>
      </c>
      <c r="AL19" s="152">
        <f>IS!AL9</f>
        <v>148.661</v>
      </c>
      <c r="AM19" s="152">
        <f>IS!AM9</f>
        <v>279.60399999999998</v>
      </c>
      <c r="AN19" s="152">
        <f>IS!AN9</f>
        <v>361.13</v>
      </c>
      <c r="AO19" s="151">
        <f>IS!AO9</f>
        <v>925.09399999999994</v>
      </c>
      <c r="AP19" s="152">
        <f>IS!AP9</f>
        <v>297.08</v>
      </c>
      <c r="AQ19" s="152">
        <f>IS!AQ9</f>
        <v>291.04500000000002</v>
      </c>
      <c r="AR19" s="152">
        <f>IS!AR9</f>
        <v>326.21300000000002</v>
      </c>
      <c r="AS19" s="152">
        <f>IS!AS9</f>
        <v>316.35399999999998</v>
      </c>
      <c r="AT19" s="151">
        <f>IS!AT9</f>
        <v>1230.692</v>
      </c>
      <c r="AU19" s="152">
        <f>IS!AU9</f>
        <v>335.45100000000002</v>
      </c>
      <c r="AV19" s="152">
        <f>IS!AV9</f>
        <v>362.46199999999999</v>
      </c>
      <c r="AW19" s="152">
        <f>IS!AW9</f>
        <v>378.35700000000003</v>
      </c>
      <c r="AX19" s="152">
        <f>IS!AX9</f>
        <v>381.72</v>
      </c>
      <c r="AY19" s="151">
        <f>IS!AY9</f>
        <v>1457.99</v>
      </c>
      <c r="AZ19" s="152">
        <f>IS!AZ9</f>
        <v>378.07400000000001</v>
      </c>
      <c r="BA19" s="152">
        <f>IS!BA9</f>
        <v>381.45</v>
      </c>
      <c r="BB19" s="152">
        <f>IS!BB9</f>
        <v>403.077</v>
      </c>
      <c r="BC19" s="152">
        <f>IS!BC9</f>
        <v>425.91500000000002</v>
      </c>
      <c r="BD19" s="151">
        <f>IS!BD9</f>
        <v>1588.5160000000001</v>
      </c>
      <c r="BE19" s="152">
        <f>IS!BE9</f>
        <v>407.87099999999998</v>
      </c>
      <c r="BF19" s="152">
        <f>IS!BF9</f>
        <v>433.00200000000001</v>
      </c>
      <c r="BG19" s="152">
        <f>IS!BG9</f>
        <v>450.29599999999999</v>
      </c>
      <c r="BH19" s="152">
        <f>IS!BH9</f>
        <v>436.68900000000002</v>
      </c>
      <c r="BI19" s="151">
        <f>IS!BI9</f>
        <v>1727.8580000000002</v>
      </c>
      <c r="BJ19" s="152">
        <f>IS!BJ9</f>
        <v>486.45600000000002</v>
      </c>
      <c r="BK19" s="152">
        <f>IS!BK9</f>
        <v>503.45400000000001</v>
      </c>
      <c r="BL19" s="152">
        <f>IS!BL9</f>
        <v>484.63099999999997</v>
      </c>
      <c r="BM19" s="152">
        <f>IS!BM9</f>
        <v>484.65300000000002</v>
      </c>
      <c r="BN19" s="151">
        <f>IS!BN9</f>
        <v>1959.1940000000002</v>
      </c>
      <c r="BO19" s="152">
        <f>IS!BO9</f>
        <v>488.11399999999998</v>
      </c>
      <c r="BP19" s="152">
        <f>IS!BP9</f>
        <v>531.69500000000005</v>
      </c>
      <c r="BQ19" s="152">
        <f>IS!BQ9</f>
        <v>548.60199999999998</v>
      </c>
      <c r="BR19" s="152">
        <f>IS!BR9</f>
        <v>511.97</v>
      </c>
      <c r="BS19" s="151">
        <f>IS!BS9</f>
        <v>2080.3810000000003</v>
      </c>
      <c r="BT19" s="152">
        <f>IS!BT9</f>
        <v>705</v>
      </c>
      <c r="BU19" s="152">
        <f>IS!BU9</f>
        <v>752</v>
      </c>
      <c r="BV19" s="152">
        <f>IS!BV9</f>
        <v>768</v>
      </c>
      <c r="BW19" s="152">
        <f>IS!BW9</f>
        <v>723</v>
      </c>
      <c r="BX19" s="151">
        <f>IS!BX9</f>
        <v>2948</v>
      </c>
      <c r="BY19" s="152">
        <f>IS!BY9</f>
        <v>735</v>
      </c>
      <c r="BZ19" s="152">
        <f>IS!BZ9</f>
        <v>732</v>
      </c>
      <c r="CA19" s="152">
        <f>IS!CA9</f>
        <v>734</v>
      </c>
      <c r="CB19" s="152">
        <f>IS!CB9</f>
        <v>926</v>
      </c>
      <c r="CC19" s="151">
        <f>IS!CC9</f>
        <v>3127</v>
      </c>
      <c r="CD19" s="152">
        <f>IS!CD9</f>
        <v>755</v>
      </c>
      <c r="CE19" s="152">
        <f>IS!CE9</f>
        <v>700</v>
      </c>
      <c r="CF19" s="152">
        <f>IS!CF9</f>
        <v>704</v>
      </c>
      <c r="CG19" s="152">
        <f>IS!CG9</f>
        <v>678</v>
      </c>
      <c r="CH19" s="151">
        <f>IS!CH9</f>
        <v>2837</v>
      </c>
      <c r="CI19" s="152">
        <f>IS!CI9</f>
        <v>682</v>
      </c>
      <c r="CJ19" s="152">
        <f>IS!CJ9</f>
        <v>679</v>
      </c>
      <c r="CK19" s="152">
        <f>IS!CK9</f>
        <v>667</v>
      </c>
      <c r="CL19" s="152">
        <f>IS!CL9</f>
        <v>1017</v>
      </c>
      <c r="CM19" s="151">
        <f>IS!CM9</f>
        <v>3045</v>
      </c>
      <c r="CN19" s="152">
        <f ca="1">IS!CN9</f>
        <v>612.91249856734066</v>
      </c>
      <c r="CO19" s="152">
        <f ca="1">IS!CO9</f>
        <v>574.70149634604832</v>
      </c>
      <c r="CP19" s="152">
        <f ca="1">IS!CP9</f>
        <v>522.01679521715675</v>
      </c>
      <c r="CQ19" s="152">
        <f ca="1">IS!CQ9</f>
        <v>598.24405972196507</v>
      </c>
      <c r="CR19" s="151">
        <f ca="1">IS!CR9</f>
        <v>2307.874849852511</v>
      </c>
      <c r="CS19" s="152">
        <f ca="1">IS!CS9</f>
        <v>586.59480485162294</v>
      </c>
      <c r="CT19" s="152">
        <f ca="1">IS!CT9</f>
        <v>563.42212297992705</v>
      </c>
      <c r="CU19" s="152">
        <f ca="1">IS!CU9</f>
        <v>538.09594116778999</v>
      </c>
      <c r="CV19" s="152">
        <f ca="1">IS!CV9</f>
        <v>607.53102002814046</v>
      </c>
      <c r="CW19" s="151">
        <f ca="1">IS!CW9</f>
        <v>2295.6438890274803</v>
      </c>
      <c r="CX19" s="152">
        <f ca="1">IS!CX9</f>
        <v>589.93790614386251</v>
      </c>
      <c r="CY19" s="152">
        <f ca="1">IS!CY9</f>
        <v>566.95764468298512</v>
      </c>
      <c r="CZ19" s="152">
        <f ca="1">IS!CZ9</f>
        <v>537.00877635916231</v>
      </c>
      <c r="DA19" s="152">
        <f ca="1">IS!DA9</f>
        <v>610.74330826304799</v>
      </c>
      <c r="DB19" s="151">
        <f ca="1">IS!DB9</f>
        <v>2304.6476354490578</v>
      </c>
      <c r="DC19" s="37"/>
      <c r="DD19" s="37"/>
      <c r="DE19" s="37"/>
      <c r="DF19" s="37"/>
      <c r="DG19" s="37"/>
      <c r="DH19" s="37"/>
      <c r="DI19" s="37"/>
      <c r="DJ19" s="37"/>
    </row>
    <row r="20" spans="1:114" hidden="1" outlineLevel="1">
      <c r="A20" s="397"/>
      <c r="B20" s="32" t="str">
        <f>IS!B10</f>
        <v>Net Revenue</v>
      </c>
      <c r="C20" s="385"/>
      <c r="D20" s="149">
        <f>IS!D10</f>
        <v>732.54700000000003</v>
      </c>
      <c r="E20" s="150">
        <f>IS!E10</f>
        <v>984.80399999999997</v>
      </c>
      <c r="F20" s="151">
        <f>IS!F10</f>
        <v>1215.1979999999999</v>
      </c>
      <c r="G20" s="152">
        <f>IS!G10</f>
        <v>361.67199999999997</v>
      </c>
      <c r="H20" s="152">
        <f>IS!H10</f>
        <v>363.923</v>
      </c>
      <c r="I20" s="152">
        <f>IS!I10</f>
        <v>378.185</v>
      </c>
      <c r="J20" s="152">
        <f>IS!J10</f>
        <v>433.61900000000003</v>
      </c>
      <c r="K20" s="151">
        <f>IS!K10</f>
        <v>1537.3989999999999</v>
      </c>
      <c r="L20" s="152">
        <f>IS!L10</f>
        <v>483.62200000000001</v>
      </c>
      <c r="M20" s="152">
        <f>IS!M10</f>
        <v>482.86</v>
      </c>
      <c r="N20" s="152">
        <f>IS!N10</f>
        <v>500.49</v>
      </c>
      <c r="O20" s="152">
        <f>IS!O10</f>
        <v>532.11099999999999</v>
      </c>
      <c r="P20" s="151">
        <f>IS!P10</f>
        <v>1999.0829999999999</v>
      </c>
      <c r="Q20" s="152">
        <f>IS!Q10</f>
        <v>596.93600000000004</v>
      </c>
      <c r="R20" s="152">
        <f>IS!R10</f>
        <v>595.21500000000003</v>
      </c>
      <c r="S20" s="152">
        <f>IS!S10</f>
        <v>652.33200000000011</v>
      </c>
      <c r="T20" s="152">
        <f>IS!T10</f>
        <v>713.62300000000005</v>
      </c>
      <c r="U20" s="151">
        <f>IS!U10</f>
        <v>2558.1060000000002</v>
      </c>
      <c r="V20" s="152">
        <f>IS!V10</f>
        <v>736.26499999999999</v>
      </c>
      <c r="W20" s="152">
        <f>IS!W10</f>
        <v>731.94799999999998</v>
      </c>
      <c r="X20" s="152">
        <f>IS!X10</f>
        <v>755.63300000000004</v>
      </c>
      <c r="Y20" s="152">
        <f>IS!Y10</f>
        <v>781.697</v>
      </c>
      <c r="Z20" s="151">
        <f>IS!Z10</f>
        <v>3005.5430000000006</v>
      </c>
      <c r="AA20" s="152">
        <f>IS!AA10</f>
        <v>820.11399999999992</v>
      </c>
      <c r="AB20" s="152">
        <f>IS!AB10</f>
        <v>827.13599999999997</v>
      </c>
      <c r="AC20" s="152">
        <f>IS!AC10</f>
        <v>836.28899999999999</v>
      </c>
      <c r="AD20" s="152">
        <f>IS!AD10</f>
        <v>882.08699999999999</v>
      </c>
      <c r="AE20" s="151">
        <f>IS!AE10</f>
        <v>3365.6260000000002</v>
      </c>
      <c r="AF20" s="152">
        <f>IS!AF10</f>
        <v>918.97099999999989</v>
      </c>
      <c r="AG20" s="152">
        <f>IS!AG10</f>
        <v>945.35000000000014</v>
      </c>
      <c r="AH20" s="152">
        <f>IS!AH10</f>
        <v>931.04399999999998</v>
      </c>
      <c r="AI20" s="152">
        <f>IS!AI10</f>
        <v>1022.4300000000001</v>
      </c>
      <c r="AJ20" s="151">
        <f>IS!AJ10</f>
        <v>3817.7950000000001</v>
      </c>
      <c r="AK20" s="152">
        <f>IS!AK10</f>
        <v>1068.298</v>
      </c>
      <c r="AL20" s="152">
        <f>IS!AL10</f>
        <v>1100.4669999999999</v>
      </c>
      <c r="AM20" s="152">
        <f>IS!AM10</f>
        <v>2072.4830000000002</v>
      </c>
      <c r="AN20" s="152">
        <f>IS!AN10</f>
        <v>2167.212</v>
      </c>
      <c r="AO20" s="151">
        <f>IS!AO10</f>
        <v>6408.46</v>
      </c>
      <c r="AP20" s="152">
        <f>IS!AP10</f>
        <v>2430.4740000000002</v>
      </c>
      <c r="AQ20" s="152">
        <f>IS!AQ10</f>
        <v>2399.5549999999998</v>
      </c>
      <c r="AR20" s="152">
        <f>IS!AR10</f>
        <v>2446.6469999999999</v>
      </c>
      <c r="AS20" s="152">
        <f>IS!AS10</f>
        <v>2445.1840000000002</v>
      </c>
      <c r="AT20" s="151">
        <f>IS!AT10</f>
        <v>9721.86</v>
      </c>
      <c r="AU20" s="152">
        <f>IS!AU10</f>
        <v>2556.9389999999999</v>
      </c>
      <c r="AV20" s="152">
        <f>IS!AV10</f>
        <v>2654.4989999999998</v>
      </c>
      <c r="AW20" s="152">
        <f>IS!AW10</f>
        <v>2708.4</v>
      </c>
      <c r="AX20" s="152">
        <f>IS!AX10</f>
        <v>2709.4260000000004</v>
      </c>
      <c r="AY20" s="151">
        <f>IS!AY10</f>
        <v>10629.264000000001</v>
      </c>
      <c r="AZ20" s="152">
        <f>IS!AZ10</f>
        <v>2782.6480000000001</v>
      </c>
      <c r="BA20" s="152">
        <f>IS!BA10</f>
        <v>2789.5740000000001</v>
      </c>
      <c r="BB20" s="152">
        <f>IS!BB10</f>
        <v>2848.9780000000001</v>
      </c>
      <c r="BC20" s="152">
        <f>IS!BC10</f>
        <v>2976.7840000000001</v>
      </c>
      <c r="BD20" s="151">
        <f>IS!BD10</f>
        <v>11397.984</v>
      </c>
      <c r="BE20" s="152">
        <f>IS!BE10</f>
        <v>2997.471</v>
      </c>
      <c r="BF20" s="152">
        <f>IS!BF10</f>
        <v>3000.8270000000002</v>
      </c>
      <c r="BG20" s="152">
        <f>IS!BG10</f>
        <v>2985.7040000000002</v>
      </c>
      <c r="BH20" s="152">
        <f>IS!BH10</f>
        <v>3005.8250000000003</v>
      </c>
      <c r="BI20" s="151">
        <f>IS!BI10</f>
        <v>11989.827000000001</v>
      </c>
      <c r="BJ20" s="152">
        <f>IS!BJ10</f>
        <v>3297.0349999999999</v>
      </c>
      <c r="BK20" s="152">
        <f>IS!BK10</f>
        <v>3242.9739999999997</v>
      </c>
      <c r="BL20" s="152">
        <f>IS!BL10</f>
        <v>3212.03</v>
      </c>
      <c r="BM20" s="152">
        <f>IS!BM10</f>
        <v>3276.9459999999999</v>
      </c>
      <c r="BN20" s="151">
        <f>IS!BN10</f>
        <v>13028.985000000001</v>
      </c>
      <c r="BO20" s="152">
        <f>IS!BO10</f>
        <v>3311.75</v>
      </c>
      <c r="BP20" s="152">
        <f>IS!BP10</f>
        <v>3236.3909999999996</v>
      </c>
      <c r="BQ20" s="152">
        <f>IS!BQ10</f>
        <v>3218.2310000000002</v>
      </c>
      <c r="BR20" s="152">
        <f>IS!BR10</f>
        <v>3231.3209999999999</v>
      </c>
      <c r="BS20" s="151">
        <f>IS!BS10</f>
        <v>12997.692999999999</v>
      </c>
      <c r="BT20" s="152">
        <f>IS!BT10</f>
        <v>4195</v>
      </c>
      <c r="BU20" s="152">
        <f>IS!BU10</f>
        <v>4779</v>
      </c>
      <c r="BV20" s="152">
        <f>IS!BV10</f>
        <v>4795</v>
      </c>
      <c r="BW20" s="152">
        <f>IS!BW10</f>
        <v>4918</v>
      </c>
      <c r="BX20" s="151">
        <f>IS!BX10</f>
        <v>18687</v>
      </c>
      <c r="BY20" s="152">
        <f>IS!BY10</f>
        <v>4911</v>
      </c>
      <c r="BZ20" s="152">
        <f>IS!BZ10</f>
        <v>4882</v>
      </c>
      <c r="CA20" s="152">
        <f>IS!CA10</f>
        <v>4846</v>
      </c>
      <c r="CB20" s="152">
        <f>IS!CB10</f>
        <v>4798</v>
      </c>
      <c r="CC20" s="151">
        <f>IS!CC10</f>
        <v>19437</v>
      </c>
      <c r="CD20" s="152">
        <f>IS!CD10</f>
        <v>4999</v>
      </c>
      <c r="CE20" s="152">
        <f>IS!CE10</f>
        <v>4590</v>
      </c>
      <c r="CF20" s="152">
        <f>IS!CF10</f>
        <v>4380</v>
      </c>
      <c r="CG20" s="152">
        <f>IS!CG10</f>
        <v>4469</v>
      </c>
      <c r="CH20" s="151">
        <f>IS!CH10</f>
        <v>18438</v>
      </c>
      <c r="CI20" s="152">
        <f>IS!CI10</f>
        <v>4486</v>
      </c>
      <c r="CJ20" s="152">
        <f>IS!CJ10</f>
        <v>4144</v>
      </c>
      <c r="CK20" s="152">
        <f>IS!CK10</f>
        <v>3666</v>
      </c>
      <c r="CL20" s="152">
        <f>IS!CL10</f>
        <v>3059</v>
      </c>
      <c r="CM20" s="151">
        <f>IS!CM10</f>
        <v>15355</v>
      </c>
      <c r="CN20" s="152">
        <f ca="1">IS!CN10</f>
        <v>3658.2547388357307</v>
      </c>
      <c r="CO20" s="152">
        <f ca="1">IS!CO10</f>
        <v>3416.2811171681765</v>
      </c>
      <c r="CP20" s="152">
        <f ca="1">IS!CP10</f>
        <v>3128.4503042035203</v>
      </c>
      <c r="CQ20" s="152">
        <f ca="1">IS!CQ10</f>
        <v>3544.7203427847185</v>
      </c>
      <c r="CR20" s="151">
        <f ca="1">IS!CR10</f>
        <v>13747.706502992145</v>
      </c>
      <c r="CS20" s="152">
        <f ca="1">IS!CS10</f>
        <v>3420.2003102550907</v>
      </c>
      <c r="CT20" s="152">
        <f ca="1">IS!CT10</f>
        <v>3285.089646008646</v>
      </c>
      <c r="CU20" s="152">
        <f ca="1">IS!CU10</f>
        <v>3137.4227826559122</v>
      </c>
      <c r="CV20" s="152">
        <f ca="1">IS!CV10</f>
        <v>3542.2710293444038</v>
      </c>
      <c r="CW20" s="151">
        <f ca="1">IS!CW10</f>
        <v>13384.983768264054</v>
      </c>
      <c r="CX20" s="152">
        <f ca="1">IS!CX10</f>
        <v>3439.6926003032854</v>
      </c>
      <c r="CY20" s="152">
        <f ca="1">IS!CY10</f>
        <v>3305.7038627144539</v>
      </c>
      <c r="CZ20" s="152">
        <f ca="1">IS!CZ10</f>
        <v>3131.0839583345692</v>
      </c>
      <c r="DA20" s="152">
        <f ca="1">IS!DA10</f>
        <v>3561.0006006375534</v>
      </c>
      <c r="DB20" s="151">
        <f ca="1">IS!DB10</f>
        <v>13437.481021989861</v>
      </c>
      <c r="DC20" s="37"/>
      <c r="DD20" s="37"/>
      <c r="DE20" s="37"/>
      <c r="DF20" s="37"/>
      <c r="DG20" s="37"/>
      <c r="DH20" s="37"/>
      <c r="DI20" s="37"/>
      <c r="DJ20" s="37"/>
    </row>
    <row r="21" spans="1:114" ht="5.25" hidden="1" customHeight="1" outlineLevel="1" thickBot="1">
      <c r="A21" s="37"/>
      <c r="B21" s="37"/>
      <c r="C21" s="61"/>
      <c r="D21" s="448"/>
      <c r="E21" s="501"/>
      <c r="F21" s="501"/>
      <c r="G21" s="93"/>
      <c r="H21" s="93"/>
      <c r="I21" s="93"/>
      <c r="J21" s="93"/>
      <c r="K21" s="501"/>
      <c r="L21" s="93"/>
      <c r="M21" s="93"/>
      <c r="N21" s="93"/>
      <c r="O21" s="93"/>
      <c r="P21" s="501"/>
      <c r="Q21" s="93"/>
      <c r="R21" s="93"/>
      <c r="S21" s="93"/>
      <c r="T21" s="93"/>
      <c r="U21" s="501"/>
      <c r="V21" s="93"/>
      <c r="W21" s="93"/>
      <c r="X21" s="93"/>
      <c r="Y21" s="93"/>
      <c r="Z21" s="501"/>
      <c r="AA21" s="93"/>
      <c r="AB21" s="93"/>
      <c r="AC21" s="93"/>
      <c r="AD21" s="93"/>
      <c r="AE21" s="501"/>
      <c r="AF21" s="93"/>
      <c r="AG21" s="93"/>
      <c r="AH21" s="93"/>
      <c r="AI21" s="93"/>
      <c r="AJ21" s="501"/>
      <c r="AK21" s="93"/>
      <c r="AL21" s="93"/>
      <c r="AM21" s="93"/>
      <c r="AN21" s="93"/>
      <c r="AO21" s="501"/>
      <c r="AP21" s="93"/>
      <c r="AQ21" s="93"/>
      <c r="AR21" s="93"/>
      <c r="AS21" s="93"/>
      <c r="AT21" s="501"/>
      <c r="AU21" s="93"/>
      <c r="AV21" s="93"/>
      <c r="AW21" s="93"/>
      <c r="AX21" s="93"/>
      <c r="AY21" s="501"/>
      <c r="AZ21" s="93"/>
      <c r="BA21" s="93"/>
      <c r="BB21" s="93"/>
      <c r="BC21" s="93"/>
      <c r="BD21" s="501"/>
      <c r="BE21" s="503"/>
      <c r="BF21" s="503"/>
      <c r="BG21" s="93"/>
      <c r="BH21" s="93"/>
      <c r="BI21" s="501"/>
      <c r="BJ21" s="503"/>
      <c r="BK21" s="503"/>
      <c r="BL21" s="93"/>
      <c r="BM21" s="93"/>
      <c r="BN21" s="501"/>
      <c r="BO21" s="93"/>
      <c r="BP21" s="93"/>
      <c r="BQ21" s="93"/>
      <c r="BR21" s="93"/>
      <c r="BS21" s="501"/>
      <c r="BT21" s="93"/>
      <c r="BU21" s="93"/>
      <c r="BV21" s="93"/>
      <c r="BW21" s="93"/>
      <c r="BX21" s="501"/>
      <c r="BY21" s="93"/>
      <c r="BZ21" s="93"/>
      <c r="CA21" s="93"/>
      <c r="CB21" s="93"/>
      <c r="CC21" s="501"/>
      <c r="CD21" s="93"/>
      <c r="CE21" s="93"/>
      <c r="CF21" s="93"/>
      <c r="CG21" s="93"/>
      <c r="CH21" s="501"/>
      <c r="CI21" s="93"/>
      <c r="CJ21" s="93"/>
      <c r="CK21" s="93"/>
      <c r="CL21" s="93"/>
      <c r="CM21" s="501"/>
      <c r="CN21" s="93"/>
      <c r="CO21" s="93"/>
      <c r="CP21" s="93"/>
      <c r="CQ21" s="93"/>
      <c r="CR21" s="501"/>
      <c r="CS21" s="93"/>
      <c r="CT21" s="93"/>
      <c r="CU21" s="93"/>
      <c r="CV21" s="93"/>
      <c r="CW21" s="501"/>
      <c r="CX21" s="93"/>
      <c r="CY21" s="93"/>
      <c r="CZ21" s="93"/>
      <c r="DA21" s="93"/>
      <c r="DB21" s="501"/>
      <c r="DC21" s="37"/>
      <c r="DD21" s="37"/>
      <c r="DE21" s="37"/>
      <c r="DF21" s="37"/>
      <c r="DG21" s="37"/>
      <c r="DH21" s="37"/>
      <c r="DI21" s="37"/>
      <c r="DJ21" s="37"/>
    </row>
    <row r="22" spans="1:114" s="565" customFormat="1" collapsed="1">
      <c r="A22" s="556"/>
      <c r="B22" s="557" t="s">
        <v>177</v>
      </c>
      <c r="C22" s="558"/>
      <c r="D22" s="559">
        <f>IS!D11</f>
        <v>517.39200000000005</v>
      </c>
      <c r="E22" s="560">
        <f>IS!E11</f>
        <v>419.32</v>
      </c>
      <c r="F22" s="561">
        <f>IS!F11</f>
        <v>517.39200000000005</v>
      </c>
      <c r="G22" s="562">
        <f>IS!G11</f>
        <v>153.73400000000001</v>
      </c>
      <c r="H22" s="562">
        <f>IS!H11</f>
        <v>156.047</v>
      </c>
      <c r="I22" s="562">
        <f>IS!I11</f>
        <v>163.32</v>
      </c>
      <c r="J22" s="562">
        <f>IS!J11</f>
        <v>192.947</v>
      </c>
      <c r="K22" s="561">
        <f>IS!K11</f>
        <v>666.048</v>
      </c>
      <c r="L22" s="562">
        <f>IS!L11</f>
        <v>217.16399999999999</v>
      </c>
      <c r="M22" s="562">
        <f>IS!M11</f>
        <v>214.215</v>
      </c>
      <c r="N22" s="562">
        <f>IS!N11</f>
        <v>221.459</v>
      </c>
      <c r="O22" s="562">
        <f>IS!O11</f>
        <v>233.89599999999999</v>
      </c>
      <c r="P22" s="561">
        <f>IS!P11</f>
        <v>886.73399999999992</v>
      </c>
      <c r="Q22" s="562">
        <f>IS!Q11</f>
        <v>268.77199999999999</v>
      </c>
      <c r="R22" s="562">
        <f>IS!R11</f>
        <v>263.30700000000002</v>
      </c>
      <c r="S22" s="562">
        <f>IS!S11</f>
        <v>288.32799999999997</v>
      </c>
      <c r="T22" s="562">
        <f>IS!T11</f>
        <v>318.23500000000001</v>
      </c>
      <c r="U22" s="561">
        <f>IS!U11</f>
        <v>1138.6419999999998</v>
      </c>
      <c r="V22" s="562">
        <f>IS!V11</f>
        <v>330.428</v>
      </c>
      <c r="W22" s="562">
        <f>IS!W11</f>
        <v>327.40300000000002</v>
      </c>
      <c r="X22" s="562">
        <f>IS!X11</f>
        <v>338.44200000000001</v>
      </c>
      <c r="Y22" s="562">
        <f>IS!Y11</f>
        <v>347.90499999999997</v>
      </c>
      <c r="Z22" s="561">
        <f>IS!Z11</f>
        <v>1344.1779999999999</v>
      </c>
      <c r="AA22" s="562">
        <f>IS!AA11</f>
        <v>362.78800000000001</v>
      </c>
      <c r="AB22" s="562">
        <f>IS!AB11</f>
        <v>365.09699999999998</v>
      </c>
      <c r="AC22" s="562">
        <f>IS!AC11</f>
        <v>371.88099999999997</v>
      </c>
      <c r="AD22" s="562">
        <f>IS!AD11</f>
        <v>389.19600000000003</v>
      </c>
      <c r="AE22" s="561">
        <f>IS!AE11</f>
        <v>1488.962</v>
      </c>
      <c r="AF22" s="562">
        <f>IS!AF11</f>
        <v>407.66800000000001</v>
      </c>
      <c r="AG22" s="562">
        <f>IS!AG11</f>
        <v>420.14699999999999</v>
      </c>
      <c r="AH22" s="562">
        <f>IS!AH11</f>
        <v>450.137</v>
      </c>
      <c r="AI22" s="562">
        <f>IS!AI11</f>
        <v>463.27100000000002</v>
      </c>
      <c r="AJ22" s="561">
        <f>IS!AJ11</f>
        <v>1741.223</v>
      </c>
      <c r="AK22" s="562">
        <f>IS!AK11</f>
        <v>486.33600000000001</v>
      </c>
      <c r="AL22" s="562">
        <f>IS!AL11</f>
        <v>495.08499999999998</v>
      </c>
      <c r="AM22" s="562">
        <f>IS!AM11</f>
        <v>951.5</v>
      </c>
      <c r="AN22" s="562">
        <f>IS!AN11</f>
        <v>1055.942</v>
      </c>
      <c r="AO22" s="561">
        <f>IS!AO11</f>
        <v>2988.8630000000003</v>
      </c>
      <c r="AP22" s="562">
        <f>IS!AP11</f>
        <v>1087.77</v>
      </c>
      <c r="AQ22" s="562">
        <f>IS!AQ11</f>
        <v>1079.376</v>
      </c>
      <c r="AR22" s="562">
        <f>IS!AR11</f>
        <v>1091.7260000000001</v>
      </c>
      <c r="AS22" s="562">
        <f>IS!AS11</f>
        <v>1102.807</v>
      </c>
      <c r="AT22" s="561">
        <f>IS!AT11</f>
        <v>4361.6790000000001</v>
      </c>
      <c r="AU22" s="562">
        <f>IS!AU11</f>
        <v>1164.144</v>
      </c>
      <c r="AV22" s="562">
        <f>IS!AV11</f>
        <v>1201.68</v>
      </c>
      <c r="AW22" s="562">
        <f>IS!AW11</f>
        <v>1239.1469999999999</v>
      </c>
      <c r="AX22" s="562">
        <f>IS!AX11</f>
        <v>1228.0630000000001</v>
      </c>
      <c r="AY22" s="561">
        <f>IS!AY11</f>
        <v>4833.0339999999997</v>
      </c>
      <c r="AZ22" s="562">
        <f>IS!AZ11</f>
        <v>1282.8309999999999</v>
      </c>
      <c r="BA22" s="562">
        <f>IS!BA11</f>
        <v>1267.7619999999999</v>
      </c>
      <c r="BB22" s="562">
        <f>IS!BB11</f>
        <v>1303.3889999999999</v>
      </c>
      <c r="BC22" s="562">
        <f>IS!BC11</f>
        <v>1383.989</v>
      </c>
      <c r="BD22" s="561">
        <f>IS!BD11</f>
        <v>5237.9709999999995</v>
      </c>
      <c r="BE22" s="562">
        <f>IS!BE11</f>
        <v>1402.1210000000001</v>
      </c>
      <c r="BF22" s="562">
        <f>IS!BF11</f>
        <v>1384.096</v>
      </c>
      <c r="BG22" s="562">
        <f>IS!BG11</f>
        <v>1393.1510000000001</v>
      </c>
      <c r="BH22" s="562">
        <f>IS!BH11</f>
        <v>1421.31</v>
      </c>
      <c r="BI22" s="561">
        <f>IS!BI11</f>
        <v>5600.6779999999999</v>
      </c>
      <c r="BJ22" s="562">
        <f>IS!BJ11</f>
        <v>1524.9749999999999</v>
      </c>
      <c r="BK22" s="562">
        <f>IS!BK11</f>
        <v>1497.4459999999999</v>
      </c>
      <c r="BL22" s="562">
        <f>IS!BL11</f>
        <v>1525.1110000000001</v>
      </c>
      <c r="BM22" s="562">
        <f>IS!BM11</f>
        <v>1556.3989999999999</v>
      </c>
      <c r="BN22" s="561">
        <f>SUM(BJ22:BM22)</f>
        <v>6103.9310000000005</v>
      </c>
      <c r="BO22" s="562">
        <f>IS!BO11</f>
        <v>1577.1479999999999</v>
      </c>
      <c r="BP22" s="562">
        <f>IS!BP11</f>
        <v>1555.951</v>
      </c>
      <c r="BQ22" s="562">
        <f>IS!BQ11</f>
        <v>1541.692</v>
      </c>
      <c r="BR22" s="562">
        <f>IS!BR11</f>
        <v>1542.9559999999999</v>
      </c>
      <c r="BS22" s="561">
        <f>SUM(BO22:BR22)</f>
        <v>6217.7470000000003</v>
      </c>
      <c r="BT22" s="562">
        <f>IS!BT11</f>
        <v>2004</v>
      </c>
      <c r="BU22" s="562">
        <f>IS!BU11</f>
        <v>2228</v>
      </c>
      <c r="BV22" s="562">
        <f>IS!BV11</f>
        <v>2191</v>
      </c>
      <c r="BW22" s="562">
        <f>IS!BW11</f>
        <v>2221</v>
      </c>
      <c r="BX22" s="561">
        <f>SUM(BT22:BW22)</f>
        <v>8644</v>
      </c>
      <c r="BY22" s="562">
        <f>IS!BY11</f>
        <v>2257</v>
      </c>
      <c r="BZ22" s="562">
        <f>IS!BZ11</f>
        <v>2217</v>
      </c>
      <c r="CA22" s="562">
        <f>IS!CA11</f>
        <v>2240</v>
      </c>
      <c r="CB22" s="562">
        <f>IS!CB11</f>
        <v>2278</v>
      </c>
      <c r="CC22" s="561">
        <f>SUM(BY22:CB22)</f>
        <v>8992</v>
      </c>
      <c r="CD22" s="562">
        <f>IS!CD11</f>
        <v>2317</v>
      </c>
      <c r="CE22" s="562">
        <f>IS!CE11</f>
        <v>2154</v>
      </c>
      <c r="CF22" s="562">
        <f>IS!CF11</f>
        <v>2067</v>
      </c>
      <c r="CG22" s="562">
        <f>IS!CG11</f>
        <v>2087</v>
      </c>
      <c r="CH22" s="561">
        <f>SUM(CD22:CG22)</f>
        <v>8625</v>
      </c>
      <c r="CI22" s="562">
        <f>IS!CI11</f>
        <v>2061</v>
      </c>
      <c r="CJ22" s="562">
        <f>IS!CJ11</f>
        <v>1920</v>
      </c>
      <c r="CK22" s="562">
        <f>IS!CK11</f>
        <v>1724</v>
      </c>
      <c r="CL22" s="562">
        <f>IS!CL11</f>
        <v>1671</v>
      </c>
      <c r="CM22" s="568">
        <f>SUM(CI22:CL22)</f>
        <v>7376</v>
      </c>
      <c r="CN22" s="567">
        <f ca="1">CN24*CN$18</f>
        <v>1689.2466423929147</v>
      </c>
      <c r="CO22" s="567">
        <f ca="1">CO24*CO$18</f>
        <v>1588.4110801786615</v>
      </c>
      <c r="CP22" s="567">
        <f ca="1">CP24*CP$18</f>
        <v>1449.2354384700088</v>
      </c>
      <c r="CQ22" s="567">
        <f ca="1">CQ24*CQ$18</f>
        <v>1650.9713143989136</v>
      </c>
      <c r="CR22" s="568">
        <f ca="1">SUM(CN22:CQ22)</f>
        <v>6377.8644754404995</v>
      </c>
      <c r="CS22" s="567">
        <f ca="1">CS24*CS$18</f>
        <v>1586.6908655822588</v>
      </c>
      <c r="CT22" s="567">
        <f ca="1">CT24*CT$18</f>
        <v>1520.1621487504863</v>
      </c>
      <c r="CU22" s="567">
        <f ca="1">CU24*CU$18</f>
        <v>1448.1543771865388</v>
      </c>
      <c r="CV22" s="567">
        <f ca="1">CV24*CV$18</f>
        <v>1649.131334420649</v>
      </c>
      <c r="CW22" s="569">
        <f ca="1">SUM(CS22:CV22)</f>
        <v>6204.1387259399335</v>
      </c>
      <c r="CX22" s="567">
        <f ca="1">CX24*CX$18</f>
        <v>1607.8225720724122</v>
      </c>
      <c r="CY22" s="567">
        <f ca="1">CY24*CY$18</f>
        <v>1529.7012954219886</v>
      </c>
      <c r="CZ22" s="567">
        <f ca="1">CZ24*CZ$18</f>
        <v>1448.8966302040239</v>
      </c>
      <c r="DA22" s="567">
        <f ca="1">DA24*DA$18</f>
        <v>1660.3540757424394</v>
      </c>
      <c r="DB22" s="569">
        <f ca="1">SUM(CX22:DA22)</f>
        <v>6246.7745734408636</v>
      </c>
      <c r="DC22" s="564"/>
      <c r="DD22" s="564"/>
      <c r="DE22" s="564"/>
      <c r="DF22" s="564"/>
      <c r="DG22" s="564"/>
      <c r="DH22" s="564"/>
      <c r="DI22" s="564"/>
      <c r="DJ22" s="564"/>
    </row>
    <row r="23" spans="1:114">
      <c r="A23" s="458"/>
      <c r="B23" s="473" t="s">
        <v>183</v>
      </c>
      <c r="C23" s="474"/>
      <c r="D23" s="129"/>
      <c r="E23" s="153"/>
      <c r="F23" s="129"/>
      <c r="G23" s="167"/>
      <c r="H23" s="167"/>
      <c r="I23" s="167"/>
      <c r="J23" s="167"/>
      <c r="K23" s="67">
        <f t="shared" ref="K23:AP23" si="37">K22/F22-1</f>
        <v>0.28731793301790498</v>
      </c>
      <c r="L23" s="237">
        <f t="shared" si="37"/>
        <v>0.41259578232531502</v>
      </c>
      <c r="M23" s="237">
        <f t="shared" si="37"/>
        <v>0.3727594891282755</v>
      </c>
      <c r="N23" s="237">
        <f t="shared" si="37"/>
        <v>0.35598212098946869</v>
      </c>
      <c r="O23" s="237">
        <f t="shared" si="37"/>
        <v>0.21222926503132977</v>
      </c>
      <c r="P23" s="67">
        <f t="shared" si="37"/>
        <v>0.33133648025367535</v>
      </c>
      <c r="Q23" s="237">
        <f t="shared" si="37"/>
        <v>0.23764528190676182</v>
      </c>
      <c r="R23" s="237">
        <f t="shared" si="37"/>
        <v>0.22917162663679025</v>
      </c>
      <c r="S23" s="237">
        <f t="shared" si="37"/>
        <v>0.30194753882208425</v>
      </c>
      <c r="T23" s="237">
        <f t="shared" si="37"/>
        <v>0.36058333618360305</v>
      </c>
      <c r="U23" s="67">
        <f t="shared" si="37"/>
        <v>0.28408519353041606</v>
      </c>
      <c r="V23" s="237">
        <f t="shared" si="37"/>
        <v>0.22939889571830396</v>
      </c>
      <c r="W23" s="237">
        <f t="shared" si="37"/>
        <v>0.24342687433300303</v>
      </c>
      <c r="X23" s="237">
        <f t="shared" si="37"/>
        <v>0.17380899531089611</v>
      </c>
      <c r="Y23" s="237">
        <f t="shared" si="37"/>
        <v>9.3232988200543598E-2</v>
      </c>
      <c r="Z23" s="67">
        <f t="shared" si="37"/>
        <v>0.18050976514128236</v>
      </c>
      <c r="AA23" s="237">
        <f t="shared" si="37"/>
        <v>9.7933589163146095E-2</v>
      </c>
      <c r="AB23" s="237">
        <f t="shared" si="37"/>
        <v>0.11513028286240501</v>
      </c>
      <c r="AC23" s="237">
        <f t="shared" si="37"/>
        <v>9.8802749067786966E-2</v>
      </c>
      <c r="AD23" s="237">
        <f t="shared" si="37"/>
        <v>0.11868469840904861</v>
      </c>
      <c r="AE23" s="67">
        <f t="shared" si="37"/>
        <v>0.10771192505754446</v>
      </c>
      <c r="AF23" s="237">
        <f t="shared" si="37"/>
        <v>0.12370861219224438</v>
      </c>
      <c r="AG23" s="237">
        <f t="shared" si="37"/>
        <v>0.1507818470159985</v>
      </c>
      <c r="AH23" s="237">
        <f t="shared" si="37"/>
        <v>0.21043290730099162</v>
      </c>
      <c r="AI23" s="237">
        <f t="shared" si="37"/>
        <v>0.19032826647755874</v>
      </c>
      <c r="AJ23" s="67">
        <f t="shared" si="37"/>
        <v>0.16942071053525876</v>
      </c>
      <c r="AK23" s="237">
        <f t="shared" si="37"/>
        <v>0.19297075070891023</v>
      </c>
      <c r="AL23" s="237">
        <f t="shared" si="37"/>
        <v>0.17836138303974569</v>
      </c>
      <c r="AM23" s="237">
        <f t="shared" si="37"/>
        <v>1.1138009095008852</v>
      </c>
      <c r="AN23" s="237">
        <f t="shared" si="37"/>
        <v>1.2793181528738038</v>
      </c>
      <c r="AO23" s="67">
        <f t="shared" si="37"/>
        <v>0.71653085216540346</v>
      </c>
      <c r="AP23" s="237">
        <f t="shared" si="37"/>
        <v>1.2366635412554281</v>
      </c>
      <c r="AQ23" s="237">
        <f t="shared" ref="AQ23:BP23" si="38">AQ22/AL22-1</f>
        <v>1.1801832008644979</v>
      </c>
      <c r="AR23" s="237">
        <f t="shared" si="38"/>
        <v>0.14737362059905434</v>
      </c>
      <c r="AS23" s="237">
        <f t="shared" si="38"/>
        <v>4.4382172505686768E-2</v>
      </c>
      <c r="AT23" s="67">
        <f t="shared" si="38"/>
        <v>0.45931044681539435</v>
      </c>
      <c r="AU23" s="237">
        <f t="shared" si="38"/>
        <v>7.0211533688187888E-2</v>
      </c>
      <c r="AV23" s="237">
        <f t="shared" si="38"/>
        <v>0.11330991239382771</v>
      </c>
      <c r="AW23" s="237">
        <f t="shared" si="38"/>
        <v>0.1350347981086828</v>
      </c>
      <c r="AX23" s="237">
        <f t="shared" si="38"/>
        <v>0.11357925729524765</v>
      </c>
      <c r="AY23" s="67">
        <f t="shared" si="38"/>
        <v>0.10806732911798411</v>
      </c>
      <c r="AZ23" s="237">
        <f t="shared" si="38"/>
        <v>0.10195216399345775</v>
      </c>
      <c r="BA23" s="237">
        <f t="shared" si="38"/>
        <v>5.4991345449703743E-2</v>
      </c>
      <c r="BB23" s="237">
        <f t="shared" si="38"/>
        <v>5.1843727983846843E-2</v>
      </c>
      <c r="BC23" s="237">
        <f t="shared" si="38"/>
        <v>0.12696905614777076</v>
      </c>
      <c r="BD23" s="67">
        <f t="shared" si="38"/>
        <v>8.3785257873211672E-2</v>
      </c>
      <c r="BE23" s="237">
        <f t="shared" si="38"/>
        <v>9.2989645557365108E-2</v>
      </c>
      <c r="BF23" s="237">
        <f t="shared" si="38"/>
        <v>9.1763280489555621E-2</v>
      </c>
      <c r="BG23" s="237">
        <f t="shared" si="38"/>
        <v>6.8868158316511829E-2</v>
      </c>
      <c r="BH23" s="237">
        <f t="shared" si="38"/>
        <v>2.6966254789597244E-2</v>
      </c>
      <c r="BI23" s="67">
        <f t="shared" si="38"/>
        <v>6.9245706018609132E-2</v>
      </c>
      <c r="BJ23" s="237">
        <f t="shared" si="38"/>
        <v>8.7620112672158745E-2</v>
      </c>
      <c r="BK23" s="237">
        <f t="shared" si="38"/>
        <v>8.189460846646468E-2</v>
      </c>
      <c r="BL23" s="237">
        <f t="shared" si="38"/>
        <v>9.4720529217579452E-2</v>
      </c>
      <c r="BM23" s="237">
        <f t="shared" si="38"/>
        <v>9.5045415848759252E-2</v>
      </c>
      <c r="BN23" s="67">
        <f t="shared" ref="BN23:CL23" si="39">BN22/BI22-1</f>
        <v>8.9855728181480909E-2</v>
      </c>
      <c r="BO23" s="237">
        <f t="shared" si="38"/>
        <v>3.4212364137117035E-2</v>
      </c>
      <c r="BP23" s="237">
        <f t="shared" si="38"/>
        <v>3.9069856275284698E-2</v>
      </c>
      <c r="BQ23" s="237">
        <f>BQ22/BL22-1</f>
        <v>1.0871995546553492E-2</v>
      </c>
      <c r="BR23" s="237">
        <f>BR22/BM22-1</f>
        <v>-8.6372453336194255E-3</v>
      </c>
      <c r="BS23" s="67">
        <f t="shared" si="39"/>
        <v>1.864634446228175E-2</v>
      </c>
      <c r="BT23" s="237">
        <f t="shared" si="39"/>
        <v>0.27064803049555275</v>
      </c>
      <c r="BU23" s="237">
        <f t="shared" si="39"/>
        <v>0.43192169933371938</v>
      </c>
      <c r="BV23" s="237">
        <f t="shared" si="39"/>
        <v>0.42116583597761426</v>
      </c>
      <c r="BW23" s="237">
        <f t="shared" si="39"/>
        <v>0.43944480594391555</v>
      </c>
      <c r="BX23" s="67">
        <f t="shared" si="39"/>
        <v>0.39021417243255474</v>
      </c>
      <c r="BY23" s="237">
        <f t="shared" si="39"/>
        <v>0.12624750499002002</v>
      </c>
      <c r="BZ23" s="237">
        <f t="shared" si="39"/>
        <v>-4.9371633752244293E-3</v>
      </c>
      <c r="CA23" s="237">
        <f t="shared" si="39"/>
        <v>2.2364217252396124E-2</v>
      </c>
      <c r="CB23" s="237">
        <f t="shared" si="39"/>
        <v>2.566411526339496E-2</v>
      </c>
      <c r="CC23" s="67">
        <f t="shared" ref="CC23:CH23" si="40">CC22/BX22-1</f>
        <v>4.0259139287367018E-2</v>
      </c>
      <c r="CD23" s="237">
        <f t="shared" si="39"/>
        <v>2.658396101019056E-2</v>
      </c>
      <c r="CE23" s="237">
        <f t="shared" si="39"/>
        <v>-2.841677943166443E-2</v>
      </c>
      <c r="CF23" s="237">
        <f t="shared" si="39"/>
        <v>-7.723214285714286E-2</v>
      </c>
      <c r="CG23" s="237">
        <f t="shared" si="39"/>
        <v>-8.3845478489903424E-2</v>
      </c>
      <c r="CH23" s="67">
        <f t="shared" si="40"/>
        <v>-4.0814056939501797E-2</v>
      </c>
      <c r="CI23" s="237">
        <f t="shared" si="39"/>
        <v>-0.11048769961156668</v>
      </c>
      <c r="CJ23" s="237">
        <f t="shared" si="39"/>
        <v>-0.10863509749303624</v>
      </c>
      <c r="CK23" s="237">
        <f t="shared" si="39"/>
        <v>-0.16594097726173196</v>
      </c>
      <c r="CL23" s="237">
        <f t="shared" si="39"/>
        <v>-0.19932918064206995</v>
      </c>
      <c r="CM23" s="67">
        <f t="shared" ref="CM23:CW23" si="41">CM22/CH22-1</f>
        <v>-0.14481159420289857</v>
      </c>
      <c r="CN23" s="237">
        <f t="shared" ca="1" si="41"/>
        <v>-0.18037523416161338</v>
      </c>
      <c r="CO23" s="237">
        <f t="shared" ca="1" si="41"/>
        <v>-0.17270256240694715</v>
      </c>
      <c r="CP23" s="237">
        <f t="shared" ca="1" si="41"/>
        <v>-0.15937619578305751</v>
      </c>
      <c r="CQ23" s="237">
        <f t="shared" ca="1" si="41"/>
        <v>-1.1986047636796227E-2</v>
      </c>
      <c r="CR23" s="67">
        <f t="shared" ca="1" si="41"/>
        <v>-0.1353220613556807</v>
      </c>
      <c r="CS23" s="237">
        <f t="shared" ca="1" si="41"/>
        <v>-6.0710954952901242E-2</v>
      </c>
      <c r="CT23" s="237">
        <f t="shared" ca="1" si="41"/>
        <v>-4.2966793848163487E-2</v>
      </c>
      <c r="CU23" s="237">
        <f t="shared" ca="1" si="41"/>
        <v>-7.4595283469702789E-4</v>
      </c>
      <c r="CV23" s="237">
        <f t="shared" ca="1" si="41"/>
        <v>-1.1144833118644781E-3</v>
      </c>
      <c r="CW23" s="67">
        <f t="shared" ca="1" si="41"/>
        <v>-2.7238858738616756E-2</v>
      </c>
      <c r="CX23" s="237">
        <f t="shared" ref="CX23" ca="1" si="42">CX22/CS22-1</f>
        <v>1.3318099289869378E-2</v>
      </c>
      <c r="CY23" s="237">
        <f t="shared" ref="CY23" ca="1" si="43">CY22/CT22-1</f>
        <v>6.2750849831008093E-3</v>
      </c>
      <c r="CZ23" s="237">
        <f t="shared" ref="CZ23" ca="1" si="44">CZ22/CU22-1</f>
        <v>5.1255102990266366E-4</v>
      </c>
      <c r="DA23" s="237">
        <f t="shared" ref="DA23" ca="1" si="45">DA22/CV22-1</f>
        <v>6.8052441231025718E-3</v>
      </c>
      <c r="DB23" s="67">
        <f t="shared" ref="DB23" ca="1" si="46">DB22/CW22-1</f>
        <v>6.8721621782354969E-3</v>
      </c>
      <c r="DC23" s="167"/>
      <c r="DD23" s="167"/>
      <c r="DE23" s="167"/>
      <c r="DF23" s="167"/>
      <c r="DG23" s="167"/>
      <c r="DH23" s="167"/>
      <c r="DI23" s="167"/>
      <c r="DJ23" s="167"/>
    </row>
    <row r="24" spans="1:114">
      <c r="A24" s="458"/>
      <c r="B24" s="1254" t="s">
        <v>182</v>
      </c>
      <c r="C24" s="1255"/>
      <c r="D24" s="1127">
        <f t="shared" ref="D24:AI24" si="47">D22/D$18</f>
        <v>0.60524302509212147</v>
      </c>
      <c r="E24" s="1256">
        <f t="shared" si="47"/>
        <v>0.38827615646236457</v>
      </c>
      <c r="F24" s="1127">
        <f t="shared" si="47"/>
        <v>0.38683485096459747</v>
      </c>
      <c r="G24" s="1257">
        <f t="shared" si="47"/>
        <v>0.38564136010736372</v>
      </c>
      <c r="H24" s="1257">
        <f t="shared" si="47"/>
        <v>0.3892329680800381</v>
      </c>
      <c r="I24" s="1257">
        <f t="shared" si="47"/>
        <v>0.39205989884028813</v>
      </c>
      <c r="J24" s="1257">
        <f t="shared" si="47"/>
        <v>0.40407579444693426</v>
      </c>
      <c r="K24" s="1258">
        <f t="shared" si="47"/>
        <v>0.39326769503284376</v>
      </c>
      <c r="L24" s="1259">
        <f t="shared" si="47"/>
        <v>0.40704079892187528</v>
      </c>
      <c r="M24" s="1259">
        <f t="shared" si="47"/>
        <v>0.40373589756154565</v>
      </c>
      <c r="N24" s="1259">
        <f t="shared" si="47"/>
        <v>0.4005835312503957</v>
      </c>
      <c r="O24" s="1259">
        <f t="shared" si="47"/>
        <v>0.40086721796135222</v>
      </c>
      <c r="P24" s="1258">
        <f t="shared" si="47"/>
        <v>0.40298452520590411</v>
      </c>
      <c r="Q24" s="1259">
        <f t="shared" si="47"/>
        <v>0.40767689453750089</v>
      </c>
      <c r="R24" s="1259">
        <f t="shared" si="47"/>
        <v>0.40059303841665744</v>
      </c>
      <c r="S24" s="1259">
        <f t="shared" si="47"/>
        <v>0.39878177980752999</v>
      </c>
      <c r="T24" s="1259">
        <f t="shared" si="47"/>
        <v>0.40027948560561083</v>
      </c>
      <c r="U24" s="1258">
        <f t="shared" si="47"/>
        <v>0.40169066514641794</v>
      </c>
      <c r="V24" s="1259">
        <f t="shared" si="47"/>
        <v>0.40179674504119772</v>
      </c>
      <c r="W24" s="1259">
        <f t="shared" si="47"/>
        <v>0.40237860850050822</v>
      </c>
      <c r="X24" s="1259">
        <f t="shared" si="47"/>
        <v>0.40098147704950277</v>
      </c>
      <c r="Y24" s="1259">
        <f t="shared" si="47"/>
        <v>0.39912329508886929</v>
      </c>
      <c r="Z24" s="1258">
        <f t="shared" si="47"/>
        <v>0.40103742759010802</v>
      </c>
      <c r="AA24" s="1259">
        <f t="shared" si="47"/>
        <v>0.39687651787316164</v>
      </c>
      <c r="AB24" s="1259">
        <f t="shared" si="47"/>
        <v>0.39739833115275852</v>
      </c>
      <c r="AC24" s="1259">
        <f t="shared" si="47"/>
        <v>0.40018659828316661</v>
      </c>
      <c r="AD24" s="1259">
        <f t="shared" si="47"/>
        <v>0.39630168928895088</v>
      </c>
      <c r="AE24" s="1258">
        <f t="shared" si="47"/>
        <v>0.39767531612522411</v>
      </c>
      <c r="AF24" s="1259">
        <f t="shared" si="47"/>
        <v>0.39711970635967436</v>
      </c>
      <c r="AG24" s="1259">
        <f t="shared" si="47"/>
        <v>0.39597136432264518</v>
      </c>
      <c r="AH24" s="1259">
        <f t="shared" si="47"/>
        <v>0.40066204829089541</v>
      </c>
      <c r="AI24" s="1259">
        <f t="shared" si="47"/>
        <v>0.40128213901186421</v>
      </c>
      <c r="AJ24" s="1258">
        <f t="shared" ref="AJ24:BN24" si="48">AJ22/AJ$18</f>
        <v>0.39885298068341957</v>
      </c>
      <c r="AK24" s="1259">
        <f t="shared" si="48"/>
        <v>0.40393456129874078</v>
      </c>
      <c r="AL24" s="1259">
        <f t="shared" si="48"/>
        <v>0.3963444899161655</v>
      </c>
      <c r="AM24" s="1259">
        <f t="shared" si="48"/>
        <v>0.40453435608461763</v>
      </c>
      <c r="AN24" s="1259">
        <f t="shared" si="48"/>
        <v>0.41764207532050646</v>
      </c>
      <c r="AO24" s="1258">
        <f t="shared" si="48"/>
        <v>0.40755996342291884</v>
      </c>
      <c r="AP24" s="1259">
        <f t="shared" si="48"/>
        <v>0.39880786961504699</v>
      </c>
      <c r="AQ24" s="1259">
        <f t="shared" si="48"/>
        <v>0.40116553928491788</v>
      </c>
      <c r="AR24" s="1259">
        <f t="shared" si="48"/>
        <v>0.39371839905368466</v>
      </c>
      <c r="AS24" s="1259">
        <f t="shared" si="48"/>
        <v>0.39934521994627631</v>
      </c>
      <c r="AT24" s="1258">
        <f t="shared" si="48"/>
        <v>0.39823403714495026</v>
      </c>
      <c r="AU24" s="1259">
        <f t="shared" si="48"/>
        <v>0.40248514204515989</v>
      </c>
      <c r="AV24" s="1259">
        <f t="shared" si="48"/>
        <v>0.39830809877887058</v>
      </c>
      <c r="AW24" s="1259">
        <f t="shared" si="48"/>
        <v>0.40143976347992405</v>
      </c>
      <c r="AX24" s="1259">
        <f t="shared" si="48"/>
        <v>0.39728404934610012</v>
      </c>
      <c r="AY24" s="1258">
        <f t="shared" si="48"/>
        <v>0.39984549013365644</v>
      </c>
      <c r="AZ24" s="1259">
        <f t="shared" si="48"/>
        <v>0.40586644443896042</v>
      </c>
      <c r="BA24" s="1259">
        <f t="shared" si="48"/>
        <v>0.39979577574941089</v>
      </c>
      <c r="BB24" s="1259">
        <f t="shared" si="48"/>
        <v>0.40078934704363856</v>
      </c>
      <c r="BC24" s="1259">
        <f t="shared" si="48"/>
        <v>0.40673271423655161</v>
      </c>
      <c r="BD24" s="1258">
        <f t="shared" si="48"/>
        <v>0.40333969891810723</v>
      </c>
      <c r="BE24" s="1259">
        <f t="shared" si="48"/>
        <v>0.41174161068110049</v>
      </c>
      <c r="BF24" s="1259">
        <f t="shared" si="48"/>
        <v>0.40307656554825527</v>
      </c>
      <c r="BG24" s="1259">
        <f t="shared" si="48"/>
        <v>0.40545721769499421</v>
      </c>
      <c r="BH24" s="1259">
        <f t="shared" si="48"/>
        <v>0.41286978063124796</v>
      </c>
      <c r="BI24" s="1258">
        <f t="shared" si="48"/>
        <v>0.40828157229153456</v>
      </c>
      <c r="BJ24" s="1259">
        <f t="shared" si="48"/>
        <v>0.40306029537271265</v>
      </c>
      <c r="BK24" s="1259">
        <f t="shared" si="48"/>
        <v>0.39969966058336098</v>
      </c>
      <c r="BL24" s="1259">
        <f>BL22/BL$18</f>
        <v>0.4125644737237199</v>
      </c>
      <c r="BM24" s="1259">
        <f>BM22/BM$18</f>
        <v>0.41375994623563006</v>
      </c>
      <c r="BN24" s="1258">
        <f t="shared" si="48"/>
        <v>0.40724967322581351</v>
      </c>
      <c r="BO24" s="1259">
        <f t="shared" ref="BO24:BX24" si="49">BO22/BO$18</f>
        <v>0.41505380192554259</v>
      </c>
      <c r="BP24" s="1259">
        <f t="shared" si="49"/>
        <v>0.4129287388875944</v>
      </c>
      <c r="BQ24" s="1259">
        <f t="shared" si="49"/>
        <v>0.4092806875165424</v>
      </c>
      <c r="BR24" s="1259">
        <f t="shared" si="49"/>
        <v>0.41219237296806471</v>
      </c>
      <c r="BS24" s="1258">
        <f t="shared" si="49"/>
        <v>0.41237010774718308</v>
      </c>
      <c r="BT24" s="1259">
        <f t="shared" si="49"/>
        <v>0.40897959183673471</v>
      </c>
      <c r="BU24" s="1259">
        <f t="shared" si="49"/>
        <v>0.40282046646176101</v>
      </c>
      <c r="BV24" s="1259">
        <f t="shared" si="49"/>
        <v>0.39385223800107855</v>
      </c>
      <c r="BW24" s="1259">
        <f t="shared" si="49"/>
        <v>0.3937245169296224</v>
      </c>
      <c r="BX24" s="1258">
        <f t="shared" si="49"/>
        <v>0.39953778599491563</v>
      </c>
      <c r="BY24" s="1259">
        <f>BY22/BY$18</f>
        <v>0.39975203684024085</v>
      </c>
      <c r="BZ24" s="1259">
        <f>BZ22/BZ$18</f>
        <v>0.39490559315995727</v>
      </c>
      <c r="CA24" s="1259">
        <f>CA22/CA$18</f>
        <v>0.40143369175627241</v>
      </c>
      <c r="CB24" s="1259">
        <f>CB22/CB$18</f>
        <v>0.39797344514325644</v>
      </c>
      <c r="CC24" s="1258">
        <f t="shared" ref="CC24" si="50">CC22/CC$18</f>
        <v>0.39851090232228326</v>
      </c>
      <c r="CD24" s="1259">
        <f>CD22/CD$18</f>
        <v>0.402676399026764</v>
      </c>
      <c r="CE24" s="1259">
        <f>CE22/CE$18</f>
        <v>0.40718336483931949</v>
      </c>
      <c r="CF24" s="1259">
        <f>CF22/CF$18</f>
        <v>0.40656963021243114</v>
      </c>
      <c r="CG24" s="1259">
        <f>CG22/CG$18</f>
        <v>0.40547891975908296</v>
      </c>
      <c r="CH24" s="1258">
        <f t="shared" ref="CH24" si="51">CH22/CH$18</f>
        <v>0.40540540540540543</v>
      </c>
      <c r="CI24" s="1259">
        <f>CI22/CI$18</f>
        <v>0.39880030959752322</v>
      </c>
      <c r="CJ24" s="1259">
        <f>CJ22/CJ$18</f>
        <v>0.39809247356417166</v>
      </c>
      <c r="CK24" s="1259">
        <f>CK22/CK$18</f>
        <v>0.39787675975075004</v>
      </c>
      <c r="CL24" s="1259">
        <f>CL22/CL$18</f>
        <v>0.40996074582924436</v>
      </c>
      <c r="CM24" s="1263">
        <f>CM22/CM$18</f>
        <v>0.40086956521739131</v>
      </c>
      <c r="CN24" s="1264">
        <f>CHOOSE(Scenarios!$C$26,Scenarios!AX34,Scenarios!AX35,Scenarios!AX36)</f>
        <v>0.39550000000000002</v>
      </c>
      <c r="CO24" s="1264">
        <f>CHOOSE(Scenarios!$C$26,Scenarios!AY34,Scenarios!AY35,Scenarios!AY36)</f>
        <v>0.39800000000000002</v>
      </c>
      <c r="CP24" s="1264">
        <f>CHOOSE(Scenarios!$C$26,Scenarios!AZ34,Scenarios!AZ35,Scenarios!AZ36)</f>
        <v>0.39700000000000002</v>
      </c>
      <c r="CQ24" s="1264">
        <f>CHOOSE(Scenarios!$C$26,Scenarios!BA34,Scenarios!BA35,Scenarios!BA36)</f>
        <v>0.39850000000000002</v>
      </c>
      <c r="CR24" s="1263">
        <f ca="1">CR22/CR$18</f>
        <v>0.39723659550393658</v>
      </c>
      <c r="CS24" s="1264">
        <f>CHOOSE(Scenarios!$C$26,Scenarios!BC34,Scenarios!BC35,Scenarios!BC36)</f>
        <v>0.39600000000000002</v>
      </c>
      <c r="CT24" s="1264">
        <f>CHOOSE(Scenarios!$C$26,Scenarios!BD34,Scenarios!BD35,Scenarios!BD36)</f>
        <v>0.39500000000000002</v>
      </c>
      <c r="CU24" s="1264">
        <f>CHOOSE(Scenarios!$C$26,Scenarios!BE34,Scenarios!BE35,Scenarios!BE36)</f>
        <v>0.39400000000000002</v>
      </c>
      <c r="CV24" s="1264">
        <f>CHOOSE(Scenarios!$C$26,Scenarios!BF34,Scenarios!BF35,Scenarios!BF36)</f>
        <v>0.39739999999999998</v>
      </c>
      <c r="CW24" s="1265">
        <f ca="1">CW22/CW$18</f>
        <v>0.39565627483380694</v>
      </c>
      <c r="CX24" s="1264">
        <f>CHOOSE(Scenarios!$C$26,Scenarios!BH34,Scenarios!BH35,Scenarios!BH36)</f>
        <v>0.39900000000000002</v>
      </c>
      <c r="CY24" s="1264">
        <f>CHOOSE(Scenarios!$C$26,Scenarios!BI34,Scenarios!BI35,Scenarios!BI36)</f>
        <v>0.39500000000000002</v>
      </c>
      <c r="CZ24" s="1264">
        <f>CHOOSE(Scenarios!$C$26,Scenarios!BJ34,Scenarios!BJ35,Scenarios!BJ36)</f>
        <v>0.39500000000000002</v>
      </c>
      <c r="DA24" s="1264">
        <f>CHOOSE(Scenarios!$C$26,Scenarios!BK34,Scenarios!BK35,Scenarios!BK36)</f>
        <v>0.39800000000000002</v>
      </c>
      <c r="DB24" s="1265">
        <f ca="1">DB22/DB$18</f>
        <v>0.39681892515145717</v>
      </c>
      <c r="DC24" s="167"/>
      <c r="DD24" s="167"/>
      <c r="DE24" s="167"/>
      <c r="DF24" s="167"/>
      <c r="DG24" s="167"/>
      <c r="DH24" s="167"/>
      <c r="DI24" s="167"/>
      <c r="DJ24" s="167"/>
    </row>
    <row r="25" spans="1:114">
      <c r="A25" s="458"/>
      <c r="B25" s="473" t="s">
        <v>181</v>
      </c>
      <c r="C25" s="474"/>
      <c r="D25" s="129">
        <f t="shared" ref="D25:AI25" si="52">D22/D$20</f>
        <v>0.70629188297815704</v>
      </c>
      <c r="E25" s="153">
        <f t="shared" si="52"/>
        <v>0.42579030954382802</v>
      </c>
      <c r="F25" s="129">
        <f t="shared" si="52"/>
        <v>0.42576765267882283</v>
      </c>
      <c r="G25" s="167">
        <f t="shared" si="52"/>
        <v>0.42506469950673542</v>
      </c>
      <c r="H25" s="167">
        <f t="shared" si="52"/>
        <v>0.42879125529301526</v>
      </c>
      <c r="I25" s="167">
        <f t="shared" si="52"/>
        <v>0.43185213585943383</v>
      </c>
      <c r="J25" s="167">
        <f t="shared" si="52"/>
        <v>0.44496897045563039</v>
      </c>
      <c r="K25" s="67">
        <f t="shared" si="52"/>
        <v>0.43323041058306921</v>
      </c>
      <c r="L25" s="237">
        <f t="shared" si="52"/>
        <v>0.44903664432139145</v>
      </c>
      <c r="M25" s="237">
        <f t="shared" si="52"/>
        <v>0.44363790746800313</v>
      </c>
      <c r="N25" s="237">
        <f t="shared" si="52"/>
        <v>0.44248436532198443</v>
      </c>
      <c r="O25" s="237">
        <f t="shared" si="52"/>
        <v>0.43956242212621049</v>
      </c>
      <c r="P25" s="67">
        <f t="shared" si="52"/>
        <v>0.44357037701786267</v>
      </c>
      <c r="Q25" s="237">
        <f t="shared" si="52"/>
        <v>0.45025262339681299</v>
      </c>
      <c r="R25" s="237">
        <f t="shared" si="52"/>
        <v>0.44237292406945389</v>
      </c>
      <c r="S25" s="237">
        <f t="shared" si="52"/>
        <v>0.44199579355297597</v>
      </c>
      <c r="T25" s="237">
        <f t="shared" si="52"/>
        <v>0.44594274567944137</v>
      </c>
      <c r="U25" s="67">
        <f t="shared" si="52"/>
        <v>0.44511134409598341</v>
      </c>
      <c r="V25" s="237">
        <f t="shared" si="52"/>
        <v>0.44878949834638343</v>
      </c>
      <c r="W25" s="237">
        <f t="shared" si="52"/>
        <v>0.44730363359145736</v>
      </c>
      <c r="X25" s="237">
        <f t="shared" si="52"/>
        <v>0.44789203224316565</v>
      </c>
      <c r="Y25" s="237">
        <f t="shared" si="52"/>
        <v>0.44506375232347056</v>
      </c>
      <c r="Z25" s="67">
        <f t="shared" si="52"/>
        <v>0.44723299583469595</v>
      </c>
      <c r="AA25" s="237">
        <f t="shared" si="52"/>
        <v>0.44236289101271292</v>
      </c>
      <c r="AB25" s="237">
        <f t="shared" si="52"/>
        <v>0.4413989960538533</v>
      </c>
      <c r="AC25" s="237">
        <f t="shared" si="52"/>
        <v>0.44468000894427639</v>
      </c>
      <c r="AD25" s="237">
        <f t="shared" si="52"/>
        <v>0.44122178424577169</v>
      </c>
      <c r="AE25" s="67">
        <f t="shared" si="52"/>
        <v>0.44240269120811399</v>
      </c>
      <c r="AF25" s="237">
        <f t="shared" si="52"/>
        <v>0.44361356343127267</v>
      </c>
      <c r="AG25" s="237">
        <f t="shared" si="52"/>
        <v>0.44443539429840795</v>
      </c>
      <c r="AH25" s="237">
        <f t="shared" si="52"/>
        <v>0.48347553928707987</v>
      </c>
      <c r="AI25" s="237">
        <f t="shared" si="52"/>
        <v>0.4531077922204943</v>
      </c>
      <c r="AJ25" s="67">
        <f t="shared" ref="AJ25:BN25" si="53">AJ22/AJ$20</f>
        <v>0.45608080056681932</v>
      </c>
      <c r="AK25" s="237">
        <f t="shared" si="53"/>
        <v>0.45524376157214563</v>
      </c>
      <c r="AL25" s="237">
        <f t="shared" si="53"/>
        <v>0.44988627555392396</v>
      </c>
      <c r="AM25" s="237">
        <f t="shared" si="53"/>
        <v>0.45911112419257477</v>
      </c>
      <c r="AN25" s="237">
        <f t="shared" si="53"/>
        <v>0.48723521279874787</v>
      </c>
      <c r="AO25" s="67">
        <f t="shared" si="53"/>
        <v>0.46639333006681799</v>
      </c>
      <c r="AP25" s="237">
        <f t="shared" si="53"/>
        <v>0.44755467452027875</v>
      </c>
      <c r="AQ25" s="237">
        <f t="shared" si="53"/>
        <v>0.44982340475629856</v>
      </c>
      <c r="AR25" s="237">
        <f t="shared" si="53"/>
        <v>0.44621312351148334</v>
      </c>
      <c r="AS25" s="237">
        <f t="shared" si="53"/>
        <v>0.45101186659163478</v>
      </c>
      <c r="AT25" s="67">
        <f t="shared" si="53"/>
        <v>0.44864655528880276</v>
      </c>
      <c r="AU25" s="237">
        <f t="shared" si="53"/>
        <v>0.45528813945111718</v>
      </c>
      <c r="AV25" s="237">
        <f t="shared" si="53"/>
        <v>0.45269559340576138</v>
      </c>
      <c r="AW25" s="237">
        <f t="shared" si="53"/>
        <v>0.45751993797075763</v>
      </c>
      <c r="AX25" s="237">
        <f t="shared" si="53"/>
        <v>0.45325578185194942</v>
      </c>
      <c r="AY25" s="67">
        <f t="shared" si="53"/>
        <v>0.45469131258758833</v>
      </c>
      <c r="AZ25" s="237">
        <f t="shared" si="53"/>
        <v>0.46101087884633624</v>
      </c>
      <c r="BA25" s="237">
        <f t="shared" si="53"/>
        <v>0.45446437341328816</v>
      </c>
      <c r="BB25" s="237">
        <f t="shared" si="53"/>
        <v>0.45749352925856213</v>
      </c>
      <c r="BC25" s="237">
        <f t="shared" si="53"/>
        <v>0.46492758628103348</v>
      </c>
      <c r="BD25" s="67">
        <f t="shared" si="53"/>
        <v>0.45955240856628676</v>
      </c>
      <c r="BE25" s="237">
        <f t="shared" si="53"/>
        <v>0.46776799508652461</v>
      </c>
      <c r="BF25" s="237">
        <f t="shared" si="53"/>
        <v>0.46123818534024119</v>
      </c>
      <c r="BG25" s="237">
        <f t="shared" si="53"/>
        <v>0.46660720553678464</v>
      </c>
      <c r="BH25" s="237">
        <f t="shared" si="53"/>
        <v>0.47285187926775507</v>
      </c>
      <c r="BI25" s="67">
        <f t="shared" si="53"/>
        <v>0.46711916694044037</v>
      </c>
      <c r="BJ25" s="237">
        <f t="shared" si="53"/>
        <v>0.46252921185246743</v>
      </c>
      <c r="BK25" s="237">
        <f t="shared" si="53"/>
        <v>0.46175084968303787</v>
      </c>
      <c r="BL25" s="237">
        <f>BL22/BL$20</f>
        <v>0.4748121904216337</v>
      </c>
      <c r="BM25" s="237">
        <f>BM22/BM$20</f>
        <v>0.47495411886555344</v>
      </c>
      <c r="BN25" s="67">
        <f t="shared" si="53"/>
        <v>0.46848860444616369</v>
      </c>
      <c r="BO25" s="237">
        <f t="shared" ref="BO25:BX25" si="54">BO22/BO$20</f>
        <v>0.47622797614554235</v>
      </c>
      <c r="BP25" s="237">
        <f t="shared" si="54"/>
        <v>0.4807673114898664</v>
      </c>
      <c r="BQ25" s="237">
        <f t="shared" si="54"/>
        <v>0.47904951509074389</v>
      </c>
      <c r="BR25" s="237">
        <f t="shared" si="54"/>
        <v>0.47750006885728774</v>
      </c>
      <c r="BS25" s="67">
        <f t="shared" si="54"/>
        <v>0.47837312359970346</v>
      </c>
      <c r="BT25" s="237">
        <f t="shared" si="54"/>
        <v>0.47771156138259835</v>
      </c>
      <c r="BU25" s="237">
        <f t="shared" si="54"/>
        <v>0.46620631931366396</v>
      </c>
      <c r="BV25" s="237">
        <f t="shared" si="54"/>
        <v>0.45693430656934308</v>
      </c>
      <c r="BW25" s="237">
        <f t="shared" si="54"/>
        <v>0.45160634404229361</v>
      </c>
      <c r="BX25" s="67">
        <f t="shared" si="54"/>
        <v>0.4625675603360625</v>
      </c>
      <c r="BY25" s="237">
        <f>BY22/BY$20</f>
        <v>0.45958053349623296</v>
      </c>
      <c r="BZ25" s="237">
        <f>BZ22/BZ$20</f>
        <v>0.45411716509627204</v>
      </c>
      <c r="CA25" s="237">
        <f>CA22/CA$20</f>
        <v>0.46223689640940985</v>
      </c>
      <c r="CB25" s="237">
        <f>CB22/CB$20</f>
        <v>0.47478115881617339</v>
      </c>
      <c r="CC25" s="67">
        <f t="shared" ref="CC25" si="55">CC22/CC$20</f>
        <v>0.46262283274167826</v>
      </c>
      <c r="CD25" s="237">
        <f>CD22/CD$20</f>
        <v>0.46349269853970793</v>
      </c>
      <c r="CE25" s="237">
        <f>CE22/CE$20</f>
        <v>0.46928104575163399</v>
      </c>
      <c r="CF25" s="237">
        <f>CF22/CF$20</f>
        <v>0.47191780821917806</v>
      </c>
      <c r="CG25" s="237">
        <f>CG22/CG$20</f>
        <v>0.46699485343477287</v>
      </c>
      <c r="CH25" s="67">
        <f t="shared" ref="CH25" si="56">CH22/CH$20</f>
        <v>0.46778392450374229</v>
      </c>
      <c r="CI25" s="237">
        <f>CI22/CI$20</f>
        <v>0.45942933571110123</v>
      </c>
      <c r="CJ25" s="237">
        <f>CJ22/CJ$20</f>
        <v>0.46332046332046334</v>
      </c>
      <c r="CK25" s="237">
        <f>CK22/CK$20</f>
        <v>0.47026732133115112</v>
      </c>
      <c r="CL25" s="237">
        <f>CL22/CL$20</f>
        <v>0.54625694671461267</v>
      </c>
      <c r="CM25" s="67">
        <f t="shared" ref="CM25:CW25" si="57">CM22/CM$20</f>
        <v>0.48036470205144904</v>
      </c>
      <c r="CN25" s="237">
        <f t="shared" ca="1" si="57"/>
        <v>0.46176298890834794</v>
      </c>
      <c r="CO25" s="237">
        <f t="shared" ca="1" si="57"/>
        <v>0.46495327102803735</v>
      </c>
      <c r="CP25" s="237">
        <f t="shared" ca="1" si="57"/>
        <v>0.46324387397899652</v>
      </c>
      <c r="CQ25" s="237">
        <f t="shared" ca="1" si="57"/>
        <v>0.46575502571295002</v>
      </c>
      <c r="CR25" s="67">
        <f t="shared" ca="1" si="57"/>
        <v>0.46392207122347118</v>
      </c>
      <c r="CS25" s="237">
        <f t="shared" ca="1" si="57"/>
        <v>0.46391752577319595</v>
      </c>
      <c r="CT25" s="237">
        <f t="shared" ca="1" si="57"/>
        <v>0.46274601686972816</v>
      </c>
      <c r="CU25" s="237">
        <f t="shared" ca="1" si="57"/>
        <v>0.46157450796626059</v>
      </c>
      <c r="CV25" s="237">
        <f t="shared" ca="1" si="57"/>
        <v>0.46555763823805058</v>
      </c>
      <c r="CW25" s="67">
        <f t="shared" ca="1" si="57"/>
        <v>0.46351484868065479</v>
      </c>
      <c r="CX25" s="237">
        <f t="shared" ref="CX25:DB25" ca="1" si="58">CX22/CX$20</f>
        <v>0.46743205248359893</v>
      </c>
      <c r="CY25" s="237">
        <f t="shared" ca="1" si="58"/>
        <v>0.46274601686972827</v>
      </c>
      <c r="CZ25" s="237">
        <f t="shared" ca="1" si="58"/>
        <v>0.46274601686972822</v>
      </c>
      <c r="DA25" s="237">
        <f t="shared" ca="1" si="58"/>
        <v>0.46626054358013119</v>
      </c>
      <c r="DB25" s="67">
        <f t="shared" ca="1" si="58"/>
        <v>0.46487690387940162</v>
      </c>
      <c r="DC25" s="167"/>
      <c r="DD25" s="167"/>
      <c r="DE25" s="167"/>
      <c r="DF25" s="167"/>
      <c r="DG25" s="167"/>
      <c r="DH25" s="167"/>
      <c r="DI25" s="167"/>
      <c r="DJ25" s="167"/>
    </row>
    <row r="26" spans="1:114">
      <c r="A26" s="396"/>
      <c r="B26" s="37" t="s">
        <v>180</v>
      </c>
      <c r="C26" s="157"/>
      <c r="D26" s="80">
        <f t="shared" ref="D26:AI26" si="59">1000000*D22/D15</f>
        <v>701.75041152526501</v>
      </c>
      <c r="E26" s="81">
        <f t="shared" si="59"/>
        <v>486.09986090023892</v>
      </c>
      <c r="F26" s="82">
        <f t="shared" si="59"/>
        <v>514.83191375013359</v>
      </c>
      <c r="G26" s="93">
        <f t="shared" si="59"/>
        <v>522.41303390945325</v>
      </c>
      <c r="H26" s="93">
        <f t="shared" si="59"/>
        <v>560.29638792096966</v>
      </c>
      <c r="I26" s="93">
        <f t="shared" si="59"/>
        <v>566.95800935954367</v>
      </c>
      <c r="J26" s="93">
        <f t="shared" si="59"/>
        <v>604.68963082591517</v>
      </c>
      <c r="K26" s="82">
        <f t="shared" si="59"/>
        <v>564.47965252156348</v>
      </c>
      <c r="L26" s="93">
        <f t="shared" si="59"/>
        <v>573.11220541733405</v>
      </c>
      <c r="M26" s="93">
        <f t="shared" si="59"/>
        <v>585.12534723798888</v>
      </c>
      <c r="N26" s="93">
        <f t="shared" si="59"/>
        <v>594.35554379379948</v>
      </c>
      <c r="O26" s="93">
        <f t="shared" si="59"/>
        <v>624.28594902511952</v>
      </c>
      <c r="P26" s="82">
        <f t="shared" si="59"/>
        <v>594.21150478699849</v>
      </c>
      <c r="Q26" s="93">
        <f t="shared" si="59"/>
        <v>610.13390187963398</v>
      </c>
      <c r="R26" s="93">
        <f t="shared" si="59"/>
        <v>642.87364935665823</v>
      </c>
      <c r="S26" s="93">
        <f t="shared" si="59"/>
        <v>619.81533096286648</v>
      </c>
      <c r="T26" s="93">
        <f t="shared" si="59"/>
        <v>609.41118019789383</v>
      </c>
      <c r="U26" s="82">
        <f t="shared" si="59"/>
        <v>619.67727794812197</v>
      </c>
      <c r="V26" s="93">
        <f t="shared" si="59"/>
        <v>609.48222595399136</v>
      </c>
      <c r="W26" s="93">
        <f t="shared" si="59"/>
        <v>630.72638274866642</v>
      </c>
      <c r="X26" s="93">
        <f t="shared" si="59"/>
        <v>643.50840750863028</v>
      </c>
      <c r="Y26" s="93">
        <f t="shared" si="59"/>
        <v>653.66125599760994</v>
      </c>
      <c r="Z26" s="82">
        <f t="shared" si="59"/>
        <v>634.22355335359123</v>
      </c>
      <c r="AA26" s="93">
        <f t="shared" si="59"/>
        <v>634.1882944802253</v>
      </c>
      <c r="AB26" s="93">
        <f t="shared" si="59"/>
        <v>664.18541376642133</v>
      </c>
      <c r="AC26" s="93">
        <f t="shared" si="59"/>
        <v>686.52678480694942</v>
      </c>
      <c r="AD26" s="93">
        <f t="shared" si="59"/>
        <v>693.33168569924248</v>
      </c>
      <c r="AE26" s="82">
        <f t="shared" si="59"/>
        <v>669.26599400763314</v>
      </c>
      <c r="AF26" s="93">
        <f t="shared" si="59"/>
        <v>674.73299695426431</v>
      </c>
      <c r="AG26" s="93">
        <f t="shared" si="59"/>
        <v>694.41528600959725</v>
      </c>
      <c r="AH26" s="93">
        <f t="shared" si="59"/>
        <v>715.13929694245599</v>
      </c>
      <c r="AI26" s="93">
        <f t="shared" si="59"/>
        <v>725.28091820261727</v>
      </c>
      <c r="AJ26" s="82">
        <f t="shared" ref="AJ26:BJ26" si="60">1000000*AJ22/AJ15</f>
        <v>702.83856881537565</v>
      </c>
      <c r="AK26" s="93">
        <f t="shared" si="60"/>
        <v>729.28486130244653</v>
      </c>
      <c r="AL26" s="93">
        <f t="shared" si="60"/>
        <v>741.3195430583163</v>
      </c>
      <c r="AM26" s="93">
        <f t="shared" si="60"/>
        <v>857.66363023033978</v>
      </c>
      <c r="AN26" s="93">
        <f t="shared" si="60"/>
        <v>846.01216984393523</v>
      </c>
      <c r="AO26" s="82">
        <f t="shared" si="60"/>
        <v>809.49426686343838</v>
      </c>
      <c r="AP26" s="93">
        <f t="shared" si="60"/>
        <v>804.75427788416323</v>
      </c>
      <c r="AQ26" s="93">
        <f t="shared" si="60"/>
        <v>857.10790717647262</v>
      </c>
      <c r="AR26" s="93">
        <f t="shared" si="60"/>
        <v>873.54477556074789</v>
      </c>
      <c r="AS26" s="93">
        <f t="shared" si="60"/>
        <v>878.13375091883245</v>
      </c>
      <c r="AT26" s="82">
        <f t="shared" si="60"/>
        <v>852.45293383047442</v>
      </c>
      <c r="AU26" s="93">
        <f t="shared" si="60"/>
        <v>882.86283957288731</v>
      </c>
      <c r="AV26" s="93">
        <f t="shared" si="60"/>
        <v>887.3561521845262</v>
      </c>
      <c r="AW26" s="93">
        <f t="shared" si="60"/>
        <v>905.82338396694377</v>
      </c>
      <c r="AX26" s="93">
        <f t="shared" si="60"/>
        <v>905.97933471372573</v>
      </c>
      <c r="AY26" s="82">
        <f t="shared" si="60"/>
        <v>895.61767679322963</v>
      </c>
      <c r="AZ26" s="93">
        <f t="shared" si="60"/>
        <v>922.58921733333636</v>
      </c>
      <c r="BA26" s="93">
        <f t="shared" si="60"/>
        <v>929.71244334460869</v>
      </c>
      <c r="BB26" s="93">
        <f t="shared" si="60"/>
        <v>946.86457189814064</v>
      </c>
      <c r="BC26" s="93">
        <f t="shared" si="60"/>
        <v>967.20057976891985</v>
      </c>
      <c r="BD26" s="82">
        <f t="shared" si="60"/>
        <v>941.82214277527805</v>
      </c>
      <c r="BE26" s="93">
        <f t="shared" si="60"/>
        <v>939.30259560966965</v>
      </c>
      <c r="BF26" s="93">
        <f t="shared" si="60"/>
        <v>950.60841495922307</v>
      </c>
      <c r="BG26" s="93">
        <f t="shared" si="60"/>
        <v>955.84664174630586</v>
      </c>
      <c r="BH26" s="93">
        <f t="shared" si="60"/>
        <v>968.40991718267662</v>
      </c>
      <c r="BI26" s="82">
        <f t="shared" si="60"/>
        <v>953.48299790598287</v>
      </c>
      <c r="BJ26" s="93">
        <f t="shared" si="60"/>
        <v>960.98728359549989</v>
      </c>
      <c r="BK26" s="93">
        <f t="shared" ref="BK26:BP26" si="61">1000000*BK22/BK15</f>
        <v>985.77956137898741</v>
      </c>
      <c r="BL26" s="93">
        <f t="shared" si="61"/>
        <v>992.86528920808473</v>
      </c>
      <c r="BM26" s="93">
        <f t="shared" si="61"/>
        <v>1011.3635259484714</v>
      </c>
      <c r="BN26" s="82">
        <f t="shared" si="61"/>
        <v>987.54518644627956</v>
      </c>
      <c r="BO26" s="93">
        <f t="shared" si="61"/>
        <v>1002.315293001086</v>
      </c>
      <c r="BP26" s="93">
        <f t="shared" si="61"/>
        <v>1026.7206849034751</v>
      </c>
      <c r="BQ26" s="93">
        <f t="shared" ref="BQ26:BV26" si="62">1000000*BQ22/BQ15</f>
        <v>1045.7253771515243</v>
      </c>
      <c r="BR26" s="93">
        <f t="shared" si="62"/>
        <v>1057.4555853193763</v>
      </c>
      <c r="BS26" s="82">
        <f t="shared" si="62"/>
        <v>1032.4430537316928</v>
      </c>
      <c r="BT26" s="93">
        <f t="shared" si="62"/>
        <v>1005.2459852307363</v>
      </c>
      <c r="BU26" s="93">
        <f t="shared" si="62"/>
        <v>982.39423391082482</v>
      </c>
      <c r="BV26" s="93">
        <f t="shared" si="62"/>
        <v>980.55561661862623</v>
      </c>
      <c r="BW26" s="93">
        <f t="shared" ref="BW26:CC26" si="63">1000000*BW22/BW15</f>
        <v>989.86697390197207</v>
      </c>
      <c r="BX26" s="82">
        <f t="shared" si="63"/>
        <v>989.05519393682926</v>
      </c>
      <c r="BY26" s="93">
        <f t="shared" si="63"/>
        <v>966.51530819239792</v>
      </c>
      <c r="BZ26" s="93">
        <f t="shared" si="63"/>
        <v>979.65469894004821</v>
      </c>
      <c r="CA26" s="93">
        <f t="shared" si="63"/>
        <v>1004.5274796251267</v>
      </c>
      <c r="CB26" s="93">
        <f t="shared" si="63"/>
        <v>1028.2445843696444</v>
      </c>
      <c r="CC26" s="82">
        <f t="shared" si="63"/>
        <v>994.29806067557968</v>
      </c>
      <c r="CD26" s="93">
        <f t="shared" ref="CD26:CE26" si="64">1000000*CD22/CD15</f>
        <v>1005.5663004767753</v>
      </c>
      <c r="CE26" s="93">
        <f t="shared" si="64"/>
        <v>1030.8837201449664</v>
      </c>
      <c r="CF26" s="93">
        <f t="shared" ref="CF26:CI26" si="65">1000000*CF22/CF15</f>
        <v>1042.51144772522</v>
      </c>
      <c r="CG26" s="93">
        <f t="shared" ref="CG26" si="66">1000000*CG22/CG15</f>
        <v>1060.0506766063204</v>
      </c>
      <c r="CH26" s="82">
        <f t="shared" si="65"/>
        <v>1033.5369837131614</v>
      </c>
      <c r="CI26" s="93">
        <f t="shared" si="65"/>
        <v>1002.5306974508132</v>
      </c>
      <c r="CJ26" s="93">
        <f t="shared" ref="CJ26:CV26" si="67">1000000*CJ22/CJ15</f>
        <v>1041.9032129779882</v>
      </c>
      <c r="CK26" s="93">
        <f t="shared" ref="CK26:CL26" si="68">1000000*CK22/CK15</f>
        <v>1041.6157358303146</v>
      </c>
      <c r="CL26" s="93">
        <f t="shared" si="68"/>
        <v>1063.6903290630967</v>
      </c>
      <c r="CM26" s="82">
        <f>1000000*CM22/CM15</f>
        <v>1035.2795373120575</v>
      </c>
      <c r="CN26" s="93">
        <f t="shared" ca="1" si="67"/>
        <v>1101.696862747232</v>
      </c>
      <c r="CO26" s="93">
        <f t="shared" ca="1" si="67"/>
        <v>1150.7319759148643</v>
      </c>
      <c r="CP26" s="93">
        <f t="shared" ca="1" si="67"/>
        <v>1138.5167965865501</v>
      </c>
      <c r="CQ26" s="93">
        <f t="shared" ca="1" si="67"/>
        <v>1293.646827632429</v>
      </c>
      <c r="CR26" s="82">
        <f ca="1">1000000*CR22/CR15</f>
        <v>1167.5100207789744</v>
      </c>
      <c r="CS26" s="93">
        <f t="shared" ca="1" si="67"/>
        <v>1220.7190979209686</v>
      </c>
      <c r="CT26" s="93">
        <f t="shared" ca="1" si="67"/>
        <v>1183.243068589311</v>
      </c>
      <c r="CU26" s="93">
        <f t="shared" ca="1" si="67"/>
        <v>1125.5828366481405</v>
      </c>
      <c r="CV26" s="93">
        <f t="shared" ca="1" si="67"/>
        <v>1316.6497868153428</v>
      </c>
      <c r="CW26" s="82">
        <f ca="1">1000000*CW22/CW15</f>
        <v>1210.8838294788486</v>
      </c>
      <c r="CX26" s="93">
        <f t="shared" ref="CX26:DA26" ca="1" si="69">1000000*CX22/CX15</f>
        <v>1234.0171614072749</v>
      </c>
      <c r="CY26" s="93">
        <f t="shared" ca="1" si="69"/>
        <v>1187.4295836272208</v>
      </c>
      <c r="CZ26" s="93">
        <f t="shared" ca="1" si="69"/>
        <v>1133.4817901616291</v>
      </c>
      <c r="DA26" s="93">
        <f t="shared" ca="1" si="69"/>
        <v>1324.1315485624111</v>
      </c>
      <c r="DB26" s="82">
        <f ca="1">1000000*DB22/DB15</f>
        <v>1219.2745684917968</v>
      </c>
      <c r="DC26" s="37"/>
      <c r="DD26" s="37"/>
      <c r="DE26" s="37"/>
      <c r="DF26" s="37"/>
      <c r="DG26" s="37"/>
      <c r="DH26" s="37"/>
      <c r="DI26" s="37"/>
      <c r="DJ26" s="37"/>
    </row>
    <row r="27" spans="1:114" s="725" customFormat="1">
      <c r="A27" s="458"/>
      <c r="B27" s="473" t="s">
        <v>183</v>
      </c>
      <c r="C27" s="474"/>
      <c r="D27" s="129"/>
      <c r="E27" s="153"/>
      <c r="F27" s="129"/>
      <c r="G27" s="167"/>
      <c r="H27" s="167"/>
      <c r="I27" s="167"/>
      <c r="J27" s="167"/>
      <c r="K27" s="67">
        <f t="shared" ref="K27:BJ27" si="70">K26/F26-1</f>
        <v>9.6434850764759883E-2</v>
      </c>
      <c r="L27" s="237">
        <f t="shared" si="70"/>
        <v>9.7048060092367772E-2</v>
      </c>
      <c r="M27" s="237">
        <f t="shared" si="70"/>
        <v>4.4313973554513275E-2</v>
      </c>
      <c r="N27" s="237">
        <f t="shared" si="70"/>
        <v>4.832374528971739E-2</v>
      </c>
      <c r="O27" s="237">
        <f t="shared" si="70"/>
        <v>3.2407233728216411E-2</v>
      </c>
      <c r="P27" s="67">
        <f t="shared" si="70"/>
        <v>5.2671255965774932E-2</v>
      </c>
      <c r="Q27" s="237">
        <f t="shared" si="70"/>
        <v>6.4597640937242184E-2</v>
      </c>
      <c r="R27" s="237">
        <f t="shared" si="70"/>
        <v>9.8693899335010826E-2</v>
      </c>
      <c r="S27" s="237">
        <f t="shared" si="70"/>
        <v>4.2835954732677317E-2</v>
      </c>
      <c r="T27" s="237">
        <f t="shared" si="70"/>
        <v>-2.3826851862442266E-2</v>
      </c>
      <c r="U27" s="67">
        <f t="shared" si="70"/>
        <v>4.2856412162958657E-2</v>
      </c>
      <c r="V27" s="237">
        <f t="shared" si="70"/>
        <v>-1.0680867324942556E-3</v>
      </c>
      <c r="W27" s="237">
        <f t="shared" si="70"/>
        <v>-1.8895262887424158E-2</v>
      </c>
      <c r="X27" s="237">
        <f t="shared" si="70"/>
        <v>3.8226025337187552E-2</v>
      </c>
      <c r="Y27" s="237">
        <f t="shared" si="70"/>
        <v>7.2611197886699008E-2</v>
      </c>
      <c r="Z27" s="67">
        <f t="shared" si="70"/>
        <v>2.3473953173876128E-2</v>
      </c>
      <c r="AA27" s="237">
        <f t="shared" si="70"/>
        <v>4.0536159176033149E-2</v>
      </c>
      <c r="AB27" s="237">
        <f t="shared" si="70"/>
        <v>5.3048408839253769E-2</v>
      </c>
      <c r="AC27" s="237">
        <f t="shared" si="70"/>
        <v>6.6849751761389742E-2</v>
      </c>
      <c r="AD27" s="237">
        <f t="shared" si="70"/>
        <v>6.0689583997276975E-2</v>
      </c>
      <c r="AE27" s="67">
        <f t="shared" si="70"/>
        <v>5.5252505948017117E-2</v>
      </c>
      <c r="AF27" s="237">
        <f t="shared" si="70"/>
        <v>6.3931647472725839E-2</v>
      </c>
      <c r="AG27" s="237">
        <f t="shared" si="70"/>
        <v>4.5514206751018804E-2</v>
      </c>
      <c r="AH27" s="237">
        <f t="shared" si="70"/>
        <v>4.1677197115553621E-2</v>
      </c>
      <c r="AI27" s="237">
        <f t="shared" si="70"/>
        <v>4.6080733308983435E-2</v>
      </c>
      <c r="AJ27" s="67">
        <f t="shared" si="70"/>
        <v>5.0163276049193017E-2</v>
      </c>
      <c r="AK27" s="237">
        <f t="shared" si="70"/>
        <v>8.0849557668631222E-2</v>
      </c>
      <c r="AL27" s="237">
        <f t="shared" si="70"/>
        <v>6.7544966238071602E-2</v>
      </c>
      <c r="AM27" s="237">
        <f t="shared" si="70"/>
        <v>0.19929590486390514</v>
      </c>
      <c r="AN27" s="237">
        <f t="shared" si="70"/>
        <v>0.16646136498463626</v>
      </c>
      <c r="AO27" s="67">
        <f t="shared" si="70"/>
        <v>0.15174992207361271</v>
      </c>
      <c r="AP27" s="237">
        <f t="shared" si="70"/>
        <v>0.10348413985576799</v>
      </c>
      <c r="AQ27" s="237">
        <f t="shared" si="70"/>
        <v>0.15619224557398148</v>
      </c>
      <c r="AR27" s="237">
        <f t="shared" si="70"/>
        <v>1.8516752687930849E-2</v>
      </c>
      <c r="AS27" s="237">
        <f t="shared" si="70"/>
        <v>3.796822577720449E-2</v>
      </c>
      <c r="AT27" s="67">
        <f t="shared" si="70"/>
        <v>5.3068525282444323E-2</v>
      </c>
      <c r="AU27" s="237">
        <f t="shared" si="70"/>
        <v>9.705889590805894E-2</v>
      </c>
      <c r="AV27" s="237">
        <f t="shared" si="70"/>
        <v>3.5291058167575162E-2</v>
      </c>
      <c r="AW27" s="237">
        <f t="shared" si="70"/>
        <v>3.6951292377056966E-2</v>
      </c>
      <c r="AX27" s="237">
        <f t="shared" si="70"/>
        <v>3.1709957356447216E-2</v>
      </c>
      <c r="AY27" s="67">
        <f t="shared" si="70"/>
        <v>5.0635925163393658E-2</v>
      </c>
      <c r="AZ27" s="237">
        <f t="shared" si="70"/>
        <v>4.4997224913971845E-2</v>
      </c>
      <c r="BA27" s="237">
        <f t="shared" si="70"/>
        <v>4.77331351744259E-2</v>
      </c>
      <c r="BB27" s="237">
        <f t="shared" si="70"/>
        <v>4.5308156819116263E-2</v>
      </c>
      <c r="BC27" s="237">
        <f t="shared" si="70"/>
        <v>6.7574659497657397E-2</v>
      </c>
      <c r="BD27" s="67">
        <f t="shared" si="70"/>
        <v>5.1589497593977907E-2</v>
      </c>
      <c r="BE27" s="237">
        <f t="shared" si="70"/>
        <v>1.811573120770027E-2</v>
      </c>
      <c r="BF27" s="237">
        <f t="shared" si="70"/>
        <v>2.2475736195851859E-2</v>
      </c>
      <c r="BG27" s="237">
        <f t="shared" si="70"/>
        <v>9.4861188334032231E-3</v>
      </c>
      <c r="BH27" s="237">
        <f t="shared" si="70"/>
        <v>1.2503481067449584E-3</v>
      </c>
      <c r="BI27" s="67">
        <f t="shared" si="70"/>
        <v>1.2381164766782415E-2</v>
      </c>
      <c r="BJ27" s="237">
        <f t="shared" si="70"/>
        <v>2.3085944920396395E-2</v>
      </c>
      <c r="BK27" s="237">
        <f t="shared" ref="BK27:BP27" si="71">BK26/BF26-1</f>
        <v>3.6998564147228796E-2</v>
      </c>
      <c r="BL27" s="237">
        <f t="shared" si="71"/>
        <v>3.8728647300728891E-2</v>
      </c>
      <c r="BM27" s="237">
        <f t="shared" si="71"/>
        <v>4.4354779937360256E-2</v>
      </c>
      <c r="BN27" s="67">
        <f t="shared" si="71"/>
        <v>3.572396006546863E-2</v>
      </c>
      <c r="BO27" s="237">
        <f t="shared" si="71"/>
        <v>4.3005781773676421E-2</v>
      </c>
      <c r="BP27" s="237">
        <f t="shared" si="71"/>
        <v>4.1531722839958318E-2</v>
      </c>
      <c r="BQ27" s="237">
        <f t="shared" ref="BQ27:CG27" si="72">BQ26/BL26-1</f>
        <v>5.3239939514454271E-2</v>
      </c>
      <c r="BR27" s="237">
        <f t="shared" si="72"/>
        <v>4.5574176038906566E-2</v>
      </c>
      <c r="BS27" s="67">
        <f t="shared" si="72"/>
        <v>4.5464114353065632E-2</v>
      </c>
      <c r="BT27" s="237">
        <f t="shared" si="72"/>
        <v>2.9239224923680585E-3</v>
      </c>
      <c r="BU27" s="237">
        <f t="shared" si="72"/>
        <v>-4.3172843056938692E-2</v>
      </c>
      <c r="BV27" s="237">
        <f t="shared" si="72"/>
        <v>-6.2320148250026741E-2</v>
      </c>
      <c r="BW27" s="237">
        <f t="shared" si="72"/>
        <v>-6.3916265000379058E-2</v>
      </c>
      <c r="BX27" s="67">
        <f>BX26/BS26-1</f>
        <v>-4.2024458044481183E-2</v>
      </c>
      <c r="BY27" s="237">
        <f t="shared" si="72"/>
        <v>-3.8528556798412383E-2</v>
      </c>
      <c r="BZ27" s="237">
        <f t="shared" si="72"/>
        <v>-2.7886309550807509E-3</v>
      </c>
      <c r="CA27" s="237">
        <f t="shared" si="72"/>
        <v>2.4447224206583629E-2</v>
      </c>
      <c r="CB27" s="237">
        <f t="shared" si="72"/>
        <v>3.8770472679163115E-2</v>
      </c>
      <c r="CC27" s="67">
        <f>CC26/BX26-1</f>
        <v>5.3008838848334072E-3</v>
      </c>
      <c r="CD27" s="237">
        <f t="shared" si="72"/>
        <v>4.0403904576960636E-2</v>
      </c>
      <c r="CE27" s="237">
        <f t="shared" si="72"/>
        <v>5.2292936746331398E-2</v>
      </c>
      <c r="CF27" s="237">
        <f t="shared" si="72"/>
        <v>3.7812771547343083E-2</v>
      </c>
      <c r="CG27" s="237">
        <f t="shared" si="72"/>
        <v>3.0932418920712745E-2</v>
      </c>
      <c r="CH27" s="67">
        <f>CH26/CC26-1</f>
        <v>3.9463944052068989E-2</v>
      </c>
      <c r="CI27" s="237">
        <f t="shared" ref="CI27" si="73">CI26/CD26-1</f>
        <v>-3.0187994809718344E-3</v>
      </c>
      <c r="CJ27" s="237">
        <f t="shared" ref="CJ27:CL27" si="74">CJ26/CE26-1</f>
        <v>1.068936546157917E-2</v>
      </c>
      <c r="CK27" s="237">
        <f t="shared" si="74"/>
        <v>-8.591866275040605E-4</v>
      </c>
      <c r="CL27" s="237">
        <f t="shared" si="74"/>
        <v>3.4334702454306143E-3</v>
      </c>
      <c r="CM27" s="67">
        <f>CM26/CH26-1</f>
        <v>1.6860099119391236E-3</v>
      </c>
      <c r="CN27" s="237">
        <f t="shared" ref="CN27" ca="1" si="75">CN26/CI26-1</f>
        <v>9.8915839234223535E-2</v>
      </c>
      <c r="CO27" s="237">
        <f t="shared" ref="CO27" ca="1" si="76">CO26/CJ26-1</f>
        <v>0.10445189301779734</v>
      </c>
      <c r="CP27" s="237">
        <f t="shared" ref="CP27" ca="1" si="77">CP26/CK26-1</f>
        <v>9.3029566876686731E-2</v>
      </c>
      <c r="CQ27" s="237">
        <f t="shared" ref="CQ27" ca="1" si="78">CQ26/CL26-1</f>
        <v>0.21618744881499397</v>
      </c>
      <c r="CR27" s="67">
        <f ca="1">CR26/CM26-1</f>
        <v>0.12772442485459812</v>
      </c>
      <c r="CS27" s="237">
        <f t="shared" ref="CS27" ca="1" si="79">CS26/CN26-1</f>
        <v>0.10803537633477367</v>
      </c>
      <c r="CT27" s="237">
        <f t="shared" ref="CT27" ca="1" si="80">CT26/CO26-1</f>
        <v>2.8252532609602143E-2</v>
      </c>
      <c r="CU27" s="237">
        <f t="shared" ref="CU27" ca="1" si="81">CU26/CP26-1</f>
        <v>-1.1360359352789118E-2</v>
      </c>
      <c r="CV27" s="237">
        <f t="shared" ref="CV27" ca="1" si="82">CV26/CQ26-1</f>
        <v>1.7781483084539307E-2</v>
      </c>
      <c r="CW27" s="67">
        <f ca="1">CW26/CR26-1</f>
        <v>3.7150695007255541E-2</v>
      </c>
      <c r="CX27" s="237">
        <f t="shared" ref="CX27" ca="1" si="83">CX26/CS26-1</f>
        <v>1.0893631064635922E-2</v>
      </c>
      <c r="CY27" s="237">
        <f t="shared" ref="CY27" ca="1" si="84">CY26/CT26-1</f>
        <v>3.5381699238696829E-3</v>
      </c>
      <c r="CZ27" s="237">
        <f t="shared" ref="CZ27" ca="1" si="85">CZ26/CU26-1</f>
        <v>7.0176563255093249E-3</v>
      </c>
      <c r="DA27" s="237">
        <f t="shared" ref="DA27" ca="1" si="86">DA26/CV26-1</f>
        <v>5.6824235434427273E-3</v>
      </c>
      <c r="DB27" s="67">
        <f ca="1">DB26/CW26-1</f>
        <v>6.9294335333220936E-3</v>
      </c>
      <c r="DC27" s="167"/>
      <c r="DD27" s="167"/>
      <c r="DE27" s="167"/>
      <c r="DF27" s="167"/>
      <c r="DG27" s="167"/>
      <c r="DH27" s="167"/>
      <c r="DI27" s="167"/>
      <c r="DJ27" s="167"/>
    </row>
    <row r="28" spans="1:114">
      <c r="A28" s="396"/>
      <c r="B28" s="37" t="s">
        <v>423</v>
      </c>
      <c r="C28" s="157"/>
      <c r="D28" s="80">
        <f t="shared" ref="D28:AI28" si="87">1000000*D22/D$10</f>
        <v>2921.8805590851339</v>
      </c>
      <c r="E28" s="81">
        <f t="shared" si="87"/>
        <v>1932.2968028533774</v>
      </c>
      <c r="F28" s="82">
        <f t="shared" si="87"/>
        <v>1971.6255301635936</v>
      </c>
      <c r="G28" s="93">
        <f t="shared" si="87"/>
        <v>2019.1759591263117</v>
      </c>
      <c r="H28" s="93">
        <f t="shared" si="87"/>
        <v>2121.760530824246</v>
      </c>
      <c r="I28" s="93">
        <f t="shared" si="87"/>
        <v>2123.6590598790717</v>
      </c>
      <c r="J28" s="93">
        <f t="shared" si="87"/>
        <v>2282.0191363792269</v>
      </c>
      <c r="K28" s="82">
        <f t="shared" si="87"/>
        <v>2140.6766750552006</v>
      </c>
      <c r="L28" s="93">
        <f t="shared" si="87"/>
        <v>2255.5228965216397</v>
      </c>
      <c r="M28" s="93">
        <f t="shared" si="87"/>
        <v>2257.9608099419211</v>
      </c>
      <c r="N28" s="93">
        <f t="shared" si="87"/>
        <v>2263.2961327773692</v>
      </c>
      <c r="O28" s="93">
        <f t="shared" si="87"/>
        <v>2379.6036300004071</v>
      </c>
      <c r="P28" s="82">
        <f t="shared" si="87"/>
        <v>2289.5747911136814</v>
      </c>
      <c r="Q28" s="93">
        <f t="shared" si="87"/>
        <v>2427.273548270568</v>
      </c>
      <c r="R28" s="93">
        <f t="shared" si="87"/>
        <v>2458.6072308956454</v>
      </c>
      <c r="S28" s="93">
        <f t="shared" si="87"/>
        <v>2409.9632230023403</v>
      </c>
      <c r="T28" s="93">
        <f t="shared" si="87"/>
        <v>2480.1462049831271</v>
      </c>
      <c r="U28" s="82">
        <f t="shared" si="87"/>
        <v>2444.5971157995523</v>
      </c>
      <c r="V28" s="93">
        <f t="shared" si="87"/>
        <v>2522.8903887853894</v>
      </c>
      <c r="W28" s="93">
        <f t="shared" si="87"/>
        <v>2552.5513585155732</v>
      </c>
      <c r="X28" s="93">
        <f t="shared" si="87"/>
        <v>2577.6041309662533</v>
      </c>
      <c r="Y28" s="93">
        <f t="shared" si="87"/>
        <v>2645.0418532513249</v>
      </c>
      <c r="Z28" s="82">
        <f t="shared" si="87"/>
        <v>2574.7133041800989</v>
      </c>
      <c r="AA28" s="93">
        <f t="shared" si="87"/>
        <v>2680.5476537043469</v>
      </c>
      <c r="AB28" s="93">
        <f t="shared" si="87"/>
        <v>2749.9698713506673</v>
      </c>
      <c r="AC28" s="93">
        <f t="shared" si="87"/>
        <v>2755.6538621139366</v>
      </c>
      <c r="AD28" s="93">
        <f t="shared" si="87"/>
        <v>2857.6379455927163</v>
      </c>
      <c r="AE28" s="82">
        <f t="shared" si="87"/>
        <v>2761.1617573972835</v>
      </c>
      <c r="AF28" s="93">
        <f t="shared" si="87"/>
        <v>2847.4798837729099</v>
      </c>
      <c r="AG28" s="93">
        <f t="shared" si="87"/>
        <v>2853.8136024941755</v>
      </c>
      <c r="AH28" s="93">
        <f t="shared" si="87"/>
        <v>2879.6051663585363</v>
      </c>
      <c r="AI28" s="93">
        <f t="shared" si="87"/>
        <v>2914.6806422387758</v>
      </c>
      <c r="AJ28" s="82">
        <f t="shared" ref="AJ28:BN28" si="88">1000000*AJ22/AJ$10</f>
        <v>2874.9467517757662</v>
      </c>
      <c r="AK28" s="93">
        <f t="shared" si="88"/>
        <v>2983.3635962114149</v>
      </c>
      <c r="AL28" s="93">
        <f t="shared" si="88"/>
        <v>3020.9846108785591</v>
      </c>
      <c r="AM28" s="93">
        <f t="shared" si="88"/>
        <v>3616.0008512708259</v>
      </c>
      <c r="AN28" s="93">
        <f t="shared" si="88"/>
        <v>3601.6112638393374</v>
      </c>
      <c r="AO28" s="82">
        <f t="shared" si="88"/>
        <v>3384.0526709087208</v>
      </c>
      <c r="AP28" s="93">
        <f t="shared" si="88"/>
        <v>3506.0966765618805</v>
      </c>
      <c r="AQ28" s="93">
        <f t="shared" si="88"/>
        <v>3606.9735034937694</v>
      </c>
      <c r="AR28" s="93">
        <f t="shared" si="88"/>
        <v>3618.7852812389165</v>
      </c>
      <c r="AS28" s="93">
        <f t="shared" si="88"/>
        <v>3721.5628574996035</v>
      </c>
      <c r="AT28" s="82">
        <f t="shared" si="88"/>
        <v>3612.1266076471416</v>
      </c>
      <c r="AU28" s="93">
        <f t="shared" si="88"/>
        <v>3795.8824334987576</v>
      </c>
      <c r="AV28" s="93">
        <f t="shared" si="88"/>
        <v>3739.0901198881088</v>
      </c>
      <c r="AW28" s="93">
        <f t="shared" si="88"/>
        <v>3779.765554223593</v>
      </c>
      <c r="AX28" s="93">
        <f t="shared" si="88"/>
        <v>3871.8783006226845</v>
      </c>
      <c r="AY28" s="82">
        <f t="shared" si="88"/>
        <v>3796.3287489169975</v>
      </c>
      <c r="AZ28" s="93">
        <f t="shared" si="88"/>
        <v>3958.5485672671616</v>
      </c>
      <c r="BA28" s="93">
        <f t="shared" si="88"/>
        <v>3921.717960695029</v>
      </c>
      <c r="BB28" s="93">
        <f t="shared" si="88"/>
        <v>3985.3140823365379</v>
      </c>
      <c r="BC28" s="93">
        <f t="shared" si="88"/>
        <v>4150.3151745605246</v>
      </c>
      <c r="BD28" s="82">
        <f t="shared" si="88"/>
        <v>4005.0334633944185</v>
      </c>
      <c r="BE28" s="93">
        <f t="shared" si="88"/>
        <v>4158.7083608925323</v>
      </c>
      <c r="BF28" s="93">
        <f t="shared" si="88"/>
        <v>4166.7047986031666</v>
      </c>
      <c r="BG28" s="93">
        <f t="shared" si="88"/>
        <v>4163.0837546766115</v>
      </c>
      <c r="BH28" s="93">
        <f t="shared" si="88"/>
        <v>4284.6677921138307</v>
      </c>
      <c r="BI28" s="82">
        <f t="shared" si="88"/>
        <v>4193.075225893298</v>
      </c>
      <c r="BJ28" s="93">
        <f t="shared" si="88"/>
        <v>4250.0313532042974</v>
      </c>
      <c r="BK28" s="93">
        <f t="shared" si="88"/>
        <v>4266.4467123670156</v>
      </c>
      <c r="BL28" s="93">
        <f t="shared" si="88"/>
        <v>4287.9703772014664</v>
      </c>
      <c r="BM28" s="93">
        <f>1000000*BM22/BM$10</f>
        <v>4410.8741551062049</v>
      </c>
      <c r="BN28" s="82">
        <f t="shared" si="88"/>
        <v>4303.6224445190246</v>
      </c>
      <c r="BO28" s="93">
        <f t="shared" ref="BO28:CC28" si="89">1000000*BO22/BO$10</f>
        <v>4554.9006073593582</v>
      </c>
      <c r="BP28" s="93">
        <f t="shared" si="89"/>
        <v>4514.2947497911055</v>
      </c>
      <c r="BQ28" s="93">
        <f t="shared" si="89"/>
        <v>4512.4629740203482</v>
      </c>
      <c r="BR28" s="93">
        <f t="shared" si="89"/>
        <v>4685.6913793574677</v>
      </c>
      <c r="BS28" s="82">
        <f t="shared" si="89"/>
        <v>4565.6018057550364</v>
      </c>
      <c r="BT28" s="93">
        <f t="shared" si="89"/>
        <v>4578.8550120640493</v>
      </c>
      <c r="BU28" s="93">
        <f t="shared" si="89"/>
        <v>4343.4016554832524</v>
      </c>
      <c r="BV28" s="93">
        <f t="shared" si="89"/>
        <v>4261.4188910586054</v>
      </c>
      <c r="BW28" s="93">
        <f t="shared" si="89"/>
        <v>4337.9922966944541</v>
      </c>
      <c r="BX28" s="82">
        <f t="shared" si="89"/>
        <v>4372.8076521098646</v>
      </c>
      <c r="BY28" s="93">
        <f t="shared" si="89"/>
        <v>4427.929898630422</v>
      </c>
      <c r="BZ28" s="93">
        <f t="shared" si="89"/>
        <v>4334.6837264593632</v>
      </c>
      <c r="CA28" s="93">
        <f t="shared" si="89"/>
        <v>4371.0302166977253</v>
      </c>
      <c r="CB28" s="93">
        <f>1000000*CB22/CB$10</f>
        <v>4518.7743370116978</v>
      </c>
      <c r="CC28" s="82">
        <f t="shared" si="89"/>
        <v>4412.6906076724481</v>
      </c>
      <c r="CD28" s="93">
        <f t="shared" ref="CD28:CE28" si="90">1000000*CD22/CD$10</f>
        <v>4514.8794213471765</v>
      </c>
      <c r="CE28" s="93">
        <f t="shared" si="90"/>
        <v>4601.7086567240704</v>
      </c>
      <c r="CF28" s="93">
        <f t="shared" ref="CF28:CI28" si="91">1000000*CF22/CF$10</f>
        <v>4636.4315402956818</v>
      </c>
      <c r="CG28" s="93">
        <f t="shared" ref="CG28" si="92">1000000*CG22/CG$10</f>
        <v>4741.4576517629948</v>
      </c>
      <c r="CH28" s="82">
        <f t="shared" si="91"/>
        <v>4619.0774055619586</v>
      </c>
      <c r="CI28" s="93">
        <f t="shared" si="91"/>
        <v>4590.0777707500019</v>
      </c>
      <c r="CJ28" s="93">
        <f t="shared" ref="CJ28:CK28" si="93">1000000*CJ22/CJ$10</f>
        <v>4620.771813291939</v>
      </c>
      <c r="CK28" s="93">
        <f t="shared" si="93"/>
        <v>4577.83784788514</v>
      </c>
      <c r="CL28" s="93">
        <f t="shared" ref="CL28" si="94">1000000*CL22/CL$10</f>
        <v>4701.5063952866767</v>
      </c>
      <c r="CM28" s="82">
        <f t="shared" ref="CM28" si="95">1000000*CM22/CM$10</f>
        <v>4619.9849424568847</v>
      </c>
      <c r="CN28" s="93">
        <f t="shared" ref="CN28:CW28" ca="1" si="96">1000000*CN22/CN$10</f>
        <v>5372.2220166308543</v>
      </c>
      <c r="CO28" s="93">
        <f t="shared" ca="1" si="96"/>
        <v>5720.0590035253381</v>
      </c>
      <c r="CP28" s="93">
        <f t="shared" ca="1" si="96"/>
        <v>5786.555915248664</v>
      </c>
      <c r="CQ28" s="93">
        <f t="shared" ca="1" si="96"/>
        <v>6548.624104550252</v>
      </c>
      <c r="CR28" s="82">
        <f t="shared" ca="1" si="96"/>
        <v>5826.1795050584469</v>
      </c>
      <c r="CS28" s="93">
        <f t="shared" ca="1" si="96"/>
        <v>5725.9094118480498</v>
      </c>
      <c r="CT28" s="93">
        <f t="shared" ca="1" si="96"/>
        <v>5566.1700761468328</v>
      </c>
      <c r="CU28" s="93">
        <f t="shared" ca="1" si="96"/>
        <v>5232.6694717796427</v>
      </c>
      <c r="CV28" s="93">
        <f t="shared" ca="1" si="96"/>
        <v>6200.4058305036997</v>
      </c>
      <c r="CW28" s="82">
        <f t="shared" ca="1" si="96"/>
        <v>5676.5664317645223</v>
      </c>
      <c r="CX28" s="93">
        <f t="shared" ref="CX28:DB28" ca="1" si="97">1000000*CX22/CX$10</f>
        <v>5656.5467064752456</v>
      </c>
      <c r="CY28" s="93">
        <f t="shared" ca="1" si="97"/>
        <v>5442.9963459973369</v>
      </c>
      <c r="CZ28" s="93">
        <f t="shared" ca="1" si="97"/>
        <v>5195.7078779006797</v>
      </c>
      <c r="DA28" s="93">
        <f t="shared" ca="1" si="97"/>
        <v>6069.6173312687424</v>
      </c>
      <c r="DB28" s="82">
        <f t="shared" ca="1" si="97"/>
        <v>5588.9689060937117</v>
      </c>
      <c r="DC28" s="37"/>
      <c r="DD28" s="37"/>
      <c r="DE28" s="37"/>
      <c r="DF28" s="37"/>
      <c r="DG28" s="37"/>
      <c r="DH28" s="37"/>
      <c r="DI28" s="37"/>
      <c r="DJ28" s="37"/>
    </row>
    <row r="29" spans="1:114">
      <c r="A29" s="459"/>
      <c r="B29" s="475" t="s">
        <v>183</v>
      </c>
      <c r="C29" s="476"/>
      <c r="D29" s="140"/>
      <c r="E29" s="477"/>
      <c r="F29" s="140"/>
      <c r="G29" s="139"/>
      <c r="H29" s="139"/>
      <c r="I29" s="139"/>
      <c r="J29" s="139"/>
      <c r="K29" s="478">
        <f t="shared" ref="K29:AP29" si="98">K28/F28-1</f>
        <v>8.5742014548563894E-2</v>
      </c>
      <c r="L29" s="479">
        <f t="shared" si="98"/>
        <v>0.11705118433442241</v>
      </c>
      <c r="M29" s="479">
        <f t="shared" si="98"/>
        <v>6.4192107044598989E-2</v>
      </c>
      <c r="N29" s="479">
        <f t="shared" si="98"/>
        <v>6.5753055910136915E-2</v>
      </c>
      <c r="O29" s="479">
        <f t="shared" si="98"/>
        <v>4.2762346759288361E-2</v>
      </c>
      <c r="P29" s="478">
        <f t="shared" si="98"/>
        <v>6.9556564890697947E-2</v>
      </c>
      <c r="Q29" s="479">
        <f t="shared" si="98"/>
        <v>7.6146711706537751E-2</v>
      </c>
      <c r="R29" s="479">
        <f t="shared" si="98"/>
        <v>8.8861781865419154E-2</v>
      </c>
      <c r="S29" s="479">
        <f t="shared" si="98"/>
        <v>6.4802430446868176E-2</v>
      </c>
      <c r="T29" s="479">
        <f t="shared" si="98"/>
        <v>4.2251816107165219E-2</v>
      </c>
      <c r="U29" s="478">
        <f t="shared" si="98"/>
        <v>6.7707910345425226E-2</v>
      </c>
      <c r="V29" s="479">
        <f t="shared" si="98"/>
        <v>3.9392692505938687E-2</v>
      </c>
      <c r="W29" s="479">
        <f t="shared" si="98"/>
        <v>3.8210303150253422E-2</v>
      </c>
      <c r="X29" s="479">
        <f t="shared" si="98"/>
        <v>6.9561604245174102E-2</v>
      </c>
      <c r="Y29" s="479">
        <f t="shared" si="98"/>
        <v>6.6486261147382431E-2</v>
      </c>
      <c r="Z29" s="478">
        <f t="shared" si="98"/>
        <v>5.3226025482726591E-2</v>
      </c>
      <c r="AA29" s="479">
        <f t="shared" si="98"/>
        <v>6.2490731115298015E-2</v>
      </c>
      <c r="AB29" s="479">
        <f t="shared" si="98"/>
        <v>7.7341641795565019E-2</v>
      </c>
      <c r="AC29" s="479">
        <f t="shared" si="98"/>
        <v>6.9075669536942774E-2</v>
      </c>
      <c r="AD29" s="479">
        <f t="shared" si="98"/>
        <v>8.0375322636224045E-2</v>
      </c>
      <c r="AE29" s="478">
        <f t="shared" si="98"/>
        <v>7.2415228877903415E-2</v>
      </c>
      <c r="AF29" s="479">
        <f t="shared" si="98"/>
        <v>6.2275419665781095E-2</v>
      </c>
      <c r="AG29" s="479">
        <f t="shared" si="98"/>
        <v>3.7761770492599878E-2</v>
      </c>
      <c r="AH29" s="479">
        <f t="shared" si="98"/>
        <v>4.4980723431466529E-2</v>
      </c>
      <c r="AI29" s="479">
        <f t="shared" si="98"/>
        <v>1.9961484880908431E-2</v>
      </c>
      <c r="AJ29" s="478">
        <f t="shared" si="98"/>
        <v>4.1209101231989509E-2</v>
      </c>
      <c r="AK29" s="479">
        <f t="shared" si="98"/>
        <v>4.7720692677364562E-2</v>
      </c>
      <c r="AL29" s="479">
        <f t="shared" si="98"/>
        <v>5.8578110440807851E-2</v>
      </c>
      <c r="AM29" s="479">
        <f t="shared" si="98"/>
        <v>0.25572800518465311</v>
      </c>
      <c r="AN29" s="479">
        <f t="shared" si="98"/>
        <v>0.23567954980924699</v>
      </c>
      <c r="AO29" s="478">
        <f t="shared" si="98"/>
        <v>0.17708359948527597</v>
      </c>
      <c r="AP29" s="479">
        <f t="shared" si="98"/>
        <v>0.17521601490823513</v>
      </c>
      <c r="AQ29" s="479">
        <f t="shared" ref="AQ29:BP29" si="99">AQ28/AL28-1</f>
        <v>0.19397281618220275</v>
      </c>
      <c r="AR29" s="479">
        <f t="shared" si="99"/>
        <v>7.7003023025068451E-4</v>
      </c>
      <c r="AS29" s="479">
        <f t="shared" si="99"/>
        <v>3.3304980708105836E-2</v>
      </c>
      <c r="AT29" s="478">
        <f t="shared" si="99"/>
        <v>6.7396686434308961E-2</v>
      </c>
      <c r="AU29" s="479">
        <f t="shared" si="99"/>
        <v>8.2651958479663001E-2</v>
      </c>
      <c r="AV29" s="479">
        <f t="shared" si="99"/>
        <v>3.6628108375725388E-2</v>
      </c>
      <c r="AW29" s="479">
        <f t="shared" si="99"/>
        <v>4.4484615823783713E-2</v>
      </c>
      <c r="AX29" s="479">
        <f t="shared" si="99"/>
        <v>4.0390408244796561E-2</v>
      </c>
      <c r="AY29" s="478">
        <f t="shared" si="99"/>
        <v>5.099548307079993E-2</v>
      </c>
      <c r="AZ29" s="479">
        <f t="shared" si="99"/>
        <v>4.2853311876277056E-2</v>
      </c>
      <c r="BA29" s="479">
        <f t="shared" si="99"/>
        <v>4.8842856136450896E-2</v>
      </c>
      <c r="BB29" s="479">
        <f t="shared" si="99"/>
        <v>5.4381290364229118E-2</v>
      </c>
      <c r="BC29" s="479">
        <f t="shared" si="99"/>
        <v>7.1912609932254679E-2</v>
      </c>
      <c r="BD29" s="478">
        <f t="shared" si="99"/>
        <v>5.4975406051691156E-2</v>
      </c>
      <c r="BE29" s="479">
        <f t="shared" si="99"/>
        <v>5.0563935297010643E-2</v>
      </c>
      <c r="BF29" s="479">
        <f t="shared" si="99"/>
        <v>6.2469264838392435E-2</v>
      </c>
      <c r="BG29" s="479">
        <f t="shared" si="99"/>
        <v>4.4606188788977263E-2</v>
      </c>
      <c r="BH29" s="479">
        <f t="shared" si="99"/>
        <v>3.2371666223525386E-2</v>
      </c>
      <c r="BI29" s="478">
        <f t="shared" si="99"/>
        <v>4.6951358638463558E-2</v>
      </c>
      <c r="BJ29" s="479">
        <f t="shared" si="99"/>
        <v>2.1959460579285661E-2</v>
      </c>
      <c r="BK29" s="479">
        <f t="shared" si="99"/>
        <v>2.3937840232234775E-2</v>
      </c>
      <c r="BL29" s="479">
        <f t="shared" si="99"/>
        <v>2.9998585155670554E-2</v>
      </c>
      <c r="BM29" s="479">
        <f t="shared" si="99"/>
        <v>2.9455343824943414E-2</v>
      </c>
      <c r="BN29" s="478">
        <f t="shared" ref="BN29:CL29" si="100">BN28/BI28-1</f>
        <v>2.6364234522450181E-2</v>
      </c>
      <c r="BO29" s="479">
        <f t="shared" si="99"/>
        <v>7.173341296063751E-2</v>
      </c>
      <c r="BP29" s="479">
        <f t="shared" si="99"/>
        <v>5.8092378537310863E-2</v>
      </c>
      <c r="BQ29" s="479">
        <f>BQ28/BL28-1</f>
        <v>5.2354045637180047E-2</v>
      </c>
      <c r="BR29" s="479">
        <f>BR28/BM28-1</f>
        <v>6.230448083247242E-2</v>
      </c>
      <c r="BS29" s="478">
        <f t="shared" si="100"/>
        <v>6.0874150698247531E-2</v>
      </c>
      <c r="BT29" s="479">
        <f t="shared" si="100"/>
        <v>5.2590400471062004E-3</v>
      </c>
      <c r="BU29" s="479">
        <f t="shared" si="100"/>
        <v>-3.7855989424651737E-2</v>
      </c>
      <c r="BV29" s="479">
        <f t="shared" si="100"/>
        <v>-5.5633494259583194E-2</v>
      </c>
      <c r="BW29" s="479">
        <f t="shared" si="100"/>
        <v>-7.4204435271768232E-2</v>
      </c>
      <c r="BX29" s="478">
        <f t="shared" si="100"/>
        <v>-4.2227544548924634E-2</v>
      </c>
      <c r="BY29" s="479">
        <f t="shared" si="100"/>
        <v>-3.2961321779348851E-2</v>
      </c>
      <c r="BZ29" s="479">
        <f t="shared" si="100"/>
        <v>-2.0071662064417017E-3</v>
      </c>
      <c r="CA29" s="479">
        <f t="shared" si="100"/>
        <v>2.5721790896714891E-2</v>
      </c>
      <c r="CB29" s="479">
        <f t="shared" si="100"/>
        <v>4.1674126635724784E-2</v>
      </c>
      <c r="CC29" s="478">
        <f t="shared" si="100"/>
        <v>9.1206745723975136E-3</v>
      </c>
      <c r="CD29" s="479">
        <f t="shared" si="100"/>
        <v>1.9636607784519811E-2</v>
      </c>
      <c r="CE29" s="479">
        <f t="shared" si="100"/>
        <v>6.1601940790918297E-2</v>
      </c>
      <c r="CF29" s="479">
        <f t="shared" si="100"/>
        <v>6.0718254150726292E-2</v>
      </c>
      <c r="CG29" s="479">
        <f t="shared" si="100"/>
        <v>4.9279582945175315E-2</v>
      </c>
      <c r="CH29" s="478">
        <f t="shared" si="100"/>
        <v>4.6771191601482576E-2</v>
      </c>
      <c r="CI29" s="479">
        <f t="shared" si="100"/>
        <v>1.6655671699065566E-2</v>
      </c>
      <c r="CJ29" s="479">
        <f t="shared" si="100"/>
        <v>4.1426257049135273E-3</v>
      </c>
      <c r="CK29" s="479">
        <f t="shared" si="100"/>
        <v>-1.2637670135167145E-2</v>
      </c>
      <c r="CL29" s="479">
        <f t="shared" si="100"/>
        <v>-8.4259439629210675E-3</v>
      </c>
      <c r="CM29" s="478">
        <f t="shared" ref="CM29" si="101">CM28/CH28-1</f>
        <v>1.9647579272730198E-4</v>
      </c>
      <c r="CN29" s="479">
        <f t="shared" ref="CN29:CW29" ca="1" si="102">CN28/CI28-1</f>
        <v>0.17039890933112734</v>
      </c>
      <c r="CO29" s="479">
        <f t="shared" ca="1" si="102"/>
        <v>0.23790120669262027</v>
      </c>
      <c r="CP29" s="479">
        <f t="shared" ca="1" si="102"/>
        <v>0.26403688979982665</v>
      </c>
      <c r="CQ29" s="479">
        <f t="shared" ca="1" si="102"/>
        <v>0.39287784679296323</v>
      </c>
      <c r="CR29" s="478">
        <f t="shared" ca="1" si="102"/>
        <v>0.26108192507660299</v>
      </c>
      <c r="CS29" s="479">
        <f t="shared" ca="1" si="102"/>
        <v>6.5836332549600751E-2</v>
      </c>
      <c r="CT29" s="479">
        <f t="shared" ca="1" si="102"/>
        <v>-2.6903381116114677E-2</v>
      </c>
      <c r="CU29" s="479">
        <f t="shared" ca="1" si="102"/>
        <v>-9.571953534734301E-2</v>
      </c>
      <c r="CV29" s="479">
        <f t="shared" ca="1" si="102"/>
        <v>-5.3174265080293104E-2</v>
      </c>
      <c r="CW29" s="478">
        <f t="shared" ca="1" si="102"/>
        <v>-2.5679447940803457E-2</v>
      </c>
      <c r="CX29" s="479">
        <f t="shared" ref="CX29" ca="1" si="103">CX28/CS28-1</f>
        <v>-1.2113832124077795E-2</v>
      </c>
      <c r="CY29" s="479">
        <f t="shared" ref="CY29" ca="1" si="104">CY28/CT28-1</f>
        <v>-2.2128991472492476E-2</v>
      </c>
      <c r="CZ29" s="479">
        <f t="shared" ref="CZ29" ca="1" si="105">CZ28/CU28-1</f>
        <v>-7.0636209831904662E-3</v>
      </c>
      <c r="DA29" s="479">
        <f t="shared" ref="DA29" ca="1" si="106">DA28/CV28-1</f>
        <v>-2.1093538521547495E-2</v>
      </c>
      <c r="DB29" s="478">
        <f t="shared" ref="DB29" ca="1" si="107">DB28/CW28-1</f>
        <v>-1.5431427910477469E-2</v>
      </c>
      <c r="DC29" s="167"/>
      <c r="DD29" s="167"/>
      <c r="DE29" s="167"/>
      <c r="DF29" s="167"/>
      <c r="DG29" s="167"/>
      <c r="DH29" s="167"/>
      <c r="DI29" s="167"/>
      <c r="DJ29" s="167"/>
    </row>
    <row r="30" spans="1:114" ht="5.25" customHeight="1" thickBot="1">
      <c r="A30" s="163"/>
      <c r="B30" s="37"/>
      <c r="C30" s="500"/>
      <c r="D30" s="163"/>
      <c r="E30" s="163"/>
      <c r="F30" s="163"/>
      <c r="G30" s="163"/>
      <c r="H30" s="163"/>
      <c r="I30" s="163"/>
      <c r="J30" s="163"/>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7"/>
      <c r="AN30" s="237"/>
      <c r="AO30" s="237"/>
      <c r="AP30" s="237"/>
      <c r="AQ30" s="237"/>
      <c r="AR30" s="237"/>
      <c r="AS30" s="237"/>
      <c r="AT30" s="237"/>
      <c r="AU30" s="237"/>
      <c r="AV30" s="237"/>
      <c r="AW30" s="237"/>
      <c r="AX30" s="237"/>
      <c r="AY30" s="237"/>
      <c r="AZ30" s="237"/>
      <c r="BA30" s="237"/>
      <c r="BB30" s="237"/>
      <c r="BC30" s="237"/>
      <c r="BD30" s="237"/>
      <c r="BE30" s="237"/>
      <c r="BF30" s="237"/>
      <c r="BG30" s="237"/>
      <c r="BH30" s="237"/>
      <c r="BI30" s="237"/>
      <c r="BJ30" s="237"/>
      <c r="BK30" s="237"/>
      <c r="BL30" s="237"/>
      <c r="BM30" s="237"/>
      <c r="BN30" s="237"/>
      <c r="BO30" s="237"/>
      <c r="BP30" s="237"/>
      <c r="BQ30" s="237"/>
      <c r="BR30" s="237"/>
      <c r="BS30" s="237"/>
      <c r="BT30" s="237"/>
      <c r="BU30" s="237"/>
      <c r="BV30" s="237"/>
      <c r="BW30" s="237"/>
      <c r="BX30" s="237"/>
      <c r="BY30" s="237"/>
      <c r="BZ30" s="237"/>
      <c r="CA30" s="237"/>
      <c r="CB30" s="237"/>
      <c r="CC30" s="237"/>
      <c r="CD30" s="237"/>
      <c r="CE30" s="237"/>
      <c r="CF30" s="237"/>
      <c r="CG30" s="237"/>
      <c r="CH30" s="237"/>
      <c r="CI30" s="237"/>
      <c r="CJ30" s="237"/>
      <c r="CK30" s="237"/>
      <c r="CL30" s="237"/>
      <c r="CM30" s="237"/>
      <c r="CN30" s="237"/>
      <c r="CO30" s="237"/>
      <c r="CP30" s="237"/>
      <c r="CQ30" s="237"/>
      <c r="CR30" s="237"/>
      <c r="CS30" s="237"/>
      <c r="CT30" s="237"/>
      <c r="CU30" s="237"/>
      <c r="CV30" s="237"/>
      <c r="CW30" s="237"/>
      <c r="CX30" s="237"/>
      <c r="CY30" s="237"/>
      <c r="CZ30" s="237"/>
      <c r="DA30" s="237"/>
      <c r="DB30" s="237"/>
      <c r="DC30" s="163"/>
      <c r="DD30" s="163"/>
      <c r="DE30" s="163"/>
      <c r="DF30" s="163"/>
      <c r="DG30" s="163"/>
      <c r="DH30" s="163"/>
      <c r="DI30" s="163"/>
      <c r="DJ30" s="163"/>
    </row>
    <row r="31" spans="1:114" s="565" customFormat="1">
      <c r="A31" s="556"/>
      <c r="B31" s="557" t="s">
        <v>188</v>
      </c>
      <c r="C31" s="558"/>
      <c r="D31" s="559">
        <f>IS!D12</f>
        <v>154.21100000000001</v>
      </c>
      <c r="E31" s="560">
        <f>IS!E12</f>
        <v>126.693</v>
      </c>
      <c r="F31" s="561">
        <f>IS!F12</f>
        <v>154.21100000000001</v>
      </c>
      <c r="G31" s="562">
        <f>IS!G12</f>
        <v>46.759</v>
      </c>
      <c r="H31" s="562">
        <f>IS!H12</f>
        <v>46.128999999999998</v>
      </c>
      <c r="I31" s="562">
        <f>IS!I12</f>
        <v>48.142000000000003</v>
      </c>
      <c r="J31" s="562">
        <f>IS!J12</f>
        <v>54.978000000000002</v>
      </c>
      <c r="K31" s="561">
        <f>IS!K12</f>
        <v>196.00800000000001</v>
      </c>
      <c r="L31" s="562">
        <f>IS!L12</f>
        <v>64</v>
      </c>
      <c r="M31" s="562">
        <f>IS!M12</f>
        <v>61.905000000000001</v>
      </c>
      <c r="N31" s="562">
        <f>IS!N12</f>
        <v>62.96</v>
      </c>
      <c r="O31" s="562">
        <f>IS!O12</f>
        <v>65.822000000000003</v>
      </c>
      <c r="P31" s="561">
        <f>IS!P12</f>
        <v>254.68700000000001</v>
      </c>
      <c r="Q31" s="562">
        <f>IS!Q12</f>
        <v>76.819999999999993</v>
      </c>
      <c r="R31" s="562">
        <f>IS!R12</f>
        <v>76.152000000000001</v>
      </c>
      <c r="S31" s="562">
        <f>IS!S12</f>
        <v>84.228999999999999</v>
      </c>
      <c r="T31" s="562">
        <f>IS!T12</f>
        <v>95.177000000000007</v>
      </c>
      <c r="U31" s="561">
        <f>IS!U12</f>
        <v>332.37799999999999</v>
      </c>
      <c r="V31" s="562">
        <f>IS!V12</f>
        <v>99.391999999999996</v>
      </c>
      <c r="W31" s="562">
        <f>IS!W12</f>
        <v>96.644999999999996</v>
      </c>
      <c r="X31" s="562">
        <f>IS!X12</f>
        <v>103.839</v>
      </c>
      <c r="Y31" s="562">
        <f>IS!Y12</f>
        <v>106.292</v>
      </c>
      <c r="Z31" s="561">
        <f>IS!Z12</f>
        <v>406.16800000000001</v>
      </c>
      <c r="AA31" s="562">
        <f>IS!AA12</f>
        <v>113.569</v>
      </c>
      <c r="AB31" s="562">
        <f>IS!AB12</f>
        <v>110.429</v>
      </c>
      <c r="AC31" s="562">
        <f>IS!AC12</f>
        <v>110.48099999999999</v>
      </c>
      <c r="AD31" s="562">
        <f>IS!AD12</f>
        <v>114.64400000000001</v>
      </c>
      <c r="AE31" s="561">
        <f>IS!AE12</f>
        <v>449.12299999999999</v>
      </c>
      <c r="AF31" s="562">
        <f>IS!AF12</f>
        <v>122.82</v>
      </c>
      <c r="AG31" s="562">
        <f>IS!AG12</f>
        <v>125.7</v>
      </c>
      <c r="AH31" s="562">
        <f>IS!AH12</f>
        <v>130.036</v>
      </c>
      <c r="AI31" s="562">
        <f>IS!AI12</f>
        <v>131.79499999999999</v>
      </c>
      <c r="AJ31" s="561">
        <f>IS!AJ12</f>
        <v>510.351</v>
      </c>
      <c r="AK31" s="562">
        <f>IS!AK12</f>
        <v>140.50800000000001</v>
      </c>
      <c r="AL31" s="562">
        <f>IS!AL12</f>
        <v>146.03299999999999</v>
      </c>
      <c r="AM31" s="562">
        <f>IS!AM12</f>
        <v>318.50599999999997</v>
      </c>
      <c r="AN31" s="562">
        <f>IS!AN12</f>
        <v>365.19799999999998</v>
      </c>
      <c r="AO31" s="561">
        <f>IS!AO12</f>
        <v>970.245</v>
      </c>
      <c r="AP31" s="562">
        <f>IS!AP12</f>
        <v>386.40899999999999</v>
      </c>
      <c r="AQ31" s="562">
        <f>IS!AQ12</f>
        <v>377.58600000000001</v>
      </c>
      <c r="AR31" s="562">
        <f>IS!AR12</f>
        <v>383.142</v>
      </c>
      <c r="AS31" s="562">
        <f>IS!AS12</f>
        <v>388.54700000000003</v>
      </c>
      <c r="AT31" s="561">
        <f>IS!AT12</f>
        <v>1535.684</v>
      </c>
      <c r="AU31" s="562">
        <f>IS!AU12</f>
        <v>402.45400000000001</v>
      </c>
      <c r="AV31" s="562">
        <f>IS!AV12</f>
        <v>419.95600000000002</v>
      </c>
      <c r="AW31" s="562">
        <f>IS!AW12</f>
        <v>428.12</v>
      </c>
      <c r="AX31" s="562">
        <f>IS!AX12</f>
        <v>431.78</v>
      </c>
      <c r="AY31" s="561">
        <f>IS!AY12</f>
        <v>1682.3100000000002</v>
      </c>
      <c r="AZ31" s="562">
        <f>IS!AZ12</f>
        <v>430.452</v>
      </c>
      <c r="BA31" s="562">
        <f>IS!BA12</f>
        <v>438.60199999999998</v>
      </c>
      <c r="BB31" s="562">
        <f>IS!BB12</f>
        <v>443.113</v>
      </c>
      <c r="BC31" s="562">
        <f>IS!BC12</f>
        <v>458.96199999999999</v>
      </c>
      <c r="BD31" s="561">
        <f>IS!BD12</f>
        <v>1771.1289999999999</v>
      </c>
      <c r="BE31" s="562">
        <f>IS!BE12</f>
        <v>464.15600000000001</v>
      </c>
      <c r="BF31" s="562">
        <f>IS!BF12</f>
        <v>449.279</v>
      </c>
      <c r="BG31" s="562">
        <f>IS!BG12</f>
        <v>459.14600000000002</v>
      </c>
      <c r="BH31" s="562">
        <f>IS!BH12</f>
        <v>467.86399999999998</v>
      </c>
      <c r="BI31" s="561">
        <f>IS!BI12</f>
        <v>1840.4449999999999</v>
      </c>
      <c r="BJ31" s="562">
        <f>IS!BJ12</f>
        <v>498.57900000000001</v>
      </c>
      <c r="BK31" s="562">
        <f>IS!BK12</f>
        <v>489.72899999999998</v>
      </c>
      <c r="BL31" s="562">
        <f>IS!BL12</f>
        <v>484.21199999999999</v>
      </c>
      <c r="BM31" s="562">
        <f>IS!BM12</f>
        <v>500.971</v>
      </c>
      <c r="BN31" s="561">
        <f>SUM(BJ31:BM31)</f>
        <v>1973.491</v>
      </c>
      <c r="BO31" s="562">
        <f>IS!BO12</f>
        <v>497.84100000000001</v>
      </c>
      <c r="BP31" s="562">
        <f>IS!BP12</f>
        <v>498.03</v>
      </c>
      <c r="BQ31" s="562">
        <f>IS!BQ12</f>
        <v>486.37400000000002</v>
      </c>
      <c r="BR31" s="562">
        <f>IS!BR12</f>
        <v>511.87099999999998</v>
      </c>
      <c r="BS31" s="561">
        <f>SUM(BO31:BR31)</f>
        <v>1994.116</v>
      </c>
      <c r="BT31" s="562">
        <f>IS!BT12</f>
        <v>635</v>
      </c>
      <c r="BU31" s="562">
        <f>IS!BU12</f>
        <v>738</v>
      </c>
      <c r="BV31" s="562">
        <f>IS!BV12</f>
        <v>733</v>
      </c>
      <c r="BW31" s="562">
        <f>IS!BW12</f>
        <v>764</v>
      </c>
      <c r="BX31" s="561">
        <f>SUM(BT31:BW31)</f>
        <v>2870</v>
      </c>
      <c r="BY31" s="562">
        <f>IS!BY12</f>
        <v>762</v>
      </c>
      <c r="BZ31" s="562">
        <f>IS!BZ12</f>
        <v>750</v>
      </c>
      <c r="CA31" s="562">
        <f>IS!CA12</f>
        <v>762</v>
      </c>
      <c r="CB31" s="562">
        <f>IS!CB12</f>
        <v>773</v>
      </c>
      <c r="CC31" s="561">
        <f>SUM(BY31:CB31)</f>
        <v>3047</v>
      </c>
      <c r="CD31" s="562">
        <f>IS!CD12</f>
        <v>799</v>
      </c>
      <c r="CE31" s="562">
        <f>IS!CE12</f>
        <v>759</v>
      </c>
      <c r="CF31" s="562">
        <f>IS!CF12</f>
        <v>723</v>
      </c>
      <c r="CG31" s="562">
        <f>IS!CG12</f>
        <v>730</v>
      </c>
      <c r="CH31" s="561">
        <f>SUM(CD31:CG31)</f>
        <v>3011</v>
      </c>
      <c r="CI31" s="562">
        <f>IS!CI12</f>
        <v>749</v>
      </c>
      <c r="CJ31" s="562">
        <f>IS!CJ12</f>
        <v>697</v>
      </c>
      <c r="CK31" s="562">
        <f>IS!CK12</f>
        <v>610</v>
      </c>
      <c r="CL31" s="562">
        <f>IS!CL12</f>
        <v>616</v>
      </c>
      <c r="CM31" s="568">
        <f>SUM(CI31:CL31)</f>
        <v>2672</v>
      </c>
      <c r="CN31" s="567">
        <f ca="1">CN33*CN$18</f>
        <v>599.24476340765091</v>
      </c>
      <c r="CO31" s="567">
        <f ca="1">CO33*CO$18</f>
        <v>562.72854850550561</v>
      </c>
      <c r="CP31" s="567">
        <f ca="1">CP33*CP$18</f>
        <v>514.71586101831542</v>
      </c>
      <c r="CQ31" s="567">
        <f ca="1">CQ33*CQ$18</f>
        <v>584.1579807534423</v>
      </c>
      <c r="CR31" s="568">
        <f ca="1">SUM(CN31:CQ31)</f>
        <v>2260.8471536849142</v>
      </c>
      <c r="CS31" s="567">
        <f ca="1">CS33*CS$18</f>
        <v>564.9581112300466</v>
      </c>
      <c r="CT31" s="567">
        <f ca="1">CT33*CT$18</f>
        <v>538.79164765840028</v>
      </c>
      <c r="CU31" s="567">
        <f ca="1">CU33*CU$18</f>
        <v>514.57262133531833</v>
      </c>
      <c r="CV31" s="567">
        <f ca="1">CV33*CV$18</f>
        <v>590.9318118306503</v>
      </c>
      <c r="CW31" s="569">
        <f ca="1">SUM(CS31:CV31)</f>
        <v>2209.2541920544154</v>
      </c>
      <c r="CX31" s="567">
        <f ca="1">CX33*CX$18</f>
        <v>564.14827090260076</v>
      </c>
      <c r="CY31" s="567">
        <f ca="1">CY33*CY$18</f>
        <v>542.17261103564147</v>
      </c>
      <c r="CZ31" s="567">
        <f ca="1">CZ33*CZ$18</f>
        <v>513.53298285712242</v>
      </c>
      <c r="DA31" s="567">
        <f ca="1">DA33*DA$18</f>
        <v>584.04414724608421</v>
      </c>
      <c r="DB31" s="569">
        <f ca="1">SUM(CX31:DA31)</f>
        <v>2203.898012041449</v>
      </c>
      <c r="DC31" s="564"/>
      <c r="DD31" s="564"/>
      <c r="DE31" s="564"/>
      <c r="DF31" s="564"/>
      <c r="DG31" s="564"/>
      <c r="DH31" s="564"/>
      <c r="DI31" s="564"/>
      <c r="DJ31" s="564"/>
    </row>
    <row r="32" spans="1:114">
      <c r="A32" s="458"/>
      <c r="B32" s="473" t="s">
        <v>183</v>
      </c>
      <c r="C32" s="474"/>
      <c r="D32" s="129"/>
      <c r="E32" s="153"/>
      <c r="F32" s="129"/>
      <c r="G32" s="167"/>
      <c r="H32" s="167"/>
      <c r="I32" s="167"/>
      <c r="J32" s="167"/>
      <c r="K32" s="67">
        <f t="shared" ref="K32:AP32" si="108">K31/F31-1</f>
        <v>0.27103773401378617</v>
      </c>
      <c r="L32" s="237">
        <f t="shared" si="108"/>
        <v>0.36872046023225469</v>
      </c>
      <c r="M32" s="237">
        <f t="shared" si="108"/>
        <v>0.34199744195625326</v>
      </c>
      <c r="N32" s="237">
        <f t="shared" si="108"/>
        <v>0.30779776494536981</v>
      </c>
      <c r="O32" s="237">
        <f t="shared" si="108"/>
        <v>0.19724253337698716</v>
      </c>
      <c r="P32" s="67">
        <f t="shared" si="108"/>
        <v>0.29937043385984241</v>
      </c>
      <c r="Q32" s="237">
        <f t="shared" si="108"/>
        <v>0.20031249999999989</v>
      </c>
      <c r="R32" s="237">
        <f t="shared" si="108"/>
        <v>0.23014296098861164</v>
      </c>
      <c r="S32" s="237">
        <f t="shared" si="108"/>
        <v>0.33781766200762386</v>
      </c>
      <c r="T32" s="237">
        <f t="shared" si="108"/>
        <v>0.44597550970800048</v>
      </c>
      <c r="U32" s="67">
        <f t="shared" si="108"/>
        <v>0.30504501603929524</v>
      </c>
      <c r="V32" s="237">
        <f t="shared" si="108"/>
        <v>0.29382973184066663</v>
      </c>
      <c r="W32" s="237">
        <f t="shared" si="108"/>
        <v>0.26910652379451605</v>
      </c>
      <c r="X32" s="237">
        <f t="shared" si="108"/>
        <v>0.23281767562241029</v>
      </c>
      <c r="Y32" s="237">
        <f t="shared" si="108"/>
        <v>0.11678241591981253</v>
      </c>
      <c r="Z32" s="67">
        <f t="shared" si="108"/>
        <v>0.22200626996973338</v>
      </c>
      <c r="AA32" s="237">
        <f t="shared" si="108"/>
        <v>0.14263723438506126</v>
      </c>
      <c r="AB32" s="237">
        <f t="shared" si="108"/>
        <v>0.14262507113663414</v>
      </c>
      <c r="AC32" s="237">
        <f t="shared" si="108"/>
        <v>6.3964406436887833E-2</v>
      </c>
      <c r="AD32" s="237">
        <f t="shared" si="108"/>
        <v>7.857599819365535E-2</v>
      </c>
      <c r="AE32" s="67">
        <f t="shared" si="108"/>
        <v>0.10575673120482154</v>
      </c>
      <c r="AF32" s="237">
        <f t="shared" si="108"/>
        <v>8.1457087761624969E-2</v>
      </c>
      <c r="AG32" s="237">
        <f t="shared" si="108"/>
        <v>0.13828794972335157</v>
      </c>
      <c r="AH32" s="237">
        <f t="shared" si="108"/>
        <v>0.17699875996777736</v>
      </c>
      <c r="AI32" s="237">
        <f t="shared" si="108"/>
        <v>0.14960224695579338</v>
      </c>
      <c r="AJ32" s="67">
        <f t="shared" si="108"/>
        <v>0.13632791017160106</v>
      </c>
      <c r="AK32" s="237">
        <f t="shared" si="108"/>
        <v>0.14401563263312189</v>
      </c>
      <c r="AL32" s="237">
        <f t="shared" si="108"/>
        <v>0.16175815433571983</v>
      </c>
      <c r="AM32" s="237">
        <f t="shared" si="108"/>
        <v>1.4493678673598076</v>
      </c>
      <c r="AN32" s="237">
        <f t="shared" si="108"/>
        <v>1.7709548920672256</v>
      </c>
      <c r="AO32" s="67">
        <f t="shared" si="108"/>
        <v>0.90113274981336366</v>
      </c>
      <c r="AP32" s="237">
        <f t="shared" si="108"/>
        <v>1.7500854043897855</v>
      </c>
      <c r="AQ32" s="237">
        <f t="shared" ref="AQ32:CL32" si="109">AQ31/AL31-1</f>
        <v>1.5856210582539565</v>
      </c>
      <c r="AR32" s="237">
        <f t="shared" si="109"/>
        <v>0.20293495255976346</v>
      </c>
      <c r="AS32" s="237">
        <f t="shared" si="109"/>
        <v>6.3935180367910238E-2</v>
      </c>
      <c r="AT32" s="67">
        <f t="shared" si="109"/>
        <v>0.58277960721261124</v>
      </c>
      <c r="AU32" s="237">
        <f t="shared" si="109"/>
        <v>4.1523359963147932E-2</v>
      </c>
      <c r="AV32" s="237">
        <f t="shared" si="109"/>
        <v>0.1122128468746193</v>
      </c>
      <c r="AW32" s="237">
        <f t="shared" si="109"/>
        <v>0.11739250721664551</v>
      </c>
      <c r="AX32" s="237">
        <f t="shared" si="109"/>
        <v>0.11126839224083551</v>
      </c>
      <c r="AY32" s="67">
        <f t="shared" si="109"/>
        <v>9.5479278289023028E-2</v>
      </c>
      <c r="AZ32" s="237">
        <f t="shared" si="109"/>
        <v>6.9568199098530403E-2</v>
      </c>
      <c r="BA32" s="237">
        <f t="shared" si="109"/>
        <v>4.4399889512234614E-2</v>
      </c>
      <c r="BB32" s="237">
        <f t="shared" si="109"/>
        <v>3.5020554984583674E-2</v>
      </c>
      <c r="BC32" s="237">
        <f t="shared" si="109"/>
        <v>6.2953355875677408E-2</v>
      </c>
      <c r="BD32" s="67">
        <f t="shared" si="109"/>
        <v>5.2795858076097657E-2</v>
      </c>
      <c r="BE32" s="237">
        <f t="shared" si="109"/>
        <v>7.8299090258611814E-2</v>
      </c>
      <c r="BF32" s="237">
        <f t="shared" si="109"/>
        <v>2.4343254248726742E-2</v>
      </c>
      <c r="BG32" s="237">
        <f t="shared" si="109"/>
        <v>3.6182644156230959E-2</v>
      </c>
      <c r="BH32" s="237">
        <f t="shared" si="109"/>
        <v>1.9395941276184159E-2</v>
      </c>
      <c r="BI32" s="67">
        <f t="shared" si="109"/>
        <v>3.91366185071782E-2</v>
      </c>
      <c r="BJ32" s="237">
        <f t="shared" si="109"/>
        <v>7.4162566033833421E-2</v>
      </c>
      <c r="BK32" s="237">
        <f t="shared" si="109"/>
        <v>9.0033141989721344E-2</v>
      </c>
      <c r="BL32" s="237">
        <f t="shared" si="109"/>
        <v>5.4592656801975892E-2</v>
      </c>
      <c r="BM32" s="237">
        <f t="shared" si="109"/>
        <v>7.0762016312432729E-2</v>
      </c>
      <c r="BN32" s="67">
        <f t="shared" si="109"/>
        <v>7.2290125485955814E-2</v>
      </c>
      <c r="BO32" s="237">
        <f t="shared" si="109"/>
        <v>-1.4802067475766512E-3</v>
      </c>
      <c r="BP32" s="237">
        <f t="shared" si="109"/>
        <v>1.6950190819820632E-2</v>
      </c>
      <c r="BQ32" s="237">
        <f>BQ31/BL31-1</f>
        <v>4.464986410910976E-3</v>
      </c>
      <c r="BR32" s="237">
        <f>BR31/BM31-1</f>
        <v>2.1757746456381621E-2</v>
      </c>
      <c r="BS32" s="67">
        <f t="shared" si="109"/>
        <v>1.0451023085486622E-2</v>
      </c>
      <c r="BT32" s="237">
        <f t="shared" si="109"/>
        <v>0.27550764199814792</v>
      </c>
      <c r="BU32" s="237">
        <f t="shared" si="109"/>
        <v>0.48183844346726112</v>
      </c>
      <c r="BV32" s="237">
        <f t="shared" si="109"/>
        <v>0.50707069045631536</v>
      </c>
      <c r="BW32" s="237">
        <f t="shared" si="109"/>
        <v>0.49256355605220858</v>
      </c>
      <c r="BX32" s="67">
        <f>BX31/BS31-1</f>
        <v>0.4392342270961167</v>
      </c>
      <c r="BY32" s="237">
        <f t="shared" si="109"/>
        <v>0.19999999999999996</v>
      </c>
      <c r="BZ32" s="237">
        <f t="shared" si="109"/>
        <v>1.6260162601626105E-2</v>
      </c>
      <c r="CA32" s="237">
        <f t="shared" si="109"/>
        <v>3.9563437926330103E-2</v>
      </c>
      <c r="CB32" s="237">
        <f t="shared" si="109"/>
        <v>1.1780104712041828E-2</v>
      </c>
      <c r="CC32" s="67">
        <f>CC31/BX31-1</f>
        <v>6.1672473867595778E-2</v>
      </c>
      <c r="CD32" s="237">
        <f t="shared" si="109"/>
        <v>4.8556430446194287E-2</v>
      </c>
      <c r="CE32" s="237">
        <f t="shared" si="109"/>
        <v>1.2000000000000011E-2</v>
      </c>
      <c r="CF32" s="237">
        <f t="shared" si="109"/>
        <v>-5.1181102362204745E-2</v>
      </c>
      <c r="CG32" s="237">
        <f t="shared" si="109"/>
        <v>-5.5627425614488968E-2</v>
      </c>
      <c r="CH32" s="67">
        <f>CH31/CC31-1</f>
        <v>-1.1814899901542497E-2</v>
      </c>
      <c r="CI32" s="237">
        <f t="shared" si="109"/>
        <v>-6.2578222778473136E-2</v>
      </c>
      <c r="CJ32" s="237">
        <f t="shared" si="109"/>
        <v>-8.1686429512516479E-2</v>
      </c>
      <c r="CK32" s="237">
        <f t="shared" si="109"/>
        <v>-0.15629322268326418</v>
      </c>
      <c r="CL32" s="237">
        <f t="shared" si="109"/>
        <v>-0.15616438356164386</v>
      </c>
      <c r="CM32" s="67">
        <f t="shared" ref="CM32" si="110">CM31/CH31-1</f>
        <v>-0.11258718033875792</v>
      </c>
      <c r="CN32" s="237">
        <f t="shared" ref="CN32:CW32" ca="1" si="111">CN31/CI31-1</f>
        <v>-0.19994023577082654</v>
      </c>
      <c r="CO32" s="237">
        <f t="shared" ca="1" si="111"/>
        <v>-0.19264196771089581</v>
      </c>
      <c r="CP32" s="237">
        <f t="shared" ca="1" si="111"/>
        <v>-0.15620350652735182</v>
      </c>
      <c r="CQ32" s="237">
        <f t="shared" ca="1" si="111"/>
        <v>-5.1691589685970318E-2</v>
      </c>
      <c r="CR32" s="67">
        <f t="shared" ca="1" si="111"/>
        <v>-0.15387456823169376</v>
      </c>
      <c r="CS32" s="237">
        <f t="shared" ca="1" si="111"/>
        <v>-5.7216440211560027E-2</v>
      </c>
      <c r="CT32" s="237">
        <f t="shared" ca="1" si="111"/>
        <v>-4.2537207167962165E-2</v>
      </c>
      <c r="CU32" s="237">
        <f t="shared" ca="1" si="111"/>
        <v>-2.782888460318711E-4</v>
      </c>
      <c r="CV32" s="237">
        <f t="shared" ca="1" si="111"/>
        <v>1.1595888955366451E-2</v>
      </c>
      <c r="CW32" s="67">
        <f t="shared" ca="1" si="111"/>
        <v>-2.2820190009929853E-2</v>
      </c>
      <c r="CX32" s="237">
        <f t="shared" ref="CX32" ca="1" si="112">CX31/CS31-1</f>
        <v>-1.4334519875864871E-3</v>
      </c>
      <c r="CY32" s="237">
        <f t="shared" ref="CY32" ca="1" si="113">CY31/CT31-1</f>
        <v>6.2750849831003652E-3</v>
      </c>
      <c r="CZ32" s="237">
        <f t="shared" ref="CZ32" ca="1" si="114">CZ31/CU31-1</f>
        <v>-2.0203921372614619E-3</v>
      </c>
      <c r="DA32" s="237">
        <f t="shared" ref="DA32" ca="1" si="115">DA31/CV31-1</f>
        <v>-1.1655599591480437E-2</v>
      </c>
      <c r="DB32" s="67">
        <f t="shared" ref="DB32" ca="1" si="116">DB31/CW31-1</f>
        <v>-2.4244290368351518E-3</v>
      </c>
      <c r="DC32" s="167"/>
      <c r="DD32" s="167"/>
      <c r="DE32" s="167"/>
      <c r="DF32" s="167"/>
      <c r="DG32" s="167"/>
      <c r="DH32" s="167"/>
      <c r="DI32" s="167"/>
      <c r="DJ32" s="167"/>
    </row>
    <row r="33" spans="1:114">
      <c r="A33" s="458"/>
      <c r="B33" s="1254" t="s">
        <v>182</v>
      </c>
      <c r="C33" s="1255"/>
      <c r="D33" s="1127">
        <f t="shared" ref="D33:AI33" si="117">D31/D$18</f>
        <v>0.18039539100426977</v>
      </c>
      <c r="E33" s="1256">
        <f t="shared" si="117"/>
        <v>0.11731343864038528</v>
      </c>
      <c r="F33" s="1127">
        <f t="shared" si="117"/>
        <v>0.11529785772122789</v>
      </c>
      <c r="G33" s="1257">
        <f t="shared" si="117"/>
        <v>0.11729483625782339</v>
      </c>
      <c r="H33" s="1257">
        <f t="shared" si="117"/>
        <v>0.11506102382336141</v>
      </c>
      <c r="I33" s="1257">
        <f t="shared" si="117"/>
        <v>0.11556788911320814</v>
      </c>
      <c r="J33" s="1257">
        <f t="shared" si="117"/>
        <v>0.11513669052695068</v>
      </c>
      <c r="K33" s="1258">
        <f t="shared" si="117"/>
        <v>0.11573282161045097</v>
      </c>
      <c r="L33" s="1259">
        <f t="shared" si="117"/>
        <v>0.11995823953786088</v>
      </c>
      <c r="M33" s="1259">
        <f t="shared" si="117"/>
        <v>0.11667376578926537</v>
      </c>
      <c r="N33" s="1259">
        <f t="shared" si="117"/>
        <v>0.11388446225949234</v>
      </c>
      <c r="O33" s="1259">
        <f t="shared" si="117"/>
        <v>0.11281031749432281</v>
      </c>
      <c r="P33" s="1258">
        <f t="shared" si="117"/>
        <v>0.1157448792660664</v>
      </c>
      <c r="Q33" s="1259">
        <f t="shared" si="117"/>
        <v>0.11652158349221949</v>
      </c>
      <c r="R33" s="1259">
        <f t="shared" si="117"/>
        <v>0.11585700745329708</v>
      </c>
      <c r="S33" s="1259">
        <f t="shared" si="117"/>
        <v>0.11649576361438517</v>
      </c>
      <c r="T33" s="1259">
        <f t="shared" si="117"/>
        <v>0.1197146781513197</v>
      </c>
      <c r="U33" s="1258">
        <f t="shared" si="117"/>
        <v>0.11725646858278203</v>
      </c>
      <c r="V33" s="1259">
        <f t="shared" si="117"/>
        <v>0.12085955815831201</v>
      </c>
      <c r="W33" s="1259">
        <f t="shared" si="117"/>
        <v>0.11877679990266311</v>
      </c>
      <c r="X33" s="1259">
        <f t="shared" si="117"/>
        <v>0.12302703445595793</v>
      </c>
      <c r="Y33" s="1259">
        <f t="shared" si="117"/>
        <v>0.12194022299646771</v>
      </c>
      <c r="Z33" s="1258">
        <f t="shared" si="117"/>
        <v>0.12118080335299269</v>
      </c>
      <c r="AA33" s="1259">
        <f t="shared" si="117"/>
        <v>0.12424024294722287</v>
      </c>
      <c r="AB33" s="1259">
        <f t="shared" si="117"/>
        <v>0.12019901645553914</v>
      </c>
      <c r="AC33" s="1259">
        <f t="shared" si="117"/>
        <v>0.11889022446675827</v>
      </c>
      <c r="AD33" s="1259">
        <f t="shared" si="117"/>
        <v>0.11673709613367683</v>
      </c>
      <c r="AE33" s="1258">
        <f t="shared" si="117"/>
        <v>0.1199527798587936</v>
      </c>
      <c r="AF33" s="1259">
        <f t="shared" si="117"/>
        <v>0.11964206740557318</v>
      </c>
      <c r="AG33" s="1259">
        <f t="shared" si="117"/>
        <v>0.11846710911979974</v>
      </c>
      <c r="AH33" s="1259">
        <f t="shared" si="117"/>
        <v>0.11574362940961279</v>
      </c>
      <c r="AI33" s="1259">
        <f t="shared" si="117"/>
        <v>0.11415991830066773</v>
      </c>
      <c r="AJ33" s="1258">
        <f t="shared" ref="AJ33:BN33" si="118">AJ31/AJ$18</f>
        <v>0.11690347390584885</v>
      </c>
      <c r="AK33" s="1259">
        <f t="shared" si="118"/>
        <v>0.11670128746167972</v>
      </c>
      <c r="AL33" s="1259">
        <f t="shared" si="118"/>
        <v>0.1169079549894006</v>
      </c>
      <c r="AM33" s="1259">
        <f t="shared" si="118"/>
        <v>0.13541420874312896</v>
      </c>
      <c r="AN33" s="1259">
        <f t="shared" si="118"/>
        <v>0.14444169341014781</v>
      </c>
      <c r="AO33" s="1258">
        <f t="shared" si="118"/>
        <v>0.13230215527150957</v>
      </c>
      <c r="AP33" s="1259">
        <f t="shared" si="118"/>
        <v>0.14166868923585013</v>
      </c>
      <c r="AQ33" s="1259">
        <f t="shared" si="118"/>
        <v>0.14033524121013902</v>
      </c>
      <c r="AR33" s="1259">
        <f t="shared" si="118"/>
        <v>0.13817574634132268</v>
      </c>
      <c r="AS33" s="1259">
        <f t="shared" si="118"/>
        <v>0.14069949426732495</v>
      </c>
      <c r="AT33" s="1258">
        <f t="shared" si="118"/>
        <v>0.14021243633447253</v>
      </c>
      <c r="AU33" s="1259">
        <f t="shared" si="118"/>
        <v>0.13914237015063669</v>
      </c>
      <c r="AV33" s="1259">
        <f t="shared" si="118"/>
        <v>0.1391983522491673</v>
      </c>
      <c r="AW33" s="1259">
        <f t="shared" si="118"/>
        <v>0.13869572499552119</v>
      </c>
      <c r="AX33" s="1259">
        <f t="shared" si="118"/>
        <v>0.13968282313420327</v>
      </c>
      <c r="AY33" s="1258">
        <f t="shared" si="118"/>
        <v>0.13918049542104435</v>
      </c>
      <c r="AZ33" s="1259">
        <f t="shared" si="118"/>
        <v>0.13618787099909449</v>
      </c>
      <c r="BA33" s="1259">
        <f t="shared" si="118"/>
        <v>0.13831557250906962</v>
      </c>
      <c r="BB33" s="1259">
        <f t="shared" si="118"/>
        <v>0.13625630562828736</v>
      </c>
      <c r="BC33" s="1259">
        <f t="shared" si="118"/>
        <v>0.13488175122160379</v>
      </c>
      <c r="BD33" s="1258">
        <f t="shared" si="118"/>
        <v>0.136382320101644</v>
      </c>
      <c r="BE33" s="1259">
        <f t="shared" si="118"/>
        <v>0.13630231559708247</v>
      </c>
      <c r="BF33" s="1259">
        <f t="shared" si="118"/>
        <v>0.13083907206794512</v>
      </c>
      <c r="BG33" s="1259">
        <f t="shared" si="118"/>
        <v>0.13362805587892898</v>
      </c>
      <c r="BH33" s="1259">
        <f t="shared" si="118"/>
        <v>0.13590765353459708</v>
      </c>
      <c r="BI33" s="1258">
        <f t="shared" si="118"/>
        <v>0.13416585961844144</v>
      </c>
      <c r="BJ33" s="1259">
        <f t="shared" si="118"/>
        <v>0.1317775038978552</v>
      </c>
      <c r="BK33" s="1259">
        <f t="shared" si="118"/>
        <v>0.1307189141229993</v>
      </c>
      <c r="BL33" s="1259">
        <f>BL31/BL$18</f>
        <v>0.13098631440643327</v>
      </c>
      <c r="BM33" s="1259">
        <f>BM31/BM$18</f>
        <v>0.13318033102412033</v>
      </c>
      <c r="BN33" s="1258">
        <f t="shared" si="118"/>
        <v>0.13166983127169751</v>
      </c>
      <c r="BO33" s="1259">
        <f t="shared" ref="BO33:BX33" si="119">BO31/BO$18</f>
        <v>0.13101547844870237</v>
      </c>
      <c r="BP33" s="1259">
        <f t="shared" si="119"/>
        <v>0.13217055024752619</v>
      </c>
      <c r="BQ33" s="1259">
        <f t="shared" si="119"/>
        <v>0.1291201388540453</v>
      </c>
      <c r="BR33" s="1259">
        <f t="shared" si="119"/>
        <v>0.13674357670830292</v>
      </c>
      <c r="BS33" s="1258">
        <f t="shared" si="119"/>
        <v>0.13225270017908122</v>
      </c>
      <c r="BT33" s="1259">
        <f t="shared" si="119"/>
        <v>0.12959183673469388</v>
      </c>
      <c r="BU33" s="1259">
        <f t="shared" si="119"/>
        <v>0.13342975953715422</v>
      </c>
      <c r="BV33" s="1259">
        <f t="shared" si="119"/>
        <v>0.13176343699442747</v>
      </c>
      <c r="BW33" s="1259">
        <f t="shared" si="119"/>
        <v>0.13543697925899664</v>
      </c>
      <c r="BX33" s="1258">
        <f t="shared" si="119"/>
        <v>0.13265541945920961</v>
      </c>
      <c r="BY33" s="1259">
        <f>BY31/BY$18</f>
        <v>0.13496280552603612</v>
      </c>
      <c r="BZ33" s="1259">
        <f>BZ31/BZ$18</f>
        <v>0.13359458496615603</v>
      </c>
      <c r="CA33" s="1259">
        <f>CA31/CA$18</f>
        <v>0.13655913978494624</v>
      </c>
      <c r="CB33" s="1259">
        <f>CB31/CB$18</f>
        <v>0.13504542278127185</v>
      </c>
      <c r="CC33" s="1258">
        <f t="shared" ref="CC33" si="120">CC31/CC$18</f>
        <v>0.13503811380960823</v>
      </c>
      <c r="CD33" s="1259">
        <f>CD31/CD$18</f>
        <v>0.13885992353145638</v>
      </c>
      <c r="CE33" s="1259">
        <f>CE31/CE$18</f>
        <v>0.14347826086956522</v>
      </c>
      <c r="CF33" s="1259">
        <f>CF31/CF$18</f>
        <v>0.14221085759244689</v>
      </c>
      <c r="CG33" s="1259">
        <f>CG31/CG$18</f>
        <v>0.14183019234505537</v>
      </c>
      <c r="CH33" s="1258">
        <f t="shared" ref="CH33" si="121">CH31/CH$18</f>
        <v>0.14152761457109284</v>
      </c>
      <c r="CI33" s="1259">
        <f>CI31/CI$18</f>
        <v>0.14493034055727555</v>
      </c>
      <c r="CJ33" s="1259">
        <f>CJ31/CJ$18</f>
        <v>0.14451586149699358</v>
      </c>
      <c r="CK33" s="1259">
        <f>CK31/CK$18</f>
        <v>0.14078006000461574</v>
      </c>
      <c r="CL33" s="1259">
        <f>CL31/CL$18</f>
        <v>0.15112855740922473</v>
      </c>
      <c r="CM33" s="1263">
        <f>CM31/CM$18</f>
        <v>0.14521739130434783</v>
      </c>
      <c r="CN33" s="1264">
        <f>CHOOSE(Scenarios!$C$26,Scenarios!AX39,Scenarios!AX40,Scenarios!AX41)</f>
        <v>0.14030000000000001</v>
      </c>
      <c r="CO33" s="1264">
        <f>CHOOSE(Scenarios!$C$26,Scenarios!AY39,Scenarios!AY40,Scenarios!AY41)</f>
        <v>0.14099999999999999</v>
      </c>
      <c r="CP33" s="1264">
        <f>CHOOSE(Scenarios!$C$26,Scenarios!AZ39,Scenarios!AZ40,Scenarios!AZ41)</f>
        <v>0.14099999999999999</v>
      </c>
      <c r="CQ33" s="1264">
        <f>CHOOSE(Scenarios!$C$26,Scenarios!BA39,Scenarios!BA40,Scenarios!BA41)</f>
        <v>0.14099999999999999</v>
      </c>
      <c r="CR33" s="1263">
        <f ca="1">CR31/CR$18</f>
        <v>0.14081378331930333</v>
      </c>
      <c r="CS33" s="1264">
        <f>CHOOSE(Scenarios!$C$26,Scenarios!BC39,Scenarios!BC40,Scenarios!BC41)</f>
        <v>0.14099999999999999</v>
      </c>
      <c r="CT33" s="1264">
        <f>CHOOSE(Scenarios!$C$26,Scenarios!BD39,Scenarios!BD40,Scenarios!BD41)</f>
        <v>0.14000000000000001</v>
      </c>
      <c r="CU33" s="1264">
        <f>CHOOSE(Scenarios!$C$26,Scenarios!BE39,Scenarios!BE40,Scenarios!BE41)</f>
        <v>0.14000000000000001</v>
      </c>
      <c r="CV33" s="1264">
        <f>CHOOSE(Scenarios!$C$26,Scenarios!BF39,Scenarios!BF40,Scenarios!BF41)</f>
        <v>0.1424</v>
      </c>
      <c r="CW33" s="1265">
        <f ca="1">CW31/CW$18</f>
        <v>0.14089067353289944</v>
      </c>
      <c r="CX33" s="1264">
        <f>CHOOSE(Scenarios!$C$26,Scenarios!BH39,Scenarios!BH40,Scenarios!BH41)</f>
        <v>0.14000000000000001</v>
      </c>
      <c r="CY33" s="1264">
        <f>CHOOSE(Scenarios!$C$26,Scenarios!BI39,Scenarios!BI40,Scenarios!BI41)</f>
        <v>0.14000000000000001</v>
      </c>
      <c r="CZ33" s="1264">
        <f>CHOOSE(Scenarios!$C$26,Scenarios!BJ39,Scenarios!BJ40,Scenarios!BJ41)</f>
        <v>0.14000000000000001</v>
      </c>
      <c r="DA33" s="1264">
        <f>CHOOSE(Scenarios!$C$26,Scenarios!BK39,Scenarios!BK40,Scenarios!BK41)</f>
        <v>0.14000000000000001</v>
      </c>
      <c r="DB33" s="1265">
        <f ca="1">DB31/DB$18</f>
        <v>0.14000000000000001</v>
      </c>
      <c r="DC33" s="167"/>
      <c r="DD33" s="167"/>
      <c r="DE33" s="167"/>
      <c r="DF33" s="167"/>
      <c r="DG33" s="167"/>
      <c r="DH33" s="167"/>
      <c r="DI33" s="167"/>
      <c r="DJ33" s="167"/>
    </row>
    <row r="34" spans="1:114">
      <c r="A34" s="458"/>
      <c r="B34" s="473" t="s">
        <v>181</v>
      </c>
      <c r="C34" s="474"/>
      <c r="D34" s="129">
        <f t="shared" ref="D34:AI34" si="122">D31/D$20</f>
        <v>0.21051345510936501</v>
      </c>
      <c r="E34" s="153">
        <f t="shared" si="122"/>
        <v>0.12864793400514213</v>
      </c>
      <c r="F34" s="129">
        <f t="shared" si="122"/>
        <v>0.12690195342651983</v>
      </c>
      <c r="G34" s="167">
        <f t="shared" si="122"/>
        <v>0.12928565108717291</v>
      </c>
      <c r="H34" s="167">
        <f t="shared" si="122"/>
        <v>0.1267548355009164</v>
      </c>
      <c r="I34" s="167">
        <f t="shared" si="122"/>
        <v>0.12729748667979957</v>
      </c>
      <c r="J34" s="167">
        <f t="shared" si="122"/>
        <v>0.12678872466381777</v>
      </c>
      <c r="K34" s="67">
        <f t="shared" si="122"/>
        <v>0.1274932532153332</v>
      </c>
      <c r="L34" s="237">
        <f t="shared" si="122"/>
        <v>0.13233475731046146</v>
      </c>
      <c r="M34" s="237">
        <f t="shared" si="122"/>
        <v>0.12820486269312015</v>
      </c>
      <c r="N34" s="237">
        <f t="shared" si="122"/>
        <v>0.12579671921516913</v>
      </c>
      <c r="O34" s="237">
        <f t="shared" si="122"/>
        <v>0.1236997543745572</v>
      </c>
      <c r="P34" s="67">
        <f t="shared" si="122"/>
        <v>0.12740191377746699</v>
      </c>
      <c r="Q34" s="237">
        <f t="shared" si="122"/>
        <v>0.12869051288580349</v>
      </c>
      <c r="R34" s="237">
        <f t="shared" si="122"/>
        <v>0.12794032408457448</v>
      </c>
      <c r="S34" s="237">
        <f t="shared" si="122"/>
        <v>0.12911983468540558</v>
      </c>
      <c r="T34" s="237">
        <f t="shared" si="122"/>
        <v>0.13337154211677593</v>
      </c>
      <c r="U34" s="67">
        <f t="shared" si="122"/>
        <v>0.12993128509921009</v>
      </c>
      <c r="V34" s="237">
        <f t="shared" si="122"/>
        <v>0.1349948727699945</v>
      </c>
      <c r="W34" s="237">
        <f t="shared" si="122"/>
        <v>0.13203806827807441</v>
      </c>
      <c r="X34" s="237">
        <f t="shared" si="122"/>
        <v>0.13741988505001765</v>
      </c>
      <c r="Y34" s="237">
        <f t="shared" si="122"/>
        <v>0.13597595999472942</v>
      </c>
      <c r="Z34" s="67">
        <f t="shared" si="122"/>
        <v>0.1351396403245603</v>
      </c>
      <c r="AA34" s="237">
        <f t="shared" si="122"/>
        <v>0.13847952845580005</v>
      </c>
      <c r="AB34" s="237">
        <f t="shared" si="122"/>
        <v>0.13350766983905912</v>
      </c>
      <c r="AC34" s="237">
        <f t="shared" si="122"/>
        <v>0.13210863708598342</v>
      </c>
      <c r="AD34" s="237">
        <f t="shared" si="122"/>
        <v>0.12996903933512227</v>
      </c>
      <c r="AE34" s="67">
        <f t="shared" si="122"/>
        <v>0.13344412005374334</v>
      </c>
      <c r="AF34" s="237">
        <f t="shared" si="122"/>
        <v>0.13364948404247795</v>
      </c>
      <c r="AG34" s="237">
        <f t="shared" si="122"/>
        <v>0.13296662611731103</v>
      </c>
      <c r="AH34" s="237">
        <f t="shared" si="122"/>
        <v>0.13966686859052849</v>
      </c>
      <c r="AI34" s="237">
        <f t="shared" si="122"/>
        <v>0.12890369022818185</v>
      </c>
      <c r="AJ34" s="67">
        <f t="shared" ref="AJ34:BN34" si="123">AJ31/AJ$20</f>
        <v>0.13367689988592893</v>
      </c>
      <c r="AK34" s="237">
        <f t="shared" si="123"/>
        <v>0.13152509880201968</v>
      </c>
      <c r="AL34" s="237">
        <f t="shared" si="123"/>
        <v>0.13270093514844153</v>
      </c>
      <c r="AM34" s="237">
        <f t="shared" si="123"/>
        <v>0.15368328714879684</v>
      </c>
      <c r="AN34" s="237">
        <f t="shared" si="123"/>
        <v>0.16851051027772085</v>
      </c>
      <c r="AO34" s="67">
        <f t="shared" si="123"/>
        <v>0.1514006485177406</v>
      </c>
      <c r="AP34" s="237">
        <f t="shared" si="123"/>
        <v>0.15898503748651496</v>
      </c>
      <c r="AQ34" s="237">
        <f t="shared" si="123"/>
        <v>0.15735667655044375</v>
      </c>
      <c r="AR34" s="237">
        <f t="shared" si="123"/>
        <v>0.15659880644817173</v>
      </c>
      <c r="AS34" s="237">
        <f t="shared" si="123"/>
        <v>0.15890297008323301</v>
      </c>
      <c r="AT34" s="67">
        <f t="shared" si="123"/>
        <v>0.15796195378250663</v>
      </c>
      <c r="AU34" s="237">
        <f t="shared" si="123"/>
        <v>0.15739679358795811</v>
      </c>
      <c r="AV34" s="237">
        <f t="shared" si="123"/>
        <v>0.15820537133372439</v>
      </c>
      <c r="AW34" s="237">
        <f t="shared" si="123"/>
        <v>0.15807118594003838</v>
      </c>
      <c r="AX34" s="237">
        <f t="shared" si="123"/>
        <v>0.15936216748492113</v>
      </c>
      <c r="AY34" s="67">
        <f t="shared" si="123"/>
        <v>0.15827154166083371</v>
      </c>
      <c r="AZ34" s="237">
        <f t="shared" si="123"/>
        <v>0.15469150248252742</v>
      </c>
      <c r="BA34" s="237">
        <f t="shared" si="123"/>
        <v>0.15722902493355614</v>
      </c>
      <c r="BB34" s="237">
        <f t="shared" si="123"/>
        <v>0.15553401956771867</v>
      </c>
      <c r="BC34" s="237">
        <f t="shared" si="123"/>
        <v>0.15418048471101697</v>
      </c>
      <c r="BD34" s="67">
        <f t="shared" si="123"/>
        <v>0.15538967241926291</v>
      </c>
      <c r="BE34" s="237">
        <f t="shared" si="123"/>
        <v>0.15484920454609902</v>
      </c>
      <c r="BF34" s="237">
        <f t="shared" si="123"/>
        <v>0.14971839429597239</v>
      </c>
      <c r="BG34" s="237">
        <f t="shared" si="123"/>
        <v>0.15378148671134179</v>
      </c>
      <c r="BH34" s="237">
        <f t="shared" si="123"/>
        <v>0.15565244150940255</v>
      </c>
      <c r="BI34" s="67">
        <f t="shared" si="123"/>
        <v>0.15350054675517835</v>
      </c>
      <c r="BJ34" s="237">
        <f t="shared" si="123"/>
        <v>0.15122041470594036</v>
      </c>
      <c r="BK34" s="237">
        <f t="shared" si="123"/>
        <v>0.15101231153872957</v>
      </c>
      <c r="BL34" s="237">
        <f>BL31/BL$20</f>
        <v>0.15074952600069114</v>
      </c>
      <c r="BM34" s="237">
        <f>BM31/BM$20</f>
        <v>0.15287740475430478</v>
      </c>
      <c r="BN34" s="67">
        <f t="shared" si="123"/>
        <v>0.15146928175909327</v>
      </c>
      <c r="BO34" s="237">
        <f t="shared" ref="BO34:BX34" si="124">BO31/BO$20</f>
        <v>0.15032565863969199</v>
      </c>
      <c r="BP34" s="237">
        <f t="shared" si="124"/>
        <v>0.153884373056284</v>
      </c>
      <c r="BQ34" s="237">
        <f t="shared" si="124"/>
        <v>0.15113085418666342</v>
      </c>
      <c r="BR34" s="237">
        <f t="shared" si="124"/>
        <v>0.15840920787504553</v>
      </c>
      <c r="BS34" s="67">
        <f t="shared" si="124"/>
        <v>0.15342076474648234</v>
      </c>
      <c r="BT34" s="237">
        <f t="shared" si="124"/>
        <v>0.15137067938021453</v>
      </c>
      <c r="BU34" s="237">
        <f t="shared" si="124"/>
        <v>0.1544256120527307</v>
      </c>
      <c r="BV34" s="237">
        <f t="shared" si="124"/>
        <v>0.15286757038581855</v>
      </c>
      <c r="BW34" s="237">
        <f t="shared" si="124"/>
        <v>0.15534770231801545</v>
      </c>
      <c r="BX34" s="67">
        <f t="shared" si="124"/>
        <v>0.153582704553968</v>
      </c>
      <c r="BY34" s="237">
        <f>BY31/BY$20</f>
        <v>0.15516188149053145</v>
      </c>
      <c r="BZ34" s="237">
        <f>BZ31/BZ$20</f>
        <v>0.15362556329373209</v>
      </c>
      <c r="CA34" s="237">
        <f>CA31/CA$20</f>
        <v>0.15724308708212958</v>
      </c>
      <c r="CB34" s="237">
        <f>CB31/CB$20</f>
        <v>0.16110879533138808</v>
      </c>
      <c r="CC34" s="67">
        <f t="shared" ref="CC34" si="125">CC31/CC$20</f>
        <v>0.15676287492925864</v>
      </c>
      <c r="CD34" s="237">
        <f>CD31/CD$20</f>
        <v>0.15983196639327865</v>
      </c>
      <c r="CE34" s="237">
        <f>CE31/CE$20</f>
        <v>0.165359477124183</v>
      </c>
      <c r="CF34" s="237">
        <f>CF31/CF$20</f>
        <v>0.16506849315068492</v>
      </c>
      <c r="CG34" s="237">
        <f>CG31/CG$20</f>
        <v>0.16334750503468337</v>
      </c>
      <c r="CH34" s="67">
        <f t="shared" ref="CH34" si="126">CH31/CH$20</f>
        <v>0.1633040459919731</v>
      </c>
      <c r="CI34" s="237">
        <f>CI31/CI$20</f>
        <v>0.16696388765046813</v>
      </c>
      <c r="CJ34" s="237">
        <f>CJ31/CJ$20</f>
        <v>0.16819498069498071</v>
      </c>
      <c r="CK34" s="237">
        <f>CK31/CK$20</f>
        <v>0.16639388979814512</v>
      </c>
      <c r="CL34" s="237">
        <f>CL31/CL$20</f>
        <v>0.20137299771167047</v>
      </c>
      <c r="CM34" s="67">
        <f t="shared" ref="CM34:CW34" si="127">CM31/CM$20</f>
        <v>0.17401497883425593</v>
      </c>
      <c r="CN34" s="237">
        <f t="shared" ca="1" si="127"/>
        <v>0.16380618797431407</v>
      </c>
      <c r="CO34" s="237">
        <f t="shared" ca="1" si="127"/>
        <v>0.16471962616822428</v>
      </c>
      <c r="CP34" s="237">
        <f t="shared" ca="1" si="127"/>
        <v>0.16452742123687281</v>
      </c>
      <c r="CQ34" s="237">
        <f t="shared" ca="1" si="127"/>
        <v>0.16479663394109395</v>
      </c>
      <c r="CR34" s="67">
        <f t="shared" ca="1" si="127"/>
        <v>0.1644526782116601</v>
      </c>
      <c r="CS34" s="237">
        <f t="shared" ca="1" si="127"/>
        <v>0.16518275538894095</v>
      </c>
      <c r="CT34" s="237">
        <f t="shared" ca="1" si="127"/>
        <v>0.1640112464854733</v>
      </c>
      <c r="CU34" s="237">
        <f t="shared" ca="1" si="127"/>
        <v>0.1640112464854733</v>
      </c>
      <c r="CV34" s="237">
        <f t="shared" ca="1" si="127"/>
        <v>0.16682286785379569</v>
      </c>
      <c r="CW34" s="67">
        <f t="shared" ca="1" si="127"/>
        <v>0.16505467845934799</v>
      </c>
      <c r="CX34" s="237">
        <f t="shared" ref="CX34:DB34" ca="1" si="128">CX31/CX$20</f>
        <v>0.1640112464854733</v>
      </c>
      <c r="CY34" s="237">
        <f t="shared" ca="1" si="128"/>
        <v>0.1640112464854733</v>
      </c>
      <c r="CZ34" s="237">
        <f t="shared" ca="1" si="128"/>
        <v>0.1640112464854733</v>
      </c>
      <c r="DA34" s="237">
        <f t="shared" ca="1" si="128"/>
        <v>0.1640112464854733</v>
      </c>
      <c r="DB34" s="67">
        <f t="shared" ca="1" si="128"/>
        <v>0.16401124648547333</v>
      </c>
      <c r="DC34" s="167"/>
      <c r="DD34" s="167"/>
      <c r="DE34" s="167"/>
      <c r="DF34" s="167"/>
      <c r="DG34" s="167"/>
      <c r="DH34" s="167"/>
      <c r="DI34" s="167"/>
      <c r="DJ34" s="167"/>
    </row>
    <row r="35" spans="1:114">
      <c r="A35" s="396"/>
      <c r="B35" s="37" t="s">
        <v>184</v>
      </c>
      <c r="C35" s="157"/>
      <c r="D35" s="80">
        <f t="shared" ref="D35:AI35" si="129">1000000*D31/D$15</f>
        <v>209.1598492279019</v>
      </c>
      <c r="E35" s="81">
        <f t="shared" si="129"/>
        <v>146.86981226040726</v>
      </c>
      <c r="F35" s="82">
        <f t="shared" si="129"/>
        <v>153.44795484143907</v>
      </c>
      <c r="G35" s="93">
        <f t="shared" si="129"/>
        <v>158.89465604597632</v>
      </c>
      <c r="H35" s="93">
        <f t="shared" si="129"/>
        <v>165.62902252786921</v>
      </c>
      <c r="I35" s="93">
        <f t="shared" si="129"/>
        <v>167.12278034892941</v>
      </c>
      <c r="J35" s="93">
        <f t="shared" si="129"/>
        <v>172.29926624175118</v>
      </c>
      <c r="K35" s="82">
        <f t="shared" si="129"/>
        <v>166.11794905389192</v>
      </c>
      <c r="L35" s="93">
        <f t="shared" si="129"/>
        <v>168.9008359889732</v>
      </c>
      <c r="M35" s="93">
        <f t="shared" si="129"/>
        <v>169.09266214208952</v>
      </c>
      <c r="N35" s="93">
        <f t="shared" si="129"/>
        <v>168.97315095461289</v>
      </c>
      <c r="O35" s="93">
        <f t="shared" si="129"/>
        <v>175.68384981671949</v>
      </c>
      <c r="P35" s="82">
        <f t="shared" si="129"/>
        <v>170.66893287015756</v>
      </c>
      <c r="Q35" s="93">
        <f t="shared" si="129"/>
        <v>174.38753420145505</v>
      </c>
      <c r="R35" s="93">
        <f t="shared" si="129"/>
        <v>185.92788701328956</v>
      </c>
      <c r="S35" s="93">
        <f t="shared" si="129"/>
        <v>181.06609663879775</v>
      </c>
      <c r="T35" s="93">
        <f t="shared" si="129"/>
        <v>182.26130971670287</v>
      </c>
      <c r="U35" s="82">
        <f t="shared" si="129"/>
        <v>180.88836903068824</v>
      </c>
      <c r="V35" s="93">
        <f t="shared" si="129"/>
        <v>183.33088419268071</v>
      </c>
      <c r="W35" s="93">
        <f t="shared" si="129"/>
        <v>186.18201806564039</v>
      </c>
      <c r="X35" s="93">
        <f t="shared" si="129"/>
        <v>197.43787569890458</v>
      </c>
      <c r="Y35" s="93">
        <f t="shared" si="129"/>
        <v>199.70670793031994</v>
      </c>
      <c r="Z35" s="82">
        <f t="shared" si="129"/>
        <v>191.64226182731858</v>
      </c>
      <c r="AA35" s="93">
        <f t="shared" si="129"/>
        <v>198.52952803241757</v>
      </c>
      <c r="AB35" s="93">
        <f t="shared" si="129"/>
        <v>200.89272455487756</v>
      </c>
      <c r="AC35" s="93">
        <f t="shared" si="129"/>
        <v>203.95816326259364</v>
      </c>
      <c r="AD35" s="93">
        <f t="shared" si="129"/>
        <v>204.23210355528823</v>
      </c>
      <c r="AE35" s="82">
        <f t="shared" si="129"/>
        <v>201.87402433822371</v>
      </c>
      <c r="AF35" s="93">
        <f t="shared" si="129"/>
        <v>203.27989120049341</v>
      </c>
      <c r="AG35" s="93">
        <f t="shared" si="129"/>
        <v>207.75586033318427</v>
      </c>
      <c r="AH35" s="93">
        <f t="shared" si="129"/>
        <v>206.59011282611561</v>
      </c>
      <c r="AI35" s="93">
        <f t="shared" si="129"/>
        <v>206.33365484676125</v>
      </c>
      <c r="AJ35" s="82">
        <f t="shared" ref="AJ35:BK35" si="130">1000000*AJ31/AJ$15</f>
        <v>206.00139467115685</v>
      </c>
      <c r="AK35" s="93">
        <f t="shared" si="130"/>
        <v>210.69868833868799</v>
      </c>
      <c r="AL35" s="93">
        <f t="shared" si="130"/>
        <v>218.66369781236577</v>
      </c>
      <c r="AM35" s="93">
        <f t="shared" si="130"/>
        <v>287.09512581202796</v>
      </c>
      <c r="AN35" s="93">
        <f t="shared" si="130"/>
        <v>292.59367692796144</v>
      </c>
      <c r="AO35" s="82">
        <f t="shared" si="130"/>
        <v>262.77810824815879</v>
      </c>
      <c r="AP35" s="93">
        <f t="shared" si="130"/>
        <v>285.87320459558697</v>
      </c>
      <c r="AQ35" s="93">
        <f t="shared" si="130"/>
        <v>299.83244600503957</v>
      </c>
      <c r="AR35" s="93">
        <f t="shared" si="130"/>
        <v>306.57114733724035</v>
      </c>
      <c r="AS35" s="93">
        <f t="shared" si="130"/>
        <v>309.38889081975321</v>
      </c>
      <c r="AT35" s="82">
        <f t="shared" si="130"/>
        <v>300.13633081125829</v>
      </c>
      <c r="AU35" s="93">
        <f t="shared" si="130"/>
        <v>305.21282696768338</v>
      </c>
      <c r="AV35" s="93">
        <f t="shared" si="130"/>
        <v>310.10796572032893</v>
      </c>
      <c r="AW35" s="93">
        <f t="shared" si="130"/>
        <v>312.95811323751576</v>
      </c>
      <c r="AX35" s="93">
        <f t="shared" si="130"/>
        <v>318.53720626929766</v>
      </c>
      <c r="AY35" s="82">
        <f t="shared" si="130"/>
        <v>311.75170169421904</v>
      </c>
      <c r="AZ35" s="93">
        <f t="shared" si="130"/>
        <v>309.57341518841474</v>
      </c>
      <c r="BA35" s="93">
        <f t="shared" si="130"/>
        <v>321.6484932312469</v>
      </c>
      <c r="BB35" s="93">
        <f t="shared" si="130"/>
        <v>321.90543348724043</v>
      </c>
      <c r="BC35" s="93">
        <f t="shared" si="130"/>
        <v>320.74554963363363</v>
      </c>
      <c r="BD35" s="82">
        <f t="shared" si="130"/>
        <v>318.46081429458764</v>
      </c>
      <c r="BE35" s="93">
        <f t="shared" si="130"/>
        <v>310.94530041829614</v>
      </c>
      <c r="BF35" s="93">
        <f t="shared" si="130"/>
        <v>308.56847940060862</v>
      </c>
      <c r="BG35" s="93">
        <f t="shared" si="130"/>
        <v>315.021962566333</v>
      </c>
      <c r="BH35" s="93">
        <f t="shared" si="130"/>
        <v>318.77925117867028</v>
      </c>
      <c r="BI35" s="82">
        <f t="shared" si="130"/>
        <v>313.32510386797395</v>
      </c>
      <c r="BJ35" s="93">
        <f t="shared" si="130"/>
        <v>314.18749741324331</v>
      </c>
      <c r="BK35" s="93">
        <f t="shared" si="130"/>
        <v>322.39215224760699</v>
      </c>
      <c r="BL35" s="93">
        <f t="shared" ref="BL35:BS35" si="131">1000000*BL31/BL$15</f>
        <v>315.2277358290807</v>
      </c>
      <c r="BM35" s="93">
        <f t="shared" si="131"/>
        <v>325.53593066940527</v>
      </c>
      <c r="BN35" s="82">
        <f t="shared" si="131"/>
        <v>319.28793715804687</v>
      </c>
      <c r="BO35" s="93">
        <f t="shared" si="131"/>
        <v>316.38986815628823</v>
      </c>
      <c r="BP35" s="93">
        <f t="shared" si="131"/>
        <v>328.63355125095694</v>
      </c>
      <c r="BQ35" s="93">
        <f t="shared" si="131"/>
        <v>329.9061255988197</v>
      </c>
      <c r="BR35" s="93">
        <f t="shared" si="131"/>
        <v>350.80770152422656</v>
      </c>
      <c r="BS35" s="82">
        <f t="shared" si="131"/>
        <v>331.11852452909847</v>
      </c>
      <c r="BT35" s="93">
        <f t="shared" ref="BT35:BY35" si="132">1000000*BT31/BT$15</f>
        <v>318.52854322431017</v>
      </c>
      <c r="BU35" s="93">
        <f t="shared" si="132"/>
        <v>325.40706670834322</v>
      </c>
      <c r="BV35" s="93">
        <f t="shared" si="132"/>
        <v>328.0453067008001</v>
      </c>
      <c r="BW35" s="93">
        <f t="shared" si="132"/>
        <v>340.50354257591476</v>
      </c>
      <c r="BX35" s="82">
        <f t="shared" si="132"/>
        <v>328.38829322058075</v>
      </c>
      <c r="BY35" s="93">
        <f t="shared" si="132"/>
        <v>326.31132691298501</v>
      </c>
      <c r="BZ35" s="93">
        <f>1000000*BZ31/BZ$15</f>
        <v>331.41227974967802</v>
      </c>
      <c r="CA35" s="93">
        <f>1000000*CA31/CA$15</f>
        <v>341.71872297961897</v>
      </c>
      <c r="CB35" s="93">
        <f>1000000*CB31/CB$15</f>
        <v>348.91706045554662</v>
      </c>
      <c r="CC35" s="82">
        <f>1000000*CC31/CC$15</f>
        <v>336.92462087171833</v>
      </c>
      <c r="CD35" s="93">
        <f t="shared" ref="CD35:CE35" si="133">1000000*CD31/CD$15</f>
        <v>346.76196550752849</v>
      </c>
      <c r="CE35" s="93">
        <f t="shared" si="133"/>
        <v>363.25011308729319</v>
      </c>
      <c r="CF35" s="93">
        <f t="shared" ref="CF35" si="134">1000000*CF31/CF$15</f>
        <v>364.65204485018586</v>
      </c>
      <c r="CG35" s="93">
        <f t="shared" ref="CG35" si="135">1000000*CG31/CG$15</f>
        <v>370.7891681469161</v>
      </c>
      <c r="CH35" s="82">
        <f>1000000*CH31/CH$15</f>
        <v>360.80925889395115</v>
      </c>
      <c r="CI35" s="93">
        <f t="shared" ref="CI35:CV35" si="136">1000000*CI31/CI$15</f>
        <v>364.33551304738438</v>
      </c>
      <c r="CJ35" s="93">
        <f t="shared" si="136"/>
        <v>378.23257262794675</v>
      </c>
      <c r="CK35" s="93">
        <f t="shared" ref="CK35:CL35" si="137">1000000*CK31/CK$15</f>
        <v>368.55313158729228</v>
      </c>
      <c r="CL35" s="93">
        <f t="shared" si="137"/>
        <v>392.12043249722774</v>
      </c>
      <c r="CM35" s="82">
        <f>1000000*CM31/CM$15</f>
        <v>375.03618813690582</v>
      </c>
      <c r="CN35" s="93">
        <f t="shared" ca="1" si="136"/>
        <v>390.81686433233034</v>
      </c>
      <c r="CO35" s="93">
        <f t="shared" ca="1" si="136"/>
        <v>407.67137840199956</v>
      </c>
      <c r="CP35" s="93">
        <f t="shared" ca="1" si="136"/>
        <v>404.35986982041197</v>
      </c>
      <c r="CQ35" s="93">
        <f t="shared" ca="1" si="136"/>
        <v>457.72698292640507</v>
      </c>
      <c r="CR35" s="82">
        <f ca="1">1000000*CR31/CR$15</f>
        <v>413.8629344572978</v>
      </c>
      <c r="CS35" s="93">
        <f t="shared" ca="1" si="136"/>
        <v>434.64998183549631</v>
      </c>
      <c r="CT35" s="93">
        <f t="shared" ca="1" si="136"/>
        <v>419.37729013292039</v>
      </c>
      <c r="CU35" s="93">
        <f t="shared" ca="1" si="136"/>
        <v>399.95329220999923</v>
      </c>
      <c r="CV35" s="93">
        <f t="shared" ca="1" si="136"/>
        <v>471.79398500881939</v>
      </c>
      <c r="CW35" s="82">
        <f ca="1">1000000*CW31/CW$15</f>
        <v>431.1880011937937</v>
      </c>
      <c r="CX35" s="93">
        <f t="shared" ref="CX35:DA35" ca="1" si="138">1000000*CX31/CX$15</f>
        <v>432.98847768676308</v>
      </c>
      <c r="CY35" s="93">
        <f t="shared" ca="1" si="138"/>
        <v>420.86111824762247</v>
      </c>
      <c r="CZ35" s="93">
        <f t="shared" ca="1" si="138"/>
        <v>401.74038132310909</v>
      </c>
      <c r="DA35" s="93">
        <f t="shared" ca="1" si="138"/>
        <v>465.77491657974269</v>
      </c>
      <c r="DB35" s="82">
        <f ca="1">1000000*DB31/DB$15</f>
        <v>430.16708319468302</v>
      </c>
      <c r="DC35" s="37"/>
      <c r="DD35" s="37"/>
      <c r="DE35" s="37"/>
      <c r="DF35" s="37"/>
      <c r="DG35" s="37"/>
      <c r="DH35" s="37"/>
      <c r="DI35" s="37"/>
      <c r="DJ35" s="37"/>
    </row>
    <row r="36" spans="1:114">
      <c r="A36" s="458"/>
      <c r="B36" s="473" t="s">
        <v>183</v>
      </c>
      <c r="C36" s="474"/>
      <c r="D36" s="129"/>
      <c r="E36" s="153"/>
      <c r="F36" s="129"/>
      <c r="G36" s="167"/>
      <c r="H36" s="167"/>
      <c r="I36" s="167"/>
      <c r="J36" s="167"/>
      <c r="K36" s="67">
        <f t="shared" ref="K36:AP36" si="139">K35/F35-1</f>
        <v>8.2568674346588766E-2</v>
      </c>
      <c r="L36" s="237">
        <f t="shared" si="139"/>
        <v>6.2973671940871112E-2</v>
      </c>
      <c r="M36" s="237">
        <f t="shared" si="139"/>
        <v>2.0912033177262312E-2</v>
      </c>
      <c r="N36" s="237">
        <f t="shared" si="139"/>
        <v>1.1071923299864617E-2</v>
      </c>
      <c r="O36" s="237">
        <f t="shared" si="139"/>
        <v>1.9643633132014893E-2</v>
      </c>
      <c r="P36" s="67">
        <f t="shared" si="139"/>
        <v>2.7396099230608817E-2</v>
      </c>
      <c r="Q36" s="237">
        <f t="shared" si="139"/>
        <v>3.2484730939046802E-2</v>
      </c>
      <c r="R36" s="237">
        <f t="shared" si="139"/>
        <v>9.9562125629397924E-2</v>
      </c>
      <c r="S36" s="237">
        <f t="shared" si="139"/>
        <v>7.1567261519749348E-2</v>
      </c>
      <c r="T36" s="237">
        <f t="shared" si="139"/>
        <v>3.7439183549570654E-2</v>
      </c>
      <c r="U36" s="67">
        <f t="shared" si="139"/>
        <v>5.9878713651449811E-2</v>
      </c>
      <c r="V36" s="237">
        <f t="shared" si="139"/>
        <v>5.1284342267803318E-2</v>
      </c>
      <c r="W36" s="237">
        <f t="shared" si="139"/>
        <v>1.366825904565161E-3</v>
      </c>
      <c r="X36" s="237">
        <f t="shared" si="139"/>
        <v>9.0418799344674117E-2</v>
      </c>
      <c r="Y36" s="237">
        <f t="shared" si="139"/>
        <v>9.5716409811458458E-2</v>
      </c>
      <c r="Z36" s="67">
        <f t="shared" si="139"/>
        <v>5.9450438158386465E-2</v>
      </c>
      <c r="AA36" s="237">
        <f t="shared" si="139"/>
        <v>8.2902801165585904E-2</v>
      </c>
      <c r="AB36" s="237">
        <f t="shared" si="139"/>
        <v>7.9012498855022484E-2</v>
      </c>
      <c r="AC36" s="237">
        <f t="shared" si="139"/>
        <v>3.3024502216751017E-2</v>
      </c>
      <c r="AD36" s="237">
        <f t="shared" si="139"/>
        <v>2.2660208421978911E-2</v>
      </c>
      <c r="AE36" s="67">
        <f t="shared" si="139"/>
        <v>5.3389906867852499E-2</v>
      </c>
      <c r="AF36" s="237">
        <f t="shared" si="139"/>
        <v>2.3927741203818131E-2</v>
      </c>
      <c r="AG36" s="237">
        <f t="shared" si="139"/>
        <v>3.4163187310608301E-2</v>
      </c>
      <c r="AH36" s="237">
        <f t="shared" si="139"/>
        <v>1.2904359999228676E-2</v>
      </c>
      <c r="AI36" s="237">
        <f t="shared" si="139"/>
        <v>1.0290014424221505E-2</v>
      </c>
      <c r="AJ36" s="67">
        <f t="shared" si="139"/>
        <v>2.0445276931805978E-2</v>
      </c>
      <c r="AK36" s="237">
        <f t="shared" si="139"/>
        <v>3.6495479677709275E-2</v>
      </c>
      <c r="AL36" s="237">
        <f t="shared" si="139"/>
        <v>5.2503151832580253E-2</v>
      </c>
      <c r="AM36" s="237">
        <f t="shared" si="139"/>
        <v>0.38968473313954011</v>
      </c>
      <c r="AN36" s="237">
        <f t="shared" si="139"/>
        <v>0.418060844922576</v>
      </c>
      <c r="AO36" s="67">
        <f t="shared" si="139"/>
        <v>0.2756132484813294</v>
      </c>
      <c r="AP36" s="237">
        <f t="shared" si="139"/>
        <v>0.35678682601032419</v>
      </c>
      <c r="AQ36" s="237">
        <f t="shared" ref="AQ36:BP36" si="140">AQ35/AL35-1</f>
        <v>0.37120358342391291</v>
      </c>
      <c r="AR36" s="237">
        <f t="shared" si="140"/>
        <v>6.783821728120909E-2</v>
      </c>
      <c r="AS36" s="237">
        <f t="shared" si="140"/>
        <v>5.7401151207812529E-2</v>
      </c>
      <c r="AT36" s="67">
        <f t="shared" si="140"/>
        <v>0.14216641870265567</v>
      </c>
      <c r="AU36" s="237">
        <f t="shared" si="140"/>
        <v>6.7651049700357069E-2</v>
      </c>
      <c r="AV36" s="237">
        <f t="shared" si="140"/>
        <v>3.4270873123306567E-2</v>
      </c>
      <c r="AW36" s="237">
        <f t="shared" si="140"/>
        <v>2.0833551871238143E-2</v>
      </c>
      <c r="AX36" s="237">
        <f t="shared" si="140"/>
        <v>2.9568984928014519E-2</v>
      </c>
      <c r="AY36" s="67">
        <f t="shared" si="140"/>
        <v>3.8700316124891554E-2</v>
      </c>
      <c r="AZ36" s="237">
        <f t="shared" si="140"/>
        <v>1.4287041157654556E-2</v>
      </c>
      <c r="BA36" s="237">
        <f t="shared" si="140"/>
        <v>3.7214547146866339E-2</v>
      </c>
      <c r="BB36" s="237">
        <f t="shared" si="140"/>
        <v>2.8589513648218601E-2</v>
      </c>
      <c r="BC36" s="237">
        <f t="shared" si="140"/>
        <v>6.9327642764249742E-3</v>
      </c>
      <c r="BD36" s="67">
        <f t="shared" si="140"/>
        <v>2.1520692794643415E-2</v>
      </c>
      <c r="BE36" s="237">
        <f t="shared" si="140"/>
        <v>4.4315343714071975E-3</v>
      </c>
      <c r="BF36" s="237">
        <f t="shared" si="140"/>
        <v>-4.0665552943332184E-2</v>
      </c>
      <c r="BG36" s="237">
        <f t="shared" si="140"/>
        <v>-2.138351889975254E-2</v>
      </c>
      <c r="BH36" s="237">
        <f t="shared" si="140"/>
        <v>-6.1303998051082109E-3</v>
      </c>
      <c r="BI36" s="67">
        <f t="shared" si="140"/>
        <v>-1.6126663614767223E-2</v>
      </c>
      <c r="BJ36" s="237">
        <f t="shared" si="140"/>
        <v>1.0426904637521828E-2</v>
      </c>
      <c r="BK36" s="237">
        <f t="shared" si="140"/>
        <v>4.4799367951809943E-2</v>
      </c>
      <c r="BL36" s="237">
        <f t="shared" si="140"/>
        <v>6.5320291027126665E-4</v>
      </c>
      <c r="BM36" s="237">
        <f t="shared" si="140"/>
        <v>2.1195480777850273E-2</v>
      </c>
      <c r="BN36" s="67">
        <f>BN35/BI35-1</f>
        <v>1.9030818841076602E-2</v>
      </c>
      <c r="BO36" s="237">
        <f t="shared" si="140"/>
        <v>7.0097338728543068E-3</v>
      </c>
      <c r="BP36" s="237">
        <f t="shared" si="140"/>
        <v>1.9359649296166292E-2</v>
      </c>
      <c r="BQ36" s="237">
        <f t="shared" ref="BQ36:CL36" si="141">BQ35/BL35-1</f>
        <v>4.6564398056958334E-2</v>
      </c>
      <c r="BR36" s="237">
        <f t="shared" si="141"/>
        <v>7.763127960362004E-2</v>
      </c>
      <c r="BS36" s="67">
        <f t="shared" si="141"/>
        <v>3.7053035815742374E-2</v>
      </c>
      <c r="BT36" s="237">
        <f t="shared" si="141"/>
        <v>6.7596193281558303E-3</v>
      </c>
      <c r="BU36" s="237">
        <f t="shared" si="141"/>
        <v>-9.8178793076116877E-3</v>
      </c>
      <c r="BV36" s="237">
        <f t="shared" si="141"/>
        <v>-5.6404496722878283E-3</v>
      </c>
      <c r="BW36" s="237">
        <f t="shared" si="141"/>
        <v>-2.9372670279304569E-2</v>
      </c>
      <c r="BX36" s="67">
        <f>BX35/BS35-1</f>
        <v>-8.2454804133973436E-3</v>
      </c>
      <c r="BY36" s="237">
        <f t="shared" si="141"/>
        <v>2.4433551887983018E-2</v>
      </c>
      <c r="BZ36" s="237">
        <f t="shared" si="141"/>
        <v>1.8454464133433213E-2</v>
      </c>
      <c r="CA36" s="237">
        <f t="shared" si="141"/>
        <v>4.1681487280932128E-2</v>
      </c>
      <c r="CB36" s="237">
        <f t="shared" si="141"/>
        <v>2.4709046537323642E-2</v>
      </c>
      <c r="CC36" s="67">
        <f>CC35/BX35-1</f>
        <v>2.5994616213080635E-2</v>
      </c>
      <c r="CD36" s="237">
        <f t="shared" si="141"/>
        <v>6.2672168900826719E-2</v>
      </c>
      <c r="CE36" s="237">
        <f t="shared" si="141"/>
        <v>9.6067150443740035E-2</v>
      </c>
      <c r="CF36" s="237">
        <f t="shared" si="141"/>
        <v>6.7111692536480305E-2</v>
      </c>
      <c r="CG36" s="237">
        <f t="shared" si="141"/>
        <v>6.2685692877307853E-2</v>
      </c>
      <c r="CH36" s="67">
        <f>CH35/CC35-1</f>
        <v>7.089015329433801E-2</v>
      </c>
      <c r="CI36" s="237">
        <f t="shared" si="141"/>
        <v>5.0678993914845538E-2</v>
      </c>
      <c r="CJ36" s="237">
        <f t="shared" si="141"/>
        <v>4.1245574332562152E-2</v>
      </c>
      <c r="CK36" s="237">
        <f t="shared" si="141"/>
        <v>1.0698107393608991E-2</v>
      </c>
      <c r="CL36" s="237">
        <f t="shared" si="141"/>
        <v>5.7529362189619349E-2</v>
      </c>
      <c r="CM36" s="67">
        <f>CM35/CH35-1</f>
        <v>3.9430610197107585E-2</v>
      </c>
      <c r="CN36" s="237">
        <f t="shared" ref="CN36" ca="1" si="142">CN35/CI35-1</f>
        <v>7.2683969408993354E-2</v>
      </c>
      <c r="CO36" s="237">
        <f t="shared" ref="CO36" ca="1" si="143">CO35/CJ35-1</f>
        <v>7.7832550405463552E-2</v>
      </c>
      <c r="CP36" s="237">
        <f t="shared" ref="CP36" ca="1" si="144">CP35/CK35-1</f>
        <v>9.7154888031764974E-2</v>
      </c>
      <c r="CQ36" s="237">
        <f t="shared" ref="CQ36" ca="1" si="145">CQ35/CL35-1</f>
        <v>0.16731224642225495</v>
      </c>
      <c r="CR36" s="67">
        <f ca="1">CR35/CM35-1</f>
        <v>0.10352799955992076</v>
      </c>
      <c r="CS36" s="237">
        <f t="shared" ref="CS36" ca="1" si="146">CS35/CN35-1</f>
        <v>0.11215769201272896</v>
      </c>
      <c r="CT36" s="237">
        <f t="shared" ref="CT36" ca="1" si="147">CT35/CO35-1</f>
        <v>2.8714087745884909E-2</v>
      </c>
      <c r="CU36" s="237">
        <f t="shared" ref="CU36" ca="1" si="148">CU35/CP35-1</f>
        <v>-1.0897663045469463E-2</v>
      </c>
      <c r="CV36" s="237">
        <f t="shared" ref="CV36" ca="1" si="149">CV35/CQ35-1</f>
        <v>3.0732298088435028E-2</v>
      </c>
      <c r="CW36" s="67">
        <f ca="1">CW35/CR35-1</f>
        <v>4.186184674695359E-2</v>
      </c>
      <c r="CX36" s="237">
        <f t="shared" ref="CX36" ca="1" si="150">CX35/CS35-1</f>
        <v>-3.822625602598273E-3</v>
      </c>
      <c r="CY36" s="237">
        <f t="shared" ref="CY36" ca="1" si="151">CY35/CT35-1</f>
        <v>3.5381699238692388E-3</v>
      </c>
      <c r="CZ36" s="237">
        <f t="shared" ref="CZ36" ca="1" si="152">CZ35/CU35-1</f>
        <v>4.4682445373434021E-3</v>
      </c>
      <c r="DA36" s="237">
        <f t="shared" ref="DA36" ca="1" si="153">DA35/CV35-1</f>
        <v>-1.2757832063001406E-2</v>
      </c>
      <c r="DB36" s="67">
        <f ca="1">DB35/CW35-1</f>
        <v>-2.3676864761639216E-3</v>
      </c>
      <c r="DC36" s="167"/>
      <c r="DD36" s="167"/>
      <c r="DE36" s="167"/>
      <c r="DF36" s="167"/>
      <c r="DG36" s="167"/>
      <c r="DH36" s="167"/>
      <c r="DI36" s="167"/>
      <c r="DJ36" s="167"/>
    </row>
    <row r="37" spans="1:114">
      <c r="A37" s="396"/>
      <c r="B37" s="37" t="s">
        <v>424</v>
      </c>
      <c r="C37" s="157"/>
      <c r="D37" s="80">
        <f t="shared" ref="D37:AI37" si="154">1000000*D31/D$10</f>
        <v>870.87957080333194</v>
      </c>
      <c r="E37" s="81">
        <f t="shared" si="154"/>
        <v>583.82256711795992</v>
      </c>
      <c r="F37" s="82">
        <f t="shared" si="154"/>
        <v>587.65180874860437</v>
      </c>
      <c r="G37" s="93">
        <f t="shared" si="154"/>
        <v>614.14292656658392</v>
      </c>
      <c r="H37" s="93">
        <f t="shared" si="154"/>
        <v>627.21290076958633</v>
      </c>
      <c r="I37" s="93">
        <f t="shared" si="154"/>
        <v>625.99310838046938</v>
      </c>
      <c r="J37" s="93">
        <f t="shared" si="154"/>
        <v>650.23476954737373</v>
      </c>
      <c r="K37" s="82">
        <f t="shared" si="154"/>
        <v>629.96924204294544</v>
      </c>
      <c r="L37" s="93">
        <f t="shared" si="154"/>
        <v>664.72097298532424</v>
      </c>
      <c r="M37" s="93">
        <f t="shared" si="154"/>
        <v>652.51762920175815</v>
      </c>
      <c r="N37" s="93">
        <f t="shared" si="154"/>
        <v>643.44697898781783</v>
      </c>
      <c r="O37" s="93">
        <f t="shared" si="154"/>
        <v>669.65775444593658</v>
      </c>
      <c r="P37" s="82">
        <f t="shared" si="154"/>
        <v>657.60976214329241</v>
      </c>
      <c r="Q37" s="93">
        <f t="shared" si="154"/>
        <v>693.75959541226405</v>
      </c>
      <c r="R37" s="93">
        <f t="shared" si="154"/>
        <v>711.06297153955325</v>
      </c>
      <c r="S37" s="93">
        <f t="shared" si="154"/>
        <v>704.02039451688404</v>
      </c>
      <c r="T37" s="93">
        <f t="shared" si="154"/>
        <v>741.75648609260168</v>
      </c>
      <c r="U37" s="82">
        <f t="shared" si="154"/>
        <v>713.59593283509992</v>
      </c>
      <c r="V37" s="93">
        <f t="shared" si="154"/>
        <v>758.8797605595089</v>
      </c>
      <c r="W37" s="93">
        <f t="shared" si="154"/>
        <v>753.47912524850892</v>
      </c>
      <c r="X37" s="93">
        <f t="shared" si="154"/>
        <v>790.84698517147626</v>
      </c>
      <c r="Y37" s="93">
        <f t="shared" si="154"/>
        <v>808.11367662376165</v>
      </c>
      <c r="Z37" s="82">
        <f t="shared" si="154"/>
        <v>777.99677820364741</v>
      </c>
      <c r="AA37" s="93">
        <f t="shared" si="154"/>
        <v>839.13226590611862</v>
      </c>
      <c r="AB37" s="93">
        <f t="shared" si="154"/>
        <v>831.76915428881318</v>
      </c>
      <c r="AC37" s="93">
        <f t="shared" si="154"/>
        <v>818.66886003912498</v>
      </c>
      <c r="AD37" s="93">
        <f t="shared" si="154"/>
        <v>841.76364771100259</v>
      </c>
      <c r="AE37" s="82">
        <f t="shared" si="154"/>
        <v>832.8629286493142</v>
      </c>
      <c r="AF37" s="93">
        <f t="shared" si="154"/>
        <v>857.87326776933389</v>
      </c>
      <c r="AG37" s="93">
        <f t="shared" si="154"/>
        <v>853.80681007722978</v>
      </c>
      <c r="AH37" s="93">
        <f t="shared" si="154"/>
        <v>831.86304927743913</v>
      </c>
      <c r="AI37" s="93">
        <f t="shared" si="154"/>
        <v>829.19141332796448</v>
      </c>
      <c r="AJ37" s="82">
        <f t="shared" ref="AJ37:BN37" si="155">1000000*AJ31/AJ$10</f>
        <v>842.64448018175392</v>
      </c>
      <c r="AK37" s="93">
        <f t="shared" si="155"/>
        <v>861.92766354222897</v>
      </c>
      <c r="AL37" s="93">
        <f t="shared" si="155"/>
        <v>891.08626938895054</v>
      </c>
      <c r="AM37" s="93">
        <f t="shared" si="155"/>
        <v>1210.4235072358019</v>
      </c>
      <c r="AN37" s="93">
        <f t="shared" si="155"/>
        <v>1245.618822181141</v>
      </c>
      <c r="AO37" s="82">
        <f t="shared" si="155"/>
        <v>1098.5315097031316</v>
      </c>
      <c r="AP37" s="93">
        <f t="shared" si="155"/>
        <v>1245.4722144328302</v>
      </c>
      <c r="AQ37" s="93">
        <f t="shared" si="155"/>
        <v>1261.787085584818</v>
      </c>
      <c r="AR37" s="93">
        <f t="shared" si="155"/>
        <v>1270.0152146458367</v>
      </c>
      <c r="AS37" s="93">
        <f t="shared" si="155"/>
        <v>1311.2014011453487</v>
      </c>
      <c r="AT37" s="82">
        <f t="shared" si="155"/>
        <v>1271.7774593999222</v>
      </c>
      <c r="AU37" s="93">
        <f t="shared" si="155"/>
        <v>1312.2672701068846</v>
      </c>
      <c r="AV37" s="93">
        <f t="shared" si="155"/>
        <v>1306.7150409324699</v>
      </c>
      <c r="AW37" s="93">
        <f t="shared" si="155"/>
        <v>1305.8928674920769</v>
      </c>
      <c r="AX37" s="93">
        <f t="shared" si="155"/>
        <v>1361.3304957830851</v>
      </c>
      <c r="AY37" s="82">
        <f t="shared" si="155"/>
        <v>1321.4477319196503</v>
      </c>
      <c r="AZ37" s="93">
        <f t="shared" si="155"/>
        <v>1328.2849789857621</v>
      </c>
      <c r="BA37" s="93">
        <f t="shared" si="155"/>
        <v>1356.7793805120843</v>
      </c>
      <c r="BB37" s="93">
        <f t="shared" si="155"/>
        <v>1354.8867444534135</v>
      </c>
      <c r="BC37" s="93">
        <f t="shared" si="155"/>
        <v>1376.338217389479</v>
      </c>
      <c r="BD37" s="82">
        <f t="shared" si="155"/>
        <v>1354.2325669592849</v>
      </c>
      <c r="BE37" s="93">
        <f t="shared" si="155"/>
        <v>1376.6924808618046</v>
      </c>
      <c r="BF37" s="93">
        <f t="shared" si="155"/>
        <v>1352.5167078090192</v>
      </c>
      <c r="BG37" s="93">
        <f t="shared" si="155"/>
        <v>1372.0431264268896</v>
      </c>
      <c r="BH37" s="93">
        <f t="shared" si="155"/>
        <v>1410.4184251778609</v>
      </c>
      <c r="BI37" s="82">
        <f t="shared" si="155"/>
        <v>1377.8910935638846</v>
      </c>
      <c r="BJ37" s="93">
        <f t="shared" si="155"/>
        <v>1389.515488482923</v>
      </c>
      <c r="BK37" s="93">
        <f t="shared" si="155"/>
        <v>1395.3108706429389</v>
      </c>
      <c r="BL37" s="93">
        <f t="shared" si="155"/>
        <v>1361.4003913718257</v>
      </c>
      <c r="BM37" s="93">
        <f>1000000*BM31/BM$10</f>
        <v>1419.7644924969179</v>
      </c>
      <c r="BN37" s="82">
        <f t="shared" si="155"/>
        <v>1391.4246674243684</v>
      </c>
      <c r="BO37" s="93">
        <f t="shared" ref="BO37:CC37" si="156">1000000*BO31/BO$10</f>
        <v>1437.7954848044637</v>
      </c>
      <c r="BP37" s="93">
        <f t="shared" si="156"/>
        <v>1444.9389564571534</v>
      </c>
      <c r="BQ37" s="93">
        <f t="shared" si="156"/>
        <v>1423.5947689461791</v>
      </c>
      <c r="BR37" s="93">
        <f t="shared" si="156"/>
        <v>1554.463984742978</v>
      </c>
      <c r="BS37" s="82">
        <f t="shared" si="156"/>
        <v>1464.2505734770184</v>
      </c>
      <c r="BT37" s="93">
        <f t="shared" si="156"/>
        <v>1450.8846969364627</v>
      </c>
      <c r="BU37" s="93">
        <f t="shared" si="156"/>
        <v>1438.7030618252425</v>
      </c>
      <c r="BV37" s="93">
        <f t="shared" si="156"/>
        <v>1425.6595377206563</v>
      </c>
      <c r="BW37" s="93">
        <f t="shared" si="156"/>
        <v>1492.2224739642336</v>
      </c>
      <c r="BX37" s="82">
        <f t="shared" si="156"/>
        <v>1451.8692690369403</v>
      </c>
      <c r="BY37" s="93">
        <f t="shared" si="156"/>
        <v>1494.9413304193095</v>
      </c>
      <c r="BZ37" s="93">
        <f t="shared" si="156"/>
        <v>1466.4018019145342</v>
      </c>
      <c r="CA37" s="93">
        <f t="shared" si="156"/>
        <v>1486.9308147873514</v>
      </c>
      <c r="CB37" s="93">
        <f>1000000*CB31/CB$10</f>
        <v>1533.3681134811422</v>
      </c>
      <c r="CC37" s="82">
        <f t="shared" si="156"/>
        <v>1495.2700491078681</v>
      </c>
      <c r="CD37" s="93">
        <f t="shared" ref="CD37:CE37" si="157">1000000*CD31/CD$10</f>
        <v>1556.9221655832514</v>
      </c>
      <c r="CE37" s="93">
        <f t="shared" si="157"/>
        <v>1621.4934403219913</v>
      </c>
      <c r="CF37" s="93">
        <f t="shared" ref="CF37:CI37" si="158">1000000*CF31/CF$10</f>
        <v>1621.7416563298393</v>
      </c>
      <c r="CG37" s="93">
        <f t="shared" ref="CG37" si="159">1000000*CG31/CG$10</f>
        <v>1658.4878226099599</v>
      </c>
      <c r="CH37" s="82">
        <f t="shared" si="158"/>
        <v>1612.5266165967603</v>
      </c>
      <c r="CI37" s="93">
        <f t="shared" si="158"/>
        <v>1668.106865740782</v>
      </c>
      <c r="CJ37" s="93">
        <f t="shared" ref="CJ37:CK37" si="160">1000000*CJ31/CJ$10</f>
        <v>1677.4364343044174</v>
      </c>
      <c r="CK37" s="93">
        <f t="shared" si="160"/>
        <v>1619.7686120707281</v>
      </c>
      <c r="CL37" s="93">
        <f t="shared" ref="CL37" si="161">1000000*CL31/CL$10</f>
        <v>1733.1705203450585</v>
      </c>
      <c r="CM37" s="82">
        <f t="shared" ref="CM37" si="162">1000000*CM31/CM$10</f>
        <v>1673.6171049681122</v>
      </c>
      <c r="CN37" s="93">
        <f t="shared" ref="CN37:CW37" ca="1" si="163">1000000*CN31/CN$10</f>
        <v>1905.7465206910467</v>
      </c>
      <c r="CO37" s="93">
        <f t="shared" ca="1" si="163"/>
        <v>2026.4530640629964</v>
      </c>
      <c r="CP37" s="93">
        <f t="shared" ca="1" si="163"/>
        <v>2055.1747709069559</v>
      </c>
      <c r="CQ37" s="93">
        <f t="shared" ca="1" si="163"/>
        <v>2317.0790432662116</v>
      </c>
      <c r="CR37" s="82">
        <f t="shared" ca="1" si="163"/>
        <v>2065.2839836266694</v>
      </c>
      <c r="CS37" s="93">
        <f t="shared" ca="1" si="163"/>
        <v>2038.7707754307451</v>
      </c>
      <c r="CT37" s="93">
        <f t="shared" ca="1" si="163"/>
        <v>1972.8197738241943</v>
      </c>
      <c r="CU37" s="93">
        <f t="shared" ca="1" si="163"/>
        <v>1859.3241777897208</v>
      </c>
      <c r="CV37" s="93">
        <f t="shared" ca="1" si="163"/>
        <v>2221.786085213203</v>
      </c>
      <c r="CW37" s="82">
        <f t="shared" ca="1" si="163"/>
        <v>2021.3890662077633</v>
      </c>
      <c r="CX37" s="93">
        <f t="shared" ref="CX37:DB37" ca="1" si="164">1000000*CX31/CX$10</f>
        <v>1984.7532303421913</v>
      </c>
      <c r="CY37" s="93">
        <f t="shared" ca="1" si="164"/>
        <v>1929.1632618724736</v>
      </c>
      <c r="CZ37" s="93">
        <f t="shared" ca="1" si="164"/>
        <v>1841.5167162179628</v>
      </c>
      <c r="DA37" s="93">
        <f t="shared" ca="1" si="164"/>
        <v>2135.0412723055879</v>
      </c>
      <c r="DB37" s="82">
        <f t="shared" ca="1" si="164"/>
        <v>1971.8203877359765</v>
      </c>
      <c r="DC37" s="37"/>
      <c r="DD37" s="37"/>
      <c r="DE37" s="37"/>
      <c r="DF37" s="37"/>
      <c r="DG37" s="37"/>
      <c r="DH37" s="37"/>
      <c r="DI37" s="37"/>
      <c r="DJ37" s="37"/>
    </row>
    <row r="38" spans="1:114">
      <c r="A38" s="459"/>
      <c r="B38" s="475" t="s">
        <v>183</v>
      </c>
      <c r="C38" s="476"/>
      <c r="D38" s="140"/>
      <c r="E38" s="477"/>
      <c r="F38" s="140"/>
      <c r="G38" s="139"/>
      <c r="H38" s="139"/>
      <c r="I38" s="139"/>
      <c r="J38" s="139"/>
      <c r="K38" s="478">
        <f t="shared" ref="K38:AP38" si="165">K37/F37-1</f>
        <v>7.2011066186379091E-2</v>
      </c>
      <c r="L38" s="479">
        <f t="shared" si="165"/>
        <v>8.2355497769063257E-2</v>
      </c>
      <c r="M38" s="479">
        <f t="shared" si="165"/>
        <v>4.0344719314802102E-2</v>
      </c>
      <c r="N38" s="479">
        <f t="shared" si="165"/>
        <v>2.7881889390929615E-2</v>
      </c>
      <c r="O38" s="479">
        <f t="shared" si="165"/>
        <v>2.9870726402531744E-2</v>
      </c>
      <c r="P38" s="478">
        <f t="shared" si="165"/>
        <v>4.3875983549150233E-2</v>
      </c>
      <c r="Q38" s="479">
        <f t="shared" si="165"/>
        <v>4.3685431342002978E-2</v>
      </c>
      <c r="R38" s="479">
        <f t="shared" si="165"/>
        <v>8.9722238477165872E-2</v>
      </c>
      <c r="S38" s="479">
        <f t="shared" si="165"/>
        <v>9.4138938416265416E-2</v>
      </c>
      <c r="T38" s="479">
        <f t="shared" si="165"/>
        <v>0.10766504407362287</v>
      </c>
      <c r="U38" s="478">
        <f t="shared" si="165"/>
        <v>8.5135857030675055E-2</v>
      </c>
      <c r="V38" s="479">
        <f t="shared" si="165"/>
        <v>9.3865606440437732E-2</v>
      </c>
      <c r="W38" s="479">
        <f t="shared" si="165"/>
        <v>5.9651754354637099E-2</v>
      </c>
      <c r="X38" s="479">
        <f t="shared" si="165"/>
        <v>0.12332965256521411</v>
      </c>
      <c r="Y38" s="479">
        <f t="shared" si="165"/>
        <v>8.9459535272436996E-2</v>
      </c>
      <c r="Z38" s="478">
        <f t="shared" si="165"/>
        <v>9.0248335795138912E-2</v>
      </c>
      <c r="AA38" s="479">
        <f t="shared" si="165"/>
        <v>0.10575127907936421</v>
      </c>
      <c r="AB38" s="479">
        <f t="shared" si="165"/>
        <v>0.10390470872631408</v>
      </c>
      <c r="AC38" s="479">
        <f t="shared" si="165"/>
        <v>3.5179845645635588E-2</v>
      </c>
      <c r="AD38" s="479">
        <f t="shared" si="165"/>
        <v>4.164014551495776E-2</v>
      </c>
      <c r="AE38" s="478">
        <f t="shared" si="165"/>
        <v>7.0522336316545919E-2</v>
      </c>
      <c r="AF38" s="479">
        <f t="shared" si="165"/>
        <v>2.2333787681228401E-2</v>
      </c>
      <c r="AG38" s="479">
        <f t="shared" si="165"/>
        <v>2.6494918301291692E-2</v>
      </c>
      <c r="AH38" s="479">
        <f t="shared" si="165"/>
        <v>1.6116637485983798E-2</v>
      </c>
      <c r="AI38" s="479">
        <f t="shared" si="165"/>
        <v>-1.4935587224781721E-2</v>
      </c>
      <c r="AJ38" s="478">
        <f t="shared" si="165"/>
        <v>1.1744491435466964E-2</v>
      </c>
      <c r="AK38" s="479">
        <f t="shared" si="165"/>
        <v>4.7261010748562704E-3</v>
      </c>
      <c r="AL38" s="479">
        <f t="shared" si="165"/>
        <v>4.3662639922430024E-2</v>
      </c>
      <c r="AM38" s="479">
        <f t="shared" si="165"/>
        <v>0.45507545777779468</v>
      </c>
      <c r="AN38" s="479">
        <f t="shared" si="165"/>
        <v>0.50220902213861907</v>
      </c>
      <c r="AO38" s="478">
        <f t="shared" si="165"/>
        <v>0.30367140061984887</v>
      </c>
      <c r="AP38" s="479">
        <f t="shared" si="165"/>
        <v>0.44498461659109978</v>
      </c>
      <c r="AQ38" s="479">
        <f t="shared" ref="AQ38:CL38" si="166">AQ37/AL37-1</f>
        <v>0.41601001937788817</v>
      </c>
      <c r="AR38" s="479">
        <f t="shared" si="166"/>
        <v>4.9232113432861269E-2</v>
      </c>
      <c r="AS38" s="479">
        <f t="shared" si="166"/>
        <v>5.265060048576431E-2</v>
      </c>
      <c r="AT38" s="478">
        <f t="shared" si="166"/>
        <v>0.15770685516668403</v>
      </c>
      <c r="AU38" s="479">
        <f t="shared" si="166"/>
        <v>5.3630305758745278E-2</v>
      </c>
      <c r="AV38" s="479">
        <f t="shared" si="166"/>
        <v>3.5606605790253987E-2</v>
      </c>
      <c r="AW38" s="479">
        <f t="shared" si="166"/>
        <v>2.8249781917963235E-2</v>
      </c>
      <c r="AX38" s="479">
        <f t="shared" si="166"/>
        <v>3.8231422414549021E-2</v>
      </c>
      <c r="AY38" s="478">
        <f t="shared" si="166"/>
        <v>3.9055789322736123E-2</v>
      </c>
      <c r="AZ38" s="479">
        <f t="shared" si="166"/>
        <v>1.2206133036887223E-2</v>
      </c>
      <c r="BA38" s="479">
        <f t="shared" si="166"/>
        <v>3.8313127201695441E-2</v>
      </c>
      <c r="BB38" s="479">
        <f t="shared" si="166"/>
        <v>3.7517531629855494E-2</v>
      </c>
      <c r="BC38" s="479">
        <f t="shared" si="166"/>
        <v>1.1024304276501917E-2</v>
      </c>
      <c r="BD38" s="478">
        <f t="shared" si="166"/>
        <v>2.4809785697697206E-2</v>
      </c>
      <c r="BE38" s="479">
        <f t="shared" si="166"/>
        <v>3.6443611605850634E-2</v>
      </c>
      <c r="BF38" s="479">
        <f t="shared" si="166"/>
        <v>-3.1417581695973862E-3</v>
      </c>
      <c r="BG38" s="479">
        <f t="shared" si="166"/>
        <v>1.266259489489463E-2</v>
      </c>
      <c r="BH38" s="479">
        <f t="shared" si="166"/>
        <v>2.476150655252618E-2</v>
      </c>
      <c r="BI38" s="478">
        <f t="shared" si="166"/>
        <v>1.7470061776553747E-2</v>
      </c>
      <c r="BJ38" s="479">
        <f t="shared" si="166"/>
        <v>9.3143587252624283E-3</v>
      </c>
      <c r="BK38" s="479">
        <f t="shared" si="166"/>
        <v>3.1640394966538476E-2</v>
      </c>
      <c r="BL38" s="479">
        <f t="shared" si="166"/>
        <v>-7.7568516980803803E-3</v>
      </c>
      <c r="BM38" s="479">
        <f t="shared" si="166"/>
        <v>6.626450103187187E-3</v>
      </c>
      <c r="BN38" s="478">
        <f t="shared" si="166"/>
        <v>9.821947412026244E-3</v>
      </c>
      <c r="BO38" s="479">
        <f t="shared" si="166"/>
        <v>3.4745921669612212E-2</v>
      </c>
      <c r="BP38" s="479">
        <f t="shared" si="166"/>
        <v>3.5567762610024367E-2</v>
      </c>
      <c r="BQ38" s="479">
        <f>BQ37/BL37-1</f>
        <v>4.5684119064842266E-2</v>
      </c>
      <c r="BR38" s="479">
        <f>BR37/BM37-1</f>
        <v>9.4874532331179928E-2</v>
      </c>
      <c r="BS38" s="478">
        <f t="shared" si="166"/>
        <v>5.2339093705630724E-2</v>
      </c>
      <c r="BT38" s="479">
        <f t="shared" si="166"/>
        <v>9.1036675732634187E-3</v>
      </c>
      <c r="BU38" s="479">
        <f t="shared" si="166"/>
        <v>-4.3156803296388047E-3</v>
      </c>
      <c r="BV38" s="479">
        <f t="shared" si="166"/>
        <v>1.4503908131142662E-3</v>
      </c>
      <c r="BW38" s="479">
        <f t="shared" si="166"/>
        <v>-4.0040497167926126E-2</v>
      </c>
      <c r="BX38" s="478">
        <f>BX37/BS37-1</f>
        <v>-8.4557279091087567E-3</v>
      </c>
      <c r="BY38" s="479">
        <f t="shared" si="166"/>
        <v>3.0365358167931733E-2</v>
      </c>
      <c r="BZ38" s="479">
        <f t="shared" si="166"/>
        <v>1.9252576034801239E-2</v>
      </c>
      <c r="CA38" s="479">
        <f t="shared" si="166"/>
        <v>4.2977495990841996E-2</v>
      </c>
      <c r="CB38" s="479">
        <f t="shared" si="166"/>
        <v>2.7573394875632262E-2</v>
      </c>
      <c r="CC38" s="478">
        <f>CC37/BX37-1</f>
        <v>2.9893035823891134E-2</v>
      </c>
      <c r="CD38" s="479">
        <f t="shared" si="166"/>
        <v>4.1460379683634363E-2</v>
      </c>
      <c r="CE38" s="479">
        <f t="shared" si="166"/>
        <v>0.10576339868443263</v>
      </c>
      <c r="CF38" s="479">
        <f t="shared" si="166"/>
        <v>9.0663829279620689E-2</v>
      </c>
      <c r="CG38" s="479">
        <f t="shared" si="166"/>
        <v>8.159795943895265E-2</v>
      </c>
      <c r="CH38" s="478">
        <f>CH37/CC37-1</f>
        <v>7.8418321532522928E-2</v>
      </c>
      <c r="CI38" s="479">
        <f t="shared" si="166"/>
        <v>7.1413139728715214E-2</v>
      </c>
      <c r="CJ38" s="479">
        <f t="shared" si="166"/>
        <v>3.4500906751320004E-2</v>
      </c>
      <c r="CK38" s="479">
        <f t="shared" si="166"/>
        <v>-1.2166205704898791E-3</v>
      </c>
      <c r="CL38" s="479">
        <f t="shared" si="166"/>
        <v>4.5030597582302656E-2</v>
      </c>
      <c r="CM38" s="478">
        <f t="shared" ref="CM38" si="167">CM37/CH37-1</f>
        <v>3.7884948839036037E-2</v>
      </c>
      <c r="CN38" s="479">
        <f t="shared" ref="CN38:CW38" ca="1" si="168">CN37/CI37-1</f>
        <v>0.14246068991792815</v>
      </c>
      <c r="CO38" s="479">
        <f t="shared" ca="1" si="168"/>
        <v>0.2080654876816872</v>
      </c>
      <c r="CP38" s="479">
        <f t="shared" ca="1" si="168"/>
        <v>0.26880762819548676</v>
      </c>
      <c r="CQ38" s="479">
        <f t="shared" ca="1" si="168"/>
        <v>0.33690194707725696</v>
      </c>
      <c r="CR38" s="478">
        <f t="shared" ca="1" si="168"/>
        <v>0.23402418480063258</v>
      </c>
      <c r="CS38" s="479">
        <f t="shared" ca="1" si="168"/>
        <v>6.9801651633849993E-2</v>
      </c>
      <c r="CT38" s="479">
        <f t="shared" ca="1" si="168"/>
        <v>-2.6466583998382087E-2</v>
      </c>
      <c r="CU38" s="479">
        <f t="shared" ca="1" si="168"/>
        <v>-9.5296320239862453E-2</v>
      </c>
      <c r="CV38" s="479">
        <f t="shared" ca="1" si="168"/>
        <v>-4.1126330295008562E-2</v>
      </c>
      <c r="CW38" s="478">
        <f t="shared" ca="1" si="168"/>
        <v>-2.1253695746880297E-2</v>
      </c>
      <c r="CX38" s="479">
        <f t="shared" ref="CX38" ca="1" si="169">CX37/CS37-1</f>
        <v>-2.649515371689648E-2</v>
      </c>
      <c r="CY38" s="479">
        <f t="shared" ref="CY38" ca="1" si="170">CY37/CT37-1</f>
        <v>-2.2128991472492698E-2</v>
      </c>
      <c r="CZ38" s="479">
        <f t="shared" ref="CZ38" ca="1" si="171">CZ37/CU37-1</f>
        <v>-9.577383968042974E-3</v>
      </c>
      <c r="DA38" s="479">
        <f t="shared" ref="DA38" ca="1" si="172">DA37/CV37-1</f>
        <v>-3.9042828418511366E-2</v>
      </c>
      <c r="DB38" s="478">
        <f t="shared" ref="DB38" ca="1" si="173">DB37/CW37-1</f>
        <v>-2.452208696506919E-2</v>
      </c>
      <c r="DC38" s="167"/>
      <c r="DD38" s="167"/>
      <c r="DE38" s="167"/>
      <c r="DF38" s="167"/>
      <c r="DG38" s="167"/>
      <c r="DH38" s="167"/>
      <c r="DI38" s="167"/>
      <c r="DJ38" s="167"/>
    </row>
    <row r="39" spans="1:114" ht="5.25" customHeight="1">
      <c r="A39" s="163"/>
      <c r="B39" s="37"/>
      <c r="C39" s="500"/>
      <c r="D39" s="163"/>
      <c r="E39" s="163"/>
      <c r="F39" s="163"/>
      <c r="G39" s="163"/>
      <c r="H39" s="163"/>
      <c r="I39" s="163"/>
      <c r="J39" s="163"/>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7"/>
      <c r="AN39" s="237"/>
      <c r="AO39" s="237"/>
      <c r="AP39" s="237"/>
      <c r="AQ39" s="237"/>
      <c r="AR39" s="237"/>
      <c r="AS39" s="237"/>
      <c r="AT39" s="237"/>
      <c r="AU39" s="237"/>
      <c r="AV39" s="237"/>
      <c r="AW39" s="237"/>
      <c r="AX39" s="237"/>
      <c r="AY39" s="237"/>
      <c r="AZ39" s="237"/>
      <c r="BA39" s="237"/>
      <c r="BB39" s="237"/>
      <c r="BC39" s="237"/>
      <c r="BD39" s="237"/>
      <c r="BE39" s="237"/>
      <c r="BF39" s="237"/>
      <c r="BG39" s="237"/>
      <c r="BH39" s="237"/>
      <c r="BI39" s="237"/>
      <c r="BJ39" s="237"/>
      <c r="BK39" s="237"/>
      <c r="BL39" s="237"/>
      <c r="BM39" s="237"/>
      <c r="BN39" s="237"/>
      <c r="BO39" s="237"/>
      <c r="BP39" s="237"/>
      <c r="BQ39" s="237"/>
      <c r="BR39" s="237"/>
      <c r="BS39" s="237"/>
      <c r="BT39" s="237"/>
      <c r="BU39" s="237"/>
      <c r="BV39" s="237"/>
      <c r="BW39" s="237"/>
      <c r="BX39" s="237"/>
      <c r="BY39" s="237"/>
      <c r="BZ39" s="237"/>
      <c r="CA39" s="237"/>
      <c r="CB39" s="237"/>
      <c r="CC39" s="237"/>
      <c r="CD39" s="237"/>
      <c r="CE39" s="237"/>
      <c r="CF39" s="237"/>
      <c r="CG39" s="237"/>
      <c r="CH39" s="237"/>
      <c r="CI39" s="237"/>
      <c r="CJ39" s="237"/>
      <c r="CK39" s="237"/>
      <c r="CL39" s="237"/>
      <c r="CM39" s="237"/>
      <c r="CN39" s="237"/>
      <c r="CO39" s="237"/>
      <c r="CP39" s="237"/>
      <c r="CQ39" s="237"/>
      <c r="CR39" s="237"/>
      <c r="CS39" s="237"/>
      <c r="CT39" s="237"/>
      <c r="CU39" s="237"/>
      <c r="CV39" s="237"/>
      <c r="CW39" s="237"/>
      <c r="CX39" s="237"/>
      <c r="CY39" s="237"/>
      <c r="CZ39" s="237"/>
      <c r="DA39" s="237"/>
      <c r="DB39" s="237"/>
      <c r="DC39" s="163"/>
      <c r="DD39" s="163"/>
      <c r="DE39" s="163"/>
      <c r="DF39" s="163"/>
      <c r="DG39" s="163"/>
      <c r="DH39" s="163"/>
      <c r="DI39" s="163"/>
      <c r="DJ39" s="163"/>
    </row>
    <row r="40" spans="1:114" s="565" customFormat="1">
      <c r="A40" s="556"/>
      <c r="B40" s="557" t="s">
        <v>190</v>
      </c>
      <c r="C40" s="558"/>
      <c r="D40" s="559">
        <f>IS!D14</f>
        <v>31.385000000000002</v>
      </c>
      <c r="E40" s="560">
        <f>IS!E14</f>
        <v>25.521999999999998</v>
      </c>
      <c r="F40" s="561">
        <f>IS!F14</f>
        <v>31.385000000000002</v>
      </c>
      <c r="G40" s="562">
        <f>IS!G14</f>
        <v>9.8409999999999993</v>
      </c>
      <c r="H40" s="562">
        <f>IS!H14</f>
        <v>9.8460000000000001</v>
      </c>
      <c r="I40" s="562">
        <f>IS!I14</f>
        <v>10.956</v>
      </c>
      <c r="J40" s="562">
        <f>IS!J14</f>
        <v>12.177999999999999</v>
      </c>
      <c r="K40" s="561">
        <f>IS!K14</f>
        <v>42.820999999999998</v>
      </c>
      <c r="L40" s="562">
        <f>IS!L14</f>
        <v>12.148999999999999</v>
      </c>
      <c r="M40" s="562">
        <f>IS!M14</f>
        <v>13.475</v>
      </c>
      <c r="N40" s="562">
        <f>IS!N14</f>
        <v>13.997</v>
      </c>
      <c r="O40" s="562">
        <f>IS!O14</f>
        <v>14.769</v>
      </c>
      <c r="P40" s="561">
        <f>IS!P14</f>
        <v>54.389999999999993</v>
      </c>
      <c r="Q40" s="562">
        <f>IS!Q14</f>
        <v>16.138999999999999</v>
      </c>
      <c r="R40" s="562">
        <f>IS!R14</f>
        <v>16.917000000000002</v>
      </c>
      <c r="S40" s="562">
        <f>IS!S14</f>
        <v>18.004000000000001</v>
      </c>
      <c r="T40" s="562">
        <f>IS!T14</f>
        <v>19.082999999999995</v>
      </c>
      <c r="U40" s="561">
        <f>IS!U14</f>
        <v>70.143000000000001</v>
      </c>
      <c r="V40" s="562">
        <f>IS!V14</f>
        <v>19.698</v>
      </c>
      <c r="W40" s="562">
        <f>IS!W14</f>
        <v>20.11</v>
      </c>
      <c r="X40" s="562">
        <f>IS!X14</f>
        <v>20.951000000000001</v>
      </c>
      <c r="Y40" s="562">
        <f>IS!Y14</f>
        <v>20.629000000000005</v>
      </c>
      <c r="Z40" s="561">
        <f>IS!Z14</f>
        <v>81.388000000000005</v>
      </c>
      <c r="AA40" s="562">
        <f>IS!AA14</f>
        <v>20.827999999999999</v>
      </c>
      <c r="AB40" s="562">
        <f>IS!AB14</f>
        <v>22.012</v>
      </c>
      <c r="AC40" s="562">
        <f>IS!AC14</f>
        <v>22.327999999999999</v>
      </c>
      <c r="AD40" s="562">
        <f>IS!AD14</f>
        <v>22.041999999999991</v>
      </c>
      <c r="AE40" s="561">
        <f>IS!AE14</f>
        <v>87.21</v>
      </c>
      <c r="AF40" s="562">
        <f>IS!AF14</f>
        <v>22.981999999999999</v>
      </c>
      <c r="AG40" s="562">
        <f>IS!AG14</f>
        <v>23.646000000000001</v>
      </c>
      <c r="AH40" s="562">
        <f>IS!AH14</f>
        <v>24.49</v>
      </c>
      <c r="AI40" s="562">
        <f>IS!AI14</f>
        <v>25.986000000000001</v>
      </c>
      <c r="AJ40" s="561">
        <f>IS!AJ14</f>
        <v>97.103999999999999</v>
      </c>
      <c r="AK40" s="562">
        <f>IS!AK14</f>
        <v>25.995999999999999</v>
      </c>
      <c r="AL40" s="562">
        <f>IS!AL14</f>
        <v>28.244</v>
      </c>
      <c r="AM40" s="562">
        <f>IS!AM14</f>
        <v>49.06</v>
      </c>
      <c r="AN40" s="562">
        <f>IS!AN14</f>
        <v>56.600999999999999</v>
      </c>
      <c r="AO40" s="561">
        <f>IS!AO14</f>
        <v>159.90100000000001</v>
      </c>
      <c r="AP40" s="562">
        <f>IS!AP14</f>
        <v>59.856999999999999</v>
      </c>
      <c r="AQ40" s="562">
        <f>IS!AQ14</f>
        <v>58.478999999999999</v>
      </c>
      <c r="AR40" s="562">
        <f>IS!AR14</f>
        <v>58.841999999999999</v>
      </c>
      <c r="AS40" s="562">
        <f>IS!AS14</f>
        <v>55.279000000000003</v>
      </c>
      <c r="AT40" s="561">
        <f>IS!AT14</f>
        <v>232.45699999999999</v>
      </c>
      <c r="AU40" s="562">
        <f>IS!AU14</f>
        <v>59.942999999999998</v>
      </c>
      <c r="AV40" s="562">
        <f>IS!AV14</f>
        <v>61.2</v>
      </c>
      <c r="AW40" s="562">
        <f>IS!AW14</f>
        <v>62.683</v>
      </c>
      <c r="AX40" s="562">
        <f>IS!AX14</f>
        <v>62.920999999999999</v>
      </c>
      <c r="AY40" s="561">
        <f>IS!AY14</f>
        <v>246.74699999999999</v>
      </c>
      <c r="AZ40" s="562">
        <f>IS!AZ14</f>
        <v>64.421000000000006</v>
      </c>
      <c r="BA40" s="562">
        <f>IS!BA14</f>
        <v>63.23</v>
      </c>
      <c r="BB40" s="562">
        <f>IS!BB14</f>
        <v>64.465000000000003</v>
      </c>
      <c r="BC40" s="562">
        <f>IS!BC14</f>
        <v>65.405000000000001</v>
      </c>
      <c r="BD40" s="561">
        <f>IS!BD14</f>
        <v>257.52100000000002</v>
      </c>
      <c r="BE40" s="562">
        <f>IS!BE14</f>
        <v>64.757000000000005</v>
      </c>
      <c r="BF40" s="562">
        <f>IS!BF14</f>
        <v>62.430999999999997</v>
      </c>
      <c r="BG40" s="562">
        <f>IS!BG14</f>
        <v>64.480999999999995</v>
      </c>
      <c r="BH40" s="562">
        <f>IS!BH14</f>
        <v>64.698999999999998</v>
      </c>
      <c r="BI40" s="561">
        <f>IS!BI14</f>
        <v>256.36799999999999</v>
      </c>
      <c r="BJ40" s="562">
        <f>IS!BJ14</f>
        <v>67.224000000000004</v>
      </c>
      <c r="BK40" s="562">
        <f>IS!BK14</f>
        <v>66.462999999999994</v>
      </c>
      <c r="BL40" s="562">
        <f>IS!BL14</f>
        <v>68.637</v>
      </c>
      <c r="BM40" s="562">
        <f>IS!BM14</f>
        <v>70.504999999999995</v>
      </c>
      <c r="BN40" s="561">
        <f>SUM(BJ40:BM40)</f>
        <v>272.82900000000001</v>
      </c>
      <c r="BO40" s="562">
        <f>IS!BO14</f>
        <v>71.554000000000002</v>
      </c>
      <c r="BP40" s="562">
        <f>IS!BP14</f>
        <v>71.819999999999993</v>
      </c>
      <c r="BQ40" s="562">
        <f>IS!BQ14</f>
        <v>71.646000000000001</v>
      </c>
      <c r="BR40" s="562">
        <f>IS!BR14</f>
        <v>72.391999999999996</v>
      </c>
      <c r="BS40" s="561">
        <f>SUM(BO40:BR40)</f>
        <v>287.41199999999998</v>
      </c>
      <c r="BT40" s="562">
        <f>IS!BT14</f>
        <v>99</v>
      </c>
      <c r="BU40" s="562">
        <f>IS!BU14</f>
        <v>111</v>
      </c>
      <c r="BV40" s="562">
        <f>IS!BV14</f>
        <v>110</v>
      </c>
      <c r="BW40" s="562">
        <f>IS!BW14</f>
        <v>115</v>
      </c>
      <c r="BX40" s="561">
        <f>SUM(BT40:BW40)</f>
        <v>435</v>
      </c>
      <c r="BY40" s="562">
        <f>IS!BY14</f>
        <v>116</v>
      </c>
      <c r="BZ40" s="562">
        <f>IS!BZ14</f>
        <v>113</v>
      </c>
      <c r="CA40" s="562">
        <f>IS!CA14</f>
        <v>115</v>
      </c>
      <c r="CB40" s="562">
        <f>IS!CB14</f>
        <v>113</v>
      </c>
      <c r="CC40" s="561">
        <f>SUM(BY40:CB40)</f>
        <v>457</v>
      </c>
      <c r="CD40" s="562">
        <f>IS!CD14</f>
        <v>119</v>
      </c>
      <c r="CE40" s="562">
        <f>IS!CE14</f>
        <v>112</v>
      </c>
      <c r="CF40" s="562">
        <f>IS!CF14</f>
        <v>109</v>
      </c>
      <c r="CG40" s="562">
        <f>IS!CG14</f>
        <v>110</v>
      </c>
      <c r="CH40" s="561">
        <f>SUM(CD40:CG40)</f>
        <v>450</v>
      </c>
      <c r="CI40" s="562">
        <f>IS!CI14</f>
        <v>109</v>
      </c>
      <c r="CJ40" s="562">
        <f>IS!CJ14</f>
        <v>104</v>
      </c>
      <c r="CK40" s="562">
        <f>IS!CK14</f>
        <v>93</v>
      </c>
      <c r="CL40" s="562">
        <f>IS!CL14</f>
        <v>88</v>
      </c>
      <c r="CM40" s="561">
        <f>SUM(CI40:CL40)</f>
        <v>394</v>
      </c>
      <c r="CN40" s="562">
        <f>CI40*(1+CN41)</f>
        <v>103.55</v>
      </c>
      <c r="CO40" s="562">
        <f>CJ40*(1+CO41)</f>
        <v>101.92</v>
      </c>
      <c r="CP40" s="562">
        <f>CK40*(1+CP41)</f>
        <v>93.93</v>
      </c>
      <c r="CQ40" s="562">
        <f>CL40*(1+CQ41)</f>
        <v>86.24</v>
      </c>
      <c r="CR40" s="561">
        <f>SUM(CN40:CQ40)</f>
        <v>385.64</v>
      </c>
      <c r="CS40" s="562">
        <f>CN40*(1+CS41)</f>
        <v>106.13874999999999</v>
      </c>
      <c r="CT40" s="562">
        <f>CO40*(1+CT41)</f>
        <v>104.46799999999999</v>
      </c>
      <c r="CU40" s="562">
        <f>CP40*(1+CU41)</f>
        <v>96.27825</v>
      </c>
      <c r="CV40" s="562">
        <f>CQ40*(1+CV41)</f>
        <v>88.395999999999987</v>
      </c>
      <c r="CW40" s="563">
        <f>SUM(CS40:CV40)</f>
        <v>395.28099999999995</v>
      </c>
      <c r="CX40" s="562">
        <f>CS40*(1+CX41)</f>
        <v>108.79221874999998</v>
      </c>
      <c r="CY40" s="562">
        <f>CT40*(1+CY41)</f>
        <v>107.07969999999997</v>
      </c>
      <c r="CZ40" s="562">
        <f>CU40*(1+CZ41)</f>
        <v>98.685206249999993</v>
      </c>
      <c r="DA40" s="562">
        <f>CV40*(1+DA41)</f>
        <v>90.605899999999977</v>
      </c>
      <c r="DB40" s="563">
        <f>SUM(CX40:DA40)</f>
        <v>405.16302499999989</v>
      </c>
      <c r="DC40" s="564"/>
      <c r="DD40" s="564"/>
      <c r="DE40" s="564"/>
      <c r="DF40" s="564"/>
      <c r="DG40" s="564"/>
      <c r="DH40" s="564"/>
      <c r="DI40" s="564"/>
      <c r="DJ40" s="564"/>
    </row>
    <row r="41" spans="1:114">
      <c r="A41" s="458"/>
      <c r="B41" s="473" t="s">
        <v>183</v>
      </c>
      <c r="C41" s="474"/>
      <c r="D41" s="129"/>
      <c r="E41" s="153"/>
      <c r="F41" s="129"/>
      <c r="G41" s="167"/>
      <c r="H41" s="167"/>
      <c r="I41" s="167"/>
      <c r="J41" s="167"/>
      <c r="K41" s="67">
        <f t="shared" ref="K41:AP41" si="174">K40/F40-1</f>
        <v>0.36437788752588807</v>
      </c>
      <c r="L41" s="237">
        <f t="shared" si="174"/>
        <v>0.23452901127934145</v>
      </c>
      <c r="M41" s="237">
        <f t="shared" si="174"/>
        <v>0.36857607150111726</v>
      </c>
      <c r="N41" s="237">
        <f t="shared" si="174"/>
        <v>0.27756480467323841</v>
      </c>
      <c r="O41" s="237">
        <f t="shared" si="174"/>
        <v>0.21276071604532776</v>
      </c>
      <c r="P41" s="67">
        <f t="shared" si="174"/>
        <v>0.27017117769318788</v>
      </c>
      <c r="Q41" s="237">
        <f t="shared" si="174"/>
        <v>0.32842209235328013</v>
      </c>
      <c r="R41" s="237">
        <f t="shared" si="174"/>
        <v>0.25543599257884986</v>
      </c>
      <c r="S41" s="237">
        <f t="shared" si="174"/>
        <v>0.28627563049224847</v>
      </c>
      <c r="T41" s="237">
        <f t="shared" si="174"/>
        <v>0.29209831403615638</v>
      </c>
      <c r="U41" s="67">
        <f t="shared" si="174"/>
        <v>0.28963044677330418</v>
      </c>
      <c r="V41" s="237">
        <f t="shared" si="174"/>
        <v>0.22052171757853656</v>
      </c>
      <c r="W41" s="237">
        <f t="shared" si="174"/>
        <v>0.18874504935863312</v>
      </c>
      <c r="X41" s="237">
        <f t="shared" si="174"/>
        <v>0.1636858475894245</v>
      </c>
      <c r="Y41" s="237">
        <f t="shared" si="174"/>
        <v>8.1014515537389808E-2</v>
      </c>
      <c r="Z41" s="67">
        <f t="shared" si="174"/>
        <v>0.16031535577320621</v>
      </c>
      <c r="AA41" s="237">
        <f t="shared" si="174"/>
        <v>5.7366230074119118E-2</v>
      </c>
      <c r="AB41" s="237">
        <f t="shared" si="174"/>
        <v>9.4579811039283923E-2</v>
      </c>
      <c r="AC41" s="237">
        <f t="shared" si="174"/>
        <v>6.5724786406376801E-2</v>
      </c>
      <c r="AD41" s="237">
        <f t="shared" si="174"/>
        <v>6.8495806873817733E-2</v>
      </c>
      <c r="AE41" s="67">
        <f t="shared" si="174"/>
        <v>7.1533887059517243E-2</v>
      </c>
      <c r="AF41" s="237">
        <f t="shared" si="174"/>
        <v>0.1034184751296332</v>
      </c>
      <c r="AG41" s="237">
        <f t="shared" si="174"/>
        <v>7.4232236961657261E-2</v>
      </c>
      <c r="AH41" s="237">
        <f t="shared" si="174"/>
        <v>9.6829093514869236E-2</v>
      </c>
      <c r="AI41" s="237">
        <f t="shared" si="174"/>
        <v>0.17893113147627315</v>
      </c>
      <c r="AJ41" s="67">
        <f t="shared" si="174"/>
        <v>0.1134502923976608</v>
      </c>
      <c r="AK41" s="237">
        <f t="shared" si="174"/>
        <v>0.13114611435036116</v>
      </c>
      <c r="AL41" s="237">
        <f t="shared" si="174"/>
        <v>0.19445149285291374</v>
      </c>
      <c r="AM41" s="237">
        <f t="shared" si="174"/>
        <v>1.0032666394446714</v>
      </c>
      <c r="AN41" s="237">
        <f t="shared" si="174"/>
        <v>1.1781343800507966</v>
      </c>
      <c r="AO41" s="67">
        <f t="shared" si="174"/>
        <v>0.64669838523644763</v>
      </c>
      <c r="AP41" s="237">
        <f t="shared" si="174"/>
        <v>1.3025465456224037</v>
      </c>
      <c r="AQ41" s="237">
        <f t="shared" ref="AQ41:CL41" si="175">AQ40/AL40-1</f>
        <v>1.0704928480385214</v>
      </c>
      <c r="AR41" s="237">
        <f t="shared" si="175"/>
        <v>0.19938850387280871</v>
      </c>
      <c r="AS41" s="237">
        <f t="shared" si="175"/>
        <v>-2.3356477800745457E-2</v>
      </c>
      <c r="AT41" s="67">
        <f t="shared" si="175"/>
        <v>0.45375576137735218</v>
      </c>
      <c r="AU41" s="237">
        <f t="shared" si="175"/>
        <v>1.4367576056266707E-3</v>
      </c>
      <c r="AV41" s="237">
        <f t="shared" si="175"/>
        <v>4.6529523418663121E-2</v>
      </c>
      <c r="AW41" s="237">
        <f t="shared" si="175"/>
        <v>6.5276503178002043E-2</v>
      </c>
      <c r="AX41" s="237">
        <f t="shared" si="175"/>
        <v>0.1382441795256788</v>
      </c>
      <c r="AY41" s="67">
        <f t="shared" si="175"/>
        <v>6.1473734927319779E-2</v>
      </c>
      <c r="AZ41" s="237">
        <f t="shared" si="175"/>
        <v>7.4704302420633084E-2</v>
      </c>
      <c r="BA41" s="237">
        <f t="shared" si="175"/>
        <v>3.3169934640522758E-2</v>
      </c>
      <c r="BB41" s="237">
        <f t="shared" si="175"/>
        <v>2.8428760588995461E-2</v>
      </c>
      <c r="BC41" s="237">
        <f t="shared" si="175"/>
        <v>3.9478075682204627E-2</v>
      </c>
      <c r="BD41" s="67">
        <f t="shared" si="175"/>
        <v>4.3664158024211197E-2</v>
      </c>
      <c r="BE41" s="237">
        <f t="shared" si="175"/>
        <v>5.2156905356948169E-3</v>
      </c>
      <c r="BF41" s="237">
        <f t="shared" si="175"/>
        <v>-1.2636406768938735E-2</v>
      </c>
      <c r="BG41" s="237">
        <f t="shared" si="175"/>
        <v>2.4819669588138638E-4</v>
      </c>
      <c r="BH41" s="237">
        <f t="shared" si="175"/>
        <v>-1.0794281782738335E-2</v>
      </c>
      <c r="BI41" s="67">
        <f t="shared" si="175"/>
        <v>-4.4773047634950602E-3</v>
      </c>
      <c r="BJ41" s="237">
        <f t="shared" si="175"/>
        <v>3.8096267584971422E-2</v>
      </c>
      <c r="BK41" s="237">
        <f t="shared" si="175"/>
        <v>6.4583299963159257E-2</v>
      </c>
      <c r="BL41" s="237">
        <f t="shared" si="175"/>
        <v>6.4453094710069658E-2</v>
      </c>
      <c r="BM41" s="237">
        <f t="shared" si="175"/>
        <v>8.9738635836720704E-2</v>
      </c>
      <c r="BN41" s="67">
        <f t="shared" si="175"/>
        <v>6.4208481557760821E-2</v>
      </c>
      <c r="BO41" s="237">
        <f t="shared" si="175"/>
        <v>6.4411519695346975E-2</v>
      </c>
      <c r="BP41" s="237">
        <f t="shared" si="175"/>
        <v>8.0601236778357954E-2</v>
      </c>
      <c r="BQ41" s="237">
        <f>BQ40/BL40-1</f>
        <v>4.3839328641986031E-2</v>
      </c>
      <c r="BR41" s="237">
        <f>BR40/BM40-1</f>
        <v>2.6764059286575437E-2</v>
      </c>
      <c r="BS41" s="67">
        <f t="shared" si="175"/>
        <v>5.3451062753592904E-2</v>
      </c>
      <c r="BT41" s="237">
        <f t="shared" si="175"/>
        <v>0.38357045028929204</v>
      </c>
      <c r="BU41" s="237">
        <f t="shared" si="175"/>
        <v>0.5455304928989142</v>
      </c>
      <c r="BV41" s="237">
        <f t="shared" si="175"/>
        <v>0.53532646623677516</v>
      </c>
      <c r="BW41" s="237">
        <f t="shared" si="175"/>
        <v>0.58857332301911813</v>
      </c>
      <c r="BX41" s="67">
        <f t="shared" si="175"/>
        <v>0.51350674293348941</v>
      </c>
      <c r="BY41" s="237">
        <f t="shared" si="175"/>
        <v>0.17171717171717171</v>
      </c>
      <c r="BZ41" s="237">
        <f t="shared" si="175"/>
        <v>1.8018018018018056E-2</v>
      </c>
      <c r="CA41" s="237">
        <f t="shared" si="175"/>
        <v>4.5454545454545414E-2</v>
      </c>
      <c r="CB41" s="237">
        <f t="shared" si="175"/>
        <v>-1.7391304347826098E-2</v>
      </c>
      <c r="CC41" s="67">
        <f>CC40/BX40-1</f>
        <v>5.0574712643678188E-2</v>
      </c>
      <c r="CD41" s="237">
        <f t="shared" si="175"/>
        <v>2.5862068965517349E-2</v>
      </c>
      <c r="CE41" s="237">
        <f t="shared" si="175"/>
        <v>-8.8495575221239076E-3</v>
      </c>
      <c r="CF41" s="237">
        <f t="shared" si="175"/>
        <v>-5.2173913043478293E-2</v>
      </c>
      <c r="CG41" s="237">
        <f t="shared" si="175"/>
        <v>-2.6548672566371723E-2</v>
      </c>
      <c r="CH41" s="67">
        <f>CH40/CC40-1</f>
        <v>-1.5317286652078765E-2</v>
      </c>
      <c r="CI41" s="237">
        <f t="shared" si="175"/>
        <v>-8.4033613445378186E-2</v>
      </c>
      <c r="CJ41" s="237">
        <f t="shared" si="175"/>
        <v>-7.1428571428571397E-2</v>
      </c>
      <c r="CK41" s="237">
        <f t="shared" si="175"/>
        <v>-0.14678899082568808</v>
      </c>
      <c r="CL41" s="237">
        <f t="shared" si="175"/>
        <v>-0.19999999999999996</v>
      </c>
      <c r="CM41" s="67">
        <f>CM40/CH40-1</f>
        <v>-0.12444444444444447</v>
      </c>
      <c r="CN41" s="674">
        <v>-0.05</v>
      </c>
      <c r="CO41" s="674">
        <v>-0.02</v>
      </c>
      <c r="CP41" s="674">
        <v>0.01</v>
      </c>
      <c r="CQ41" s="674">
        <v>-0.02</v>
      </c>
      <c r="CR41" s="67">
        <f>CR40/CM40-1</f>
        <v>-2.1218274111675206E-2</v>
      </c>
      <c r="CS41" s="674">
        <v>2.5000000000000001E-2</v>
      </c>
      <c r="CT41" s="674">
        <v>2.5000000000000001E-2</v>
      </c>
      <c r="CU41" s="674">
        <v>2.5000000000000001E-2</v>
      </c>
      <c r="CV41" s="674">
        <v>2.5000000000000001E-2</v>
      </c>
      <c r="CW41" s="67">
        <f>CW40/CR40-1</f>
        <v>2.4999999999999911E-2</v>
      </c>
      <c r="CX41" s="674">
        <v>2.5000000000000001E-2</v>
      </c>
      <c r="CY41" s="674">
        <v>2.5000000000000001E-2</v>
      </c>
      <c r="CZ41" s="674">
        <v>2.5000000000000001E-2</v>
      </c>
      <c r="DA41" s="674">
        <v>2.5000000000000001E-2</v>
      </c>
      <c r="DB41" s="67">
        <f>DB40/CW40-1</f>
        <v>2.4999999999999911E-2</v>
      </c>
      <c r="DC41" s="167"/>
      <c r="DD41" s="167"/>
      <c r="DE41" s="167"/>
      <c r="DF41" s="167"/>
      <c r="DG41" s="167"/>
      <c r="DH41" s="167"/>
      <c r="DI41" s="167"/>
      <c r="DJ41" s="167"/>
    </row>
    <row r="42" spans="1:114">
      <c r="A42" s="458"/>
      <c r="B42" s="473" t="s">
        <v>182</v>
      </c>
      <c r="C42" s="474"/>
      <c r="D42" s="129">
        <f t="shared" ref="D42:AI42" si="176">D40/D$18</f>
        <v>3.6714043399426799E-2</v>
      </c>
      <c r="E42" s="153">
        <f t="shared" si="176"/>
        <v>2.3632509933302653E-2</v>
      </c>
      <c r="F42" s="129">
        <f t="shared" si="176"/>
        <v>2.346540301652111E-2</v>
      </c>
      <c r="G42" s="167">
        <f t="shared" si="176"/>
        <v>2.4686124245882929E-2</v>
      </c>
      <c r="H42" s="167">
        <f t="shared" si="176"/>
        <v>2.4559189242446541E-2</v>
      </c>
      <c r="I42" s="167">
        <f t="shared" si="176"/>
        <v>2.6300564852401401E-2</v>
      </c>
      <c r="J42" s="167">
        <f t="shared" si="176"/>
        <v>2.5503558100280207E-2</v>
      </c>
      <c r="K42" s="67">
        <f t="shared" si="176"/>
        <v>2.5283637168794743E-2</v>
      </c>
      <c r="L42" s="237">
        <f t="shared" si="176"/>
        <v>2.2771447689772996E-2</v>
      </c>
      <c r="M42" s="237">
        <f t="shared" si="176"/>
        <v>2.5396639916167529E-2</v>
      </c>
      <c r="N42" s="237">
        <f t="shared" si="176"/>
        <v>2.5318310327924302E-2</v>
      </c>
      <c r="O42" s="237">
        <f t="shared" si="176"/>
        <v>2.5312138480654698E-2</v>
      </c>
      <c r="P42" s="67">
        <f t="shared" si="176"/>
        <v>2.4718042080205706E-2</v>
      </c>
      <c r="Q42" s="237">
        <f t="shared" si="176"/>
        <v>2.4479846862547911E-2</v>
      </c>
      <c r="R42" s="237">
        <f t="shared" si="176"/>
        <v>2.5737380437643488E-2</v>
      </c>
      <c r="S42" s="237">
        <f t="shared" si="176"/>
        <v>2.4901040355618503E-2</v>
      </c>
      <c r="T42" s="237">
        <f t="shared" si="176"/>
        <v>2.4002807434166166E-2</v>
      </c>
      <c r="U42" s="67">
        <f t="shared" si="176"/>
        <v>2.4745080829062335E-2</v>
      </c>
      <c r="V42" s="237">
        <f t="shared" si="176"/>
        <v>2.3952547253324515E-2</v>
      </c>
      <c r="W42" s="237">
        <f t="shared" si="176"/>
        <v>2.4715209747452588E-2</v>
      </c>
      <c r="X42" s="237">
        <f t="shared" si="176"/>
        <v>2.4822459758730098E-2</v>
      </c>
      <c r="Y42" s="237">
        <f t="shared" si="176"/>
        <v>2.3665984836056645E-2</v>
      </c>
      <c r="Z42" s="67">
        <f t="shared" si="176"/>
        <v>2.4282226131288949E-2</v>
      </c>
      <c r="AA42" s="237">
        <f t="shared" si="176"/>
        <v>2.2785053844841092E-2</v>
      </c>
      <c r="AB42" s="237">
        <f t="shared" si="176"/>
        <v>2.3959473962630536E-2</v>
      </c>
      <c r="AC42" s="237">
        <f t="shared" si="176"/>
        <v>2.402748827304042E-2</v>
      </c>
      <c r="AD42" s="237">
        <f t="shared" si="176"/>
        <v>2.2444428604885588E-2</v>
      </c>
      <c r="AE42" s="67">
        <f t="shared" si="176"/>
        <v>2.3292242729687388E-2</v>
      </c>
      <c r="AF42" s="237">
        <f t="shared" si="176"/>
        <v>2.2387347281508572E-2</v>
      </c>
      <c r="AG42" s="237">
        <f t="shared" si="176"/>
        <v>2.2285387925590969E-2</v>
      </c>
      <c r="AH42" s="237">
        <f t="shared" si="176"/>
        <v>2.179828266204295E-2</v>
      </c>
      <c r="AI42" s="237">
        <f t="shared" si="176"/>
        <v>2.2508893637551895E-2</v>
      </c>
      <c r="AJ42" s="67">
        <f t="shared" ref="AJ42:BN42" si="177">AJ40/AJ$18</f>
        <v>2.2243112936299814E-2</v>
      </c>
      <c r="AK42" s="237">
        <f t="shared" si="177"/>
        <v>2.1591415925454962E-2</v>
      </c>
      <c r="AL42" s="237">
        <f t="shared" si="177"/>
        <v>2.2610973415054345E-2</v>
      </c>
      <c r="AM42" s="237">
        <f t="shared" si="177"/>
        <v>2.0858072001588377E-2</v>
      </c>
      <c r="AN42" s="237">
        <f t="shared" si="177"/>
        <v>2.2386607508003267E-2</v>
      </c>
      <c r="AO42" s="67">
        <f t="shared" si="177"/>
        <v>2.1804025715226206E-2</v>
      </c>
      <c r="AP42" s="237">
        <f t="shared" si="177"/>
        <v>2.1945303374378656E-2</v>
      </c>
      <c r="AQ42" s="237">
        <f t="shared" si="177"/>
        <v>2.1734557347803465E-2</v>
      </c>
      <c r="AR42" s="237">
        <f t="shared" si="177"/>
        <v>2.1220689107996796E-2</v>
      </c>
      <c r="AS42" s="237">
        <f t="shared" si="177"/>
        <v>2.0017468526596412E-2</v>
      </c>
      <c r="AT42" s="67">
        <f t="shared" si="177"/>
        <v>2.1224003319043814E-2</v>
      </c>
      <c r="AU42" s="237">
        <f t="shared" si="177"/>
        <v>2.0724383641210209E-2</v>
      </c>
      <c r="AV42" s="237">
        <f t="shared" si="177"/>
        <v>2.028531359868424E-2</v>
      </c>
      <c r="AW42" s="237">
        <f t="shared" si="177"/>
        <v>2.0307073086737959E-2</v>
      </c>
      <c r="AX42" s="237">
        <f t="shared" si="177"/>
        <v>2.0355233948833214E-2</v>
      </c>
      <c r="AY42" s="67">
        <f t="shared" si="177"/>
        <v>2.041381772898956E-2</v>
      </c>
      <c r="AZ42" s="237">
        <f t="shared" si="177"/>
        <v>2.0381735565481559E-2</v>
      </c>
      <c r="BA42" s="237">
        <f t="shared" si="177"/>
        <v>1.9939931075892203E-2</v>
      </c>
      <c r="BB42" s="237">
        <f t="shared" si="177"/>
        <v>1.9822850474546096E-2</v>
      </c>
      <c r="BC42" s="237">
        <f t="shared" si="177"/>
        <v>1.9221506221972617E-2</v>
      </c>
      <c r="BD42" s="67">
        <f t="shared" si="177"/>
        <v>1.9829900281061102E-2</v>
      </c>
      <c r="BE42" s="237">
        <f t="shared" si="177"/>
        <v>1.9016298509811937E-2</v>
      </c>
      <c r="BF42" s="237">
        <f t="shared" si="177"/>
        <v>1.8181161612881712E-2</v>
      </c>
      <c r="BG42" s="237">
        <f t="shared" si="177"/>
        <v>1.8766298020954596E-2</v>
      </c>
      <c r="BH42" s="237">
        <f t="shared" si="177"/>
        <v>1.8794113836574085E-2</v>
      </c>
      <c r="BI42" s="67">
        <f t="shared" si="177"/>
        <v>1.8688867691596649E-2</v>
      </c>
      <c r="BJ42" s="237">
        <f t="shared" si="177"/>
        <v>1.7767717697755855E-2</v>
      </c>
      <c r="BK42" s="237">
        <f t="shared" si="177"/>
        <v>1.7740364955632405E-2</v>
      </c>
      <c r="BL42" s="237">
        <f>BL40/BL$18</f>
        <v>1.8567296270877963E-2</v>
      </c>
      <c r="BM42" s="237">
        <f>BM40/BM$18</f>
        <v>1.8743358874776388E-2</v>
      </c>
      <c r="BN42" s="67">
        <f t="shared" si="177"/>
        <v>1.82029451342955E-2</v>
      </c>
      <c r="BO42" s="237">
        <f t="shared" ref="BO42:BX42" si="178">BO40/BO$18</f>
        <v>1.8830673939909427E-2</v>
      </c>
      <c r="BP42" s="237">
        <f t="shared" si="178"/>
        <v>1.9060074531207619E-2</v>
      </c>
      <c r="BQ42" s="237">
        <f t="shared" si="178"/>
        <v>1.902022202736357E-2</v>
      </c>
      <c r="BR42" s="237">
        <f t="shared" si="178"/>
        <v>1.9339132330347814E-2</v>
      </c>
      <c r="BS42" s="67">
        <f t="shared" si="178"/>
        <v>1.9061585717114797E-2</v>
      </c>
      <c r="BT42" s="237">
        <f t="shared" si="178"/>
        <v>2.0204081632653061E-2</v>
      </c>
      <c r="BU42" s="237">
        <f t="shared" si="178"/>
        <v>2.0068703670222381E-2</v>
      </c>
      <c r="BV42" s="237">
        <f t="shared" si="178"/>
        <v>1.9773503505302895E-2</v>
      </c>
      <c r="BW42" s="237">
        <f t="shared" si="178"/>
        <v>2.0386456302074099E-2</v>
      </c>
      <c r="BX42" s="67">
        <f t="shared" si="178"/>
        <v>2.0106309221169402E-2</v>
      </c>
      <c r="BY42" s="237">
        <f>BY40/BY$18</f>
        <v>2.0545518951470068E-2</v>
      </c>
      <c r="BZ42" s="237">
        <f>BZ40/BZ$18</f>
        <v>2.0128250801567511E-2</v>
      </c>
      <c r="CA42" s="237">
        <f>CA40/CA$18</f>
        <v>2.0609318996415771E-2</v>
      </c>
      <c r="CB42" s="237">
        <f>CB40/CB$18</f>
        <v>1.9741439552760306E-2</v>
      </c>
      <c r="CC42" s="67">
        <f t="shared" ref="CC42" si="179">CC40/CC$18</f>
        <v>2.0253501152277965E-2</v>
      </c>
      <c r="CD42" s="237">
        <f>CD40/CD$18</f>
        <v>2.0681265206812651E-2</v>
      </c>
      <c r="CE42" s="237">
        <f>CE40/CE$18</f>
        <v>2.1172022684310021E-2</v>
      </c>
      <c r="CF42" s="237">
        <f>CF40/CF$18</f>
        <v>2.143981117230527E-2</v>
      </c>
      <c r="CG42" s="237">
        <f>CG40/CG$18</f>
        <v>2.1371672819117934E-2</v>
      </c>
      <c r="CH42" s="67">
        <f t="shared" ref="CH42" si="180">CH40/CH$18</f>
        <v>2.1151586368977675E-2</v>
      </c>
      <c r="CI42" s="237">
        <f>CI40/CI$18</f>
        <v>2.1091331269349846E-2</v>
      </c>
      <c r="CJ42" s="237">
        <f>CJ40/CJ$18</f>
        <v>2.15633423180593E-2</v>
      </c>
      <c r="CK42" s="237">
        <f>CK40/CK$18</f>
        <v>2.1463189476113548E-2</v>
      </c>
      <c r="CL42" s="237">
        <f>CL40/CL$18</f>
        <v>2.1589793915603533E-2</v>
      </c>
      <c r="CM42" s="67">
        <f t="shared" ref="CM42:CW42" si="181">CM40/CM$18</f>
        <v>2.1413043478260868E-2</v>
      </c>
      <c r="CN42" s="237">
        <f t="shared" ca="1" si="181"/>
        <v>2.424395820730256E-2</v>
      </c>
      <c r="CO42" s="237">
        <f t="shared" ca="1" si="181"/>
        <v>2.5537570535857392E-2</v>
      </c>
      <c r="CP42" s="237">
        <f t="shared" ca="1" si="181"/>
        <v>2.5730953722307628E-2</v>
      </c>
      <c r="CQ42" s="237">
        <f t="shared" ca="1" si="181"/>
        <v>2.0816012792149709E-2</v>
      </c>
      <c r="CR42" s="67">
        <f t="shared" ca="1" si="181"/>
        <v>2.401906175335557E-2</v>
      </c>
      <c r="CS42" s="237">
        <f t="shared" ca="1" si="181"/>
        <v>2.6489687381275839E-2</v>
      </c>
      <c r="CT42" s="237">
        <f t="shared" ca="1" si="181"/>
        <v>2.7145038464428346E-2</v>
      </c>
      <c r="CU42" s="237">
        <f t="shared" ca="1" si="181"/>
        <v>2.6194465933733611E-2</v>
      </c>
      <c r="CV42" s="237">
        <f t="shared" ca="1" si="181"/>
        <v>2.1301257011371321E-2</v>
      </c>
      <c r="CW42" s="67">
        <f t="shared" ca="1" si="181"/>
        <v>2.520823838427113E-2</v>
      </c>
      <c r="CX42" s="237">
        <f t="shared" ref="CX42:DB42" ca="1" si="182">CX40/CX$18</f>
        <v>2.6998063116690094E-2</v>
      </c>
      <c r="CY42" s="237">
        <f t="shared" ca="1" si="182"/>
        <v>2.7650157338941092E-2</v>
      </c>
      <c r="CZ42" s="237">
        <f t="shared" ca="1" si="182"/>
        <v>2.6903683572830867E-2</v>
      </c>
      <c r="DA42" s="237">
        <f t="shared" ca="1" si="182"/>
        <v>2.1718950630379843E-2</v>
      </c>
      <c r="DB42" s="67">
        <f t="shared" ca="1" si="182"/>
        <v>2.5737499280857466E-2</v>
      </c>
      <c r="DC42" s="167"/>
      <c r="DD42" s="167"/>
      <c r="DE42" s="167"/>
      <c r="DF42" s="167"/>
      <c r="DG42" s="167"/>
      <c r="DH42" s="167"/>
      <c r="DI42" s="167"/>
      <c r="DJ42" s="167"/>
    </row>
    <row r="43" spans="1:114">
      <c r="A43" s="458"/>
      <c r="B43" s="473" t="s">
        <v>181</v>
      </c>
      <c r="C43" s="474"/>
      <c r="D43" s="129">
        <f t="shared" ref="D43:AI43" si="183">D40/D$20</f>
        <v>4.2843667368783166E-2</v>
      </c>
      <c r="E43" s="153">
        <f t="shared" si="183"/>
        <v>2.5915816751353567E-2</v>
      </c>
      <c r="F43" s="129">
        <f t="shared" si="183"/>
        <v>2.5827066864823681E-2</v>
      </c>
      <c r="G43" s="167">
        <f t="shared" si="183"/>
        <v>2.7209736999270057E-2</v>
      </c>
      <c r="H43" s="167">
        <f t="shared" si="183"/>
        <v>2.7055173759284245E-2</v>
      </c>
      <c r="I43" s="167">
        <f t="shared" si="183"/>
        <v>2.896994857014424E-2</v>
      </c>
      <c r="J43" s="167">
        <f t="shared" si="183"/>
        <v>2.8084562715194671E-2</v>
      </c>
      <c r="K43" s="67">
        <f t="shared" si="183"/>
        <v>2.7852886596127616E-2</v>
      </c>
      <c r="L43" s="237">
        <f t="shared" si="183"/>
        <v>2.5120858852574944E-2</v>
      </c>
      <c r="M43" s="237">
        <f t="shared" si="183"/>
        <v>2.7906639605682806E-2</v>
      </c>
      <c r="N43" s="237">
        <f t="shared" si="183"/>
        <v>2.7966592739115666E-2</v>
      </c>
      <c r="O43" s="237">
        <f t="shared" si="183"/>
        <v>2.7755487107013387E-2</v>
      </c>
      <c r="P43" s="67">
        <f t="shared" si="183"/>
        <v>2.7207474627116531E-2</v>
      </c>
      <c r="Q43" s="237">
        <f t="shared" si="183"/>
        <v>2.7036399211975821E-2</v>
      </c>
      <c r="R43" s="237">
        <f t="shared" si="183"/>
        <v>2.842166276051511E-2</v>
      </c>
      <c r="S43" s="237">
        <f t="shared" si="183"/>
        <v>2.7599443228294791E-2</v>
      </c>
      <c r="T43" s="237">
        <f t="shared" si="183"/>
        <v>2.6741010309365019E-2</v>
      </c>
      <c r="U43" s="67">
        <f t="shared" si="183"/>
        <v>2.7419895813543298E-2</v>
      </c>
      <c r="V43" s="237">
        <f t="shared" si="183"/>
        <v>2.6753954079034043E-2</v>
      </c>
      <c r="W43" s="237">
        <f t="shared" si="183"/>
        <v>2.7474629345254034E-2</v>
      </c>
      <c r="X43" s="237">
        <f t="shared" si="183"/>
        <v>2.7726422747550727E-2</v>
      </c>
      <c r="Y43" s="237">
        <f t="shared" si="183"/>
        <v>2.6390020685764438E-2</v>
      </c>
      <c r="Z43" s="67">
        <f t="shared" si="183"/>
        <v>2.7079299813710864E-2</v>
      </c>
      <c r="AA43" s="237">
        <f t="shared" si="183"/>
        <v>2.5396469271345205E-2</v>
      </c>
      <c r="AB43" s="237">
        <f t="shared" si="183"/>
        <v>2.6612310430207366E-2</v>
      </c>
      <c r="AC43" s="237">
        <f t="shared" si="183"/>
        <v>2.6698904326136062E-2</v>
      </c>
      <c r="AD43" s="237">
        <f t="shared" si="183"/>
        <v>2.4988464856641114E-2</v>
      </c>
      <c r="AE43" s="67">
        <f t="shared" si="183"/>
        <v>2.5911970016870556E-2</v>
      </c>
      <c r="AF43" s="237">
        <f t="shared" si="183"/>
        <v>2.5008406141216646E-2</v>
      </c>
      <c r="AG43" s="237">
        <f t="shared" si="183"/>
        <v>2.5012958163643094E-2</v>
      </c>
      <c r="AH43" s="237">
        <f t="shared" si="183"/>
        <v>2.6303805190732124E-2</v>
      </c>
      <c r="AI43" s="237">
        <f t="shared" si="183"/>
        <v>2.5415920894339954E-2</v>
      </c>
      <c r="AJ43" s="67">
        <f t="shared" ref="AJ43:BN43" si="184">AJ40/AJ$20</f>
        <v>2.5434576764860346E-2</v>
      </c>
      <c r="AK43" s="237">
        <f t="shared" si="184"/>
        <v>2.4334034136542424E-2</v>
      </c>
      <c r="AL43" s="237">
        <f t="shared" si="184"/>
        <v>2.5665467478806728E-2</v>
      </c>
      <c r="AM43" s="237">
        <f t="shared" si="184"/>
        <v>2.3672088021952409E-2</v>
      </c>
      <c r="AN43" s="237">
        <f t="shared" si="184"/>
        <v>2.6116965022342068E-2</v>
      </c>
      <c r="AO43" s="67">
        <f t="shared" si="184"/>
        <v>2.4951548421929762E-2</v>
      </c>
      <c r="AP43" s="237">
        <f t="shared" si="184"/>
        <v>2.4627706365095859E-2</v>
      </c>
      <c r="AQ43" s="237">
        <f t="shared" si="184"/>
        <v>2.4370768746705119E-2</v>
      </c>
      <c r="AR43" s="237">
        <f t="shared" si="184"/>
        <v>2.4050057078115479E-2</v>
      </c>
      <c r="AS43" s="237">
        <f t="shared" si="184"/>
        <v>2.260729662880176E-2</v>
      </c>
      <c r="AT43" s="67">
        <f t="shared" si="184"/>
        <v>2.391075370350941E-2</v>
      </c>
      <c r="AU43" s="237">
        <f t="shared" si="184"/>
        <v>2.3443265560891362E-2</v>
      </c>
      <c r="AV43" s="237">
        <f t="shared" si="184"/>
        <v>2.3055197986512711E-2</v>
      </c>
      <c r="AW43" s="237">
        <f t="shared" si="184"/>
        <v>2.3143922611135726E-2</v>
      </c>
      <c r="AX43" s="237">
        <f t="shared" si="184"/>
        <v>2.322300000073816E-2</v>
      </c>
      <c r="AY43" s="67">
        <f t="shared" si="184"/>
        <v>2.3213930898696274E-2</v>
      </c>
      <c r="AZ43" s="237">
        <f t="shared" si="184"/>
        <v>2.3150969867550622E-2</v>
      </c>
      <c r="BA43" s="237">
        <f t="shared" si="184"/>
        <v>2.2666543350346683E-2</v>
      </c>
      <c r="BB43" s="237">
        <f t="shared" si="184"/>
        <v>2.2627412356290573E-2</v>
      </c>
      <c r="BC43" s="237">
        <f t="shared" si="184"/>
        <v>2.1971698316035022E-2</v>
      </c>
      <c r="BD43" s="67">
        <f t="shared" si="184"/>
        <v>2.2593556895675587E-2</v>
      </c>
      <c r="BE43" s="237">
        <f t="shared" si="184"/>
        <v>2.1603878736441488E-2</v>
      </c>
      <c r="BF43" s="237">
        <f t="shared" si="184"/>
        <v>2.0804598199096448E-2</v>
      </c>
      <c r="BG43" s="237">
        <f t="shared" si="184"/>
        <v>2.1596581576740357E-2</v>
      </c>
      <c r="BH43" s="237">
        <f t="shared" si="184"/>
        <v>2.1524539851787775E-2</v>
      </c>
      <c r="BI43" s="67">
        <f t="shared" si="184"/>
        <v>2.1382126697908149E-2</v>
      </c>
      <c r="BJ43" s="237">
        <f t="shared" si="184"/>
        <v>2.0389228503792045E-2</v>
      </c>
      <c r="BK43" s="237">
        <f t="shared" si="184"/>
        <v>2.0494459715064011E-2</v>
      </c>
      <c r="BL43" s="237">
        <f>BL40/BL$20</f>
        <v>2.136872943278861E-2</v>
      </c>
      <c r="BM43" s="237">
        <f>BM40/BM$20</f>
        <v>2.1515459821431295E-2</v>
      </c>
      <c r="BN43" s="67">
        <f t="shared" si="184"/>
        <v>2.0940157656179664E-2</v>
      </c>
      <c r="BO43" s="237">
        <f t="shared" ref="BO43:BX43" si="185">BO40/BO$20</f>
        <v>2.1606099494225109E-2</v>
      </c>
      <c r="BP43" s="237">
        <f t="shared" si="185"/>
        <v>2.2191385404297565E-2</v>
      </c>
      <c r="BQ43" s="237">
        <f t="shared" si="185"/>
        <v>2.2262541128961841E-2</v>
      </c>
      <c r="BR43" s="237">
        <f t="shared" si="185"/>
        <v>2.2403221468866755E-2</v>
      </c>
      <c r="BS43" s="67">
        <f t="shared" si="185"/>
        <v>2.2112539509896102E-2</v>
      </c>
      <c r="BT43" s="237">
        <f t="shared" si="185"/>
        <v>2.3599523241954707E-2</v>
      </c>
      <c r="BU43" s="237">
        <f t="shared" si="185"/>
        <v>2.322661644695543E-2</v>
      </c>
      <c r="BV43" s="237">
        <f t="shared" si="185"/>
        <v>2.2940563086548488E-2</v>
      </c>
      <c r="BW43" s="237">
        <f t="shared" si="185"/>
        <v>2.338348922326149E-2</v>
      </c>
      <c r="BX43" s="67">
        <f t="shared" si="185"/>
        <v>2.3278214801733827E-2</v>
      </c>
      <c r="BY43" s="237">
        <f>BY40/BY$20</f>
        <v>2.3620443901445735E-2</v>
      </c>
      <c r="BZ43" s="237">
        <f>BZ40/BZ$20</f>
        <v>2.3146251536255633E-2</v>
      </c>
      <c r="CA43" s="237">
        <f>CA40/CA$20</f>
        <v>2.3730912092447379E-2</v>
      </c>
      <c r="CB43" s="237">
        <f>CB40/CB$20</f>
        <v>2.3551479783243019E-2</v>
      </c>
      <c r="CC43" s="67">
        <f t="shared" ref="CC43" si="186">CC40/CC$20</f>
        <v>2.3511858825950506E-2</v>
      </c>
      <c r="CD43" s="237">
        <f>CD40/CD$20</f>
        <v>2.3804760952190439E-2</v>
      </c>
      <c r="CE43" s="237">
        <f>CE40/CE$20</f>
        <v>2.4400871459694988E-2</v>
      </c>
      <c r="CF43" s="237">
        <f>CF40/CF$20</f>
        <v>2.4885844748858448E-2</v>
      </c>
      <c r="CG43" s="237">
        <f>CG40/CG$20</f>
        <v>2.4614007607965987E-2</v>
      </c>
      <c r="CH43" s="67">
        <f t="shared" ref="CH43" si="187">CH40/CH$20</f>
        <v>2.4406117800195248E-2</v>
      </c>
      <c r="CI43" s="237">
        <f>CI40/CI$20</f>
        <v>2.4297815425769059E-2</v>
      </c>
      <c r="CJ43" s="237">
        <f>CJ40/CJ$20</f>
        <v>2.5096525096525095E-2</v>
      </c>
      <c r="CK43" s="237">
        <f>CK40/CK$20</f>
        <v>2.5368248772504091E-2</v>
      </c>
      <c r="CL43" s="237">
        <f>CL40/CL$20</f>
        <v>2.8767571101667212E-2</v>
      </c>
      <c r="CM43" s="67">
        <f t="shared" ref="CM43:CW43" si="188">CM40/CM$20</f>
        <v>2.565939433409313E-2</v>
      </c>
      <c r="CN43" s="237">
        <f t="shared" ca="1" si="188"/>
        <v>2.8305847293990147E-2</v>
      </c>
      <c r="CO43" s="237">
        <f t="shared" ca="1" si="188"/>
        <v>2.983361043908574E-2</v>
      </c>
      <c r="CP43" s="237">
        <f t="shared" ca="1" si="188"/>
        <v>3.0024450084372961E-2</v>
      </c>
      <c r="CQ43" s="237">
        <f t="shared" ca="1" si="188"/>
        <v>2.4329140710787411E-2</v>
      </c>
      <c r="CR43" s="67">
        <f t="shared" ca="1" si="188"/>
        <v>2.805122439266991E-2</v>
      </c>
      <c r="CS43" s="237">
        <f t="shared" ca="1" si="188"/>
        <v>3.1032904617239739E-2</v>
      </c>
      <c r="CT43" s="237">
        <f t="shared" ca="1" si="188"/>
        <v>3.1800654246050074E-2</v>
      </c>
      <c r="CU43" s="237">
        <f t="shared" ca="1" si="188"/>
        <v>3.0687050062949403E-2</v>
      </c>
      <c r="CV43" s="237">
        <f t="shared" ca="1" si="188"/>
        <v>2.4954612243874557E-2</v>
      </c>
      <c r="CW43" s="67">
        <f t="shared" ca="1" si="188"/>
        <v>2.9531675707909009E-2</v>
      </c>
      <c r="CX43" s="237">
        <f t="shared" ref="CX43:DB43" ca="1" si="189">CX40/CX$20</f>
        <v>3.1628471317584464E-2</v>
      </c>
      <c r="CY43" s="237">
        <f t="shared" ca="1" si="189"/>
        <v>3.2392405504851327E-2</v>
      </c>
      <c r="CZ43" s="237">
        <f t="shared" ca="1" si="189"/>
        <v>3.151790484164816E-2</v>
      </c>
      <c r="DA43" s="237">
        <f t="shared" ca="1" si="189"/>
        <v>2.5443944037464666E-2</v>
      </c>
      <c r="DB43" s="67">
        <f t="shared" ca="1" si="189"/>
        <v>3.0151709560517184E-2</v>
      </c>
      <c r="DC43" s="167"/>
      <c r="DD43" s="167"/>
      <c r="DE43" s="167"/>
      <c r="DF43" s="167"/>
      <c r="DG43" s="167"/>
      <c r="DH43" s="167"/>
      <c r="DI43" s="167"/>
      <c r="DJ43" s="167"/>
    </row>
    <row r="44" spans="1:114">
      <c r="A44" s="396"/>
      <c r="B44" s="37" t="s">
        <v>186</v>
      </c>
      <c r="C44" s="157"/>
      <c r="D44" s="80">
        <f t="shared" ref="D44:AI44" si="190">1000000*D40/D$15</f>
        <v>42.568181699215373</v>
      </c>
      <c r="E44" s="81">
        <f t="shared" si="190"/>
        <v>29.586570280205805</v>
      </c>
      <c r="F44" s="82">
        <f t="shared" si="190"/>
        <v>31.229705161749589</v>
      </c>
      <c r="G44" s="93">
        <f t="shared" si="190"/>
        <v>33.441312050053533</v>
      </c>
      <c r="H44" s="93">
        <f t="shared" si="190"/>
        <v>35.352670897036582</v>
      </c>
      <c r="I44" s="93">
        <f t="shared" si="190"/>
        <v>38.033259555125888</v>
      </c>
      <c r="J44" s="93">
        <f t="shared" si="190"/>
        <v>38.165456442432344</v>
      </c>
      <c r="K44" s="82">
        <f t="shared" si="190"/>
        <v>36.291052898028177</v>
      </c>
      <c r="L44" s="93">
        <f t="shared" si="190"/>
        <v>32.062129006719303</v>
      </c>
      <c r="M44" s="93">
        <f t="shared" si="190"/>
        <v>36.806778489050259</v>
      </c>
      <c r="N44" s="93">
        <f t="shared" si="190"/>
        <v>37.565393804188638</v>
      </c>
      <c r="O44" s="93">
        <f t="shared" si="190"/>
        <v>39.419567590518824</v>
      </c>
      <c r="P44" s="82">
        <f t="shared" si="190"/>
        <v>36.447416863867687</v>
      </c>
      <c r="Q44" s="93">
        <f t="shared" si="190"/>
        <v>36.636818725296578</v>
      </c>
      <c r="R44" s="93">
        <f t="shared" si="190"/>
        <v>41.303472851715249</v>
      </c>
      <c r="S44" s="93">
        <f t="shared" si="190"/>
        <v>38.702988328068891</v>
      </c>
      <c r="T44" s="93">
        <f t="shared" si="190"/>
        <v>36.543414620379295</v>
      </c>
      <c r="U44" s="82">
        <f t="shared" si="190"/>
        <v>38.173564041301063</v>
      </c>
      <c r="V44" s="93">
        <f t="shared" si="190"/>
        <v>36.333424791003551</v>
      </c>
      <c r="W44" s="93">
        <f t="shared" si="190"/>
        <v>38.74096314656763</v>
      </c>
      <c r="X44" s="93">
        <f t="shared" si="190"/>
        <v>39.835908798888184</v>
      </c>
      <c r="Y44" s="93">
        <f t="shared" si="190"/>
        <v>38.758793492403669</v>
      </c>
      <c r="Z44" s="82">
        <f t="shared" si="190"/>
        <v>38.401302922932885</v>
      </c>
      <c r="AA44" s="93">
        <f t="shared" si="190"/>
        <v>36.409345947038304</v>
      </c>
      <c r="AB44" s="93">
        <f t="shared" si="190"/>
        <v>40.044287758668148</v>
      </c>
      <c r="AC44" s="93">
        <f t="shared" si="190"/>
        <v>41.219556931302129</v>
      </c>
      <c r="AD44" s="93">
        <f t="shared" si="190"/>
        <v>39.26663433381303</v>
      </c>
      <c r="AE44" s="82">
        <f t="shared" si="190"/>
        <v>39.199581545671208</v>
      </c>
      <c r="AF44" s="93">
        <f t="shared" si="190"/>
        <v>38.037603481271283</v>
      </c>
      <c r="AG44" s="93">
        <f t="shared" si="190"/>
        <v>39.08190193666249</v>
      </c>
      <c r="AH44" s="93">
        <f t="shared" si="190"/>
        <v>38.907624527912049</v>
      </c>
      <c r="AI44" s="93">
        <f t="shared" si="190"/>
        <v>40.682775179998778</v>
      </c>
      <c r="AJ44" s="82">
        <f t="shared" ref="AJ44:BK44" si="191">1000000*AJ40/AJ$15</f>
        <v>39.195689688367445</v>
      </c>
      <c r="AK44" s="93">
        <f t="shared" si="191"/>
        <v>38.982286432463155</v>
      </c>
      <c r="AL44" s="93">
        <f t="shared" si="191"/>
        <v>42.291382639625695</v>
      </c>
      <c r="AM44" s="93">
        <f t="shared" si="191"/>
        <v>44.221731685864917</v>
      </c>
      <c r="AN44" s="93">
        <f t="shared" si="191"/>
        <v>45.348262333856006</v>
      </c>
      <c r="AO44" s="82">
        <f t="shared" si="191"/>
        <v>43.307084588932526</v>
      </c>
      <c r="AP44" s="93">
        <f t="shared" si="191"/>
        <v>44.283420954165273</v>
      </c>
      <c r="AQ44" s="93">
        <f t="shared" si="191"/>
        <v>46.436842493971461</v>
      </c>
      <c r="AR44" s="93">
        <f t="shared" si="191"/>
        <v>47.082437977611164</v>
      </c>
      <c r="AS44" s="93">
        <f t="shared" si="191"/>
        <v>44.017090585244866</v>
      </c>
      <c r="AT44" s="82">
        <f t="shared" si="191"/>
        <v>45.431736640736418</v>
      </c>
      <c r="AU44" s="93">
        <f t="shared" si="191"/>
        <v>45.459536958071837</v>
      </c>
      <c r="AV44" s="93">
        <f t="shared" si="191"/>
        <v>45.191895108259274</v>
      </c>
      <c r="AW44" s="93">
        <f t="shared" si="191"/>
        <v>45.82162340480987</v>
      </c>
      <c r="AX44" s="93">
        <f t="shared" si="191"/>
        <v>46.418730732480611</v>
      </c>
      <c r="AY44" s="82">
        <f t="shared" si="191"/>
        <v>45.725102470973518</v>
      </c>
      <c r="AZ44" s="93">
        <f t="shared" si="191"/>
        <v>46.330436331699865</v>
      </c>
      <c r="BA44" s="93">
        <f t="shared" si="191"/>
        <v>46.369679634410566</v>
      </c>
      <c r="BB44" s="93">
        <f t="shared" si="191"/>
        <v>46.831471362282201</v>
      </c>
      <c r="BC44" s="93">
        <f t="shared" si="191"/>
        <v>45.708277970262913</v>
      </c>
      <c r="BD44" s="82">
        <f t="shared" si="191"/>
        <v>46.303994434034173</v>
      </c>
      <c r="BE44" s="93">
        <f t="shared" si="191"/>
        <v>43.38171825676627</v>
      </c>
      <c r="BF44" s="93">
        <f t="shared" si="191"/>
        <v>42.878119692795337</v>
      </c>
      <c r="BG44" s="93">
        <f t="shared" si="191"/>
        <v>44.240679801718223</v>
      </c>
      <c r="BH44" s="93">
        <f t="shared" si="191"/>
        <v>44.082679522273111</v>
      </c>
      <c r="BI44" s="82">
        <f t="shared" si="191"/>
        <v>43.645167461361112</v>
      </c>
      <c r="BJ44" s="93">
        <f t="shared" si="191"/>
        <v>42.362274235593297</v>
      </c>
      <c r="BK44" s="93">
        <f t="shared" si="191"/>
        <v>43.753074894140845</v>
      </c>
      <c r="BL44" s="93">
        <f t="shared" ref="BL44:CC44" si="192">1000000*BL40/BL$15</f>
        <v>44.683498352169323</v>
      </c>
      <c r="BM44" s="93">
        <f t="shared" si="192"/>
        <v>45.81484914665004</v>
      </c>
      <c r="BN44" s="82">
        <f t="shared" si="192"/>
        <v>44.14056542791063</v>
      </c>
      <c r="BO44" s="93">
        <f t="shared" si="192"/>
        <v>45.474279189651014</v>
      </c>
      <c r="BP44" s="93">
        <f t="shared" si="192"/>
        <v>47.391646388457978</v>
      </c>
      <c r="BQ44" s="93">
        <f t="shared" si="192"/>
        <v>48.597281669359454</v>
      </c>
      <c r="BR44" s="93">
        <f t="shared" si="192"/>
        <v>49.613420429643035</v>
      </c>
      <c r="BS44" s="82">
        <f t="shared" si="192"/>
        <v>47.724123056009404</v>
      </c>
      <c r="BT44" s="93">
        <f t="shared" si="192"/>
        <v>49.660355557805836</v>
      </c>
      <c r="BU44" s="93">
        <f t="shared" si="192"/>
        <v>48.943339301661382</v>
      </c>
      <c r="BV44" s="93">
        <f t="shared" si="192"/>
        <v>49.229172901893605</v>
      </c>
      <c r="BW44" s="93">
        <f t="shared" si="192"/>
        <v>51.253805492447903</v>
      </c>
      <c r="BX44" s="82">
        <f t="shared" si="192"/>
        <v>49.773138519495689</v>
      </c>
      <c r="BY44" s="93">
        <f t="shared" si="192"/>
        <v>49.674690186228695</v>
      </c>
      <c r="BZ44" s="93">
        <f t="shared" si="192"/>
        <v>49.932783482284819</v>
      </c>
      <c r="CA44" s="93">
        <f>1000000*CA40/CA$15</f>
        <v>51.571723284325699</v>
      </c>
      <c r="CB44" s="93">
        <f>1000000*CB40/CB$15</f>
        <v>51.005986845377443</v>
      </c>
      <c r="CC44" s="82">
        <f t="shared" si="192"/>
        <v>50.533164338160574</v>
      </c>
      <c r="CD44" s="93">
        <f t="shared" ref="CD44:CE44" si="193">1000000*CD40/CD$15</f>
        <v>51.645399118142535</v>
      </c>
      <c r="CE44" s="93">
        <f t="shared" si="193"/>
        <v>53.60212472434366</v>
      </c>
      <c r="CF44" s="93">
        <f t="shared" ref="CF44:CI44" si="194">1000000*CF40/CF$15</f>
        <v>54.975204548644896</v>
      </c>
      <c r="CG44" s="93">
        <f t="shared" ref="CG44" si="195">1000000*CG40/CG$15</f>
        <v>55.872340405699688</v>
      </c>
      <c r="CH44" s="82">
        <f t="shared" si="194"/>
        <v>53.92366871546929</v>
      </c>
      <c r="CI44" s="93">
        <f t="shared" si="194"/>
        <v>53.020788948150731</v>
      </c>
      <c r="CJ44" s="93">
        <f t="shared" ref="CJ44:CK44" si="196">1000000*CJ40/CJ$15</f>
        <v>56.436424036307699</v>
      </c>
      <c r="CK44" s="93">
        <f t="shared" si="196"/>
        <v>56.189247930521617</v>
      </c>
      <c r="CL44" s="93">
        <f t="shared" ref="CL44" si="197">1000000*CL40/CL$15</f>
        <v>56.01720464246111</v>
      </c>
      <c r="CM44" s="82">
        <f t="shared" ref="CM44" si="198">1000000*CM40/CM$15</f>
        <v>55.300994807612611</v>
      </c>
      <c r="CN44" s="93">
        <f t="shared" ref="CN44:CW44" ca="1" si="199">1000000*CN40/CN$15</f>
        <v>67.533483432516405</v>
      </c>
      <c r="CO44" s="93">
        <f t="shared" ca="1" si="199"/>
        <v>73.836429655257277</v>
      </c>
      <c r="CP44" s="93">
        <f t="shared" ca="1" si="199"/>
        <v>73.791241826293316</v>
      </c>
      <c r="CQ44" s="93">
        <f t="shared" ca="1" si="199"/>
        <v>67.574827885873333</v>
      </c>
      <c r="CR44" s="82">
        <f t="shared" ca="1" si="199"/>
        <v>70.593937225689814</v>
      </c>
      <c r="CS44" s="93">
        <f t="shared" ca="1" si="199"/>
        <v>81.657745667372481</v>
      </c>
      <c r="CT44" s="93">
        <f t="shared" ca="1" si="199"/>
        <v>81.314376226898915</v>
      </c>
      <c r="CU44" s="93">
        <f t="shared" ca="1" si="199"/>
        <v>74.832592056281626</v>
      </c>
      <c r="CV44" s="93">
        <f t="shared" ca="1" si="199"/>
        <v>70.574472830701751</v>
      </c>
      <c r="CW44" s="82">
        <f t="shared" ca="1" si="199"/>
        <v>77.14839918053481</v>
      </c>
      <c r="CX44" s="93">
        <f t="shared" ref="CX44:DB44" ca="1" si="200">1000000*CX40/CX$15</f>
        <v>83.498930352762784</v>
      </c>
      <c r="CY44" s="93">
        <f t="shared" ca="1" si="200"/>
        <v>83.120543838496104</v>
      </c>
      <c r="CZ44" s="93">
        <f t="shared" ca="1" si="200"/>
        <v>77.202114982466696</v>
      </c>
      <c r="DA44" s="93">
        <f t="shared" ca="1" si="200"/>
        <v>72.258160129033712</v>
      </c>
      <c r="DB44" s="82">
        <f t="shared" ca="1" si="200"/>
        <v>79.081607102655042</v>
      </c>
      <c r="DC44" s="37"/>
      <c r="DD44" s="37"/>
      <c r="DE44" s="37"/>
      <c r="DF44" s="37"/>
      <c r="DG44" s="37"/>
      <c r="DH44" s="37"/>
      <c r="DI44" s="37"/>
      <c r="DJ44" s="37"/>
    </row>
    <row r="45" spans="1:114">
      <c r="A45" s="458"/>
      <c r="B45" s="473" t="s">
        <v>183</v>
      </c>
      <c r="C45" s="474"/>
      <c r="D45" s="129"/>
      <c r="E45" s="153"/>
      <c r="F45" s="129"/>
      <c r="G45" s="167"/>
      <c r="H45" s="167"/>
      <c r="I45" s="167"/>
      <c r="J45" s="167"/>
      <c r="K45" s="67">
        <f t="shared" ref="K45:AP45" si="201">K44/F44-1</f>
        <v>0.16206838041102523</v>
      </c>
      <c r="L45" s="237">
        <f t="shared" si="201"/>
        <v>-4.1241893896684645E-2</v>
      </c>
      <c r="M45" s="237">
        <f t="shared" si="201"/>
        <v>4.1131477625798496E-2</v>
      </c>
      <c r="N45" s="237">
        <f t="shared" si="201"/>
        <v>-1.230148970690037E-2</v>
      </c>
      <c r="O45" s="237">
        <f t="shared" si="201"/>
        <v>3.285984932416941E-2</v>
      </c>
      <c r="P45" s="67">
        <f t="shared" si="201"/>
        <v>4.3086092398274545E-3</v>
      </c>
      <c r="Q45" s="237">
        <f t="shared" si="201"/>
        <v>0.14268203205153807</v>
      </c>
      <c r="R45" s="237">
        <f t="shared" si="201"/>
        <v>0.12217027806448</v>
      </c>
      <c r="S45" s="237">
        <f t="shared" si="201"/>
        <v>3.0283045342477166E-2</v>
      </c>
      <c r="T45" s="237">
        <f t="shared" si="201"/>
        <v>-7.2962570265009741E-2</v>
      </c>
      <c r="U45" s="67">
        <f t="shared" si="201"/>
        <v>4.7359931813016898E-2</v>
      </c>
      <c r="V45" s="237">
        <f t="shared" si="201"/>
        <v>-8.2811211466770063E-3</v>
      </c>
      <c r="W45" s="237">
        <f t="shared" si="201"/>
        <v>-6.2041022902537879E-2</v>
      </c>
      <c r="X45" s="237">
        <f t="shared" si="201"/>
        <v>2.9272170438520373E-2</v>
      </c>
      <c r="Y45" s="237">
        <f t="shared" si="201"/>
        <v>6.0623203798501057E-2</v>
      </c>
      <c r="Z45" s="67">
        <f t="shared" si="201"/>
        <v>5.9658794600740972E-3</v>
      </c>
      <c r="AA45" s="237">
        <f t="shared" si="201"/>
        <v>2.0895678420480568E-3</v>
      </c>
      <c r="AB45" s="237">
        <f t="shared" si="201"/>
        <v>3.36420291661228E-2</v>
      </c>
      <c r="AC45" s="237">
        <f t="shared" si="201"/>
        <v>3.473369063573517E-2</v>
      </c>
      <c r="AD45" s="237">
        <f t="shared" si="201"/>
        <v>1.3102596743856054E-2</v>
      </c>
      <c r="AE45" s="67">
        <f t="shared" si="201"/>
        <v>2.0787800464488804E-2</v>
      </c>
      <c r="AF45" s="237">
        <f t="shared" si="201"/>
        <v>4.47208674553361E-2</v>
      </c>
      <c r="AG45" s="237">
        <f t="shared" si="201"/>
        <v>-2.4033036317329337E-2</v>
      </c>
      <c r="AH45" s="237">
        <f t="shared" si="201"/>
        <v>-5.6088240037204251E-2</v>
      </c>
      <c r="AI45" s="237">
        <f t="shared" si="201"/>
        <v>3.606473715437053E-2</v>
      </c>
      <c r="AJ45" s="67">
        <f t="shared" si="201"/>
        <v>-9.9283133908723009E-5</v>
      </c>
      <c r="AK45" s="237">
        <f t="shared" si="201"/>
        <v>2.4835501312721053E-2</v>
      </c>
      <c r="AL45" s="237">
        <f t="shared" si="201"/>
        <v>8.2121916895564695E-2</v>
      </c>
      <c r="AM45" s="237">
        <f t="shared" si="201"/>
        <v>0.13658266785577111</v>
      </c>
      <c r="AN45" s="237">
        <f t="shared" si="201"/>
        <v>0.11467966807119301</v>
      </c>
      <c r="AO45" s="67">
        <f t="shared" si="201"/>
        <v>0.10489405680199737</v>
      </c>
      <c r="AP45" s="237">
        <f t="shared" si="201"/>
        <v>0.13598829126881351</v>
      </c>
      <c r="AQ45" s="237">
        <f t="shared" ref="AQ45:BP45" si="202">AQ44/AL44-1</f>
        <v>9.8021383922823002E-2</v>
      </c>
      <c r="AR45" s="237">
        <f t="shared" si="202"/>
        <v>6.4690055831998272E-2</v>
      </c>
      <c r="AS45" s="237">
        <f t="shared" si="202"/>
        <v>-2.9354415805637579E-2</v>
      </c>
      <c r="AT45" s="67">
        <f t="shared" si="202"/>
        <v>4.906014967229777E-2</v>
      </c>
      <c r="AU45" s="237">
        <f t="shared" si="202"/>
        <v>2.6558833499423562E-2</v>
      </c>
      <c r="AV45" s="237">
        <f t="shared" si="202"/>
        <v>-2.680947538312517E-2</v>
      </c>
      <c r="AW45" s="237">
        <f t="shared" si="202"/>
        <v>-2.6778871846034003E-2</v>
      </c>
      <c r="AX45" s="237">
        <f t="shared" si="202"/>
        <v>5.4561537696015128E-2</v>
      </c>
      <c r="AY45" s="67">
        <f t="shared" si="202"/>
        <v>6.4572884932172503E-3</v>
      </c>
      <c r="AZ45" s="237">
        <f t="shared" si="202"/>
        <v>1.9157682455746894E-2</v>
      </c>
      <c r="BA45" s="237">
        <f t="shared" si="202"/>
        <v>2.6061852978943589E-2</v>
      </c>
      <c r="BB45" s="237">
        <f t="shared" si="202"/>
        <v>2.2038676992101713E-2</v>
      </c>
      <c r="BC45" s="237">
        <f t="shared" si="202"/>
        <v>-1.5305303505866341E-2</v>
      </c>
      <c r="BD45" s="67">
        <f t="shared" si="202"/>
        <v>1.2660266063441616E-2</v>
      </c>
      <c r="BE45" s="237">
        <f t="shared" si="202"/>
        <v>-6.3645376741596649E-2</v>
      </c>
      <c r="BF45" s="237">
        <f t="shared" si="202"/>
        <v>-7.5298340837019029E-2</v>
      </c>
      <c r="BG45" s="237">
        <f t="shared" si="202"/>
        <v>-5.5321592194316316E-2</v>
      </c>
      <c r="BH45" s="237">
        <f t="shared" si="202"/>
        <v>-3.5564639933435949E-2</v>
      </c>
      <c r="BI45" s="67">
        <f t="shared" si="202"/>
        <v>-5.7421114639707671E-2</v>
      </c>
      <c r="BJ45" s="237">
        <f t="shared" si="202"/>
        <v>-2.3499392420077037E-2</v>
      </c>
      <c r="BK45" s="237">
        <f t="shared" si="202"/>
        <v>2.0405633633522546E-2</v>
      </c>
      <c r="BL45" s="52">
        <f t="shared" si="202"/>
        <v>1.0009307100066422E-2</v>
      </c>
      <c r="BM45" s="52">
        <f t="shared" si="202"/>
        <v>3.9293655538832128E-2</v>
      </c>
      <c r="BN45" s="78">
        <f t="shared" ref="BN45:CL45" si="203">BN44/BI44-1</f>
        <v>1.1350580038170133E-2</v>
      </c>
      <c r="BO45" s="237">
        <f t="shared" si="202"/>
        <v>7.3461706440750341E-2</v>
      </c>
      <c r="BP45" s="237">
        <f t="shared" si="202"/>
        <v>8.3161503577075191E-2</v>
      </c>
      <c r="BQ45" s="237">
        <f>BQ44/BL44-1</f>
        <v>8.758900850474971E-2</v>
      </c>
      <c r="BR45" s="237">
        <f>BR44/BM44-1</f>
        <v>8.2911356334144815E-2</v>
      </c>
      <c r="BS45" s="78">
        <f t="shared" si="203"/>
        <v>8.1185131938360744E-2</v>
      </c>
      <c r="BT45" s="237">
        <f t="shared" si="203"/>
        <v>9.2053715699301986E-2</v>
      </c>
      <c r="BU45" s="237">
        <f t="shared" si="203"/>
        <v>3.2741907729572084E-2</v>
      </c>
      <c r="BV45" s="237">
        <f t="shared" si="203"/>
        <v>1.3002604483792757E-2</v>
      </c>
      <c r="BW45" s="237">
        <f t="shared" si="203"/>
        <v>3.3063333440819687E-2</v>
      </c>
      <c r="BX45" s="78">
        <f t="shared" si="203"/>
        <v>4.2934585955231475E-2</v>
      </c>
      <c r="BY45" s="237">
        <f t="shared" si="203"/>
        <v>2.8865335863681452E-4</v>
      </c>
      <c r="BZ45" s="237">
        <f t="shared" si="203"/>
        <v>2.0216115098420584E-2</v>
      </c>
      <c r="CA45" s="237">
        <f t="shared" si="203"/>
        <v>4.758459759420397E-2</v>
      </c>
      <c r="CB45" s="237">
        <f t="shared" si="203"/>
        <v>-4.8351267713570012E-3</v>
      </c>
      <c r="CC45" s="78">
        <f t="shared" si="203"/>
        <v>1.5269798957266767E-2</v>
      </c>
      <c r="CD45" s="237">
        <f t="shared" si="203"/>
        <v>3.9672294372158579E-2</v>
      </c>
      <c r="CE45" s="237">
        <f t="shared" si="203"/>
        <v>7.3485613782389159E-2</v>
      </c>
      <c r="CF45" s="237">
        <f t="shared" si="203"/>
        <v>6.5995104440375041E-2</v>
      </c>
      <c r="CG45" s="237">
        <f t="shared" si="203"/>
        <v>9.54074974585708E-2</v>
      </c>
      <c r="CH45" s="78">
        <f t="shared" si="203"/>
        <v>6.7094638178997634E-2</v>
      </c>
      <c r="CI45" s="237">
        <f t="shared" si="203"/>
        <v>2.6631410609527784E-2</v>
      </c>
      <c r="CJ45" s="237">
        <f t="shared" si="203"/>
        <v>5.2876622457408429E-2</v>
      </c>
      <c r="CK45" s="237">
        <f t="shared" si="203"/>
        <v>2.2083471845975033E-2</v>
      </c>
      <c r="CL45" s="237">
        <f t="shared" si="203"/>
        <v>2.5927719460028253E-3</v>
      </c>
      <c r="CM45" s="78">
        <f t="shared" ref="CM45" si="204">CM44/CH44-1</f>
        <v>2.5542143644024851E-2</v>
      </c>
      <c r="CN45" s="52">
        <f t="shared" ref="CN45:CW45" ca="1" si="205">CN44/CI44-1</f>
        <v>0.27371706027531406</v>
      </c>
      <c r="CO45" s="52">
        <f t="shared" ca="1" si="205"/>
        <v>0.30831162526802713</v>
      </c>
      <c r="CP45" s="52">
        <f t="shared" ca="1" si="205"/>
        <v>0.31326267113481721</v>
      </c>
      <c r="CQ45" s="52">
        <f t="shared" ca="1" si="205"/>
        <v>0.20632274168589149</v>
      </c>
      <c r="CR45" s="78">
        <f t="shared" ca="1" si="205"/>
        <v>0.27654009609194241</v>
      </c>
      <c r="CS45" s="52">
        <f t="shared" ca="1" si="205"/>
        <v>0.20914458305663897</v>
      </c>
      <c r="CT45" s="52">
        <f t="shared" ca="1" si="205"/>
        <v>0.10127719618291686</v>
      </c>
      <c r="CU45" s="52">
        <f t="shared" ca="1" si="205"/>
        <v>1.411211146764102E-2</v>
      </c>
      <c r="CV45" s="52">
        <f t="shared" ca="1" si="205"/>
        <v>4.4389975360270117E-2</v>
      </c>
      <c r="CW45" s="78">
        <f t="shared" ca="1" si="205"/>
        <v>9.2847377727216074E-2</v>
      </c>
      <c r="CX45" s="52">
        <f t="shared" ref="CX45" ca="1" si="206">CX44/CS44-1</f>
        <v>2.2547581620612656E-2</v>
      </c>
      <c r="CY45" s="52">
        <f t="shared" ref="CY45" ca="1" si="207">CY44/CT44-1</f>
        <v>2.2212156022168417E-2</v>
      </c>
      <c r="CZ45" s="52">
        <f t="shared" ref="CZ45" ca="1" si="208">CZ44/CU44-1</f>
        <v>3.1664317125390307E-2</v>
      </c>
      <c r="DA45" s="52">
        <f t="shared" ref="DA45" ca="1" si="209">DA44/CV44-1</f>
        <v>2.3856888061649206E-2</v>
      </c>
      <c r="DB45" s="78">
        <f t="shared" ref="DB45" ca="1" si="210">DB44/CW44-1</f>
        <v>2.5058302474900929E-2</v>
      </c>
      <c r="DC45" s="167"/>
      <c r="DD45" s="167"/>
      <c r="DE45" s="167"/>
      <c r="DF45" s="167"/>
      <c r="DG45" s="167"/>
      <c r="DH45" s="167"/>
      <c r="DI45" s="167"/>
      <c r="DJ45" s="167"/>
    </row>
    <row r="46" spans="1:114">
      <c r="A46" s="396"/>
      <c r="B46" s="37" t="s">
        <v>425</v>
      </c>
      <c r="C46" s="157"/>
      <c r="D46" s="80">
        <f t="shared" ref="D46:AI46" si="211">1000000*D40/D$10</f>
        <v>177.24128194267965</v>
      </c>
      <c r="E46" s="81">
        <f t="shared" si="211"/>
        <v>117.60965134604574</v>
      </c>
      <c r="F46" s="82">
        <f t="shared" si="211"/>
        <v>119.59880953741917</v>
      </c>
      <c r="G46" s="93">
        <f t="shared" si="211"/>
        <v>129.25384504248919</v>
      </c>
      <c r="H46" s="93">
        <f t="shared" si="211"/>
        <v>133.87539771027656</v>
      </c>
      <c r="I46" s="93">
        <f t="shared" si="211"/>
        <v>142.46147844743516</v>
      </c>
      <c r="J46" s="93">
        <f t="shared" si="211"/>
        <v>144.03141299334126</v>
      </c>
      <c r="K46" s="82">
        <f t="shared" si="211"/>
        <v>137.62659133056286</v>
      </c>
      <c r="L46" s="93">
        <f t="shared" si="211"/>
        <v>126.18273594997974</v>
      </c>
      <c r="M46" s="93">
        <f t="shared" si="211"/>
        <v>142.03497380653729</v>
      </c>
      <c r="N46" s="93">
        <f t="shared" si="211"/>
        <v>143.04840160248548</v>
      </c>
      <c r="O46" s="93">
        <f t="shared" si="211"/>
        <v>150.25637895250884</v>
      </c>
      <c r="P46" s="82">
        <f t="shared" si="211"/>
        <v>140.43667310453094</v>
      </c>
      <c r="Q46" s="93">
        <f t="shared" si="211"/>
        <v>145.75092567506547</v>
      </c>
      <c r="R46" s="93">
        <f t="shared" si="211"/>
        <v>157.96108164637334</v>
      </c>
      <c r="S46" s="93">
        <f t="shared" si="211"/>
        <v>150.48478769642261</v>
      </c>
      <c r="T46" s="93">
        <f t="shared" si="211"/>
        <v>148.72226508615648</v>
      </c>
      <c r="U46" s="82">
        <f t="shared" si="211"/>
        <v>150.59287773815478</v>
      </c>
      <c r="V46" s="93">
        <f t="shared" si="211"/>
        <v>150.39855847051277</v>
      </c>
      <c r="W46" s="93">
        <f t="shared" si="211"/>
        <v>156.7847815070362</v>
      </c>
      <c r="X46" s="93">
        <f t="shared" si="211"/>
        <v>159.56466439707236</v>
      </c>
      <c r="Y46" s="93">
        <f t="shared" si="211"/>
        <v>156.83755160380446</v>
      </c>
      <c r="Z46" s="82">
        <f t="shared" si="211"/>
        <v>155.89510198843448</v>
      </c>
      <c r="AA46" s="93">
        <f t="shared" si="211"/>
        <v>153.89275976976674</v>
      </c>
      <c r="AB46" s="93">
        <f t="shared" si="211"/>
        <v>165.79795727757525</v>
      </c>
      <c r="AC46" s="93">
        <f t="shared" si="211"/>
        <v>165.45141976406427</v>
      </c>
      <c r="AD46" s="93">
        <f t="shared" si="211"/>
        <v>161.84147729358634</v>
      </c>
      <c r="AE46" s="82">
        <f t="shared" si="211"/>
        <v>161.72401771342527</v>
      </c>
      <c r="AF46" s="93">
        <f t="shared" si="211"/>
        <v>160.52469825659367</v>
      </c>
      <c r="AG46" s="93">
        <f t="shared" si="211"/>
        <v>160.61349109853759</v>
      </c>
      <c r="AH46" s="93">
        <f t="shared" si="211"/>
        <v>156.6668159340835</v>
      </c>
      <c r="AI46" s="93">
        <f t="shared" si="211"/>
        <v>163.49154419166499</v>
      </c>
      <c r="AJ46" s="82">
        <f t="shared" ref="AJ46:BN46" si="212">1000000*AJ40/AJ$10</f>
        <v>160.32916483668893</v>
      </c>
      <c r="AK46" s="93">
        <f t="shared" si="212"/>
        <v>159.46900917701331</v>
      </c>
      <c r="AL46" s="93">
        <f t="shared" si="212"/>
        <v>172.3435154562429</v>
      </c>
      <c r="AM46" s="93">
        <f t="shared" si="212"/>
        <v>186.44351210020673</v>
      </c>
      <c r="AN46" s="93">
        <f t="shared" si="212"/>
        <v>193.05492076702163</v>
      </c>
      <c r="AO46" s="82">
        <f t="shared" si="212"/>
        <v>181.04322818776748</v>
      </c>
      <c r="AP46" s="93">
        <f t="shared" si="212"/>
        <v>192.93088499311847</v>
      </c>
      <c r="AQ46" s="93">
        <f t="shared" si="212"/>
        <v>195.4205054687265</v>
      </c>
      <c r="AR46" s="93">
        <f t="shared" si="212"/>
        <v>195.04579310070505</v>
      </c>
      <c r="AS46" s="93">
        <f t="shared" si="212"/>
        <v>186.54603498138894</v>
      </c>
      <c r="AT46" s="82">
        <f t="shared" si="212"/>
        <v>192.50937880431633</v>
      </c>
      <c r="AU46" s="93">
        <f t="shared" si="212"/>
        <v>195.45398224894518</v>
      </c>
      <c r="AV46" s="93">
        <f t="shared" si="212"/>
        <v>190.42699831665024</v>
      </c>
      <c r="AW46" s="93">
        <f t="shared" si="212"/>
        <v>191.20172524760781</v>
      </c>
      <c r="AX46" s="93">
        <f t="shared" si="212"/>
        <v>198.37944352486798</v>
      </c>
      <c r="AY46" s="82">
        <f t="shared" si="212"/>
        <v>193.81877508186832</v>
      </c>
      <c r="AZ46" s="93">
        <f t="shared" si="212"/>
        <v>198.78975270469599</v>
      </c>
      <c r="BA46" s="93">
        <f t="shared" si="212"/>
        <v>195.59682862772877</v>
      </c>
      <c r="BB46" s="93">
        <f t="shared" si="212"/>
        <v>197.11173894963432</v>
      </c>
      <c r="BC46" s="93">
        <f t="shared" si="212"/>
        <v>196.13693749887545</v>
      </c>
      <c r="BD46" s="82">
        <f t="shared" si="212"/>
        <v>196.90453088167044</v>
      </c>
      <c r="BE46" s="93">
        <f t="shared" si="212"/>
        <v>192.07006907843029</v>
      </c>
      <c r="BF46" s="93">
        <f t="shared" si="212"/>
        <v>187.94328376181588</v>
      </c>
      <c r="BG46" s="93">
        <f t="shared" si="212"/>
        <v>192.68536115991918</v>
      </c>
      <c r="BH46" s="93">
        <f t="shared" si="212"/>
        <v>195.04099843241289</v>
      </c>
      <c r="BI46" s="82">
        <f t="shared" si="212"/>
        <v>191.93574590644434</v>
      </c>
      <c r="BJ46" s="93">
        <f t="shared" si="212"/>
        <v>187.35002717277706</v>
      </c>
      <c r="BK46" s="93">
        <f t="shared" si="212"/>
        <v>189.36298727570073</v>
      </c>
      <c r="BL46" s="93">
        <f t="shared" si="212"/>
        <v>192.97836208641669</v>
      </c>
      <c r="BM46" s="93">
        <f>1000000*BM40/BM$10</f>
        <v>199.81295432968216</v>
      </c>
      <c r="BN46" s="82">
        <f t="shared" si="212"/>
        <v>192.36013774003683</v>
      </c>
      <c r="BO46" s="93">
        <f t="shared" ref="BO46:CC46" si="213">1000000*BO40/BO$10</f>
        <v>206.65236113477718</v>
      </c>
      <c r="BP46" s="93">
        <f t="shared" si="213"/>
        <v>208.37201745427538</v>
      </c>
      <c r="BQ46" s="93">
        <f t="shared" si="213"/>
        <v>209.7046117101612</v>
      </c>
      <c r="BR46" s="93">
        <f t="shared" si="213"/>
        <v>219.84202422781067</v>
      </c>
      <c r="BS46" s="82">
        <f t="shared" si="213"/>
        <v>211.04247988791866</v>
      </c>
      <c r="BT46" s="93">
        <f t="shared" si="213"/>
        <v>226.2009212546611</v>
      </c>
      <c r="BU46" s="93">
        <f t="shared" si="213"/>
        <v>216.39029791680474</v>
      </c>
      <c r="BV46" s="93">
        <f t="shared" si="213"/>
        <v>213.94617892124447</v>
      </c>
      <c r="BW46" s="93">
        <f t="shared" si="213"/>
        <v>224.61463940561106</v>
      </c>
      <c r="BX46" s="82">
        <f t="shared" si="213"/>
        <v>220.0568404289439</v>
      </c>
      <c r="BY46" s="93">
        <f t="shared" si="213"/>
        <v>227.57637051002612</v>
      </c>
      <c r="BZ46" s="93">
        <f t="shared" si="213"/>
        <v>220.93787148845649</v>
      </c>
      <c r="CA46" s="93">
        <f t="shared" si="213"/>
        <v>224.40556916082073</v>
      </c>
      <c r="CB46" s="93">
        <f>1000000*CB40/CB$10</f>
        <v>224.15342409232741</v>
      </c>
      <c r="CC46" s="82">
        <f t="shared" si="213"/>
        <v>224.265970607908</v>
      </c>
      <c r="CD46" s="93">
        <f t="shared" ref="CD46:CE46" si="214">1000000*CD40/CD$10</f>
        <v>231.88202466133532</v>
      </c>
      <c r="CE46" s="93">
        <f t="shared" si="214"/>
        <v>239.27175930970097</v>
      </c>
      <c r="CF46" s="93">
        <f t="shared" ref="CF46:CI46" si="215">1000000*CF40/CF$10</f>
        <v>244.49493850615835</v>
      </c>
      <c r="CG46" s="93">
        <f t="shared" ref="CG46" si="216">1000000*CG40/CG$10</f>
        <v>249.90912395492549</v>
      </c>
      <c r="CH46" s="82">
        <f t="shared" si="215"/>
        <v>240.99534289888479</v>
      </c>
      <c r="CI46" s="93">
        <f t="shared" si="215"/>
        <v>242.75520476067456</v>
      </c>
      <c r="CJ46" s="93">
        <f t="shared" ref="CJ46:CK46" si="217">1000000*CJ40/CJ$10</f>
        <v>250.29180655331336</v>
      </c>
      <c r="CK46" s="93">
        <f t="shared" si="217"/>
        <v>246.94832938127493</v>
      </c>
      <c r="CL46" s="93">
        <f t="shared" ref="CL46" si="218">1000000*CL40/CL$10</f>
        <v>247.59578862072263</v>
      </c>
      <c r="CM46" s="82">
        <f t="shared" ref="CM46" si="219">1000000*CM40/CM$10</f>
        <v>246.78336053796266</v>
      </c>
      <c r="CN46" s="93">
        <f t="shared" ref="CN46:CW46" ca="1" si="220">1000000*CN40/CN$10</f>
        <v>329.31460442869565</v>
      </c>
      <c r="CO46" s="93">
        <f t="shared" ca="1" si="220"/>
        <v>367.02615646179521</v>
      </c>
      <c r="CP46" s="93">
        <f t="shared" ca="1" si="220"/>
        <v>375.04685759901463</v>
      </c>
      <c r="CQ46" s="93">
        <f t="shared" ca="1" si="220"/>
        <v>342.07338301454945</v>
      </c>
      <c r="CR46" s="82">
        <f t="shared" ca="1" si="220"/>
        <v>352.28215854736538</v>
      </c>
      <c r="CS46" s="93">
        <f t="shared" ca="1" si="220"/>
        <v>383.02411690242383</v>
      </c>
      <c r="CT46" s="93">
        <f t="shared" ca="1" si="220"/>
        <v>382.5162045988755</v>
      </c>
      <c r="CU46" s="93">
        <f t="shared" ca="1" si="220"/>
        <v>347.88574167771498</v>
      </c>
      <c r="CV46" s="93">
        <f t="shared" ca="1" si="220"/>
        <v>332.35137939195914</v>
      </c>
      <c r="CW46" s="82">
        <f t="shared" ca="1" si="220"/>
        <v>361.66806624304934</v>
      </c>
      <c r="CX46" s="93">
        <f t="shared" ref="CX46:DB46" ca="1" si="221">1000000*CX40/CX$10</f>
        <v>382.74637845595021</v>
      </c>
      <c r="CY46" s="93">
        <f t="shared" ca="1" si="221"/>
        <v>381.01191230913366</v>
      </c>
      <c r="CZ46" s="93">
        <f t="shared" ca="1" si="221"/>
        <v>353.88273590861888</v>
      </c>
      <c r="DA46" s="93">
        <f t="shared" ca="1" si="221"/>
        <v>331.22039990734589</v>
      </c>
      <c r="DB46" s="82">
        <f t="shared" ca="1" si="221"/>
        <v>362.49804150953412</v>
      </c>
      <c r="DC46" s="37"/>
      <c r="DD46" s="37"/>
      <c r="DE46" s="37"/>
      <c r="DF46" s="37"/>
      <c r="DG46" s="37"/>
      <c r="DH46" s="37"/>
      <c r="DI46" s="37"/>
      <c r="DJ46" s="37"/>
    </row>
    <row r="47" spans="1:114">
      <c r="A47" s="459"/>
      <c r="B47" s="475" t="s">
        <v>183</v>
      </c>
      <c r="C47" s="476"/>
      <c r="D47" s="140"/>
      <c r="E47" s="477"/>
      <c r="F47" s="140"/>
      <c r="G47" s="139"/>
      <c r="H47" s="139"/>
      <c r="I47" s="139"/>
      <c r="J47" s="139"/>
      <c r="K47" s="478">
        <f t="shared" ref="K47:AP47" si="222">K46/F46-1</f>
        <v>0.15073546185677777</v>
      </c>
      <c r="L47" s="479">
        <f t="shared" si="222"/>
        <v>-2.3760291939476819E-2</v>
      </c>
      <c r="M47" s="479">
        <f t="shared" si="222"/>
        <v>6.0949033473044034E-2</v>
      </c>
      <c r="N47" s="479">
        <f t="shared" si="222"/>
        <v>4.119872694336113E-3</v>
      </c>
      <c r="O47" s="479">
        <f t="shared" si="222"/>
        <v>4.3219502119689501E-2</v>
      </c>
      <c r="P47" s="478">
        <f t="shared" si="222"/>
        <v>2.0418160086655091E-2</v>
      </c>
      <c r="Q47" s="479">
        <f t="shared" si="222"/>
        <v>0.15507818544085761</v>
      </c>
      <c r="R47" s="479">
        <f t="shared" si="222"/>
        <v>0.11212807249521983</v>
      </c>
      <c r="S47" s="479">
        <f t="shared" si="222"/>
        <v>5.1985104416629291E-2</v>
      </c>
      <c r="T47" s="479">
        <f t="shared" si="222"/>
        <v>-1.0209974957783641E-2</v>
      </c>
      <c r="U47" s="478">
        <f t="shared" si="222"/>
        <v>7.2318749861471687E-2</v>
      </c>
      <c r="V47" s="479">
        <f t="shared" si="222"/>
        <v>3.188750104962379E-2</v>
      </c>
      <c r="W47" s="479">
        <f t="shared" si="222"/>
        <v>-7.4467718698617569E-3</v>
      </c>
      <c r="X47" s="479">
        <f t="shared" si="222"/>
        <v>6.0337505469103325E-2</v>
      </c>
      <c r="Y47" s="479">
        <f t="shared" si="222"/>
        <v>5.4566722157887382E-2</v>
      </c>
      <c r="Z47" s="478">
        <f t="shared" si="222"/>
        <v>3.5208997463339609E-2</v>
      </c>
      <c r="AA47" s="479">
        <f t="shared" si="222"/>
        <v>2.3232944083962481E-2</v>
      </c>
      <c r="AB47" s="479">
        <f t="shared" si="222"/>
        <v>5.7487567887030799E-2</v>
      </c>
      <c r="AC47" s="479">
        <f t="shared" si="222"/>
        <v>3.6892600183351831E-2</v>
      </c>
      <c r="AD47" s="479">
        <f t="shared" si="222"/>
        <v>3.1905150511546854E-2</v>
      </c>
      <c r="AE47" s="478">
        <f t="shared" si="222"/>
        <v>3.7389986283361321E-2</v>
      </c>
      <c r="AF47" s="479">
        <f t="shared" si="222"/>
        <v>4.3094545167353671E-2</v>
      </c>
      <c r="AG47" s="479">
        <f t="shared" si="222"/>
        <v>-3.1269783199789014E-2</v>
      </c>
      <c r="AH47" s="479">
        <f t="shared" si="222"/>
        <v>-5.3094762453581357E-2</v>
      </c>
      <c r="AI47" s="479">
        <f t="shared" si="222"/>
        <v>1.0195574865430546E-2</v>
      </c>
      <c r="AJ47" s="478">
        <f t="shared" si="222"/>
        <v>-8.6248962674673191E-3</v>
      </c>
      <c r="AK47" s="479">
        <f t="shared" si="222"/>
        <v>-6.576490042005112E-3</v>
      </c>
      <c r="AL47" s="479">
        <f t="shared" si="222"/>
        <v>7.3032621839399736E-2</v>
      </c>
      <c r="AM47" s="479">
        <f t="shared" si="222"/>
        <v>0.1900638369943739</v>
      </c>
      <c r="AN47" s="479">
        <f t="shared" si="222"/>
        <v>0.18082511069012108</v>
      </c>
      <c r="AO47" s="478">
        <f t="shared" si="222"/>
        <v>0.12919710130204853</v>
      </c>
      <c r="AP47" s="479">
        <f t="shared" si="222"/>
        <v>0.20983309540076167</v>
      </c>
      <c r="AQ47" s="479">
        <f t="shared" ref="AQ47:CL47" si="223">AQ46/AL46-1</f>
        <v>0.13390112155593537</v>
      </c>
      <c r="AR47" s="479">
        <f t="shared" si="223"/>
        <v>4.6138805816288819E-2</v>
      </c>
      <c r="AS47" s="479">
        <f t="shared" si="223"/>
        <v>-3.3715202698653801E-2</v>
      </c>
      <c r="AT47" s="478">
        <f t="shared" si="223"/>
        <v>6.3333772443876279E-2</v>
      </c>
      <c r="AU47" s="479">
        <f t="shared" si="223"/>
        <v>1.3077726025652714E-2</v>
      </c>
      <c r="AV47" s="479">
        <f t="shared" si="223"/>
        <v>-2.5552626322908445E-2</v>
      </c>
      <c r="AW47" s="479">
        <f t="shared" si="223"/>
        <v>-1.9708540194519841E-2</v>
      </c>
      <c r="AX47" s="479">
        <f t="shared" si="223"/>
        <v>6.3434253880869873E-2</v>
      </c>
      <c r="AY47" s="478">
        <f t="shared" si="223"/>
        <v>6.8017271973173088E-3</v>
      </c>
      <c r="AZ47" s="479">
        <f t="shared" si="223"/>
        <v>1.7066781742528514E-2</v>
      </c>
      <c r="BA47" s="479">
        <f t="shared" si="223"/>
        <v>2.7148620504335863E-2</v>
      </c>
      <c r="BB47" s="479">
        <f t="shared" si="223"/>
        <v>3.0909834596800856E-2</v>
      </c>
      <c r="BC47" s="479">
        <f t="shared" si="223"/>
        <v>-1.1304124994742315E-2</v>
      </c>
      <c r="BD47" s="478">
        <f t="shared" si="223"/>
        <v>1.5920830159507071E-2</v>
      </c>
      <c r="BE47" s="479">
        <f t="shared" si="223"/>
        <v>-3.3802967883600377E-2</v>
      </c>
      <c r="BF47" s="479">
        <f t="shared" si="223"/>
        <v>-3.9129186907624014E-2</v>
      </c>
      <c r="BG47" s="479">
        <f t="shared" si="223"/>
        <v>-2.2456185579318277E-2</v>
      </c>
      <c r="BH47" s="479">
        <f t="shared" si="223"/>
        <v>-5.5876219973550745E-3</v>
      </c>
      <c r="BI47" s="478">
        <f t="shared" si="223"/>
        <v>-2.5234487764083435E-2</v>
      </c>
      <c r="BJ47" s="479">
        <f t="shared" si="223"/>
        <v>-2.4574583266931849E-2</v>
      </c>
      <c r="BK47" s="479">
        <f t="shared" si="223"/>
        <v>7.5538933100907091E-3</v>
      </c>
      <c r="BL47" s="479">
        <f t="shared" si="223"/>
        <v>1.5206185085037127E-3</v>
      </c>
      <c r="BM47" s="479">
        <f t="shared" si="223"/>
        <v>2.4466424678003751E-2</v>
      </c>
      <c r="BN47" s="478">
        <f t="shared" si="223"/>
        <v>2.2111140975238364E-3</v>
      </c>
      <c r="BO47" s="479">
        <f t="shared" si="223"/>
        <v>0.10302818875067055</v>
      </c>
      <c r="BP47" s="479">
        <f t="shared" si="223"/>
        <v>0.10038408483120675</v>
      </c>
      <c r="BQ47" s="479">
        <f>BQ46/BL46-1</f>
        <v>8.6674223176660625E-2</v>
      </c>
      <c r="BR47" s="479">
        <f>BR46/BM46-1</f>
        <v>0.10023909593509872</v>
      </c>
      <c r="BS47" s="478">
        <f t="shared" si="223"/>
        <v>9.7121692505387491E-2</v>
      </c>
      <c r="BT47" s="479">
        <f t="shared" si="223"/>
        <v>9.4596355021244971E-2</v>
      </c>
      <c r="BU47" s="479">
        <f t="shared" si="223"/>
        <v>3.8480600996671166E-2</v>
      </c>
      <c r="BV47" s="479">
        <f t="shared" si="223"/>
        <v>2.0226389760782393E-2</v>
      </c>
      <c r="BW47" s="479">
        <f t="shared" si="223"/>
        <v>2.1709294183239525E-2</v>
      </c>
      <c r="BX47" s="478">
        <f>BX46/BS46-1</f>
        <v>4.2713488515736753E-2</v>
      </c>
      <c r="BY47" s="479">
        <f t="shared" si="223"/>
        <v>6.0806527565664403E-3</v>
      </c>
      <c r="BZ47" s="479">
        <f t="shared" si="223"/>
        <v>2.1015607517672397E-2</v>
      </c>
      <c r="CA47" s="479">
        <f t="shared" si="223"/>
        <v>4.8887950662706015E-2</v>
      </c>
      <c r="CB47" s="479">
        <f t="shared" si="223"/>
        <v>-2.053362659282354E-3</v>
      </c>
      <c r="CC47" s="478">
        <f>CC46/BX46-1</f>
        <v>1.9127468024895178E-2</v>
      </c>
      <c r="CD47" s="479">
        <f t="shared" si="223"/>
        <v>1.8919601106475614E-2</v>
      </c>
      <c r="CE47" s="479">
        <f t="shared" si="223"/>
        <v>8.2982096721260223E-2</v>
      </c>
      <c r="CF47" s="479">
        <f t="shared" si="223"/>
        <v>8.9522597057029918E-2</v>
      </c>
      <c r="CG47" s="479">
        <f t="shared" si="223"/>
        <v>0.11490210317728389</v>
      </c>
      <c r="CH47" s="478">
        <f>CH46/CC46-1</f>
        <v>7.4596124617699155E-2</v>
      </c>
      <c r="CI47" s="479">
        <f t="shared" si="223"/>
        <v>4.6891000349076561E-2</v>
      </c>
      <c r="CJ47" s="479">
        <f t="shared" si="223"/>
        <v>4.6056614768935633E-2</v>
      </c>
      <c r="CK47" s="479">
        <f t="shared" si="223"/>
        <v>1.0034526236438968E-2</v>
      </c>
      <c r="CL47" s="479">
        <f t="shared" si="223"/>
        <v>-9.2567061882066204E-3</v>
      </c>
      <c r="CM47" s="478">
        <f t="shared" ref="CM47" si="224">CM46/CH46-1</f>
        <v>2.4017134810386587E-2</v>
      </c>
      <c r="CN47" s="479">
        <f t="shared" ref="CN47:CW47" ca="1" si="225">CN46/CI46-1</f>
        <v>0.35657072627282105</v>
      </c>
      <c r="CO47" s="479">
        <f t="shared" ca="1" si="225"/>
        <v>0.46639301348291196</v>
      </c>
      <c r="CP47" s="479">
        <f t="shared" ca="1" si="225"/>
        <v>0.51872603689479702</v>
      </c>
      <c r="CQ47" s="479">
        <f t="shared" ca="1" si="225"/>
        <v>0.38157997323028581</v>
      </c>
      <c r="CR47" s="478">
        <f t="shared" ca="1" si="225"/>
        <v>0.42749558876022298</v>
      </c>
      <c r="CS47" s="479">
        <f t="shared" ca="1" si="225"/>
        <v>0.16309483925532242</v>
      </c>
      <c r="CT47" s="479">
        <f t="shared" ca="1" si="225"/>
        <v>4.2204207695733187E-2</v>
      </c>
      <c r="CU47" s="479">
        <f t="shared" ca="1" si="225"/>
        <v>-7.2420593243149534E-2</v>
      </c>
      <c r="CV47" s="479">
        <f t="shared" ca="1" si="225"/>
        <v>-2.8420812917141824E-2</v>
      </c>
      <c r="CW47" s="478">
        <f t="shared" ca="1" si="225"/>
        <v>2.6643153699258404E-2</v>
      </c>
      <c r="CX47" s="479">
        <f t="shared" ref="CX47" ca="1" si="226">CX46/CS46-1</f>
        <v>-7.2511999693314344E-4</v>
      </c>
      <c r="CY47" s="479">
        <f t="shared" ref="CY47" ca="1" si="227">CY46/CT46-1</f>
        <v>-3.9326236945159687E-3</v>
      </c>
      <c r="CZ47" s="479">
        <f t="shared" ref="CZ47" ca="1" si="228">CZ46/CU46-1</f>
        <v>1.7238401901678468E-2</v>
      </c>
      <c r="DA47" s="479">
        <f t="shared" ref="DA47" ca="1" si="229">DA46/CV46-1</f>
        <v>-3.4029631129631754E-3</v>
      </c>
      <c r="DB47" s="478">
        <f t="shared" ref="DB47" ca="1" si="230">DB46/CW46-1</f>
        <v>2.2948536073599257E-3</v>
      </c>
      <c r="DC47" s="167"/>
      <c r="DD47" s="167"/>
      <c r="DE47" s="167"/>
      <c r="DF47" s="167"/>
      <c r="DG47" s="167"/>
      <c r="DH47" s="167"/>
      <c r="DI47" s="167"/>
      <c r="DJ47" s="167"/>
    </row>
    <row r="48" spans="1:114" ht="5.25" customHeight="1" thickBot="1">
      <c r="A48" s="163"/>
      <c r="B48" s="37"/>
      <c r="C48" s="500"/>
      <c r="D48" s="163"/>
      <c r="E48" s="163"/>
      <c r="F48" s="163"/>
      <c r="G48" s="163"/>
      <c r="H48" s="163"/>
      <c r="I48" s="163"/>
      <c r="J48" s="163"/>
      <c r="K48" s="23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7"/>
      <c r="AN48" s="237"/>
      <c r="AO48" s="237"/>
      <c r="AP48" s="237"/>
      <c r="AQ48" s="237"/>
      <c r="AR48" s="237"/>
      <c r="AS48" s="237"/>
      <c r="AT48" s="237"/>
      <c r="AU48" s="237"/>
      <c r="AV48" s="237"/>
      <c r="AW48" s="237"/>
      <c r="AX48" s="237"/>
      <c r="AY48" s="237"/>
      <c r="AZ48" s="237"/>
      <c r="BA48" s="237"/>
      <c r="BB48" s="237"/>
      <c r="BC48" s="237"/>
      <c r="BD48" s="237"/>
      <c r="BE48" s="237"/>
      <c r="BF48" s="237"/>
      <c r="BG48" s="237"/>
      <c r="BH48" s="237"/>
      <c r="BI48" s="237"/>
      <c r="BJ48" s="237"/>
      <c r="BK48" s="237"/>
      <c r="BL48" s="237"/>
      <c r="BM48" s="237"/>
      <c r="BN48" s="237"/>
      <c r="BO48" s="237"/>
      <c r="BP48" s="237"/>
      <c r="BQ48" s="237"/>
      <c r="BR48" s="237"/>
      <c r="BS48" s="237"/>
      <c r="BT48" s="237"/>
      <c r="BU48" s="237"/>
      <c r="BV48" s="237"/>
      <c r="BW48" s="237"/>
      <c r="BX48" s="237"/>
      <c r="BY48" s="237"/>
      <c r="BZ48" s="237"/>
      <c r="CA48" s="237"/>
      <c r="CB48" s="237"/>
      <c r="CC48" s="237"/>
      <c r="CD48" s="237"/>
      <c r="CE48" s="237"/>
      <c r="CF48" s="237"/>
      <c r="CG48" s="237"/>
      <c r="CH48" s="237"/>
      <c r="CI48" s="237"/>
      <c r="CJ48" s="237"/>
      <c r="CK48" s="237"/>
      <c r="CL48" s="237"/>
      <c r="CM48" s="237"/>
      <c r="CN48" s="237"/>
      <c r="CO48" s="237"/>
      <c r="CP48" s="237"/>
      <c r="CQ48" s="237"/>
      <c r="CR48" s="237"/>
      <c r="CS48" s="237"/>
      <c r="CT48" s="237"/>
      <c r="CU48" s="237"/>
      <c r="CV48" s="237"/>
      <c r="CW48" s="237"/>
      <c r="CX48" s="237"/>
      <c r="CY48" s="237"/>
      <c r="CZ48" s="237"/>
      <c r="DA48" s="237"/>
      <c r="DB48" s="237"/>
      <c r="DC48" s="163"/>
      <c r="DD48" s="163"/>
      <c r="DE48" s="163"/>
      <c r="DF48" s="163"/>
      <c r="DG48" s="163"/>
      <c r="DH48" s="163"/>
      <c r="DI48" s="163"/>
      <c r="DJ48" s="163"/>
    </row>
    <row r="49" spans="1:114" s="565" customFormat="1">
      <c r="A49" s="556"/>
      <c r="B49" s="557" t="s">
        <v>189</v>
      </c>
      <c r="C49" s="558"/>
      <c r="D49" s="559">
        <f>IS!D13</f>
        <v>259.47399999999999</v>
      </c>
      <c r="E49" s="560">
        <f>IS!E13</f>
        <v>226.363</v>
      </c>
      <c r="F49" s="561">
        <f>IS!F13</f>
        <v>259.47399999999999</v>
      </c>
      <c r="G49" s="562">
        <f>IS!G13</f>
        <v>74.09</v>
      </c>
      <c r="H49" s="562">
        <f>IS!H13</f>
        <v>78.070999999999998</v>
      </c>
      <c r="I49" s="562">
        <f>IS!I13</f>
        <v>81.741</v>
      </c>
      <c r="J49" s="562">
        <f>IS!J13</f>
        <v>89.909000000000006</v>
      </c>
      <c r="K49" s="561">
        <f>IS!K13</f>
        <v>323.81099999999998</v>
      </c>
      <c r="L49" s="562">
        <f>IS!L13</f>
        <v>97.909000000000006</v>
      </c>
      <c r="M49" s="562">
        <f>IS!M13</f>
        <v>105.745</v>
      </c>
      <c r="N49" s="562">
        <f>IS!N13</f>
        <v>114.76</v>
      </c>
      <c r="O49" s="562">
        <f>IS!O13</f>
        <v>122.89400000000001</v>
      </c>
      <c r="P49" s="561">
        <f>IS!P13</f>
        <v>441.30799999999999</v>
      </c>
      <c r="Q49" s="562">
        <f>IS!Q13</f>
        <v>128.631</v>
      </c>
      <c r="R49" s="562">
        <f>IS!R13</f>
        <v>136.10599999999999</v>
      </c>
      <c r="S49" s="562">
        <f>IS!S13</f>
        <v>153.47800000000001</v>
      </c>
      <c r="T49" s="562">
        <f>IS!T13</f>
        <v>162.20500000000001</v>
      </c>
      <c r="U49" s="561">
        <f>IS!U13</f>
        <v>580.41999999999996</v>
      </c>
      <c r="V49" s="562">
        <f>IS!V13</f>
        <v>161.72399999999999</v>
      </c>
      <c r="W49" s="562">
        <f>IS!W13</f>
        <v>166.32</v>
      </c>
      <c r="X49" s="562">
        <f>IS!X13</f>
        <v>171.38399999999999</v>
      </c>
      <c r="Y49" s="562">
        <f>IS!Y13</f>
        <v>176.89</v>
      </c>
      <c r="Z49" s="561">
        <f>IS!Z13</f>
        <v>676.31799999999998</v>
      </c>
      <c r="AA49" s="562">
        <f>IS!AA13</f>
        <v>180.83199999999999</v>
      </c>
      <c r="AB49" s="562">
        <f>IS!AB13</f>
        <v>189.446</v>
      </c>
      <c r="AC49" s="562">
        <f>IS!AC13</f>
        <v>194.102</v>
      </c>
      <c r="AD49" s="562">
        <f>IS!AD13</f>
        <v>204.43600000000001</v>
      </c>
      <c r="AE49" s="561">
        <f>IS!AE13</f>
        <v>768.81600000000003</v>
      </c>
      <c r="AF49" s="562">
        <f>IS!AF13</f>
        <v>207.04300000000001</v>
      </c>
      <c r="AG49" s="562">
        <f>IS!AG13</f>
        <v>219.113</v>
      </c>
      <c r="AH49" s="562">
        <f>IS!AH13</f>
        <v>235.02099999999999</v>
      </c>
      <c r="AI49" s="562">
        <f>IS!AI13</f>
        <v>235.91399999999999</v>
      </c>
      <c r="AJ49" s="561">
        <f>IS!AJ13</f>
        <v>897.09100000000001</v>
      </c>
      <c r="AK49" s="562">
        <f>IS!AK13</f>
        <v>245.25899999999999</v>
      </c>
      <c r="AL49" s="562">
        <f>IS!AL13</f>
        <v>258.55599999999998</v>
      </c>
      <c r="AM49" s="562">
        <f>IS!AM13</f>
        <v>464.12700000000001</v>
      </c>
      <c r="AN49" s="562">
        <f>IS!AN13</f>
        <v>512.26099999999997</v>
      </c>
      <c r="AO49" s="561">
        <f>IS!AO13</f>
        <v>1480.203</v>
      </c>
      <c r="AP49" s="562">
        <f>IS!AP13</f>
        <v>526.16700000000003</v>
      </c>
      <c r="AQ49" s="562">
        <f>IS!AQ13</f>
        <v>526.09799999999996</v>
      </c>
      <c r="AR49" s="562">
        <f>IS!AR13</f>
        <v>529.36300000000006</v>
      </c>
      <c r="AS49" s="562">
        <f>IS!AS13</f>
        <v>516.82299999999998</v>
      </c>
      <c r="AT49" s="561">
        <f>IS!AT13</f>
        <v>2098.451</v>
      </c>
      <c r="AU49" s="562">
        <f>IS!AU13</f>
        <v>539.72400000000005</v>
      </c>
      <c r="AV49" s="562">
        <f>IS!AV13</f>
        <v>567.81299999999999</v>
      </c>
      <c r="AW49" s="562">
        <f>IS!AW13</f>
        <v>567.62400000000002</v>
      </c>
      <c r="AX49" s="562">
        <f>IS!AX13</f>
        <v>557.06100000000004</v>
      </c>
      <c r="AY49" s="561">
        <f>IS!AY13</f>
        <v>2232.2220000000002</v>
      </c>
      <c r="AZ49" s="562">
        <f>IS!AZ13</f>
        <v>584.25300000000004</v>
      </c>
      <c r="BA49" s="562">
        <f>IS!BA13</f>
        <v>587.827</v>
      </c>
      <c r="BB49" s="562">
        <f>IS!BB13</f>
        <v>606.07299999999998</v>
      </c>
      <c r="BC49" s="562">
        <f>IS!BC13</f>
        <v>628.44299999999998</v>
      </c>
      <c r="BD49" s="561">
        <f>IS!BD13</f>
        <v>2406.5959999999995</v>
      </c>
      <c r="BE49" s="562">
        <f>IS!BE13</f>
        <v>624.79499999999996</v>
      </c>
      <c r="BF49" s="562">
        <f>IS!BF13</f>
        <v>654.73699999999997</v>
      </c>
      <c r="BG49" s="562">
        <f>IS!BG13</f>
        <v>623.60799999999995</v>
      </c>
      <c r="BH49" s="562">
        <f>IS!BH13</f>
        <v>622.50099999999998</v>
      </c>
      <c r="BI49" s="561">
        <f>IS!BI13</f>
        <v>2525.6409999999996</v>
      </c>
      <c r="BJ49" s="562">
        <f>IS!BJ13</f>
        <v>708.94299999999998</v>
      </c>
      <c r="BK49" s="562">
        <f>IS!BK13</f>
        <v>736.22500000000002</v>
      </c>
      <c r="BL49" s="562">
        <f>IS!BL13</f>
        <v>694.85699999999997</v>
      </c>
      <c r="BM49" s="562">
        <f>IS!BM13</f>
        <v>729.76099999999997</v>
      </c>
      <c r="BN49" s="561">
        <f>SUM(BJ49:BM49)</f>
        <v>2869.7860000000001</v>
      </c>
      <c r="BO49" s="562">
        <f>IS!BO13</f>
        <v>707.97400000000005</v>
      </c>
      <c r="BP49" s="562">
        <f>IS!BP13</f>
        <v>729.79700000000003</v>
      </c>
      <c r="BQ49" s="562">
        <f>IS!BQ13</f>
        <v>717.75699999999995</v>
      </c>
      <c r="BR49" s="562">
        <f>IS!BR13</f>
        <v>711.82900000000006</v>
      </c>
      <c r="BS49" s="561">
        <f>SUM(BO49:BR49)</f>
        <v>2867.3570000000004</v>
      </c>
      <c r="BT49" s="562">
        <f>IS!BT13</f>
        <v>967</v>
      </c>
      <c r="BU49" s="562">
        <f>IS!BU13</f>
        <v>1098</v>
      </c>
      <c r="BV49" s="562">
        <f>IS!BV13</f>
        <v>1109.73</v>
      </c>
      <c r="BW49" s="562">
        <f>IS!BW13</f>
        <v>1097</v>
      </c>
      <c r="BX49" s="561">
        <f>SUM(BT49:BW49)</f>
        <v>4271.7299999999996</v>
      </c>
      <c r="BY49" s="562">
        <f>IS!BY13</f>
        <v>1099</v>
      </c>
      <c r="BZ49" s="562">
        <f>IS!BZ13</f>
        <v>1125</v>
      </c>
      <c r="CA49" s="562">
        <f>IS!CA13</f>
        <v>1144</v>
      </c>
      <c r="CB49" s="562">
        <f>IS!CB13</f>
        <v>1151</v>
      </c>
      <c r="CC49" s="561">
        <f>SUM(BY49:CB49)</f>
        <v>4519</v>
      </c>
      <c r="CD49" s="562">
        <f>IS!CD13</f>
        <v>1190</v>
      </c>
      <c r="CE49" s="562">
        <f>IS!CE13</f>
        <v>1056</v>
      </c>
      <c r="CF49" s="562">
        <f>IS!CF13</f>
        <v>1026</v>
      </c>
      <c r="CG49" s="562">
        <f>IS!CG13</f>
        <v>1221</v>
      </c>
      <c r="CH49" s="561">
        <f>SUM(CD49:CG49)</f>
        <v>4493</v>
      </c>
      <c r="CI49" s="562">
        <f>IS!CI13</f>
        <v>1266</v>
      </c>
      <c r="CJ49" s="562">
        <f>IS!CJ13</f>
        <v>1017</v>
      </c>
      <c r="CK49" s="562">
        <f>IS!CK13</f>
        <v>911</v>
      </c>
      <c r="CL49" s="562">
        <f>IS!CL13</f>
        <v>881</v>
      </c>
      <c r="CM49" s="561">
        <f>SUM(CI49:CL49)</f>
        <v>4075</v>
      </c>
      <c r="CN49" s="567">
        <f ca="1">CN51*CN$18</f>
        <v>849.96228024321124</v>
      </c>
      <c r="CO49" s="567">
        <f ca="1">CO51*CO$18</f>
        <v>795.80193313473637</v>
      </c>
      <c r="CP49" s="567">
        <f ca="1">CP51*CP$18</f>
        <v>726.44295278471475</v>
      </c>
      <c r="CQ49" s="567">
        <f ca="1">CQ51*CQ$18</f>
        <v>826.10710185983271</v>
      </c>
      <c r="CR49" s="561">
        <f ca="1">SUM(CN49:CQ49)</f>
        <v>3198.3142680224951</v>
      </c>
      <c r="CS49" s="567">
        <f ca="1">CS51*CS$18</f>
        <v>789.33863767602259</v>
      </c>
      <c r="CT49" s="567">
        <f ca="1">CT51*CT$18</f>
        <v>748.53553906827744</v>
      </c>
      <c r="CU49" s="567">
        <f ca="1">CU51*CU$18</f>
        <v>698.34855752650344</v>
      </c>
      <c r="CV49" s="567">
        <f ca="1">CV51*CV$18</f>
        <v>810.87132044739508</v>
      </c>
      <c r="CW49" s="563">
        <f ca="1">SUM(CS49:CV49)</f>
        <v>3047.0940547181985</v>
      </c>
      <c r="CX49" s="567">
        <f ca="1">CX51*CX$18</f>
        <v>785.77794875719394</v>
      </c>
      <c r="CY49" s="567">
        <f ca="1">CY51*CY$18</f>
        <v>747.42367092770576</v>
      </c>
      <c r="CZ49" s="567">
        <f ca="1">CZ51*CZ$18</f>
        <v>707.94189779589021</v>
      </c>
      <c r="DA49" s="567">
        <f ca="1">DA51*DA$18</f>
        <v>817.66180614451787</v>
      </c>
      <c r="DB49" s="563">
        <f ca="1">SUM(CX49:DA49)</f>
        <v>3058.8053236253077</v>
      </c>
      <c r="DC49" s="564"/>
      <c r="DD49" s="564"/>
      <c r="DE49" s="564"/>
      <c r="DF49" s="564"/>
      <c r="DG49" s="564"/>
      <c r="DH49" s="564"/>
      <c r="DI49" s="564"/>
      <c r="DJ49" s="564"/>
    </row>
    <row r="50" spans="1:114">
      <c r="A50" s="458"/>
      <c r="B50" s="473" t="s">
        <v>183</v>
      </c>
      <c r="C50" s="474"/>
      <c r="D50" s="129"/>
      <c r="E50" s="153"/>
      <c r="F50" s="129"/>
      <c r="G50" s="167"/>
      <c r="H50" s="167"/>
      <c r="I50" s="167"/>
      <c r="J50" s="167"/>
      <c r="K50" s="67">
        <f t="shared" ref="K50:AP50" si="231">K49/F49-1</f>
        <v>0.24795162521100367</v>
      </c>
      <c r="L50" s="237">
        <f t="shared" si="231"/>
        <v>0.32148738021325407</v>
      </c>
      <c r="M50" s="237">
        <f t="shared" si="231"/>
        <v>0.35447221119237637</v>
      </c>
      <c r="N50" s="237">
        <f t="shared" si="231"/>
        <v>0.40394661185940972</v>
      </c>
      <c r="O50" s="237">
        <f t="shared" si="231"/>
        <v>0.36687094729115</v>
      </c>
      <c r="P50" s="67">
        <f t="shared" si="231"/>
        <v>0.36285672815315118</v>
      </c>
      <c r="Q50" s="237">
        <f t="shared" si="231"/>
        <v>0.31378116414221369</v>
      </c>
      <c r="R50" s="237">
        <f t="shared" si="231"/>
        <v>0.287115230034517</v>
      </c>
      <c r="S50" s="237">
        <f t="shared" si="231"/>
        <v>0.33738236319275017</v>
      </c>
      <c r="T50" s="237">
        <f t="shared" si="231"/>
        <v>0.31987729262616571</v>
      </c>
      <c r="U50" s="67">
        <f t="shared" si="231"/>
        <v>0.31522655379009668</v>
      </c>
      <c r="V50" s="237">
        <f t="shared" si="231"/>
        <v>0.25727079786365636</v>
      </c>
      <c r="W50" s="237">
        <f t="shared" si="231"/>
        <v>0.22198874406712421</v>
      </c>
      <c r="X50" s="237">
        <f t="shared" si="231"/>
        <v>0.11666818697142256</v>
      </c>
      <c r="Y50" s="237">
        <f t="shared" si="231"/>
        <v>9.0533584044881321E-2</v>
      </c>
      <c r="Z50" s="67">
        <f t="shared" si="231"/>
        <v>0.16522173598428735</v>
      </c>
      <c r="AA50" s="237">
        <f t="shared" si="231"/>
        <v>0.11815191313596007</v>
      </c>
      <c r="AB50" s="237">
        <f t="shared" si="231"/>
        <v>0.13904521404521408</v>
      </c>
      <c r="AC50" s="237">
        <f t="shared" si="231"/>
        <v>0.13255613126079457</v>
      </c>
      <c r="AD50" s="237">
        <f t="shared" si="231"/>
        <v>0.15572389620668226</v>
      </c>
      <c r="AE50" s="67">
        <f t="shared" si="231"/>
        <v>0.13676702379649819</v>
      </c>
      <c r="AF50" s="237">
        <f t="shared" si="231"/>
        <v>0.14494669085117695</v>
      </c>
      <c r="AG50" s="237">
        <f t="shared" si="231"/>
        <v>0.15659871414545568</v>
      </c>
      <c r="AH50" s="237">
        <f t="shared" si="231"/>
        <v>0.21081184119689644</v>
      </c>
      <c r="AI50" s="237">
        <f t="shared" si="231"/>
        <v>0.15397483809113854</v>
      </c>
      <c r="AJ50" s="67">
        <f t="shared" si="231"/>
        <v>0.16684746415267115</v>
      </c>
      <c r="AK50" s="237">
        <f t="shared" si="231"/>
        <v>0.18458001477953845</v>
      </c>
      <c r="AL50" s="237">
        <f t="shared" si="231"/>
        <v>0.18001213985477804</v>
      </c>
      <c r="AM50" s="237">
        <f t="shared" si="231"/>
        <v>0.97483203628611936</v>
      </c>
      <c r="AN50" s="237">
        <f t="shared" si="231"/>
        <v>1.1713887264002985</v>
      </c>
      <c r="AO50" s="67">
        <f t="shared" si="231"/>
        <v>0.65000317693522724</v>
      </c>
      <c r="AP50" s="237">
        <f t="shared" si="231"/>
        <v>1.1453524641297568</v>
      </c>
      <c r="AQ50" s="237">
        <f t="shared" ref="AQ50:CL50" si="232">AQ49/AL49-1</f>
        <v>1.034754559940593</v>
      </c>
      <c r="AR50" s="237">
        <f t="shared" si="232"/>
        <v>0.14055635634212194</v>
      </c>
      <c r="AS50" s="237">
        <f t="shared" si="232"/>
        <v>8.9056164728527065E-3</v>
      </c>
      <c r="AT50" s="67">
        <f t="shared" si="232"/>
        <v>0.41767784553875376</v>
      </c>
      <c r="AU50" s="237">
        <f t="shared" si="232"/>
        <v>2.5765583930577263E-2</v>
      </c>
      <c r="AV50" s="237">
        <f t="shared" si="232"/>
        <v>7.9291310744386001E-2</v>
      </c>
      <c r="AW50" s="237">
        <f t="shared" si="232"/>
        <v>7.2277435332654516E-2</v>
      </c>
      <c r="AX50" s="237">
        <f t="shared" si="232"/>
        <v>7.78564421475052E-2</v>
      </c>
      <c r="AY50" s="67">
        <f t="shared" si="232"/>
        <v>6.3747497558913846E-2</v>
      </c>
      <c r="AZ50" s="237">
        <f t="shared" si="232"/>
        <v>8.250327945394309E-2</v>
      </c>
      <c r="BA50" s="237">
        <f t="shared" si="232"/>
        <v>3.524751987009811E-2</v>
      </c>
      <c r="BB50" s="237">
        <f t="shared" si="232"/>
        <v>6.7736741223063168E-2</v>
      </c>
      <c r="BC50" s="237">
        <f t="shared" si="232"/>
        <v>0.12814036523827732</v>
      </c>
      <c r="BD50" s="67">
        <f t="shared" si="232"/>
        <v>7.8116782291366871E-2</v>
      </c>
      <c r="BE50" s="237">
        <f t="shared" si="232"/>
        <v>6.9391171290519527E-2</v>
      </c>
      <c r="BF50" s="237">
        <f t="shared" si="232"/>
        <v>0.11382600663120268</v>
      </c>
      <c r="BG50" s="237">
        <f t="shared" si="232"/>
        <v>2.8932158337361846E-2</v>
      </c>
      <c r="BH50" s="237">
        <f t="shared" si="232"/>
        <v>-9.4551136698157734E-3</v>
      </c>
      <c r="BI50" s="67">
        <f t="shared" si="232"/>
        <v>4.9466133908641075E-2</v>
      </c>
      <c r="BJ50" s="237">
        <f t="shared" si="232"/>
        <v>0.13468097535991808</v>
      </c>
      <c r="BK50" s="237">
        <f t="shared" si="232"/>
        <v>0.12445913397287778</v>
      </c>
      <c r="BL50" s="237">
        <f t="shared" si="232"/>
        <v>0.11425286397865331</v>
      </c>
      <c r="BM50" s="237">
        <f t="shared" si="232"/>
        <v>0.17230494408844321</v>
      </c>
      <c r="BN50" s="67">
        <f t="shared" si="232"/>
        <v>0.13626045823614708</v>
      </c>
      <c r="BO50" s="237">
        <f t="shared" si="232"/>
        <v>-1.3668235669157536E-3</v>
      </c>
      <c r="BP50" s="237">
        <f t="shared" si="232"/>
        <v>-8.7310265204251225E-3</v>
      </c>
      <c r="BQ50" s="237">
        <f>BQ49/BL49-1</f>
        <v>3.2956421249264123E-2</v>
      </c>
      <c r="BR50" s="237">
        <f>BR49/BM49-1</f>
        <v>-2.4572428507415256E-2</v>
      </c>
      <c r="BS50" s="67">
        <f t="shared" si="232"/>
        <v>-8.4640457511453437E-4</v>
      </c>
      <c r="BT50" s="237">
        <f t="shared" si="232"/>
        <v>0.3658693680841385</v>
      </c>
      <c r="BU50" s="237">
        <f t="shared" si="232"/>
        <v>0.50452797147699968</v>
      </c>
      <c r="BV50" s="237">
        <f t="shared" si="232"/>
        <v>0.54610822325661768</v>
      </c>
      <c r="BW50" s="237">
        <f t="shared" si="232"/>
        <v>0.54110046092530628</v>
      </c>
      <c r="BX50" s="67">
        <f>BX49/BS49-1</f>
        <v>0.48977961237474044</v>
      </c>
      <c r="BY50" s="237">
        <f t="shared" si="232"/>
        <v>0.13650465356773522</v>
      </c>
      <c r="BZ50" s="237">
        <f t="shared" si="232"/>
        <v>2.4590163934426146E-2</v>
      </c>
      <c r="CA50" s="237">
        <f t="shared" si="232"/>
        <v>3.0881385562253838E-2</v>
      </c>
      <c r="CB50" s="237">
        <f t="shared" si="232"/>
        <v>4.9225159525980056E-2</v>
      </c>
      <c r="CC50" s="67">
        <f>CC49/BX49-1</f>
        <v>5.7885212782643247E-2</v>
      </c>
      <c r="CD50" s="237">
        <f t="shared" si="232"/>
        <v>8.2802547770700619E-2</v>
      </c>
      <c r="CE50" s="237">
        <f t="shared" si="232"/>
        <v>-6.1333333333333351E-2</v>
      </c>
      <c r="CF50" s="237">
        <f t="shared" si="232"/>
        <v>-0.10314685314685312</v>
      </c>
      <c r="CG50" s="237">
        <f t="shared" si="232"/>
        <v>6.0816681146828921E-2</v>
      </c>
      <c r="CH50" s="67">
        <f>CH49/CC49-1</f>
        <v>-5.7534852843549311E-3</v>
      </c>
      <c r="CI50" s="237">
        <f t="shared" si="232"/>
        <v>6.386554621848739E-2</v>
      </c>
      <c r="CJ50" s="237">
        <f t="shared" si="232"/>
        <v>-3.6931818181818232E-2</v>
      </c>
      <c r="CK50" s="237">
        <f t="shared" si="232"/>
        <v>-0.11208576998050679</v>
      </c>
      <c r="CL50" s="237">
        <f t="shared" si="232"/>
        <v>-0.27846027846027843</v>
      </c>
      <c r="CM50" s="67">
        <f t="shared" ref="CM50" si="233">CM49/CH49-1</f>
        <v>-9.303360783440906E-2</v>
      </c>
      <c r="CN50" s="237">
        <f t="shared" ref="CN50:CW50" ca="1" si="234">CN49/CI49-1</f>
        <v>-0.3286237912770843</v>
      </c>
      <c r="CO50" s="237">
        <f t="shared" ca="1" si="234"/>
        <v>-0.2175005573896398</v>
      </c>
      <c r="CP50" s="237">
        <f t="shared" ca="1" si="234"/>
        <v>-0.20258731856782131</v>
      </c>
      <c r="CQ50" s="237">
        <f t="shared" ca="1" si="234"/>
        <v>-6.2307489375899361E-2</v>
      </c>
      <c r="CR50" s="67">
        <f t="shared" ca="1" si="234"/>
        <v>-0.21513760293926498</v>
      </c>
      <c r="CS50" s="237">
        <f t="shared" ca="1" si="234"/>
        <v>-7.1325097567672802E-2</v>
      </c>
      <c r="CT50" s="237">
        <f t="shared" ca="1" si="234"/>
        <v>-5.9394671083886741E-2</v>
      </c>
      <c r="CU50" s="237">
        <f t="shared" ca="1" si="234"/>
        <v>-3.8673918097099635E-2</v>
      </c>
      <c r="CV50" s="237">
        <f t="shared" ca="1" si="234"/>
        <v>-1.8442864585157315E-2</v>
      </c>
      <c r="CW50" s="67">
        <f t="shared" ca="1" si="234"/>
        <v>-4.7281223992348798E-2</v>
      </c>
      <c r="CX50" s="237">
        <f t="shared" ref="CX50" ca="1" si="235">CX49/CS49-1</f>
        <v>-4.5109776069141017E-3</v>
      </c>
      <c r="CY50" s="237">
        <f t="shared" ref="CY50" ca="1" si="236">CY49/CT49-1</f>
        <v>-1.4853912507022393E-3</v>
      </c>
      <c r="CZ50" s="237">
        <f t="shared" ref="CZ50" ca="1" si="237">CZ49/CU49-1</f>
        <v>1.3737180618466072E-2</v>
      </c>
      <c r="DA50" s="237">
        <f t="shared" ref="DA50" ca="1" si="238">DA49/CV49-1</f>
        <v>8.3743073973514548E-3</v>
      </c>
      <c r="DB50" s="67">
        <f t="shared" ref="DB50" ca="1" si="239">DB49/CW49-1</f>
        <v>3.8434221907182042E-3</v>
      </c>
      <c r="DC50" s="167"/>
      <c r="DD50" s="167"/>
      <c r="DE50" s="167"/>
      <c r="DF50" s="167"/>
      <c r="DG50" s="167"/>
      <c r="DH50" s="167"/>
      <c r="DI50" s="167"/>
      <c r="DJ50" s="167"/>
    </row>
    <row r="51" spans="1:114">
      <c r="A51" s="458"/>
      <c r="B51" s="1254" t="s">
        <v>182</v>
      </c>
      <c r="C51" s="1255"/>
      <c r="D51" s="1127">
        <f t="shared" ref="D51:AI51" si="240">D49/D$18</f>
        <v>0.30353161373340348</v>
      </c>
      <c r="E51" s="1256">
        <f t="shared" si="240"/>
        <v>0.20960449204733911</v>
      </c>
      <c r="F51" s="1127">
        <f t="shared" si="240"/>
        <v>0.19399910729038708</v>
      </c>
      <c r="G51" s="1257">
        <f t="shared" si="240"/>
        <v>0.18585458239787281</v>
      </c>
      <c r="H51" s="1257">
        <f t="shared" si="240"/>
        <v>0.19473496479250901</v>
      </c>
      <c r="I51" s="1257">
        <f t="shared" si="240"/>
        <v>0.19622439499818756</v>
      </c>
      <c r="J51" s="1257">
        <f t="shared" si="240"/>
        <v>0.18829031082592326</v>
      </c>
      <c r="K51" s="1258">
        <f t="shared" si="240"/>
        <v>0.19119403646025535</v>
      </c>
      <c r="L51" s="1259">
        <f t="shared" si="240"/>
        <v>0.1835154886705066</v>
      </c>
      <c r="M51" s="1259">
        <f t="shared" si="240"/>
        <v>0.19930001394694882</v>
      </c>
      <c r="N51" s="1259">
        <f t="shared" si="240"/>
        <v>0.20758228857845204</v>
      </c>
      <c r="O51" s="1259">
        <f t="shared" si="240"/>
        <v>0.21062427696130939</v>
      </c>
      <c r="P51" s="1258">
        <f t="shared" si="240"/>
        <v>0.20055653087573855</v>
      </c>
      <c r="Q51" s="1259">
        <f t="shared" si="240"/>
        <v>0.19510918779208131</v>
      </c>
      <c r="R51" s="1259">
        <f t="shared" si="240"/>
        <v>0.20707051497581747</v>
      </c>
      <c r="S51" s="1259">
        <f t="shared" si="240"/>
        <v>0.21227293222059632</v>
      </c>
      <c r="T51" s="1259">
        <f t="shared" si="240"/>
        <v>0.20402323428490929</v>
      </c>
      <c r="U51" s="1258">
        <f t="shared" si="240"/>
        <v>0.20476084306066691</v>
      </c>
      <c r="V51" s="1259">
        <f t="shared" si="240"/>
        <v>0.19665457163146785</v>
      </c>
      <c r="W51" s="1259">
        <f t="shared" si="240"/>
        <v>0.2044074433215472</v>
      </c>
      <c r="X51" s="1259">
        <f t="shared" si="240"/>
        <v>0.20305343149683541</v>
      </c>
      <c r="Y51" s="1259">
        <f t="shared" si="240"/>
        <v>0.20293160393863294</v>
      </c>
      <c r="Z51" s="1258">
        <f t="shared" si="240"/>
        <v>0.20178044198974146</v>
      </c>
      <c r="AA51" s="1259">
        <f t="shared" si="240"/>
        <v>0.19782345193346956</v>
      </c>
      <c r="AB51" s="1259">
        <f t="shared" si="240"/>
        <v>0.20620691006380631</v>
      </c>
      <c r="AC51" s="1259">
        <f t="shared" si="240"/>
        <v>0.20887600899201417</v>
      </c>
      <c r="AD51" s="1259">
        <f t="shared" si="240"/>
        <v>0.20816846049670593</v>
      </c>
      <c r="AE51" s="1258">
        <f t="shared" si="240"/>
        <v>0.20533710453465592</v>
      </c>
      <c r="AF51" s="1259">
        <f t="shared" si="240"/>
        <v>0.20168582121683837</v>
      </c>
      <c r="AG51" s="1259">
        <f t="shared" si="240"/>
        <v>0.2065050412137365</v>
      </c>
      <c r="AH51" s="1259">
        <f t="shared" si="240"/>
        <v>0.20918963615826852</v>
      </c>
      <c r="AI51" s="1259">
        <f t="shared" si="240"/>
        <v>0.20434707664163076</v>
      </c>
      <c r="AJ51" s="1258">
        <f t="shared" ref="AJ51:BN51" si="241">AJ49/AJ$18</f>
        <v>0.20549201296690289</v>
      </c>
      <c r="AK51" s="1259">
        <f t="shared" si="241"/>
        <v>0.2037039959401892</v>
      </c>
      <c r="AL51" s="1259">
        <f t="shared" si="241"/>
        <v>0.20698919566289442</v>
      </c>
      <c r="AM51" s="1259">
        <f t="shared" si="241"/>
        <v>0.19732560912925415</v>
      </c>
      <c r="AN51" s="1259">
        <f t="shared" si="241"/>
        <v>0.20260747952610839</v>
      </c>
      <c r="AO51" s="1258">
        <f t="shared" si="241"/>
        <v>0.20183979009358899</v>
      </c>
      <c r="AP51" s="1259">
        <f t="shared" si="241"/>
        <v>0.192908004754443</v>
      </c>
      <c r="AQ51" s="1259">
        <f t="shared" si="241"/>
        <v>0.19553185163160633</v>
      </c>
      <c r="AR51" s="1259">
        <f t="shared" si="241"/>
        <v>0.19090866469998485</v>
      </c>
      <c r="AS51" s="1259">
        <f t="shared" si="241"/>
        <v>0.18715042125076678</v>
      </c>
      <c r="AT51" s="1258">
        <f t="shared" si="241"/>
        <v>0.19159470779047658</v>
      </c>
      <c r="AU51" s="1259">
        <f t="shared" si="241"/>
        <v>0.18660139192847441</v>
      </c>
      <c r="AV51" s="1259">
        <f t="shared" si="241"/>
        <v>0.18820694069296887</v>
      </c>
      <c r="AW51" s="1259">
        <f t="shared" si="241"/>
        <v>0.1838900826984437</v>
      </c>
      <c r="AX51" s="1259">
        <f t="shared" si="241"/>
        <v>0.18021180494224473</v>
      </c>
      <c r="AY51" s="1258">
        <f t="shared" si="241"/>
        <v>0.18467569226227892</v>
      </c>
      <c r="AZ51" s="1259">
        <f t="shared" si="241"/>
        <v>0.18484795562532866</v>
      </c>
      <c r="BA51" s="1259">
        <f t="shared" si="241"/>
        <v>0.18537450363037303</v>
      </c>
      <c r="BB51" s="1259">
        <f t="shared" si="241"/>
        <v>0.18636615924392422</v>
      </c>
      <c r="BC51" s="1259">
        <f t="shared" si="241"/>
        <v>0.18468956554781954</v>
      </c>
      <c r="BD51" s="1258">
        <f t="shared" si="241"/>
        <v>0.18531521195087203</v>
      </c>
      <c r="BE51" s="1259">
        <f t="shared" si="241"/>
        <v>0.18347496374813452</v>
      </c>
      <c r="BF51" s="1259">
        <f t="shared" si="241"/>
        <v>0.19067256989209419</v>
      </c>
      <c r="BG51" s="1259">
        <f t="shared" si="241"/>
        <v>0.18149243306169963</v>
      </c>
      <c r="BH51" s="1259">
        <f t="shared" si="241"/>
        <v>0.18082744180561067</v>
      </c>
      <c r="BI51" s="1258">
        <f t="shared" si="241"/>
        <v>0.18411568715858392</v>
      </c>
      <c r="BJ51" s="1259">
        <f t="shared" si="241"/>
        <v>0.18737800618529288</v>
      </c>
      <c r="BK51" s="1259">
        <f t="shared" si="241"/>
        <v>0.19651385266178878</v>
      </c>
      <c r="BL51" s="1259">
        <f>BL49/BL$18</f>
        <v>0.18796881834715165</v>
      </c>
      <c r="BM51" s="1259">
        <f>BM49/BM$18</f>
        <v>0.19400286952436979</v>
      </c>
      <c r="BN51" s="1258">
        <f t="shared" si="241"/>
        <v>0.19146995775804385</v>
      </c>
      <c r="BO51" s="1259">
        <f t="shared" ref="BO51:BX51" si="242">BO49/BO$18</f>
        <v>0.18631561550623918</v>
      </c>
      <c r="BP51" s="1259">
        <f t="shared" si="242"/>
        <v>0.19367843515248859</v>
      </c>
      <c r="BQ51" s="1259">
        <f t="shared" si="242"/>
        <v>0.19054654135184648</v>
      </c>
      <c r="BR51" s="1259">
        <f t="shared" si="242"/>
        <v>0.19016127787019499</v>
      </c>
      <c r="BS51" s="1258">
        <f t="shared" si="242"/>
        <v>0.19016732508409231</v>
      </c>
      <c r="BT51" s="1259">
        <f t="shared" si="242"/>
        <v>0.19734693877551021</v>
      </c>
      <c r="BU51" s="1259">
        <f t="shared" si="242"/>
        <v>0.19851744711625385</v>
      </c>
      <c r="BV51" s="1259">
        <f t="shared" si="242"/>
        <v>0.19948409131763437</v>
      </c>
      <c r="BW51" s="1259">
        <f t="shared" si="242"/>
        <v>0.19446906576848078</v>
      </c>
      <c r="BX51" s="1258">
        <f t="shared" si="242"/>
        <v>0.19744534319389875</v>
      </c>
      <c r="BY51" s="1259">
        <f>BY49/BY$18</f>
        <v>0.19465108041091037</v>
      </c>
      <c r="BZ51" s="1259">
        <f>BZ49/BZ$18</f>
        <v>0.20039187744923406</v>
      </c>
      <c r="CA51" s="1259">
        <f>CA49/CA$18</f>
        <v>0.20501792114695341</v>
      </c>
      <c r="CB51" s="1259">
        <f>CB49/CB$18</f>
        <v>0.20108315863032844</v>
      </c>
      <c r="CC51" s="1258">
        <f t="shared" ref="CC51" si="243">CC49/CC$18</f>
        <v>0.20027477397624535</v>
      </c>
      <c r="CD51" s="1259">
        <f>CD49/CD$18</f>
        <v>0.20681265206812652</v>
      </c>
      <c r="CE51" s="1259">
        <f>CE49/CE$18</f>
        <v>0.1996219281663516</v>
      </c>
      <c r="CF51" s="1259">
        <f>CF49/CF$18</f>
        <v>0.2018095987411487</v>
      </c>
      <c r="CG51" s="1259">
        <f>CG49/CG$18</f>
        <v>0.23722556829220906</v>
      </c>
      <c r="CH51" s="1258">
        <f t="shared" ref="CH51" si="244">CH49/CH$18</f>
        <v>0.21118683901292598</v>
      </c>
      <c r="CI51" s="1259">
        <f>CI49/CI$18</f>
        <v>0.24496904024767802</v>
      </c>
      <c r="CJ51" s="1259">
        <f>CJ49/CJ$18</f>
        <v>0.21086460709102217</v>
      </c>
      <c r="CK51" s="1259">
        <f>CK49/CK$18</f>
        <v>0.21024694207246711</v>
      </c>
      <c r="CL51" s="1259">
        <f>CL49/CL$18</f>
        <v>0.21614327772325809</v>
      </c>
      <c r="CM51" s="1263">
        <f>CM49/CM$18</f>
        <v>0.22146739130434784</v>
      </c>
      <c r="CN51" s="1264">
        <f>CHOOSE(Scenarios!$C$26,Scenarios!AX44,Scenarios!AX45,Scenarios!AX46)</f>
        <v>0.19900000000000001</v>
      </c>
      <c r="CO51" s="1264">
        <f>CHOOSE(Scenarios!$C$26,Scenarios!AY44,Scenarios!AY45,Scenarios!AY46)</f>
        <v>0.19939999999999999</v>
      </c>
      <c r="CP51" s="1264">
        <f>CHOOSE(Scenarios!$C$26,Scenarios!AZ44,Scenarios!AZ45,Scenarios!AZ46)</f>
        <v>0.19900000000000001</v>
      </c>
      <c r="CQ51" s="1264">
        <f>CHOOSE(Scenarios!$C$26,Scenarios!BA44,Scenarios!BA45,Scenarios!BA46)</f>
        <v>0.19939999999999999</v>
      </c>
      <c r="CR51" s="1263">
        <f ca="1">CR49/CR$18</f>
        <v>0.19920264472116619</v>
      </c>
      <c r="CS51" s="1264">
        <f>CHOOSE(Scenarios!$C$26,Scenarios!BC44,Scenarios!BC45,Scenarios!BC46)</f>
        <v>0.19700000000000001</v>
      </c>
      <c r="CT51" s="1264">
        <f>CHOOSE(Scenarios!$C$26,Scenarios!BD44,Scenarios!BD45,Scenarios!BD46)</f>
        <v>0.19450000000000001</v>
      </c>
      <c r="CU51" s="1264">
        <f>CHOOSE(Scenarios!$C$26,Scenarios!BE44,Scenarios!BE45,Scenarios!BE46)</f>
        <v>0.19</v>
      </c>
      <c r="CV51" s="1264">
        <f>CHOOSE(Scenarios!$C$26,Scenarios!BF44,Scenarios!BF45,Scenarios!BF46)</f>
        <v>0.19539999999999999</v>
      </c>
      <c r="CW51" s="1265">
        <f ca="1">CW49/CW$18</f>
        <v>0.19432219942428719</v>
      </c>
      <c r="CX51" s="1264">
        <f>CHOOSE(Scenarios!$C$26,Scenarios!BH44,Scenarios!BH45,Scenarios!BH46)</f>
        <v>0.19500000000000001</v>
      </c>
      <c r="CY51" s="1264">
        <f>CHOOSE(Scenarios!$C$26,Scenarios!BI44,Scenarios!BI45,Scenarios!BI46)</f>
        <v>0.193</v>
      </c>
      <c r="CZ51" s="1264">
        <f>CHOOSE(Scenarios!$C$26,Scenarios!BJ44,Scenarios!BJ45,Scenarios!BJ46)</f>
        <v>0.193</v>
      </c>
      <c r="DA51" s="1264">
        <f>CHOOSE(Scenarios!$C$26,Scenarios!BK44,Scenarios!BK45,Scenarios!BK46)</f>
        <v>0.19600000000000001</v>
      </c>
      <c r="DB51" s="1265">
        <f ca="1">DB49/DB$18</f>
        <v>0.19430697018092746</v>
      </c>
      <c r="DC51" s="167"/>
      <c r="DD51" s="167"/>
      <c r="DE51" s="167"/>
      <c r="DF51" s="167"/>
      <c r="DG51" s="167"/>
      <c r="DH51" s="167"/>
      <c r="DI51" s="167"/>
      <c r="DJ51" s="167"/>
    </row>
    <row r="52" spans="1:114">
      <c r="A52" s="458"/>
      <c r="B52" s="473" t="s">
        <v>181</v>
      </c>
      <c r="C52" s="474"/>
      <c r="D52" s="129">
        <f t="shared" ref="D52:AI52" si="245">D49/D$20</f>
        <v>0.35420798938498144</v>
      </c>
      <c r="E52" s="153">
        <f t="shared" si="245"/>
        <v>0.22985589010605156</v>
      </c>
      <c r="F52" s="129">
        <f t="shared" si="245"/>
        <v>0.21352405122457413</v>
      </c>
      <c r="G52" s="167">
        <f t="shared" si="245"/>
        <v>0.20485412196686503</v>
      </c>
      <c r="H52" s="167">
        <f t="shared" si="245"/>
        <v>0.21452614976244974</v>
      </c>
      <c r="I52" s="167">
        <f t="shared" si="245"/>
        <v>0.21614024882002195</v>
      </c>
      <c r="J52" s="167">
        <f t="shared" si="245"/>
        <v>0.20734561908034474</v>
      </c>
      <c r="K52" s="67">
        <f t="shared" si="245"/>
        <v>0.2106226165100927</v>
      </c>
      <c r="L52" s="237">
        <f t="shared" si="245"/>
        <v>0.20244943364859333</v>
      </c>
      <c r="M52" s="237">
        <f t="shared" si="245"/>
        <v>0.21899722486849191</v>
      </c>
      <c r="N52" s="237">
        <f t="shared" si="245"/>
        <v>0.2292952906151971</v>
      </c>
      <c r="O52" s="237">
        <f t="shared" si="245"/>
        <v>0.23095557129997313</v>
      </c>
      <c r="P52" s="67">
        <f t="shared" si="245"/>
        <v>0.22075521626665828</v>
      </c>
      <c r="Q52" s="237">
        <f t="shared" si="245"/>
        <v>0.21548541217148906</v>
      </c>
      <c r="R52" s="237">
        <f t="shared" si="245"/>
        <v>0.22866695227774836</v>
      </c>
      <c r="S52" s="237">
        <f t="shared" si="245"/>
        <v>0.23527590245457833</v>
      </c>
      <c r="T52" s="237">
        <f t="shared" si="245"/>
        <v>0.22729788697953962</v>
      </c>
      <c r="U52" s="67">
        <f t="shared" si="245"/>
        <v>0.22689442892515005</v>
      </c>
      <c r="V52" s="237">
        <f t="shared" si="245"/>
        <v>0.21965460805552348</v>
      </c>
      <c r="W52" s="237">
        <f t="shared" si="245"/>
        <v>0.22722925672315519</v>
      </c>
      <c r="X52" s="237">
        <f t="shared" si="245"/>
        <v>0.22680851683290695</v>
      </c>
      <c r="Y52" s="237">
        <f t="shared" si="245"/>
        <v>0.22628972607033157</v>
      </c>
      <c r="Z52" s="67">
        <f t="shared" si="245"/>
        <v>0.22502356479344993</v>
      </c>
      <c r="AA52" s="237">
        <f t="shared" si="245"/>
        <v>0.22049617492202306</v>
      </c>
      <c r="AB52" s="237">
        <f t="shared" si="245"/>
        <v>0.2290385136180749</v>
      </c>
      <c r="AC52" s="237">
        <f t="shared" si="245"/>
        <v>0.23209919059081252</v>
      </c>
      <c r="AD52" s="237">
        <f t="shared" si="245"/>
        <v>0.23176398699901485</v>
      </c>
      <c r="AE52" s="67">
        <f t="shared" si="245"/>
        <v>0.22843179842323538</v>
      </c>
      <c r="AF52" s="237">
        <f t="shared" si="245"/>
        <v>0.2252987308631067</v>
      </c>
      <c r="AG52" s="237">
        <f t="shared" si="245"/>
        <v>0.23177976410853121</v>
      </c>
      <c r="AH52" s="237">
        <f t="shared" si="245"/>
        <v>0.25242738259416309</v>
      </c>
      <c r="AI52" s="237">
        <f t="shared" si="245"/>
        <v>0.23073853466740996</v>
      </c>
      <c r="AJ52" s="67">
        <f t="shared" ref="AJ52:BN52" si="246">AJ49/AJ$20</f>
        <v>0.23497621008985553</v>
      </c>
      <c r="AK52" s="237">
        <f t="shared" si="246"/>
        <v>0.2295791998112886</v>
      </c>
      <c r="AL52" s="237">
        <f t="shared" si="246"/>
        <v>0.23495116164319332</v>
      </c>
      <c r="AM52" s="237">
        <f t="shared" si="246"/>
        <v>0.22394731343996549</v>
      </c>
      <c r="AN52" s="237">
        <f t="shared" si="246"/>
        <v>0.23636866167223142</v>
      </c>
      <c r="AO52" s="67">
        <f t="shared" si="246"/>
        <v>0.23097639682544635</v>
      </c>
      <c r="AP52" s="237">
        <f t="shared" si="246"/>
        <v>0.21648740122297133</v>
      </c>
      <c r="AQ52" s="237">
        <f t="shared" si="246"/>
        <v>0.21924815226156516</v>
      </c>
      <c r="AR52" s="237">
        <f t="shared" si="246"/>
        <v>0.21636263833728367</v>
      </c>
      <c r="AS52" s="237">
        <f t="shared" si="246"/>
        <v>0.2113636437994032</v>
      </c>
      <c r="AT52" s="67">
        <f t="shared" si="246"/>
        <v>0.21584871619216897</v>
      </c>
      <c r="AU52" s="237">
        <f t="shared" si="246"/>
        <v>0.21108207900149362</v>
      </c>
      <c r="AV52" s="237">
        <f t="shared" si="246"/>
        <v>0.21390590088751213</v>
      </c>
      <c r="AW52" s="237">
        <f t="shared" si="246"/>
        <v>0.20957908728400532</v>
      </c>
      <c r="AX52" s="237">
        <f t="shared" si="246"/>
        <v>0.20560111256037256</v>
      </c>
      <c r="AY52" s="67">
        <f t="shared" si="246"/>
        <v>0.21000720275646553</v>
      </c>
      <c r="AZ52" s="237">
        <f t="shared" si="246"/>
        <v>0.20996295614824442</v>
      </c>
      <c r="BA52" s="237">
        <f t="shared" si="246"/>
        <v>0.21072285589125794</v>
      </c>
      <c r="BB52" s="237">
        <f t="shared" si="246"/>
        <v>0.21273347846139912</v>
      </c>
      <c r="BC52" s="237">
        <f t="shared" si="246"/>
        <v>0.2111147466527635</v>
      </c>
      <c r="BD52" s="67">
        <f t="shared" si="246"/>
        <v>0.21114225112089993</v>
      </c>
      <c r="BE52" s="237">
        <f t="shared" si="246"/>
        <v>0.20844071552318602</v>
      </c>
      <c r="BF52" s="237">
        <f t="shared" si="246"/>
        <v>0.21818552019160048</v>
      </c>
      <c r="BG52" s="237">
        <f t="shared" si="246"/>
        <v>0.20886464297867435</v>
      </c>
      <c r="BH52" s="237">
        <f t="shared" si="246"/>
        <v>0.20709821762744002</v>
      </c>
      <c r="BI52" s="67">
        <f t="shared" si="246"/>
        <v>0.21064866073547178</v>
      </c>
      <c r="BJ52" s="237">
        <f t="shared" si="246"/>
        <v>0.21502440829411881</v>
      </c>
      <c r="BK52" s="237">
        <f t="shared" si="246"/>
        <v>0.22702155490608314</v>
      </c>
      <c r="BL52" s="237">
        <f>BL49/BL$20</f>
        <v>0.21632954860321973</v>
      </c>
      <c r="BM52" s="237">
        <f>BM49/BM$20</f>
        <v>0.22269546095663462</v>
      </c>
      <c r="BN52" s="67">
        <f t="shared" si="246"/>
        <v>0.22026167042175579</v>
      </c>
      <c r="BO52" s="237">
        <f t="shared" ref="BO52:BX52" si="247">BO49/BO$20</f>
        <v>0.21377640220427269</v>
      </c>
      <c r="BP52" s="237">
        <f t="shared" si="247"/>
        <v>0.22549716644249726</v>
      </c>
      <c r="BQ52" s="237">
        <f t="shared" si="247"/>
        <v>0.22302842772939541</v>
      </c>
      <c r="BR52" s="237">
        <f t="shared" si="247"/>
        <v>0.22029040135597797</v>
      </c>
      <c r="BS52" s="67">
        <f t="shared" si="247"/>
        <v>0.22060507199239132</v>
      </c>
      <c r="BT52" s="237">
        <f t="shared" si="247"/>
        <v>0.2305125148986889</v>
      </c>
      <c r="BU52" s="237">
        <f t="shared" si="247"/>
        <v>0.22975517890772129</v>
      </c>
      <c r="BV52" s="237">
        <f t="shared" si="247"/>
        <v>0.23143482794577686</v>
      </c>
      <c r="BW52" s="237">
        <f t="shared" si="247"/>
        <v>0.2230581537210248</v>
      </c>
      <c r="BX52" s="67">
        <f t="shared" si="247"/>
        <v>0.22859367474715039</v>
      </c>
      <c r="BY52" s="237">
        <f>BY49/BY$20</f>
        <v>0.22378334351455914</v>
      </c>
      <c r="BZ52" s="237">
        <f>BZ49/BZ$20</f>
        <v>0.23043834494059812</v>
      </c>
      <c r="CA52" s="237">
        <f>CA49/CA$20</f>
        <v>0.23607098638052001</v>
      </c>
      <c r="CB52" s="237">
        <f>CB49/CB$20</f>
        <v>0.23989162150896207</v>
      </c>
      <c r="CC52" s="67">
        <f t="shared" ref="CC52" si="248">CC49/CC$20</f>
        <v>0.23249472655245151</v>
      </c>
      <c r="CD52" s="237">
        <f>CD49/CD$20</f>
        <v>0.23804760952190437</v>
      </c>
      <c r="CE52" s="237">
        <f>CE49/CE$20</f>
        <v>0.23006535947712417</v>
      </c>
      <c r="CF52" s="237">
        <f>CF49/CF$20</f>
        <v>0.23424657534246576</v>
      </c>
      <c r="CG52" s="237">
        <f>CG49/CG$20</f>
        <v>0.27321548444842247</v>
      </c>
      <c r="CH52" s="67">
        <f t="shared" ref="CH52" si="249">CH49/CH$20</f>
        <v>0.24368152728061612</v>
      </c>
      <c r="CI52" s="237">
        <f>CI49/CI$20</f>
        <v>0.28221132411948285</v>
      </c>
      <c r="CJ52" s="237">
        <f>CJ49/CJ$20</f>
        <v>0.24541505791505791</v>
      </c>
      <c r="CK52" s="237">
        <f>CK49/CK$20</f>
        <v>0.24849972722313149</v>
      </c>
      <c r="CL52" s="237">
        <f>CL49/CL$20</f>
        <v>0.28800261523373649</v>
      </c>
      <c r="CM52" s="67">
        <f t="shared" ref="CM52:CW52" si="250">CM49/CM$20</f>
        <v>0.26538586779550632</v>
      </c>
      <c r="CN52" s="237">
        <f t="shared" ca="1" si="250"/>
        <v>0.23234092235843551</v>
      </c>
      <c r="CO52" s="237">
        <f t="shared" ca="1" si="250"/>
        <v>0.23294392523364485</v>
      </c>
      <c r="CP52" s="237">
        <f t="shared" ca="1" si="250"/>
        <v>0.2322053675612602</v>
      </c>
      <c r="CQ52" s="237">
        <f t="shared" ca="1" si="250"/>
        <v>0.23305282842449743</v>
      </c>
      <c r="CR52" s="67">
        <f t="shared" ca="1" si="250"/>
        <v>0.23264347891965775</v>
      </c>
      <c r="CS52" s="237">
        <f t="shared" ca="1" si="250"/>
        <v>0.23078725398313027</v>
      </c>
      <c r="CT52" s="237">
        <f t="shared" ca="1" si="250"/>
        <v>0.2278584817244611</v>
      </c>
      <c r="CU52" s="237">
        <f t="shared" ca="1" si="250"/>
        <v>0.22258669165885661</v>
      </c>
      <c r="CV52" s="237">
        <f t="shared" ca="1" si="250"/>
        <v>0.22891283973758197</v>
      </c>
      <c r="CW52" s="67">
        <f t="shared" ca="1" si="250"/>
        <v>0.22765018676697185</v>
      </c>
      <c r="CX52" s="237">
        <f t="shared" ref="CX52:DB52" ca="1" si="251">CX49/CX$20</f>
        <v>0.22844423617619497</v>
      </c>
      <c r="CY52" s="237">
        <f t="shared" ca="1" si="251"/>
        <v>0.22610121836925962</v>
      </c>
      <c r="CZ52" s="237">
        <f t="shared" ca="1" si="251"/>
        <v>0.22610121836925962</v>
      </c>
      <c r="DA52" s="237">
        <f t="shared" ca="1" si="251"/>
        <v>0.22961574507966259</v>
      </c>
      <c r="DB52" s="67">
        <f t="shared" ca="1" si="251"/>
        <v>0.22763234557278289</v>
      </c>
      <c r="DC52" s="167"/>
      <c r="DD52" s="167"/>
      <c r="DE52" s="167"/>
      <c r="DF52" s="167"/>
      <c r="DG52" s="167"/>
      <c r="DH52" s="167"/>
      <c r="DI52" s="167"/>
      <c r="DJ52" s="167"/>
    </row>
    <row r="53" spans="1:114">
      <c r="A53" s="396"/>
      <c r="B53" s="37" t="s">
        <v>185</v>
      </c>
      <c r="C53" s="157"/>
      <c r="D53" s="80">
        <f t="shared" ref="D53:AI53" si="252">1000000*D49/D$15</f>
        <v>351.93042466854257</v>
      </c>
      <c r="E53" s="81">
        <f t="shared" si="252"/>
        <v>262.4130087116302</v>
      </c>
      <c r="F53" s="82">
        <f t="shared" si="252"/>
        <v>258.1901072850028</v>
      </c>
      <c r="G53" s="93">
        <f t="shared" si="252"/>
        <v>251.76982113489137</v>
      </c>
      <c r="H53" s="93">
        <f t="shared" si="252"/>
        <v>280.31874564315893</v>
      </c>
      <c r="I53" s="93">
        <f t="shared" si="252"/>
        <v>283.76019252423743</v>
      </c>
      <c r="J53" s="93">
        <f t="shared" si="252"/>
        <v>281.7718856366111</v>
      </c>
      <c r="K53" s="82">
        <f t="shared" si="252"/>
        <v>274.43175381152707</v>
      </c>
      <c r="L53" s="93">
        <f t="shared" si="252"/>
        <v>258.38924923194338</v>
      </c>
      <c r="M53" s="93">
        <f t="shared" si="252"/>
        <v>288.84102347492535</v>
      </c>
      <c r="N53" s="93">
        <f t="shared" si="252"/>
        <v>307.99489840456442</v>
      </c>
      <c r="O53" s="93">
        <f t="shared" si="252"/>
        <v>328.01329402594763</v>
      </c>
      <c r="P53" s="82">
        <f t="shared" si="252"/>
        <v>295.72599083213316</v>
      </c>
      <c r="Q53" s="93">
        <f t="shared" si="252"/>
        <v>292.00264139374337</v>
      </c>
      <c r="R53" s="93">
        <f t="shared" si="252"/>
        <v>332.30776591331534</v>
      </c>
      <c r="S53" s="93">
        <f t="shared" si="252"/>
        <v>329.92986239809807</v>
      </c>
      <c r="T53" s="93">
        <f t="shared" si="252"/>
        <v>310.61806678712071</v>
      </c>
      <c r="U53" s="82">
        <f t="shared" si="252"/>
        <v>315.87899064556643</v>
      </c>
      <c r="V53" s="93">
        <f t="shared" si="252"/>
        <v>298.30372580466332</v>
      </c>
      <c r="W53" s="93">
        <f t="shared" si="252"/>
        <v>320.40760768459114</v>
      </c>
      <c r="X53" s="93">
        <f t="shared" si="252"/>
        <v>325.86689864868754</v>
      </c>
      <c r="Y53" s="93">
        <f t="shared" si="252"/>
        <v>332.34974942417392</v>
      </c>
      <c r="Z53" s="82">
        <f t="shared" si="252"/>
        <v>319.10714589659563</v>
      </c>
      <c r="AA53" s="93">
        <f t="shared" si="252"/>
        <v>316.11171722176061</v>
      </c>
      <c r="AB53" s="93">
        <f t="shared" si="252"/>
        <v>344.64065685665304</v>
      </c>
      <c r="AC53" s="93">
        <f t="shared" si="252"/>
        <v>358.33027765494472</v>
      </c>
      <c r="AD53" s="93">
        <f t="shared" si="252"/>
        <v>364.19170931255803</v>
      </c>
      <c r="AE53" s="82">
        <f t="shared" si="252"/>
        <v>345.57121299870147</v>
      </c>
      <c r="AF53" s="93">
        <f t="shared" si="252"/>
        <v>342.67772768135285</v>
      </c>
      <c r="AG53" s="93">
        <f t="shared" si="252"/>
        <v>362.14804952414482</v>
      </c>
      <c r="AH53" s="93">
        <f t="shared" si="252"/>
        <v>373.38133214268754</v>
      </c>
      <c r="AI53" s="93">
        <f t="shared" si="252"/>
        <v>369.33872946256565</v>
      </c>
      <c r="AJ53" s="82">
        <f t="shared" ref="AJ53:BK53" si="253">1000000*AJ49/AJ$15</f>
        <v>362.10764189144879</v>
      </c>
      <c r="AK53" s="93">
        <f t="shared" si="253"/>
        <v>367.77798846512854</v>
      </c>
      <c r="AL53" s="93">
        <f t="shared" si="253"/>
        <v>387.15092514413891</v>
      </c>
      <c r="AM53" s="93">
        <f t="shared" si="253"/>
        <v>418.3550685317046</v>
      </c>
      <c r="AN53" s="93">
        <f t="shared" si="253"/>
        <v>410.41936028344742</v>
      </c>
      <c r="AO53" s="82">
        <f t="shared" si="253"/>
        <v>400.89353118361794</v>
      </c>
      <c r="AP53" s="93">
        <f t="shared" si="253"/>
        <v>389.26900367860537</v>
      </c>
      <c r="AQ53" s="93">
        <f t="shared" si="253"/>
        <v>417.76244399516742</v>
      </c>
      <c r="AR53" s="93">
        <f t="shared" si="253"/>
        <v>423.56990950583224</v>
      </c>
      <c r="AS53" s="93">
        <f t="shared" si="253"/>
        <v>411.53140989413714</v>
      </c>
      <c r="AT53" s="82">
        <f t="shared" si="253"/>
        <v>410.12433777210401</v>
      </c>
      <c r="AU53" s="93">
        <f t="shared" si="253"/>
        <v>409.31556854275505</v>
      </c>
      <c r="AV53" s="93">
        <f t="shared" si="253"/>
        <v>419.28995975663435</v>
      </c>
      <c r="AW53" s="93">
        <f t="shared" si="253"/>
        <v>414.93631708009821</v>
      </c>
      <c r="AX53" s="93">
        <f t="shared" si="253"/>
        <v>410.96080101343563</v>
      </c>
      <c r="AY53" s="82">
        <f t="shared" si="253"/>
        <v>413.65682131074118</v>
      </c>
      <c r="AZ53" s="93">
        <f t="shared" si="253"/>
        <v>420.18435631400689</v>
      </c>
      <c r="BA53" s="93">
        <f t="shared" si="253"/>
        <v>431.08255053703397</v>
      </c>
      <c r="BB53" s="93">
        <f t="shared" si="253"/>
        <v>440.28993008535576</v>
      </c>
      <c r="BC53" s="93">
        <f t="shared" si="253"/>
        <v>439.18733021123671</v>
      </c>
      <c r="BD53" s="82">
        <f t="shared" si="253"/>
        <v>432.7220218505243</v>
      </c>
      <c r="BE53" s="93">
        <f t="shared" si="253"/>
        <v>418.55985697664005</v>
      </c>
      <c r="BF53" s="93">
        <f t="shared" si="253"/>
        <v>449.67870854706376</v>
      </c>
      <c r="BG53" s="93">
        <f t="shared" si="253"/>
        <v>427.86001845179044</v>
      </c>
      <c r="BH53" s="93">
        <f t="shared" si="253"/>
        <v>424.14120906497061</v>
      </c>
      <c r="BI53" s="82">
        <f t="shared" si="253"/>
        <v>429.97575513433628</v>
      </c>
      <c r="BJ53" s="93">
        <f t="shared" si="253"/>
        <v>446.7517223521989</v>
      </c>
      <c r="BK53" s="93">
        <f t="shared" si="253"/>
        <v>484.66225665315807</v>
      </c>
      <c r="BL53" s="93">
        <f t="shared" ref="BL53:BS53" si="254">1000000*BL49/BL$15</f>
        <v>452.3601208458021</v>
      </c>
      <c r="BM53" s="93">
        <f t="shared" si="254"/>
        <v>474.20594465794602</v>
      </c>
      <c r="BN53" s="82">
        <f t="shared" si="254"/>
        <v>464.29806471123646</v>
      </c>
      <c r="BO53" s="93">
        <f t="shared" si="254"/>
        <v>449.93441785244687</v>
      </c>
      <c r="BP53" s="93">
        <f t="shared" si="254"/>
        <v>481.56894123304744</v>
      </c>
      <c r="BQ53" s="93">
        <f t="shared" si="254"/>
        <v>486.85256817065061</v>
      </c>
      <c r="BR53" s="93">
        <f t="shared" si="254"/>
        <v>487.84771039634734</v>
      </c>
      <c r="BS53" s="82">
        <f t="shared" si="254"/>
        <v>476.11824945899951</v>
      </c>
      <c r="BT53" s="93">
        <f t="shared" ref="BT53:BY53" si="255">1000000*BT49/BT$15</f>
        <v>485.06630125654794</v>
      </c>
      <c r="BU53" s="93">
        <f t="shared" si="255"/>
        <v>484.14222120021799</v>
      </c>
      <c r="BV53" s="93">
        <f t="shared" si="255"/>
        <v>496.64627313107627</v>
      </c>
      <c r="BW53" s="93">
        <f t="shared" si="255"/>
        <v>488.91673587143782</v>
      </c>
      <c r="BX53" s="82">
        <f t="shared" si="255"/>
        <v>488.7756528916903</v>
      </c>
      <c r="BY53" s="93">
        <f t="shared" si="255"/>
        <v>470.62486650573561</v>
      </c>
      <c r="BZ53" s="93">
        <f>1000000*BZ49/BZ$15</f>
        <v>497.118419624517</v>
      </c>
      <c r="CA53" s="93">
        <f>1000000*CA49/CA$15</f>
        <v>513.02653423711831</v>
      </c>
      <c r="CB53" s="93">
        <f>1000000*CB49/CB$15</f>
        <v>519.53885715955255</v>
      </c>
      <c r="CC53" s="82">
        <f>1000000*CC49/CC$15</f>
        <v>499.6922749324894</v>
      </c>
      <c r="CD53" s="93">
        <f t="shared" ref="CD53:CE53" si="256">1000000*CD49/CD$15</f>
        <v>516.45399118142541</v>
      </c>
      <c r="CE53" s="93">
        <f t="shared" si="256"/>
        <v>505.39146168666878</v>
      </c>
      <c r="CF53" s="93">
        <f t="shared" ref="CF53" si="257">1000000*CF49/CF$15</f>
        <v>517.47302630192348</v>
      </c>
      <c r="CG53" s="93">
        <f t="shared" ref="CG53" si="258">1000000*CG49/CG$15</f>
        <v>620.18297850326655</v>
      </c>
      <c r="CH53" s="82">
        <f>1000000*CH49/CH$15</f>
        <v>538.39787453023007</v>
      </c>
      <c r="CI53" s="93">
        <f t="shared" ref="CI53:CV53" si="259">1000000*CI49/CI$15</f>
        <v>615.81943860879653</v>
      </c>
      <c r="CJ53" s="93">
        <f t="shared" si="259"/>
        <v>551.88310812427812</v>
      </c>
      <c r="CK53" s="93">
        <f t="shared" ref="CK53:CL53" si="260">1000000*CK49/CK$15</f>
        <v>550.41295553446446</v>
      </c>
      <c r="CL53" s="93">
        <f t="shared" si="260"/>
        <v>560.80860556827542</v>
      </c>
      <c r="CM53" s="82">
        <f>1000000*CM49/CM$15</f>
        <v>571.9582584797497</v>
      </c>
      <c r="CN53" s="93">
        <f t="shared" ca="1" si="259"/>
        <v>554.33040628748211</v>
      </c>
      <c r="CO53" s="93">
        <f t="shared" ca="1" si="259"/>
        <v>576.52250250609029</v>
      </c>
      <c r="CP53" s="93">
        <f t="shared" ca="1" si="259"/>
        <v>570.69229854086518</v>
      </c>
      <c r="CQ53" s="93">
        <f t="shared" ca="1" si="259"/>
        <v>647.3103574150723</v>
      </c>
      <c r="CR53" s="82">
        <f ca="1">1000000*CR49/CR$15</f>
        <v>585.47245271446968</v>
      </c>
      <c r="CS53" s="93">
        <f t="shared" ca="1" si="259"/>
        <v>607.2769249758353</v>
      </c>
      <c r="CT53" s="93">
        <f t="shared" ca="1" si="259"/>
        <v>582.63487807752142</v>
      </c>
      <c r="CU53" s="93">
        <f t="shared" ca="1" si="259"/>
        <v>542.79375371357037</v>
      </c>
      <c r="CV53" s="93">
        <f t="shared" ca="1" si="259"/>
        <v>647.39146538429281</v>
      </c>
      <c r="CW53" s="82">
        <f ca="1">1000000*CW49/CW$15</f>
        <v>594.71218822567744</v>
      </c>
      <c r="CX53" s="93">
        <f t="shared" ref="CX53:DA53" ca="1" si="261">1000000*CX49/CX$15</f>
        <v>603.09109392084861</v>
      </c>
      <c r="CY53" s="93">
        <f t="shared" ca="1" si="261"/>
        <v>580.18711301279393</v>
      </c>
      <c r="CZ53" s="93">
        <f t="shared" ca="1" si="261"/>
        <v>553.82781139542897</v>
      </c>
      <c r="DA53" s="93">
        <f t="shared" ca="1" si="261"/>
        <v>652.08488321163975</v>
      </c>
      <c r="DB53" s="82">
        <f ca="1">1000000*DB49/DB$15</f>
        <v>597.03187576518428</v>
      </c>
      <c r="DC53" s="37"/>
      <c r="DD53" s="37"/>
      <c r="DE53" s="37"/>
      <c r="DF53" s="37"/>
      <c r="DG53" s="37"/>
      <c r="DH53" s="37"/>
      <c r="DI53" s="37"/>
      <c r="DJ53" s="37"/>
    </row>
    <row r="54" spans="1:114" s="725" customFormat="1">
      <c r="A54" s="458"/>
      <c r="B54" s="473" t="s">
        <v>183</v>
      </c>
      <c r="C54" s="474"/>
      <c r="D54" s="129"/>
      <c r="E54" s="153"/>
      <c r="F54" s="129"/>
      <c r="G54" s="167"/>
      <c r="H54" s="167"/>
      <c r="I54" s="167"/>
      <c r="J54" s="167"/>
      <c r="K54" s="67">
        <f t="shared" ref="K54:AP54" si="262">K53/F53-1</f>
        <v>6.2905766209686576E-2</v>
      </c>
      <c r="L54" s="237">
        <f t="shared" si="262"/>
        <v>2.6291586764505492E-2</v>
      </c>
      <c r="M54" s="237">
        <f t="shared" si="262"/>
        <v>3.0402097484465429E-2</v>
      </c>
      <c r="N54" s="237">
        <f t="shared" si="262"/>
        <v>8.5405587248665871E-2</v>
      </c>
      <c r="O54" s="237">
        <f t="shared" si="262"/>
        <v>0.16410937622418453</v>
      </c>
      <c r="P54" s="67">
        <f t="shared" si="262"/>
        <v>7.7593925356139515E-2</v>
      </c>
      <c r="Q54" s="237">
        <f t="shared" si="262"/>
        <v>0.13008819934155569</v>
      </c>
      <c r="R54" s="237">
        <f t="shared" si="262"/>
        <v>0.1504867345900518</v>
      </c>
      <c r="S54" s="237">
        <f t="shared" si="262"/>
        <v>7.1218595201278712E-2</v>
      </c>
      <c r="T54" s="237">
        <f t="shared" si="262"/>
        <v>-5.3032079966401802E-2</v>
      </c>
      <c r="U54" s="67">
        <f t="shared" si="262"/>
        <v>6.8147543463208837E-2</v>
      </c>
      <c r="V54" s="237">
        <f t="shared" si="262"/>
        <v>2.1578861002231164E-2</v>
      </c>
      <c r="W54" s="237">
        <f t="shared" si="262"/>
        <v>-3.581065340443601E-2</v>
      </c>
      <c r="X54" s="237">
        <f t="shared" si="262"/>
        <v>-1.2314628690712759E-2</v>
      </c>
      <c r="Y54" s="237">
        <f t="shared" si="262"/>
        <v>6.9962712928565152E-2</v>
      </c>
      <c r="Z54" s="67">
        <f t="shared" si="262"/>
        <v>1.021959467589717E-2</v>
      </c>
      <c r="AA54" s="237">
        <f t="shared" si="262"/>
        <v>5.9697515909534538E-2</v>
      </c>
      <c r="AB54" s="237">
        <f t="shared" si="262"/>
        <v>7.5631940662023389E-2</v>
      </c>
      <c r="AC54" s="237">
        <f t="shared" si="262"/>
        <v>9.9621591333385107E-2</v>
      </c>
      <c r="AD54" s="237">
        <f t="shared" si="262"/>
        <v>9.5808587018805236E-2</v>
      </c>
      <c r="AE54" s="67">
        <f t="shared" si="262"/>
        <v>8.2931602887643674E-2</v>
      </c>
      <c r="AF54" s="237">
        <f t="shared" si="262"/>
        <v>8.4039942249136912E-2</v>
      </c>
      <c r="AG54" s="237">
        <f t="shared" si="262"/>
        <v>5.0798976612830948E-2</v>
      </c>
      <c r="AH54" s="237">
        <f t="shared" si="262"/>
        <v>4.2003300938572297E-2</v>
      </c>
      <c r="AI54" s="237">
        <f t="shared" si="262"/>
        <v>1.413272191100412E-2</v>
      </c>
      <c r="AJ54" s="67">
        <f t="shared" si="262"/>
        <v>4.7852449135598274E-2</v>
      </c>
      <c r="AK54" s="237">
        <f t="shared" si="262"/>
        <v>7.3247423909369891E-2</v>
      </c>
      <c r="AL54" s="237">
        <f t="shared" si="262"/>
        <v>6.9040481241987584E-2</v>
      </c>
      <c r="AM54" s="237">
        <f t="shared" si="262"/>
        <v>0.12044987929881401</v>
      </c>
      <c r="AN54" s="237">
        <f t="shared" si="262"/>
        <v>0.11122751973685308</v>
      </c>
      <c r="AO54" s="67">
        <f t="shared" si="262"/>
        <v>0.10711149063182779</v>
      </c>
      <c r="AP54" s="237">
        <f t="shared" si="262"/>
        <v>5.8434751093089154E-2</v>
      </c>
      <c r="AQ54" s="237">
        <f t="shared" ref="AQ54:BP54" si="263">AQ53/AL53-1</f>
        <v>7.9068696115427439E-2</v>
      </c>
      <c r="AR54" s="237">
        <f t="shared" si="263"/>
        <v>1.2465107671409514E-2</v>
      </c>
      <c r="AS54" s="237">
        <f t="shared" si="263"/>
        <v>2.7095447201168632E-3</v>
      </c>
      <c r="AT54" s="67">
        <f t="shared" si="263"/>
        <v>2.3025581283969698E-2</v>
      </c>
      <c r="AU54" s="237">
        <f t="shared" si="263"/>
        <v>5.1497973572796507E-2</v>
      </c>
      <c r="AV54" s="237">
        <f t="shared" si="263"/>
        <v>3.656421929312037E-3</v>
      </c>
      <c r="AW54" s="237">
        <f t="shared" si="263"/>
        <v>-2.0382921997000758E-2</v>
      </c>
      <c r="AX54" s="237">
        <f t="shared" si="263"/>
        <v>-1.3865500104798256E-3</v>
      </c>
      <c r="AY54" s="67">
        <f t="shared" si="263"/>
        <v>8.6132014447777294E-3</v>
      </c>
      <c r="AZ54" s="237">
        <f t="shared" si="263"/>
        <v>2.6553565528784739E-2</v>
      </c>
      <c r="BA54" s="237">
        <f t="shared" si="263"/>
        <v>2.8125144678504466E-2</v>
      </c>
      <c r="BB54" s="237">
        <f t="shared" si="263"/>
        <v>6.1102419724719637E-2</v>
      </c>
      <c r="BC54" s="237">
        <f t="shared" si="263"/>
        <v>6.868423734865714E-2</v>
      </c>
      <c r="BD54" s="67">
        <f t="shared" si="263"/>
        <v>4.608941411717038E-2</v>
      </c>
      <c r="BE54" s="237">
        <f t="shared" si="263"/>
        <v>-3.8661585395931564E-3</v>
      </c>
      <c r="BF54" s="237">
        <f t="shared" si="263"/>
        <v>4.3138275921544622E-2</v>
      </c>
      <c r="BG54" s="237">
        <f t="shared" si="263"/>
        <v>-2.8231196727927954E-2</v>
      </c>
      <c r="BH54" s="237">
        <f t="shared" si="263"/>
        <v>-3.4259005465912096E-2</v>
      </c>
      <c r="BI54" s="67">
        <f t="shared" si="263"/>
        <v>-6.3464916910022096E-3</v>
      </c>
      <c r="BJ54" s="237">
        <f t="shared" si="263"/>
        <v>6.7354441439261725E-2</v>
      </c>
      <c r="BK54" s="237">
        <f t="shared" si="263"/>
        <v>7.7796763424997417E-2</v>
      </c>
      <c r="BL54" s="237">
        <f t="shared" si="263"/>
        <v>5.7261957970892396E-2</v>
      </c>
      <c r="BM54" s="237">
        <f t="shared" si="263"/>
        <v>0.11803789521735997</v>
      </c>
      <c r="BN54" s="67">
        <f>BN53/BI53-1</f>
        <v>7.9823825336795995E-2</v>
      </c>
      <c r="BO54" s="237">
        <f t="shared" si="263"/>
        <v>7.1240810969697144E-3</v>
      </c>
      <c r="BP54" s="237">
        <f t="shared" si="263"/>
        <v>-6.3824145116468944E-3</v>
      </c>
      <c r="BQ54" s="237">
        <f t="shared" ref="BQ54:CV54" si="264">BQ53/BL53-1</f>
        <v>7.6249973716419062E-2</v>
      </c>
      <c r="BR54" s="237">
        <f t="shared" si="264"/>
        <v>2.8767597479701257E-2</v>
      </c>
      <c r="BS54" s="67">
        <f t="shared" si="264"/>
        <v>2.5458182245740035E-2</v>
      </c>
      <c r="BT54" s="237">
        <f t="shared" si="264"/>
        <v>7.8082231565628657E-2</v>
      </c>
      <c r="BU54" s="237">
        <f t="shared" si="264"/>
        <v>5.343533909354159E-3</v>
      </c>
      <c r="BV54" s="237">
        <f t="shared" si="264"/>
        <v>2.0116367049732409E-2</v>
      </c>
      <c r="BW54" s="237">
        <f t="shared" si="264"/>
        <v>2.1913098131012276E-3</v>
      </c>
      <c r="BX54" s="67">
        <f>BX53/BS53-1</f>
        <v>2.6584579454942192E-2</v>
      </c>
      <c r="BY54" s="237">
        <f t="shared" si="264"/>
        <v>-2.9772084173652735E-2</v>
      </c>
      <c r="BZ54" s="237">
        <f t="shared" si="264"/>
        <v>2.6802451544362782E-2</v>
      </c>
      <c r="CA54" s="237">
        <f t="shared" si="264"/>
        <v>3.2981745745867874E-2</v>
      </c>
      <c r="CB54" s="237">
        <f t="shared" si="264"/>
        <v>6.2632589644398884E-2</v>
      </c>
      <c r="CC54" s="67">
        <f>CC53/BX53-1</f>
        <v>2.2334627300304888E-2</v>
      </c>
      <c r="CD54" s="237">
        <f t="shared" si="264"/>
        <v>9.7379309801368663E-2</v>
      </c>
      <c r="CE54" s="237">
        <f t="shared" si="264"/>
        <v>1.6641994614483568E-2</v>
      </c>
      <c r="CF54" s="237">
        <f t="shared" si="264"/>
        <v>8.6671775591826705E-3</v>
      </c>
      <c r="CG54" s="237">
        <f t="shared" si="264"/>
        <v>0.19371817902891864</v>
      </c>
      <c r="CH54" s="67">
        <f>CH53/CC53-1</f>
        <v>7.7458871268262008E-2</v>
      </c>
      <c r="CI54" s="237">
        <f t="shared" si="264"/>
        <v>0.19239941819418527</v>
      </c>
      <c r="CJ54" s="237">
        <f t="shared" si="264"/>
        <v>9.1991357120380313E-2</v>
      </c>
      <c r="CK54" s="237">
        <f t="shared" si="264"/>
        <v>6.3655355078009235E-2</v>
      </c>
      <c r="CL54" s="237">
        <f t="shared" si="264"/>
        <v>-9.5736863140429396E-2</v>
      </c>
      <c r="CM54" s="67">
        <f>CM53/CH53-1</f>
        <v>6.2333797247625E-2</v>
      </c>
      <c r="CN54" s="237">
        <f t="shared" ca="1" si="264"/>
        <v>-9.9849125354381285E-2</v>
      </c>
      <c r="CO54" s="237">
        <f t="shared" ca="1" si="264"/>
        <v>4.4646038298863155E-2</v>
      </c>
      <c r="CP54" s="237">
        <f t="shared" ca="1" si="264"/>
        <v>3.6843869321188105E-2</v>
      </c>
      <c r="CQ54" s="237">
        <f t="shared" ca="1" si="264"/>
        <v>0.15424469415754305</v>
      </c>
      <c r="CR54" s="67">
        <f ca="1">CR53/CM53-1</f>
        <v>2.3627937938409005E-2</v>
      </c>
      <c r="CS54" s="237">
        <f t="shared" ca="1" si="264"/>
        <v>9.551436848458672E-2</v>
      </c>
      <c r="CT54" s="237">
        <f t="shared" ca="1" si="264"/>
        <v>1.0602145700924437E-2</v>
      </c>
      <c r="CU54" s="237">
        <f t="shared" ca="1" si="264"/>
        <v>-4.8885441241497851E-2</v>
      </c>
      <c r="CV54" s="237">
        <f t="shared" ca="1" si="264"/>
        <v>1.2529997132193493E-4</v>
      </c>
      <c r="CW54" s="67">
        <f ca="1">CW53/CR53-1</f>
        <v>1.5781674216043706E-2</v>
      </c>
      <c r="CX54" s="237">
        <f t="shared" ref="CX54" ca="1" si="265">CX53/CS53-1</f>
        <v>-6.8927879239825129E-3</v>
      </c>
      <c r="CY54" s="237">
        <f t="shared" ref="CY54" ca="1" si="266">CY53/CT53-1</f>
        <v>-4.201198995851807E-3</v>
      </c>
      <c r="CZ54" s="237">
        <f t="shared" ref="CZ54" ca="1" si="267">CZ53/CU53-1</f>
        <v>2.0328269451091119E-2</v>
      </c>
      <c r="DA54" s="237">
        <f t="shared" ref="DA54" ca="1" si="268">DA53/CV53-1</f>
        <v>7.2497369494373132E-3</v>
      </c>
      <c r="DB54" s="67">
        <f ca="1">DB53/CW53-1</f>
        <v>3.9005212696709979E-3</v>
      </c>
      <c r="DC54" s="167"/>
      <c r="DD54" s="167"/>
      <c r="DE54" s="167"/>
      <c r="DF54" s="167"/>
      <c r="DG54" s="167"/>
      <c r="DH54" s="167"/>
      <c r="DI54" s="167"/>
      <c r="DJ54" s="167"/>
    </row>
    <row r="55" spans="1:114">
      <c r="A55" s="396"/>
      <c r="B55" s="37" t="s">
        <v>428</v>
      </c>
      <c r="C55" s="157"/>
      <c r="D55" s="80">
        <f t="shared" ref="D55:AI55" si="269">1000000*D49/D$10</f>
        <v>1465.3338980657913</v>
      </c>
      <c r="E55" s="81">
        <f t="shared" si="269"/>
        <v>1043.1186234481995</v>
      </c>
      <c r="F55" s="82">
        <f t="shared" si="269"/>
        <v>988.77748943483516</v>
      </c>
      <c r="G55" s="93">
        <f t="shared" si="269"/>
        <v>973.1142545674245</v>
      </c>
      <c r="H55" s="93">
        <f t="shared" si="269"/>
        <v>1061.5261197073939</v>
      </c>
      <c r="I55" s="93">
        <f t="shared" si="269"/>
        <v>1062.8827774527015</v>
      </c>
      <c r="J55" s="93">
        <f t="shared" si="269"/>
        <v>1063.3700370190772</v>
      </c>
      <c r="K55" s="82">
        <f t="shared" si="269"/>
        <v>1040.7277776170779</v>
      </c>
      <c r="L55" s="93">
        <f t="shared" si="269"/>
        <v>1016.9088397503142</v>
      </c>
      <c r="M55" s="93">
        <f t="shared" si="269"/>
        <v>1114.6187981574981</v>
      </c>
      <c r="N55" s="93">
        <f t="shared" si="269"/>
        <v>1172.8395061728395</v>
      </c>
      <c r="O55" s="93">
        <f t="shared" si="269"/>
        <v>1250.2950392707444</v>
      </c>
      <c r="P55" s="82">
        <f t="shared" si="269"/>
        <v>1139.4709934622972</v>
      </c>
      <c r="Q55" s="93">
        <f t="shared" si="269"/>
        <v>1161.6635058249797</v>
      </c>
      <c r="R55" s="93">
        <f t="shared" si="269"/>
        <v>1270.8784641816687</v>
      </c>
      <c r="S55" s="93">
        <f t="shared" si="269"/>
        <v>1282.8318288197927</v>
      </c>
      <c r="T55" s="93">
        <f t="shared" si="269"/>
        <v>1264.1353565110317</v>
      </c>
      <c r="U55" s="82">
        <f t="shared" si="269"/>
        <v>1246.1274552953225</v>
      </c>
      <c r="V55" s="93">
        <f t="shared" si="269"/>
        <v>1234.7982774944262</v>
      </c>
      <c r="W55" s="93">
        <f t="shared" si="269"/>
        <v>1296.6904455619226</v>
      </c>
      <c r="X55" s="93">
        <f t="shared" si="269"/>
        <v>1305.2756643132955</v>
      </c>
      <c r="Y55" s="93">
        <f t="shared" si="269"/>
        <v>1344.8540648212208</v>
      </c>
      <c r="Z55" s="82">
        <f t="shared" si="269"/>
        <v>1295.4571139063994</v>
      </c>
      <c r="AA55" s="93">
        <f t="shared" si="269"/>
        <v>1336.1213527312493</v>
      </c>
      <c r="AB55" s="93">
        <f t="shared" si="269"/>
        <v>1426.9380253683228</v>
      </c>
      <c r="AC55" s="93">
        <f t="shared" si="269"/>
        <v>1438.3039895666607</v>
      </c>
      <c r="AD55" s="93">
        <f t="shared" si="269"/>
        <v>1501.0536363302617</v>
      </c>
      <c r="AE55" s="82">
        <f t="shared" si="269"/>
        <v>1425.7082032148235</v>
      </c>
      <c r="AF55" s="93">
        <f t="shared" si="269"/>
        <v>1446.1541685292802</v>
      </c>
      <c r="AG55" s="93">
        <f t="shared" si="269"/>
        <v>1488.30685422794</v>
      </c>
      <c r="AH55" s="93">
        <f t="shared" si="269"/>
        <v>1503.4704674415777</v>
      </c>
      <c r="AI55" s="93">
        <f t="shared" si="269"/>
        <v>1484.2586068049125</v>
      </c>
      <c r="AJ55" s="82">
        <f t="shared" ref="AJ55:BN55" si="270">1000000*AJ49/AJ$10</f>
        <v>1481.1938829760886</v>
      </c>
      <c r="AK55" s="93">
        <f t="shared" si="270"/>
        <v>1504.5087598763312</v>
      </c>
      <c r="AL55" s="93">
        <f t="shared" si="270"/>
        <v>1577.6961472278833</v>
      </c>
      <c r="AM55" s="93">
        <f t="shared" si="270"/>
        <v>1763.8293506019702</v>
      </c>
      <c r="AN55" s="93">
        <f t="shared" si="270"/>
        <v>1747.2219000907271</v>
      </c>
      <c r="AO55" s="82">
        <f t="shared" si="270"/>
        <v>1675.9165326872128</v>
      </c>
      <c r="AP55" s="93">
        <f t="shared" si="270"/>
        <v>1695.9397391144591</v>
      </c>
      <c r="AQ55" s="93">
        <f t="shared" si="270"/>
        <v>1758.0727626342116</v>
      </c>
      <c r="AR55" s="93">
        <f t="shared" si="270"/>
        <v>1754.6994693105016</v>
      </c>
      <c r="AS55" s="93">
        <f t="shared" si="270"/>
        <v>1744.0851216047029</v>
      </c>
      <c r="AT55" s="82">
        <f t="shared" si="270"/>
        <v>1737.8332270540202</v>
      </c>
      <c r="AU55" s="93">
        <f t="shared" si="270"/>
        <v>1759.85861760889</v>
      </c>
      <c r="AV55" s="93">
        <f t="shared" si="270"/>
        <v>1766.7798234505249</v>
      </c>
      <c r="AW55" s="93">
        <f t="shared" si="270"/>
        <v>1731.4214075897473</v>
      </c>
      <c r="AX55" s="93">
        <f t="shared" si="270"/>
        <v>1756.3206431780563</v>
      </c>
      <c r="AY55" s="82">
        <f t="shared" si="270"/>
        <v>1753.4013939411554</v>
      </c>
      <c r="AZ55" s="93">
        <f t="shared" si="270"/>
        <v>1802.8827461072744</v>
      </c>
      <c r="BA55" s="93">
        <f t="shared" si="270"/>
        <v>1818.3947015934198</v>
      </c>
      <c r="BB55" s="93">
        <f t="shared" si="270"/>
        <v>1853.1622269513955</v>
      </c>
      <c r="BC55" s="93">
        <f t="shared" si="270"/>
        <v>1884.5789375828419</v>
      </c>
      <c r="BD55" s="82">
        <f t="shared" si="270"/>
        <v>1840.1204422229814</v>
      </c>
      <c r="BE55" s="93">
        <f t="shared" si="270"/>
        <v>1853.1497569352787</v>
      </c>
      <c r="BF55" s="93">
        <f t="shared" si="270"/>
        <v>1971.0307664519237</v>
      </c>
      <c r="BG55" s="93">
        <f t="shared" si="270"/>
        <v>1863.4967308542809</v>
      </c>
      <c r="BH55" s="93">
        <f t="shared" si="270"/>
        <v>1876.5856746653803</v>
      </c>
      <c r="BI55" s="82">
        <f t="shared" si="270"/>
        <v>1890.878694793804</v>
      </c>
      <c r="BJ55" s="93">
        <f t="shared" si="270"/>
        <v>1975.7897523793599</v>
      </c>
      <c r="BK55" s="93">
        <f t="shared" si="270"/>
        <v>2097.6146924913528</v>
      </c>
      <c r="BL55" s="93">
        <f t="shared" si="270"/>
        <v>1953.6454936008456</v>
      </c>
      <c r="BM55" s="93">
        <f>1000000*BM49/BM$10</f>
        <v>2068.1611426790041</v>
      </c>
      <c r="BN55" s="82">
        <f t="shared" si="270"/>
        <v>2023.3641960511138</v>
      </c>
      <c r="BO55" s="93">
        <f t="shared" ref="BO55:CC55" si="271">1000000*BO49/BO$10</f>
        <v>2044.6725371332523</v>
      </c>
      <c r="BP55" s="93">
        <f t="shared" si="271"/>
        <v>2117.3666558351129</v>
      </c>
      <c r="BQ55" s="93">
        <f t="shared" si="271"/>
        <v>2100.8423776240152</v>
      </c>
      <c r="BR55" s="93">
        <f t="shared" si="271"/>
        <v>2161.7019596648561</v>
      </c>
      <c r="BS55" s="82">
        <f t="shared" si="271"/>
        <v>2105.4588256717984</v>
      </c>
      <c r="BT55" s="93">
        <f t="shared" si="271"/>
        <v>2209.4574833662355</v>
      </c>
      <c r="BU55" s="93">
        <f t="shared" si="271"/>
        <v>2140.5094334473119</v>
      </c>
      <c r="BV55" s="93">
        <f t="shared" si="271"/>
        <v>2158.3863012206602</v>
      </c>
      <c r="BW55" s="93">
        <f t="shared" si="271"/>
        <v>2142.6283428517854</v>
      </c>
      <c r="BX55" s="82">
        <f t="shared" si="271"/>
        <v>2160.9733493460517</v>
      </c>
      <c r="BY55" s="93">
        <f t="shared" si="271"/>
        <v>2156.0899240561957</v>
      </c>
      <c r="BZ55" s="93">
        <f t="shared" si="271"/>
        <v>2199.6027028718013</v>
      </c>
      <c r="CA55" s="93">
        <f t="shared" si="271"/>
        <v>2232.3475749563386</v>
      </c>
      <c r="CB55" s="93">
        <f>1000000*CB49/CB$10</f>
        <v>2283.1910719492816</v>
      </c>
      <c r="CC55" s="82">
        <f t="shared" si="271"/>
        <v>2217.6322126414361</v>
      </c>
      <c r="CD55" s="93">
        <f t="shared" ref="CD55:CE55" si="272">1000000*CD49/CD$10</f>
        <v>2318.8202466133534</v>
      </c>
      <c r="CE55" s="93">
        <f t="shared" si="272"/>
        <v>2255.9908734914661</v>
      </c>
      <c r="CF55" s="93">
        <f t="shared" ref="CF55:CI55" si="273">1000000*CF49/CF$10</f>
        <v>2301.3927239203531</v>
      </c>
      <c r="CG55" s="93">
        <f t="shared" ref="CG55" si="274">1000000*CG49/CG$10</f>
        <v>2773.9912758996729</v>
      </c>
      <c r="CH55" s="82">
        <f t="shared" si="273"/>
        <v>2406.2046125437541</v>
      </c>
      <c r="CI55" s="93">
        <f t="shared" si="273"/>
        <v>2819.5237543762751</v>
      </c>
      <c r="CJ55" s="93">
        <f t="shared" ref="CJ55:CK55" si="275">1000000*CJ49/CJ$10</f>
        <v>2447.565069853074</v>
      </c>
      <c r="CK55" s="93">
        <f t="shared" si="275"/>
        <v>2419.0314845843168</v>
      </c>
      <c r="CL55" s="93">
        <f t="shared" ref="CL55" si="276">1000000*CL49/CL$10</f>
        <v>2478.77147471428</v>
      </c>
      <c r="CM55" s="82">
        <f t="shared" ref="CM55" si="277">1000000*CM49/CM$10</f>
        <v>2552.391355817761</v>
      </c>
      <c r="CN55" s="93">
        <f t="shared" ref="CN55:CW55" ca="1" si="278">1000000*CN49/CN$10</f>
        <v>2703.0902182289256</v>
      </c>
      <c r="CO55" s="93">
        <f t="shared" ca="1" si="278"/>
        <v>2865.7783047812877</v>
      </c>
      <c r="CP55" s="93">
        <f t="shared" ca="1" si="278"/>
        <v>2900.5658114218741</v>
      </c>
      <c r="CQ55" s="93">
        <f t="shared" ca="1" si="278"/>
        <v>3276.7770299807285</v>
      </c>
      <c r="CR55" s="82">
        <f t="shared" ca="1" si="278"/>
        <v>2921.6602376615538</v>
      </c>
      <c r="CS55" s="93">
        <f t="shared" ca="1" si="278"/>
        <v>2848.4953387223882</v>
      </c>
      <c r="CT55" s="93">
        <f t="shared" ca="1" si="278"/>
        <v>2740.8103286343267</v>
      </c>
      <c r="CU55" s="93">
        <f t="shared" ca="1" si="278"/>
        <v>2523.3685270003352</v>
      </c>
      <c r="CV55" s="93">
        <f t="shared" ca="1" si="278"/>
        <v>3048.7148950186788</v>
      </c>
      <c r="CW55" s="82">
        <f t="shared" ca="1" si="278"/>
        <v>2787.9827627197451</v>
      </c>
      <c r="CX55" s="93">
        <f t="shared" ref="CX55:DB55" ca="1" si="279">1000000*CX49/CX$10</f>
        <v>2764.4777136909092</v>
      </c>
      <c r="CY55" s="93">
        <f t="shared" ca="1" si="279"/>
        <v>2659.4893538670531</v>
      </c>
      <c r="CZ55" s="93">
        <f t="shared" ca="1" si="279"/>
        <v>2538.6623302147632</v>
      </c>
      <c r="DA55" s="93">
        <f t="shared" ca="1" si="279"/>
        <v>2989.0577812278234</v>
      </c>
      <c r="DB55" s="82">
        <f t="shared" ca="1" si="279"/>
        <v>2736.7031805854226</v>
      </c>
      <c r="DC55" s="37"/>
      <c r="DD55" s="37"/>
      <c r="DE55" s="37"/>
      <c r="DF55" s="37"/>
      <c r="DG55" s="37"/>
      <c r="DH55" s="37"/>
      <c r="DI55" s="37"/>
      <c r="DJ55" s="37"/>
    </row>
    <row r="56" spans="1:114">
      <c r="A56" s="459"/>
      <c r="B56" s="475" t="s">
        <v>183</v>
      </c>
      <c r="C56" s="476"/>
      <c r="D56" s="140"/>
      <c r="E56" s="477"/>
      <c r="F56" s="140"/>
      <c r="G56" s="139"/>
      <c r="H56" s="139"/>
      <c r="I56" s="139"/>
      <c r="J56" s="139"/>
      <c r="K56" s="478">
        <f t="shared" ref="K56:AP56" si="280">K55/F55-1</f>
        <v>5.2539917966717198E-2</v>
      </c>
      <c r="L56" s="479">
        <f t="shared" si="280"/>
        <v>4.5004566501142929E-2</v>
      </c>
      <c r="M56" s="479">
        <f t="shared" si="280"/>
        <v>5.0015423515663349E-2</v>
      </c>
      <c r="N56" s="479">
        <f t="shared" si="280"/>
        <v>0.10345141632989829</v>
      </c>
      <c r="O56" s="479">
        <f t="shared" si="280"/>
        <v>0.17578547047993753</v>
      </c>
      <c r="P56" s="478">
        <f t="shared" si="280"/>
        <v>9.4879004835739744E-2</v>
      </c>
      <c r="Q56" s="479">
        <f t="shared" si="280"/>
        <v>0.14234773110066357</v>
      </c>
      <c r="R56" s="479">
        <f t="shared" si="280"/>
        <v>0.14019112748006135</v>
      </c>
      <c r="S56" s="479">
        <f t="shared" si="280"/>
        <v>9.3782927730560184E-2</v>
      </c>
      <c r="T56" s="479">
        <f t="shared" si="280"/>
        <v>1.1069641009181286E-2</v>
      </c>
      <c r="U56" s="478">
        <f t="shared" si="280"/>
        <v>9.3601734879576348E-2</v>
      </c>
      <c r="V56" s="479">
        <f t="shared" si="280"/>
        <v>6.2956933141760762E-2</v>
      </c>
      <c r="W56" s="479">
        <f t="shared" si="280"/>
        <v>2.0310346038379334E-2</v>
      </c>
      <c r="X56" s="479">
        <f t="shared" si="280"/>
        <v>1.7495539936946525E-2</v>
      </c>
      <c r="Y56" s="479">
        <f t="shared" si="280"/>
        <v>6.3852899845290301E-2</v>
      </c>
      <c r="Z56" s="478">
        <f t="shared" si="280"/>
        <v>3.9586366869178713E-2</v>
      </c>
      <c r="AA56" s="479">
        <f t="shared" si="280"/>
        <v>8.2056378830088317E-2</v>
      </c>
      <c r="AB56" s="479">
        <f t="shared" si="280"/>
        <v>0.10044616296216891</v>
      </c>
      <c r="AC56" s="479">
        <f t="shared" si="280"/>
        <v>0.10191588557912112</v>
      </c>
      <c r="AD56" s="479">
        <f t="shared" si="280"/>
        <v>0.11614611250017326</v>
      </c>
      <c r="AE56" s="478">
        <f t="shared" si="280"/>
        <v>0.10054450117276148</v>
      </c>
      <c r="AF56" s="479">
        <f t="shared" si="280"/>
        <v>8.2352411757439459E-2</v>
      </c>
      <c r="AG56" s="479">
        <f t="shared" si="280"/>
        <v>4.3007354046631807E-2</v>
      </c>
      <c r="AH56" s="479">
        <f t="shared" si="280"/>
        <v>4.5307861444888742E-2</v>
      </c>
      <c r="AI56" s="479">
        <f t="shared" si="280"/>
        <v>-1.1188827047119654E-2</v>
      </c>
      <c r="AJ56" s="478">
        <f t="shared" si="280"/>
        <v>3.8917977490871447E-2</v>
      </c>
      <c r="AK56" s="479">
        <f t="shared" si="280"/>
        <v>4.0351570127821645E-2</v>
      </c>
      <c r="AL56" s="479">
        <f t="shared" si="280"/>
        <v>6.006106384984311E-2</v>
      </c>
      <c r="AM56" s="479">
        <f t="shared" si="280"/>
        <v>0.1731719304094077</v>
      </c>
      <c r="AN56" s="479">
        <f t="shared" si="280"/>
        <v>0.17716811078622086</v>
      </c>
      <c r="AO56" s="478">
        <f t="shared" si="280"/>
        <v>0.13146330939463358</v>
      </c>
      <c r="AP56" s="479">
        <f t="shared" si="280"/>
        <v>0.12723819517931112</v>
      </c>
      <c r="AQ56" s="479">
        <f t="shared" ref="AQ56:CL56" si="281">AQ55/AL55-1</f>
        <v>0.11432912207034418</v>
      </c>
      <c r="AR56" s="479">
        <f t="shared" si="281"/>
        <v>-5.1761704092023741E-3</v>
      </c>
      <c r="AS56" s="479">
        <f t="shared" si="281"/>
        <v>-1.7952948539973201E-3</v>
      </c>
      <c r="AT56" s="478">
        <f t="shared" si="281"/>
        <v>3.6944974978872169E-2</v>
      </c>
      <c r="AU56" s="479">
        <f t="shared" si="281"/>
        <v>3.7689357127633771E-2</v>
      </c>
      <c r="AV56" s="479">
        <f t="shared" si="281"/>
        <v>4.9526168662479275E-3</v>
      </c>
      <c r="AW56" s="479">
        <f t="shared" si="281"/>
        <v>-1.3266124557444137E-2</v>
      </c>
      <c r="AX56" s="479">
        <f t="shared" si="281"/>
        <v>7.0154383073319782E-3</v>
      </c>
      <c r="AY56" s="478">
        <f t="shared" si="281"/>
        <v>8.9583779644530903E-3</v>
      </c>
      <c r="AZ56" s="479">
        <f t="shared" si="281"/>
        <v>2.4447491444989478E-2</v>
      </c>
      <c r="BA56" s="479">
        <f t="shared" si="281"/>
        <v>2.9214097567681563E-2</v>
      </c>
      <c r="BB56" s="479">
        <f t="shared" si="281"/>
        <v>7.0312645337520241E-2</v>
      </c>
      <c r="BC56" s="479">
        <f t="shared" si="281"/>
        <v>7.302669640818138E-2</v>
      </c>
      <c r="BD56" s="478">
        <f t="shared" si="281"/>
        <v>4.945761340300181E-2</v>
      </c>
      <c r="BE56" s="479">
        <f t="shared" si="281"/>
        <v>2.7881464247488719E-2</v>
      </c>
      <c r="BF56" s="479">
        <f t="shared" si="281"/>
        <v>8.3940007482837586E-2</v>
      </c>
      <c r="BG56" s="479">
        <f t="shared" si="281"/>
        <v>5.5766860302817189E-3</v>
      </c>
      <c r="BH56" s="479">
        <f t="shared" si="281"/>
        <v>-4.2414052062546004E-3</v>
      </c>
      <c r="BI56" s="478">
        <f t="shared" si="281"/>
        <v>2.7584201232775607E-2</v>
      </c>
      <c r="BJ56" s="479">
        <f t="shared" si="281"/>
        <v>6.6179214596721048E-2</v>
      </c>
      <c r="BK56" s="479">
        <f t="shared" si="281"/>
        <v>6.4222196930641795E-2</v>
      </c>
      <c r="BL56" s="479">
        <f t="shared" si="281"/>
        <v>4.8376131416789647E-2</v>
      </c>
      <c r="BM56" s="479">
        <f t="shared" si="281"/>
        <v>0.1020872484533828</v>
      </c>
      <c r="BN56" s="478">
        <f t="shared" si="281"/>
        <v>7.006557407520897E-2</v>
      </c>
      <c r="BO56" s="479">
        <f t="shared" si="281"/>
        <v>3.4863418372799826E-2</v>
      </c>
      <c r="BP56" s="479">
        <f t="shared" si="281"/>
        <v>9.4163925407579896E-3</v>
      </c>
      <c r="BQ56" s="479">
        <f>BQ55/BL55-1</f>
        <v>7.534472579867324E-2</v>
      </c>
      <c r="BR56" s="479">
        <f>BR55/BM55-1</f>
        <v>4.5228979045938145E-2</v>
      </c>
      <c r="BS56" s="478">
        <f t="shared" si="281"/>
        <v>4.057333315519962E-2</v>
      </c>
      <c r="BT56" s="479">
        <f t="shared" si="281"/>
        <v>8.0592340944736884E-2</v>
      </c>
      <c r="BU56" s="479">
        <f t="shared" si="281"/>
        <v>1.0929981138798617E-2</v>
      </c>
      <c r="BV56" s="479">
        <f t="shared" si="281"/>
        <v>2.7390881014941026E-2</v>
      </c>
      <c r="BW56" s="479">
        <f t="shared" si="281"/>
        <v>-8.8234257862391807E-3</v>
      </c>
      <c r="BX56" s="478">
        <f>BX55/BS55-1</f>
        <v>2.6366948143258018E-2</v>
      </c>
      <c r="BY56" s="479">
        <f t="shared" si="281"/>
        <v>-2.4154146305966129E-2</v>
      </c>
      <c r="BZ56" s="479">
        <f t="shared" si="281"/>
        <v>2.7607105346561855E-2</v>
      </c>
      <c r="CA56" s="479">
        <f t="shared" si="281"/>
        <v>3.4266930666605022E-2</v>
      </c>
      <c r="CB56" s="479">
        <f t="shared" si="281"/>
        <v>6.5602944890764681E-2</v>
      </c>
      <c r="CC56" s="478">
        <f>CC55/BX55-1</f>
        <v>2.6219140237213168E-2</v>
      </c>
      <c r="CD56" s="479">
        <f t="shared" si="281"/>
        <v>7.5474738201557701E-2</v>
      </c>
      <c r="CE56" s="479">
        <f t="shared" si="281"/>
        <v>2.5635616171067799E-2</v>
      </c>
      <c r="CF56" s="479">
        <f t="shared" si="281"/>
        <v>3.0929390090772557E-2</v>
      </c>
      <c r="CG56" s="479">
        <f t="shared" si="281"/>
        <v>0.21496238750240426</v>
      </c>
      <c r="CH56" s="478">
        <f>CH55/CC55-1</f>
        <v>8.5033216431189995E-2</v>
      </c>
      <c r="CI56" s="479">
        <f t="shared" si="281"/>
        <v>0.21593028113938595</v>
      </c>
      <c r="CJ56" s="479">
        <f t="shared" si="281"/>
        <v>8.491798376166293E-2</v>
      </c>
      <c r="CK56" s="479">
        <f t="shared" si="281"/>
        <v>5.1116334661721607E-2</v>
      </c>
      <c r="CL56" s="479">
        <f t="shared" si="281"/>
        <v>-0.10642419958211513</v>
      </c>
      <c r="CM56" s="478">
        <f t="shared" ref="CM56" si="282">CM55/CH55-1</f>
        <v>6.0754078232550413E-2</v>
      </c>
      <c r="CN56" s="479">
        <f t="shared" ref="CN56:CW56" ca="1" si="283">CN55/CI55-1</f>
        <v>-4.1295462032064578E-2</v>
      </c>
      <c r="CO56" s="479">
        <f t="shared" ca="1" si="283"/>
        <v>0.17086909765112757</v>
      </c>
      <c r="CP56" s="479">
        <f t="shared" ca="1" si="283"/>
        <v>0.19906079350608508</v>
      </c>
      <c r="CQ56" s="479">
        <f t="shared" ca="1" si="283"/>
        <v>0.32193591196559668</v>
      </c>
      <c r="CR56" s="478">
        <f t="shared" ca="1" si="283"/>
        <v>0.14467565132678595</v>
      </c>
      <c r="CS56" s="479">
        <f t="shared" ca="1" si="283"/>
        <v>5.3792181819492635E-2</v>
      </c>
      <c r="CT56" s="479">
        <f t="shared" ca="1" si="283"/>
        <v>-4.3606993583021891E-2</v>
      </c>
      <c r="CU56" s="479">
        <f t="shared" ca="1" si="283"/>
        <v>-0.13004265682792238</v>
      </c>
      <c r="CV56" s="479">
        <f t="shared" ca="1" si="283"/>
        <v>-6.9599528095871332E-2</v>
      </c>
      <c r="CW56" s="478">
        <f t="shared" ca="1" si="283"/>
        <v>-4.5753942644885304E-2</v>
      </c>
      <c r="CX56" s="479">
        <f t="shared" ref="CX56" ca="1" si="284">CX55/CS55-1</f>
        <v>-2.9495440589052402E-2</v>
      </c>
      <c r="CY56" s="479">
        <f t="shared" ref="CY56" ca="1" si="285">CY55/CT55-1</f>
        <v>-2.9670413132087736E-2</v>
      </c>
      <c r="CZ56" s="479">
        <f t="shared" ref="CZ56" ca="1" si="286">CZ55/CU55-1</f>
        <v>6.0608678640405866E-3</v>
      </c>
      <c r="DA56" s="479">
        <f t="shared" ref="DA56" ca="1" si="287">DA55/CV55-1</f>
        <v>-1.9567954316859759E-2</v>
      </c>
      <c r="DB56" s="478">
        <f t="shared" ref="DB56" ca="1" si="288">DB55/CW55-1</f>
        <v>-1.8393077181115047E-2</v>
      </c>
      <c r="DC56" s="167"/>
      <c r="DD56" s="167"/>
      <c r="DE56" s="167"/>
      <c r="DF56" s="167"/>
      <c r="DG56" s="167"/>
      <c r="DH56" s="167"/>
      <c r="DI56" s="167"/>
      <c r="DJ56" s="167"/>
    </row>
    <row r="57" spans="1:114" ht="5.25" customHeight="1" thickBot="1">
      <c r="A57" s="163"/>
      <c r="B57" s="37"/>
      <c r="C57" s="500"/>
      <c r="D57" s="163"/>
      <c r="E57" s="163"/>
      <c r="F57" s="163"/>
      <c r="G57" s="163"/>
      <c r="H57" s="163"/>
      <c r="I57" s="163"/>
      <c r="J57" s="163"/>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c r="AI57" s="237"/>
      <c r="AJ57" s="237"/>
      <c r="AK57" s="237"/>
      <c r="AL57" s="237"/>
      <c r="AM57" s="237"/>
      <c r="AN57" s="237"/>
      <c r="AO57" s="237"/>
      <c r="AP57" s="237"/>
      <c r="AQ57" s="237"/>
      <c r="AR57" s="237"/>
      <c r="AS57" s="237"/>
      <c r="AT57" s="237"/>
      <c r="AU57" s="237"/>
      <c r="AV57" s="237"/>
      <c r="AW57" s="237"/>
      <c r="AX57" s="237"/>
      <c r="AY57" s="237"/>
      <c r="AZ57" s="237"/>
      <c r="BA57" s="237"/>
      <c r="BB57" s="237"/>
      <c r="BC57" s="237"/>
      <c r="BD57" s="237"/>
      <c r="BE57" s="237"/>
      <c r="BF57" s="237"/>
      <c r="BG57" s="237"/>
      <c r="BH57" s="237"/>
      <c r="BI57" s="237"/>
      <c r="BJ57" s="237"/>
      <c r="BK57" s="237"/>
      <c r="BL57" s="237"/>
      <c r="BM57" s="237"/>
      <c r="BN57" s="237"/>
      <c r="BO57" s="237"/>
      <c r="BP57" s="237"/>
      <c r="BQ57" s="237"/>
      <c r="BR57" s="237"/>
      <c r="BS57" s="237"/>
      <c r="BT57" s="237"/>
      <c r="BU57" s="237"/>
      <c r="BV57" s="237"/>
      <c r="BW57" s="237"/>
      <c r="BX57" s="237"/>
      <c r="BY57" s="237"/>
      <c r="BZ57" s="237"/>
      <c r="CA57" s="237"/>
      <c r="CB57" s="237"/>
      <c r="CC57" s="237"/>
      <c r="CD57" s="237"/>
      <c r="CE57" s="237"/>
      <c r="CF57" s="237"/>
      <c r="CG57" s="237"/>
      <c r="CH57" s="237"/>
      <c r="CI57" s="237"/>
      <c r="CJ57" s="237"/>
      <c r="CK57" s="237"/>
      <c r="CL57" s="237"/>
      <c r="CM57" s="237"/>
      <c r="CN57" s="237"/>
      <c r="CO57" s="237"/>
      <c r="CP57" s="237"/>
      <c r="CQ57" s="237"/>
      <c r="CR57" s="237"/>
      <c r="CS57" s="237"/>
      <c r="CT57" s="237"/>
      <c r="CU57" s="237"/>
      <c r="CV57" s="237"/>
      <c r="CW57" s="237"/>
      <c r="CX57" s="237"/>
      <c r="CY57" s="237"/>
      <c r="CZ57" s="237"/>
      <c r="DA57" s="237"/>
      <c r="DB57" s="237"/>
      <c r="DC57" s="163"/>
      <c r="DD57" s="163"/>
      <c r="DE57" s="163"/>
      <c r="DF57" s="163"/>
      <c r="DG57" s="163"/>
      <c r="DH57" s="163"/>
      <c r="DI57" s="163"/>
      <c r="DJ57" s="163"/>
    </row>
    <row r="58" spans="1:114">
      <c r="A58" s="480"/>
      <c r="B58" s="512" t="s">
        <v>398</v>
      </c>
      <c r="C58" s="481"/>
      <c r="D58" s="482">
        <f t="shared" ref="D58:BL58" si="289">D22+D31+D40+D49</f>
        <v>962.46199999999999</v>
      </c>
      <c r="E58" s="483">
        <f t="shared" si="289"/>
        <v>797.89800000000014</v>
      </c>
      <c r="F58" s="484">
        <f t="shared" si="289"/>
        <v>962.46199999999999</v>
      </c>
      <c r="G58" s="485">
        <f t="shared" si="289"/>
        <v>284.42399999999998</v>
      </c>
      <c r="H58" s="485">
        <f t="shared" si="289"/>
        <v>290.09299999999996</v>
      </c>
      <c r="I58" s="485">
        <f t="shared" si="289"/>
        <v>304.15899999999999</v>
      </c>
      <c r="J58" s="485">
        <f t="shared" si="289"/>
        <v>350.012</v>
      </c>
      <c r="K58" s="484">
        <f t="shared" si="289"/>
        <v>1228.6880000000001</v>
      </c>
      <c r="L58" s="485">
        <f t="shared" si="289"/>
        <v>391.22199999999998</v>
      </c>
      <c r="M58" s="485">
        <f t="shared" si="289"/>
        <v>395.34000000000003</v>
      </c>
      <c r="N58" s="485">
        <f t="shared" si="289"/>
        <v>413.17599999999999</v>
      </c>
      <c r="O58" s="485">
        <f t="shared" si="289"/>
        <v>437.38099999999997</v>
      </c>
      <c r="P58" s="484">
        <f t="shared" si="289"/>
        <v>1637.1189999999999</v>
      </c>
      <c r="Q58" s="485">
        <f t="shared" si="289"/>
        <v>490.36199999999997</v>
      </c>
      <c r="R58" s="485">
        <f t="shared" si="289"/>
        <v>492.48199999999997</v>
      </c>
      <c r="S58" s="485">
        <f t="shared" si="289"/>
        <v>544.03899999999999</v>
      </c>
      <c r="T58" s="485">
        <f t="shared" si="289"/>
        <v>594.70000000000005</v>
      </c>
      <c r="U58" s="484">
        <f t="shared" si="289"/>
        <v>2121.5829999999996</v>
      </c>
      <c r="V58" s="485">
        <f t="shared" si="289"/>
        <v>611.24199999999996</v>
      </c>
      <c r="W58" s="485">
        <f t="shared" si="289"/>
        <v>610.47800000000007</v>
      </c>
      <c r="X58" s="485">
        <f t="shared" si="289"/>
        <v>634.61599999999999</v>
      </c>
      <c r="Y58" s="485">
        <f t="shared" si="289"/>
        <v>651.71600000000001</v>
      </c>
      <c r="Z58" s="484">
        <f t="shared" si="289"/>
        <v>2508.0519999999997</v>
      </c>
      <c r="AA58" s="485">
        <f t="shared" si="289"/>
        <v>678.01700000000005</v>
      </c>
      <c r="AB58" s="485">
        <f t="shared" si="289"/>
        <v>686.98399999999992</v>
      </c>
      <c r="AC58" s="485">
        <f t="shared" si="289"/>
        <v>698.79199999999992</v>
      </c>
      <c r="AD58" s="485">
        <f t="shared" si="289"/>
        <v>730.3180000000001</v>
      </c>
      <c r="AE58" s="484">
        <f t="shared" si="289"/>
        <v>2794.1109999999999</v>
      </c>
      <c r="AF58" s="485">
        <f t="shared" si="289"/>
        <v>760.51300000000003</v>
      </c>
      <c r="AG58" s="485">
        <f t="shared" si="289"/>
        <v>788.60599999999999</v>
      </c>
      <c r="AH58" s="485">
        <f t="shared" si="289"/>
        <v>839.68399999999997</v>
      </c>
      <c r="AI58" s="485">
        <f t="shared" si="289"/>
        <v>856.96600000000001</v>
      </c>
      <c r="AJ58" s="484">
        <f>SUM(AF58:AI58)</f>
        <v>3245.7689999999998</v>
      </c>
      <c r="AK58" s="485">
        <f t="shared" si="289"/>
        <v>898.09900000000005</v>
      </c>
      <c r="AL58" s="485">
        <f t="shared" si="289"/>
        <v>927.91799999999989</v>
      </c>
      <c r="AM58" s="485">
        <f t="shared" si="289"/>
        <v>1783.1929999999998</v>
      </c>
      <c r="AN58" s="485">
        <f t="shared" si="289"/>
        <v>1990.002</v>
      </c>
      <c r="AO58" s="484">
        <f>SUM(AK58:AN58)</f>
        <v>5599.2119999999995</v>
      </c>
      <c r="AP58" s="485">
        <f t="shared" si="289"/>
        <v>2060.203</v>
      </c>
      <c r="AQ58" s="485">
        <f t="shared" si="289"/>
        <v>2041.539</v>
      </c>
      <c r="AR58" s="485">
        <f t="shared" si="289"/>
        <v>2063.0730000000003</v>
      </c>
      <c r="AS58" s="485">
        <f t="shared" si="289"/>
        <v>2063.4560000000001</v>
      </c>
      <c r="AT58" s="484">
        <f>SUM(AP58:AS58)</f>
        <v>8228.2710000000006</v>
      </c>
      <c r="AU58" s="485">
        <f t="shared" si="289"/>
        <v>2166.2649999999999</v>
      </c>
      <c r="AV58" s="485">
        <f t="shared" si="289"/>
        <v>2250.6489999999999</v>
      </c>
      <c r="AW58" s="485">
        <f t="shared" si="289"/>
        <v>2297.5739999999996</v>
      </c>
      <c r="AX58" s="485">
        <f t="shared" si="289"/>
        <v>2279.8250000000003</v>
      </c>
      <c r="AY58" s="484">
        <f>SUM(AU58:AX58)</f>
        <v>8994.3130000000001</v>
      </c>
      <c r="AZ58" s="485">
        <f t="shared" si="289"/>
        <v>2361.9569999999999</v>
      </c>
      <c r="BA58" s="485">
        <f t="shared" si="289"/>
        <v>2357.4210000000003</v>
      </c>
      <c r="BB58" s="485">
        <f t="shared" si="289"/>
        <v>2417.04</v>
      </c>
      <c r="BC58" s="485">
        <f t="shared" si="289"/>
        <v>2536.799</v>
      </c>
      <c r="BD58" s="484">
        <f>SUM(AZ58:BC58)</f>
        <v>9673.2170000000006</v>
      </c>
      <c r="BE58" s="485">
        <f t="shared" si="289"/>
        <v>2555.8290000000002</v>
      </c>
      <c r="BF58" s="485">
        <f t="shared" si="289"/>
        <v>2550.5430000000001</v>
      </c>
      <c r="BG58" s="485">
        <f t="shared" si="289"/>
        <v>2540.386</v>
      </c>
      <c r="BH58" s="485">
        <f t="shared" si="289"/>
        <v>2576.3739999999998</v>
      </c>
      <c r="BI58" s="484">
        <f>SUM(BE58:BH58)</f>
        <v>10223.132</v>
      </c>
      <c r="BJ58" s="485">
        <f t="shared" si="289"/>
        <v>2799.7209999999995</v>
      </c>
      <c r="BK58" s="485">
        <f t="shared" si="289"/>
        <v>2789.8629999999998</v>
      </c>
      <c r="BL58" s="485">
        <f t="shared" si="289"/>
        <v>2772.817</v>
      </c>
      <c r="BM58" s="485">
        <f>BM22+BM31+BM40+BM49</f>
        <v>2857.636</v>
      </c>
      <c r="BN58" s="484">
        <f>SUM(BJ58:BM58)</f>
        <v>11220.036999999998</v>
      </c>
      <c r="BO58" s="485">
        <f>BO22+BO31+BO40+BO49</f>
        <v>2854.5170000000003</v>
      </c>
      <c r="BP58" s="485">
        <f>BP22+BP31+BP40+BP49</f>
        <v>2855.598</v>
      </c>
      <c r="BQ58" s="485">
        <f>BQ22+BQ31+BQ40+BQ49</f>
        <v>2817.4690000000001</v>
      </c>
      <c r="BR58" s="485">
        <f>BR22+BR31+BR40+BR49</f>
        <v>2839.0479999999998</v>
      </c>
      <c r="BS58" s="484">
        <f>SUM(BO58:BR58)</f>
        <v>11366.631999999998</v>
      </c>
      <c r="BT58" s="485">
        <f>BT22+BT31+BT40+BT49</f>
        <v>3705</v>
      </c>
      <c r="BU58" s="485">
        <f>BU22+BU31+BU40+BU49</f>
        <v>4175</v>
      </c>
      <c r="BV58" s="485">
        <f>BV22+BV31+BV40+BV49</f>
        <v>4143.7299999999996</v>
      </c>
      <c r="BW58" s="485">
        <f>BW22+BW31+BW40+BW49</f>
        <v>4197</v>
      </c>
      <c r="BX58" s="484">
        <f>SUM(BT58:BW58)</f>
        <v>16220.73</v>
      </c>
      <c r="BY58" s="485">
        <f>BY22+BY31+BY40+BY49</f>
        <v>4234</v>
      </c>
      <c r="BZ58" s="485">
        <f>BZ22+BZ31+BZ40+BZ49</f>
        <v>4205</v>
      </c>
      <c r="CA58" s="485">
        <f>CA22+CA31+CA40+CA49</f>
        <v>4261</v>
      </c>
      <c r="CB58" s="485">
        <f>CB22+CB31+CB40+CB49</f>
        <v>4315</v>
      </c>
      <c r="CC58" s="484">
        <f>SUM(BY58:CB58)</f>
        <v>17015</v>
      </c>
      <c r="CD58" s="485">
        <f>CD22+CD31+CD40+CD49</f>
        <v>4425</v>
      </c>
      <c r="CE58" s="485">
        <f>CE22+CE31+CE40+CE49</f>
        <v>4081</v>
      </c>
      <c r="CF58" s="485">
        <f>CF22+CF31+CF40+CF49</f>
        <v>3925</v>
      </c>
      <c r="CG58" s="485">
        <f>CG22+CG31+CG40+CG49</f>
        <v>4148</v>
      </c>
      <c r="CH58" s="484">
        <f>SUM(CD58:CG58)</f>
        <v>16579</v>
      </c>
      <c r="CI58" s="485">
        <f>CI22+CI31+CI40+CI49</f>
        <v>4185</v>
      </c>
      <c r="CJ58" s="485">
        <f>CJ22+CJ31+CJ40+CJ49</f>
        <v>3738</v>
      </c>
      <c r="CK58" s="485">
        <f>CK22+CK31+CK40+CK49</f>
        <v>3338</v>
      </c>
      <c r="CL58" s="485">
        <f>CL22+CL31+CL40+CL49</f>
        <v>3256</v>
      </c>
      <c r="CM58" s="1261">
        <f>SUM(CI58:CL58)</f>
        <v>14517</v>
      </c>
      <c r="CN58" s="1260">
        <f ca="1">CN22+CN31+CN40+CN49</f>
        <v>3242.0036860437772</v>
      </c>
      <c r="CO58" s="1260">
        <f ca="1">CO22+CO31+CO40+CO49</f>
        <v>3048.8615618189037</v>
      </c>
      <c r="CP58" s="1260">
        <f ca="1">CP22+CP31+CP40+CP49</f>
        <v>2784.3242522730388</v>
      </c>
      <c r="CQ58" s="1260">
        <f ca="1">CQ22+CQ31+CQ40+CQ49</f>
        <v>3147.4763970121885</v>
      </c>
      <c r="CR58" s="1261">
        <f ca="1">SUM(CN58:CQ58)</f>
        <v>12222.665897147908</v>
      </c>
      <c r="CS58" s="1260">
        <f ca="1">CS22+CS31+CS40+CS49</f>
        <v>3047.1263644883284</v>
      </c>
      <c r="CT58" s="1260">
        <f ca="1">CT22+CT31+CT40+CT49</f>
        <v>2911.9573354771642</v>
      </c>
      <c r="CU58" s="1260">
        <f ca="1">CU22+CU31+CU40+CU49</f>
        <v>2757.3538060483606</v>
      </c>
      <c r="CV58" s="1260">
        <f ca="1">CV22+CV31+CV40+CV49</f>
        <v>3139.3304666986946</v>
      </c>
      <c r="CW58" s="1262">
        <f ca="1">SUM(CS58:CV58)</f>
        <v>11855.767972712549</v>
      </c>
      <c r="CX58" s="1260">
        <f ca="1">CX22+CX31+CX40+CX49</f>
        <v>3066.5410104822067</v>
      </c>
      <c r="CY58" s="1260">
        <f ca="1">CY22+CY31+CY40+CY49</f>
        <v>2926.3772773853357</v>
      </c>
      <c r="CZ58" s="1260">
        <f ca="1">CZ22+CZ31+CZ40+CZ49</f>
        <v>2769.056717107037</v>
      </c>
      <c r="DA58" s="1260">
        <f ca="1">DA22+DA31+DA40+DA49</f>
        <v>3152.6659291330416</v>
      </c>
      <c r="DB58" s="1262">
        <f ca="1">SUM(CX58:DA58)</f>
        <v>11914.64093410762</v>
      </c>
      <c r="DC58" s="37"/>
      <c r="DD58" s="37"/>
      <c r="DE58" s="37"/>
      <c r="DF58" s="37"/>
      <c r="DG58" s="37"/>
      <c r="DH58" s="37"/>
      <c r="DI58" s="37"/>
      <c r="DJ58" s="37"/>
    </row>
    <row r="59" spans="1:114">
      <c r="A59" s="486"/>
      <c r="B59" s="473" t="s">
        <v>183</v>
      </c>
      <c r="C59" s="474"/>
      <c r="D59" s="129"/>
      <c r="E59" s="153"/>
      <c r="F59" s="129"/>
      <c r="G59" s="167"/>
      <c r="H59" s="167"/>
      <c r="I59" s="167"/>
      <c r="J59" s="167"/>
      <c r="K59" s="67">
        <f t="shared" ref="K59:AP59" si="290">K58/F58-1</f>
        <v>0.27660936223975607</v>
      </c>
      <c r="L59" s="237">
        <f t="shared" si="290"/>
        <v>0.37548870700081571</v>
      </c>
      <c r="M59" s="237">
        <f t="shared" si="290"/>
        <v>0.36280434205582379</v>
      </c>
      <c r="N59" s="237">
        <f t="shared" si="290"/>
        <v>0.35842108896991376</v>
      </c>
      <c r="O59" s="237">
        <f t="shared" si="290"/>
        <v>0.24961715598322343</v>
      </c>
      <c r="P59" s="67">
        <f t="shared" si="290"/>
        <v>0.33241229669370886</v>
      </c>
      <c r="Q59" s="237">
        <f t="shared" si="290"/>
        <v>0.25341110673735123</v>
      </c>
      <c r="R59" s="237">
        <f t="shared" si="290"/>
        <v>0.24571761015834448</v>
      </c>
      <c r="S59" s="237">
        <f t="shared" si="290"/>
        <v>0.31672459194144875</v>
      </c>
      <c r="T59" s="237">
        <f t="shared" si="290"/>
        <v>0.35968411979487014</v>
      </c>
      <c r="U59" s="67">
        <f t="shared" si="290"/>
        <v>0.29592473118936358</v>
      </c>
      <c r="V59" s="237">
        <f t="shared" si="290"/>
        <v>0.24651176069923864</v>
      </c>
      <c r="W59" s="237">
        <f t="shared" si="290"/>
        <v>0.239594543556922</v>
      </c>
      <c r="X59" s="237">
        <f t="shared" si="290"/>
        <v>0.16648990237832217</v>
      </c>
      <c r="Y59" s="237">
        <f t="shared" si="290"/>
        <v>9.5873549688918702E-2</v>
      </c>
      <c r="Z59" s="67">
        <f t="shared" si="290"/>
        <v>0.18216067907783962</v>
      </c>
      <c r="AA59" s="237">
        <f t="shared" si="290"/>
        <v>0.10924478357180978</v>
      </c>
      <c r="AB59" s="237">
        <f t="shared" si="290"/>
        <v>0.12532146940594058</v>
      </c>
      <c r="AC59" s="237">
        <f t="shared" si="290"/>
        <v>0.1011257201205138</v>
      </c>
      <c r="AD59" s="237">
        <f t="shared" si="290"/>
        <v>0.12060774938777019</v>
      </c>
      <c r="AE59" s="67">
        <f t="shared" si="290"/>
        <v>0.1140562476376088</v>
      </c>
      <c r="AF59" s="237">
        <f t="shared" si="290"/>
        <v>0.12167246543965704</v>
      </c>
      <c r="AG59" s="237">
        <f t="shared" si="290"/>
        <v>0.14792484249997107</v>
      </c>
      <c r="AH59" s="237">
        <f t="shared" si="290"/>
        <v>0.20162222807358998</v>
      </c>
      <c r="AI59" s="237">
        <f t="shared" si="290"/>
        <v>0.17341486859149025</v>
      </c>
      <c r="AJ59" s="67">
        <f t="shared" si="290"/>
        <v>0.1616464056009228</v>
      </c>
      <c r="AK59" s="237">
        <f t="shared" si="290"/>
        <v>0.18091209486228377</v>
      </c>
      <c r="AL59" s="237">
        <f t="shared" si="290"/>
        <v>0.1766560234134662</v>
      </c>
      <c r="AM59" s="237">
        <f t="shared" si="290"/>
        <v>1.1236477055654266</v>
      </c>
      <c r="AN59" s="237">
        <f t="shared" si="290"/>
        <v>1.3221481365655112</v>
      </c>
      <c r="AO59" s="67">
        <f t="shared" si="290"/>
        <v>0.72508025062781734</v>
      </c>
      <c r="AP59" s="237">
        <f t="shared" si="290"/>
        <v>1.2939597973051966</v>
      </c>
      <c r="AQ59" s="237">
        <f t="shared" ref="AQ59:CL59" si="291">AQ58/AL58-1</f>
        <v>1.2001286751631075</v>
      </c>
      <c r="AR59" s="237">
        <f t="shared" si="291"/>
        <v>0.15695440706642549</v>
      </c>
      <c r="AS59" s="237">
        <f t="shared" si="291"/>
        <v>3.6911520691939037E-2</v>
      </c>
      <c r="AT59" s="67">
        <f t="shared" si="291"/>
        <v>0.46954089253987896</v>
      </c>
      <c r="AU59" s="237">
        <f t="shared" si="291"/>
        <v>5.1481334606346962E-2</v>
      </c>
      <c r="AV59" s="237">
        <f t="shared" si="291"/>
        <v>0.10242762935216998</v>
      </c>
      <c r="AW59" s="237">
        <f t="shared" si="291"/>
        <v>0.11366587609842171</v>
      </c>
      <c r="AX59" s="237">
        <f t="shared" si="291"/>
        <v>0.10485757874168389</v>
      </c>
      <c r="AY59" s="67">
        <f t="shared" si="291"/>
        <v>9.309878101973057E-2</v>
      </c>
      <c r="AZ59" s="237">
        <f t="shared" si="291"/>
        <v>9.0336131544386244E-2</v>
      </c>
      <c r="BA59" s="237">
        <f t="shared" si="291"/>
        <v>4.744053826251915E-2</v>
      </c>
      <c r="BB59" s="237">
        <f t="shared" si="291"/>
        <v>5.1996584223185094E-2</v>
      </c>
      <c r="BC59" s="237">
        <f t="shared" si="291"/>
        <v>0.11271654622613569</v>
      </c>
      <c r="BD59" s="67">
        <f t="shared" si="291"/>
        <v>7.5481473682314615E-2</v>
      </c>
      <c r="BE59" s="237">
        <f t="shared" si="291"/>
        <v>8.2081087843682399E-2</v>
      </c>
      <c r="BF59" s="237">
        <f t="shared" si="291"/>
        <v>8.1920878790848084E-2</v>
      </c>
      <c r="BG59" s="237">
        <f t="shared" si="291"/>
        <v>5.103184059841781E-2</v>
      </c>
      <c r="BH59" s="237">
        <f t="shared" si="291"/>
        <v>1.5600368811245824E-2</v>
      </c>
      <c r="BI59" s="67">
        <f t="shared" si="291"/>
        <v>5.6849236401912417E-2</v>
      </c>
      <c r="BJ59" s="237">
        <f t="shared" si="291"/>
        <v>9.5425789440529707E-2</v>
      </c>
      <c r="BK59" s="237">
        <f t="shared" si="291"/>
        <v>9.383099990864685E-2</v>
      </c>
      <c r="BL59" s="237">
        <f t="shared" si="291"/>
        <v>9.1494363455002503E-2</v>
      </c>
      <c r="BM59" s="237">
        <f t="shared" si="291"/>
        <v>0.10916970905621626</v>
      </c>
      <c r="BN59" s="67">
        <f t="shared" si="291"/>
        <v>9.7514636414750333E-2</v>
      </c>
      <c r="BO59" s="237">
        <f t="shared" si="291"/>
        <v>1.9571950205038657E-2</v>
      </c>
      <c r="BP59" s="237">
        <f t="shared" si="291"/>
        <v>2.3562088891103228E-2</v>
      </c>
      <c r="BQ59" s="237">
        <f>BQ58/BL58-1</f>
        <v>1.6103478880863831E-2</v>
      </c>
      <c r="BR59" s="237">
        <f>BR58/BM58-1</f>
        <v>-6.5046772926993235E-3</v>
      </c>
      <c r="BS59" s="67">
        <f t="shared" si="291"/>
        <v>1.3065464935632543E-2</v>
      </c>
      <c r="BT59" s="237">
        <f t="shared" si="291"/>
        <v>0.29794287439871603</v>
      </c>
      <c r="BU59" s="237">
        <f t="shared" si="291"/>
        <v>0.46204052531203632</v>
      </c>
      <c r="BV59" s="237">
        <f t="shared" si="291"/>
        <v>0.4707278057007902</v>
      </c>
      <c r="BW59" s="237">
        <f t="shared" si="291"/>
        <v>0.47831244839819553</v>
      </c>
      <c r="BX59" s="67">
        <f t="shared" ref="BX59:CH59" si="292">BX58/BS58-1</f>
        <v>0.42704804730196266</v>
      </c>
      <c r="BY59" s="237">
        <f t="shared" si="291"/>
        <v>0.14278002699055325</v>
      </c>
      <c r="BZ59" s="237">
        <f t="shared" si="291"/>
        <v>7.1856287425149379E-3</v>
      </c>
      <c r="CA59" s="237">
        <f t="shared" si="291"/>
        <v>2.830058908278299E-2</v>
      </c>
      <c r="CB59" s="237">
        <f t="shared" si="291"/>
        <v>2.811532046700016E-2</v>
      </c>
      <c r="CC59" s="67">
        <f t="shared" si="292"/>
        <v>4.896635354882295E-2</v>
      </c>
      <c r="CD59" s="237">
        <f t="shared" si="291"/>
        <v>4.5111006140765131E-2</v>
      </c>
      <c r="CE59" s="237">
        <f t="shared" si="291"/>
        <v>-2.9488703923900128E-2</v>
      </c>
      <c r="CF59" s="237">
        <f t="shared" si="291"/>
        <v>-7.8854728936869289E-2</v>
      </c>
      <c r="CG59" s="237">
        <f t="shared" si="291"/>
        <v>-3.8702201622248023E-2</v>
      </c>
      <c r="CH59" s="67">
        <f t="shared" si="292"/>
        <v>-2.562444901557448E-2</v>
      </c>
      <c r="CI59" s="237">
        <f t="shared" si="291"/>
        <v>-5.4237288135593253E-2</v>
      </c>
      <c r="CJ59" s="237">
        <f t="shared" si="291"/>
        <v>-8.4048027444253881E-2</v>
      </c>
      <c r="CK59" s="237">
        <f t="shared" si="291"/>
        <v>-0.14955414012738855</v>
      </c>
      <c r="CL59" s="237">
        <f t="shared" si="291"/>
        <v>-0.21504339440694309</v>
      </c>
      <c r="CM59" s="67">
        <f t="shared" ref="CM59:CW59" si="293">CM58/CH58-1</f>
        <v>-0.12437420833584656</v>
      </c>
      <c r="CN59" s="237">
        <f t="shared" ca="1" si="293"/>
        <v>-0.22532767358571637</v>
      </c>
      <c r="CO59" s="237">
        <f t="shared" ca="1" si="293"/>
        <v>-0.18436020283068388</v>
      </c>
      <c r="CP59" s="237">
        <f t="shared" ca="1" si="293"/>
        <v>-0.16587050561023398</v>
      </c>
      <c r="CQ59" s="237">
        <f t="shared" ca="1" si="293"/>
        <v>-3.3330344897976483E-2</v>
      </c>
      <c r="CR59" s="67">
        <f t="shared" ca="1" si="293"/>
        <v>-0.15804464440670196</v>
      </c>
      <c r="CS59" s="237">
        <f t="shared" ca="1" si="293"/>
        <v>-6.0110148052687107E-2</v>
      </c>
      <c r="CT59" s="237">
        <f t="shared" ca="1" si="293"/>
        <v>-4.4903392156666055E-2</v>
      </c>
      <c r="CU59" s="237">
        <f t="shared" ca="1" si="293"/>
        <v>-9.6865320921800668E-3</v>
      </c>
      <c r="CV59" s="237">
        <f t="shared" ca="1" si="293"/>
        <v>-2.588083050035439E-3</v>
      </c>
      <c r="CW59" s="487">
        <f t="shared" ca="1" si="293"/>
        <v>-3.0017831422600949E-2</v>
      </c>
      <c r="CX59" s="237">
        <f t="shared" ref="CX59" ca="1" si="294">CX58/CS58-1</f>
        <v>6.3714607376115229E-3</v>
      </c>
      <c r="CY59" s="237">
        <f t="shared" ref="CY59" ca="1" si="295">CY58/CT58-1</f>
        <v>4.9519756805807003E-3</v>
      </c>
      <c r="CZ59" s="237">
        <f t="shared" ref="CZ59" ca="1" si="296">CZ58/CU58-1</f>
        <v>4.2442544126928272E-3</v>
      </c>
      <c r="DA59" s="237">
        <f t="shared" ref="DA59" ca="1" si="297">DA58/CV58-1</f>
        <v>4.2478683196325306E-3</v>
      </c>
      <c r="DB59" s="487">
        <f t="shared" ref="DB59" ca="1" si="298">DB58/CW58-1</f>
        <v>4.9657653161376825E-3</v>
      </c>
      <c r="DC59" s="167"/>
      <c r="DD59" s="167"/>
      <c r="DE59" s="167"/>
      <c r="DF59" s="167"/>
      <c r="DG59" s="167"/>
      <c r="DH59" s="167"/>
      <c r="DI59" s="167"/>
      <c r="DJ59" s="167"/>
    </row>
    <row r="60" spans="1:114">
      <c r="A60" s="486"/>
      <c r="B60" s="473" t="s">
        <v>182</v>
      </c>
      <c r="C60" s="474"/>
      <c r="D60" s="129">
        <f t="shared" ref="D60:BK60" si="299">D58/D$18</f>
        <v>1.1258840732292215</v>
      </c>
      <c r="E60" s="153">
        <f t="shared" si="299"/>
        <v>0.73882659708339171</v>
      </c>
      <c r="F60" s="129">
        <f t="shared" si="299"/>
        <v>0.71959721899273343</v>
      </c>
      <c r="G60" s="167">
        <f t="shared" si="299"/>
        <v>0.71347690300894273</v>
      </c>
      <c r="H60" s="167">
        <f t="shared" si="299"/>
        <v>0.72358814593835497</v>
      </c>
      <c r="I60" s="167">
        <f t="shared" si="299"/>
        <v>0.73015274780408523</v>
      </c>
      <c r="J60" s="167">
        <f t="shared" si="299"/>
        <v>0.73300635390008839</v>
      </c>
      <c r="K60" s="67">
        <f t="shared" si="299"/>
        <v>0.72547819027234484</v>
      </c>
      <c r="L60" s="237">
        <f t="shared" si="299"/>
        <v>0.73328597482001578</v>
      </c>
      <c r="M60" s="237">
        <f t="shared" si="299"/>
        <v>0.74510631721392739</v>
      </c>
      <c r="N60" s="237">
        <f t="shared" si="299"/>
        <v>0.7473685924162643</v>
      </c>
      <c r="O60" s="237">
        <f t="shared" si="299"/>
        <v>0.74961395089763905</v>
      </c>
      <c r="P60" s="67">
        <f t="shared" si="299"/>
        <v>0.7440039774279148</v>
      </c>
      <c r="Q60" s="237">
        <f t="shared" si="299"/>
        <v>0.74378751268434962</v>
      </c>
      <c r="R60" s="237">
        <f t="shared" si="299"/>
        <v>0.74925794128341539</v>
      </c>
      <c r="S60" s="237">
        <f t="shared" si="299"/>
        <v>0.75245151599812998</v>
      </c>
      <c r="T60" s="237">
        <f t="shared" si="299"/>
        <v>0.74802020547600601</v>
      </c>
      <c r="U60" s="67">
        <f t="shared" si="299"/>
        <v>0.74845305761892911</v>
      </c>
      <c r="V60" s="237">
        <f t="shared" si="299"/>
        <v>0.74326342208430207</v>
      </c>
      <c r="W60" s="237">
        <f t="shared" si="299"/>
        <v>0.75027806147217124</v>
      </c>
      <c r="X60" s="237">
        <f t="shared" si="299"/>
        <v>0.75188440276102619</v>
      </c>
      <c r="Y60" s="237">
        <f t="shared" si="299"/>
        <v>0.74766110686002663</v>
      </c>
      <c r="Z60" s="67">
        <f t="shared" si="299"/>
        <v>0.74828089906413109</v>
      </c>
      <c r="AA60" s="237">
        <f t="shared" si="299"/>
        <v>0.7417252665986952</v>
      </c>
      <c r="AB60" s="237">
        <f t="shared" si="299"/>
        <v>0.74776373163473442</v>
      </c>
      <c r="AC60" s="237">
        <f t="shared" si="299"/>
        <v>0.75198032001497939</v>
      </c>
      <c r="AD60" s="237">
        <f t="shared" si="299"/>
        <v>0.74365167452421932</v>
      </c>
      <c r="AE60" s="67">
        <f t="shared" si="299"/>
        <v>0.74625744324836096</v>
      </c>
      <c r="AF60" s="237">
        <f t="shared" si="299"/>
        <v>0.74083494226359448</v>
      </c>
      <c r="AG60" s="237">
        <f t="shared" si="299"/>
        <v>0.74322890258177243</v>
      </c>
      <c r="AH60" s="237">
        <f t="shared" si="299"/>
        <v>0.7473935965208196</v>
      </c>
      <c r="AI60" s="237">
        <f t="shared" si="299"/>
        <v>0.74229802759171459</v>
      </c>
      <c r="AJ60" s="67">
        <f t="shared" si="299"/>
        <v>0.74349158049247099</v>
      </c>
      <c r="AK60" s="237">
        <f t="shared" si="299"/>
        <v>0.74593126062606463</v>
      </c>
      <c r="AL60" s="237">
        <f t="shared" si="299"/>
        <v>0.74285261398351488</v>
      </c>
      <c r="AM60" s="237">
        <f t="shared" si="299"/>
        <v>0.75813224595858897</v>
      </c>
      <c r="AN60" s="237">
        <f t="shared" si="299"/>
        <v>0.78707785576476597</v>
      </c>
      <c r="AO60" s="67">
        <f t="shared" si="299"/>
        <v>0.76350593450324356</v>
      </c>
      <c r="AP60" s="237">
        <f t="shared" si="299"/>
        <v>0.75532986697971882</v>
      </c>
      <c r="AQ60" s="237">
        <f t="shared" si="299"/>
        <v>0.75876718947446664</v>
      </c>
      <c r="AR60" s="237">
        <f t="shared" si="299"/>
        <v>0.74402349920298905</v>
      </c>
      <c r="AS60" s="237">
        <f t="shared" si="299"/>
        <v>0.74721260399096445</v>
      </c>
      <c r="AT60" s="67">
        <f t="shared" si="299"/>
        <v>0.7512651845889432</v>
      </c>
      <c r="AU60" s="237">
        <f t="shared" si="299"/>
        <v>0.74895328776548109</v>
      </c>
      <c r="AV60" s="237">
        <f t="shared" si="299"/>
        <v>0.74599870531969092</v>
      </c>
      <c r="AW60" s="237">
        <f t="shared" si="299"/>
        <v>0.74433264426062684</v>
      </c>
      <c r="AX60" s="237">
        <f t="shared" si="299"/>
        <v>0.73753391137138136</v>
      </c>
      <c r="AY60" s="67">
        <f t="shared" si="299"/>
        <v>0.74411549554596934</v>
      </c>
      <c r="AZ60" s="237">
        <f t="shared" si="299"/>
        <v>0.74728400662886507</v>
      </c>
      <c r="BA60" s="237">
        <f t="shared" si="299"/>
        <v>0.74342578296474593</v>
      </c>
      <c r="BB60" s="237">
        <f t="shared" si="299"/>
        <v>0.74323466239039626</v>
      </c>
      <c r="BC60" s="237">
        <f t="shared" si="299"/>
        <v>0.74552553722794757</v>
      </c>
      <c r="BD60" s="67">
        <f t="shared" si="299"/>
        <v>0.74486713125168447</v>
      </c>
      <c r="BE60" s="237">
        <f t="shared" si="299"/>
        <v>0.75053518853612944</v>
      </c>
      <c r="BF60" s="237">
        <f t="shared" si="299"/>
        <v>0.74276936912117641</v>
      </c>
      <c r="BG60" s="237">
        <f t="shared" si="299"/>
        <v>0.73934400465657746</v>
      </c>
      <c r="BH60" s="237">
        <f t="shared" si="299"/>
        <v>0.74839898980802977</v>
      </c>
      <c r="BI60" s="67">
        <f t="shared" si="299"/>
        <v>0.74525198676015658</v>
      </c>
      <c r="BJ60" s="237">
        <f t="shared" si="299"/>
        <v>0.73998352315361648</v>
      </c>
      <c r="BK60" s="237">
        <f t="shared" si="299"/>
        <v>0.74467279232378147</v>
      </c>
      <c r="BL60" s="237">
        <f>BL58/BL$18</f>
        <v>0.75008690274818279</v>
      </c>
      <c r="BM60" s="237">
        <f>BM58/BM$18</f>
        <v>0.75968650565889662</v>
      </c>
      <c r="BN60" s="67">
        <f t="shared" ref="BN60:CC60" si="300">BN58/BN$18</f>
        <v>0.74859240738985022</v>
      </c>
      <c r="BO60" s="237">
        <f t="shared" si="300"/>
        <v>0.75121556982039361</v>
      </c>
      <c r="BP60" s="237">
        <f>BP58/BP$18</f>
        <v>0.75783779881881685</v>
      </c>
      <c r="BQ60" s="237">
        <f>BQ58/BQ$18</f>
        <v>0.74796758974979782</v>
      </c>
      <c r="BR60" s="237">
        <f>BR58/BR$18</f>
        <v>0.75843635987691038</v>
      </c>
      <c r="BS60" s="67">
        <f t="shared" si="300"/>
        <v>0.75385171872747125</v>
      </c>
      <c r="BT60" s="237">
        <f>BT58/BT$18</f>
        <v>0.7561224489795918</v>
      </c>
      <c r="BU60" s="237">
        <f>BU58/BU$18</f>
        <v>0.75483637678539139</v>
      </c>
      <c r="BV60" s="237">
        <f>BV58/BV$18</f>
        <v>0.74487326981844326</v>
      </c>
      <c r="BW60" s="237">
        <f>BW58/BW$18</f>
        <v>0.74401701825917388</v>
      </c>
      <c r="BX60" s="67">
        <f t="shared" si="300"/>
        <v>0.74974485786919343</v>
      </c>
      <c r="BY60" s="237">
        <f>BY58/BY$18</f>
        <v>0.74991144172865742</v>
      </c>
      <c r="BZ60" s="237">
        <f>BZ58/BZ$18</f>
        <v>0.74902030637691486</v>
      </c>
      <c r="CA60" s="237">
        <f>CA58/CA$18</f>
        <v>0.76362007168458779</v>
      </c>
      <c r="CB60" s="237">
        <f>CB58/CB$18</f>
        <v>0.7538434661076171</v>
      </c>
      <c r="CC60" s="67">
        <f t="shared" si="300"/>
        <v>0.75407729126041478</v>
      </c>
      <c r="CD60" s="237">
        <f>CD58/CD$18</f>
        <v>0.76903023983315955</v>
      </c>
      <c r="CE60" s="237">
        <f>CE58/CE$18</f>
        <v>0.77145557655954633</v>
      </c>
      <c r="CF60" s="237">
        <f>CF58/CF$18</f>
        <v>0.77202989771833197</v>
      </c>
      <c r="CG60" s="237">
        <f>CG58/CG$18</f>
        <v>0.80590635321546533</v>
      </c>
      <c r="CH60" s="67">
        <f t="shared" ref="CH60" si="301">CH58/CH$18</f>
        <v>0.77927144535840187</v>
      </c>
      <c r="CI60" s="237">
        <f>CI58/CI$18</f>
        <v>0.80979102167182659</v>
      </c>
      <c r="CJ60" s="237">
        <f>CJ58/CJ$18</f>
        <v>0.77503628447024675</v>
      </c>
      <c r="CK60" s="237">
        <f>CK58/CK$18</f>
        <v>0.7703669513039465</v>
      </c>
      <c r="CL60" s="237">
        <f>CL58/CL$18</f>
        <v>0.79882237487733077</v>
      </c>
      <c r="CM60" s="67">
        <f t="shared" ref="CM60:CW60" si="302">CM58/CM$18</f>
        <v>0.78896739130434779</v>
      </c>
      <c r="CN60" s="237">
        <f t="shared" ca="1" si="302"/>
        <v>0.75904395820730264</v>
      </c>
      <c r="CO60" s="237">
        <f t="shared" ca="1" si="302"/>
        <v>0.76393757053585742</v>
      </c>
      <c r="CP60" s="237">
        <f t="shared" ca="1" si="302"/>
        <v>0.76273095372230759</v>
      </c>
      <c r="CQ60" s="237">
        <f t="shared" ca="1" si="302"/>
        <v>0.75971601279214973</v>
      </c>
      <c r="CR60" s="67">
        <f t="shared" ca="1" si="302"/>
        <v>0.76127208529776169</v>
      </c>
      <c r="CS60" s="237">
        <f t="shared" ca="1" si="302"/>
        <v>0.76048968738127598</v>
      </c>
      <c r="CT60" s="237">
        <f t="shared" ca="1" si="302"/>
        <v>0.75664503846442843</v>
      </c>
      <c r="CU60" s="237">
        <f t="shared" ca="1" si="302"/>
        <v>0.75019446593373362</v>
      </c>
      <c r="CV60" s="237">
        <f t="shared" ca="1" si="302"/>
        <v>0.75650125701137128</v>
      </c>
      <c r="CW60" s="487">
        <f t="shared" ca="1" si="302"/>
        <v>0.75607738617526477</v>
      </c>
      <c r="CX60" s="237">
        <f t="shared" ref="CX60:DB60" ca="1" si="303">CX58/CX$18</f>
        <v>0.76099806311669016</v>
      </c>
      <c r="CY60" s="237">
        <f t="shared" ca="1" si="303"/>
        <v>0.75565015733894114</v>
      </c>
      <c r="CZ60" s="237">
        <f t="shared" ca="1" si="303"/>
        <v>0.754903683572831</v>
      </c>
      <c r="DA60" s="237">
        <f t="shared" ca="1" si="303"/>
        <v>0.75571895063037997</v>
      </c>
      <c r="DB60" s="487">
        <f t="shared" ca="1" si="303"/>
        <v>0.75686339461324204</v>
      </c>
      <c r="DC60" s="167"/>
      <c r="DD60" s="167"/>
      <c r="DE60" s="167"/>
      <c r="DF60" s="167"/>
      <c r="DG60" s="167"/>
      <c r="DH60" s="167"/>
      <c r="DI60" s="167"/>
      <c r="DJ60" s="167"/>
    </row>
    <row r="61" spans="1:114">
      <c r="A61" s="486"/>
      <c r="B61" s="473" t="s">
        <v>181</v>
      </c>
      <c r="C61" s="474"/>
      <c r="D61" s="129">
        <f t="shared" ref="D61:BK61" si="304">D58/D$20</f>
        <v>1.3138569948412866</v>
      </c>
      <c r="E61" s="153">
        <f t="shared" si="304"/>
        <v>0.81020995040637545</v>
      </c>
      <c r="F61" s="129">
        <f t="shared" si="304"/>
        <v>0.79202072419474034</v>
      </c>
      <c r="G61" s="167">
        <f t="shared" si="304"/>
        <v>0.78641420956004338</v>
      </c>
      <c r="H61" s="167">
        <f t="shared" si="304"/>
        <v>0.79712741431566558</v>
      </c>
      <c r="I61" s="167">
        <f t="shared" si="304"/>
        <v>0.80425981992939966</v>
      </c>
      <c r="J61" s="167">
        <f t="shared" si="304"/>
        <v>0.8071878769149875</v>
      </c>
      <c r="K61" s="67">
        <f t="shared" si="304"/>
        <v>0.79919916690462278</v>
      </c>
      <c r="L61" s="237">
        <f t="shared" si="304"/>
        <v>0.80894169413302119</v>
      </c>
      <c r="M61" s="237">
        <f t="shared" si="304"/>
        <v>0.81874663463529807</v>
      </c>
      <c r="N61" s="237">
        <f t="shared" si="304"/>
        <v>0.82554296789146631</v>
      </c>
      <c r="O61" s="237">
        <f t="shared" si="304"/>
        <v>0.8219732349077542</v>
      </c>
      <c r="P61" s="67">
        <f t="shared" si="304"/>
        <v>0.8189349816891045</v>
      </c>
      <c r="Q61" s="237">
        <f t="shared" si="304"/>
        <v>0.82146494766608136</v>
      </c>
      <c r="R61" s="237">
        <f t="shared" si="304"/>
        <v>0.82740186319229181</v>
      </c>
      <c r="S61" s="237">
        <f t="shared" si="304"/>
        <v>0.83399097392125465</v>
      </c>
      <c r="T61" s="237">
        <f t="shared" si="304"/>
        <v>0.83335318508512202</v>
      </c>
      <c r="U61" s="67">
        <f t="shared" si="304"/>
        <v>0.82935695393388675</v>
      </c>
      <c r="V61" s="237">
        <f t="shared" si="304"/>
        <v>0.83019293325093546</v>
      </c>
      <c r="W61" s="237">
        <f t="shared" si="304"/>
        <v>0.83404558793794104</v>
      </c>
      <c r="X61" s="237">
        <f t="shared" si="304"/>
        <v>0.83984685687364102</v>
      </c>
      <c r="Y61" s="237">
        <f t="shared" si="304"/>
        <v>0.83371945907429601</v>
      </c>
      <c r="Z61" s="67">
        <f t="shared" si="304"/>
        <v>0.83447550076641697</v>
      </c>
      <c r="AA61" s="237">
        <f t="shared" si="304"/>
        <v>0.82673506366188132</v>
      </c>
      <c r="AB61" s="237">
        <f t="shared" si="304"/>
        <v>0.8305574899411946</v>
      </c>
      <c r="AC61" s="237">
        <f t="shared" si="304"/>
        <v>0.83558674094720831</v>
      </c>
      <c r="AD61" s="237">
        <f t="shared" si="304"/>
        <v>0.82794327543655</v>
      </c>
      <c r="AE61" s="67">
        <f t="shared" si="304"/>
        <v>0.83019057970196319</v>
      </c>
      <c r="AF61" s="237">
        <f t="shared" si="304"/>
        <v>0.82757018447807396</v>
      </c>
      <c r="AG61" s="237">
        <f t="shared" si="304"/>
        <v>0.83419474268789329</v>
      </c>
      <c r="AH61" s="237">
        <f t="shared" si="304"/>
        <v>0.90187359566250358</v>
      </c>
      <c r="AI61" s="237">
        <f t="shared" si="304"/>
        <v>0.83816593801042605</v>
      </c>
      <c r="AJ61" s="67">
        <f t="shared" si="304"/>
        <v>0.85016848730746408</v>
      </c>
      <c r="AK61" s="237">
        <f t="shared" si="304"/>
        <v>0.84068209432199636</v>
      </c>
      <c r="AL61" s="237">
        <f t="shared" si="304"/>
        <v>0.84320383982436553</v>
      </c>
      <c r="AM61" s="237">
        <f t="shared" si="304"/>
        <v>0.86041381280328944</v>
      </c>
      <c r="AN61" s="237">
        <f t="shared" si="304"/>
        <v>0.91823134977104226</v>
      </c>
      <c r="AO61" s="67">
        <f t="shared" si="304"/>
        <v>0.87372192383193459</v>
      </c>
      <c r="AP61" s="237">
        <f t="shared" si="304"/>
        <v>0.84765481959486089</v>
      </c>
      <c r="AQ61" s="237">
        <f t="shared" si="304"/>
        <v>0.8507990023150126</v>
      </c>
      <c r="AR61" s="237">
        <f t="shared" si="304"/>
        <v>0.84322462537505427</v>
      </c>
      <c r="AS61" s="237">
        <f t="shared" si="304"/>
        <v>0.84388577710307278</v>
      </c>
      <c r="AT61" s="67">
        <f t="shared" si="304"/>
        <v>0.84636797896698779</v>
      </c>
      <c r="AU61" s="237">
        <f t="shared" si="304"/>
        <v>0.84721027760146017</v>
      </c>
      <c r="AV61" s="237">
        <f t="shared" si="304"/>
        <v>0.84786206361351057</v>
      </c>
      <c r="AW61" s="237">
        <f t="shared" si="304"/>
        <v>0.8483141338059369</v>
      </c>
      <c r="AX61" s="237">
        <f t="shared" si="304"/>
        <v>0.84144206189798132</v>
      </c>
      <c r="AY61" s="67">
        <f t="shared" si="304"/>
        <v>0.84618398790358385</v>
      </c>
      <c r="AZ61" s="237">
        <f t="shared" si="304"/>
        <v>0.84881630734465863</v>
      </c>
      <c r="BA61" s="237">
        <f t="shared" si="304"/>
        <v>0.84508279758844906</v>
      </c>
      <c r="BB61" s="237">
        <f t="shared" si="304"/>
        <v>0.84838843964397059</v>
      </c>
      <c r="BC61" s="237">
        <f t="shared" si="304"/>
        <v>0.85219451596084894</v>
      </c>
      <c r="BD61" s="67">
        <f t="shared" si="304"/>
        <v>0.84867788900212526</v>
      </c>
      <c r="BE61" s="237">
        <f t="shared" si="304"/>
        <v>0.85266179389225127</v>
      </c>
      <c r="BF61" s="237">
        <f t="shared" si="304"/>
        <v>0.84994669802691059</v>
      </c>
      <c r="BG61" s="237">
        <f t="shared" si="304"/>
        <v>0.85084991680354105</v>
      </c>
      <c r="BH61" s="237">
        <f t="shared" si="304"/>
        <v>0.85712707825638534</v>
      </c>
      <c r="BI61" s="67">
        <f t="shared" si="304"/>
        <v>0.85265050112899865</v>
      </c>
      <c r="BJ61" s="237">
        <f t="shared" si="304"/>
        <v>0.84916326335631853</v>
      </c>
      <c r="BK61" s="237">
        <f t="shared" si="304"/>
        <v>0.86027917584291458</v>
      </c>
      <c r="BL61" s="237">
        <f>BL58/BL$20</f>
        <v>0.86325999445833312</v>
      </c>
      <c r="BM61" s="237">
        <f>BM58/BM$20</f>
        <v>0.87204244439792422</v>
      </c>
      <c r="BN61" s="67">
        <f t="shared" ref="BN61:CC61" si="305">BN58/BN$20</f>
        <v>0.86115971428319227</v>
      </c>
      <c r="BO61" s="237">
        <f t="shared" si="305"/>
        <v>0.86193613648373224</v>
      </c>
      <c r="BP61" s="237">
        <f>BP58/BP$20</f>
        <v>0.88234023639294523</v>
      </c>
      <c r="BQ61" s="237">
        <f>BQ58/BQ$20</f>
        <v>0.87547133813576461</v>
      </c>
      <c r="BR61" s="237">
        <f>BR58/BR$20</f>
        <v>0.87860289955717796</v>
      </c>
      <c r="BS61" s="67">
        <f t="shared" si="305"/>
        <v>0.87451149984847298</v>
      </c>
      <c r="BT61" s="237">
        <f>BT58/BT$20</f>
        <v>0.88319427890345648</v>
      </c>
      <c r="BU61" s="237">
        <f>BU58/BU$20</f>
        <v>0.8736137267210714</v>
      </c>
      <c r="BV61" s="237">
        <f>BV58/BV$20</f>
        <v>0.86417726798748684</v>
      </c>
      <c r="BW61" s="237">
        <f>BW58/BW$20</f>
        <v>0.85339568930459542</v>
      </c>
      <c r="BX61" s="67">
        <f t="shared" si="305"/>
        <v>0.86802215443891473</v>
      </c>
      <c r="BY61" s="237">
        <f>BY58/BY$20</f>
        <v>0.86214620240276929</v>
      </c>
      <c r="BZ61" s="237">
        <f>BZ58/BZ$20</f>
        <v>0.86132732486685781</v>
      </c>
      <c r="CA61" s="237">
        <f>CA58/CA$20</f>
        <v>0.87928188196450685</v>
      </c>
      <c r="CB61" s="237">
        <f>CB58/CB$20</f>
        <v>0.8993330554397666</v>
      </c>
      <c r="CC61" s="67">
        <f t="shared" si="305"/>
        <v>0.87539229304933885</v>
      </c>
      <c r="CD61" s="237">
        <f>CD58/CD$20</f>
        <v>0.88517703540708137</v>
      </c>
      <c r="CE61" s="237">
        <f>CE58/CE$20</f>
        <v>0.88910675381263615</v>
      </c>
      <c r="CF61" s="237">
        <f>CF58/CF$20</f>
        <v>0.89611872146118721</v>
      </c>
      <c r="CG61" s="237">
        <f>CG58/CG$20</f>
        <v>0.92817185052584472</v>
      </c>
      <c r="CH61" s="67">
        <f t="shared" ref="CH61" si="306">CH58/CH$20</f>
        <v>0.8991756155765267</v>
      </c>
      <c r="CI61" s="237">
        <f>CI58/CI$20</f>
        <v>0.93290236290682127</v>
      </c>
      <c r="CJ61" s="237">
        <f>CJ58/CJ$20</f>
        <v>0.90202702702702697</v>
      </c>
      <c r="CK61" s="237">
        <f>CK58/CK$20</f>
        <v>0.9105291871249318</v>
      </c>
      <c r="CL61" s="237">
        <f>CL58/CL$20</f>
        <v>1.0644001307616868</v>
      </c>
      <c r="CM61" s="67">
        <f t="shared" ref="CM61:CW61" si="307">CM58/CM$20</f>
        <v>0.94542494301530444</v>
      </c>
      <c r="CN61" s="237">
        <f t="shared" ca="1" si="307"/>
        <v>0.88621594653508773</v>
      </c>
      <c r="CO61" s="237">
        <f t="shared" ca="1" si="307"/>
        <v>0.89245043286899228</v>
      </c>
      <c r="CP61" s="237">
        <f t="shared" ca="1" si="307"/>
        <v>0.89000111286150241</v>
      </c>
      <c r="CQ61" s="237">
        <f t="shared" ca="1" si="307"/>
        <v>0.8879336287893288</v>
      </c>
      <c r="CR61" s="67">
        <f t="shared" ca="1" si="307"/>
        <v>0.88906945274745885</v>
      </c>
      <c r="CS61" s="237">
        <f t="shared" ca="1" si="307"/>
        <v>0.89092043976250701</v>
      </c>
      <c r="CT61" s="237">
        <f t="shared" ca="1" si="307"/>
        <v>0.8864163993257127</v>
      </c>
      <c r="CU61" s="237">
        <f t="shared" ca="1" si="307"/>
        <v>0.87885949617353987</v>
      </c>
      <c r="CV61" s="237">
        <f t="shared" ca="1" si="307"/>
        <v>0.88624795807330292</v>
      </c>
      <c r="CW61" s="487">
        <f t="shared" ca="1" si="307"/>
        <v>0.88575138961488376</v>
      </c>
      <c r="CX61" s="237">
        <f t="shared" ref="CX61:DB61" ca="1" si="308">CX58/CX$20</f>
        <v>0.89151600646285167</v>
      </c>
      <c r="CY61" s="237">
        <f t="shared" ca="1" si="308"/>
        <v>0.88525088722931244</v>
      </c>
      <c r="CZ61" s="237">
        <f t="shared" ca="1" si="308"/>
        <v>0.8843763865661094</v>
      </c>
      <c r="DA61" s="237">
        <f t="shared" ca="1" si="308"/>
        <v>0.88533147918273181</v>
      </c>
      <c r="DB61" s="487">
        <f t="shared" ca="1" si="308"/>
        <v>0.88667220549817494</v>
      </c>
      <c r="DC61" s="167"/>
      <c r="DD61" s="167"/>
      <c r="DE61" s="167"/>
      <c r="DF61" s="167"/>
      <c r="DG61" s="167"/>
      <c r="DH61" s="167"/>
      <c r="DI61" s="167"/>
      <c r="DJ61" s="167"/>
    </row>
    <row r="62" spans="1:114">
      <c r="A62" s="488"/>
      <c r="B62" s="37" t="s">
        <v>185</v>
      </c>
      <c r="C62" s="157"/>
      <c r="D62" s="80">
        <f t="shared" ref="D62:BK62" si="309">1000000*D58/D$15</f>
        <v>1305.4088671209247</v>
      </c>
      <c r="E62" s="81">
        <f t="shared" si="309"/>
        <v>924.96925215248234</v>
      </c>
      <c r="F62" s="82">
        <f t="shared" si="309"/>
        <v>957.69968103832502</v>
      </c>
      <c r="G62" s="93">
        <f t="shared" si="309"/>
        <v>966.51882314037448</v>
      </c>
      <c r="H62" s="93">
        <f t="shared" si="309"/>
        <v>1041.5968269890341</v>
      </c>
      <c r="I62" s="93">
        <f t="shared" si="309"/>
        <v>1055.8742417878364</v>
      </c>
      <c r="J62" s="93">
        <f t="shared" si="309"/>
        <v>1096.9262391467098</v>
      </c>
      <c r="K62" s="82">
        <f t="shared" si="309"/>
        <v>1041.3204082850107</v>
      </c>
      <c r="L62" s="93">
        <f t="shared" si="309"/>
        <v>1032.4644196449699</v>
      </c>
      <c r="M62" s="93">
        <f t="shared" si="309"/>
        <v>1079.8658113440542</v>
      </c>
      <c r="N62" s="93">
        <f t="shared" si="309"/>
        <v>1108.8889869571656</v>
      </c>
      <c r="O62" s="93">
        <f t="shared" si="309"/>
        <v>1167.4026604583055</v>
      </c>
      <c r="P62" s="82">
        <f t="shared" si="309"/>
        <v>1097.0538453531569</v>
      </c>
      <c r="Q62" s="93">
        <f t="shared" si="309"/>
        <v>1113.1608962001289</v>
      </c>
      <c r="R62" s="93">
        <f t="shared" si="309"/>
        <v>1202.4127751349783</v>
      </c>
      <c r="S62" s="93">
        <f t="shared" si="309"/>
        <v>1169.5142783278311</v>
      </c>
      <c r="T62" s="93">
        <f t="shared" si="309"/>
        <v>1138.8339713220967</v>
      </c>
      <c r="U62" s="82">
        <f t="shared" si="309"/>
        <v>1154.6182016656776</v>
      </c>
      <c r="V62" s="93">
        <f t="shared" si="309"/>
        <v>1127.450260742339</v>
      </c>
      <c r="W62" s="93">
        <f t="shared" si="309"/>
        <v>1176.0569716454659</v>
      </c>
      <c r="X62" s="93">
        <f t="shared" si="309"/>
        <v>1206.6490906551105</v>
      </c>
      <c r="Y62" s="93">
        <f t="shared" si="309"/>
        <v>1224.4765068445074</v>
      </c>
      <c r="Z62" s="82">
        <f t="shared" si="309"/>
        <v>1183.3742640004382</v>
      </c>
      <c r="AA62" s="93">
        <f t="shared" si="309"/>
        <v>1185.2388856814418</v>
      </c>
      <c r="AB62" s="93">
        <f t="shared" si="309"/>
        <v>1249.7630829366199</v>
      </c>
      <c r="AC62" s="93">
        <f t="shared" si="309"/>
        <v>1290.0347826557897</v>
      </c>
      <c r="AD62" s="93">
        <f t="shared" si="309"/>
        <v>1301.0221329009021</v>
      </c>
      <c r="AE62" s="82">
        <f t="shared" si="309"/>
        <v>1255.9108128902294</v>
      </c>
      <c r="AF62" s="93">
        <f t="shared" si="309"/>
        <v>1258.7282193173819</v>
      </c>
      <c r="AG62" s="93">
        <f t="shared" si="309"/>
        <v>1303.4010978035888</v>
      </c>
      <c r="AH62" s="93">
        <f t="shared" si="309"/>
        <v>1334.0183664391711</v>
      </c>
      <c r="AI62" s="93">
        <f t="shared" si="309"/>
        <v>1341.636077691943</v>
      </c>
      <c r="AJ62" s="82">
        <f t="shared" si="309"/>
        <v>1310.1432950663486</v>
      </c>
      <c r="AK62" s="93">
        <f t="shared" si="309"/>
        <v>1346.7438245387261</v>
      </c>
      <c r="AL62" s="93">
        <f t="shared" si="309"/>
        <v>1389.4255486544466</v>
      </c>
      <c r="AM62" s="93">
        <f t="shared" si="309"/>
        <v>1607.335556259937</v>
      </c>
      <c r="AN62" s="93">
        <f t="shared" si="309"/>
        <v>1594.3734693892002</v>
      </c>
      <c r="AO62" s="82">
        <f t="shared" si="309"/>
        <v>1516.4729908841475</v>
      </c>
      <c r="AP62" s="93">
        <f t="shared" si="309"/>
        <v>1524.1799071125208</v>
      </c>
      <c r="AQ62" s="93">
        <f t="shared" si="309"/>
        <v>1621.1396396706511</v>
      </c>
      <c r="AR62" s="93">
        <f t="shared" si="309"/>
        <v>1650.7682703814316</v>
      </c>
      <c r="AS62" s="93">
        <f t="shared" si="309"/>
        <v>1643.0711422179679</v>
      </c>
      <c r="AT62" s="82">
        <f t="shared" si="309"/>
        <v>1608.1453390545732</v>
      </c>
      <c r="AU62" s="93">
        <f t="shared" si="309"/>
        <v>1642.8507720413975</v>
      </c>
      <c r="AV62" s="93">
        <f t="shared" si="309"/>
        <v>1661.9459727697488</v>
      </c>
      <c r="AW62" s="93">
        <f t="shared" si="309"/>
        <v>1679.5394376893673</v>
      </c>
      <c r="AX62" s="93">
        <f t="shared" si="309"/>
        <v>1681.89607272894</v>
      </c>
      <c r="AY62" s="82">
        <f t="shared" si="309"/>
        <v>1666.7513022691633</v>
      </c>
      <c r="AZ62" s="93">
        <f t="shared" si="309"/>
        <v>1698.6774251674578</v>
      </c>
      <c r="BA62" s="93">
        <f t="shared" si="309"/>
        <v>1728.8131667473003</v>
      </c>
      <c r="BB62" s="93">
        <f t="shared" si="309"/>
        <v>1755.8914068330191</v>
      </c>
      <c r="BC62" s="93">
        <f t="shared" si="309"/>
        <v>1772.8417375840531</v>
      </c>
      <c r="BD62" s="82">
        <f t="shared" si="309"/>
        <v>1739.3089733544243</v>
      </c>
      <c r="BE62" s="93">
        <f t="shared" si="309"/>
        <v>1712.1894712613721</v>
      </c>
      <c r="BF62" s="93">
        <f t="shared" si="309"/>
        <v>1751.7337225996907</v>
      </c>
      <c r="BG62" s="93">
        <f t="shared" si="309"/>
        <v>1742.9693025661477</v>
      </c>
      <c r="BH62" s="93">
        <f t="shared" si="309"/>
        <v>1755.4130569485908</v>
      </c>
      <c r="BI62" s="82">
        <f t="shared" si="309"/>
        <v>1740.4290243696544</v>
      </c>
      <c r="BJ62" s="93">
        <f t="shared" si="309"/>
        <v>1764.2887775965351</v>
      </c>
      <c r="BK62" s="93">
        <f t="shared" si="309"/>
        <v>1836.5870451738933</v>
      </c>
      <c r="BL62" s="93">
        <f t="shared" ref="BL62:CC62" si="310">1000000*BL58/BL$15</f>
        <v>1805.1366442351368</v>
      </c>
      <c r="BM62" s="93">
        <f>1000000*BM58/BM$15</f>
        <v>1856.9202504224727</v>
      </c>
      <c r="BN62" s="82">
        <f t="shared" si="310"/>
        <v>1815.271753743473</v>
      </c>
      <c r="BO62" s="93">
        <f t="shared" si="310"/>
        <v>1814.1138581994726</v>
      </c>
      <c r="BP62" s="93">
        <f>1000000*BP58/BP$15</f>
        <v>1884.3148237759374</v>
      </c>
      <c r="BQ62" s="93">
        <f>1000000*BQ58/BQ$15</f>
        <v>1911.0813525903541</v>
      </c>
      <c r="BR62" s="93">
        <f>1000000*BR58/BR$15</f>
        <v>1945.7244176695931</v>
      </c>
      <c r="BS62" s="82">
        <f t="shared" si="310"/>
        <v>1887.4039507757998</v>
      </c>
      <c r="BT62" s="93">
        <f>1000000*BT58/BT$15</f>
        <v>1858.5011852694004</v>
      </c>
      <c r="BU62" s="93">
        <f>1000000*BU58/BU$15</f>
        <v>1840.8868611210473</v>
      </c>
      <c r="BV62" s="93">
        <f>1000000*BV58/BV$15</f>
        <v>1854.476369352396</v>
      </c>
      <c r="BW62" s="93">
        <f>1000000*BW58/BW$15</f>
        <v>1870.5410578417725</v>
      </c>
      <c r="BX62" s="82">
        <f t="shared" si="310"/>
        <v>1855.992278568596</v>
      </c>
      <c r="BY62" s="93">
        <f>1000000*BY58/BY$15</f>
        <v>1813.1261917973472</v>
      </c>
      <c r="BZ62" s="93">
        <f>1000000*BZ58/BZ$15</f>
        <v>1858.118181796528</v>
      </c>
      <c r="CA62" s="93">
        <f>1000000*CA58/CA$15</f>
        <v>1910.8444601261897</v>
      </c>
      <c r="CB62" s="93">
        <f>1000000*CB58/CB$15</f>
        <v>1947.7064888301211</v>
      </c>
      <c r="CC62" s="82">
        <f t="shared" si="310"/>
        <v>1881.4481208179479</v>
      </c>
      <c r="CD62" s="93">
        <f>1000000*CD58/CD$15</f>
        <v>1920.4276562838716</v>
      </c>
      <c r="CE62" s="93">
        <f>1000000*CE58/CE$15</f>
        <v>1953.1274196432721</v>
      </c>
      <c r="CF62" s="93">
        <f>1000000*CF58/CF$15</f>
        <v>1979.6117234259743</v>
      </c>
      <c r="CG62" s="93">
        <f>1000000*CG58/CG$15</f>
        <v>2106.8951636622028</v>
      </c>
      <c r="CH62" s="82">
        <f t="shared" ref="CH62" si="311">1000000*CH58/CH$15</f>
        <v>1986.6677858528119</v>
      </c>
      <c r="CI62" s="93">
        <f>1000000*CI58/CI$15</f>
        <v>2035.7064380551449</v>
      </c>
      <c r="CJ62" s="93">
        <f>1000000*CJ58/CJ$15</f>
        <v>2028.4553177665209</v>
      </c>
      <c r="CK62" s="93">
        <f>1000000*CK58/CK$15</f>
        <v>2016.771070882593</v>
      </c>
      <c r="CL62" s="93">
        <f>1000000*CL58/CL$15</f>
        <v>2072.636571771061</v>
      </c>
      <c r="CM62" s="82">
        <f t="shared" ref="CM62:CW62" si="312">1000000*CM58/CM$15</f>
        <v>2037.5749787363256</v>
      </c>
      <c r="CN62" s="93">
        <f t="shared" ca="1" si="312"/>
        <v>2114.3776167995607</v>
      </c>
      <c r="CO62" s="93">
        <f t="shared" ca="1" si="312"/>
        <v>2208.762286478212</v>
      </c>
      <c r="CP62" s="93">
        <f t="shared" ca="1" si="312"/>
        <v>2187.3602067741203</v>
      </c>
      <c r="CQ62" s="93">
        <f t="shared" ca="1" si="312"/>
        <v>2466.2589958597796</v>
      </c>
      <c r="CR62" s="82">
        <f t="shared" ca="1" si="312"/>
        <v>2237.4393451764317</v>
      </c>
      <c r="CS62" s="93">
        <f t="shared" ca="1" si="312"/>
        <v>2344.3037503996729</v>
      </c>
      <c r="CT62" s="93">
        <f t="shared" ca="1" si="312"/>
        <v>2266.569613026652</v>
      </c>
      <c r="CU62" s="93">
        <f t="shared" ca="1" si="312"/>
        <v>2143.1624746279922</v>
      </c>
      <c r="CV62" s="93">
        <f t="shared" ca="1" si="312"/>
        <v>2506.4097100391568</v>
      </c>
      <c r="CW62" s="489">
        <f t="shared" ca="1" si="312"/>
        <v>2313.9324180788549</v>
      </c>
      <c r="CX62" s="93">
        <f t="shared" ref="CX62:DB62" ca="1" si="313">1000000*CX58/CX$15</f>
        <v>2353.5956633676492</v>
      </c>
      <c r="CY62" s="93">
        <f t="shared" ca="1" si="313"/>
        <v>2271.598358726133</v>
      </c>
      <c r="CZ62" s="93">
        <f t="shared" ca="1" si="313"/>
        <v>2166.2520978626344</v>
      </c>
      <c r="DA62" s="93">
        <f t="shared" ca="1" si="313"/>
        <v>2514.2495084828274</v>
      </c>
      <c r="DB62" s="489">
        <f t="shared" ca="1" si="313"/>
        <v>2325.555134554319</v>
      </c>
      <c r="DC62" s="37"/>
      <c r="DD62" s="37"/>
      <c r="DE62" s="37"/>
      <c r="DF62" s="37"/>
      <c r="DG62" s="37"/>
      <c r="DH62" s="37"/>
      <c r="DI62" s="37"/>
      <c r="DJ62" s="37"/>
    </row>
    <row r="63" spans="1:114">
      <c r="A63" s="486"/>
      <c r="B63" s="473" t="s">
        <v>183</v>
      </c>
      <c r="C63" s="474"/>
      <c r="D63" s="129"/>
      <c r="E63" s="153"/>
      <c r="F63" s="129"/>
      <c r="G63" s="167"/>
      <c r="H63" s="167"/>
      <c r="I63" s="167"/>
      <c r="J63" s="167"/>
      <c r="K63" s="67">
        <f t="shared" ref="K63:AP63" si="314">K62/F62-1</f>
        <v>8.7314143360708973E-2</v>
      </c>
      <c r="L63" s="237">
        <f t="shared" si="314"/>
        <v>6.823001779761273E-2</v>
      </c>
      <c r="M63" s="237">
        <f t="shared" si="314"/>
        <v>3.6740688300333169E-2</v>
      </c>
      <c r="N63" s="237">
        <f t="shared" si="314"/>
        <v>5.0209336558455275E-2</v>
      </c>
      <c r="O63" s="237">
        <f t="shared" si="314"/>
        <v>6.4249006721198265E-2</v>
      </c>
      <c r="P63" s="67">
        <f t="shared" si="314"/>
        <v>5.3521890692544538E-2</v>
      </c>
      <c r="Q63" s="237">
        <f t="shared" si="314"/>
        <v>7.8159087150826867E-2</v>
      </c>
      <c r="R63" s="237">
        <f t="shared" si="314"/>
        <v>0.11348351110254717</v>
      </c>
      <c r="S63" s="237">
        <f t="shared" si="314"/>
        <v>5.4672101611382917E-2</v>
      </c>
      <c r="T63" s="237">
        <f t="shared" si="314"/>
        <v>-2.447200961919449E-2</v>
      </c>
      <c r="U63" s="67">
        <f t="shared" si="314"/>
        <v>5.2471769326864592E-2</v>
      </c>
      <c r="V63" s="237">
        <f t="shared" si="314"/>
        <v>1.2836746773074781E-2</v>
      </c>
      <c r="W63" s="237">
        <f t="shared" si="314"/>
        <v>-2.1919098029005823E-2</v>
      </c>
      <c r="X63" s="237">
        <f t="shared" si="314"/>
        <v>3.1752337714401113E-2</v>
      </c>
      <c r="Y63" s="237">
        <f t="shared" si="314"/>
        <v>7.5201950134124118E-2</v>
      </c>
      <c r="Z63" s="67">
        <f t="shared" si="314"/>
        <v>2.4905256381093421E-2</v>
      </c>
      <c r="AA63" s="237">
        <f t="shared" si="314"/>
        <v>5.1256030488700643E-2</v>
      </c>
      <c r="AB63" s="237">
        <f t="shared" si="314"/>
        <v>6.2672228529906171E-2</v>
      </c>
      <c r="AC63" s="237">
        <f t="shared" si="314"/>
        <v>6.9105171210469996E-2</v>
      </c>
      <c r="AD63" s="237">
        <f t="shared" si="314"/>
        <v>6.2512939716298677E-2</v>
      </c>
      <c r="AE63" s="67">
        <f t="shared" si="314"/>
        <v>6.1296371821184303E-2</v>
      </c>
      <c r="AF63" s="237">
        <f t="shared" si="314"/>
        <v>6.2003815875217416E-2</v>
      </c>
      <c r="AG63" s="237">
        <f t="shared" si="314"/>
        <v>4.2918546402357594E-2</v>
      </c>
      <c r="AH63" s="237">
        <f t="shared" si="314"/>
        <v>3.4094882071964427E-2</v>
      </c>
      <c r="AI63" s="237">
        <f t="shared" si="314"/>
        <v>3.1216951475286248E-2</v>
      </c>
      <c r="AJ63" s="67">
        <f t="shared" si="314"/>
        <v>4.3181794136570861E-2</v>
      </c>
      <c r="AK63" s="237">
        <f t="shared" si="314"/>
        <v>6.9924232944484022E-2</v>
      </c>
      <c r="AL63" s="237">
        <f t="shared" si="314"/>
        <v>6.5999983424765318E-2</v>
      </c>
      <c r="AM63" s="237">
        <f t="shared" si="314"/>
        <v>0.20488262882790576</v>
      </c>
      <c r="AN63" s="237">
        <f t="shared" si="314"/>
        <v>0.18837999059480337</v>
      </c>
      <c r="AO63" s="67">
        <f t="shared" si="314"/>
        <v>0.15748635786236642</v>
      </c>
      <c r="AP63" s="237">
        <f t="shared" si="314"/>
        <v>0.13175191847237055</v>
      </c>
      <c r="AQ63" s="237">
        <f t="shared" ref="AQ63:CL63" si="315">AQ62/AL62-1</f>
        <v>0.166769706545703</v>
      </c>
      <c r="AR63" s="237">
        <f t="shared" si="315"/>
        <v>2.7021559967575826E-2</v>
      </c>
      <c r="AS63" s="237">
        <f t="shared" si="315"/>
        <v>3.054345406752379E-2</v>
      </c>
      <c r="AT63" s="67">
        <f t="shared" si="315"/>
        <v>6.0451025980342799E-2</v>
      </c>
      <c r="AU63" s="237">
        <f t="shared" si="315"/>
        <v>7.7858830427500081E-2</v>
      </c>
      <c r="AV63" s="237">
        <f t="shared" si="315"/>
        <v>2.5171386906181592E-2</v>
      </c>
      <c r="AW63" s="237">
        <f t="shared" si="315"/>
        <v>1.7428955852954342E-2</v>
      </c>
      <c r="AX63" s="237">
        <f t="shared" si="315"/>
        <v>2.3629488409468768E-2</v>
      </c>
      <c r="AY63" s="67">
        <f t="shared" si="315"/>
        <v>3.6443200618325067E-2</v>
      </c>
      <c r="AZ63" s="237">
        <f t="shared" si="315"/>
        <v>3.3981572809982374E-2</v>
      </c>
      <c r="BA63" s="237">
        <f t="shared" si="315"/>
        <v>4.0234276608951847E-2</v>
      </c>
      <c r="BB63" s="237">
        <f t="shared" si="315"/>
        <v>4.5460063294907371E-2</v>
      </c>
      <c r="BC63" s="237">
        <f t="shared" si="315"/>
        <v>5.4073296400264814E-2</v>
      </c>
      <c r="BD63" s="67">
        <f t="shared" si="315"/>
        <v>4.3532392017020749E-2</v>
      </c>
      <c r="BE63" s="237">
        <f t="shared" si="315"/>
        <v>7.954450853187911E-3</v>
      </c>
      <c r="BF63" s="237">
        <f t="shared" si="315"/>
        <v>1.3257971591872142E-2</v>
      </c>
      <c r="BG63" s="237">
        <f t="shared" si="315"/>
        <v>-7.3592844162145843E-3</v>
      </c>
      <c r="BH63" s="237">
        <f t="shared" si="315"/>
        <v>-9.8309286531200746E-3</v>
      </c>
      <c r="BI63" s="67">
        <f t="shared" si="315"/>
        <v>6.439632246995064E-4</v>
      </c>
      <c r="BJ63" s="237">
        <f t="shared" si="315"/>
        <v>3.0428470218766934E-2</v>
      </c>
      <c r="BK63" s="237">
        <f t="shared" si="315"/>
        <v>4.8439623830655254E-2</v>
      </c>
      <c r="BL63" s="237">
        <f t="shared" si="315"/>
        <v>3.5667490860258555E-2</v>
      </c>
      <c r="BM63" s="237">
        <f t="shared" si="315"/>
        <v>5.7825246925262253E-2</v>
      </c>
      <c r="BN63" s="67">
        <f t="shared" si="315"/>
        <v>4.3002459925606695E-2</v>
      </c>
      <c r="BO63" s="237">
        <f t="shared" si="315"/>
        <v>2.8240887339777476E-2</v>
      </c>
      <c r="BP63" s="237">
        <f t="shared" si="315"/>
        <v>2.5987212927076397E-2</v>
      </c>
      <c r="BQ63" s="237">
        <f>BQ62/BL62-1</f>
        <v>5.8690686211241072E-2</v>
      </c>
      <c r="BR63" s="237">
        <f>BR62/BM62-1</f>
        <v>4.7823360872345733E-2</v>
      </c>
      <c r="BS63" s="67">
        <f t="shared" si="315"/>
        <v>3.9736307736610188E-2</v>
      </c>
      <c r="BT63" s="237">
        <f t="shared" si="315"/>
        <v>2.4467773546464455E-2</v>
      </c>
      <c r="BU63" s="237">
        <f t="shared" si="315"/>
        <v>-2.3047084333745138E-2</v>
      </c>
      <c r="BV63" s="237">
        <f t="shared" si="315"/>
        <v>-2.9619347790314388E-2</v>
      </c>
      <c r="BW63" s="237">
        <f t="shared" si="315"/>
        <v>-3.8640292091244977E-2</v>
      </c>
      <c r="BX63" s="67">
        <f t="shared" ref="BX63:CH63" si="316">BX62/BS62-1</f>
        <v>-1.6642792442122523E-2</v>
      </c>
      <c r="BY63" s="237">
        <f t="shared" si="315"/>
        <v>-2.4414831602851961E-2</v>
      </c>
      <c r="BZ63" s="237">
        <f t="shared" si="315"/>
        <v>9.3603366069912042E-3</v>
      </c>
      <c r="CA63" s="237">
        <f t="shared" si="315"/>
        <v>3.0395691045380202E-2</v>
      </c>
      <c r="CB63" s="237">
        <f t="shared" si="315"/>
        <v>4.1253000389834815E-2</v>
      </c>
      <c r="CC63" s="67">
        <f t="shared" si="316"/>
        <v>1.3715489306337147E-2</v>
      </c>
      <c r="CD63" s="237">
        <f t="shared" si="315"/>
        <v>5.9180362057511537E-2</v>
      </c>
      <c r="CE63" s="237">
        <f t="shared" si="315"/>
        <v>5.1131967157699298E-2</v>
      </c>
      <c r="CF63" s="237">
        <f t="shared" si="315"/>
        <v>3.5987891602251798E-2</v>
      </c>
      <c r="CG63" s="237">
        <f t="shared" si="315"/>
        <v>8.1731346968863638E-2</v>
      </c>
      <c r="CH63" s="67">
        <f t="shared" si="316"/>
        <v>5.5924829321958747E-2</v>
      </c>
      <c r="CI63" s="237">
        <f t="shared" si="315"/>
        <v>6.0027661752353634E-2</v>
      </c>
      <c r="CJ63" s="237">
        <f t="shared" si="315"/>
        <v>3.8567836059056004E-2</v>
      </c>
      <c r="CK63" s="237">
        <f t="shared" si="315"/>
        <v>1.8771028185420979E-2</v>
      </c>
      <c r="CL63" s="237">
        <f t="shared" si="315"/>
        <v>-1.626022617641476E-2</v>
      </c>
      <c r="CM63" s="67">
        <f t="shared" ref="CM63:CW63" si="317">CM62/CH62-1</f>
        <v>2.5624411512597645E-2</v>
      </c>
      <c r="CN63" s="237">
        <f t="shared" ca="1" si="317"/>
        <v>3.8645640291620875E-2</v>
      </c>
      <c r="CO63" s="237">
        <f t="shared" ca="1" si="317"/>
        <v>8.8888804763134877E-2</v>
      </c>
      <c r="CP63" s="237">
        <f t="shared" ca="1" si="317"/>
        <v>8.4585275123404635E-2</v>
      </c>
      <c r="CQ63" s="237">
        <f t="shared" ca="1" si="317"/>
        <v>0.18991386596655957</v>
      </c>
      <c r="CR63" s="67">
        <f t="shared" ca="1" si="317"/>
        <v>9.8089330957557674E-2</v>
      </c>
      <c r="CS63" s="237">
        <f t="shared" ca="1" si="317"/>
        <v>0.10874412014829282</v>
      </c>
      <c r="CT63" s="237">
        <f t="shared" ca="1" si="317"/>
        <v>2.6171818897094523E-2</v>
      </c>
      <c r="CU63" s="237">
        <f t="shared" ca="1" si="317"/>
        <v>-2.0205968824544951E-2</v>
      </c>
      <c r="CV63" s="237">
        <f t="shared" ca="1" si="317"/>
        <v>1.6280007187720269E-2</v>
      </c>
      <c r="CW63" s="487">
        <f t="shared" ca="1" si="317"/>
        <v>3.4187774997042952E-2</v>
      </c>
      <c r="CX63" s="237">
        <f t="shared" ref="CX63" ca="1" si="318">CX62/CS62-1</f>
        <v>3.963613062681004E-3</v>
      </c>
      <c r="CY63" s="237">
        <f t="shared" ref="CY63" ca="1" si="319">CY62/CT62-1</f>
        <v>2.2186592772528435E-3</v>
      </c>
      <c r="CZ63" s="237">
        <f t="shared" ref="CZ63" ca="1" si="320">CZ62/CU62-1</f>
        <v>1.0773622395870985E-2</v>
      </c>
      <c r="DA63" s="237">
        <f t="shared" ref="DA63" ca="1" si="321">DA62/CV62-1</f>
        <v>3.1278998051551543E-3</v>
      </c>
      <c r="DB63" s="487">
        <f t="shared" ref="DB63" ca="1" si="322">DB62/CW62-1</f>
        <v>5.022928234487356E-3</v>
      </c>
      <c r="DC63" s="167"/>
      <c r="DD63" s="167"/>
      <c r="DE63" s="167"/>
      <c r="DF63" s="167"/>
      <c r="DG63" s="167"/>
      <c r="DH63" s="167"/>
      <c r="DI63" s="167"/>
      <c r="DJ63" s="167"/>
    </row>
    <row r="64" spans="1:114">
      <c r="A64" s="488"/>
      <c r="B64" s="37" t="s">
        <v>428</v>
      </c>
      <c r="C64" s="157"/>
      <c r="D64" s="80">
        <f t="shared" ref="D64:BN64" si="323">1000000*D58/D$10</f>
        <v>5435.3353098969365</v>
      </c>
      <c r="E64" s="81">
        <f t="shared" si="323"/>
        <v>3676.847644765583</v>
      </c>
      <c r="F64" s="82">
        <f t="shared" si="323"/>
        <v>3667.6536378844521</v>
      </c>
      <c r="G64" s="93">
        <f t="shared" si="323"/>
        <v>3735.6869853028093</v>
      </c>
      <c r="H64" s="93">
        <f t="shared" si="323"/>
        <v>3944.3749490115024</v>
      </c>
      <c r="I64" s="93">
        <f t="shared" si="323"/>
        <v>3954.9964241596776</v>
      </c>
      <c r="J64" s="93">
        <f t="shared" si="323"/>
        <v>4139.6553559390195</v>
      </c>
      <c r="K64" s="82">
        <f t="shared" si="323"/>
        <v>3949.0002860457867</v>
      </c>
      <c r="L64" s="93">
        <f t="shared" si="323"/>
        <v>4063.3354452072581</v>
      </c>
      <c r="M64" s="93">
        <f t="shared" si="323"/>
        <v>4167.1322111077152</v>
      </c>
      <c r="N64" s="93">
        <f t="shared" si="323"/>
        <v>4222.6310195405122</v>
      </c>
      <c r="O64" s="93">
        <f t="shared" si="323"/>
        <v>4449.8128026695967</v>
      </c>
      <c r="P64" s="82">
        <f t="shared" si="323"/>
        <v>4227.0922198238022</v>
      </c>
      <c r="Q64" s="93">
        <f t="shared" si="323"/>
        <v>4428.4475751828768</v>
      </c>
      <c r="R64" s="93">
        <f t="shared" si="323"/>
        <v>4598.5097482632409</v>
      </c>
      <c r="S64" s="93">
        <f t="shared" si="323"/>
        <v>4547.3002340354396</v>
      </c>
      <c r="T64" s="93">
        <f t="shared" si="323"/>
        <v>4634.7603126729173</v>
      </c>
      <c r="U64" s="82">
        <f t="shared" si="323"/>
        <v>4554.9133816681287</v>
      </c>
      <c r="V64" s="93">
        <f t="shared" si="323"/>
        <v>4666.9669853098376</v>
      </c>
      <c r="W64" s="93">
        <f t="shared" si="323"/>
        <v>4759.505710833042</v>
      </c>
      <c r="X64" s="93">
        <f t="shared" si="323"/>
        <v>4833.2914448480969</v>
      </c>
      <c r="Y64" s="93">
        <f t="shared" si="323"/>
        <v>4954.8471463001115</v>
      </c>
      <c r="Z64" s="82">
        <f t="shared" si="323"/>
        <v>4804.062298278579</v>
      </c>
      <c r="AA64" s="93">
        <f t="shared" si="323"/>
        <v>5009.6940321114816</v>
      </c>
      <c r="AB64" s="93">
        <f t="shared" si="323"/>
        <v>5174.475008285378</v>
      </c>
      <c r="AC64" s="93">
        <f t="shared" si="323"/>
        <v>5178.0781314837859</v>
      </c>
      <c r="AD64" s="93">
        <f t="shared" si="323"/>
        <v>5362.2967069275683</v>
      </c>
      <c r="AE64" s="82">
        <f t="shared" si="323"/>
        <v>5181.4569069748468</v>
      </c>
      <c r="AF64" s="93">
        <f t="shared" si="323"/>
        <v>5312.0320183281183</v>
      </c>
      <c r="AG64" s="93">
        <f t="shared" si="323"/>
        <v>5356.5407578978829</v>
      </c>
      <c r="AH64" s="93">
        <f t="shared" si="323"/>
        <v>5371.6054990116363</v>
      </c>
      <c r="AI64" s="93">
        <f t="shared" si="323"/>
        <v>5391.6222065633183</v>
      </c>
      <c r="AJ64" s="82">
        <f t="shared" si="323"/>
        <v>5359.1142797702978</v>
      </c>
      <c r="AK64" s="93">
        <f t="shared" si="323"/>
        <v>5509.269028806988</v>
      </c>
      <c r="AL64" s="93">
        <f t="shared" si="323"/>
        <v>5662.1105429516356</v>
      </c>
      <c r="AM64" s="93">
        <f t="shared" si="323"/>
        <v>6776.697221208804</v>
      </c>
      <c r="AN64" s="93">
        <f t="shared" si="323"/>
        <v>6787.5069068782277</v>
      </c>
      <c r="AO64" s="82">
        <f t="shared" si="323"/>
        <v>6339.5439414868324</v>
      </c>
      <c r="AP64" s="93">
        <f t="shared" si="323"/>
        <v>6640.4395151022882</v>
      </c>
      <c r="AQ64" s="93">
        <f t="shared" si="323"/>
        <v>6822.2538571815257</v>
      </c>
      <c r="AR64" s="93">
        <f t="shared" si="323"/>
        <v>6838.5457582959607</v>
      </c>
      <c r="AS64" s="93">
        <f t="shared" si="323"/>
        <v>6963.3954152310444</v>
      </c>
      <c r="AT64" s="82">
        <f t="shared" si="323"/>
        <v>6814.2466729054013</v>
      </c>
      <c r="AU64" s="93">
        <f t="shared" si="323"/>
        <v>7063.4623034634769</v>
      </c>
      <c r="AV64" s="93">
        <f t="shared" si="323"/>
        <v>7003.0119825877537</v>
      </c>
      <c r="AW64" s="93">
        <f t="shared" si="323"/>
        <v>7008.2815545530229</v>
      </c>
      <c r="AX64" s="93">
        <f t="shared" si="323"/>
        <v>7187.9088831086956</v>
      </c>
      <c r="AY64" s="82">
        <f t="shared" si="323"/>
        <v>7064.9966498596714</v>
      </c>
      <c r="AZ64" s="93">
        <f t="shared" si="323"/>
        <v>7288.5060450648944</v>
      </c>
      <c r="BA64" s="93">
        <f t="shared" si="323"/>
        <v>7292.4888714282633</v>
      </c>
      <c r="BB64" s="93">
        <f t="shared" si="323"/>
        <v>7390.4747926909813</v>
      </c>
      <c r="BC64" s="93">
        <f t="shared" si="323"/>
        <v>7607.3692670317214</v>
      </c>
      <c r="BD64" s="82">
        <f t="shared" si="323"/>
        <v>7396.2910034583556</v>
      </c>
      <c r="BE64" s="93">
        <f t="shared" si="323"/>
        <v>7580.6206677680457</v>
      </c>
      <c r="BF64" s="93">
        <f t="shared" si="323"/>
        <v>7678.1955566259257</v>
      </c>
      <c r="BG64" s="93">
        <f t="shared" si="323"/>
        <v>7591.3089731177015</v>
      </c>
      <c r="BH64" s="93">
        <f t="shared" si="323"/>
        <v>7766.7128903894854</v>
      </c>
      <c r="BI64" s="82">
        <f t="shared" si="323"/>
        <v>7653.7807601574314</v>
      </c>
      <c r="BJ64" s="93">
        <f t="shared" si="323"/>
        <v>7802.6866212393561</v>
      </c>
      <c r="BK64" s="93">
        <f t="shared" si="323"/>
        <v>7948.7352627770088</v>
      </c>
      <c r="BL64" s="93">
        <f t="shared" si="323"/>
        <v>7795.9946242605547</v>
      </c>
      <c r="BM64" s="93">
        <f>1000000*BM58/BM$10</f>
        <v>8098.6127446118098</v>
      </c>
      <c r="BN64" s="82">
        <f t="shared" si="323"/>
        <v>7910.7714457345419</v>
      </c>
      <c r="BO64" s="93">
        <f t="shared" ref="BO64:CC64" si="324">1000000*BO58/BO$10</f>
        <v>8244.0209904318526</v>
      </c>
      <c r="BP64" s="93">
        <f t="shared" si="324"/>
        <v>8284.9723795376467</v>
      </c>
      <c r="BQ64" s="93">
        <f t="shared" si="324"/>
        <v>8246.6047323007042</v>
      </c>
      <c r="BR64" s="93">
        <f t="shared" si="324"/>
        <v>8621.6993479931116</v>
      </c>
      <c r="BS64" s="82">
        <f t="shared" si="324"/>
        <v>8346.3536847917694</v>
      </c>
      <c r="BT64" s="93">
        <f t="shared" si="324"/>
        <v>8465.3981136214079</v>
      </c>
      <c r="BU64" s="93">
        <f t="shared" si="324"/>
        <v>8139.004448672611</v>
      </c>
      <c r="BV64" s="93">
        <f t="shared" si="324"/>
        <v>8059.4109089211661</v>
      </c>
      <c r="BW64" s="93">
        <f t="shared" si="324"/>
        <v>8197.4577529160833</v>
      </c>
      <c r="BX64" s="82">
        <f t="shared" si="324"/>
        <v>8205.7071109217995</v>
      </c>
      <c r="BY64" s="93">
        <f t="shared" si="324"/>
        <v>8306.5375236159525</v>
      </c>
      <c r="BZ64" s="93">
        <f t="shared" si="324"/>
        <v>8221.6261027341552</v>
      </c>
      <c r="CA64" s="93">
        <f t="shared" si="324"/>
        <v>8314.7141756022356</v>
      </c>
      <c r="CB64" s="93">
        <f>1000000*CB58/CB$10</f>
        <v>8559.4869465344491</v>
      </c>
      <c r="CC64" s="82">
        <f t="shared" si="324"/>
        <v>8349.8588400296594</v>
      </c>
      <c r="CD64" s="93">
        <f t="shared" ref="CD64:CE64" si="325">1000000*CD58/CD$10</f>
        <v>8622.5038582051166</v>
      </c>
      <c r="CE64" s="93">
        <f t="shared" si="325"/>
        <v>8718.46472984723</v>
      </c>
      <c r="CF64" s="93">
        <f t="shared" ref="CF64:CI64" si="326">1000000*CF58/CF$10</f>
        <v>8804.0608590520333</v>
      </c>
      <c r="CG64" s="93">
        <f t="shared" ref="CG64" si="327">1000000*CG58/CG$10</f>
        <v>9423.8458742275543</v>
      </c>
      <c r="CH64" s="82">
        <f t="shared" si="326"/>
        <v>8878.8039776013575</v>
      </c>
      <c r="CI64" s="93">
        <f t="shared" si="326"/>
        <v>9320.4635956277343</v>
      </c>
      <c r="CJ64" s="93">
        <f t="shared" ref="CJ64:CK64" si="328">1000000*CJ58/CJ$10</f>
        <v>8996.0651240027437</v>
      </c>
      <c r="CK64" s="93">
        <f t="shared" si="328"/>
        <v>8863.586273921459</v>
      </c>
      <c r="CL64" s="93">
        <f t="shared" ref="CL64" si="329">1000000*CL58/CL$10</f>
        <v>9161.0441789667384</v>
      </c>
      <c r="CM64" s="82">
        <f t="shared" ref="CM64" si="330">1000000*CM58/CM$10</f>
        <v>9092.776763780721</v>
      </c>
      <c r="CN64" s="93">
        <f t="shared" ref="CN64:CW64" ca="1" si="331">1000000*CN58/CN$10</f>
        <v>10310.373359979523</v>
      </c>
      <c r="CO64" s="93">
        <f t="shared" ca="1" si="331"/>
        <v>10979.316528831419</v>
      </c>
      <c r="CP64" s="93">
        <f t="shared" ca="1" si="331"/>
        <v>11117.343355176508</v>
      </c>
      <c r="CQ64" s="93">
        <f t="shared" ca="1" si="331"/>
        <v>12484.553560811741</v>
      </c>
      <c r="CR64" s="82">
        <f t="shared" ca="1" si="331"/>
        <v>11165.405884894035</v>
      </c>
      <c r="CS64" s="93">
        <f t="shared" ca="1" si="331"/>
        <v>10996.19964290361</v>
      </c>
      <c r="CT64" s="93">
        <f t="shared" ca="1" si="331"/>
        <v>10662.31638320423</v>
      </c>
      <c r="CU64" s="93">
        <f t="shared" ca="1" si="331"/>
        <v>9963.2479182474144</v>
      </c>
      <c r="CV64" s="93">
        <f t="shared" ca="1" si="331"/>
        <v>11803.258190127543</v>
      </c>
      <c r="CW64" s="489">
        <f t="shared" ca="1" si="331"/>
        <v>10847.606326935082</v>
      </c>
      <c r="CX64" s="93">
        <f t="shared" ref="CX64:DB64" ca="1" si="332">1000000*CX58/CX$10</f>
        <v>10788.524028964295</v>
      </c>
      <c r="CY64" s="93">
        <f t="shared" ca="1" si="332"/>
        <v>10412.660874045996</v>
      </c>
      <c r="CZ64" s="93">
        <f t="shared" ca="1" si="332"/>
        <v>9929.7696602420274</v>
      </c>
      <c r="DA64" s="93">
        <f t="shared" ca="1" si="332"/>
        <v>11524.9367847095</v>
      </c>
      <c r="DB64" s="489">
        <f t="shared" ca="1" si="332"/>
        <v>10659.990515924645</v>
      </c>
      <c r="DC64" s="37"/>
      <c r="DD64" s="37"/>
      <c r="DE64" s="37"/>
      <c r="DF64" s="37"/>
      <c r="DG64" s="37"/>
      <c r="DH64" s="37"/>
      <c r="DI64" s="37"/>
      <c r="DJ64" s="37"/>
    </row>
    <row r="65" spans="1:114" ht="13.5" thickBot="1">
      <c r="A65" s="490"/>
      <c r="B65" s="491" t="s">
        <v>183</v>
      </c>
      <c r="C65" s="492"/>
      <c r="D65" s="493"/>
      <c r="E65" s="494"/>
      <c r="F65" s="493"/>
      <c r="G65" s="495"/>
      <c r="H65" s="495"/>
      <c r="I65" s="495"/>
      <c r="J65" s="495"/>
      <c r="K65" s="496">
        <f t="shared" ref="K65:AP65" si="333">K64/F64-1</f>
        <v>7.6710255640066061E-2</v>
      </c>
      <c r="L65" s="497">
        <f t="shared" si="333"/>
        <v>8.7707685679636826E-2</v>
      </c>
      <c r="M65" s="497">
        <f t="shared" si="333"/>
        <v>5.6474667083066699E-2</v>
      </c>
      <c r="N65" s="497">
        <f t="shared" si="333"/>
        <v>6.7669996803524146E-2</v>
      </c>
      <c r="O65" s="497">
        <f t="shared" si="333"/>
        <v>7.4923494847368266E-2</v>
      </c>
      <c r="P65" s="496">
        <f t="shared" si="333"/>
        <v>7.0420844171797947E-2</v>
      </c>
      <c r="Q65" s="497">
        <f t="shared" si="333"/>
        <v>8.9855276508433946E-2</v>
      </c>
      <c r="R65" s="497">
        <f t="shared" si="333"/>
        <v>0.10351904266576084</v>
      </c>
      <c r="S65" s="497">
        <f t="shared" si="333"/>
        <v>7.688789595692791E-2</v>
      </c>
      <c r="T65" s="497">
        <f t="shared" si="333"/>
        <v>4.1562986625496734E-2</v>
      </c>
      <c r="U65" s="496">
        <f t="shared" si="333"/>
        <v>7.7552403590095187E-2</v>
      </c>
      <c r="V65" s="497">
        <f t="shared" si="333"/>
        <v>5.3860727958851662E-2</v>
      </c>
      <c r="W65" s="497">
        <f t="shared" si="333"/>
        <v>3.5010464559873E-2</v>
      </c>
      <c r="X65" s="497">
        <f t="shared" si="333"/>
        <v>6.289252877390461E-2</v>
      </c>
      <c r="Y65" s="497">
        <f t="shared" si="333"/>
        <v>6.906221941013313E-2</v>
      </c>
      <c r="Z65" s="496">
        <f t="shared" si="333"/>
        <v>5.4698936232944417E-2</v>
      </c>
      <c r="AA65" s="497">
        <f t="shared" si="333"/>
        <v>7.3436784078490858E-2</v>
      </c>
      <c r="AB65" s="497">
        <f t="shared" si="333"/>
        <v>8.7187477579411254E-2</v>
      </c>
      <c r="AC65" s="497">
        <f t="shared" si="333"/>
        <v>7.1335794782912076E-2</v>
      </c>
      <c r="AD65" s="497">
        <f t="shared" si="333"/>
        <v>8.2232518702763269E-2</v>
      </c>
      <c r="AE65" s="496">
        <f t="shared" si="333"/>
        <v>7.8557392736455123E-2</v>
      </c>
      <c r="AF65" s="497">
        <f t="shared" si="333"/>
        <v>6.0350589133525867E-2</v>
      </c>
      <c r="AG65" s="497">
        <f t="shared" si="333"/>
        <v>3.5185356837356574E-2</v>
      </c>
      <c r="AH65" s="497">
        <f t="shared" si="333"/>
        <v>3.737436218877499E-2</v>
      </c>
      <c r="AI65" s="497">
        <f t="shared" si="333"/>
        <v>5.4688319648303896E-3</v>
      </c>
      <c r="AJ65" s="496">
        <f t="shared" si="333"/>
        <v>3.428714664331256E-2</v>
      </c>
      <c r="AK65" s="497">
        <f t="shared" si="333"/>
        <v>3.7130237505787367E-2</v>
      </c>
      <c r="AL65" s="497">
        <f t="shared" si="333"/>
        <v>5.7046104727796365E-2</v>
      </c>
      <c r="AM65" s="497">
        <f t="shared" si="333"/>
        <v>0.26157760886492909</v>
      </c>
      <c r="AN65" s="497">
        <f t="shared" si="333"/>
        <v>0.25889883356732124</v>
      </c>
      <c r="AO65" s="496">
        <f t="shared" si="333"/>
        <v>0.18294621285041113</v>
      </c>
      <c r="AP65" s="497">
        <f t="shared" si="333"/>
        <v>0.20532133761858629</v>
      </c>
      <c r="AQ65" s="497">
        <f t="shared" ref="AQ65:CL65" si="334">AQ64/AL64-1</f>
        <v>0.20489591388745865</v>
      </c>
      <c r="AR65" s="497">
        <f t="shared" si="334"/>
        <v>9.1266490250725418E-3</v>
      </c>
      <c r="AS65" s="497">
        <f t="shared" si="334"/>
        <v>2.5913566021505963E-2</v>
      </c>
      <c r="AT65" s="496">
        <f t="shared" si="334"/>
        <v>7.4879634213440793E-2</v>
      </c>
      <c r="AU65" s="497">
        <f t="shared" si="334"/>
        <v>6.3704034559626921E-2</v>
      </c>
      <c r="AV65" s="497">
        <f t="shared" si="334"/>
        <v>2.6495367834480588E-2</v>
      </c>
      <c r="AW65" s="497">
        <f t="shared" si="334"/>
        <v>2.4820451928855292E-2</v>
      </c>
      <c r="AX65" s="497">
        <f t="shared" si="334"/>
        <v>3.2241953025756942E-2</v>
      </c>
      <c r="AY65" s="496">
        <f t="shared" si="334"/>
        <v>3.67979013661619E-2</v>
      </c>
      <c r="AZ65" s="497">
        <f t="shared" si="334"/>
        <v>3.1860259449685291E-2</v>
      </c>
      <c r="BA65" s="497">
        <f t="shared" si="334"/>
        <v>4.1336055051778287E-2</v>
      </c>
      <c r="BB65" s="497">
        <f t="shared" si="334"/>
        <v>5.4534515367702596E-2</v>
      </c>
      <c r="BC65" s="497">
        <f t="shared" si="334"/>
        <v>5.8356385806272781E-2</v>
      </c>
      <c r="BD65" s="496">
        <f t="shared" si="334"/>
        <v>4.6892358201650941E-2</v>
      </c>
      <c r="BE65" s="497">
        <f t="shared" si="334"/>
        <v>4.0078806396949496E-2</v>
      </c>
      <c r="BF65" s="497">
        <f t="shared" si="334"/>
        <v>5.289095286917056E-2</v>
      </c>
      <c r="BG65" s="497">
        <f t="shared" si="334"/>
        <v>2.7174733161303921E-2</v>
      </c>
      <c r="BH65" s="497">
        <f t="shared" si="334"/>
        <v>2.0945956185973058E-2</v>
      </c>
      <c r="BI65" s="496">
        <f t="shared" si="334"/>
        <v>3.4813362072784626E-2</v>
      </c>
      <c r="BJ65" s="497">
        <f t="shared" si="334"/>
        <v>2.9293901278494294E-2</v>
      </c>
      <c r="BK65" s="497">
        <f t="shared" si="334"/>
        <v>3.5234802780924168E-2</v>
      </c>
      <c r="BL65" s="497">
        <f t="shared" si="334"/>
        <v>2.6963156402628918E-2</v>
      </c>
      <c r="BM65" s="497">
        <f t="shared" si="334"/>
        <v>4.2733632478292982E-2</v>
      </c>
      <c r="BN65" s="496">
        <f t="shared" si="334"/>
        <v>3.3576959365612113E-2</v>
      </c>
      <c r="BO65" s="497">
        <f t="shared" si="334"/>
        <v>5.6561847299000823E-2</v>
      </c>
      <c r="BP65" s="497">
        <f t="shared" si="334"/>
        <v>4.230070641995054E-2</v>
      </c>
      <c r="BQ65" s="497">
        <f>BQ64/BL64-1</f>
        <v>5.780020763968774E-2</v>
      </c>
      <c r="BR65" s="497">
        <f>BR64/BM64-1</f>
        <v>6.4589655028180371E-2</v>
      </c>
      <c r="BS65" s="496">
        <f t="shared" si="334"/>
        <v>5.5061916785889675E-2</v>
      </c>
      <c r="BT65" s="497">
        <f t="shared" si="334"/>
        <v>2.6853051859825339E-2</v>
      </c>
      <c r="BU65" s="497">
        <f t="shared" si="334"/>
        <v>-1.7618396800639813E-2</v>
      </c>
      <c r="BV65" s="497">
        <f t="shared" si="334"/>
        <v>-2.2699502335346344E-2</v>
      </c>
      <c r="BW65" s="497">
        <f t="shared" si="334"/>
        <v>-4.9206261776662319E-2</v>
      </c>
      <c r="BX65" s="496">
        <f t="shared" ref="BX65:CH65" si="335">BX64/BS64-1</f>
        <v>-1.6851259745467972E-2</v>
      </c>
      <c r="BY65" s="497">
        <f t="shared" si="334"/>
        <v>-1.8765873485599882E-2</v>
      </c>
      <c r="BZ65" s="497">
        <f t="shared" si="334"/>
        <v>1.0151321894782628E-2</v>
      </c>
      <c r="CA65" s="497">
        <f t="shared" si="334"/>
        <v>3.1677658524454699E-2</v>
      </c>
      <c r="CB65" s="497">
        <f t="shared" si="334"/>
        <v>4.4163593705570658E-2</v>
      </c>
      <c r="CC65" s="496">
        <f t="shared" si="335"/>
        <v>1.7567252542562084E-2</v>
      </c>
      <c r="CD65" s="497">
        <f t="shared" si="334"/>
        <v>3.803827210686217E-2</v>
      </c>
      <c r="CE65" s="497">
        <f t="shared" si="334"/>
        <v>6.0430700801128445E-2</v>
      </c>
      <c r="CF65" s="497">
        <f t="shared" si="334"/>
        <v>5.8853097426449397E-2</v>
      </c>
      <c r="CG65" s="497">
        <f t="shared" si="334"/>
        <v>0.10098256275080431</v>
      </c>
      <c r="CH65" s="496">
        <f t="shared" si="335"/>
        <v>6.3347793981367362E-2</v>
      </c>
      <c r="CI65" s="497">
        <f t="shared" si="334"/>
        <v>8.0946294591500045E-2</v>
      </c>
      <c r="CJ65" s="497">
        <f t="shared" si="334"/>
        <v>3.184051352586903E-2</v>
      </c>
      <c r="CK65" s="497">
        <f t="shared" si="334"/>
        <v>6.7611316893867457E-3</v>
      </c>
      <c r="CL65" s="497">
        <f t="shared" si="334"/>
        <v>-2.7886883844262522E-2</v>
      </c>
      <c r="CM65" s="496">
        <f t="shared" ref="CM65:CW65" si="336">CM64/CH64-1</f>
        <v>2.4099280344419771E-2</v>
      </c>
      <c r="CN65" s="497">
        <f t="shared" ca="1" si="336"/>
        <v>0.10620821101819011</v>
      </c>
      <c r="CO65" s="497">
        <f t="shared" ca="1" si="336"/>
        <v>0.22045765315071897</v>
      </c>
      <c r="CP65" s="497">
        <f t="shared" ca="1" si="336"/>
        <v>0.25427146660557454</v>
      </c>
      <c r="CQ65" s="497">
        <f t="shared" ca="1" si="336"/>
        <v>0.36278717981467667</v>
      </c>
      <c r="CR65" s="496">
        <f t="shared" ca="1" si="336"/>
        <v>0.22794237392577621</v>
      </c>
      <c r="CS65" s="497">
        <f t="shared" ca="1" si="336"/>
        <v>6.6518084164262303E-2</v>
      </c>
      <c r="CT65" s="497">
        <f t="shared" ca="1" si="336"/>
        <v>-2.8872484438785873E-2</v>
      </c>
      <c r="CU65" s="497">
        <f t="shared" ca="1" si="336"/>
        <v>-0.10381036188755643</v>
      </c>
      <c r="CV65" s="497">
        <f t="shared" ca="1" si="336"/>
        <v>-5.4571063944388265E-2</v>
      </c>
      <c r="CW65" s="498">
        <f t="shared" ca="1" si="336"/>
        <v>-2.8462875531368947E-2</v>
      </c>
      <c r="CX65" s="497">
        <f t="shared" ref="CX65" ca="1" si="337">CX64/CS64-1</f>
        <v>-1.8886126178450979E-2</v>
      </c>
      <c r="CY65" s="497">
        <f t="shared" ref="CY65" ca="1" si="338">CY64/CT64-1</f>
        <v>-2.3414753434957469E-2</v>
      </c>
      <c r="CZ65" s="497">
        <f t="shared" ref="CZ65" ca="1" si="339">CZ64/CU64-1</f>
        <v>-3.3601751436971306E-3</v>
      </c>
      <c r="DA65" s="497">
        <f t="shared" ref="DA65" ca="1" si="340">DA64/CV64-1</f>
        <v>-2.3580048909786266E-2</v>
      </c>
      <c r="DB65" s="498">
        <f t="shared" ref="DB65" ca="1" si="341">DB64/CW64-1</f>
        <v>-1.7295595484930093E-2</v>
      </c>
      <c r="DC65" s="167"/>
      <c r="DD65" s="167"/>
      <c r="DE65" s="167"/>
      <c r="DF65" s="167"/>
      <c r="DG65" s="167"/>
      <c r="DH65" s="167"/>
      <c r="DI65" s="167"/>
      <c r="DJ65" s="167"/>
    </row>
    <row r="66" spans="1:114" ht="5.25" customHeight="1" thickBot="1">
      <c r="A66" s="163"/>
      <c r="B66" s="37"/>
      <c r="C66" s="500"/>
      <c r="D66" s="163"/>
      <c r="E66" s="163"/>
      <c r="F66" s="163"/>
      <c r="G66" s="163"/>
      <c r="H66" s="163"/>
      <c r="I66" s="163"/>
      <c r="J66" s="163"/>
      <c r="K66" s="237"/>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7"/>
      <c r="AI66" s="237"/>
      <c r="AJ66" s="237"/>
      <c r="AK66" s="237"/>
      <c r="AL66" s="237"/>
      <c r="AM66" s="237"/>
      <c r="AN66" s="237"/>
      <c r="AO66" s="237"/>
      <c r="AP66" s="237"/>
      <c r="AQ66" s="237"/>
      <c r="AR66" s="237"/>
      <c r="AS66" s="237"/>
      <c r="AT66" s="237"/>
      <c r="AU66" s="237"/>
      <c r="AV66" s="237"/>
      <c r="AW66" s="237"/>
      <c r="AX66" s="237"/>
      <c r="AY66" s="237"/>
      <c r="AZ66" s="237"/>
      <c r="BA66" s="237"/>
      <c r="BB66" s="237"/>
      <c r="BC66" s="237"/>
      <c r="BD66" s="237"/>
      <c r="BE66" s="237"/>
      <c r="BF66" s="237"/>
      <c r="BG66" s="237"/>
      <c r="BH66" s="237"/>
      <c r="BI66" s="237"/>
      <c r="BJ66" s="237"/>
      <c r="BK66" s="237"/>
      <c r="BL66" s="237"/>
      <c r="BM66" s="237"/>
      <c r="BN66" s="237"/>
      <c r="BO66" s="237"/>
      <c r="BP66" s="237"/>
      <c r="BQ66" s="237"/>
      <c r="BR66" s="237"/>
      <c r="BS66" s="237"/>
      <c r="BT66" s="237"/>
      <c r="BU66" s="237"/>
      <c r="BV66" s="237"/>
      <c r="BW66" s="237"/>
      <c r="BX66" s="237"/>
      <c r="BY66" s="237"/>
      <c r="BZ66" s="237"/>
      <c r="CA66" s="237"/>
      <c r="CB66" s="237"/>
      <c r="CC66" s="237"/>
      <c r="CD66" s="237"/>
      <c r="CE66" s="237"/>
      <c r="CF66" s="237"/>
      <c r="CG66" s="237"/>
      <c r="CH66" s="237"/>
      <c r="CI66" s="237"/>
      <c r="CJ66" s="237"/>
      <c r="CK66" s="237"/>
      <c r="CL66" s="237"/>
      <c r="CM66" s="237"/>
      <c r="CN66" s="237"/>
      <c r="CO66" s="237"/>
      <c r="CP66" s="237"/>
      <c r="CQ66" s="237"/>
      <c r="CR66" s="237"/>
      <c r="CS66" s="237"/>
      <c r="CT66" s="237"/>
      <c r="CU66" s="237"/>
      <c r="CV66" s="237"/>
      <c r="CW66" s="237"/>
      <c r="CX66" s="237"/>
      <c r="CY66" s="237"/>
      <c r="CZ66" s="237"/>
      <c r="DA66" s="237"/>
      <c r="DB66" s="237"/>
      <c r="DC66" s="163"/>
      <c r="DD66" s="163"/>
      <c r="DE66" s="163"/>
      <c r="DF66" s="163"/>
      <c r="DG66" s="163"/>
      <c r="DH66" s="163"/>
      <c r="DI66" s="163"/>
      <c r="DJ66" s="163"/>
    </row>
    <row r="67" spans="1:114">
      <c r="A67" s="480"/>
      <c r="B67" s="512" t="s">
        <v>178</v>
      </c>
      <c r="C67" s="481"/>
      <c r="D67" s="482">
        <f>IS!D9</f>
        <v>122.303</v>
      </c>
      <c r="E67" s="483">
        <f>IS!E9</f>
        <v>95.149000000000001</v>
      </c>
      <c r="F67" s="484">
        <f>IS!F9</f>
        <v>122.303</v>
      </c>
      <c r="G67" s="485">
        <f>IS!G9</f>
        <v>36.972999999999999</v>
      </c>
      <c r="H67" s="485">
        <f>IS!H9</f>
        <v>36.985999999999997</v>
      </c>
      <c r="I67" s="485">
        <f>IS!I9</f>
        <v>38.384</v>
      </c>
      <c r="J67" s="485">
        <f>IS!J9</f>
        <v>43.883000000000003</v>
      </c>
      <c r="K67" s="484">
        <f>IS!K9</f>
        <v>156.226</v>
      </c>
      <c r="L67" s="485">
        <f>IS!L9</f>
        <v>49.896999999999998</v>
      </c>
      <c r="M67" s="485">
        <f>IS!M9</f>
        <v>47.722000000000001</v>
      </c>
      <c r="N67" s="485">
        <f>IS!N9</f>
        <v>52.350999999999999</v>
      </c>
      <c r="O67" s="485">
        <f>IS!O9</f>
        <v>51.363999999999997</v>
      </c>
      <c r="P67" s="484">
        <f>IS!P9</f>
        <v>201.334</v>
      </c>
      <c r="Q67" s="485">
        <f>IS!Q9</f>
        <v>62.341000000000001</v>
      </c>
      <c r="R67" s="485">
        <f>IS!R9</f>
        <v>62.078000000000003</v>
      </c>
      <c r="S67" s="485">
        <f>IS!S9</f>
        <v>70.69</v>
      </c>
      <c r="T67" s="485">
        <f>IS!T9</f>
        <v>81.409000000000006</v>
      </c>
      <c r="U67" s="484">
        <f>IS!U9</f>
        <v>276.51800000000003</v>
      </c>
      <c r="V67" s="485">
        <f>IS!V9</f>
        <v>86.111000000000004</v>
      </c>
      <c r="W67" s="485">
        <f>IS!W9</f>
        <v>81.721000000000004</v>
      </c>
      <c r="X67" s="485">
        <f>IS!X9</f>
        <v>88.400999999999996</v>
      </c>
      <c r="Y67" s="485">
        <f>IS!Y9</f>
        <v>89.975999999999999</v>
      </c>
      <c r="Z67" s="484">
        <f>IS!Z9</f>
        <v>346.209</v>
      </c>
      <c r="AA67" s="485">
        <f>IS!AA9</f>
        <v>93.994</v>
      </c>
      <c r="AB67" s="485">
        <f>IS!AB9</f>
        <v>91.581999999999994</v>
      </c>
      <c r="AC67" s="485">
        <f>IS!AC9</f>
        <v>92.98</v>
      </c>
      <c r="AD67" s="485">
        <f>IS!AD9</f>
        <v>99.983000000000004</v>
      </c>
      <c r="AE67" s="484">
        <f>IS!AE9</f>
        <v>378.53899999999999</v>
      </c>
      <c r="AF67" s="485">
        <f>IS!AF9</f>
        <v>107.59099999999999</v>
      </c>
      <c r="AG67" s="485">
        <f>IS!AG9</f>
        <v>115.70399999999999</v>
      </c>
      <c r="AH67" s="485">
        <f>IS!AH9</f>
        <v>192.43899999999999</v>
      </c>
      <c r="AI67" s="485">
        <f>IS!AI9</f>
        <v>132.047</v>
      </c>
      <c r="AJ67" s="484">
        <f>IS!AJ9</f>
        <v>547.78099999999995</v>
      </c>
      <c r="AK67" s="485">
        <f>IS!AK9</f>
        <v>135.69900000000001</v>
      </c>
      <c r="AL67" s="485">
        <f>IS!AL9</f>
        <v>148.661</v>
      </c>
      <c r="AM67" s="485">
        <f>IS!AM9</f>
        <v>279.60399999999998</v>
      </c>
      <c r="AN67" s="485">
        <f>IS!AN9</f>
        <v>361.13</v>
      </c>
      <c r="AO67" s="484">
        <f>IS!AO9</f>
        <v>925.09399999999994</v>
      </c>
      <c r="AP67" s="485">
        <f>IS!AP9</f>
        <v>297.08</v>
      </c>
      <c r="AQ67" s="485">
        <f>IS!AQ9</f>
        <v>291.04500000000002</v>
      </c>
      <c r="AR67" s="485">
        <f>IS!AR9</f>
        <v>326.21300000000002</v>
      </c>
      <c r="AS67" s="485">
        <f>IS!AS9</f>
        <v>316.35399999999998</v>
      </c>
      <c r="AT67" s="484">
        <f>IS!AT9</f>
        <v>1230.692</v>
      </c>
      <c r="AU67" s="485">
        <f>IS!AU9</f>
        <v>335.45100000000002</v>
      </c>
      <c r="AV67" s="485">
        <f>IS!AV9</f>
        <v>362.46199999999999</v>
      </c>
      <c r="AW67" s="485">
        <f>IS!AW9</f>
        <v>378.35700000000003</v>
      </c>
      <c r="AX67" s="485">
        <f>IS!AX9</f>
        <v>381.72</v>
      </c>
      <c r="AY67" s="484">
        <f>IS!AY9</f>
        <v>1457.99</v>
      </c>
      <c r="AZ67" s="485">
        <f>IS!AZ9</f>
        <v>378.07400000000001</v>
      </c>
      <c r="BA67" s="485">
        <f>IS!BA9</f>
        <v>381.45</v>
      </c>
      <c r="BB67" s="485">
        <f>IS!BB9</f>
        <v>403.077</v>
      </c>
      <c r="BC67" s="485">
        <f>IS!BC9</f>
        <v>425.91500000000002</v>
      </c>
      <c r="BD67" s="484">
        <f>IS!BD9</f>
        <v>1588.5160000000001</v>
      </c>
      <c r="BE67" s="485">
        <f>IS!BE9</f>
        <v>407.87099999999998</v>
      </c>
      <c r="BF67" s="485">
        <f>IS!BF9</f>
        <v>433.00200000000001</v>
      </c>
      <c r="BG67" s="485">
        <f>IS!BG9</f>
        <v>450.29599999999999</v>
      </c>
      <c r="BH67" s="485">
        <f>IS!BH9</f>
        <v>436.68900000000002</v>
      </c>
      <c r="BI67" s="484">
        <f>IS!BI9</f>
        <v>1727.8580000000002</v>
      </c>
      <c r="BJ67" s="485">
        <f>IS!BJ9</f>
        <v>486.45600000000002</v>
      </c>
      <c r="BK67" s="485">
        <f>IS!BK9</f>
        <v>503.45400000000001</v>
      </c>
      <c r="BL67" s="485">
        <f>IS!BL9</f>
        <v>484.63099999999997</v>
      </c>
      <c r="BM67" s="485">
        <f>IS!BM9</f>
        <v>484.65300000000002</v>
      </c>
      <c r="BN67" s="484">
        <f>SUM(BJ67:BM67)</f>
        <v>1959.1940000000002</v>
      </c>
      <c r="BO67" s="485">
        <f>IS!BO9</f>
        <v>488.11399999999998</v>
      </c>
      <c r="BP67" s="485">
        <f>IS!BP9</f>
        <v>531.69500000000005</v>
      </c>
      <c r="BQ67" s="485">
        <f>IS!BQ9</f>
        <v>548.60199999999998</v>
      </c>
      <c r="BR67" s="485">
        <f>IS!BR9</f>
        <v>511.97</v>
      </c>
      <c r="BS67" s="484">
        <f>SUM(BO67:BR67)</f>
        <v>2080.3810000000003</v>
      </c>
      <c r="BT67" s="485">
        <f>IS!BT9</f>
        <v>705</v>
      </c>
      <c r="BU67" s="485">
        <f>IS!BU9</f>
        <v>752</v>
      </c>
      <c r="BV67" s="485">
        <f>IS!BV9</f>
        <v>768</v>
      </c>
      <c r="BW67" s="485">
        <f>IS!BW9</f>
        <v>723</v>
      </c>
      <c r="BX67" s="568">
        <f>SUM(BT67:BW67)</f>
        <v>2948</v>
      </c>
      <c r="BY67" s="485">
        <f>IS!BY9</f>
        <v>735</v>
      </c>
      <c r="BZ67" s="485">
        <f>IS!BZ9</f>
        <v>732</v>
      </c>
      <c r="CA67" s="485">
        <f>IS!CA9</f>
        <v>734</v>
      </c>
      <c r="CB67" s="485">
        <f>IS!CB9</f>
        <v>926</v>
      </c>
      <c r="CC67" s="568">
        <f>SUM(BY67:CB67)</f>
        <v>3127</v>
      </c>
      <c r="CD67" s="485">
        <f>IS!CD9</f>
        <v>755</v>
      </c>
      <c r="CE67" s="485">
        <f>IS!CE9</f>
        <v>700</v>
      </c>
      <c r="CF67" s="485">
        <f>IS!CF9</f>
        <v>704</v>
      </c>
      <c r="CG67" s="485">
        <f>IS!CG9</f>
        <v>678</v>
      </c>
      <c r="CH67" s="568">
        <f>SUM(CD67:CG67)</f>
        <v>2837</v>
      </c>
      <c r="CI67" s="485">
        <f>IS!CI9</f>
        <v>682</v>
      </c>
      <c r="CJ67" s="485">
        <f>IS!CJ9</f>
        <v>679</v>
      </c>
      <c r="CK67" s="485">
        <f>IS!CK9</f>
        <v>667</v>
      </c>
      <c r="CL67" s="485">
        <f>IS!CL9</f>
        <v>1017</v>
      </c>
      <c r="CM67" s="568">
        <f>SUM(CI67:CL67)</f>
        <v>3045</v>
      </c>
      <c r="CN67" s="567">
        <f ca="1">CN69*CN18</f>
        <v>612.91249856734066</v>
      </c>
      <c r="CO67" s="567">
        <f ca="1">CO69*CO18</f>
        <v>574.70149634604832</v>
      </c>
      <c r="CP67" s="567">
        <f ca="1">CP69*CP18</f>
        <v>522.01679521715675</v>
      </c>
      <c r="CQ67" s="567">
        <f ca="1">CQ69*CQ18</f>
        <v>598.24405972196507</v>
      </c>
      <c r="CR67" s="568">
        <f ca="1">SUM(CN67:CQ67)</f>
        <v>2307.874849852511</v>
      </c>
      <c r="CS67" s="567">
        <f ca="1">CS69*CS18</f>
        <v>586.59480485162294</v>
      </c>
      <c r="CT67" s="567">
        <f ca="1">CT69*CT18</f>
        <v>563.42212297992705</v>
      </c>
      <c r="CU67" s="567">
        <f ca="1">CU69*CU18</f>
        <v>538.09594116778999</v>
      </c>
      <c r="CV67" s="567">
        <f ca="1">CV69*CV18</f>
        <v>607.53102002814046</v>
      </c>
      <c r="CW67" s="569">
        <f ca="1">SUM(CS67:CV67)</f>
        <v>2295.6438890274803</v>
      </c>
      <c r="CX67" s="567">
        <f ca="1">CX69*CX18</f>
        <v>589.93790614386251</v>
      </c>
      <c r="CY67" s="567">
        <f ca="1">CY69*CY18</f>
        <v>566.95764468298512</v>
      </c>
      <c r="CZ67" s="567">
        <f ca="1">CZ69*CZ18</f>
        <v>537.00877635916231</v>
      </c>
      <c r="DA67" s="567">
        <f ca="1">DA69*DA18</f>
        <v>610.74330826304799</v>
      </c>
      <c r="DB67" s="569">
        <f ca="1">SUM(CX67:DA67)</f>
        <v>2304.6476354490578</v>
      </c>
      <c r="DC67" s="37"/>
      <c r="DD67" s="37"/>
      <c r="DE67" s="37"/>
      <c r="DF67" s="37"/>
      <c r="DG67" s="37"/>
      <c r="DH67" s="37"/>
      <c r="DI67" s="37"/>
      <c r="DJ67" s="37"/>
    </row>
    <row r="68" spans="1:114">
      <c r="A68" s="486"/>
      <c r="B68" s="473" t="s">
        <v>183</v>
      </c>
      <c r="C68" s="474"/>
      <c r="D68" s="129"/>
      <c r="E68" s="153"/>
      <c r="F68" s="129"/>
      <c r="G68" s="167"/>
      <c r="H68" s="167"/>
      <c r="I68" s="167"/>
      <c r="J68" s="167"/>
      <c r="K68" s="67">
        <f t="shared" ref="K68:AP68" si="342">K67/F67-1</f>
        <v>0.27736850281677472</v>
      </c>
      <c r="L68" s="237">
        <f t="shared" si="342"/>
        <v>0.34955237605820466</v>
      </c>
      <c r="M68" s="237">
        <f t="shared" si="342"/>
        <v>0.2902719948088468</v>
      </c>
      <c r="N68" s="237">
        <f t="shared" si="342"/>
        <v>0.36387557315548147</v>
      </c>
      <c r="O68" s="237">
        <f t="shared" si="342"/>
        <v>0.17047603855707205</v>
      </c>
      <c r="P68" s="67">
        <f t="shared" si="342"/>
        <v>0.28873554978044624</v>
      </c>
      <c r="Q68" s="237">
        <f t="shared" si="342"/>
        <v>0.24939375112732232</v>
      </c>
      <c r="R68" s="237">
        <f t="shared" si="342"/>
        <v>0.30082561502032612</v>
      </c>
      <c r="S68" s="237">
        <f t="shared" si="342"/>
        <v>0.35030849458463065</v>
      </c>
      <c r="T68" s="237">
        <f t="shared" si="342"/>
        <v>0.58494276146717561</v>
      </c>
      <c r="U68" s="67">
        <f t="shared" si="342"/>
        <v>0.37342922705553971</v>
      </c>
      <c r="V68" s="237">
        <f t="shared" si="342"/>
        <v>0.38129000176448891</v>
      </c>
      <c r="W68" s="237">
        <f t="shared" si="342"/>
        <v>0.31642449821192686</v>
      </c>
      <c r="X68" s="237">
        <f t="shared" si="342"/>
        <v>0.25054463148960249</v>
      </c>
      <c r="Y68" s="237">
        <f t="shared" si="342"/>
        <v>0.10523406502966504</v>
      </c>
      <c r="Z68" s="67">
        <f t="shared" si="342"/>
        <v>0.2520306092189295</v>
      </c>
      <c r="AA68" s="237">
        <f t="shared" si="342"/>
        <v>9.154463425114101E-2</v>
      </c>
      <c r="AB68" s="237">
        <f t="shared" si="342"/>
        <v>0.12066665850882874</v>
      </c>
      <c r="AC68" s="237">
        <f t="shared" si="342"/>
        <v>5.1798056583070462E-2</v>
      </c>
      <c r="AD68" s="237">
        <f t="shared" si="342"/>
        <v>0.11121854716813373</v>
      </c>
      <c r="AE68" s="67">
        <f t="shared" si="342"/>
        <v>9.3382898769240441E-2</v>
      </c>
      <c r="AF68" s="237">
        <f t="shared" si="342"/>
        <v>0.14465816967040435</v>
      </c>
      <c r="AG68" s="237">
        <f t="shared" si="342"/>
        <v>0.26339236967963142</v>
      </c>
      <c r="AH68" s="237">
        <f t="shared" si="342"/>
        <v>1.0696816519681649</v>
      </c>
      <c r="AI68" s="237">
        <f t="shared" si="342"/>
        <v>0.32069451806807159</v>
      </c>
      <c r="AJ68" s="67">
        <f t="shared" si="342"/>
        <v>0.44709263774670505</v>
      </c>
      <c r="AK68" s="237">
        <f t="shared" si="342"/>
        <v>0.26124861744941508</v>
      </c>
      <c r="AL68" s="237">
        <f t="shared" si="342"/>
        <v>0.28483889926018113</v>
      </c>
      <c r="AM68" s="237">
        <f t="shared" si="342"/>
        <v>0.45294872660947094</v>
      </c>
      <c r="AN68" s="237">
        <f t="shared" si="342"/>
        <v>1.7348595575817702</v>
      </c>
      <c r="AO68" s="67">
        <f t="shared" si="342"/>
        <v>0.68880264193172103</v>
      </c>
      <c r="AP68" s="237">
        <f t="shared" si="342"/>
        <v>1.1892571058003374</v>
      </c>
      <c r="AQ68" s="237">
        <f t="shared" ref="AQ68:CL68" si="343">AQ67/AL67-1</f>
        <v>0.95777641748676534</v>
      </c>
      <c r="AR68" s="237">
        <f t="shared" si="343"/>
        <v>0.16669647072287974</v>
      </c>
      <c r="AS68" s="237">
        <f t="shared" si="343"/>
        <v>-0.12398859136599016</v>
      </c>
      <c r="AT68" s="67">
        <f t="shared" si="343"/>
        <v>0.33034264626081256</v>
      </c>
      <c r="AU68" s="237">
        <f t="shared" si="343"/>
        <v>0.12916049548943054</v>
      </c>
      <c r="AV68" s="237">
        <f t="shared" si="343"/>
        <v>0.24538129842464218</v>
      </c>
      <c r="AW68" s="237">
        <f t="shared" si="343"/>
        <v>0.15984648067367035</v>
      </c>
      <c r="AX68" s="237">
        <f t="shared" si="343"/>
        <v>0.20662296035453975</v>
      </c>
      <c r="AY68" s="67">
        <f t="shared" si="343"/>
        <v>0.18469121437370184</v>
      </c>
      <c r="AZ68" s="237">
        <f t="shared" si="343"/>
        <v>0.12706177653368145</v>
      </c>
      <c r="BA68" s="237">
        <f t="shared" si="343"/>
        <v>5.238618117209537E-2</v>
      </c>
      <c r="BB68" s="237">
        <f t="shared" si="343"/>
        <v>6.5335120005708847E-2</v>
      </c>
      <c r="BC68" s="237">
        <f t="shared" si="343"/>
        <v>0.11577858115896467</v>
      </c>
      <c r="BD68" s="67">
        <f t="shared" si="343"/>
        <v>8.952461951042201E-2</v>
      </c>
      <c r="BE68" s="237">
        <f t="shared" si="343"/>
        <v>7.8812613403725029E-2</v>
      </c>
      <c r="BF68" s="237">
        <f t="shared" si="343"/>
        <v>0.13514746362563912</v>
      </c>
      <c r="BG68" s="237">
        <f t="shared" si="343"/>
        <v>0.11714635168962761</v>
      </c>
      <c r="BH68" s="237">
        <f t="shared" si="343"/>
        <v>2.5296127161522852E-2</v>
      </c>
      <c r="BI68" s="67">
        <f t="shared" si="343"/>
        <v>8.7718348445970928E-2</v>
      </c>
      <c r="BJ68" s="237">
        <f t="shared" si="343"/>
        <v>0.19267121222151129</v>
      </c>
      <c r="BK68" s="237">
        <f t="shared" si="343"/>
        <v>0.16270594593096566</v>
      </c>
      <c r="BL68" s="237">
        <f t="shared" si="343"/>
        <v>7.6249844546698142E-2</v>
      </c>
      <c r="BM68" s="237">
        <f t="shared" si="343"/>
        <v>0.10983560382789581</v>
      </c>
      <c r="BN68" s="67">
        <f t="shared" si="343"/>
        <v>0.13388600220619984</v>
      </c>
      <c r="BO68" s="237">
        <f t="shared" si="343"/>
        <v>3.4083246994589533E-3</v>
      </c>
      <c r="BP68" s="237">
        <f t="shared" si="343"/>
        <v>5.6094499199529801E-2</v>
      </c>
      <c r="BQ68" s="237">
        <f>BQ67/BL67-1</f>
        <v>0.13199939747973199</v>
      </c>
      <c r="BR68" s="237">
        <f>BR67/BM67-1</f>
        <v>5.6364037775480602E-2</v>
      </c>
      <c r="BS68" s="67">
        <f t="shared" si="343"/>
        <v>6.1855538553098999E-2</v>
      </c>
      <c r="BT68" s="237">
        <f t="shared" si="343"/>
        <v>0.44433472508471383</v>
      </c>
      <c r="BU68" s="237">
        <f t="shared" si="343"/>
        <v>0.41434469009488506</v>
      </c>
      <c r="BV68" s="237">
        <f t="shared" si="343"/>
        <v>0.39992198351446051</v>
      </c>
      <c r="BW68" s="237">
        <f t="shared" si="343"/>
        <v>0.41219212063206823</v>
      </c>
      <c r="BX68" s="67">
        <f>BX67/BS67-1</f>
        <v>0.41704812724207718</v>
      </c>
      <c r="BY68" s="237">
        <f t="shared" si="343"/>
        <v>4.2553191489361764E-2</v>
      </c>
      <c r="BZ68" s="237">
        <f t="shared" si="343"/>
        <v>-2.6595744680851019E-2</v>
      </c>
      <c r="CA68" s="237">
        <f t="shared" si="343"/>
        <v>-4.427083333333337E-2</v>
      </c>
      <c r="CB68" s="237">
        <f t="shared" si="343"/>
        <v>0.28077455048409394</v>
      </c>
      <c r="CC68" s="67">
        <f>CC67/BX67-1</f>
        <v>6.0719131614654032E-2</v>
      </c>
      <c r="CD68" s="237">
        <f t="shared" si="343"/>
        <v>2.7210884353741527E-2</v>
      </c>
      <c r="CE68" s="237">
        <f t="shared" si="343"/>
        <v>-4.3715846994535568E-2</v>
      </c>
      <c r="CF68" s="237">
        <f t="shared" si="343"/>
        <v>-4.0871934604904681E-2</v>
      </c>
      <c r="CG68" s="237">
        <f t="shared" si="343"/>
        <v>-0.2678185745140389</v>
      </c>
      <c r="CH68" s="67">
        <f>CH67/CC67-1</f>
        <v>-9.2740645986568615E-2</v>
      </c>
      <c r="CI68" s="237">
        <f t="shared" si="343"/>
        <v>-9.6688741721854266E-2</v>
      </c>
      <c r="CJ68" s="237">
        <f t="shared" si="343"/>
        <v>-3.0000000000000027E-2</v>
      </c>
      <c r="CK68" s="237">
        <f t="shared" si="343"/>
        <v>-5.2556818181818232E-2</v>
      </c>
      <c r="CL68" s="237">
        <f t="shared" si="343"/>
        <v>0.5</v>
      </c>
      <c r="CM68" s="67">
        <f t="shared" ref="CM68" si="344">CM67/CH67-1</f>
        <v>7.3316884032428531E-2</v>
      </c>
      <c r="CN68" s="237">
        <f t="shared" ref="CN68:CW68" ca="1" si="345">CN67/CI67-1</f>
        <v>-0.10130132174876738</v>
      </c>
      <c r="CO68" s="237">
        <f t="shared" ca="1" si="345"/>
        <v>-0.15360604367297748</v>
      </c>
      <c r="CP68" s="237">
        <f t="shared" ca="1" si="345"/>
        <v>-0.21736612411220879</v>
      </c>
      <c r="CQ68" s="237">
        <f t="shared" ca="1" si="345"/>
        <v>-0.41175608680239417</v>
      </c>
      <c r="CR68" s="67">
        <f t="shared" ca="1" si="345"/>
        <v>-0.24207722500738549</v>
      </c>
      <c r="CS68" s="237">
        <f t="shared" ca="1" si="345"/>
        <v>-4.2938745379208831E-2</v>
      </c>
      <c r="CT68" s="237">
        <f t="shared" ca="1" si="345"/>
        <v>-1.9626490339481495E-2</v>
      </c>
      <c r="CU68" s="237">
        <f t="shared" ca="1" si="345"/>
        <v>3.0801970545687896E-2</v>
      </c>
      <c r="CV68" s="237">
        <f t="shared" ca="1" si="345"/>
        <v>1.5523698322205792E-2</v>
      </c>
      <c r="CW68" s="487">
        <f t="shared" ca="1" si="345"/>
        <v>-5.2996638122783102E-3</v>
      </c>
      <c r="CX68" s="237">
        <f t="shared" ref="CX68" ca="1" si="346">CX67/CS67-1</f>
        <v>5.6991662125018827E-3</v>
      </c>
      <c r="CY68" s="237">
        <f t="shared" ref="CY68" ca="1" si="347">CY67/CT67-1</f>
        <v>6.2750849831008093E-3</v>
      </c>
      <c r="CZ68" s="237">
        <f t="shared" ref="CZ68" ca="1" si="348">CZ67/CU67-1</f>
        <v>-2.0203921372613509E-3</v>
      </c>
      <c r="DA68" s="237">
        <f t="shared" ref="DA68" ca="1" si="349">DA67/CV67-1</f>
        <v>5.287447272665613E-3</v>
      </c>
      <c r="DB68" s="487">
        <f t="shared" ref="DB68" ca="1" si="350">DB67/CW67-1</f>
        <v>3.9221006640501876E-3</v>
      </c>
      <c r="DC68" s="167"/>
      <c r="DD68" s="167"/>
      <c r="DE68" s="167"/>
      <c r="DF68" s="167"/>
      <c r="DG68" s="167"/>
      <c r="DH68" s="167"/>
      <c r="DI68" s="167"/>
      <c r="DJ68" s="167"/>
    </row>
    <row r="69" spans="1:114">
      <c r="A69" s="486"/>
      <c r="B69" s="1254" t="s">
        <v>182</v>
      </c>
      <c r="C69" s="1255"/>
      <c r="D69" s="1127">
        <f t="shared" ref="D69:AI69" si="351">D67/D$18</f>
        <v>0.14306954436450839</v>
      </c>
      <c r="E69" s="1256">
        <f t="shared" si="351"/>
        <v>8.8104760114560546E-2</v>
      </c>
      <c r="F69" s="1127">
        <f t="shared" si="351"/>
        <v>9.1441426959680772E-2</v>
      </c>
      <c r="G69" s="1257">
        <f t="shared" si="351"/>
        <v>9.2746679376387517E-2</v>
      </c>
      <c r="H69" s="1257">
        <f t="shared" si="351"/>
        <v>9.2255349717766374E-2</v>
      </c>
      <c r="I69" s="1257">
        <f t="shared" si="351"/>
        <v>9.2143198365696913E-2</v>
      </c>
      <c r="J69" s="1257">
        <f t="shared" si="351"/>
        <v>9.1901185754195799E-2</v>
      </c>
      <c r="K69" s="1258">
        <f t="shared" si="351"/>
        <v>9.2243560410362385E-2</v>
      </c>
      <c r="L69" s="1259">
        <f t="shared" si="351"/>
        <v>9.3524316847197572E-2</v>
      </c>
      <c r="M69" s="1259">
        <f t="shared" si="351"/>
        <v>8.9942742120916283E-2</v>
      </c>
      <c r="N69" s="1259">
        <f t="shared" si="351"/>
        <v>9.4694496247564847E-2</v>
      </c>
      <c r="O69" s="1259">
        <f t="shared" si="351"/>
        <v>8.8031192424696855E-2</v>
      </c>
      <c r="P69" s="1258">
        <f t="shared" si="351"/>
        <v>9.1498111494321313E-2</v>
      </c>
      <c r="Q69" s="1259">
        <f t="shared" si="351"/>
        <v>9.4559646400526637E-2</v>
      </c>
      <c r="R69" s="1259">
        <f t="shared" si="351"/>
        <v>9.4444943122777819E-2</v>
      </c>
      <c r="S69" s="1259">
        <f t="shared" si="351"/>
        <v>9.7770192331630285E-2</v>
      </c>
      <c r="T69" s="1259">
        <f t="shared" si="351"/>
        <v>0.10239713621590074</v>
      </c>
      <c r="U69" s="1258">
        <f t="shared" si="351"/>
        <v>9.7550151272267502E-2</v>
      </c>
      <c r="V69" s="1259">
        <f t="shared" si="351"/>
        <v>0.1047100109925387</v>
      </c>
      <c r="W69" s="1259">
        <f t="shared" si="351"/>
        <v>0.10043518924771622</v>
      </c>
      <c r="X69" s="1259">
        <f t="shared" si="351"/>
        <v>0.10473630209209581</v>
      </c>
      <c r="Y69" s="1259">
        <f t="shared" si="351"/>
        <v>0.10322219456149268</v>
      </c>
      <c r="Z69" s="1258">
        <f t="shared" si="351"/>
        <v>0.10329195000107405</v>
      </c>
      <c r="AA69" s="1259">
        <f t="shared" si="351"/>
        <v>0.10282592428903368</v>
      </c>
      <c r="AB69" s="1259">
        <f t="shared" si="351"/>
        <v>9.9684560441833076E-2</v>
      </c>
      <c r="AC69" s="1259">
        <f t="shared" si="351"/>
        <v>0.10005714168878979</v>
      </c>
      <c r="AD69" s="1259">
        <f t="shared" si="351"/>
        <v>0.10180842506135</v>
      </c>
      <c r="AE69" s="1258">
        <f t="shared" si="351"/>
        <v>0.10110104656178345</v>
      </c>
      <c r="AF69" s="1259">
        <f t="shared" si="351"/>
        <v>0.10480711345247536</v>
      </c>
      <c r="AG69" s="1259">
        <f t="shared" si="351"/>
        <v>0.10904628793633499</v>
      </c>
      <c r="AH69" s="1259">
        <f t="shared" si="351"/>
        <v>0.17128786105352728</v>
      </c>
      <c r="AI69" s="1259">
        <f t="shared" si="351"/>
        <v>0.11437819895935561</v>
      </c>
      <c r="AJ69" s="1258">
        <f t="shared" ref="AJ69:BN69" si="352">AJ67/AJ$18</f>
        <v>0.12547737114186078</v>
      </c>
      <c r="AK69" s="1259">
        <f t="shared" si="352"/>
        <v>0.11270709146285249</v>
      </c>
      <c r="AL69" s="1259">
        <f t="shared" si="352"/>
        <v>0.11901182264747889</v>
      </c>
      <c r="AM69" s="1259">
        <f t="shared" si="352"/>
        <v>0.11887485454407086</v>
      </c>
      <c r="AN69" s="1259">
        <f t="shared" si="352"/>
        <v>0.14283273386274484</v>
      </c>
      <c r="AO69" s="1258">
        <f t="shared" si="352"/>
        <v>0.12614538598883979</v>
      </c>
      <c r="AP69" s="1259">
        <f t="shared" si="352"/>
        <v>0.10891810024659455</v>
      </c>
      <c r="AQ69" s="1259">
        <f t="shared" si="352"/>
        <v>0.1081710399167472</v>
      </c>
      <c r="AR69" s="1259">
        <f t="shared" si="352"/>
        <v>0.117644958634767</v>
      </c>
      <c r="AS69" s="1259">
        <f t="shared" si="352"/>
        <v>0.11455717792041971</v>
      </c>
      <c r="AT69" s="1258">
        <f t="shared" si="352"/>
        <v>0.11236577557449623</v>
      </c>
      <c r="AU69" s="1259">
        <f t="shared" si="352"/>
        <v>0.11597709852405798</v>
      </c>
      <c r="AV69" s="1259">
        <f t="shared" si="352"/>
        <v>0.12014142708507004</v>
      </c>
      <c r="AW69" s="1259">
        <f t="shared" si="352"/>
        <v>0.12257427455416803</v>
      </c>
      <c r="AX69" s="1259">
        <f t="shared" si="352"/>
        <v>0.12348818205286971</v>
      </c>
      <c r="AY69" s="1258">
        <f t="shared" si="352"/>
        <v>0.12062210325025022</v>
      </c>
      <c r="AZ69" s="1259">
        <f t="shared" si="352"/>
        <v>0.11961634082339415</v>
      </c>
      <c r="BA69" s="1259">
        <f t="shared" si="352"/>
        <v>0.12029237243237516</v>
      </c>
      <c r="BB69" s="1259">
        <f t="shared" si="352"/>
        <v>0.12394532072797047</v>
      </c>
      <c r="BC69" s="1259">
        <f t="shared" si="352"/>
        <v>0.1251697549504085</v>
      </c>
      <c r="BD69" s="1258">
        <f t="shared" si="352"/>
        <v>0.12232056366226467</v>
      </c>
      <c r="BE69" s="1259">
        <f t="shared" si="352"/>
        <v>0.1197738729325865</v>
      </c>
      <c r="BF69" s="1259">
        <f t="shared" si="352"/>
        <v>0.12609888261762597</v>
      </c>
      <c r="BG69" s="1259">
        <f t="shared" si="352"/>
        <v>0.13105238649592549</v>
      </c>
      <c r="BH69" s="1259">
        <f t="shared" si="352"/>
        <v>0.1268517716994034</v>
      </c>
      <c r="BI69" s="1258">
        <f t="shared" si="352"/>
        <v>0.12595842520075362</v>
      </c>
      <c r="BJ69" s="1259">
        <f t="shared" si="352"/>
        <v>0.12857332024841608</v>
      </c>
      <c r="BK69" s="1259">
        <f t="shared" si="352"/>
        <v>0.13438240371895577</v>
      </c>
      <c r="BL69" s="1259">
        <f>BL67/BL$18</f>
        <v>0.13109965993635878</v>
      </c>
      <c r="BM69" s="1259">
        <f>BM67/BM$18</f>
        <v>0.12884228223157226</v>
      </c>
      <c r="BN69" s="1258">
        <f t="shared" si="352"/>
        <v>0.13071594621334587</v>
      </c>
      <c r="BO69" s="1259">
        <f t="shared" ref="BO69:BT69" si="353">BO67/BO$18</f>
        <v>0.12845564999168391</v>
      </c>
      <c r="BP69" s="1259">
        <f t="shared" si="353"/>
        <v>0.14110479431732717</v>
      </c>
      <c r="BQ69" s="1259">
        <f t="shared" si="353"/>
        <v>0.14564011730809409</v>
      </c>
      <c r="BR69" s="1259">
        <f t="shared" si="353"/>
        <v>0.13677002402431443</v>
      </c>
      <c r="BS69" s="1263">
        <f t="shared" si="353"/>
        <v>0.13797392160298458</v>
      </c>
      <c r="BT69" s="1259">
        <f t="shared" si="353"/>
        <v>0.14387755102040817</v>
      </c>
      <c r="BU69" s="1259">
        <f t="shared" ref="BU69:BZ69" si="354">BU67/BU$18</f>
        <v>0.13596094738745254</v>
      </c>
      <c r="BV69" s="1259">
        <f t="shared" si="354"/>
        <v>0.1380550062915693</v>
      </c>
      <c r="BW69" s="1259">
        <f t="shared" si="354"/>
        <v>0.12816876440347455</v>
      </c>
      <c r="BX69" s="1263">
        <f t="shared" si="354"/>
        <v>0.13626068869886757</v>
      </c>
      <c r="BY69" s="1259">
        <f t="shared" si="354"/>
        <v>0.1301806588735388</v>
      </c>
      <c r="BZ69" s="1259">
        <f t="shared" si="354"/>
        <v>0.13038831492696829</v>
      </c>
      <c r="CA69" s="1259">
        <f>CA67/CA$18</f>
        <v>0.13154121863799284</v>
      </c>
      <c r="CB69" s="1259">
        <f>CB67/CB$18</f>
        <v>0.16177498252969952</v>
      </c>
      <c r="CC69" s="1263">
        <f>CC67/CC$18</f>
        <v>0.13858358447083852</v>
      </c>
      <c r="CD69" s="1259">
        <f t="shared" ref="CD69:CE69" si="355">CD67/CD$18</f>
        <v>0.13121306916927356</v>
      </c>
      <c r="CE69" s="1259">
        <f t="shared" si="355"/>
        <v>0.1323251417769376</v>
      </c>
      <c r="CF69" s="1259">
        <f t="shared" ref="CF69" si="356">CF67/CF$18</f>
        <v>0.13847364280094415</v>
      </c>
      <c r="CG69" s="1259">
        <f t="shared" ref="CG69" si="357">CG67/CG$18</f>
        <v>0.13172721973965418</v>
      </c>
      <c r="CH69" s="1263">
        <f>CH67/CH$18</f>
        <v>0.13334900117508813</v>
      </c>
      <c r="CI69" s="1259">
        <f t="shared" ref="CI69" si="358">CI67/CI$18</f>
        <v>0.13196594427244582</v>
      </c>
      <c r="CJ69" s="1259">
        <f>CJ67/CJ$18</f>
        <v>0.14078374455732948</v>
      </c>
      <c r="CK69" s="1259">
        <f>CK67/CK$18</f>
        <v>0.15393491807062082</v>
      </c>
      <c r="CL69" s="1259">
        <f>CL67/CL$18</f>
        <v>0.24950932286555447</v>
      </c>
      <c r="CM69" s="1263">
        <f>CM67/CM$18</f>
        <v>0.16548913043478261</v>
      </c>
      <c r="CN69" s="1264">
        <f>CHOOSE(Scenarios!$C$26,Scenarios!AX29,Scenarios!AX30,Scenarios!AX31)</f>
        <v>0.14349999999999999</v>
      </c>
      <c r="CO69" s="1264">
        <f>CHOOSE(Scenarios!$C$26,Scenarios!AY29,Scenarios!AY30,Scenarios!AY31)</f>
        <v>0.14399999999999999</v>
      </c>
      <c r="CP69" s="1264">
        <f>CHOOSE(Scenarios!$C$26,Scenarios!AZ29,Scenarios!AZ30,Scenarios!AZ31)</f>
        <v>0.14299999999999999</v>
      </c>
      <c r="CQ69" s="1264">
        <f>CHOOSE(Scenarios!$C$26,Scenarios!BA29,Scenarios!BA30,Scenarios!BA31)</f>
        <v>0.1444</v>
      </c>
      <c r="CR69" s="1263">
        <f ca="1">CR67/CR$18</f>
        <v>0.14374283927399564</v>
      </c>
      <c r="CS69" s="1264">
        <f>CHOOSE(Scenarios!$C$26,Scenarios!BC29,Scenarios!BC30,Scenarios!BC31)</f>
        <v>0.1464</v>
      </c>
      <c r="CT69" s="1264">
        <f>CHOOSE(Scenarios!$C$26,Scenarios!BD29,Scenarios!BD30,Scenarios!BD31)</f>
        <v>0.1464</v>
      </c>
      <c r="CU69" s="1264">
        <f>CHOOSE(Scenarios!$C$26,Scenarios!BE29,Scenarios!BE30,Scenarios!BE31)</f>
        <v>0.1464</v>
      </c>
      <c r="CV69" s="1264">
        <f>CHOOSE(Scenarios!$C$26,Scenarios!BF29,Scenarios!BF30,Scenarios!BF31)</f>
        <v>0.1464</v>
      </c>
      <c r="CW69" s="1265">
        <f ca="1">CW67/CW$18</f>
        <v>0.14639999999999997</v>
      </c>
      <c r="CX69" s="1264">
        <f>CHOOSE(Scenarios!$C$26,Scenarios!BH29,Scenarios!BH30,Scenarios!BH31)</f>
        <v>0.1464</v>
      </c>
      <c r="CY69" s="1264">
        <f>CHOOSE(Scenarios!$C$26,Scenarios!BI29,Scenarios!BI30,Scenarios!BI31)</f>
        <v>0.1464</v>
      </c>
      <c r="CZ69" s="1264">
        <f>CHOOSE(Scenarios!$C$26,Scenarios!BJ29,Scenarios!BJ30,Scenarios!BJ31)</f>
        <v>0.1464</v>
      </c>
      <c r="DA69" s="1264">
        <f>CHOOSE(Scenarios!$C$26,Scenarios!BK29,Scenarios!BK30,Scenarios!BK31)</f>
        <v>0.1464</v>
      </c>
      <c r="DB69" s="1265">
        <f ca="1">DB67/DB$18</f>
        <v>0.1464</v>
      </c>
      <c r="DC69" s="167"/>
      <c r="DD69" s="167"/>
      <c r="DE69" s="167"/>
      <c r="DF69" s="167"/>
      <c r="DG69" s="167"/>
      <c r="DH69" s="167"/>
      <c r="DI69" s="167"/>
      <c r="DJ69" s="167"/>
    </row>
    <row r="70" spans="1:114">
      <c r="A70" s="486"/>
      <c r="B70" s="473" t="s">
        <v>181</v>
      </c>
      <c r="C70" s="474"/>
      <c r="D70" s="129">
        <f t="shared" ref="D70:AI70" si="359">D67/D$20</f>
        <v>0.16695584037611239</v>
      </c>
      <c r="E70" s="153">
        <f t="shared" si="359"/>
        <v>9.6617194893603195E-2</v>
      </c>
      <c r="F70" s="129">
        <f t="shared" si="359"/>
        <v>0.10064450402321269</v>
      </c>
      <c r="G70" s="167">
        <f t="shared" si="359"/>
        <v>0.10222798557809286</v>
      </c>
      <c r="H70" s="167">
        <f t="shared" si="359"/>
        <v>0.10163138905757536</v>
      </c>
      <c r="I70" s="167">
        <f t="shared" si="359"/>
        <v>0.10149529991935163</v>
      </c>
      <c r="J70" s="167">
        <f t="shared" si="359"/>
        <v>0.10120174623344456</v>
      </c>
      <c r="K70" s="67">
        <f t="shared" si="359"/>
        <v>0.10161708183757112</v>
      </c>
      <c r="L70" s="237">
        <f t="shared" si="359"/>
        <v>0.10317355289875149</v>
      </c>
      <c r="M70" s="237">
        <f t="shared" si="359"/>
        <v>9.8831959574203709E-2</v>
      </c>
      <c r="N70" s="237">
        <f t="shared" si="359"/>
        <v>0.10459949249735259</v>
      </c>
      <c r="O70" s="237">
        <f t="shared" si="359"/>
        <v>9.6528731787164701E-2</v>
      </c>
      <c r="P70" s="67">
        <f t="shared" si="359"/>
        <v>0.10071317699165068</v>
      </c>
      <c r="Q70" s="237">
        <f t="shared" si="359"/>
        <v>0.10443498130452845</v>
      </c>
      <c r="R70" s="237">
        <f t="shared" si="359"/>
        <v>0.10429508664936199</v>
      </c>
      <c r="S70" s="237">
        <f t="shared" si="359"/>
        <v>0.10836506564142183</v>
      </c>
      <c r="T70" s="237">
        <f t="shared" si="359"/>
        <v>0.11407844197846763</v>
      </c>
      <c r="U70" s="67">
        <f t="shared" si="359"/>
        <v>0.10809481702478319</v>
      </c>
      <c r="V70" s="237">
        <f t="shared" si="359"/>
        <v>0.11695653059699973</v>
      </c>
      <c r="W70" s="237">
        <f t="shared" si="359"/>
        <v>0.11164864170678793</v>
      </c>
      <c r="X70" s="237">
        <f t="shared" si="359"/>
        <v>0.11698933212286916</v>
      </c>
      <c r="Y70" s="237">
        <f t="shared" si="359"/>
        <v>0.11510342242582484</v>
      </c>
      <c r="Z70" s="67">
        <f t="shared" si="359"/>
        <v>0.11519016696816513</v>
      </c>
      <c r="AA70" s="237">
        <f t="shared" si="359"/>
        <v>0.11461089555842238</v>
      </c>
      <c r="AB70" s="237">
        <f t="shared" si="359"/>
        <v>0.11072181600123801</v>
      </c>
      <c r="AC70" s="237">
        <f t="shared" si="359"/>
        <v>0.11118166088517248</v>
      </c>
      <c r="AD70" s="237">
        <f t="shared" si="359"/>
        <v>0.11334822982313536</v>
      </c>
      <c r="AE70" s="67">
        <f t="shared" si="359"/>
        <v>0.11247209285880248</v>
      </c>
      <c r="AF70" s="237">
        <f t="shared" si="359"/>
        <v>0.11707768797927248</v>
      </c>
      <c r="AG70" s="237">
        <f t="shared" si="359"/>
        <v>0.12239276458454539</v>
      </c>
      <c r="AH70" s="237">
        <f t="shared" si="359"/>
        <v>0.20669162789298895</v>
      </c>
      <c r="AI70" s="237">
        <f t="shared" si="359"/>
        <v>0.12915016186927222</v>
      </c>
      <c r="AJ70" s="67">
        <f t="shared" ref="AJ70:BN70" si="360">AJ67/AJ$20</f>
        <v>0.14348098837156001</v>
      </c>
      <c r="AK70" s="237">
        <f t="shared" si="360"/>
        <v>0.12702354586454342</v>
      </c>
      <c r="AL70" s="237">
        <f t="shared" si="360"/>
        <v>0.13508901221027075</v>
      </c>
      <c r="AM70" s="237">
        <f t="shared" si="360"/>
        <v>0.13491256623094133</v>
      </c>
      <c r="AN70" s="237">
        <f t="shared" si="360"/>
        <v>0.16663344425926027</v>
      </c>
      <c r="AO70" s="67">
        <f t="shared" si="360"/>
        <v>0.14435511807829024</v>
      </c>
      <c r="AP70" s="237">
        <f t="shared" si="360"/>
        <v>0.12223130138400985</v>
      </c>
      <c r="AQ70" s="237">
        <f t="shared" si="360"/>
        <v>0.12129123941730864</v>
      </c>
      <c r="AR70" s="237">
        <f t="shared" si="360"/>
        <v>0.13333063576396595</v>
      </c>
      <c r="AS70" s="237">
        <f t="shared" si="360"/>
        <v>0.12937840260692035</v>
      </c>
      <c r="AT70" s="67">
        <f t="shared" si="360"/>
        <v>0.12659017924553531</v>
      </c>
      <c r="AU70" s="237">
        <f t="shared" si="360"/>
        <v>0.13119241405446122</v>
      </c>
      <c r="AV70" s="237">
        <f t="shared" si="360"/>
        <v>0.13654629366972826</v>
      </c>
      <c r="AW70" s="237">
        <f t="shared" si="360"/>
        <v>0.13969760744350909</v>
      </c>
      <c r="AX70" s="237">
        <f t="shared" si="360"/>
        <v>0.14088592934444416</v>
      </c>
      <c r="AY70" s="67">
        <f t="shared" si="360"/>
        <v>0.13716754048069554</v>
      </c>
      <c r="AZ70" s="237">
        <f t="shared" si="360"/>
        <v>0.1358684246085024</v>
      </c>
      <c r="BA70" s="237">
        <f t="shared" si="360"/>
        <v>0.13674130888802374</v>
      </c>
      <c r="BB70" s="237">
        <f t="shared" si="360"/>
        <v>0.14148126099955843</v>
      </c>
      <c r="BC70" s="237">
        <f t="shared" si="360"/>
        <v>0.1430789066321238</v>
      </c>
      <c r="BD70" s="67">
        <f t="shared" si="360"/>
        <v>0.13936815492985427</v>
      </c>
      <c r="BE70" s="237">
        <f t="shared" si="360"/>
        <v>0.13607170845022354</v>
      </c>
      <c r="BF70" s="237">
        <f t="shared" si="360"/>
        <v>0.14429422289255595</v>
      </c>
      <c r="BG70" s="237">
        <f t="shared" si="360"/>
        <v>0.15081736166746601</v>
      </c>
      <c r="BH70" s="237">
        <f t="shared" si="360"/>
        <v>0.14528091289413056</v>
      </c>
      <c r="BI70" s="67">
        <f t="shared" si="360"/>
        <v>0.14411033620418376</v>
      </c>
      <c r="BJ70" s="237">
        <f t="shared" si="360"/>
        <v>0.14754347466739057</v>
      </c>
      <c r="BK70" s="237">
        <f t="shared" si="360"/>
        <v>0.15524453788405335</v>
      </c>
      <c r="BL70" s="237">
        <f>BL67/BL$20</f>
        <v>0.15087997310112294</v>
      </c>
      <c r="BM70" s="237">
        <f>BM67/BM$20</f>
        <v>0.14789776822687956</v>
      </c>
      <c r="BN70" s="67">
        <f t="shared" si="360"/>
        <v>0.15037195913572701</v>
      </c>
      <c r="BO70" s="237">
        <f t="shared" ref="BO70:BX70" si="361">BO67/BO$20</f>
        <v>0.14738854080169095</v>
      </c>
      <c r="BP70" s="237">
        <f t="shared" si="361"/>
        <v>0.16428639184820379</v>
      </c>
      <c r="BQ70" s="237">
        <f t="shared" si="361"/>
        <v>0.17046694286395225</v>
      </c>
      <c r="BR70" s="237">
        <f t="shared" si="361"/>
        <v>0.15843984549971979</v>
      </c>
      <c r="BS70" s="67">
        <f t="shared" si="361"/>
        <v>0.16005771178008285</v>
      </c>
      <c r="BT70" s="237">
        <f t="shared" si="361"/>
        <v>0.16805721096543505</v>
      </c>
      <c r="BU70" s="237">
        <f t="shared" si="361"/>
        <v>0.15735509520820257</v>
      </c>
      <c r="BV70" s="237">
        <f t="shared" si="361"/>
        <v>0.16016684045881127</v>
      </c>
      <c r="BW70" s="237">
        <f t="shared" si="361"/>
        <v>0.14701098007320049</v>
      </c>
      <c r="BX70" s="67">
        <f t="shared" si="361"/>
        <v>0.15775672927703752</v>
      </c>
      <c r="BY70" s="237">
        <f>BY67/BY$20</f>
        <v>0.14966401954795358</v>
      </c>
      <c r="BZ70" s="237">
        <f>BZ67/BZ$20</f>
        <v>0.14993854977468252</v>
      </c>
      <c r="CA70" s="237">
        <f>CA67/CA$20</f>
        <v>0.15146512587701197</v>
      </c>
      <c r="CB70" s="237">
        <f>CB67/CB$20</f>
        <v>0.19299708211754898</v>
      </c>
      <c r="CC70" s="67">
        <f t="shared" ref="CC70" si="362">CC67/CC$20</f>
        <v>0.16087873643051911</v>
      </c>
      <c r="CD70" s="237">
        <f>CD67/CD$20</f>
        <v>0.15103020604120823</v>
      </c>
      <c r="CE70" s="237">
        <f>CE67/CE$20</f>
        <v>0.15250544662309368</v>
      </c>
      <c r="CF70" s="237">
        <f>CF67/CF$20</f>
        <v>0.16073059360730593</v>
      </c>
      <c r="CG70" s="237">
        <f>CG67/CG$20</f>
        <v>0.15171179234728127</v>
      </c>
      <c r="CH70" s="67">
        <f t="shared" ref="CH70" si="363">CH67/CH$20</f>
        <v>0.15386701377589759</v>
      </c>
      <c r="CI70" s="237">
        <f>CI67/CI$20</f>
        <v>0.15202853321444493</v>
      </c>
      <c r="CJ70" s="237">
        <f>CJ67/CJ$20</f>
        <v>0.16385135135135134</v>
      </c>
      <c r="CK70" s="237">
        <f>CK67/CK$20</f>
        <v>0.18194217130387344</v>
      </c>
      <c r="CL70" s="237">
        <f>CL67/CL$20</f>
        <v>0.33246158875449494</v>
      </c>
      <c r="CM70" s="67">
        <f t="shared" ref="CM70:CW70" si="364">CM67/CM$20</f>
        <v>0.19830674047541516</v>
      </c>
      <c r="CN70" s="237">
        <f t="shared" ca="1" si="364"/>
        <v>0.16754232340922356</v>
      </c>
      <c r="CO70" s="237">
        <f t="shared" ca="1" si="364"/>
        <v>0.16822429906542055</v>
      </c>
      <c r="CP70" s="237">
        <f t="shared" ca="1" si="364"/>
        <v>0.16686114352392062</v>
      </c>
      <c r="CQ70" s="237">
        <f t="shared" ca="1" si="364"/>
        <v>0.16877045348293593</v>
      </c>
      <c r="CR70" s="67">
        <f t="shared" ca="1" si="364"/>
        <v>0.16787344487971206</v>
      </c>
      <c r="CS70" s="237">
        <f t="shared" ca="1" si="364"/>
        <v>0.17150890346766637</v>
      </c>
      <c r="CT70" s="237">
        <f t="shared" ca="1" si="364"/>
        <v>0.17150890346766634</v>
      </c>
      <c r="CU70" s="237">
        <f t="shared" ca="1" si="364"/>
        <v>0.17150890346766634</v>
      </c>
      <c r="CV70" s="237">
        <f t="shared" ca="1" si="364"/>
        <v>0.17150890346766634</v>
      </c>
      <c r="CW70" s="487">
        <f t="shared" ca="1" si="364"/>
        <v>0.17150890346766634</v>
      </c>
      <c r="CX70" s="237">
        <f t="shared" ref="CX70:DB70" ca="1" si="365">CX67/CX$20</f>
        <v>0.17150890346766637</v>
      </c>
      <c r="CY70" s="237">
        <f t="shared" ca="1" si="365"/>
        <v>0.17150890346766637</v>
      </c>
      <c r="CZ70" s="237">
        <f t="shared" ca="1" si="365"/>
        <v>0.17150890346766637</v>
      </c>
      <c r="DA70" s="237">
        <f t="shared" ca="1" si="365"/>
        <v>0.17150890346766634</v>
      </c>
      <c r="DB70" s="487">
        <f t="shared" ca="1" si="365"/>
        <v>0.17150890346766637</v>
      </c>
      <c r="DC70" s="167"/>
      <c r="DD70" s="167"/>
      <c r="DE70" s="167"/>
      <c r="DF70" s="167"/>
      <c r="DG70" s="167"/>
      <c r="DH70" s="167"/>
      <c r="DI70" s="167"/>
      <c r="DJ70" s="167"/>
    </row>
    <row r="71" spans="1:114">
      <c r="A71" s="488"/>
      <c r="B71" s="37" t="s">
        <v>187</v>
      </c>
      <c r="C71" s="157"/>
      <c r="D71" s="80">
        <f t="shared" ref="D71:AI71" si="366">1000000*D67/D$15</f>
        <v>165.88231086057471</v>
      </c>
      <c r="E71" s="81">
        <f t="shared" si="366"/>
        <v>110.30219322902994</v>
      </c>
      <c r="F71" s="82">
        <f t="shared" si="366"/>
        <v>121.6978375146554</v>
      </c>
      <c r="G71" s="93">
        <f t="shared" si="366"/>
        <v>125.64024290485003</v>
      </c>
      <c r="H71" s="93">
        <f t="shared" si="366"/>
        <v>132.80051653440938</v>
      </c>
      <c r="I71" s="93">
        <f t="shared" si="366"/>
        <v>133.24832372799855</v>
      </c>
      <c r="J71" s="93">
        <f t="shared" si="366"/>
        <v>137.52789662204458</v>
      </c>
      <c r="K71" s="82">
        <f t="shared" si="366"/>
        <v>132.40246678142384</v>
      </c>
      <c r="L71" s="93">
        <f t="shared" si="366"/>
        <v>131.68195333346557</v>
      </c>
      <c r="M71" s="93">
        <f t="shared" si="366"/>
        <v>130.35199132129546</v>
      </c>
      <c r="N71" s="93">
        <f t="shared" si="366"/>
        <v>140.50053090255622</v>
      </c>
      <c r="O71" s="93">
        <f t="shared" si="366"/>
        <v>137.09436452836405</v>
      </c>
      <c r="P71" s="82">
        <f t="shared" si="366"/>
        <v>134.91642263044562</v>
      </c>
      <c r="Q71" s="93">
        <f t="shared" si="366"/>
        <v>141.51904802984782</v>
      </c>
      <c r="R71" s="93">
        <f t="shared" si="366"/>
        <v>151.56570241111186</v>
      </c>
      <c r="S71" s="93">
        <f t="shared" si="366"/>
        <v>151.96146661359643</v>
      </c>
      <c r="T71" s="93">
        <f t="shared" si="366"/>
        <v>155.89597237491267</v>
      </c>
      <c r="U71" s="82">
        <f t="shared" si="366"/>
        <v>150.48796860089371</v>
      </c>
      <c r="V71" s="93">
        <f t="shared" si="366"/>
        <v>158.8337669904613</v>
      </c>
      <c r="W71" s="93">
        <f t="shared" si="366"/>
        <v>157.4316384535382</v>
      </c>
      <c r="X71" s="93">
        <f t="shared" si="366"/>
        <v>168.08430021147029</v>
      </c>
      <c r="Y71" s="93">
        <f t="shared" si="366"/>
        <v>169.05139382774306</v>
      </c>
      <c r="Z71" s="82">
        <f t="shared" si="366"/>
        <v>163.35180473344562</v>
      </c>
      <c r="AA71" s="93">
        <f t="shared" si="366"/>
        <v>164.31054652131354</v>
      </c>
      <c r="AB71" s="93">
        <f t="shared" si="366"/>
        <v>166.60621304353745</v>
      </c>
      <c r="AC71" s="93">
        <f t="shared" si="366"/>
        <v>171.6496956051806</v>
      </c>
      <c r="AD71" s="93">
        <f t="shared" si="366"/>
        <v>178.11432268385946</v>
      </c>
      <c r="AE71" s="82">
        <f t="shared" si="366"/>
        <v>170.14757939131789</v>
      </c>
      <c r="AF71" s="93">
        <f t="shared" si="366"/>
        <v>178.07431016245144</v>
      </c>
      <c r="AG71" s="93">
        <f t="shared" si="366"/>
        <v>191.23455898162891</v>
      </c>
      <c r="AH71" s="93">
        <f t="shared" si="366"/>
        <v>305.73068013584594</v>
      </c>
      <c r="AI71" s="93">
        <f t="shared" si="366"/>
        <v>206.72817725672664</v>
      </c>
      <c r="AJ71" s="82">
        <f t="shared" ref="AJ71:BK71" si="367">1000000*AJ67/AJ$15</f>
        <v>221.10988314779627</v>
      </c>
      <c r="AK71" s="93">
        <f t="shared" si="367"/>
        <v>203.4873552315286</v>
      </c>
      <c r="AL71" s="93">
        <f t="shared" si="367"/>
        <v>222.59875494226722</v>
      </c>
      <c r="AM71" s="93">
        <f t="shared" si="367"/>
        <v>252.02961814705617</v>
      </c>
      <c r="AN71" s="93">
        <f t="shared" si="367"/>
        <v>289.33442830736948</v>
      </c>
      <c r="AO71" s="82">
        <f t="shared" si="367"/>
        <v>250.54955322802195</v>
      </c>
      <c r="AP71" s="93">
        <f t="shared" si="367"/>
        <v>219.78580111037004</v>
      </c>
      <c r="AQ71" s="93">
        <f t="shared" si="367"/>
        <v>231.11220820564517</v>
      </c>
      <c r="AR71" s="93">
        <f t="shared" si="367"/>
        <v>261.01939668927758</v>
      </c>
      <c r="AS71" s="93">
        <f t="shared" si="367"/>
        <v>251.90366459242307</v>
      </c>
      <c r="AT71" s="82">
        <f t="shared" si="367"/>
        <v>240.52824750324226</v>
      </c>
      <c r="AU71" s="93">
        <f t="shared" si="367"/>
        <v>254.39913137684394</v>
      </c>
      <c r="AV71" s="93">
        <f t="shared" si="367"/>
        <v>267.65269092695871</v>
      </c>
      <c r="AW71" s="93">
        <f t="shared" si="367"/>
        <v>276.5810820569157</v>
      </c>
      <c r="AX71" s="93">
        <f t="shared" si="367"/>
        <v>281.60642544146629</v>
      </c>
      <c r="AY71" s="82">
        <f t="shared" si="367"/>
        <v>270.18258439476341</v>
      </c>
      <c r="AZ71" s="93">
        <f t="shared" si="367"/>
        <v>271.9040900586935</v>
      </c>
      <c r="BA71" s="93">
        <f t="shared" si="367"/>
        <v>279.73611096862106</v>
      </c>
      <c r="BB71" s="93">
        <f t="shared" si="367"/>
        <v>292.82073966174858</v>
      </c>
      <c r="BC71" s="93">
        <f t="shared" si="367"/>
        <v>297.65065685657868</v>
      </c>
      <c r="BD71" s="82">
        <f t="shared" si="367"/>
        <v>285.62577817876684</v>
      </c>
      <c r="BE71" s="93">
        <f t="shared" si="367"/>
        <v>273.23910630673925</v>
      </c>
      <c r="BF71" s="93">
        <f t="shared" si="367"/>
        <v>297.38930312216314</v>
      </c>
      <c r="BG71" s="93">
        <f t="shared" si="367"/>
        <v>308.94994109884323</v>
      </c>
      <c r="BH71" s="93">
        <f t="shared" si="367"/>
        <v>297.53815728066775</v>
      </c>
      <c r="BI71" s="82">
        <f t="shared" si="367"/>
        <v>294.15781907044754</v>
      </c>
      <c r="BJ71" s="93">
        <f t="shared" si="367"/>
        <v>306.54799588762603</v>
      </c>
      <c r="BK71" s="93">
        <f t="shared" si="367"/>
        <v>331.42741928222904</v>
      </c>
      <c r="BL71" s="93">
        <f t="shared" ref="BL71:CC71" si="368">1000000*BL67/BL$15</f>
        <v>315.50050978204428</v>
      </c>
      <c r="BM71" s="93">
        <f t="shared" si="368"/>
        <v>314.93233222425903</v>
      </c>
      <c r="BN71" s="82">
        <f t="shared" si="368"/>
        <v>316.97484850573051</v>
      </c>
      <c r="BO71" s="93">
        <f t="shared" si="368"/>
        <v>310.20812690244173</v>
      </c>
      <c r="BP71" s="93">
        <f t="shared" si="368"/>
        <v>350.84797307868519</v>
      </c>
      <c r="BQ71" s="93">
        <f t="shared" si="368"/>
        <v>372.11520417572422</v>
      </c>
      <c r="BR71" s="93">
        <f t="shared" si="368"/>
        <v>350.8755505769193</v>
      </c>
      <c r="BS71" s="82">
        <f t="shared" si="368"/>
        <v>345.4426358237788</v>
      </c>
      <c r="BT71" s="93">
        <f t="shared" si="368"/>
        <v>353.64192594195066</v>
      </c>
      <c r="BU71" s="93">
        <f t="shared" si="368"/>
        <v>331.58010049413838</v>
      </c>
      <c r="BV71" s="93">
        <f t="shared" si="368"/>
        <v>343.70913444231172</v>
      </c>
      <c r="BW71" s="93">
        <f t="shared" si="368"/>
        <v>322.2304467046942</v>
      </c>
      <c r="BX71" s="82">
        <f t="shared" si="368"/>
        <v>337.31313185166272</v>
      </c>
      <c r="BY71" s="93">
        <f t="shared" si="368"/>
        <v>314.7491145420525</v>
      </c>
      <c r="BZ71" s="93">
        <f t="shared" si="368"/>
        <v>323.45838503568575</v>
      </c>
      <c r="CA71" s="93">
        <f>1000000*CA67/CA$15</f>
        <v>329.1621294843049</v>
      </c>
      <c r="CB71" s="93">
        <f>1000000*CB67/CB$15</f>
        <v>417.97826388335852</v>
      </c>
      <c r="CC71" s="82">
        <f t="shared" si="368"/>
        <v>345.77068902719503</v>
      </c>
      <c r="CD71" s="93">
        <f t="shared" ref="CD71:CE71" si="369">1000000*CD67/CD$15</f>
        <v>327.66618768233292</v>
      </c>
      <c r="CE71" s="93">
        <f t="shared" si="369"/>
        <v>335.01327952714786</v>
      </c>
      <c r="CF71" s="93">
        <f t="shared" ref="CF71:CI71" si="370">1000000*CF67/CF$15</f>
        <v>355.06921102977986</v>
      </c>
      <c r="CG71" s="93">
        <f t="shared" ref="CG71" si="371">1000000*CG67/CG$15</f>
        <v>344.3767890460399</v>
      </c>
      <c r="CH71" s="82">
        <f t="shared" si="370"/>
        <v>339.95877365730303</v>
      </c>
      <c r="CI71" s="93">
        <f t="shared" si="370"/>
        <v>331.74475286824583</v>
      </c>
      <c r="CJ71" s="93">
        <f t="shared" ref="CJ71:CK71" si="372">1000000*CJ67/CJ$15</f>
        <v>368.4647300062781</v>
      </c>
      <c r="CK71" s="93">
        <f t="shared" si="372"/>
        <v>402.99170289954748</v>
      </c>
      <c r="CL71" s="93">
        <f t="shared" ref="CL71" si="373">1000000*CL67/CL$15</f>
        <v>647.38064910662433</v>
      </c>
      <c r="CM71" s="82">
        <f t="shared" ref="CM71" si="374">1000000*CM67/CM$15</f>
        <v>427.38966799284367</v>
      </c>
      <c r="CN71" s="93">
        <f t="shared" ref="CN71:CW71" ca="1" si="375">1000000*CN67/CN$15</f>
        <v>399.7307201118274</v>
      </c>
      <c r="CO71" s="93">
        <f t="shared" ca="1" si="375"/>
        <v>416.34523751693581</v>
      </c>
      <c r="CP71" s="93">
        <f t="shared" ca="1" si="375"/>
        <v>410.09547081077244</v>
      </c>
      <c r="CQ71" s="93">
        <f t="shared" ca="1" si="375"/>
        <v>468.7643711671837</v>
      </c>
      <c r="CR71" s="82">
        <f t="shared" ca="1" si="375"/>
        <v>422.47166340430573</v>
      </c>
      <c r="CS71" s="93">
        <f t="shared" ca="1" si="375"/>
        <v>451.29615135260048</v>
      </c>
      <c r="CT71" s="93">
        <f t="shared" ca="1" si="375"/>
        <v>438.54882339613948</v>
      </c>
      <c r="CU71" s="93">
        <f t="shared" ca="1" si="375"/>
        <v>418.23687128245626</v>
      </c>
      <c r="CV71" s="93">
        <f t="shared" ca="1" si="375"/>
        <v>485.04662503715696</v>
      </c>
      <c r="CW71" s="489">
        <f t="shared" ca="1" si="375"/>
        <v>448.04898572672965</v>
      </c>
      <c r="CX71" s="93">
        <f t="shared" ref="CX71:DB71" ca="1" si="376">1000000*CX67/CX$15</f>
        <v>452.78223666672937</v>
      </c>
      <c r="CY71" s="93">
        <f t="shared" ca="1" si="376"/>
        <v>440.10048365322814</v>
      </c>
      <c r="CZ71" s="93">
        <f t="shared" ca="1" si="376"/>
        <v>420.10565589787979</v>
      </c>
      <c r="DA71" s="93">
        <f t="shared" ca="1" si="376"/>
        <v>487.06748419481653</v>
      </c>
      <c r="DB71" s="489">
        <f t="shared" ca="1" si="376"/>
        <v>449.83186414072554</v>
      </c>
      <c r="DC71" s="37"/>
      <c r="DD71" s="37"/>
      <c r="DE71" s="37"/>
      <c r="DF71" s="37"/>
      <c r="DG71" s="37"/>
      <c r="DH71" s="37"/>
      <c r="DI71" s="37"/>
      <c r="DJ71" s="37"/>
    </row>
    <row r="72" spans="1:114">
      <c r="A72" s="486"/>
      <c r="B72" s="473" t="s">
        <v>183</v>
      </c>
      <c r="C72" s="474"/>
      <c r="D72" s="129"/>
      <c r="E72" s="153"/>
      <c r="F72" s="129"/>
      <c r="G72" s="167"/>
      <c r="H72" s="167"/>
      <c r="I72" s="167"/>
      <c r="J72" s="167"/>
      <c r="K72" s="67">
        <f t="shared" ref="K72:AP72" si="377">K71/F71-1</f>
        <v>8.7960718821148642E-2</v>
      </c>
      <c r="L72" s="237">
        <f t="shared" si="377"/>
        <v>4.808738258482248E-2</v>
      </c>
      <c r="M72" s="237">
        <f t="shared" si="377"/>
        <v>-1.8437618143446688E-2</v>
      </c>
      <c r="N72" s="237">
        <f t="shared" si="377"/>
        <v>5.4426254467273338E-2</v>
      </c>
      <c r="O72" s="237">
        <f t="shared" si="377"/>
        <v>-3.152321124142321E-3</v>
      </c>
      <c r="P72" s="67">
        <f t="shared" si="377"/>
        <v>1.89872281848944E-2</v>
      </c>
      <c r="Q72" s="237">
        <f t="shared" si="377"/>
        <v>7.4703438454252202E-2</v>
      </c>
      <c r="R72" s="237">
        <f t="shared" si="377"/>
        <v>0.16274174928044038</v>
      </c>
      <c r="S72" s="237">
        <f t="shared" si="377"/>
        <v>8.1572187929943807E-2</v>
      </c>
      <c r="T72" s="237">
        <f t="shared" si="377"/>
        <v>0.13714355007392509</v>
      </c>
      <c r="U72" s="67">
        <f t="shared" si="377"/>
        <v>0.1154162381928896</v>
      </c>
      <c r="V72" s="237">
        <f t="shared" si="377"/>
        <v>0.12234903500030336</v>
      </c>
      <c r="W72" s="237">
        <f t="shared" si="377"/>
        <v>3.8702265414344073E-2</v>
      </c>
      <c r="X72" s="237">
        <f t="shared" si="377"/>
        <v>0.10609817052418014</v>
      </c>
      <c r="Y72" s="237">
        <f t="shared" si="377"/>
        <v>8.4385896905617486E-2</v>
      </c>
      <c r="Z72" s="67">
        <f t="shared" si="377"/>
        <v>8.5480827817324467E-2</v>
      </c>
      <c r="AA72" s="237">
        <f t="shared" si="377"/>
        <v>3.448120405770605E-2</v>
      </c>
      <c r="AB72" s="237">
        <f t="shared" si="377"/>
        <v>5.82765616881189E-2</v>
      </c>
      <c r="AC72" s="237">
        <f t="shared" si="377"/>
        <v>2.1211947750174209E-2</v>
      </c>
      <c r="AD72" s="237">
        <f t="shared" si="377"/>
        <v>5.3610494719441348E-2</v>
      </c>
      <c r="AE72" s="67">
        <f t="shared" si="377"/>
        <v>4.1602078832012168E-2</v>
      </c>
      <c r="AF72" s="237">
        <f t="shared" si="377"/>
        <v>8.3766769282533682E-2</v>
      </c>
      <c r="AG72" s="237">
        <f t="shared" si="377"/>
        <v>0.14782369449604849</v>
      </c>
      <c r="AH72" s="237">
        <f t="shared" si="377"/>
        <v>0.78113150191114356</v>
      </c>
      <c r="AI72" s="237">
        <f t="shared" si="377"/>
        <v>0.16064881331107084</v>
      </c>
      <c r="AJ72" s="67">
        <f t="shared" si="377"/>
        <v>0.29951824139250038</v>
      </c>
      <c r="AK72" s="237">
        <f t="shared" si="377"/>
        <v>0.14271033843058922</v>
      </c>
      <c r="AL72" s="237">
        <f t="shared" si="377"/>
        <v>0.16400903752784202</v>
      </c>
      <c r="AM72" s="237">
        <f t="shared" si="377"/>
        <v>-0.17564825998139499</v>
      </c>
      <c r="AN72" s="237">
        <f t="shared" si="377"/>
        <v>0.39958873602439682</v>
      </c>
      <c r="AO72" s="67">
        <f t="shared" si="377"/>
        <v>0.13314497597806318</v>
      </c>
      <c r="AP72" s="237">
        <f t="shared" si="377"/>
        <v>8.0095619997109901E-2</v>
      </c>
      <c r="AQ72" s="237">
        <f t="shared" ref="AQ72:BP72" si="378">AQ71/AL71-1</f>
        <v>3.8245736215308135E-2</v>
      </c>
      <c r="AR72" s="237">
        <f t="shared" si="378"/>
        <v>3.5669532050697228E-2</v>
      </c>
      <c r="AS72" s="237">
        <f t="shared" si="378"/>
        <v>-0.12936850942322864</v>
      </c>
      <c r="AT72" s="67">
        <f t="shared" si="378"/>
        <v>-3.9997300317113016E-2</v>
      </c>
      <c r="AU72" s="237">
        <f t="shared" si="378"/>
        <v>0.15748665333067668</v>
      </c>
      <c r="AV72" s="237">
        <f t="shared" si="378"/>
        <v>0.15810710738741918</v>
      </c>
      <c r="AW72" s="237">
        <f t="shared" si="378"/>
        <v>5.9618884899052427E-2</v>
      </c>
      <c r="AX72" s="237">
        <f t="shared" si="378"/>
        <v>0.11791317485238606</v>
      </c>
      <c r="AY72" s="67">
        <f t="shared" si="378"/>
        <v>0.12328837547914784</v>
      </c>
      <c r="AZ72" s="237">
        <f t="shared" si="378"/>
        <v>6.8809034791550872E-2</v>
      </c>
      <c r="BA72" s="237">
        <f t="shared" si="378"/>
        <v>4.5145894105581341E-2</v>
      </c>
      <c r="BB72" s="237">
        <f t="shared" si="378"/>
        <v>5.8715720844171981E-2</v>
      </c>
      <c r="BC72" s="237">
        <f t="shared" si="378"/>
        <v>5.6973953594845472E-2</v>
      </c>
      <c r="BD72" s="67">
        <f t="shared" si="378"/>
        <v>5.7158361330349017E-2</v>
      </c>
      <c r="BE72" s="237">
        <f t="shared" si="378"/>
        <v>4.9098792436610417E-3</v>
      </c>
      <c r="BF72" s="237">
        <f t="shared" si="378"/>
        <v>6.3106590323343426E-2</v>
      </c>
      <c r="BG72" s="237">
        <f t="shared" si="378"/>
        <v>5.5082168891883443E-2</v>
      </c>
      <c r="BH72" s="237">
        <f t="shared" si="378"/>
        <v>-3.7795843321497546E-4</v>
      </c>
      <c r="BI72" s="67">
        <f t="shared" si="378"/>
        <v>2.9871396573808884E-2</v>
      </c>
      <c r="BJ72" s="237">
        <f t="shared" si="378"/>
        <v>0.12190381542052808</v>
      </c>
      <c r="BK72" s="237">
        <f t="shared" si="378"/>
        <v>0.11445642396251055</v>
      </c>
      <c r="BL72" s="52">
        <f t="shared" si="378"/>
        <v>2.1202686298960272E-2</v>
      </c>
      <c r="BM72" s="52">
        <f t="shared" si="378"/>
        <v>5.8460316829828773E-2</v>
      </c>
      <c r="BN72" s="78">
        <f t="shared" ref="BN72:CL72" si="379">BN71/BI71-1</f>
        <v>7.756730556197966E-2</v>
      </c>
      <c r="BO72" s="237">
        <f t="shared" si="378"/>
        <v>1.1939830186191935E-2</v>
      </c>
      <c r="BP72" s="237">
        <f t="shared" si="378"/>
        <v>5.8596702223718156E-2</v>
      </c>
      <c r="BQ72" s="237">
        <f>BQ71/BL71-1</f>
        <v>0.17944406629577503</v>
      </c>
      <c r="BR72" s="237">
        <f>BR71/BM71-1</f>
        <v>0.11412997229851141</v>
      </c>
      <c r="BS72" s="78">
        <f t="shared" si="379"/>
        <v>8.9810871279692783E-2</v>
      </c>
      <c r="BT72" s="237">
        <f t="shared" si="379"/>
        <v>0.14001502627675699</v>
      </c>
      <c r="BU72" s="237">
        <f t="shared" si="379"/>
        <v>-5.491801025803722E-2</v>
      </c>
      <c r="BV72" s="237">
        <f t="shared" si="379"/>
        <v>-7.6336761880867132E-2</v>
      </c>
      <c r="BW72" s="237">
        <f t="shared" si="379"/>
        <v>-8.1638928175890357E-2</v>
      </c>
      <c r="BX72" s="78">
        <f t="shared" si="379"/>
        <v>-2.3533585982314031E-2</v>
      </c>
      <c r="BY72" s="237">
        <f t="shared" si="379"/>
        <v>-0.1099779425086671</v>
      </c>
      <c r="BZ72" s="237">
        <f t="shared" si="379"/>
        <v>-2.4493977311513038E-2</v>
      </c>
      <c r="CA72" s="237">
        <f t="shared" si="379"/>
        <v>-4.2323591375045044E-2</v>
      </c>
      <c r="CB72" s="237">
        <f t="shared" si="379"/>
        <v>0.29714081384249735</v>
      </c>
      <c r="CC72" s="78">
        <f t="shared" si="379"/>
        <v>2.5073311344580684E-2</v>
      </c>
      <c r="CD72" s="237">
        <f t="shared" si="379"/>
        <v>4.1039267605484042E-2</v>
      </c>
      <c r="CE72" s="237">
        <f t="shared" si="379"/>
        <v>3.5722970947830834E-2</v>
      </c>
      <c r="CF72" s="237">
        <f t="shared" si="379"/>
        <v>7.8706142732954509E-2</v>
      </c>
      <c r="CG72" s="237">
        <f t="shared" si="379"/>
        <v>-0.17608924003248627</v>
      </c>
      <c r="CH72" s="78">
        <f t="shared" si="379"/>
        <v>-1.6808583128441246E-2</v>
      </c>
      <c r="CI72" s="237">
        <f t="shared" si="379"/>
        <v>1.2447317847354533E-2</v>
      </c>
      <c r="CJ72" s="237">
        <f t="shared" si="379"/>
        <v>9.985111792089274E-2</v>
      </c>
      <c r="CK72" s="237">
        <f t="shared" si="379"/>
        <v>0.13496662166449669</v>
      </c>
      <c r="CL72" s="237">
        <f t="shared" si="379"/>
        <v>0.87986144739875516</v>
      </c>
      <c r="CM72" s="78">
        <f t="shared" ref="CM72" si="380">CM71/CH71-1</f>
        <v>0.25718087341871554</v>
      </c>
      <c r="CN72" s="52">
        <f t="shared" ref="CN72:CW72" ca="1" si="381">CN71/CI71-1</f>
        <v>0.20493456687944223</v>
      </c>
      <c r="CO72" s="52">
        <f t="shared" ca="1" si="381"/>
        <v>0.12994597206045166</v>
      </c>
      <c r="CP72" s="52">
        <f t="shared" ca="1" si="381"/>
        <v>1.7627578583164327E-2</v>
      </c>
      <c r="CQ72" s="52">
        <f t="shared" ca="1" si="381"/>
        <v>-0.2759061120932923</v>
      </c>
      <c r="CR72" s="78">
        <f t="shared" ca="1" si="381"/>
        <v>-1.1507074121923533E-2</v>
      </c>
      <c r="CS72" s="52">
        <f t="shared" ca="1" si="381"/>
        <v>0.12900042114938604</v>
      </c>
      <c r="CT72" s="52">
        <f t="shared" ca="1" si="381"/>
        <v>5.3329746274089374E-2</v>
      </c>
      <c r="CU72" s="52">
        <f t="shared" ca="1" si="381"/>
        <v>1.9852451565943952E-2</v>
      </c>
      <c r="CV72" s="52">
        <f t="shared" ca="1" si="381"/>
        <v>3.4734410018047779E-2</v>
      </c>
      <c r="CW72" s="499">
        <f t="shared" ca="1" si="381"/>
        <v>6.0542101489884814E-2</v>
      </c>
      <c r="CX72" s="52">
        <f t="shared" ref="CX72" ca="1" si="382">CX71/CS71-1</f>
        <v>3.2929270716688386E-3</v>
      </c>
      <c r="CY72" s="52">
        <f t="shared" ref="CY72" ca="1" si="383">CY71/CT71-1</f>
        <v>3.5381699238696829E-3</v>
      </c>
      <c r="CZ72" s="52">
        <f t="shared" ref="CZ72" ca="1" si="384">CZ71/CU71-1</f>
        <v>4.4682445373436241E-3</v>
      </c>
      <c r="DA72" s="52">
        <f t="shared" ref="DA72" ca="1" si="385">DA71/CV71-1</f>
        <v>4.1663193873471283E-3</v>
      </c>
      <c r="DB72" s="499">
        <f t="shared" ref="DB72" ca="1" si="386">DB71/CW71-1</f>
        <v>3.9792042182711373E-3</v>
      </c>
      <c r="DC72" s="167"/>
      <c r="DD72" s="167"/>
      <c r="DE72" s="167"/>
      <c r="DF72" s="167"/>
      <c r="DG72" s="167"/>
      <c r="DH72" s="167"/>
      <c r="DI72" s="167"/>
      <c r="DJ72" s="167"/>
    </row>
    <row r="73" spans="1:114">
      <c r="A73" s="488"/>
      <c r="B73" s="37" t="s">
        <v>427</v>
      </c>
      <c r="C73" s="157"/>
      <c r="D73" s="80">
        <f t="shared" ref="D73:AI73" si="387">1000000*D67/D$10</f>
        <v>690.68473810532259</v>
      </c>
      <c r="E73" s="81">
        <f t="shared" si="387"/>
        <v>438.46253098992656</v>
      </c>
      <c r="F73" s="82">
        <f t="shared" si="387"/>
        <v>466.0600032772017</v>
      </c>
      <c r="G73" s="93">
        <f t="shared" si="387"/>
        <v>485.61146354597633</v>
      </c>
      <c r="H73" s="93">
        <f t="shared" si="387"/>
        <v>502.89614662932041</v>
      </c>
      <c r="I73" s="93">
        <f t="shared" si="387"/>
        <v>499.10929068331058</v>
      </c>
      <c r="J73" s="93">
        <f t="shared" si="387"/>
        <v>519.01219382384602</v>
      </c>
      <c r="K73" s="82">
        <f t="shared" si="387"/>
        <v>502.1099894259479</v>
      </c>
      <c r="L73" s="93">
        <f t="shared" si="387"/>
        <v>518.24347482888629</v>
      </c>
      <c r="M73" s="93">
        <f t="shared" si="387"/>
        <v>503.01989016664731</v>
      </c>
      <c r="N73" s="93">
        <f t="shared" si="387"/>
        <v>535.02371024446074</v>
      </c>
      <c r="O73" s="93">
        <f t="shared" si="387"/>
        <v>522.56541732796154</v>
      </c>
      <c r="P73" s="82">
        <f t="shared" si="387"/>
        <v>519.85065531950056</v>
      </c>
      <c r="Q73" s="93">
        <f t="shared" si="387"/>
        <v>563.00009030976253</v>
      </c>
      <c r="R73" s="93">
        <f t="shared" si="387"/>
        <v>579.64816613132143</v>
      </c>
      <c r="S73" s="93">
        <f t="shared" si="387"/>
        <v>590.85590103644267</v>
      </c>
      <c r="T73" s="93">
        <f t="shared" si="387"/>
        <v>634.45636841161843</v>
      </c>
      <c r="U73" s="82">
        <f t="shared" si="387"/>
        <v>593.66781241747697</v>
      </c>
      <c r="V73" s="93">
        <f t="shared" si="387"/>
        <v>657.47640717099841</v>
      </c>
      <c r="W73" s="93">
        <f t="shared" si="387"/>
        <v>637.12626203562934</v>
      </c>
      <c r="X73" s="93">
        <f t="shared" si="387"/>
        <v>673.2698151575388</v>
      </c>
      <c r="Y73" s="93">
        <f t="shared" si="387"/>
        <v>684.06687396887423</v>
      </c>
      <c r="Z73" s="82">
        <f t="shared" si="387"/>
        <v>663.14797469300038</v>
      </c>
      <c r="AA73" s="93">
        <f t="shared" si="387"/>
        <v>694.49760235257611</v>
      </c>
      <c r="AB73" s="93">
        <f t="shared" si="387"/>
        <v>689.81049079569766</v>
      </c>
      <c r="AC73" s="93">
        <f t="shared" si="387"/>
        <v>688.98571343885237</v>
      </c>
      <c r="AD73" s="93">
        <f t="shared" si="387"/>
        <v>734.11652410147212</v>
      </c>
      <c r="AE73" s="82">
        <f t="shared" si="387"/>
        <v>701.97050729529053</v>
      </c>
      <c r="AF73" s="93">
        <f t="shared" si="387"/>
        <v>751.50173223066611</v>
      </c>
      <c r="AG73" s="93">
        <f t="shared" si="387"/>
        <v>785.9098102877947</v>
      </c>
      <c r="AH73" s="93">
        <f t="shared" si="387"/>
        <v>1231.0659612715026</v>
      </c>
      <c r="AI73" s="93">
        <f t="shared" si="387"/>
        <v>830.77687739077919</v>
      </c>
      <c r="AJ73" s="82">
        <f t="shared" ref="AJ73:BN73" si="388">1000000*AJ67/AJ$10</f>
        <v>904.44544244733788</v>
      </c>
      <c r="AK73" s="93">
        <f t="shared" si="388"/>
        <v>832.42749177994801</v>
      </c>
      <c r="AL73" s="93">
        <f t="shared" si="388"/>
        <v>907.12219767881766</v>
      </c>
      <c r="AM73" s="93">
        <f t="shared" si="388"/>
        <v>1062.5836069560987</v>
      </c>
      <c r="AN73" s="93">
        <f t="shared" si="388"/>
        <v>1231.7436712530612</v>
      </c>
      <c r="AO73" s="82">
        <f t="shared" si="388"/>
        <v>1047.4106111727542</v>
      </c>
      <c r="AP73" s="93">
        <f t="shared" si="388"/>
        <v>957.54727623762699</v>
      </c>
      <c r="AQ73" s="93">
        <f t="shared" si="388"/>
        <v>972.59120392184377</v>
      </c>
      <c r="AR73" s="93">
        <f t="shared" si="388"/>
        <v>1081.3105146793157</v>
      </c>
      <c r="AS73" s="93">
        <f t="shared" si="388"/>
        <v>1067.5769161978747</v>
      </c>
      <c r="AT73" s="82">
        <f t="shared" si="388"/>
        <v>1019.1981846941226</v>
      </c>
      <c r="AU73" s="93">
        <f t="shared" si="388"/>
        <v>1093.7930000065214</v>
      </c>
      <c r="AV73" s="93">
        <f t="shared" si="388"/>
        <v>1127.8194552916614</v>
      </c>
      <c r="AW73" s="93">
        <f t="shared" si="388"/>
        <v>1154.1009709093239</v>
      </c>
      <c r="AX73" s="93">
        <f t="shared" si="388"/>
        <v>1203.499645306219</v>
      </c>
      <c r="AY73" s="82">
        <f t="shared" si="388"/>
        <v>1145.2452750453429</v>
      </c>
      <c r="AZ73" s="93">
        <f t="shared" si="388"/>
        <v>1166.6574092931687</v>
      </c>
      <c r="BA73" s="93">
        <f t="shared" si="388"/>
        <v>1179.9843473042408</v>
      </c>
      <c r="BB73" s="93">
        <f t="shared" si="388"/>
        <v>1232.4704630512952</v>
      </c>
      <c r="BC73" s="93">
        <f t="shared" si="388"/>
        <v>1277.2366598093959</v>
      </c>
      <c r="BD73" s="82">
        <f t="shared" si="388"/>
        <v>1214.6038489211658</v>
      </c>
      <c r="BE73" s="93">
        <f t="shared" si="388"/>
        <v>1209.7504693714723</v>
      </c>
      <c r="BF73" s="93">
        <f t="shared" si="388"/>
        <v>1303.516165934132</v>
      </c>
      <c r="BG73" s="93">
        <f t="shared" si="388"/>
        <v>1345.5971121550065</v>
      </c>
      <c r="BH73" s="93">
        <f t="shared" si="388"/>
        <v>1316.4385626431931</v>
      </c>
      <c r="BI73" s="82">
        <f t="shared" si="388"/>
        <v>1293.600270121143</v>
      </c>
      <c r="BJ73" s="93">
        <f t="shared" si="388"/>
        <v>1355.7292755319593</v>
      </c>
      <c r="BK73" s="93">
        <f t="shared" si="388"/>
        <v>1434.4154401080398</v>
      </c>
      <c r="BL73" s="93">
        <f t="shared" si="388"/>
        <v>1362.5784430598978</v>
      </c>
      <c r="BM73" s="93">
        <f>1000000*BM67/BM$10</f>
        <v>1373.518867523487</v>
      </c>
      <c r="BN73" s="82">
        <f t="shared" si="388"/>
        <v>1381.3444600810535</v>
      </c>
      <c r="BO73" s="93">
        <f t="shared" ref="BO73:CC73" si="389">1000000*BO67/BO$10</f>
        <v>1409.7033094298099</v>
      </c>
      <c r="BP73" s="93">
        <f t="shared" si="389"/>
        <v>1542.6115263206761</v>
      </c>
      <c r="BQ73" s="93">
        <f t="shared" si="389"/>
        <v>1605.7333192839496</v>
      </c>
      <c r="BR73" s="93">
        <f t="shared" si="389"/>
        <v>1554.7646306762103</v>
      </c>
      <c r="BS73" s="82">
        <f t="shared" si="389"/>
        <v>1527.5937168653645</v>
      </c>
      <c r="BT73" s="93">
        <f t="shared" si="389"/>
        <v>1610.8247422680413</v>
      </c>
      <c r="BU73" s="93">
        <f t="shared" si="389"/>
        <v>1465.9955318327673</v>
      </c>
      <c r="BV73" s="93">
        <f t="shared" si="389"/>
        <v>1493.7333219228703</v>
      </c>
      <c r="BW73" s="93">
        <f t="shared" si="389"/>
        <v>1412.1424720891896</v>
      </c>
      <c r="BX73" s="82">
        <f t="shared" si="389"/>
        <v>1491.3277369759232</v>
      </c>
      <c r="BY73" s="93">
        <f t="shared" si="389"/>
        <v>1441.9709683178378</v>
      </c>
      <c r="BZ73" s="93">
        <f t="shared" si="389"/>
        <v>1431.2081586685854</v>
      </c>
      <c r="CA73" s="93">
        <f t="shared" si="389"/>
        <v>1432.2929370786298</v>
      </c>
      <c r="CB73" s="93">
        <f>1000000*CB67/CB$10</f>
        <v>1836.8678823849132</v>
      </c>
      <c r="CC73" s="82">
        <f t="shared" si="389"/>
        <v>1534.528862343388</v>
      </c>
      <c r="CD73" s="93">
        <f t="shared" ref="CD73:CE73" si="390">1000000*CD67/CD$10</f>
        <v>1471.1842741118335</v>
      </c>
      <c r="CE73" s="93">
        <f t="shared" si="390"/>
        <v>1495.4484956856311</v>
      </c>
      <c r="CF73" s="93">
        <f t="shared" ref="CF73:CI73" si="391">1000000*CF67/CF$10</f>
        <v>1579.1232725535365</v>
      </c>
      <c r="CG73" s="93">
        <f t="shared" ref="CG73" si="392">1000000*CG67/CG$10</f>
        <v>1540.3489640130861</v>
      </c>
      <c r="CH73" s="82">
        <f t="shared" si="391"/>
        <v>1519.3417506758581</v>
      </c>
      <c r="CI73" s="93">
        <f t="shared" si="391"/>
        <v>1518.890363731927</v>
      </c>
      <c r="CJ73" s="93">
        <f t="shared" ref="CJ73:CK73" si="393">1000000*CJ67/CJ$10</f>
        <v>1634.1166985548055</v>
      </c>
      <c r="CK73" s="93">
        <f t="shared" si="393"/>
        <v>1771.1240397560257</v>
      </c>
      <c r="CL73" s="93">
        <f t="shared" ref="CL73" si="394">1000000*CL67/CL$10</f>
        <v>2861.4195116735787</v>
      </c>
      <c r="CM73" s="82">
        <f t="shared" ref="CM73" si="395">1000000*CM67/CM$10</f>
        <v>1907.247037660143</v>
      </c>
      <c r="CN73" s="93">
        <f t="shared" ref="CN73:CW73" ca="1" si="396">1000000*CN67/CN$10</f>
        <v>1949.2132980696017</v>
      </c>
      <c r="CO73" s="93">
        <f t="shared" ca="1" si="396"/>
        <v>2069.5690867026351</v>
      </c>
      <c r="CP73" s="93">
        <f t="shared" ca="1" si="396"/>
        <v>2084.3261860971252</v>
      </c>
      <c r="CQ73" s="93">
        <f t="shared" ca="1" si="396"/>
        <v>2372.9518712598651</v>
      </c>
      <c r="CR73" s="82">
        <f t="shared" ca="1" si="396"/>
        <v>2108.2437863375671</v>
      </c>
      <c r="CS73" s="93">
        <f t="shared" ca="1" si="396"/>
        <v>2116.8513583195822</v>
      </c>
      <c r="CT73" s="93">
        <f t="shared" ca="1" si="396"/>
        <v>2063.0058206275858</v>
      </c>
      <c r="CU73" s="93">
        <f t="shared" ca="1" si="396"/>
        <v>1944.321854488679</v>
      </c>
      <c r="CV73" s="93">
        <f t="shared" ca="1" si="396"/>
        <v>2284.1958067079559</v>
      </c>
      <c r="CW73" s="489">
        <f t="shared" ca="1" si="396"/>
        <v>2100.4325685455215</v>
      </c>
      <c r="CX73" s="93">
        <f t="shared" ref="CX73:DB73" ca="1" si="397">1000000*CX67/CX$10</f>
        <v>2075.4848065864057</v>
      </c>
      <c r="CY73" s="93">
        <f t="shared" ca="1" si="397"/>
        <v>2017.3535824152152</v>
      </c>
      <c r="CZ73" s="93">
        <f t="shared" ca="1" si="397"/>
        <v>1925.7003375307841</v>
      </c>
      <c r="DA73" s="93">
        <f t="shared" ca="1" si="397"/>
        <v>2232.6431590395573</v>
      </c>
      <c r="DB73" s="489">
        <f t="shared" ca="1" si="397"/>
        <v>2061.9607483181921</v>
      </c>
      <c r="DC73" s="37"/>
      <c r="DD73" s="37"/>
      <c r="DE73" s="37"/>
      <c r="DF73" s="37"/>
      <c r="DG73" s="37"/>
      <c r="DH73" s="37"/>
      <c r="DI73" s="37"/>
      <c r="DJ73" s="37"/>
    </row>
    <row r="74" spans="1:114" ht="13.5" thickBot="1">
      <c r="A74" s="490"/>
      <c r="B74" s="491" t="s">
        <v>183</v>
      </c>
      <c r="C74" s="492"/>
      <c r="D74" s="493"/>
      <c r="E74" s="494"/>
      <c r="F74" s="493"/>
      <c r="G74" s="495"/>
      <c r="H74" s="495"/>
      <c r="I74" s="495"/>
      <c r="J74" s="495"/>
      <c r="K74" s="496">
        <f t="shared" ref="K74:AP74" si="398">K73/F73-1</f>
        <v>7.7350525458638186E-2</v>
      </c>
      <c r="L74" s="497">
        <f t="shared" si="398"/>
        <v>6.7197777920290802E-2</v>
      </c>
      <c r="M74" s="497">
        <f t="shared" si="398"/>
        <v>2.4606181247621706E-4</v>
      </c>
      <c r="N74" s="497">
        <f t="shared" si="398"/>
        <v>7.1957024706915673E-2</v>
      </c>
      <c r="O74" s="497">
        <f t="shared" si="398"/>
        <v>6.8461272131912221E-3</v>
      </c>
      <c r="P74" s="496">
        <f t="shared" si="398"/>
        <v>3.5332230521514241E-2</v>
      </c>
      <c r="Q74" s="497">
        <f t="shared" si="398"/>
        <v>8.6362139910500568E-2</v>
      </c>
      <c r="R74" s="497">
        <f t="shared" si="398"/>
        <v>0.1523364730951049</v>
      </c>
      <c r="S74" s="497">
        <f t="shared" si="398"/>
        <v>0.10435461031525373</v>
      </c>
      <c r="T74" s="497">
        <f t="shared" si="398"/>
        <v>0.21411855314840755</v>
      </c>
      <c r="U74" s="496">
        <f t="shared" si="398"/>
        <v>0.14199685302427545</v>
      </c>
      <c r="V74" s="497">
        <f t="shared" si="398"/>
        <v>0.16780870640581069</v>
      </c>
      <c r="W74" s="497">
        <f t="shared" si="398"/>
        <v>9.9160317003894383E-2</v>
      </c>
      <c r="X74" s="497">
        <f t="shared" si="398"/>
        <v>0.13948225612459964</v>
      </c>
      <c r="Y74" s="497">
        <f t="shared" si="398"/>
        <v>7.819372304742922E-2</v>
      </c>
      <c r="Z74" s="496">
        <f t="shared" si="398"/>
        <v>0.11703542085698215</v>
      </c>
      <c r="AA74" s="497">
        <f t="shared" si="398"/>
        <v>5.6308020756019372E-2</v>
      </c>
      <c r="AB74" s="497">
        <f t="shared" si="398"/>
        <v>8.2690405182390903E-2</v>
      </c>
      <c r="AC74" s="497">
        <f t="shared" si="398"/>
        <v>2.3342644995359318E-2</v>
      </c>
      <c r="AD74" s="497">
        <f t="shared" si="398"/>
        <v>7.3164849866528048E-2</v>
      </c>
      <c r="AE74" s="496">
        <f t="shared" si="398"/>
        <v>5.8542789971216758E-2</v>
      </c>
      <c r="AF74" s="497">
        <f t="shared" si="398"/>
        <v>8.20796640405832E-2</v>
      </c>
      <c r="AG74" s="497">
        <f t="shared" si="398"/>
        <v>0.13931263843384922</v>
      </c>
      <c r="AH74" s="497">
        <f t="shared" si="398"/>
        <v>0.78678009900528934</v>
      </c>
      <c r="AI74" s="497">
        <f t="shared" si="398"/>
        <v>0.13166895188419203</v>
      </c>
      <c r="AJ74" s="496">
        <f t="shared" si="398"/>
        <v>0.28843795152048224</v>
      </c>
      <c r="AK74" s="497">
        <f t="shared" si="398"/>
        <v>0.10768539323132598</v>
      </c>
      <c r="AL74" s="497">
        <f t="shared" si="398"/>
        <v>0.15423193069270358</v>
      </c>
      <c r="AM74" s="497">
        <f t="shared" si="398"/>
        <v>-0.13685891708141085</v>
      </c>
      <c r="AN74" s="497">
        <f t="shared" si="398"/>
        <v>0.48264077247984849</v>
      </c>
      <c r="AO74" s="496">
        <f t="shared" si="398"/>
        <v>0.15806942245025524</v>
      </c>
      <c r="AP74" s="497">
        <f t="shared" si="398"/>
        <v>0.15030712667855317</v>
      </c>
      <c r="AQ74" s="497">
        <f t="shared" ref="AQ74:CL74" si="399">AQ73/AL73-1</f>
        <v>7.2172201728224694E-2</v>
      </c>
      <c r="AR74" s="497">
        <f t="shared" si="399"/>
        <v>1.7623938107668158E-2</v>
      </c>
      <c r="AS74" s="497">
        <f t="shared" si="399"/>
        <v>-0.13327996634898764</v>
      </c>
      <c r="AT74" s="496">
        <f t="shared" si="399"/>
        <v>-2.6935402580123835E-2</v>
      </c>
      <c r="AU74" s="497">
        <f t="shared" si="399"/>
        <v>0.14228615876202788</v>
      </c>
      <c r="AV74" s="497">
        <f t="shared" si="399"/>
        <v>0.15960277117855926</v>
      </c>
      <c r="AW74" s="497">
        <f t="shared" si="399"/>
        <v>6.7316885614115751E-2</v>
      </c>
      <c r="AX74" s="497">
        <f t="shared" si="399"/>
        <v>0.1273189098097276</v>
      </c>
      <c r="AY74" s="496">
        <f t="shared" si="399"/>
        <v>0.12367279714989787</v>
      </c>
      <c r="AZ74" s="497">
        <f t="shared" si="399"/>
        <v>6.6616269519198745E-2</v>
      </c>
      <c r="BA74" s="497">
        <f t="shared" si="399"/>
        <v>4.6252874755640105E-2</v>
      </c>
      <c r="BB74" s="497">
        <f t="shared" si="399"/>
        <v>6.7905230233212155E-2</v>
      </c>
      <c r="BC74" s="497">
        <f t="shared" si="399"/>
        <v>6.1268829443165362E-2</v>
      </c>
      <c r="BD74" s="496">
        <f t="shared" si="399"/>
        <v>6.0562200418663004E-2</v>
      </c>
      <c r="BE74" s="497">
        <f t="shared" si="399"/>
        <v>3.6937201731236602E-2</v>
      </c>
      <c r="BF74" s="497">
        <f t="shared" si="399"/>
        <v>0.10468937059386296</v>
      </c>
      <c r="BG74" s="497">
        <f t="shared" si="399"/>
        <v>9.1788527591677438E-2</v>
      </c>
      <c r="BH74" s="497">
        <f t="shared" si="399"/>
        <v>3.0692747920066266E-2</v>
      </c>
      <c r="BI74" s="496">
        <f t="shared" si="399"/>
        <v>6.503883654752407E-2</v>
      </c>
      <c r="BJ74" s="497">
        <f t="shared" si="399"/>
        <v>0.12066852616005219</v>
      </c>
      <c r="BK74" s="497">
        <f t="shared" si="399"/>
        <v>0.10042013869471433</v>
      </c>
      <c r="BL74" s="497">
        <f t="shared" si="399"/>
        <v>1.2619922227460334E-2</v>
      </c>
      <c r="BM74" s="497">
        <f t="shared" si="399"/>
        <v>4.3359642067675397E-2</v>
      </c>
      <c r="BN74" s="496">
        <f t="shared" si="399"/>
        <v>6.7829446225837087E-2</v>
      </c>
      <c r="BO74" s="497">
        <f t="shared" si="399"/>
        <v>3.9811808206820842E-2</v>
      </c>
      <c r="BP74" s="497">
        <f t="shared" si="399"/>
        <v>7.5428696029991915E-2</v>
      </c>
      <c r="BQ74" s="497">
        <f>BQ73/BL73-1</f>
        <v>0.17845202047818032</v>
      </c>
      <c r="BR74" s="497">
        <f>BR73/BM73-1</f>
        <v>0.13195724313530333</v>
      </c>
      <c r="BS74" s="496">
        <f t="shared" si="399"/>
        <v>0.10587457438076631</v>
      </c>
      <c r="BT74" s="497">
        <f t="shared" si="399"/>
        <v>0.14266933438609852</v>
      </c>
      <c r="BU74" s="497">
        <f t="shared" si="399"/>
        <v>-4.9666421636721303E-2</v>
      </c>
      <c r="BV74" s="497">
        <f t="shared" si="399"/>
        <v>-6.9750061243683881E-2</v>
      </c>
      <c r="BW74" s="497">
        <f t="shared" si="399"/>
        <v>-9.1732314829538142E-2</v>
      </c>
      <c r="BX74" s="496">
        <f>BX73/BS73-1</f>
        <v>-2.3740592468434185E-2</v>
      </c>
      <c r="BY74" s="497">
        <f t="shared" si="399"/>
        <v>-0.1048244228682863</v>
      </c>
      <c r="BZ74" s="497">
        <f t="shared" si="399"/>
        <v>-2.3729521958836486E-2</v>
      </c>
      <c r="CA74" s="497">
        <f t="shared" si="399"/>
        <v>-4.1132097639188236E-2</v>
      </c>
      <c r="CB74" s="497">
        <f t="shared" si="399"/>
        <v>0.30076668515420035</v>
      </c>
      <c r="CC74" s="496">
        <f>CC73/BX73-1</f>
        <v>2.8968230320095101E-2</v>
      </c>
      <c r="CD74" s="497">
        <f t="shared" si="399"/>
        <v>2.0259288457155966E-2</v>
      </c>
      <c r="CE74" s="497">
        <f t="shared" si="399"/>
        <v>4.4885390449986406E-2</v>
      </c>
      <c r="CF74" s="497">
        <f t="shared" si="399"/>
        <v>0.10251417965823983</v>
      </c>
      <c r="CG74" s="497">
        <f t="shared" si="399"/>
        <v>-0.16142637214977007</v>
      </c>
      <c r="CH74" s="496">
        <f>CH73/CC73-1</f>
        <v>-9.8969214852939746E-3</v>
      </c>
      <c r="CI74" s="497">
        <f t="shared" si="399"/>
        <v>3.2426998071940494E-2</v>
      </c>
      <c r="CJ74" s="497">
        <f t="shared" si="399"/>
        <v>9.2726832966318895E-2</v>
      </c>
      <c r="CK74" s="497">
        <f t="shared" si="399"/>
        <v>0.12158694038623885</v>
      </c>
      <c r="CL74" s="497">
        <f t="shared" si="399"/>
        <v>0.85764367589711266</v>
      </c>
      <c r="CM74" s="496">
        <f t="shared" ref="CM74" si="400">CM73/CH73-1</f>
        <v>0.25531141154498682</v>
      </c>
      <c r="CN74" s="497">
        <f t="shared" ref="CN74:CW74" ca="1" si="401">CN73/CI73-1</f>
        <v>0.28331401963757763</v>
      </c>
      <c r="CO74" s="497">
        <f t="shared" ca="1" si="401"/>
        <v>0.26647569817561911</v>
      </c>
      <c r="CP74" s="497">
        <f t="shared" ca="1" si="401"/>
        <v>0.17683806402641533</v>
      </c>
      <c r="CQ74" s="497">
        <f t="shared" ca="1" si="401"/>
        <v>-0.17070815321589106</v>
      </c>
      <c r="CR74" s="496">
        <f t="shared" ca="1" si="401"/>
        <v>0.10538579675761972</v>
      </c>
      <c r="CS74" s="497">
        <f t="shared" ca="1" si="401"/>
        <v>8.6002932781138242E-2</v>
      </c>
      <c r="CT74" s="497">
        <f t="shared" ca="1" si="401"/>
        <v>-3.1713201154865978E-3</v>
      </c>
      <c r="CU74" s="497">
        <f t="shared" ca="1" si="401"/>
        <v>-6.7170067977988857E-2</v>
      </c>
      <c r="CV74" s="497">
        <f t="shared" ca="1" si="401"/>
        <v>-3.7403229971447405E-2</v>
      </c>
      <c r="CW74" s="498">
        <f t="shared" ca="1" si="401"/>
        <v>-3.7050828005120717E-3</v>
      </c>
      <c r="CX74" s="497">
        <f t="shared" ref="CX74" ca="1" si="402">CX73/CS73-1</f>
        <v>-1.9541547672017212E-2</v>
      </c>
      <c r="CY74" s="497">
        <f t="shared" ref="CY74" ca="1" si="403">CY73/CT73-1</f>
        <v>-2.2128991472492698E-2</v>
      </c>
      <c r="CZ74" s="497">
        <f t="shared" ref="CZ74" ca="1" si="404">CZ73/CU73-1</f>
        <v>-9.5773839680427519E-3</v>
      </c>
      <c r="DA74" s="497">
        <f t="shared" ref="DA74" ca="1" si="405">DA73/CV73-1</f>
        <v>-2.2569276905685998E-2</v>
      </c>
      <c r="DB74" s="498">
        <f t="shared" ref="DB74" ca="1" si="406">DB73/CW73-1</f>
        <v>-1.831614154315353E-2</v>
      </c>
      <c r="DC74" s="167"/>
      <c r="DD74" s="167"/>
      <c r="DE74" s="167"/>
      <c r="DF74" s="167"/>
      <c r="DG74" s="167"/>
      <c r="DH74" s="167"/>
      <c r="DI74" s="167"/>
      <c r="DJ74" s="167"/>
    </row>
    <row r="75" spans="1:114" ht="5.25" customHeight="1">
      <c r="A75" s="167"/>
      <c r="B75" s="473"/>
      <c r="C75" s="474"/>
      <c r="D75" s="167"/>
      <c r="E75" s="167"/>
      <c r="F75" s="167"/>
      <c r="G75" s="167"/>
      <c r="H75" s="167"/>
      <c r="I75" s="167"/>
      <c r="J75" s="167"/>
      <c r="K75" s="237"/>
      <c r="L75" s="237"/>
      <c r="M75" s="237"/>
      <c r="N75" s="237"/>
      <c r="O75" s="237"/>
      <c r="P75" s="237"/>
      <c r="Q75" s="237"/>
      <c r="R75" s="237"/>
      <c r="S75" s="237"/>
      <c r="T75" s="237"/>
      <c r="U75" s="237"/>
      <c r="V75" s="237"/>
      <c r="W75" s="237"/>
      <c r="X75" s="237"/>
      <c r="Y75" s="237"/>
      <c r="Z75" s="237"/>
      <c r="AA75" s="237"/>
      <c r="AB75" s="237"/>
      <c r="AC75" s="237"/>
      <c r="AD75" s="237"/>
      <c r="AE75" s="237"/>
      <c r="AF75" s="237"/>
      <c r="AG75" s="237"/>
      <c r="AH75" s="237"/>
      <c r="AI75" s="237"/>
      <c r="AJ75" s="237"/>
      <c r="AK75" s="237"/>
      <c r="AL75" s="237"/>
      <c r="AM75" s="237"/>
      <c r="AN75" s="237"/>
      <c r="AO75" s="237"/>
      <c r="AP75" s="237"/>
      <c r="AQ75" s="237"/>
      <c r="AR75" s="237"/>
      <c r="AS75" s="237"/>
      <c r="AT75" s="237"/>
      <c r="AU75" s="237"/>
      <c r="AV75" s="237"/>
      <c r="AW75" s="237"/>
      <c r="AX75" s="237"/>
      <c r="AY75" s="237"/>
      <c r="AZ75" s="237"/>
      <c r="BA75" s="237"/>
      <c r="BB75" s="237"/>
      <c r="BC75" s="237"/>
      <c r="BD75" s="237"/>
      <c r="BE75" s="237"/>
      <c r="BF75" s="237"/>
      <c r="BG75" s="237"/>
      <c r="BH75" s="237"/>
      <c r="BI75" s="237"/>
      <c r="BJ75" s="237"/>
      <c r="BK75" s="237"/>
      <c r="BL75" s="237"/>
      <c r="BM75" s="237"/>
      <c r="BN75" s="237"/>
      <c r="BO75" s="237"/>
      <c r="BP75" s="237"/>
      <c r="BQ75" s="237"/>
      <c r="BR75" s="502"/>
      <c r="BS75" s="237"/>
      <c r="BT75" s="237"/>
      <c r="BU75" s="237"/>
      <c r="BV75" s="237"/>
      <c r="BW75" s="237"/>
      <c r="BX75" s="237"/>
      <c r="BY75" s="237"/>
      <c r="BZ75" s="237"/>
      <c r="CA75" s="237"/>
      <c r="CB75" s="237"/>
      <c r="CC75" s="237"/>
      <c r="CD75" s="237"/>
      <c r="CE75" s="237"/>
      <c r="CF75" s="237"/>
      <c r="CG75" s="237"/>
      <c r="CH75" s="237"/>
      <c r="CI75" s="237"/>
      <c r="CJ75" s="237"/>
      <c r="CK75" s="237"/>
      <c r="CL75" s="237"/>
      <c r="CM75" s="237"/>
      <c r="CN75" s="502"/>
      <c r="CO75" s="502"/>
      <c r="CP75" s="502"/>
      <c r="CQ75" s="502"/>
      <c r="CR75" s="237"/>
      <c r="CS75" s="502"/>
      <c r="CT75" s="502"/>
      <c r="CU75" s="502"/>
      <c r="CV75" s="502"/>
      <c r="CW75" s="237"/>
      <c r="CX75" s="502"/>
      <c r="CY75" s="502"/>
      <c r="CZ75" s="502"/>
      <c r="DA75" s="502"/>
      <c r="DB75" s="237"/>
      <c r="DC75" s="167"/>
      <c r="DD75" s="167"/>
      <c r="DE75" s="167"/>
      <c r="DF75" s="167"/>
      <c r="DG75" s="167"/>
      <c r="DH75" s="167"/>
      <c r="DI75" s="167"/>
      <c r="DJ75" s="167"/>
    </row>
    <row r="76" spans="1:114">
      <c r="A76" s="467"/>
      <c r="B76" s="41" t="s">
        <v>84</v>
      </c>
      <c r="C76" s="468"/>
      <c r="D76" s="469">
        <f>IS!D18</f>
        <v>97.623999999999995</v>
      </c>
      <c r="E76" s="470">
        <f>IS!E18</f>
        <v>81.650999999999996</v>
      </c>
      <c r="F76" s="471">
        <f>IS!F18</f>
        <v>97.623999999999995</v>
      </c>
      <c r="G76" s="472">
        <f>IS!G18</f>
        <v>28.506999999999998</v>
      </c>
      <c r="H76" s="472">
        <f>IS!H18</f>
        <v>28.660999999999998</v>
      </c>
      <c r="I76" s="472">
        <f>IS!I18</f>
        <v>30.631</v>
      </c>
      <c r="J76" s="472">
        <f>IS!J18</f>
        <v>31.869</v>
      </c>
      <c r="K76" s="471">
        <f>IS!K18</f>
        <v>119.66799999999999</v>
      </c>
      <c r="L76" s="472">
        <f>IS!L18</f>
        <v>28.484000000000002</v>
      </c>
      <c r="M76" s="472">
        <f>IS!M18</f>
        <v>28.951000000000001</v>
      </c>
      <c r="N76" s="472">
        <f>IS!N18</f>
        <v>28.981999999999999</v>
      </c>
      <c r="O76" s="472">
        <f>IS!O18</f>
        <v>31.800999999999998</v>
      </c>
      <c r="P76" s="471">
        <f>IS!P18</f>
        <v>118.218</v>
      </c>
      <c r="Q76" s="472">
        <f>IS!Q18</f>
        <v>33.241999999999997</v>
      </c>
      <c r="R76" s="472">
        <f>IS!R18</f>
        <v>34.357999999999997</v>
      </c>
      <c r="S76" s="472">
        <f>IS!S18</f>
        <v>36.374000000000002</v>
      </c>
      <c r="T76" s="472">
        <f>IS!T18</f>
        <v>39.792000000000002</v>
      </c>
      <c r="U76" s="471">
        <f>IS!U18</f>
        <v>143.76599999999999</v>
      </c>
      <c r="V76" s="472">
        <f>IS!V18</f>
        <v>38.451000000000001</v>
      </c>
      <c r="W76" s="472">
        <f>IS!W18</f>
        <v>38.706000000000003</v>
      </c>
      <c r="X76" s="472">
        <f>IS!X18</f>
        <v>39.311999999999998</v>
      </c>
      <c r="Y76" s="472">
        <f>IS!Y18</f>
        <v>41.603999999999999</v>
      </c>
      <c r="Z76" s="471">
        <f>IS!Z18</f>
        <v>158.07300000000001</v>
      </c>
      <c r="AA76" s="472">
        <f>IS!AA18</f>
        <v>40.246000000000002</v>
      </c>
      <c r="AB76" s="472">
        <f>IS!AB18</f>
        <v>40.482999999999997</v>
      </c>
      <c r="AC76" s="472">
        <f>IS!AC18</f>
        <v>40.49</v>
      </c>
      <c r="AD76" s="472">
        <f>IS!AD18</f>
        <v>43.792999999999999</v>
      </c>
      <c r="AE76" s="471">
        <f>IS!AE18</f>
        <v>165.012</v>
      </c>
      <c r="AF76" s="472">
        <f>IS!AF18</f>
        <v>42.506</v>
      </c>
      <c r="AG76" s="472">
        <f>IS!AG18</f>
        <v>47.183</v>
      </c>
      <c r="AH76" s="472">
        <f>IS!AH18</f>
        <v>49.951000000000001</v>
      </c>
      <c r="AI76" s="472">
        <f>IS!AI18</f>
        <v>49.131</v>
      </c>
      <c r="AJ76" s="471">
        <f>IS!AJ18</f>
        <v>188.77099999999999</v>
      </c>
      <c r="AK76" s="472">
        <f>IS!AK18</f>
        <v>51.27</v>
      </c>
      <c r="AL76" s="472">
        <f>IS!AL18</f>
        <v>53.348999999999997</v>
      </c>
      <c r="AM76" s="472">
        <f>IS!AM18</f>
        <v>106.435</v>
      </c>
      <c r="AN76" s="472">
        <f>IS!AN18</f>
        <v>115.104</v>
      </c>
      <c r="AO76" s="471">
        <f>IS!AO18</f>
        <v>326.15800000000002</v>
      </c>
      <c r="AP76" s="472">
        <f>IS!AP18</f>
        <v>122.715</v>
      </c>
      <c r="AQ76" s="472">
        <f>IS!AQ18</f>
        <v>124.94199999999999</v>
      </c>
      <c r="AR76" s="472">
        <f>IS!AR18</f>
        <v>130.50700000000001</v>
      </c>
      <c r="AS76" s="472">
        <f>IS!AS18</f>
        <v>125.78700000000001</v>
      </c>
      <c r="AT76" s="471">
        <f>IS!AT18</f>
        <v>503.95100000000002</v>
      </c>
      <c r="AU76" s="472">
        <f>IS!AU18</f>
        <v>135.53200000000001</v>
      </c>
      <c r="AV76" s="472">
        <f>IS!AV18</f>
        <v>142.447</v>
      </c>
      <c r="AW76" s="472">
        <f>IS!AW18</f>
        <v>143.55799999999999</v>
      </c>
      <c r="AX76" s="472">
        <f>IS!AX18</f>
        <v>144.64500000000001</v>
      </c>
      <c r="AY76" s="471">
        <f>IS!AY18</f>
        <v>566.18200000000002</v>
      </c>
      <c r="AZ76" s="472">
        <f>IS!AZ18</f>
        <v>147.679</v>
      </c>
      <c r="BA76" s="472">
        <f>IS!BA18</f>
        <v>153.381</v>
      </c>
      <c r="BB76" s="472">
        <f>IS!BB18</f>
        <v>151.119</v>
      </c>
      <c r="BC76" s="472">
        <f>IS!BC18</f>
        <v>157.66</v>
      </c>
      <c r="BD76" s="471">
        <f>IS!BD18</f>
        <v>609.83899999999994</v>
      </c>
      <c r="BE76" s="472">
        <f>IS!BE18</f>
        <v>160.67699999999999</v>
      </c>
      <c r="BF76" s="472">
        <f>IS!BF18</f>
        <v>161.376</v>
      </c>
      <c r="BG76" s="472">
        <f>IS!BG18</f>
        <v>161.51499999999999</v>
      </c>
      <c r="BH76" s="472">
        <f>IS!BH18</f>
        <v>171.62799999999999</v>
      </c>
      <c r="BI76" s="471">
        <f>IS!BI18</f>
        <v>655.19599999999991</v>
      </c>
      <c r="BJ76" s="472">
        <f>IS!BJ18</f>
        <v>174.35400000000001</v>
      </c>
      <c r="BK76" s="472">
        <f>IS!BK18</f>
        <v>179.80099999999999</v>
      </c>
      <c r="BL76" s="472">
        <f>IS!BL18</f>
        <v>182.20699999999999</v>
      </c>
      <c r="BM76" s="472">
        <f>IS!BM18</f>
        <v>189.196</v>
      </c>
      <c r="BN76" s="471">
        <f>SUM(BJ76:BM76)</f>
        <v>725.55799999999999</v>
      </c>
      <c r="BO76" s="472">
        <f>IS!BO18</f>
        <v>192.15799999999999</v>
      </c>
      <c r="BP76" s="472">
        <f>IS!BP18</f>
        <v>194.60499999999999</v>
      </c>
      <c r="BQ76" s="472">
        <f>IS!BQ18</f>
        <v>195.84100000000001</v>
      </c>
      <c r="BR76" s="472">
        <f>IS!BR18</f>
        <v>200.071</v>
      </c>
      <c r="BS76" s="471">
        <f>SUM(BO76:BR76)</f>
        <v>782.67500000000007</v>
      </c>
      <c r="BT76" s="472">
        <f>IS!BT18</f>
        <v>257</v>
      </c>
      <c r="BU76" s="472">
        <f>IS!BU18</f>
        <v>282</v>
      </c>
      <c r="BV76" s="472">
        <f>IS!BV18</f>
        <v>280</v>
      </c>
      <c r="BW76" s="472">
        <f>IS!BW18</f>
        <v>291</v>
      </c>
      <c r="BX76" s="471">
        <f>SUM(BT76:BW76)</f>
        <v>1110</v>
      </c>
      <c r="BY76" s="472">
        <f>IS!BY18</f>
        <v>296</v>
      </c>
      <c r="BZ76" s="472">
        <f>IS!BZ18</f>
        <v>291</v>
      </c>
      <c r="CA76" s="472">
        <f>IS!CA18</f>
        <v>288</v>
      </c>
      <c r="CB76" s="472">
        <f>IS!CB18</f>
        <v>297</v>
      </c>
      <c r="CC76" s="471">
        <f>SUM(BY76:CB76)</f>
        <v>1172</v>
      </c>
      <c r="CD76" s="472">
        <f>IS!CD18</f>
        <v>298</v>
      </c>
      <c r="CE76" s="472">
        <f>IS!CE18</f>
        <v>276</v>
      </c>
      <c r="CF76" s="472">
        <f>IS!CF18</f>
        <v>265</v>
      </c>
      <c r="CG76" s="472">
        <f>IS!CG18</f>
        <v>261</v>
      </c>
      <c r="CH76" s="471">
        <f>SUM(CD76:CG76)</f>
        <v>1100</v>
      </c>
      <c r="CI76" s="472">
        <f>IS!CI18</f>
        <v>235</v>
      </c>
      <c r="CJ76" s="472">
        <f>IS!CJ18</f>
        <v>223</v>
      </c>
      <c r="CK76" s="472">
        <f>IS!CK18</f>
        <v>206</v>
      </c>
      <c r="CL76" s="472">
        <f>IS!CL18</f>
        <v>196</v>
      </c>
      <c r="CM76" s="471">
        <f>SUM(CI76:CL76)</f>
        <v>860</v>
      </c>
      <c r="CN76" s="472">
        <f ca="1">IS!CN18</f>
        <v>190.22924641945798</v>
      </c>
      <c r="CO76" s="472">
        <f ca="1">IS!CO18</f>
        <v>177.64661809274517</v>
      </c>
      <c r="CP76" s="472">
        <f ca="1">IS!CP18</f>
        <v>162.67941581858304</v>
      </c>
      <c r="CQ76" s="472">
        <f ca="1">IS!CQ18</f>
        <v>184.32545782480534</v>
      </c>
      <c r="CR76" s="471">
        <f ca="1">SUM(CN76:CQ76)</f>
        <v>714.88073815559153</v>
      </c>
      <c r="CS76" s="472">
        <f ca="1">IS!CS18</f>
        <v>176.14031597813715</v>
      </c>
      <c r="CT76" s="472">
        <f ca="1">IS!CT18</f>
        <v>169.18211676944526</v>
      </c>
      <c r="CU76" s="472">
        <f ca="1">IS!CU18</f>
        <v>161.57727330677946</v>
      </c>
      <c r="CV76" s="472">
        <f ca="1">IS!CV18</f>
        <v>182.42695801123679</v>
      </c>
      <c r="CW76" s="471">
        <f ca="1">SUM(CS76:CV76)</f>
        <v>689.32666406559872</v>
      </c>
      <c r="CX76" s="472">
        <f ca="1">IS!CX18</f>
        <v>173.70447631531593</v>
      </c>
      <c r="CY76" s="472">
        <f ca="1">IS!CY18</f>
        <v>166.93804506707994</v>
      </c>
      <c r="CZ76" s="472">
        <f ca="1">IS!CZ18</f>
        <v>158.11973989589575</v>
      </c>
      <c r="DA76" s="472">
        <f ca="1">IS!DA18</f>
        <v>179.83053033219645</v>
      </c>
      <c r="DB76" s="471">
        <f ca="1">SUM(CX76:DA76)</f>
        <v>678.59279161048812</v>
      </c>
      <c r="DC76" s="37"/>
      <c r="DD76" s="37"/>
      <c r="DE76" s="37"/>
      <c r="DF76" s="37"/>
      <c r="DG76" s="37"/>
      <c r="DH76" s="37"/>
      <c r="DI76" s="37"/>
      <c r="DJ76" s="37"/>
    </row>
    <row r="77" spans="1:114">
      <c r="A77" s="458"/>
      <c r="B77" s="473" t="s">
        <v>183</v>
      </c>
      <c r="C77" s="474"/>
      <c r="D77" s="129"/>
      <c r="E77" s="153"/>
      <c r="F77" s="129"/>
      <c r="G77" s="167"/>
      <c r="H77" s="167"/>
      <c r="I77" s="167"/>
      <c r="J77" s="167"/>
      <c r="K77" s="67">
        <f t="shared" ref="K77:AP77" si="407">K76/F76-1</f>
        <v>0.22580512988609347</v>
      </c>
      <c r="L77" s="237">
        <f t="shared" si="407"/>
        <v>-8.0681937769655487E-4</v>
      </c>
      <c r="M77" s="237">
        <f t="shared" si="407"/>
        <v>1.0118279194724744E-2</v>
      </c>
      <c r="N77" s="237">
        <f t="shared" si="407"/>
        <v>-5.3834350821063692E-2</v>
      </c>
      <c r="O77" s="237">
        <f t="shared" si="407"/>
        <v>-2.1337349775644165E-3</v>
      </c>
      <c r="P77" s="67">
        <f t="shared" si="407"/>
        <v>-1.2116856636694706E-2</v>
      </c>
      <c r="Q77" s="237">
        <f t="shared" si="407"/>
        <v>0.16704114590647356</v>
      </c>
      <c r="R77" s="237">
        <f t="shared" si="407"/>
        <v>0.18676384235432275</v>
      </c>
      <c r="S77" s="237">
        <f t="shared" si="407"/>
        <v>0.25505486163825841</v>
      </c>
      <c r="T77" s="237">
        <f t="shared" si="407"/>
        <v>0.25128140624508677</v>
      </c>
      <c r="U77" s="67">
        <f t="shared" si="407"/>
        <v>0.21610922194589643</v>
      </c>
      <c r="V77" s="237">
        <f t="shared" si="407"/>
        <v>0.156699356236087</v>
      </c>
      <c r="W77" s="237">
        <f t="shared" si="407"/>
        <v>0.12654985738401558</v>
      </c>
      <c r="X77" s="237">
        <f t="shared" si="407"/>
        <v>8.0771979985703846E-2</v>
      </c>
      <c r="Y77" s="237">
        <f t="shared" si="407"/>
        <v>4.5536791314837011E-2</v>
      </c>
      <c r="Z77" s="67">
        <f t="shared" si="407"/>
        <v>9.9515879971620702E-2</v>
      </c>
      <c r="AA77" s="237">
        <f t="shared" si="407"/>
        <v>4.6682791084757369E-2</v>
      </c>
      <c r="AB77" s="237">
        <f t="shared" si="407"/>
        <v>4.5910194801839443E-2</v>
      </c>
      <c r="AC77" s="237">
        <f t="shared" si="407"/>
        <v>2.9965404965405007E-2</v>
      </c>
      <c r="AD77" s="237">
        <f t="shared" si="407"/>
        <v>5.2615133160273109E-2</v>
      </c>
      <c r="AE77" s="67">
        <f t="shared" si="407"/>
        <v>4.3897439790476556E-2</v>
      </c>
      <c r="AF77" s="237">
        <f t="shared" si="407"/>
        <v>5.6154648909208404E-2</v>
      </c>
      <c r="AG77" s="237">
        <f t="shared" si="407"/>
        <v>0.16550156855964238</v>
      </c>
      <c r="AH77" s="237">
        <f t="shared" si="407"/>
        <v>0.23366263274882693</v>
      </c>
      <c r="AI77" s="237">
        <f t="shared" si="407"/>
        <v>0.12189162651565311</v>
      </c>
      <c r="AJ77" s="67">
        <f t="shared" si="407"/>
        <v>0.14398346786900329</v>
      </c>
      <c r="AK77" s="237">
        <f t="shared" si="407"/>
        <v>0.20618265656613199</v>
      </c>
      <c r="AL77" s="237">
        <f t="shared" si="407"/>
        <v>0.13068266112794857</v>
      </c>
      <c r="AM77" s="237">
        <f t="shared" si="407"/>
        <v>1.1307881724089608</v>
      </c>
      <c r="AN77" s="237">
        <f t="shared" si="407"/>
        <v>1.3427978262196985</v>
      </c>
      <c r="AO77" s="67">
        <f t="shared" si="407"/>
        <v>0.72779717223514218</v>
      </c>
      <c r="AP77" s="237">
        <f t="shared" si="407"/>
        <v>1.3935049736688119</v>
      </c>
      <c r="AQ77" s="237">
        <f t="shared" ref="AQ77:CL77" si="408">AQ76/AL76-1</f>
        <v>1.341974544977413</v>
      </c>
      <c r="AR77" s="237">
        <f t="shared" si="408"/>
        <v>0.226166204725889</v>
      </c>
      <c r="AS77" s="237">
        <f t="shared" si="408"/>
        <v>9.2811718098415374E-2</v>
      </c>
      <c r="AT77" s="67">
        <f t="shared" si="408"/>
        <v>0.54511310469159113</v>
      </c>
      <c r="AU77" s="237">
        <f t="shared" si="408"/>
        <v>0.104445259340749</v>
      </c>
      <c r="AV77" s="237">
        <f t="shared" si="408"/>
        <v>0.14010500872404807</v>
      </c>
      <c r="AW77" s="237">
        <f t="shared" si="408"/>
        <v>0.10000229872727129</v>
      </c>
      <c r="AX77" s="237">
        <f t="shared" si="408"/>
        <v>0.14992010303131487</v>
      </c>
      <c r="AY77" s="67">
        <f t="shared" si="408"/>
        <v>0.12348621195314613</v>
      </c>
      <c r="AZ77" s="237">
        <f t="shared" si="408"/>
        <v>8.9624590502611845E-2</v>
      </c>
      <c r="BA77" s="237">
        <f t="shared" si="408"/>
        <v>7.6758373289714799E-2</v>
      </c>
      <c r="BB77" s="237">
        <f t="shared" si="408"/>
        <v>5.2668607810083756E-2</v>
      </c>
      <c r="BC77" s="237">
        <f t="shared" si="408"/>
        <v>8.9978913892633683E-2</v>
      </c>
      <c r="BD77" s="67">
        <f t="shared" si="408"/>
        <v>7.7107714480502576E-2</v>
      </c>
      <c r="BE77" s="237">
        <f t="shared" si="408"/>
        <v>8.8015222204917309E-2</v>
      </c>
      <c r="BF77" s="237">
        <f t="shared" si="408"/>
        <v>5.2125100240577371E-2</v>
      </c>
      <c r="BG77" s="237">
        <f t="shared" si="408"/>
        <v>6.8793467399863584E-2</v>
      </c>
      <c r="BH77" s="237">
        <f t="shared" si="408"/>
        <v>8.8595712292274476E-2</v>
      </c>
      <c r="BI77" s="67">
        <f t="shared" si="408"/>
        <v>7.4375367924976787E-2</v>
      </c>
      <c r="BJ77" s="237">
        <f t="shared" si="408"/>
        <v>8.512108142422381E-2</v>
      </c>
      <c r="BK77" s="237">
        <f t="shared" si="408"/>
        <v>0.11417435058496905</v>
      </c>
      <c r="BL77" s="237">
        <f t="shared" si="408"/>
        <v>0.12811194006748594</v>
      </c>
      <c r="BM77" s="237">
        <f t="shared" si="408"/>
        <v>0.10236092012958276</v>
      </c>
      <c r="BN77" s="67">
        <f t="shared" si="408"/>
        <v>0.10739076551138904</v>
      </c>
      <c r="BO77" s="237">
        <f t="shared" si="408"/>
        <v>0.10211408972550085</v>
      </c>
      <c r="BP77" s="237">
        <f t="shared" si="408"/>
        <v>8.2335470881697015E-2</v>
      </c>
      <c r="BQ77" s="237">
        <f>BQ76/BL76-1</f>
        <v>7.4826982497928185E-2</v>
      </c>
      <c r="BR77" s="237">
        <f>BR76/BM76-1</f>
        <v>5.748007357449425E-2</v>
      </c>
      <c r="BS77" s="67">
        <f t="shared" si="408"/>
        <v>7.8721480570815849E-2</v>
      </c>
      <c r="BT77" s="237">
        <f t="shared" si="408"/>
        <v>0.3374410641243144</v>
      </c>
      <c r="BU77" s="237">
        <f t="shared" si="408"/>
        <v>0.44908918064797931</v>
      </c>
      <c r="BV77" s="237">
        <f t="shared" si="408"/>
        <v>0.42973126158465269</v>
      </c>
      <c r="BW77" s="237">
        <f t="shared" si="408"/>
        <v>0.454483658301303</v>
      </c>
      <c r="BX77" s="67">
        <f>BX76/BS76-1</f>
        <v>0.41821317916120981</v>
      </c>
      <c r="BY77" s="237">
        <f t="shared" si="408"/>
        <v>0.15175097276264582</v>
      </c>
      <c r="BZ77" s="237">
        <f t="shared" si="408"/>
        <v>3.1914893617021267E-2</v>
      </c>
      <c r="CA77" s="237">
        <f t="shared" si="408"/>
        <v>2.857142857142847E-2</v>
      </c>
      <c r="CB77" s="237">
        <f t="shared" si="408"/>
        <v>2.0618556701030855E-2</v>
      </c>
      <c r="CC77" s="67">
        <f>CC76/BX76-1</f>
        <v>5.5855855855855951E-2</v>
      </c>
      <c r="CD77" s="237">
        <f t="shared" si="408"/>
        <v>6.7567567567567988E-3</v>
      </c>
      <c r="CE77" s="237">
        <f t="shared" si="408"/>
        <v>-5.1546391752577359E-2</v>
      </c>
      <c r="CF77" s="237">
        <f t="shared" si="408"/>
        <v>-7.986111111111116E-2</v>
      </c>
      <c r="CG77" s="237">
        <f t="shared" si="408"/>
        <v>-0.12121212121212122</v>
      </c>
      <c r="CH77" s="67">
        <f>CH76/CC76-1</f>
        <v>-6.1433447098976135E-2</v>
      </c>
      <c r="CI77" s="237">
        <f t="shared" si="408"/>
        <v>-0.21140939597315433</v>
      </c>
      <c r="CJ77" s="237">
        <f t="shared" si="408"/>
        <v>-0.19202898550724634</v>
      </c>
      <c r="CK77" s="237">
        <f t="shared" si="408"/>
        <v>-0.22264150943396221</v>
      </c>
      <c r="CL77" s="237">
        <f t="shared" si="408"/>
        <v>-0.24904214559386972</v>
      </c>
      <c r="CM77" s="67">
        <f t="shared" ref="CM77" si="409">CM76/CH76-1</f>
        <v>-0.21818181818181814</v>
      </c>
      <c r="CN77" s="237">
        <f t="shared" ref="CN77:CW77" ca="1" si="410">CN76/CI76-1</f>
        <v>-0.19051384502358304</v>
      </c>
      <c r="CO77" s="237">
        <f t="shared" ca="1" si="410"/>
        <v>-0.20337839420293646</v>
      </c>
      <c r="CP77" s="237">
        <f t="shared" ca="1" si="410"/>
        <v>-0.21029409796804355</v>
      </c>
      <c r="CQ77" s="237">
        <f t="shared" ca="1" si="410"/>
        <v>-5.9563990689768698E-2</v>
      </c>
      <c r="CR77" s="67">
        <f t="shared" ca="1" si="410"/>
        <v>-0.16874332772605638</v>
      </c>
      <c r="CS77" s="237">
        <f t="shared" ca="1" si="410"/>
        <v>-7.406290413543748E-2</v>
      </c>
      <c r="CT77" s="237">
        <f t="shared" ca="1" si="410"/>
        <v>-4.7647973342677341E-2</v>
      </c>
      <c r="CU77" s="237">
        <f t="shared" ca="1" si="410"/>
        <v>-6.7749352692086928E-3</v>
      </c>
      <c r="CV77" s="237">
        <f t="shared" ca="1" si="410"/>
        <v>-1.029971570922672E-2</v>
      </c>
      <c r="CW77" s="67">
        <f t="shared" ca="1" si="410"/>
        <v>-3.5745926174934994E-2</v>
      </c>
      <c r="CX77" s="237">
        <f t="shared" ref="CX77" ca="1" si="411">CX76/CS76-1</f>
        <v>-1.3828972937255157E-2</v>
      </c>
      <c r="CY77" s="237">
        <f t="shared" ref="CY77" ca="1" si="412">CY76/CT76-1</f>
        <v>-1.3264237055406136E-2</v>
      </c>
      <c r="CZ77" s="237">
        <f t="shared" ref="CZ77" ca="1" si="413">CZ76/CU76-1</f>
        <v>-2.1398636950130001E-2</v>
      </c>
      <c r="DA77" s="237">
        <f t="shared" ref="DA77" ca="1" si="414">DA76/CV76-1</f>
        <v>-1.4232697334570554E-2</v>
      </c>
      <c r="DB77" s="67">
        <f t="shared" ref="DB77" ca="1" si="415">DB76/CW76-1</f>
        <v>-1.5571532358552576E-2</v>
      </c>
      <c r="DC77" s="167"/>
      <c r="DD77" s="167"/>
      <c r="DE77" s="167"/>
      <c r="DF77" s="167"/>
      <c r="DG77" s="167"/>
      <c r="DH77" s="167"/>
      <c r="DI77" s="167"/>
      <c r="DJ77" s="167"/>
    </row>
    <row r="78" spans="1:114">
      <c r="A78" s="458"/>
      <c r="B78" s="473" t="s">
        <v>182</v>
      </c>
      <c r="C78" s="474"/>
      <c r="D78" s="129">
        <f t="shared" ref="D78:BN78" si="416">D76/D$18</f>
        <v>0.11420015207346317</v>
      </c>
      <c r="E78" s="153">
        <f t="shared" si="416"/>
        <v>7.5606068041849966E-2</v>
      </c>
      <c r="F78" s="129">
        <f t="shared" si="416"/>
        <v>7.2989851970204134E-2</v>
      </c>
      <c r="G78" s="167">
        <f t="shared" si="416"/>
        <v>7.1509739241681192E-2</v>
      </c>
      <c r="H78" s="167">
        <f t="shared" si="416"/>
        <v>7.1490038886630122E-2</v>
      </c>
      <c r="I78" s="167">
        <f t="shared" si="416"/>
        <v>7.3531635815435134E-2</v>
      </c>
      <c r="J78" s="167">
        <f t="shared" si="416"/>
        <v>6.6741081712746744E-2</v>
      </c>
      <c r="K78" s="67">
        <f t="shared" si="416"/>
        <v>7.0657908332718275E-2</v>
      </c>
      <c r="L78" s="237">
        <f t="shared" si="416"/>
        <v>5.3388913984319213E-2</v>
      </c>
      <c r="M78" s="237">
        <f t="shared" si="416"/>
        <v>5.4564610182780422E-2</v>
      </c>
      <c r="N78" s="237">
        <f t="shared" si="416"/>
        <v>5.242375294162336E-2</v>
      </c>
      <c r="O78" s="237">
        <f t="shared" si="416"/>
        <v>5.4502763614550746E-2</v>
      </c>
      <c r="P78" s="67">
        <f t="shared" si="416"/>
        <v>5.3725271164511097E-2</v>
      </c>
      <c r="Q78" s="237">
        <f t="shared" si="416"/>
        <v>5.0421901567929708E-2</v>
      </c>
      <c r="R78" s="237">
        <f t="shared" si="416"/>
        <v>5.2271970034672509E-2</v>
      </c>
      <c r="S78" s="237">
        <f t="shared" si="416"/>
        <v>5.030828937432056E-2</v>
      </c>
      <c r="T78" s="237">
        <f t="shared" si="416"/>
        <v>5.0050815564656514E-2</v>
      </c>
      <c r="U78" s="67">
        <f t="shared" si="416"/>
        <v>5.0717837709692709E-2</v>
      </c>
      <c r="V78" s="237">
        <f t="shared" si="416"/>
        <v>4.6755985096841347E-2</v>
      </c>
      <c r="W78" s="237">
        <f t="shared" si="416"/>
        <v>4.7569712008199899E-2</v>
      </c>
      <c r="X78" s="237">
        <f t="shared" si="416"/>
        <v>4.6576322754770541E-2</v>
      </c>
      <c r="Y78" s="237">
        <f t="shared" si="416"/>
        <v>4.7728907514629909E-2</v>
      </c>
      <c r="Z78" s="67">
        <f t="shared" si="416"/>
        <v>4.7161305490382339E-2</v>
      </c>
      <c r="AA78" s="237">
        <f t="shared" si="416"/>
        <v>4.4027620368709171E-2</v>
      </c>
      <c r="AB78" s="237">
        <f t="shared" si="416"/>
        <v>4.4064664020950932E-2</v>
      </c>
      <c r="AC78" s="237">
        <f t="shared" si="416"/>
        <v>4.3571882845548492E-2</v>
      </c>
      <c r="AD78" s="237">
        <f t="shared" si="416"/>
        <v>4.4592544319651345E-2</v>
      </c>
      <c r="AE78" s="67">
        <f t="shared" si="416"/>
        <v>4.4071775682962687E-2</v>
      </c>
      <c r="AF78" s="237">
        <f t="shared" si="416"/>
        <v>4.1406169330249903E-2</v>
      </c>
      <c r="AG78" s="237">
        <f t="shared" si="416"/>
        <v>4.4468047809065318E-2</v>
      </c>
      <c r="AH78" s="237">
        <f t="shared" si="416"/>
        <v>4.4460841864095851E-2</v>
      </c>
      <c r="AI78" s="237">
        <f t="shared" si="416"/>
        <v>4.2556932706325025E-2</v>
      </c>
      <c r="AJ78" s="67">
        <f t="shared" si="416"/>
        <v>4.3240800297601044E-2</v>
      </c>
      <c r="AK78" s="237">
        <f t="shared" si="416"/>
        <v>4.2583162582631021E-2</v>
      </c>
      <c r="AL78" s="237">
        <f t="shared" si="416"/>
        <v>4.270899379407074E-2</v>
      </c>
      <c r="AM78" s="237">
        <f t="shared" si="416"/>
        <v>4.5251302354037078E-2</v>
      </c>
      <c r="AN78" s="237">
        <f t="shared" si="416"/>
        <v>4.5525486662801151E-2</v>
      </c>
      <c r="AO78" s="67">
        <f t="shared" si="416"/>
        <v>4.4474752623352883E-2</v>
      </c>
      <c r="AP78" s="237">
        <f t="shared" si="416"/>
        <v>4.4990859942644582E-2</v>
      </c>
      <c r="AQ78" s="237">
        <f t="shared" si="416"/>
        <v>4.6436482568943727E-2</v>
      </c>
      <c r="AR78" s="237">
        <f t="shared" si="416"/>
        <v>4.7065845372647734E-2</v>
      </c>
      <c r="AS78" s="237">
        <f t="shared" si="416"/>
        <v>4.5549617640604619E-2</v>
      </c>
      <c r="AT78" s="67">
        <f t="shared" si="416"/>
        <v>4.6012198800790896E-2</v>
      </c>
      <c r="AU78" s="237">
        <f t="shared" si="416"/>
        <v>4.685813462223283E-2</v>
      </c>
      <c r="AV78" s="237">
        <f t="shared" si="416"/>
        <v>4.7215393238427682E-2</v>
      </c>
      <c r="AW78" s="237">
        <f t="shared" si="416"/>
        <v>4.6507710195522349E-2</v>
      </c>
      <c r="AX78" s="237">
        <f t="shared" si="416"/>
        <v>4.6793325193957194E-2</v>
      </c>
      <c r="AY78" s="67">
        <f t="shared" si="416"/>
        <v>4.6841242849699358E-2</v>
      </c>
      <c r="AZ78" s="237">
        <f t="shared" si="416"/>
        <v>4.6723185398779135E-2</v>
      </c>
      <c r="BA78" s="237">
        <f t="shared" si="416"/>
        <v>4.8369548764058551E-2</v>
      </c>
      <c r="BB78" s="237">
        <f t="shared" si="416"/>
        <v>4.6468771284618494E-2</v>
      </c>
      <c r="BC78" s="237">
        <f t="shared" si="416"/>
        <v>4.6333807368797532E-2</v>
      </c>
      <c r="BD78" s="67">
        <f t="shared" si="416"/>
        <v>4.6959457898586993E-2</v>
      </c>
      <c r="BE78" s="237">
        <f t="shared" si="416"/>
        <v>4.7183807088979603E-2</v>
      </c>
      <c r="BF78" s="237">
        <f t="shared" si="416"/>
        <v>4.6995933693844395E-2</v>
      </c>
      <c r="BG78" s="237">
        <f t="shared" si="416"/>
        <v>4.7006693830034918E-2</v>
      </c>
      <c r="BH78" s="237">
        <f t="shared" si="416"/>
        <v>4.9855425424558904E-2</v>
      </c>
      <c r="BI78" s="67">
        <f t="shared" si="416"/>
        <v>4.7762869609558743E-2</v>
      </c>
      <c r="BJ78" s="237">
        <f t="shared" si="416"/>
        <v>4.6082837252685423E-2</v>
      </c>
      <c r="BK78" s="237">
        <f t="shared" si="416"/>
        <v>4.799264793024182E-2</v>
      </c>
      <c r="BL78" s="237">
        <f>BL76/BL$18</f>
        <v>4.9289615682909522E-2</v>
      </c>
      <c r="BM78" s="237">
        <f>BM76/BM$18</f>
        <v>5.0296695633957791E-2</v>
      </c>
      <c r="BN78" s="67">
        <f t="shared" si="416"/>
        <v>4.8408682602469583E-2</v>
      </c>
      <c r="BO78" s="237">
        <f t="shared" ref="BO78:BX78" si="417">BO76/BO$18</f>
        <v>5.05697045999541E-2</v>
      </c>
      <c r="BP78" s="237">
        <f t="shared" si="417"/>
        <v>5.1645583460674729E-2</v>
      </c>
      <c r="BQ78" s="237">
        <f t="shared" si="417"/>
        <v>5.1990889959815052E-2</v>
      </c>
      <c r="BR78" s="237">
        <f t="shared" si="417"/>
        <v>5.3447888502390004E-2</v>
      </c>
      <c r="BS78" s="67">
        <f t="shared" si="417"/>
        <v>5.1908154847893705E-2</v>
      </c>
      <c r="BT78" s="237">
        <f t="shared" si="417"/>
        <v>5.2448979591836732E-2</v>
      </c>
      <c r="BU78" s="237">
        <f t="shared" si="417"/>
        <v>5.0985355270294699E-2</v>
      </c>
      <c r="BV78" s="237">
        <f t="shared" si="417"/>
        <v>5.0332554377134638E-2</v>
      </c>
      <c r="BW78" s="237">
        <f t="shared" si="417"/>
        <v>5.1586598120900551E-2</v>
      </c>
      <c r="BX78" s="67">
        <f t="shared" si="417"/>
        <v>5.1305754564363301E-2</v>
      </c>
      <c r="BY78" s="237">
        <f>BY76/BY$18</f>
        <v>5.2426496634785692E-2</v>
      </c>
      <c r="BZ78" s="237">
        <f>BZ76/BZ$18</f>
        <v>5.1834698966868542E-2</v>
      </c>
      <c r="CA78" s="237">
        <f>CA76/CA$18</f>
        <v>5.1612903225806452E-2</v>
      </c>
      <c r="CB78" s="237">
        <f>CB76/CB$18</f>
        <v>5.1886792452830191E-2</v>
      </c>
      <c r="CC78" s="67">
        <f t="shared" ref="CC78" si="418">CC76/CC$18</f>
        <v>5.1941145187023578E-2</v>
      </c>
      <c r="CD78" s="237">
        <f>CD76/CD$18</f>
        <v>5.1790059089329162E-2</v>
      </c>
      <c r="CE78" s="237">
        <f>CE76/CE$18</f>
        <v>5.2173913043478258E-2</v>
      </c>
      <c r="CF78" s="237">
        <f>CF76/CF$18</f>
        <v>5.2124311565696302E-2</v>
      </c>
      <c r="CG78" s="237">
        <f>CG76/CG$18</f>
        <v>5.0709150961725277E-2</v>
      </c>
      <c r="CH78" s="67">
        <f t="shared" ref="CH78" si="419">CH76/CH$18</f>
        <v>5.170387779083431E-2</v>
      </c>
      <c r="CI78" s="237">
        <f>CI76/CI$18</f>
        <v>4.5472136222910214E-2</v>
      </c>
      <c r="CJ78" s="237">
        <f>CJ76/CJ$18</f>
        <v>4.6236782085838687E-2</v>
      </c>
      <c r="CK78" s="237">
        <f>CK76/CK$18</f>
        <v>4.7542118624509577E-2</v>
      </c>
      <c r="CL78" s="237">
        <f>CL76/CL$18</f>
        <v>4.8086359175662417E-2</v>
      </c>
      <c r="CM78" s="67">
        <f t="shared" ref="CM78:CW78" si="420">CM76/CM$18</f>
        <v>4.6739130434782609E-2</v>
      </c>
      <c r="CN78" s="237">
        <f t="shared" ca="1" si="420"/>
        <v>4.4537999999999994E-2</v>
      </c>
      <c r="CO78" s="237">
        <f t="shared" ca="1" si="420"/>
        <v>4.4511999999999996E-2</v>
      </c>
      <c r="CP78" s="237">
        <f t="shared" ca="1" si="420"/>
        <v>4.4563999999999993E-2</v>
      </c>
      <c r="CQ78" s="237">
        <f t="shared" ca="1" si="420"/>
        <v>4.4491199999999995E-2</v>
      </c>
      <c r="CR78" s="67">
        <f t="shared" ca="1" si="420"/>
        <v>4.4525372357752224E-2</v>
      </c>
      <c r="CS78" s="237">
        <f t="shared" ca="1" si="420"/>
        <v>4.3960399999999997E-2</v>
      </c>
      <c r="CT78" s="237">
        <f t="shared" ca="1" si="420"/>
        <v>4.3960400000000004E-2</v>
      </c>
      <c r="CU78" s="237">
        <f t="shared" ca="1" si="420"/>
        <v>4.3960399999999997E-2</v>
      </c>
      <c r="CV78" s="237">
        <f t="shared" ca="1" si="420"/>
        <v>4.3960399999999997E-2</v>
      </c>
      <c r="CW78" s="67">
        <f t="shared" ca="1" si="420"/>
        <v>4.3960399999999997E-2</v>
      </c>
      <c r="CX78" s="237">
        <f t="shared" ref="CX78:DB78" ca="1" si="421">CX76/CX$18</f>
        <v>4.3106800000000001E-2</v>
      </c>
      <c r="CY78" s="237">
        <f t="shared" ca="1" si="421"/>
        <v>4.3106800000000008E-2</v>
      </c>
      <c r="CZ78" s="237">
        <f t="shared" ca="1" si="421"/>
        <v>4.3106800000000001E-2</v>
      </c>
      <c r="DA78" s="237">
        <f t="shared" ca="1" si="421"/>
        <v>4.3106800000000001E-2</v>
      </c>
      <c r="DB78" s="67">
        <f t="shared" ca="1" si="421"/>
        <v>4.3106800000000008E-2</v>
      </c>
      <c r="DC78" s="167"/>
      <c r="DD78" s="167"/>
      <c r="DE78" s="167"/>
      <c r="DF78" s="167"/>
      <c r="DG78" s="167"/>
      <c r="DH78" s="167"/>
      <c r="DI78" s="167"/>
      <c r="DJ78" s="167"/>
    </row>
    <row r="79" spans="1:114">
      <c r="A79" s="458"/>
      <c r="B79" s="473" t="s">
        <v>181</v>
      </c>
      <c r="C79" s="474"/>
      <c r="D79" s="129">
        <f t="shared" ref="D79:BN79" si="422">D76/D$20</f>
        <v>0.13326653443396805</v>
      </c>
      <c r="E79" s="153">
        <f t="shared" si="422"/>
        <v>8.291091425298841E-2</v>
      </c>
      <c r="F79" s="129">
        <f t="shared" si="422"/>
        <v>8.0335879420473044E-2</v>
      </c>
      <c r="G79" s="167">
        <f t="shared" si="422"/>
        <v>7.8820035833572957E-2</v>
      </c>
      <c r="H79" s="167">
        <f t="shared" si="422"/>
        <v>7.8755670842458422E-2</v>
      </c>
      <c r="I79" s="167">
        <f t="shared" si="422"/>
        <v>8.0994751246083269E-2</v>
      </c>
      <c r="J79" s="167">
        <f t="shared" si="422"/>
        <v>7.3495395727585733E-2</v>
      </c>
      <c r="K79" s="67">
        <f t="shared" si="422"/>
        <v>7.7837958786235714E-2</v>
      </c>
      <c r="L79" s="237">
        <f t="shared" si="422"/>
        <v>5.8897237925487261E-2</v>
      </c>
      <c r="M79" s="237">
        <f t="shared" si="422"/>
        <v>5.9957337530547154E-2</v>
      </c>
      <c r="N79" s="237">
        <f t="shared" si="422"/>
        <v>5.7907250894123755E-2</v>
      </c>
      <c r="O79" s="237">
        <f t="shared" si="422"/>
        <v>5.976384626515896E-2</v>
      </c>
      <c r="P79" s="67">
        <f t="shared" si="422"/>
        <v>5.9136113908226928E-2</v>
      </c>
      <c r="Q79" s="237">
        <f t="shared" si="422"/>
        <v>5.568771191551522E-2</v>
      </c>
      <c r="R79" s="237">
        <f t="shared" si="422"/>
        <v>5.7723679678771525E-2</v>
      </c>
      <c r="S79" s="237">
        <f t="shared" si="422"/>
        <v>5.5759950454676445E-2</v>
      </c>
      <c r="T79" s="237">
        <f t="shared" si="422"/>
        <v>5.5760534624024166E-2</v>
      </c>
      <c r="U79" s="67">
        <f t="shared" si="422"/>
        <v>5.620017309681459E-2</v>
      </c>
      <c r="V79" s="237">
        <f t="shared" si="422"/>
        <v>5.2224402898412937E-2</v>
      </c>
      <c r="W79" s="237">
        <f t="shared" si="422"/>
        <v>5.2880805740298499E-2</v>
      </c>
      <c r="X79" s="237">
        <f t="shared" si="422"/>
        <v>5.2025255646590336E-2</v>
      </c>
      <c r="Y79" s="237">
        <f t="shared" si="422"/>
        <v>5.3222668118209485E-2</v>
      </c>
      <c r="Z79" s="67">
        <f t="shared" si="422"/>
        <v>5.2593824144256125E-2</v>
      </c>
      <c r="AA79" s="237">
        <f t="shared" si="422"/>
        <v>4.9073665368473171E-2</v>
      </c>
      <c r="AB79" s="237">
        <f t="shared" si="422"/>
        <v>4.8943583642835034E-2</v>
      </c>
      <c r="AC79" s="237">
        <f t="shared" si="422"/>
        <v>4.8416277148210729E-2</v>
      </c>
      <c r="AD79" s="237">
        <f t="shared" si="422"/>
        <v>4.9647030281593542E-2</v>
      </c>
      <c r="AE79" s="67">
        <f t="shared" si="422"/>
        <v>4.9028620530029182E-2</v>
      </c>
      <c r="AF79" s="237">
        <f t="shared" si="422"/>
        <v>4.625390790351383E-2</v>
      </c>
      <c r="AG79" s="237">
        <f t="shared" si="422"/>
        <v>4.9910615116094563E-2</v>
      </c>
      <c r="AH79" s="237">
        <f t="shared" si="422"/>
        <v>5.3650525646478577E-2</v>
      </c>
      <c r="AI79" s="237">
        <f t="shared" si="422"/>
        <v>4.8053167454006632E-2</v>
      </c>
      <c r="AJ79" s="67">
        <f t="shared" si="422"/>
        <v>4.9445033062278092E-2</v>
      </c>
      <c r="AK79" s="237">
        <f t="shared" si="422"/>
        <v>4.7992226888003163E-2</v>
      </c>
      <c r="AL79" s="237">
        <f t="shared" si="422"/>
        <v>4.8478509578206347E-2</v>
      </c>
      <c r="AM79" s="237">
        <f t="shared" si="422"/>
        <v>5.1356271679912448E-2</v>
      </c>
      <c r="AN79" s="237">
        <f t="shared" si="422"/>
        <v>5.3111555307002727E-2</v>
      </c>
      <c r="AO79" s="67">
        <f t="shared" si="422"/>
        <v>5.0894910789799734E-2</v>
      </c>
      <c r="AP79" s="237">
        <f t="shared" si="422"/>
        <v>5.0490151303819744E-2</v>
      </c>
      <c r="AQ79" s="237">
        <f t="shared" si="422"/>
        <v>5.2068821093911165E-2</v>
      </c>
      <c r="AR79" s="237">
        <f t="shared" si="422"/>
        <v>5.3341164458951373E-2</v>
      </c>
      <c r="AS79" s="237">
        <f t="shared" si="422"/>
        <v>5.1442754410302043E-2</v>
      </c>
      <c r="AT79" s="67">
        <f t="shared" si="422"/>
        <v>5.1836891294464227E-2</v>
      </c>
      <c r="AU79" s="237">
        <f t="shared" si="422"/>
        <v>5.3005566421412485E-2</v>
      </c>
      <c r="AV79" s="237">
        <f t="shared" si="422"/>
        <v>5.3662480189293732E-2</v>
      </c>
      <c r="AW79" s="237">
        <f t="shared" si="422"/>
        <v>5.3004726037512918E-2</v>
      </c>
      <c r="AX79" s="237">
        <f t="shared" si="422"/>
        <v>5.3385846301024643E-2</v>
      </c>
      <c r="AY79" s="67">
        <f t="shared" si="422"/>
        <v>5.3266340924451587E-2</v>
      </c>
      <c r="AZ79" s="237">
        <f t="shared" si="422"/>
        <v>5.3071390991602241E-2</v>
      </c>
      <c r="BA79" s="237">
        <f t="shared" si="422"/>
        <v>5.4983664172379008E-2</v>
      </c>
      <c r="BB79" s="237">
        <f t="shared" si="422"/>
        <v>5.3043231643066388E-2</v>
      </c>
      <c r="BC79" s="237">
        <f t="shared" si="422"/>
        <v>5.2963197867228522E-2</v>
      </c>
      <c r="BD79" s="67">
        <f t="shared" si="422"/>
        <v>5.350411090241923E-2</v>
      </c>
      <c r="BE79" s="237">
        <f t="shared" si="422"/>
        <v>5.3604188330762831E-2</v>
      </c>
      <c r="BF79" s="237">
        <f t="shared" si="422"/>
        <v>5.3777175425307758E-2</v>
      </c>
      <c r="BG79" s="237">
        <f t="shared" si="422"/>
        <v>5.4096119374191134E-2</v>
      </c>
      <c r="BH79" s="237">
        <f t="shared" si="422"/>
        <v>5.7098467142964071E-2</v>
      </c>
      <c r="BI79" s="67">
        <f t="shared" si="422"/>
        <v>5.4645992807068847E-2</v>
      </c>
      <c r="BJ79" s="237">
        <f t="shared" si="422"/>
        <v>5.2882059183478498E-2</v>
      </c>
      <c r="BK79" s="237">
        <f t="shared" si="422"/>
        <v>5.5443244380004281E-2</v>
      </c>
      <c r="BL79" s="237">
        <f>BL76/BL$20</f>
        <v>5.6726431571311596E-2</v>
      </c>
      <c r="BM79" s="237">
        <f>BM76/BM$20</f>
        <v>5.773546466740679E-2</v>
      </c>
      <c r="BN79" s="67">
        <f t="shared" si="422"/>
        <v>5.5687991044582517E-2</v>
      </c>
      <c r="BO79" s="237">
        <f t="shared" ref="BO79:BX79" si="423">BO76/BO$20</f>
        <v>5.8023099569713896E-2</v>
      </c>
      <c r="BP79" s="237">
        <f t="shared" si="423"/>
        <v>6.0130250022324257E-2</v>
      </c>
      <c r="BQ79" s="237">
        <f t="shared" si="423"/>
        <v>6.0853618028040866E-2</v>
      </c>
      <c r="BR79" s="237">
        <f t="shared" si="423"/>
        <v>6.1916163698994935E-2</v>
      </c>
      <c r="BS79" s="67">
        <f t="shared" si="423"/>
        <v>6.0216455335573793E-2</v>
      </c>
      <c r="BT79" s="237">
        <f t="shared" si="423"/>
        <v>6.1263408820023839E-2</v>
      </c>
      <c r="BU79" s="237">
        <f t="shared" si="423"/>
        <v>5.9008160703075956E-2</v>
      </c>
      <c r="BV79" s="237">
        <f t="shared" si="423"/>
        <v>5.8394160583941604E-2</v>
      </c>
      <c r="BW79" s="237">
        <f t="shared" si="423"/>
        <v>5.9170394469296464E-2</v>
      </c>
      <c r="BX79" s="67">
        <f t="shared" si="423"/>
        <v>5.9399582597527693E-2</v>
      </c>
      <c r="BY79" s="237">
        <f>BY76/BY$20</f>
        <v>6.0272856851964977E-2</v>
      </c>
      <c r="BZ79" s="237">
        <f>BZ76/BZ$20</f>
        <v>5.9606718557968043E-2</v>
      </c>
      <c r="CA79" s="237">
        <f>CA76/CA$20</f>
        <v>5.9430458109781266E-2</v>
      </c>
      <c r="CB79" s="237">
        <f>CB76/CB$20</f>
        <v>6.1900791996665275E-2</v>
      </c>
      <c r="CC79" s="67">
        <f t="shared" ref="CC79" si="424">CC76/CC$20</f>
        <v>6.0297370993466069E-2</v>
      </c>
      <c r="CD79" s="237">
        <f>CD76/CD$20</f>
        <v>5.9611922384476893E-2</v>
      </c>
      <c r="CE79" s="237">
        <f>CE76/CE$20</f>
        <v>6.0130718954248367E-2</v>
      </c>
      <c r="CF79" s="237">
        <f>CF76/CF$20</f>
        <v>6.0502283105022828E-2</v>
      </c>
      <c r="CG79" s="237">
        <f>CG76/CG$20</f>
        <v>5.8402327142537479E-2</v>
      </c>
      <c r="CH79" s="67">
        <f t="shared" ref="CH79" si="425">CH76/CH$20</f>
        <v>5.9659399067143945E-2</v>
      </c>
      <c r="CI79" s="237">
        <f>CI76/CI$20</f>
        <v>5.2385198395006688E-2</v>
      </c>
      <c r="CJ79" s="237">
        <f>CJ76/CJ$20</f>
        <v>5.3812741312741309E-2</v>
      </c>
      <c r="CK79" s="237">
        <f>CK76/CK$20</f>
        <v>5.6192034915439171E-2</v>
      </c>
      <c r="CL79" s="237">
        <f>CL76/CL$20</f>
        <v>6.4073226544622428E-2</v>
      </c>
      <c r="CM79" s="67">
        <f t="shared" ref="CM79:CW79" si="426">CM76/CM$20</f>
        <v>5.6007815043959623E-2</v>
      </c>
      <c r="CN79" s="237">
        <f t="shared" ca="1" si="426"/>
        <v>5.1999999999999998E-2</v>
      </c>
      <c r="CO79" s="237">
        <f t="shared" ca="1" si="426"/>
        <v>5.1999999999999998E-2</v>
      </c>
      <c r="CP79" s="237">
        <f t="shared" ca="1" si="426"/>
        <v>5.1999999999999998E-2</v>
      </c>
      <c r="CQ79" s="237">
        <f t="shared" ca="1" si="426"/>
        <v>5.1999999999999998E-2</v>
      </c>
      <c r="CR79" s="67">
        <f t="shared" ca="1" si="426"/>
        <v>5.1999999999999998E-2</v>
      </c>
      <c r="CS79" s="237">
        <f t="shared" ca="1" si="426"/>
        <v>5.1499999999999997E-2</v>
      </c>
      <c r="CT79" s="237">
        <f t="shared" ca="1" si="426"/>
        <v>5.1499999999999997E-2</v>
      </c>
      <c r="CU79" s="237">
        <f t="shared" ca="1" si="426"/>
        <v>5.1499999999999997E-2</v>
      </c>
      <c r="CV79" s="237">
        <f t="shared" ca="1" si="426"/>
        <v>5.1499999999999997E-2</v>
      </c>
      <c r="CW79" s="67">
        <f t="shared" ca="1" si="426"/>
        <v>5.1499999999999997E-2</v>
      </c>
      <c r="CX79" s="237">
        <f t="shared" ref="CX79:DB79" ca="1" si="427">CX76/CX$20</f>
        <v>5.0500000000000003E-2</v>
      </c>
      <c r="CY79" s="237">
        <f t="shared" ca="1" si="427"/>
        <v>5.0500000000000003E-2</v>
      </c>
      <c r="CZ79" s="237">
        <f t="shared" ca="1" si="427"/>
        <v>5.0500000000000003E-2</v>
      </c>
      <c r="DA79" s="237">
        <f t="shared" ca="1" si="427"/>
        <v>5.0500000000000003E-2</v>
      </c>
      <c r="DB79" s="67">
        <f t="shared" ca="1" si="427"/>
        <v>5.050000000000001E-2</v>
      </c>
      <c r="DC79" s="167"/>
      <c r="DD79" s="167"/>
      <c r="DE79" s="167"/>
      <c r="DF79" s="167"/>
      <c r="DG79" s="167"/>
      <c r="DH79" s="167"/>
      <c r="DI79" s="167"/>
      <c r="DJ79" s="167"/>
    </row>
    <row r="80" spans="1:114">
      <c r="A80" s="396"/>
      <c r="B80" s="37" t="s">
        <v>482</v>
      </c>
      <c r="C80" s="157"/>
      <c r="D80" s="80">
        <f t="shared" ref="D80:BK80" si="428">1000000*D76/D$15</f>
        <v>132.40962785420427</v>
      </c>
      <c r="E80" s="81">
        <f t="shared" si="428"/>
        <v>94.654535300880966</v>
      </c>
      <c r="F80" s="82">
        <f t="shared" si="428"/>
        <v>97.140950667855407</v>
      </c>
      <c r="G80" s="93">
        <f t="shared" si="428"/>
        <v>96.871403577977418</v>
      </c>
      <c r="H80" s="93">
        <f t="shared" si="428"/>
        <v>102.90909004468467</v>
      </c>
      <c r="I80" s="93">
        <f t="shared" si="428"/>
        <v>106.33413412130896</v>
      </c>
      <c r="J80" s="93">
        <f t="shared" si="428"/>
        <v>99.876410852675036</v>
      </c>
      <c r="K80" s="82">
        <f t="shared" si="428"/>
        <v>101.41934373791446</v>
      </c>
      <c r="L80" s="93">
        <f t="shared" si="428"/>
        <v>75.171428317342389</v>
      </c>
      <c r="M80" s="93">
        <f t="shared" si="428"/>
        <v>79.079261152986561</v>
      </c>
      <c r="N80" s="93">
        <f t="shared" si="428"/>
        <v>77.78239931649604</v>
      </c>
      <c r="O80" s="93">
        <f t="shared" si="428"/>
        <v>84.879251739866547</v>
      </c>
      <c r="P80" s="82">
        <f t="shared" si="428"/>
        <v>79.219355153754563</v>
      </c>
      <c r="Q80" s="93">
        <f t="shared" si="428"/>
        <v>75.461994427554913</v>
      </c>
      <c r="R80" s="93">
        <f t="shared" si="428"/>
        <v>83.886310825751167</v>
      </c>
      <c r="S80" s="93">
        <f t="shared" si="428"/>
        <v>78.192762577492658</v>
      </c>
      <c r="T80" s="93">
        <f t="shared" si="428"/>
        <v>76.200574048846264</v>
      </c>
      <c r="U80" s="82">
        <f t="shared" si="428"/>
        <v>78.241030579839602</v>
      </c>
      <c r="V80" s="93">
        <f t="shared" si="428"/>
        <v>70.923774831905646</v>
      </c>
      <c r="W80" s="93">
        <f t="shared" si="428"/>
        <v>74.565276954303656</v>
      </c>
      <c r="X80" s="93">
        <f t="shared" si="428"/>
        <v>74.747231478301373</v>
      </c>
      <c r="Y80" s="93">
        <f t="shared" si="428"/>
        <v>78.167669031846515</v>
      </c>
      <c r="Z80" s="82">
        <f t="shared" si="428"/>
        <v>74.583589189275699</v>
      </c>
      <c r="AA80" s="93">
        <f t="shared" si="428"/>
        <v>70.353876367606276</v>
      </c>
      <c r="AB80" s="93">
        <f t="shared" si="428"/>
        <v>73.646779090230908</v>
      </c>
      <c r="AC80" s="93">
        <f t="shared" si="428"/>
        <v>74.748291837532392</v>
      </c>
      <c r="AD80" s="93">
        <f t="shared" si="428"/>
        <v>78.014867860478844</v>
      </c>
      <c r="AE80" s="82">
        <f t="shared" si="428"/>
        <v>74.170408783560333</v>
      </c>
      <c r="AF80" s="93">
        <f t="shared" si="428"/>
        <v>70.351856825990652</v>
      </c>
      <c r="AG80" s="93">
        <f t="shared" si="428"/>
        <v>77.983649626894461</v>
      </c>
      <c r="AH80" s="93">
        <f t="shared" si="428"/>
        <v>79.357891089985088</v>
      </c>
      <c r="AI80" s="93">
        <f t="shared" si="428"/>
        <v>76.917779857173855</v>
      </c>
      <c r="AJ80" s="82">
        <f t="shared" si="428"/>
        <v>76.196753358901915</v>
      </c>
      <c r="AK80" s="93">
        <f t="shared" si="428"/>
        <v>76.881898191736653</v>
      </c>
      <c r="AL80" s="93">
        <f t="shared" si="428"/>
        <v>79.882558151869105</v>
      </c>
      <c r="AM80" s="93">
        <f t="shared" si="428"/>
        <v>95.938442967489451</v>
      </c>
      <c r="AN80" s="93">
        <f t="shared" si="428"/>
        <v>92.220391648136285</v>
      </c>
      <c r="AO80" s="82">
        <f t="shared" si="428"/>
        <v>88.335608253588504</v>
      </c>
      <c r="AP80" s="93">
        <f t="shared" si="428"/>
        <v>90.787042491110341</v>
      </c>
      <c r="AQ80" s="93">
        <f t="shared" si="428"/>
        <v>99.213597614216766</v>
      </c>
      <c r="AR80" s="93">
        <f t="shared" si="428"/>
        <v>104.42520195003739</v>
      </c>
      <c r="AS80" s="93">
        <f t="shared" si="428"/>
        <v>100.16059938577391</v>
      </c>
      <c r="AT80" s="82">
        <f t="shared" si="428"/>
        <v>98.492921752563959</v>
      </c>
      <c r="AU80" s="93">
        <f t="shared" si="428"/>
        <v>102.78467816094278</v>
      </c>
      <c r="AV80" s="93">
        <f t="shared" si="428"/>
        <v>105.18708958310798</v>
      </c>
      <c r="AW80" s="93">
        <f t="shared" si="428"/>
        <v>104.94170050488482</v>
      </c>
      <c r="AX80" s="93">
        <f t="shared" si="428"/>
        <v>106.70900505077253</v>
      </c>
      <c r="AY80" s="82">
        <f t="shared" si="428"/>
        <v>104.92014074019433</v>
      </c>
      <c r="AZ80" s="93">
        <f t="shared" si="428"/>
        <v>106.20810771377506</v>
      </c>
      <c r="BA80" s="93">
        <f t="shared" si="428"/>
        <v>112.48185721976161</v>
      </c>
      <c r="BB80" s="93">
        <f t="shared" si="428"/>
        <v>109.78244195760062</v>
      </c>
      <c r="BC80" s="93">
        <f t="shared" si="428"/>
        <v>110.18067586257398</v>
      </c>
      <c r="BD80" s="82">
        <f t="shared" si="428"/>
        <v>109.6531221207473</v>
      </c>
      <c r="BE80" s="93">
        <f t="shared" si="428"/>
        <v>107.64001334747492</v>
      </c>
      <c r="BF80" s="93">
        <f t="shared" si="428"/>
        <v>110.83435222156525</v>
      </c>
      <c r="BG80" s="93">
        <f t="shared" si="428"/>
        <v>110.81610704198941</v>
      </c>
      <c r="BH80" s="93">
        <f t="shared" si="428"/>
        <v>116.93877990461506</v>
      </c>
      <c r="BI80" s="82">
        <f t="shared" si="428"/>
        <v>111.5433249860121</v>
      </c>
      <c r="BJ80" s="93">
        <f t="shared" si="428"/>
        <v>109.8719499296774</v>
      </c>
      <c r="BK80" s="93">
        <f t="shared" si="428"/>
        <v>118.36430222893067</v>
      </c>
      <c r="BL80" s="93">
        <f t="shared" ref="BL80:BR80" si="429">1000000*BL76/BL$15</f>
        <v>118.61891085352967</v>
      </c>
      <c r="BM80" s="93">
        <f t="shared" si="429"/>
        <v>122.94143960215023</v>
      </c>
      <c r="BN80" s="82">
        <f t="shared" si="429"/>
        <v>117.38686272626437</v>
      </c>
      <c r="BO80" s="93">
        <f t="shared" si="429"/>
        <v>122.12100707891885</v>
      </c>
      <c r="BP80" s="93">
        <f t="shared" si="429"/>
        <v>128.41341333090872</v>
      </c>
      <c r="BQ80" s="93">
        <f t="shared" si="429"/>
        <v>132.83840325222658</v>
      </c>
      <c r="BR80" s="93">
        <f t="shared" si="429"/>
        <v>137.11745274034578</v>
      </c>
      <c r="BS80" s="82">
        <f t="shared" ref="BS80:BX80" si="430">1000000*BS76/BS$15</f>
        <v>129.96144215572824</v>
      </c>
      <c r="BT80" s="93">
        <f t="shared" si="430"/>
        <v>128.91627654905153</v>
      </c>
      <c r="BU80" s="93">
        <f>1000000*BU76/BU$15</f>
        <v>124.34253768530189</v>
      </c>
      <c r="BV80" s="93">
        <f>1000000*BV76/BV$15</f>
        <v>125.31062193209281</v>
      </c>
      <c r="BW80" s="93">
        <f>1000000*BW76/BW$15</f>
        <v>129.69441215915077</v>
      </c>
      <c r="BX80" s="82">
        <f t="shared" si="430"/>
        <v>127.0073189807821</v>
      </c>
      <c r="BY80" s="93">
        <f>1000000*BY76/BY$15</f>
        <v>126.75610599244563</v>
      </c>
      <c r="BZ80" s="93">
        <f>1000000*BZ76/BZ$15</f>
        <v>128.58796454287506</v>
      </c>
      <c r="CA80" s="93">
        <f>1000000*CA76/CA$15</f>
        <v>129.15353309465914</v>
      </c>
      <c r="CB80" s="93">
        <f>1000000*CB76/CB$15</f>
        <v>134.05998312457612</v>
      </c>
      <c r="CC80" s="82">
        <f t="shared" ref="CC80" si="431">1000000*CC76/CC$15</f>
        <v>129.59489847773347</v>
      </c>
      <c r="CD80" s="93">
        <f>1000000*CD76/CD$15</f>
        <v>129.33049527064264</v>
      </c>
      <c r="CE80" s="93">
        <f>1000000*CE76/CE$15</f>
        <v>132.09095021356117</v>
      </c>
      <c r="CF80" s="93">
        <f>1000000*CF76/CF$15</f>
        <v>133.65531381092566</v>
      </c>
      <c r="CG80" s="93">
        <f>1000000*CG76/CG$15</f>
        <v>132.56982587170563</v>
      </c>
      <c r="CH80" s="82">
        <f t="shared" ref="CH80" si="432">1000000*CH76/CH$15</f>
        <v>131.81341241559159</v>
      </c>
      <c r="CI80" s="93">
        <f>1000000*CI76/CI$15</f>
        <v>114.31087525518734</v>
      </c>
      <c r="CJ80" s="93">
        <f>1000000*CJ76/CJ$15</f>
        <v>121.01271692400593</v>
      </c>
      <c r="CK80" s="93">
        <f>1000000*CK76/CK$15</f>
        <v>124.46220509341347</v>
      </c>
      <c r="CL80" s="93">
        <f>1000000*CL76/CL$15</f>
        <v>124.76559215820883</v>
      </c>
      <c r="CM80" s="82">
        <f t="shared" ref="CM80:CW80" si="433">1000000*CM76/CM$15</f>
        <v>120.70775516382449</v>
      </c>
      <c r="CN80" s="93">
        <f t="shared" ca="1" si="433"/>
        <v>124.06415897101444</v>
      </c>
      <c r="CO80" s="93">
        <f t="shared" ca="1" si="433"/>
        <v>128.69693897467951</v>
      </c>
      <c r="CP80" s="93">
        <f t="shared" ca="1" si="433"/>
        <v>127.80066126721162</v>
      </c>
      <c r="CQ80" s="93">
        <f t="shared" ca="1" si="433"/>
        <v>144.4313669700374</v>
      </c>
      <c r="CR80" s="82">
        <f t="shared" ca="1" si="433"/>
        <v>130.86361879787009</v>
      </c>
      <c r="CS80" s="93">
        <f t="shared" ca="1" si="433"/>
        <v>135.51338341475994</v>
      </c>
      <c r="CT80" s="93">
        <f t="shared" ca="1" si="433"/>
        <v>131.68566732256593</v>
      </c>
      <c r="CU80" s="93">
        <f t="shared" ca="1" si="433"/>
        <v>125.58647647763178</v>
      </c>
      <c r="CV80" s="93">
        <f t="shared" ca="1" si="433"/>
        <v>145.64783917543329</v>
      </c>
      <c r="CW80" s="82">
        <f t="shared" ca="1" si="433"/>
        <v>134.53833765123858</v>
      </c>
      <c r="CX80" s="93">
        <f t="shared" ref="CX80:DB80" ca="1" si="434">1000000*CX76/CX$15</f>
        <v>133.31962649962685</v>
      </c>
      <c r="CY80" s="93">
        <f t="shared" ca="1" si="434"/>
        <v>129.58554322911868</v>
      </c>
      <c r="CZ80" s="93">
        <f t="shared" ca="1" si="434"/>
        <v>123.69815906870713</v>
      </c>
      <c r="DA80" s="93">
        <f t="shared" ca="1" si="434"/>
        <v>143.41475838585464</v>
      </c>
      <c r="DB80" s="82">
        <f t="shared" ca="1" si="434"/>
        <v>132.45090301326115</v>
      </c>
      <c r="DC80" s="37"/>
      <c r="DD80" s="37"/>
      <c r="DE80" s="37"/>
      <c r="DF80" s="37"/>
      <c r="DG80" s="37"/>
      <c r="DH80" s="37"/>
      <c r="DI80" s="37"/>
      <c r="DJ80" s="37"/>
    </row>
    <row r="81" spans="1:114">
      <c r="A81" s="458"/>
      <c r="B81" s="473" t="s">
        <v>183</v>
      </c>
      <c r="C81" s="474"/>
      <c r="D81" s="129"/>
      <c r="E81" s="153"/>
      <c r="F81" s="129"/>
      <c r="G81" s="167"/>
      <c r="H81" s="167"/>
      <c r="I81" s="167"/>
      <c r="J81" s="167"/>
      <c r="K81" s="67">
        <f t="shared" ref="K81:AP81" si="435">K80/F80-1</f>
        <v>4.4043145971339515E-2</v>
      </c>
      <c r="L81" s="237">
        <f t="shared" si="435"/>
        <v>-0.22400806078098645</v>
      </c>
      <c r="M81" s="237">
        <f t="shared" si="435"/>
        <v>-0.23156194347215431</v>
      </c>
      <c r="N81" s="237">
        <f t="shared" si="435"/>
        <v>-0.26850959045982636</v>
      </c>
      <c r="O81" s="237">
        <f t="shared" si="435"/>
        <v>-0.15015716909301424</v>
      </c>
      <c r="P81" s="67">
        <f t="shared" si="435"/>
        <v>-0.21889304116903574</v>
      </c>
      <c r="Q81" s="237">
        <f t="shared" si="435"/>
        <v>3.8653796624148473E-3</v>
      </c>
      <c r="R81" s="237">
        <f t="shared" si="435"/>
        <v>6.0787741345545765E-2</v>
      </c>
      <c r="S81" s="237">
        <f t="shared" si="435"/>
        <v>5.2757855839191681E-3</v>
      </c>
      <c r="T81" s="237">
        <f t="shared" si="435"/>
        <v>-0.10224733975763878</v>
      </c>
      <c r="U81" s="67">
        <f t="shared" si="435"/>
        <v>-1.2349564977096272E-2</v>
      </c>
      <c r="V81" s="237">
        <f t="shared" si="435"/>
        <v>-6.0139141962462284E-2</v>
      </c>
      <c r="W81" s="237">
        <f t="shared" si="435"/>
        <v>-0.11111507681878141</v>
      </c>
      <c r="X81" s="237">
        <f t="shared" si="435"/>
        <v>-4.4064578173416025E-2</v>
      </c>
      <c r="Y81" s="237">
        <f t="shared" si="435"/>
        <v>2.5814700316290295E-2</v>
      </c>
      <c r="Z81" s="67">
        <f t="shared" si="435"/>
        <v>-4.6745823303435907E-2</v>
      </c>
      <c r="AA81" s="237">
        <f t="shared" si="435"/>
        <v>-8.0353656534789542E-3</v>
      </c>
      <c r="AB81" s="237">
        <f t="shared" si="435"/>
        <v>-1.2318037316962349E-2</v>
      </c>
      <c r="AC81" s="237">
        <f t="shared" si="435"/>
        <v>1.4185933178367804E-5</v>
      </c>
      <c r="AD81" s="237">
        <f t="shared" si="435"/>
        <v>-1.9547873597896004E-3</v>
      </c>
      <c r="AE81" s="67">
        <f t="shared" si="435"/>
        <v>-5.5398300109533727E-3</v>
      </c>
      <c r="AF81" s="237">
        <f t="shared" si="435"/>
        <v>-2.8705477507329213E-5</v>
      </c>
      <c r="AG81" s="237">
        <f t="shared" si="435"/>
        <v>5.8887443418945473E-2</v>
      </c>
      <c r="AH81" s="237">
        <f t="shared" si="435"/>
        <v>6.1668288854971998E-2</v>
      </c>
      <c r="AI81" s="237">
        <f t="shared" si="435"/>
        <v>-1.4062550298322818E-2</v>
      </c>
      <c r="AJ81" s="67">
        <f t="shared" si="435"/>
        <v>2.7320121441621659E-2</v>
      </c>
      <c r="AK81" s="237">
        <f t="shared" si="435"/>
        <v>9.2819744358667133E-2</v>
      </c>
      <c r="AL81" s="237">
        <f t="shared" si="435"/>
        <v>2.4350085358402662E-2</v>
      </c>
      <c r="AM81" s="237">
        <f t="shared" si="435"/>
        <v>0.20893387727130275</v>
      </c>
      <c r="AN81" s="237">
        <f t="shared" si="435"/>
        <v>0.19894765318730401</v>
      </c>
      <c r="AO81" s="67">
        <f t="shared" si="435"/>
        <v>0.15930934534061003</v>
      </c>
      <c r="AP81" s="237">
        <f t="shared" si="435"/>
        <v>0.18086369648022327</v>
      </c>
      <c r="AQ81" s="237">
        <f t="shared" ref="AQ81:CL81" si="436">AQ80/AL80-1</f>
        <v>0.24199324495337726</v>
      </c>
      <c r="AR81" s="237">
        <f t="shared" si="436"/>
        <v>8.8460461938326906E-2</v>
      </c>
      <c r="AS81" s="237">
        <f t="shared" si="436"/>
        <v>8.6100347176286229E-2</v>
      </c>
      <c r="AT81" s="67">
        <f t="shared" si="436"/>
        <v>0.11498549339034891</v>
      </c>
      <c r="AU81" s="237">
        <f t="shared" si="436"/>
        <v>0.13215140994384988</v>
      </c>
      <c r="AV81" s="237">
        <f t="shared" si="436"/>
        <v>6.0208399982818905E-2</v>
      </c>
      <c r="AW81" s="237">
        <f t="shared" si="436"/>
        <v>4.9461101841541399E-3</v>
      </c>
      <c r="AX81" s="237">
        <f t="shared" si="436"/>
        <v>6.5379058283957514E-2</v>
      </c>
      <c r="AY81" s="67">
        <f t="shared" si="436"/>
        <v>6.5255643484482651E-2</v>
      </c>
      <c r="AZ81" s="237">
        <f t="shared" si="436"/>
        <v>3.3306808116593034E-2</v>
      </c>
      <c r="BA81" s="237">
        <f t="shared" si="436"/>
        <v>6.935040854885588E-2</v>
      </c>
      <c r="BB81" s="237">
        <f t="shared" si="436"/>
        <v>4.6127911301480085E-2</v>
      </c>
      <c r="BC81" s="237">
        <f t="shared" si="436"/>
        <v>3.2534000388717121E-2</v>
      </c>
      <c r="BD81" s="67">
        <f t="shared" si="436"/>
        <v>4.5110322452510676E-2</v>
      </c>
      <c r="BE81" s="237">
        <f t="shared" si="436"/>
        <v>1.3482074622389151E-2</v>
      </c>
      <c r="BF81" s="237">
        <f t="shared" si="436"/>
        <v>-1.4646850958173085E-2</v>
      </c>
      <c r="BG81" s="237">
        <f t="shared" si="436"/>
        <v>9.4155774453259511E-3</v>
      </c>
      <c r="BH81" s="237">
        <f t="shared" si="436"/>
        <v>6.1336563686270384E-2</v>
      </c>
      <c r="BI81" s="67">
        <f t="shared" si="436"/>
        <v>1.7238021396083436E-2</v>
      </c>
      <c r="BJ81" s="237">
        <f t="shared" si="436"/>
        <v>2.0735194216276343E-2</v>
      </c>
      <c r="BK81" s="237">
        <f t="shared" si="436"/>
        <v>6.7938774003140745E-2</v>
      </c>
      <c r="BL81" s="237">
        <f t="shared" si="436"/>
        <v>7.041218122365267E-2</v>
      </c>
      <c r="BM81" s="237">
        <f t="shared" si="436"/>
        <v>5.1331642953957868E-2</v>
      </c>
      <c r="BN81" s="67">
        <f t="shared" si="436"/>
        <v>5.2388054067646461E-2</v>
      </c>
      <c r="BO81" s="237">
        <f t="shared" si="436"/>
        <v>0.1114848435572624</v>
      </c>
      <c r="BP81" s="237">
        <f t="shared" si="436"/>
        <v>8.4899846598528228E-2</v>
      </c>
      <c r="BQ81" s="237">
        <f>BQ80/BL80-1</f>
        <v>0.11987542539701024</v>
      </c>
      <c r="BR81" s="237">
        <f>BR80/BM80-1</f>
        <v>0.11530703710701973</v>
      </c>
      <c r="BS81" s="67">
        <f t="shared" si="436"/>
        <v>0.10712084076040651</v>
      </c>
      <c r="BT81" s="237">
        <f t="shared" si="436"/>
        <v>5.5643739211398202E-2</v>
      </c>
      <c r="BU81" s="237">
        <f t="shared" si="436"/>
        <v>-3.1701327299170745E-2</v>
      </c>
      <c r="BV81" s="237">
        <f t="shared" si="436"/>
        <v>-5.6668712780598596E-2</v>
      </c>
      <c r="BW81" s="237">
        <f t="shared" si="436"/>
        <v>-5.4136365815165344E-2</v>
      </c>
      <c r="BX81" s="67">
        <f>BX80/BS80-1</f>
        <v>-2.2730766340729791E-2</v>
      </c>
      <c r="BY81" s="237">
        <f t="shared" si="436"/>
        <v>-1.6756383401935859E-2</v>
      </c>
      <c r="BZ81" s="237">
        <f t="shared" si="436"/>
        <v>3.4142996729871422E-2</v>
      </c>
      <c r="CA81" s="237">
        <f t="shared" si="436"/>
        <v>3.06670823535522E-2</v>
      </c>
      <c r="CB81" s="237">
        <f t="shared" si="436"/>
        <v>3.3660439896733951E-2</v>
      </c>
      <c r="CC81" s="67">
        <f>CC80/BX80-1</f>
        <v>2.0373467590028449E-2</v>
      </c>
      <c r="CD81" s="237">
        <f t="shared" si="436"/>
        <v>2.0309785142424985E-2</v>
      </c>
      <c r="CE81" s="237">
        <f t="shared" si="436"/>
        <v>2.7241940434620693E-2</v>
      </c>
      <c r="CF81" s="237">
        <f t="shared" si="436"/>
        <v>3.485604000447351E-2</v>
      </c>
      <c r="CG81" s="237">
        <f t="shared" si="436"/>
        <v>-1.1115600779135981E-2</v>
      </c>
      <c r="CH81" s="67">
        <f>CH80/CC80-1</f>
        <v>1.7118836959768791E-2</v>
      </c>
      <c r="CI81" s="237">
        <f t="shared" si="436"/>
        <v>-0.11613363100500462</v>
      </c>
      <c r="CJ81" s="237">
        <f t="shared" si="436"/>
        <v>-8.3868223157182564E-2</v>
      </c>
      <c r="CK81" s="237">
        <f t="shared" si="436"/>
        <v>-6.8782216399694618E-2</v>
      </c>
      <c r="CL81" s="237">
        <f t="shared" si="436"/>
        <v>-5.8868853920418851E-2</v>
      </c>
      <c r="CM81" s="67">
        <f t="shared" ref="CM81" si="437">CM80/CH80-1</f>
        <v>-8.4252862043752597E-2</v>
      </c>
      <c r="CN81" s="237">
        <f t="shared" ref="CN81:CW81" ca="1" si="438">CN80/CI80-1</f>
        <v>8.5322448052767452E-2</v>
      </c>
      <c r="CO81" s="237">
        <f t="shared" ca="1" si="438"/>
        <v>6.3499293677532709E-2</v>
      </c>
      <c r="CP81" s="237">
        <f t="shared" ca="1" si="438"/>
        <v>2.6823051795462849E-2</v>
      </c>
      <c r="CQ81" s="237">
        <f t="shared" ca="1" si="438"/>
        <v>0.15762178074618061</v>
      </c>
      <c r="CR81" s="67">
        <f t="shared" ca="1" si="438"/>
        <v>8.4135966411288843E-2</v>
      </c>
      <c r="CS81" s="237">
        <f t="shared" ca="1" si="438"/>
        <v>9.228470606422623E-2</v>
      </c>
      <c r="CT81" s="237">
        <f t="shared" ca="1" si="438"/>
        <v>2.3222994825653487E-2</v>
      </c>
      <c r="CU81" s="237">
        <f t="shared" ca="1" si="438"/>
        <v>-1.7325299944656147E-2</v>
      </c>
      <c r="CV81" s="237">
        <f t="shared" ca="1" si="438"/>
        <v>8.4224931946275117E-3</v>
      </c>
      <c r="CW81" s="67">
        <f t="shared" ca="1" si="438"/>
        <v>2.8080522968300325E-2</v>
      </c>
      <c r="CX81" s="237">
        <f t="shared" ref="CX81" ca="1" si="439">CX80/CS80-1</f>
        <v>-1.6188488987975092E-2</v>
      </c>
      <c r="CY81" s="237">
        <f t="shared" ref="CY81" ca="1" si="440">CY80/CT80-1</f>
        <v>-1.5948008132904534E-2</v>
      </c>
      <c r="CZ81" s="237">
        <f t="shared" ref="CZ81" ca="1" si="441">CZ80/CU80-1</f>
        <v>-1.503599322066318E-2</v>
      </c>
      <c r="DA81" s="237">
        <f t="shared" ref="DA81" ca="1" si="442">DA80/CV80-1</f>
        <v>-1.5332055746387629E-2</v>
      </c>
      <c r="DB81" s="67">
        <f t="shared" ref="DB81" ca="1" si="443">DB80/CW80-1</f>
        <v>-1.5515537611209718E-2</v>
      </c>
      <c r="DC81" s="167"/>
      <c r="DD81" s="167"/>
      <c r="DE81" s="167"/>
      <c r="DF81" s="167"/>
      <c r="DG81" s="167"/>
      <c r="DH81" s="167"/>
      <c r="DI81" s="167"/>
      <c r="DJ81" s="167"/>
    </row>
    <row r="82" spans="1:114">
      <c r="A82" s="377"/>
      <c r="B82" s="163" t="s">
        <v>85</v>
      </c>
      <c r="C82" s="500"/>
      <c r="D82" s="65"/>
      <c r="E82" s="70">
        <f>E76/'BS &amp; CF'!E19</f>
        <v>0.13098887771259163</v>
      </c>
      <c r="F82" s="65">
        <f>F76/'BS &amp; CF'!F19</f>
        <v>0.13787123224602835</v>
      </c>
      <c r="G82" s="163">
        <f>4*G76/'BS &amp; CF'!G19</f>
        <v>0.15859998942926368</v>
      </c>
      <c r="H82" s="163">
        <f>4*H76/'BS &amp; CF'!H19</f>
        <v>0.14952739566119611</v>
      </c>
      <c r="I82" s="163">
        <f>4*I76/'BS &amp; CF'!I19</f>
        <v>0.15749719774173979</v>
      </c>
      <c r="J82" s="163">
        <f>4*J76/'BS &amp; CF'!J19</f>
        <v>0.14711021148621981</v>
      </c>
      <c r="K82" s="67">
        <f>K76/'BS &amp; CF'!K19</f>
        <v>0.13809960140052208</v>
      </c>
      <c r="L82" s="163">
        <f>4*L76/'BS &amp; CF'!L19</f>
        <v>0.12369088135832425</v>
      </c>
      <c r="M82" s="163">
        <f>4*M76/'BS &amp; CF'!M19</f>
        <v>0.12350648173329708</v>
      </c>
      <c r="N82" s="163">
        <f>4*N76/'BS &amp; CF'!N19</f>
        <v>0.11808698433458929</v>
      </c>
      <c r="O82" s="163">
        <f>4*O76/'BS &amp; CF'!O19</f>
        <v>0.12357857533538578</v>
      </c>
      <c r="P82" s="67">
        <f>P76/'BS &amp; CF'!P19</f>
        <v>0.11484868415300335</v>
      </c>
      <c r="Q82" s="163">
        <f>4*Q76/'BS &amp; CF'!Q19</f>
        <v>0.11764310348183524</v>
      </c>
      <c r="R82" s="163">
        <f>4*R76/'BS &amp; CF'!R19</f>
        <v>0.12114630254841637</v>
      </c>
      <c r="S82" s="163">
        <f>4*S76/'BS &amp; CF'!S19</f>
        <v>0.11632244669207444</v>
      </c>
      <c r="T82" s="163">
        <f>4*T76/'BS &amp; CF'!T19</f>
        <v>0.11407071369446266</v>
      </c>
      <c r="U82" s="67">
        <f>U76/'BS &amp; CF'!U19</f>
        <v>0.10303258333960418</v>
      </c>
      <c r="V82" s="163">
        <f>4*V76/'BS &amp; CF'!V19</f>
        <v>0.10998184417165016</v>
      </c>
      <c r="W82" s="163">
        <f>4*W76/'BS &amp; CF'!W19</f>
        <v>0.10995585402853296</v>
      </c>
      <c r="X82" s="163">
        <f>4*X76/'BS &amp; CF'!X19</f>
        <v>0.1063386772720418</v>
      </c>
      <c r="Y82" s="163">
        <f>4*Y76/'BS &amp; CF'!Y19</f>
        <v>0.11209876676267794</v>
      </c>
      <c r="Z82" s="67">
        <f>Z76/'BS &amp; CF'!Z19</f>
        <v>0.10647887437792514</v>
      </c>
      <c r="AA82" s="163">
        <f>4*AA76/'BS &amp; CF'!AA19</f>
        <v>0.10897656770926767</v>
      </c>
      <c r="AB82" s="163">
        <f>4*AB76/'BS &amp; CF'!AB19</f>
        <v>0.10908412368328337</v>
      </c>
      <c r="AC82" s="163">
        <f>4*AC76/'BS &amp; CF'!AC19</f>
        <v>0.10799565243483654</v>
      </c>
      <c r="AD82" s="163">
        <f>4*AD76/'BS &amp; CF'!AD19</f>
        <v>0.10873555469893997</v>
      </c>
      <c r="AE82" s="67">
        <f>AE76/'BS &amp; CF'!AE19</f>
        <v>0.10242887762873908</v>
      </c>
      <c r="AF82" s="163">
        <f>4*AF76/'BS &amp; CF'!AF19</f>
        <v>0.10447212769853353</v>
      </c>
      <c r="AG82" s="163">
        <f>4*AG76/'BS &amp; CF'!AG19</f>
        <v>0.10740386224133829</v>
      </c>
      <c r="AH82" s="163">
        <f>4*AH76/'BS &amp; CF'!AH19</f>
        <v>0.10822809562448744</v>
      </c>
      <c r="AI82" s="163">
        <f>4*AI76/'BS &amp; CF'!AI19</f>
        <v>9.8925941456082495E-2</v>
      </c>
      <c r="AJ82" s="67">
        <f>AJ76/'BS &amp; CF'!AJ19</f>
        <v>9.5023248532526042E-2</v>
      </c>
      <c r="AK82" s="163">
        <f>4*AK76/'BS &amp; CF'!AK19</f>
        <v>0.10327828481902883</v>
      </c>
      <c r="AL82" s="163">
        <f>4*AL76/'BS &amp; CF'!AL19</f>
        <v>0.10214528260884133</v>
      </c>
      <c r="AM82" s="163">
        <f>4*AM76/'BS &amp; CF'!AM19</f>
        <v>7.2436545286877582E-2</v>
      </c>
      <c r="AN82" s="163">
        <f>4*AN76/'BS &amp; CF'!AN19</f>
        <v>8.3521055681066603E-2</v>
      </c>
      <c r="AO82" s="67">
        <f>AO76/'BS &amp; CF'!AO19</f>
        <v>5.9166189877904597E-2</v>
      </c>
      <c r="AP82" s="163">
        <f>4*AP76/'BS &amp; CF'!AP19</f>
        <v>9.0258213955325448E-2</v>
      </c>
      <c r="AQ82" s="163">
        <f>4*AQ76/'BS &amp; CF'!AQ19</f>
        <v>8.889894506234175E-2</v>
      </c>
      <c r="AR82" s="163">
        <f>4*AR76/'BS &amp; CF'!AR19</f>
        <v>9.0874939463476676E-2</v>
      </c>
      <c r="AS82" s="163">
        <f>4*AS76/'BS &amp; CF'!AS19</f>
        <v>8.5728904752874355E-2</v>
      </c>
      <c r="AT82" s="67">
        <f>AT76/'BS &amp; CF'!AT19</f>
        <v>8.5865723960178289E-2</v>
      </c>
      <c r="AU82" s="163">
        <f>4*AU76/'BS &amp; CF'!AU19</f>
        <v>9.2382571899528546E-2</v>
      </c>
      <c r="AV82" s="163">
        <f>4*AV76/'BS &amp; CF'!AV19</f>
        <v>9.3774588986931681E-2</v>
      </c>
      <c r="AW82" s="163">
        <f>4*AW76/'BS &amp; CF'!AW19</f>
        <v>9.4861900366854893E-2</v>
      </c>
      <c r="AX82" s="163">
        <f>4*AX76/'BS &amp; CF'!AX19</f>
        <v>9.4350422341178103E-2</v>
      </c>
      <c r="AY82" s="67">
        <f>AY76/'BS &amp; CF'!AY19</f>
        <v>9.2328650872779736E-2</v>
      </c>
      <c r="AZ82" s="163">
        <f>4*AZ76/'BS &amp; CF'!AZ19</f>
        <v>9.6663474092943333E-2</v>
      </c>
      <c r="BA82" s="163">
        <f>4*BA76/'BS &amp; CF'!BA19</f>
        <v>0.10082586878589368</v>
      </c>
      <c r="BB82" s="163">
        <f>4*BB76/'BS &amp; CF'!BB19</f>
        <v>9.8391651759481863E-2</v>
      </c>
      <c r="BC82" s="163">
        <f>4*BC76/'BS &amp; CF'!BC19</f>
        <v>9.766059937442953E-2</v>
      </c>
      <c r="BD82" s="67">
        <f>BD76/'BS &amp; CF'!BD19</f>
        <v>9.4439366773282254E-2</v>
      </c>
      <c r="BE82" s="163">
        <f>4*BE76/'BS &amp; CF'!BE19</f>
        <v>9.9700034918622227E-2</v>
      </c>
      <c r="BF82" s="163">
        <f>4*BF76/'BS &amp; CF'!BF19</f>
        <v>9.9210257431732091E-2</v>
      </c>
      <c r="BG82" s="163">
        <f>4*BG76/'BS &amp; CF'!BG19</f>
        <v>9.827591976805386E-2</v>
      </c>
      <c r="BH82" s="163">
        <f>4*BH76/'BS &amp; CF'!BH19</f>
        <v>0.10013337269558703</v>
      </c>
      <c r="BI82" s="67">
        <f>BI76/'BS &amp; CF'!BI19</f>
        <v>9.5565678759668926E-2</v>
      </c>
      <c r="BJ82" s="163">
        <f>4*BJ76/'BS &amp; CF'!BJ19</f>
        <v>9.9604348157054781E-2</v>
      </c>
      <c r="BK82" s="163">
        <f>4*BK76/'BS &amp; CF'!BK19</f>
        <v>0.10204044280652219</v>
      </c>
      <c r="BL82" s="163">
        <f>4*BL76/'BS &amp; CF'!BL19</f>
        <v>0.10256812961366457</v>
      </c>
      <c r="BM82" s="163">
        <f>4*BM76/'BS &amp; CF'!BM19</f>
        <v>0.10581619668022629</v>
      </c>
      <c r="BN82" s="67">
        <f>BN76/'BS &amp; CF'!BN19</f>
        <v>0.10145006769555333</v>
      </c>
      <c r="BO82" s="163">
        <f>4*BO76/'BS &amp; CF'!BO19</f>
        <v>0.10833227392181739</v>
      </c>
      <c r="BP82" s="163">
        <f>4*BP76/'BS &amp; CF'!BP19</f>
        <v>0.10957112396477373</v>
      </c>
      <c r="BQ82" s="163">
        <f>4*BQ76/'BS &amp; CF'!BQ19</f>
        <v>0.11082368815944293</v>
      </c>
      <c r="BR82" s="163">
        <f>4*BR76/'BS &amp; CF'!BR19</f>
        <v>0.1124869157377022</v>
      </c>
      <c r="BS82" s="67">
        <f>BS76/'BS &amp; CF'!BS19</f>
        <v>0.1100118167738029</v>
      </c>
      <c r="BT82" s="163">
        <f>4*BT76/'BS &amp; CF'!BT19</f>
        <v>9.7237987135830498E-2</v>
      </c>
      <c r="BU82" s="163">
        <f>4*BU76/'BS &amp; CF'!BU19</f>
        <v>0.10428029952851993</v>
      </c>
      <c r="BV82" s="163">
        <f>4*BV76/'BS &amp; CF'!BV19</f>
        <v>0.10875898232666537</v>
      </c>
      <c r="BW82" s="163">
        <f>4*BW76/'BS &amp; CF'!BW19</f>
        <v>0.11446553250073753</v>
      </c>
      <c r="BX82" s="67">
        <f>BX76/'BS &amp; CF'!BX19</f>
        <v>0.10915527583833219</v>
      </c>
      <c r="BY82" s="163">
        <f>4*BY76/'BS &amp; CF'!BY19</f>
        <v>0.11733227628579923</v>
      </c>
      <c r="BZ82" s="163">
        <f>4*BZ76/'BS &amp; CF'!BZ19</f>
        <v>0.1153617443012884</v>
      </c>
      <c r="CA82" s="163">
        <f>4*CA76/'BS &amp; CF'!CA19</f>
        <v>0.11446740858505565</v>
      </c>
      <c r="CB82" s="163">
        <f>4*CB76/'BS &amp; CF'!CB19</f>
        <v>0.11748417721518987</v>
      </c>
      <c r="CC82" s="67">
        <f>CC76/'BS &amp; CF'!CC19</f>
        <v>0.11590189873417721</v>
      </c>
      <c r="CD82" s="163">
        <f>4*CD76/'BS &amp; CF'!CD19</f>
        <v>0.11797307996832937</v>
      </c>
      <c r="CE82" s="163">
        <f>4*CE76/'BS &amp; CF'!CE19</f>
        <v>0.12328308207705192</v>
      </c>
      <c r="CF82" s="163">
        <f>4*CF76/'BS &amp; CF'!CF19</f>
        <v>0.12004530011325028</v>
      </c>
      <c r="CG82" s="163">
        <f>4*CG76/'BS &amp; CF'!CG19</f>
        <v>0.12811387900355872</v>
      </c>
      <c r="CH82" s="67">
        <f>CH76/'BS &amp; CF'!CH19</f>
        <v>0.13498588783899865</v>
      </c>
      <c r="CI82" s="163">
        <f>4*CI76/'BS &amp; CF'!CI19</f>
        <v>0.12305275559628223</v>
      </c>
      <c r="CJ82" s="163">
        <f>4*CJ76/'BS &amp; CF'!CJ19</f>
        <v>0.12199124726477024</v>
      </c>
      <c r="CK82" s="163">
        <f>4*CK76/'BS &amp; CF'!CK19</f>
        <v>0.11239939980903015</v>
      </c>
      <c r="CL82" s="163">
        <f>4*CL76/'BS &amp; CF'!CL19</f>
        <v>0.11117413499716393</v>
      </c>
      <c r="CM82" s="67">
        <f>CM76/'BS &amp; CF'!CM19</f>
        <v>0.12195121951219512</v>
      </c>
      <c r="CN82" s="163">
        <f ca="1">4*CN76/'BS &amp; CF'!CN19</f>
        <v>0.11498264109702697</v>
      </c>
      <c r="CO82" s="163">
        <f ca="1">4*CO76/'BS &amp; CF'!CO19</f>
        <v>0.11487581387269154</v>
      </c>
      <c r="CP82" s="163">
        <f ca="1">4*CP76/'BS &amp; CF'!CP19</f>
        <v>0.11403584944821787</v>
      </c>
      <c r="CQ82" s="163">
        <f ca="1">4*CQ76/'BS &amp; CF'!CQ19</f>
        <v>0.14170302938912085</v>
      </c>
      <c r="CR82" s="67">
        <f ca="1">CR76/'BS &amp; CF'!CR19</f>
        <v>0.13739388937916119</v>
      </c>
      <c r="CS82" s="163">
        <f ca="1">4*CS76/'BS &amp; CF'!CS19</f>
        <v>0.1361402883233753</v>
      </c>
      <c r="CT82" s="163">
        <f ca="1">4*CT76/'BS &amp; CF'!CT19</f>
        <v>0.13144258719929103</v>
      </c>
      <c r="CU82" s="163">
        <f ca="1">4*CU76/'BS &amp; CF'!CU19</f>
        <v>0.12616106177594</v>
      </c>
      <c r="CV82" s="163">
        <f ca="1">4*CV76/'BS &amp; CF'!CV19</f>
        <v>0.14406992729791346</v>
      </c>
      <c r="CW82" s="67">
        <f ca="1">CW76/'BS &amp; CF'!CW19</f>
        <v>0.13609726799578442</v>
      </c>
      <c r="CX82" s="163">
        <f ca="1">4*CX76/'BS &amp; CF'!CX19</f>
        <v>0.13785118324919479</v>
      </c>
      <c r="CY82" s="163">
        <f ca="1">4*CY76/'BS &amp; CF'!CY19</f>
        <v>0.13310590998588201</v>
      </c>
      <c r="CZ82" s="163">
        <f ca="1">4*CZ76/'BS &amp; CF'!CZ19</f>
        <v>0.12664021493671834</v>
      </c>
      <c r="DA82" s="163">
        <f ca="1">4*DA76/'BS &amp; CF'!DA19</f>
        <v>0.14476713727147936</v>
      </c>
      <c r="DB82" s="67">
        <f ca="1">DB76/'BS &amp; CF'!DB19</f>
        <v>0.13657015807193504</v>
      </c>
      <c r="DC82" s="163"/>
      <c r="DD82" s="163"/>
      <c r="DE82" s="163"/>
      <c r="DF82" s="163"/>
      <c r="DG82" s="163"/>
      <c r="DH82" s="163"/>
      <c r="DI82" s="163"/>
      <c r="DJ82" s="163"/>
    </row>
    <row r="83" spans="1:114">
      <c r="A83" s="396"/>
      <c r="B83" s="37" t="s">
        <v>426</v>
      </c>
      <c r="C83" s="157"/>
      <c r="D83" s="80">
        <f t="shared" ref="D83:AI83" si="444">1000000*D76/D$10</f>
        <v>551.31441479599039</v>
      </c>
      <c r="E83" s="81">
        <f t="shared" si="444"/>
        <v>376.2614858575339</v>
      </c>
      <c r="F83" s="82">
        <f t="shared" si="444"/>
        <v>372.01574581108838</v>
      </c>
      <c r="G83" s="93">
        <f t="shared" si="444"/>
        <v>374.41716905052726</v>
      </c>
      <c r="H83" s="93">
        <f t="shared" si="444"/>
        <v>389.7016833002474</v>
      </c>
      <c r="I83" s="93">
        <f t="shared" si="444"/>
        <v>398.29659970092973</v>
      </c>
      <c r="J83" s="93">
        <f t="shared" si="444"/>
        <v>376.92043855187995</v>
      </c>
      <c r="K83" s="82">
        <f t="shared" si="444"/>
        <v>384.61266507895181</v>
      </c>
      <c r="L83" s="93">
        <f t="shared" si="444"/>
        <v>295.84237803928085</v>
      </c>
      <c r="M83" s="93">
        <f t="shared" si="444"/>
        <v>305.16174594976337</v>
      </c>
      <c r="N83" s="93">
        <f t="shared" si="444"/>
        <v>296.19409696672392</v>
      </c>
      <c r="O83" s="93">
        <f t="shared" si="444"/>
        <v>323.53599479103082</v>
      </c>
      <c r="P83" s="82">
        <f t="shared" si="444"/>
        <v>305.24255600425516</v>
      </c>
      <c r="Q83" s="93">
        <f t="shared" si="444"/>
        <v>300.20771245371623</v>
      </c>
      <c r="R83" s="93">
        <f t="shared" si="444"/>
        <v>320.81496974676924</v>
      </c>
      <c r="S83" s="93">
        <f t="shared" si="444"/>
        <v>304.02875292544297</v>
      </c>
      <c r="T83" s="93">
        <f t="shared" si="444"/>
        <v>310.11666783568307</v>
      </c>
      <c r="U83" s="82">
        <f t="shared" si="444"/>
        <v>308.65710991693487</v>
      </c>
      <c r="V83" s="93">
        <f t="shared" si="444"/>
        <v>293.58183428519072</v>
      </c>
      <c r="W83" s="93">
        <f t="shared" si="444"/>
        <v>301.76587533621796</v>
      </c>
      <c r="X83" s="93">
        <f t="shared" si="444"/>
        <v>299.40366029200084</v>
      </c>
      <c r="Y83" s="93">
        <f t="shared" si="444"/>
        <v>316.30566178315377</v>
      </c>
      <c r="Z83" s="82">
        <f t="shared" si="444"/>
        <v>302.78181619670966</v>
      </c>
      <c r="AA83" s="93">
        <f t="shared" si="444"/>
        <v>297.36739051728597</v>
      </c>
      <c r="AB83" s="93">
        <f t="shared" si="444"/>
        <v>304.92452773342171</v>
      </c>
      <c r="AC83" s="93">
        <f t="shared" si="444"/>
        <v>300.03260418519176</v>
      </c>
      <c r="AD83" s="93">
        <f t="shared" si="444"/>
        <v>321.54631227284409</v>
      </c>
      <c r="AE83" s="82">
        <f t="shared" si="444"/>
        <v>306.00164672546418</v>
      </c>
      <c r="AF83" s="93">
        <f t="shared" si="444"/>
        <v>296.89595440321858</v>
      </c>
      <c r="AG83" s="93">
        <f t="shared" si="444"/>
        <v>320.48660874999149</v>
      </c>
      <c r="AH83" s="93">
        <f t="shared" si="444"/>
        <v>319.5452888004657</v>
      </c>
      <c r="AI83" s="93">
        <f t="shared" si="444"/>
        <v>309.10886853231329</v>
      </c>
      <c r="AJ83" s="82">
        <f t="shared" ref="AJ83:BN83" si="445">1000000*AJ76/AJ$10</f>
        <v>311.6812569552913</v>
      </c>
      <c r="AK83" s="93">
        <f t="shared" si="445"/>
        <v>314.50900525101832</v>
      </c>
      <c r="AL83" s="93">
        <f t="shared" si="445"/>
        <v>325.53300545514458</v>
      </c>
      <c r="AM83" s="93">
        <f t="shared" si="445"/>
        <v>404.48665328955371</v>
      </c>
      <c r="AN83" s="93">
        <f t="shared" si="445"/>
        <v>392.59719086177375</v>
      </c>
      <c r="AO83" s="82">
        <f t="shared" si="445"/>
        <v>369.28285138470596</v>
      </c>
      <c r="AP83" s="93">
        <f t="shared" si="445"/>
        <v>395.53458328901439</v>
      </c>
      <c r="AQ83" s="93">
        <f t="shared" si="445"/>
        <v>417.52131182601664</v>
      </c>
      <c r="AR83" s="93">
        <f t="shared" si="445"/>
        <v>432.5964671526072</v>
      </c>
      <c r="AS83" s="93">
        <f t="shared" si="445"/>
        <v>424.48427254841749</v>
      </c>
      <c r="AT83" s="82">
        <f t="shared" si="445"/>
        <v>417.34726834560377</v>
      </c>
      <c r="AU83" s="93">
        <f t="shared" si="445"/>
        <v>441.92431346719445</v>
      </c>
      <c r="AV83" s="93">
        <f t="shared" si="445"/>
        <v>443.23128479104372</v>
      </c>
      <c r="AW83" s="93">
        <f t="shared" si="445"/>
        <v>437.8944414449864</v>
      </c>
      <c r="AX83" s="93">
        <f t="shared" si="445"/>
        <v>456.04161740364151</v>
      </c>
      <c r="AY83" s="82">
        <f t="shared" si="445"/>
        <v>444.73368151751538</v>
      </c>
      <c r="AZ83" s="93">
        <f t="shared" si="445"/>
        <v>455.70655360327834</v>
      </c>
      <c r="BA83" s="93">
        <f t="shared" si="445"/>
        <v>474.47156684721915</v>
      </c>
      <c r="BB83" s="93">
        <f t="shared" si="445"/>
        <v>462.06978792103911</v>
      </c>
      <c r="BC83" s="93">
        <f t="shared" si="445"/>
        <v>472.79182885211685</v>
      </c>
      <c r="BD83" s="82">
        <f t="shared" si="445"/>
        <v>466.29231095074579</v>
      </c>
      <c r="BE83" s="93">
        <f t="shared" si="445"/>
        <v>476.56998454707508</v>
      </c>
      <c r="BF83" s="93">
        <f t="shared" si="445"/>
        <v>485.80889878981276</v>
      </c>
      <c r="BG83" s="93">
        <f t="shared" si="445"/>
        <v>482.6472310873645</v>
      </c>
      <c r="BH83" s="93">
        <f t="shared" si="445"/>
        <v>517.38815868805011</v>
      </c>
      <c r="BI83" s="82">
        <f t="shared" si="445"/>
        <v>490.52741752059029</v>
      </c>
      <c r="BJ83" s="93">
        <f t="shared" si="445"/>
        <v>485.91614062957234</v>
      </c>
      <c r="BK83" s="93">
        <f t="shared" si="445"/>
        <v>512.27983201417737</v>
      </c>
      <c r="BL83" s="93">
        <f t="shared" si="445"/>
        <v>512.28941271733504</v>
      </c>
      <c r="BM83" s="93">
        <f>1000000*BM76/BM$10</f>
        <v>536.18625214323163</v>
      </c>
      <c r="BN83" s="82">
        <f t="shared" si="445"/>
        <v>511.56012307484042</v>
      </c>
      <c r="BO83" s="93">
        <f t="shared" ref="BO83:CC83" si="446">1000000*BO76/BO$10</f>
        <v>554.96414471499168</v>
      </c>
      <c r="BP83" s="93">
        <f t="shared" si="446"/>
        <v>564.6092516943645</v>
      </c>
      <c r="BQ83" s="93">
        <f t="shared" si="446"/>
        <v>573.21777715336077</v>
      </c>
      <c r="BR83" s="93">
        <f t="shared" si="446"/>
        <v>607.58113644162756</v>
      </c>
      <c r="BS83" s="82">
        <f t="shared" si="446"/>
        <v>574.7069466350631</v>
      </c>
      <c r="BT83" s="93">
        <f t="shared" si="446"/>
        <v>587.2084521459384</v>
      </c>
      <c r="BU83" s="93">
        <f t="shared" si="446"/>
        <v>549.74832443728781</v>
      </c>
      <c r="BV83" s="93">
        <f t="shared" si="446"/>
        <v>544.59027361771314</v>
      </c>
      <c r="BW83" s="93">
        <f t="shared" si="446"/>
        <v>568.37269623506802</v>
      </c>
      <c r="BX83" s="82">
        <f t="shared" si="446"/>
        <v>561.52435143937407</v>
      </c>
      <c r="BY83" s="93">
        <f t="shared" si="446"/>
        <v>580.71211785317007</v>
      </c>
      <c r="BZ83" s="93">
        <f t="shared" si="446"/>
        <v>568.9638991428393</v>
      </c>
      <c r="CA83" s="93">
        <f t="shared" si="446"/>
        <v>561.9895992897076</v>
      </c>
      <c r="CB83" s="93">
        <f>1000000*CB76/CB$10</f>
        <v>589.14661022496671</v>
      </c>
      <c r="CC83" s="82">
        <f t="shared" si="446"/>
        <v>575.14161390036804</v>
      </c>
      <c r="CD83" s="93">
        <f t="shared" ref="CD83:CE83" si="447">1000000*CD76/CD$10</f>
        <v>580.67935587460443</v>
      </c>
      <c r="CE83" s="93">
        <f t="shared" si="447"/>
        <v>589.63397829890596</v>
      </c>
      <c r="CF83" s="93">
        <f t="shared" ref="CF83:CI83" si="448">1000000*CF76/CF$10</f>
        <v>594.41430003790788</v>
      </c>
      <c r="CG83" s="93">
        <f t="shared" ref="CG83" si="449">1000000*CG76/CG$10</f>
        <v>592.96619411123231</v>
      </c>
      <c r="CH83" s="82">
        <f t="shared" si="448"/>
        <v>589.09972708616283</v>
      </c>
      <c r="CI83" s="93">
        <f t="shared" si="448"/>
        <v>523.37131301613317</v>
      </c>
      <c r="CJ83" s="93">
        <f t="shared" ref="CJ83:CK83" si="450">1000000*CJ76/CJ$10</f>
        <v>536.68339289796995</v>
      </c>
      <c r="CK83" s="93">
        <f t="shared" si="450"/>
        <v>547.00382637142627</v>
      </c>
      <c r="CL83" s="93">
        <f t="shared" ref="CL83" si="451">1000000*CL76/CL$10</f>
        <v>551.46334738251858</v>
      </c>
      <c r="CM83" s="82">
        <f t="shared" ref="CM83" si="452">1000000*CM76/CM$10</f>
        <v>538.66418797626375</v>
      </c>
      <c r="CN83" s="93">
        <f t="shared" ref="CN83:CW83" ca="1" si="453">1000000*CN76/CN$10</f>
        <v>604.97604090190896</v>
      </c>
      <c r="CO83" s="93">
        <f t="shared" ca="1" si="453"/>
        <v>639.72679991185908</v>
      </c>
      <c r="CP83" s="93">
        <f t="shared" ca="1" si="453"/>
        <v>649.55183326735869</v>
      </c>
      <c r="CQ83" s="93">
        <f t="shared" ca="1" si="453"/>
        <v>731.13210730330275</v>
      </c>
      <c r="CR83" s="82">
        <f t="shared" ca="1" si="453"/>
        <v>653.04358868733971</v>
      </c>
      <c r="CS83" s="93">
        <f t="shared" ca="1" si="453"/>
        <v>635.63956593082071</v>
      </c>
      <c r="CT83" s="93">
        <f t="shared" ca="1" si="453"/>
        <v>619.47104560872208</v>
      </c>
      <c r="CU83" s="93">
        <f t="shared" ca="1" si="453"/>
        <v>583.83310418076599</v>
      </c>
      <c r="CV83" s="93">
        <f t="shared" ca="1" si="453"/>
        <v>685.88908019948371</v>
      </c>
      <c r="CW83" s="82">
        <f t="shared" ca="1" si="453"/>
        <v>630.70939813038626</v>
      </c>
      <c r="CX83" s="93">
        <f t="shared" ref="CX83:DB83" ca="1" si="454">1000000*CX76/CX$10</f>
        <v>611.11686106939123</v>
      </c>
      <c r="CY83" s="93">
        <f t="shared" ca="1" si="454"/>
        <v>594.00039212060256</v>
      </c>
      <c r="CZ83" s="93">
        <f t="shared" ca="1" si="454"/>
        <v>567.01351987617488</v>
      </c>
      <c r="DA83" s="93">
        <f t="shared" ca="1" si="454"/>
        <v>657.39140797873233</v>
      </c>
      <c r="DB83" s="82">
        <f t="shared" ca="1" si="454"/>
        <v>607.13476492897996</v>
      </c>
      <c r="DC83" s="37"/>
      <c r="DD83" s="37"/>
      <c r="DE83" s="37"/>
      <c r="DF83" s="37"/>
      <c r="DG83" s="37"/>
      <c r="DH83" s="37"/>
      <c r="DI83" s="37"/>
      <c r="DJ83" s="37"/>
    </row>
    <row r="84" spans="1:114">
      <c r="A84" s="459"/>
      <c r="B84" s="475" t="s">
        <v>183</v>
      </c>
      <c r="C84" s="476"/>
      <c r="D84" s="140"/>
      <c r="E84" s="477"/>
      <c r="F84" s="140"/>
      <c r="G84" s="139"/>
      <c r="H84" s="139"/>
      <c r="I84" s="139"/>
      <c r="J84" s="139"/>
      <c r="K84" s="478">
        <f t="shared" ref="K84:AP84" si="455">K83/F83-1</f>
        <v>3.386125294347142E-2</v>
      </c>
      <c r="L84" s="479">
        <f t="shared" si="455"/>
        <v>-0.20985894212731149</v>
      </c>
      <c r="M84" s="479">
        <f t="shared" si="455"/>
        <v>-0.21693500688666478</v>
      </c>
      <c r="N84" s="479">
        <f t="shared" si="455"/>
        <v>-0.25634791462159567</v>
      </c>
      <c r="O84" s="479">
        <f t="shared" si="455"/>
        <v>-0.14163318913124212</v>
      </c>
      <c r="P84" s="478">
        <f t="shared" si="455"/>
        <v>-0.20636374274987501</v>
      </c>
      <c r="Q84" s="479">
        <f t="shared" si="455"/>
        <v>1.4755608859579272E-2</v>
      </c>
      <c r="R84" s="479">
        <f t="shared" si="455"/>
        <v>5.1294842832570353E-2</v>
      </c>
      <c r="S84" s="479">
        <f t="shared" si="455"/>
        <v>2.645108744216218E-2</v>
      </c>
      <c r="T84" s="479">
        <f t="shared" si="455"/>
        <v>-4.1477075723877821E-2</v>
      </c>
      <c r="U84" s="478">
        <f t="shared" si="455"/>
        <v>1.1186362600869248E-2</v>
      </c>
      <c r="V84" s="479">
        <f t="shared" si="455"/>
        <v>-2.2070979170953242E-2</v>
      </c>
      <c r="W84" s="479">
        <f t="shared" si="455"/>
        <v>-5.9377199341998921E-2</v>
      </c>
      <c r="X84" s="479">
        <f t="shared" si="455"/>
        <v>-1.5212681659015126E-2</v>
      </c>
      <c r="Y84" s="479">
        <f t="shared" si="455"/>
        <v>1.9956985835891894E-2</v>
      </c>
      <c r="Z84" s="478">
        <f t="shared" si="455"/>
        <v>-1.9035018249883739E-2</v>
      </c>
      <c r="AA84" s="479">
        <f t="shared" si="455"/>
        <v>1.2894381702165836E-2</v>
      </c>
      <c r="AB84" s="479">
        <f t="shared" si="455"/>
        <v>1.0467228588005417E-2</v>
      </c>
      <c r="AC84" s="479">
        <f t="shared" si="455"/>
        <v>2.1006553245792592E-3</v>
      </c>
      <c r="AD84" s="479">
        <f t="shared" si="455"/>
        <v>1.656831072876308E-2</v>
      </c>
      <c r="AE84" s="478">
        <f t="shared" si="455"/>
        <v>1.0634160826430428E-2</v>
      </c>
      <c r="AF84" s="479">
        <f t="shared" si="455"/>
        <v>-1.5853658777019719E-3</v>
      </c>
      <c r="AG84" s="479">
        <f t="shared" si="455"/>
        <v>5.1035845270456015E-2</v>
      </c>
      <c r="AH84" s="479">
        <f t="shared" si="455"/>
        <v>6.5035213983710705E-2</v>
      </c>
      <c r="AI84" s="479">
        <f t="shared" si="455"/>
        <v>-3.8680100706541931E-2</v>
      </c>
      <c r="AJ84" s="478">
        <f t="shared" si="455"/>
        <v>1.8560717860850895E-2</v>
      </c>
      <c r="AK84" s="479">
        <f t="shared" si="455"/>
        <v>5.932398399703076E-2</v>
      </c>
      <c r="AL84" s="479">
        <f t="shared" si="455"/>
        <v>1.5746045442696532E-2</v>
      </c>
      <c r="AM84" s="479">
        <f t="shared" si="455"/>
        <v>0.26581948620787865</v>
      </c>
      <c r="AN84" s="479">
        <f t="shared" si="455"/>
        <v>0.27009358458679378</v>
      </c>
      <c r="AO84" s="478">
        <f t="shared" si="455"/>
        <v>0.18480929842270633</v>
      </c>
      <c r="AP84" s="479">
        <f t="shared" si="455"/>
        <v>0.25762562179524018</v>
      </c>
      <c r="AQ84" s="479">
        <f t="shared" ref="AQ84:CL84" si="456">AQ83/AL83-1</f>
        <v>0.28257751081878291</v>
      </c>
      <c r="AR84" s="479">
        <f t="shared" si="456"/>
        <v>6.9495034346487961E-2</v>
      </c>
      <c r="AS84" s="479">
        <f t="shared" si="456"/>
        <v>8.1220860538124828E-2</v>
      </c>
      <c r="AT84" s="478">
        <f t="shared" si="456"/>
        <v>0.13015610332478178</v>
      </c>
      <c r="AU84" s="479">
        <f t="shared" si="456"/>
        <v>0.11728362610528897</v>
      </c>
      <c r="AV84" s="479">
        <f t="shared" si="456"/>
        <v>6.1577630259364025E-2</v>
      </c>
      <c r="AW84" s="479">
        <f t="shared" si="456"/>
        <v>1.2246919923435851E-2</v>
      </c>
      <c r="AX84" s="479">
        <f t="shared" si="456"/>
        <v>7.4342789347100036E-2</v>
      </c>
      <c r="AY84" s="478">
        <f t="shared" si="456"/>
        <v>6.5620204681040351E-2</v>
      </c>
      <c r="AZ84" s="479">
        <f t="shared" si="456"/>
        <v>3.1186879101430032E-2</v>
      </c>
      <c r="BA84" s="479">
        <f t="shared" si="456"/>
        <v>7.0483025743327987E-2</v>
      </c>
      <c r="BB84" s="479">
        <f t="shared" si="456"/>
        <v>5.5208160204723411E-2</v>
      </c>
      <c r="BC84" s="479">
        <f t="shared" si="456"/>
        <v>3.6729567673754238E-2</v>
      </c>
      <c r="BD84" s="478">
        <f t="shared" si="456"/>
        <v>4.8475369258447643E-2</v>
      </c>
      <c r="BE84" s="479">
        <f t="shared" si="456"/>
        <v>4.5782600181694333E-2</v>
      </c>
      <c r="BF84" s="479">
        <f t="shared" si="456"/>
        <v>2.3894649826813108E-2</v>
      </c>
      <c r="BG84" s="479">
        <f t="shared" si="456"/>
        <v>4.453319326266314E-2</v>
      </c>
      <c r="BH84" s="479">
        <f t="shared" si="456"/>
        <v>9.432550884859392E-2</v>
      </c>
      <c r="BI84" s="478">
        <f t="shared" si="456"/>
        <v>5.1974064338376813E-2</v>
      </c>
      <c r="BJ84" s="479">
        <f t="shared" si="456"/>
        <v>1.9611298204983862E-2</v>
      </c>
      <c r="BK84" s="479">
        <f t="shared" si="456"/>
        <v>5.4488366290337042E-2</v>
      </c>
      <c r="BL84" s="479">
        <f t="shared" si="456"/>
        <v>6.1415832767110601E-2</v>
      </c>
      <c r="BM84" s="479">
        <f t="shared" si="456"/>
        <v>3.6332670432288605E-2</v>
      </c>
      <c r="BN84" s="478">
        <f t="shared" si="456"/>
        <v>4.2877736907269259E-2</v>
      </c>
      <c r="BO84" s="479">
        <f t="shared" si="456"/>
        <v>0.14209860161458732</v>
      </c>
      <c r="BP84" s="479">
        <f t="shared" si="456"/>
        <v>0.10215006800958526</v>
      </c>
      <c r="BQ84" s="479">
        <f>BQ83/BL83-1</f>
        <v>0.11893348354174171</v>
      </c>
      <c r="BR84" s="479">
        <f>BR83/BM83-1</f>
        <v>0.13315314223932062</v>
      </c>
      <c r="BS84" s="478">
        <f t="shared" si="456"/>
        <v>0.12343969107807951</v>
      </c>
      <c r="BT84" s="479">
        <f t="shared" si="456"/>
        <v>5.8101604829815079E-2</v>
      </c>
      <c r="BU84" s="479">
        <f t="shared" si="456"/>
        <v>-2.6320729269808774E-2</v>
      </c>
      <c r="BV84" s="479">
        <f t="shared" si="456"/>
        <v>-4.994175804842238E-2</v>
      </c>
      <c r="BW84" s="479">
        <f t="shared" si="456"/>
        <v>-6.4532023551930107E-2</v>
      </c>
      <c r="BX84" s="478">
        <f>BX83/BS83-1</f>
        <v>-2.2937943021001828E-2</v>
      </c>
      <c r="BY84" s="479">
        <f t="shared" si="456"/>
        <v>-1.1063080357627042E-2</v>
      </c>
      <c r="BZ84" s="479">
        <f t="shared" si="456"/>
        <v>3.4953402950741452E-2</v>
      </c>
      <c r="CA84" s="479">
        <f t="shared" si="456"/>
        <v>3.1949387484302205E-2</v>
      </c>
      <c r="CB84" s="479">
        <f t="shared" si="456"/>
        <v>3.6549809882681306E-2</v>
      </c>
      <c r="CC84" s="478">
        <f>CC83/BX83-1</f>
        <v>2.4250528808035465E-2</v>
      </c>
      <c r="CD84" s="479">
        <f t="shared" si="456"/>
        <v>-5.6416901866529479E-5</v>
      </c>
      <c r="CE84" s="479">
        <f t="shared" si="456"/>
        <v>3.6329333349983672E-2</v>
      </c>
      <c r="CF84" s="479">
        <f t="shared" si="456"/>
        <v>5.7696264822661325E-2</v>
      </c>
      <c r="CG84" s="479">
        <f t="shared" si="456"/>
        <v>6.4832485156913755E-3</v>
      </c>
      <c r="CH84" s="478">
        <f>CH83/CC83-1</f>
        <v>2.4269002361238856E-2</v>
      </c>
      <c r="CI84" s="479">
        <f t="shared" si="456"/>
        <v>-9.869137292155894E-2</v>
      </c>
      <c r="CJ84" s="479">
        <f t="shared" si="456"/>
        <v>-8.9802466190463504E-2</v>
      </c>
      <c r="CK84" s="479">
        <f t="shared" si="456"/>
        <v>-7.975998165498055E-2</v>
      </c>
      <c r="CL84" s="479">
        <f t="shared" si="456"/>
        <v>-6.9991927264791753E-2</v>
      </c>
      <c r="CM84" s="478">
        <f t="shared" ref="CM84" si="457">CM83/CH83-1</f>
        <v>-8.5614602741994283E-2</v>
      </c>
      <c r="CN84" s="479">
        <f t="shared" ref="CN84:CW84" ca="1" si="458">CN83/CI83-1</f>
        <v>0.15592128543594885</v>
      </c>
      <c r="CO84" s="479">
        <f t="shared" ca="1" si="458"/>
        <v>0.19200036441872714</v>
      </c>
      <c r="CP84" s="479">
        <f t="shared" ca="1" si="458"/>
        <v>0.18747219297566731</v>
      </c>
      <c r="CQ84" s="479">
        <f t="shared" ca="1" si="458"/>
        <v>0.32580362915063921</v>
      </c>
      <c r="CR84" s="478">
        <f t="shared" ca="1" si="458"/>
        <v>0.21233897345356123</v>
      </c>
      <c r="CS84" s="479">
        <f t="shared" ca="1" si="458"/>
        <v>5.0685519683057345E-2</v>
      </c>
      <c r="CT84" s="479">
        <f t="shared" ca="1" si="458"/>
        <v>-3.1663132302613861E-2</v>
      </c>
      <c r="CU84" s="479">
        <f t="shared" ca="1" si="458"/>
        <v>-0.10117549627412503</v>
      </c>
      <c r="CV84" s="479">
        <f t="shared" ca="1" si="458"/>
        <v>-6.1880782763997E-2</v>
      </c>
      <c r="CW84" s="478">
        <f t="shared" ca="1" si="458"/>
        <v>-3.4200152859392818E-2</v>
      </c>
      <c r="CX84" s="479">
        <f t="shared" ref="CX84" ca="1" si="459">CX83/CS83-1</f>
        <v>-3.8579575872560445E-2</v>
      </c>
      <c r="CY84" s="479">
        <f t="shared" ref="CY84" ca="1" si="460">CY83/CT83-1</f>
        <v>-4.1116778045842017E-2</v>
      </c>
      <c r="CZ84" s="479">
        <f t="shared" ref="CZ84" ca="1" si="461">CZ83/CU83-1</f>
        <v>-2.8808891075459475E-2</v>
      </c>
      <c r="DA84" s="479">
        <f t="shared" ref="DA84" ca="1" si="462">DA83/CV83-1</f>
        <v>-4.1548514247322754E-2</v>
      </c>
      <c r="DB84" s="478">
        <f t="shared" ref="DB84" ca="1" si="463">DB83/CW83-1</f>
        <v>-3.7377964037461076E-2</v>
      </c>
      <c r="DC84" s="167"/>
      <c r="DD84" s="167"/>
      <c r="DE84" s="167"/>
      <c r="DF84" s="167"/>
      <c r="DG84" s="167"/>
      <c r="DH84" s="167"/>
      <c r="DI84" s="167"/>
      <c r="DJ84" s="167"/>
    </row>
    <row r="117" ht="4.5" customHeight="1"/>
    <row r="125" ht="3.75" customHeight="1"/>
    <row r="128" ht="3.75" customHeight="1"/>
    <row r="212" ht="3" customHeight="1"/>
    <row r="218" ht="3" customHeight="1"/>
    <row r="226" ht="12.75" customHeight="1"/>
    <row r="239" ht="12.75" customHeight="1"/>
    <row r="240" ht="12.75" customHeight="1"/>
    <row r="241" ht="12.75" customHeight="1"/>
    <row r="244" ht="12.75" customHeight="1"/>
    <row r="257" ht="3" customHeight="1"/>
    <row r="259" ht="3" customHeight="1"/>
    <row r="261" ht="3" customHeight="1"/>
    <row r="280" ht="3" customHeight="1"/>
    <row r="281" ht="12.75" customHeight="1"/>
    <row r="291" ht="12.75" customHeight="1"/>
    <row r="292" ht="12.75" customHeight="1"/>
    <row r="293" ht="12.75" customHeight="1"/>
    <row r="296" ht="12.75" customHeight="1"/>
    <row r="303" hidden="1"/>
    <row r="304" hidden="1"/>
    <row r="305" hidden="1"/>
    <row r="306" ht="3" hidden="1" customHeight="1"/>
    <row r="307" hidden="1"/>
    <row r="308" ht="3" hidden="1" customHeight="1"/>
    <row r="309" hidden="1"/>
    <row r="310" ht="3" hidden="1" customHeight="1"/>
    <row r="311" hidden="1"/>
    <row r="315" hidden="1"/>
    <row r="316" ht="3" customHeight="1" collapsed="1"/>
    <row r="336" ht="3" customHeight="1"/>
    <row r="357" ht="3" customHeight="1"/>
    <row r="358" ht="3" customHeight="1"/>
  </sheetData>
  <phoneticPr fontId="18"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J275"/>
  <sheetViews>
    <sheetView showGridLines="0" workbookViewId="0">
      <pane xSplit="2" ySplit="4" topLeftCell="CH5" activePane="bottomRight" state="frozen"/>
      <selection pane="topRight" activeCell="C1" sqref="C1"/>
      <selection pane="bottomLeft" activeCell="A7" sqref="A7"/>
      <selection pane="bottomRight" activeCell="CH5" sqref="CH5"/>
    </sheetView>
  </sheetViews>
  <sheetFormatPr defaultRowHeight="12.75" outlineLevelRow="1" outlineLevelCol="2"/>
  <cols>
    <col min="1" max="1" width="1.140625" style="555" customWidth="1"/>
    <col min="2" max="2" width="37.7109375" style="555" customWidth="1"/>
    <col min="3" max="3" width="9.140625" style="555" hidden="1" customWidth="1" outlineLevel="2"/>
    <col min="4" max="30" width="9.140625" style="555" hidden="1" customWidth="1" outlineLevel="1"/>
    <col min="31" max="31" width="9.42578125" style="555" hidden="1" customWidth="1" outlineLevel="1"/>
    <col min="32" max="35" width="9.140625" style="555" hidden="1" customWidth="1" outlineLevel="1"/>
    <col min="36" max="36" width="9.42578125" style="555" hidden="1" customWidth="1" outlineLevel="1"/>
    <col min="37" max="40" width="9.140625" style="555" hidden="1" customWidth="1" outlineLevel="1"/>
    <col min="41" max="41" width="8.42578125" style="555" hidden="1" customWidth="1" outlineLevel="1"/>
    <col min="42" max="45" width="9.28515625" style="555" hidden="1" customWidth="1" outlineLevel="1"/>
    <col min="46" max="46" width="8.42578125" style="555" hidden="1" customWidth="1" collapsed="1"/>
    <col min="47" max="50" width="8.42578125" style="555" hidden="1" customWidth="1" outlineLevel="1"/>
    <col min="51" max="51" width="8.42578125" style="555" hidden="1" customWidth="1" collapsed="1"/>
    <col min="52" max="54" width="8.42578125" style="555" hidden="1" customWidth="1" outlineLevel="1"/>
    <col min="55" max="55" width="8.85546875" style="555" hidden="1" customWidth="1" outlineLevel="1"/>
    <col min="56" max="56" width="9.28515625" style="555" hidden="1" customWidth="1" collapsed="1"/>
    <col min="57" max="60" width="9.28515625" style="555" hidden="1" customWidth="1" outlineLevel="1"/>
    <col min="61" max="61" width="10" style="555" hidden="1" customWidth="1" collapsed="1"/>
    <col min="62" max="65" width="9.28515625" style="555" hidden="1" customWidth="1" outlineLevel="1"/>
    <col min="66" max="66" width="8.42578125" style="555" hidden="1" customWidth="1" collapsed="1"/>
    <col min="67" max="70" width="9.28515625" style="555" hidden="1" customWidth="1" outlineLevel="1"/>
    <col min="71" max="71" width="8.42578125" style="555" hidden="1" customWidth="1" collapsed="1"/>
    <col min="72" max="73" width="9.28515625" style="555" hidden="1" customWidth="1" outlineLevel="1"/>
    <col min="74" max="74" width="9.140625" style="555" hidden="1" customWidth="1" outlineLevel="1"/>
    <col min="75" max="75" width="9.28515625" style="555" hidden="1" customWidth="1" outlineLevel="1"/>
    <col min="76" max="76" width="8.42578125" style="555" hidden="1" customWidth="1" collapsed="1"/>
    <col min="77" max="80" width="9.28515625" style="555" hidden="1" customWidth="1" outlineLevel="1"/>
    <col min="81" max="81" width="8.42578125" style="555" hidden="1" customWidth="1" collapsed="1"/>
    <col min="82" max="85" width="9.28515625" style="555" hidden="1" customWidth="1" outlineLevel="1"/>
    <col min="86" max="86" width="8.42578125" style="555" customWidth="1" collapsed="1"/>
    <col min="87" max="90" width="9.28515625" style="555" hidden="1" customWidth="1" outlineLevel="1"/>
    <col min="91" max="91" width="8.42578125" style="555" customWidth="1" collapsed="1"/>
    <col min="92" max="95" width="9.28515625" style="555" customWidth="1" outlineLevel="1"/>
    <col min="96" max="96" width="8.42578125" style="555" customWidth="1"/>
    <col min="97" max="100" width="9.28515625" style="555" customWidth="1" outlineLevel="1"/>
    <col min="101" max="101" width="8.42578125" style="555" customWidth="1"/>
    <col min="102" max="105" width="9.28515625" style="555" hidden="1" customWidth="1" outlineLevel="1"/>
    <col min="106" max="106" width="8.42578125" style="555" customWidth="1" collapsed="1"/>
    <col min="107" max="108" width="9.140625" style="555"/>
    <col min="109" max="110" width="9.5703125" style="555" bestFit="1" customWidth="1"/>
    <col min="111" max="16384" width="9.140625" style="555"/>
  </cols>
  <sheetData>
    <row r="1" spans="1:114" ht="15.75">
      <c r="A1" s="712" t="s">
        <v>97</v>
      </c>
      <c r="B1" s="713"/>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c r="BG1" s="714"/>
      <c r="BH1" s="714"/>
      <c r="BI1" s="714"/>
      <c r="BJ1" s="714"/>
      <c r="BK1" s="714"/>
      <c r="BL1" s="714"/>
      <c r="BM1" s="714"/>
      <c r="BN1" s="714"/>
      <c r="BO1" s="714"/>
      <c r="BP1" s="714"/>
      <c r="BQ1" s="714"/>
      <c r="BR1" s="714"/>
      <c r="BS1" s="714"/>
      <c r="BT1" s="714"/>
      <c r="BU1" s="714"/>
      <c r="BV1" s="714"/>
      <c r="BW1" s="714"/>
      <c r="BX1" s="714"/>
      <c r="BY1" s="714"/>
      <c r="BZ1" s="714"/>
      <c r="CA1" s="714"/>
      <c r="CB1" s="714"/>
      <c r="CC1" s="714"/>
      <c r="CD1" s="714"/>
      <c r="CE1" s="714"/>
      <c r="CF1" s="714"/>
      <c r="CG1" s="714"/>
      <c r="CH1" s="714"/>
      <c r="CI1" s="714"/>
      <c r="CJ1" s="714"/>
      <c r="CK1" s="714"/>
      <c r="CL1" s="714"/>
      <c r="CM1" s="733"/>
      <c r="CN1" s="733"/>
      <c r="CO1" s="733"/>
      <c r="CP1" s="733"/>
      <c r="CQ1" s="733"/>
      <c r="CR1" s="733"/>
      <c r="CS1" s="733"/>
      <c r="CT1" s="733"/>
      <c r="CU1" s="733"/>
      <c r="CV1" s="733"/>
      <c r="CW1" s="715"/>
      <c r="CX1" s="733"/>
      <c r="CY1" s="733"/>
      <c r="CZ1" s="733"/>
      <c r="DA1" s="733"/>
      <c r="DB1" s="715"/>
      <c r="DC1" s="11"/>
      <c r="DD1" s="11"/>
      <c r="DE1" s="5"/>
      <c r="DF1" s="7" t="s">
        <v>72</v>
      </c>
      <c r="DG1" s="7" t="s">
        <v>73</v>
      </c>
      <c r="DH1" s="7" t="s">
        <v>74</v>
      </c>
      <c r="DI1" s="7" t="s">
        <v>75</v>
      </c>
      <c r="DJ1" s="7" t="s">
        <v>76</v>
      </c>
    </row>
    <row r="2" spans="1:114" ht="12.75" customHeight="1" thickBot="1">
      <c r="A2" s="716" t="s">
        <v>7</v>
      </c>
      <c r="B2" s="717"/>
      <c r="C2" s="718"/>
      <c r="D2" s="718"/>
      <c r="E2" s="718"/>
      <c r="F2" s="718"/>
      <c r="G2" s="718"/>
      <c r="H2" s="718"/>
      <c r="I2" s="718"/>
      <c r="J2" s="718"/>
      <c r="K2" s="718"/>
      <c r="L2" s="718"/>
      <c r="M2" s="718"/>
      <c r="N2" s="718"/>
      <c r="O2" s="718"/>
      <c r="P2" s="718"/>
      <c r="Q2" s="718"/>
      <c r="R2" s="718"/>
      <c r="S2" s="718"/>
      <c r="T2" s="718"/>
      <c r="U2" s="718"/>
      <c r="V2" s="718"/>
      <c r="W2" s="718"/>
      <c r="X2" s="718"/>
      <c r="Y2" s="718"/>
      <c r="Z2" s="718"/>
      <c r="AA2" s="718"/>
      <c r="AB2" s="718"/>
      <c r="AC2" s="718"/>
      <c r="AD2" s="718"/>
      <c r="AE2" s="718"/>
      <c r="AF2" s="718"/>
      <c r="AG2" s="718"/>
      <c r="AH2" s="718"/>
      <c r="AI2" s="718"/>
      <c r="AJ2" s="718"/>
      <c r="AK2" s="718"/>
      <c r="AL2" s="718"/>
      <c r="AM2" s="718"/>
      <c r="AN2" s="718"/>
      <c r="AO2" s="718"/>
      <c r="AP2" s="718"/>
      <c r="AQ2" s="718"/>
      <c r="AR2" s="718"/>
      <c r="AS2" s="718"/>
      <c r="AT2" s="718"/>
      <c r="AU2" s="718"/>
      <c r="AV2" s="718"/>
      <c r="AW2" s="718"/>
      <c r="AX2" s="718"/>
      <c r="AY2" s="718"/>
      <c r="AZ2" s="719"/>
      <c r="BA2" s="718"/>
      <c r="BB2" s="718"/>
      <c r="BC2" s="718"/>
      <c r="BD2" s="718"/>
      <c r="BE2" s="719"/>
      <c r="BF2" s="718"/>
      <c r="BG2" s="718"/>
      <c r="BH2" s="718"/>
      <c r="BI2" s="719"/>
      <c r="BJ2" s="719"/>
      <c r="BK2" s="718"/>
      <c r="BL2" s="718"/>
      <c r="BM2" s="718"/>
      <c r="BN2" s="718"/>
      <c r="BO2" s="719"/>
      <c r="BP2" s="718"/>
      <c r="BQ2" s="718"/>
      <c r="BR2" s="718"/>
      <c r="BS2" s="718"/>
      <c r="BT2" s="720"/>
      <c r="BU2" s="720"/>
      <c r="BV2" s="718"/>
      <c r="BW2" s="718"/>
      <c r="BX2" s="718"/>
      <c r="BY2" s="720"/>
      <c r="BZ2" s="718"/>
      <c r="CA2" s="718"/>
      <c r="CB2" s="718"/>
      <c r="CC2" s="718"/>
      <c r="CD2" s="720"/>
      <c r="CE2" s="718"/>
      <c r="CF2" s="718"/>
      <c r="CG2" s="718"/>
      <c r="CH2" s="718"/>
      <c r="CI2" s="718"/>
      <c r="CJ2" s="718"/>
      <c r="CK2" s="718"/>
      <c r="CL2" s="718"/>
      <c r="CM2" s="734"/>
      <c r="CN2" s="734"/>
      <c r="CO2" s="734"/>
      <c r="CP2" s="734"/>
      <c r="CQ2" s="734"/>
      <c r="CR2" s="734"/>
      <c r="CS2" s="734"/>
      <c r="CT2" s="734"/>
      <c r="CU2" s="734"/>
      <c r="CV2" s="734"/>
      <c r="CW2" s="735"/>
      <c r="CX2" s="734"/>
      <c r="CY2" s="734"/>
      <c r="CZ2" s="734"/>
      <c r="DA2" s="734"/>
      <c r="DB2" s="735"/>
      <c r="DC2" s="11"/>
      <c r="DD2" s="11"/>
      <c r="DE2" s="5"/>
      <c r="DF2" s="5"/>
      <c r="DG2" s="5"/>
      <c r="DH2" s="5"/>
      <c r="DI2" s="5"/>
      <c r="DJ2" s="5"/>
    </row>
    <row r="3" spans="1:114">
      <c r="A3" s="683"/>
      <c r="B3" s="684" t="s">
        <v>98</v>
      </c>
      <c r="C3" s="46" t="s">
        <v>99</v>
      </c>
      <c r="D3" s="517"/>
      <c r="E3" s="517"/>
      <c r="F3" s="517"/>
      <c r="G3" s="518"/>
      <c r="H3" s="518"/>
      <c r="I3" s="518"/>
      <c r="J3" s="518"/>
      <c r="K3" s="517"/>
      <c r="L3" s="518"/>
      <c r="M3" s="518"/>
      <c r="N3" s="518"/>
      <c r="O3" s="518"/>
      <c r="P3" s="517"/>
      <c r="Q3" s="518"/>
      <c r="R3" s="518"/>
      <c r="S3" s="518"/>
      <c r="T3" s="518"/>
      <c r="U3" s="517"/>
      <c r="V3" s="518"/>
      <c r="W3" s="518"/>
      <c r="X3" s="518"/>
      <c r="Y3" s="518"/>
      <c r="Z3" s="517"/>
      <c r="AA3" s="518"/>
      <c r="AB3" s="518"/>
      <c r="AC3" s="518"/>
      <c r="AD3" s="518"/>
      <c r="AE3" s="517"/>
      <c r="AF3" s="518"/>
      <c r="AG3" s="518"/>
      <c r="AH3" s="518"/>
      <c r="AI3" s="518"/>
      <c r="AJ3" s="517"/>
      <c r="AK3" s="518"/>
      <c r="AL3" s="518"/>
      <c r="AM3" s="518"/>
      <c r="AN3" s="518"/>
      <c r="AO3" s="517"/>
      <c r="AP3" s="518">
        <f>IS!AP3</f>
        <v>39538</v>
      </c>
      <c r="AQ3" s="518">
        <f>IS!AQ3</f>
        <v>39629</v>
      </c>
      <c r="AR3" s="518">
        <f>IS!AR3</f>
        <v>39721</v>
      </c>
      <c r="AS3" s="518">
        <f>IS!AS3</f>
        <v>39813</v>
      </c>
      <c r="AT3" s="517">
        <f>IS!AT3</f>
        <v>39813</v>
      </c>
      <c r="AU3" s="518">
        <f>IS!AU3</f>
        <v>39903</v>
      </c>
      <c r="AV3" s="518">
        <f>IS!AV3</f>
        <v>39994</v>
      </c>
      <c r="AW3" s="518">
        <f>IS!AW3</f>
        <v>40086</v>
      </c>
      <c r="AX3" s="518">
        <f>IS!AX3</f>
        <v>40178</v>
      </c>
      <c r="AY3" s="517">
        <f>IS!AY3</f>
        <v>40178</v>
      </c>
      <c r="AZ3" s="518">
        <f>IS!AZ3</f>
        <v>40268</v>
      </c>
      <c r="BA3" s="518">
        <f>IS!BA3</f>
        <v>40359</v>
      </c>
      <c r="BB3" s="518">
        <f>IS!BB3</f>
        <v>40451</v>
      </c>
      <c r="BC3" s="518">
        <f>IS!BC3</f>
        <v>40543</v>
      </c>
      <c r="BD3" s="517">
        <f>IS!BD3</f>
        <v>40543</v>
      </c>
      <c r="BE3" s="518">
        <f>IS!BE3</f>
        <v>40633</v>
      </c>
      <c r="BF3" s="518">
        <f>IS!BF3</f>
        <v>40724</v>
      </c>
      <c r="BG3" s="518">
        <f>IS!BG3</f>
        <v>40816</v>
      </c>
      <c r="BH3" s="518">
        <f>IS!BH3</f>
        <v>40908</v>
      </c>
      <c r="BI3" s="517">
        <f>IS!BI3</f>
        <v>40908</v>
      </c>
      <c r="BJ3" s="518">
        <f>IS!BJ3</f>
        <v>40999</v>
      </c>
      <c r="BK3" s="518">
        <f>IS!BK3</f>
        <v>41090</v>
      </c>
      <c r="BL3" s="518">
        <f>IS!BL3</f>
        <v>41182</v>
      </c>
      <c r="BM3" s="518">
        <f>IS!BM3</f>
        <v>41274</v>
      </c>
      <c r="BN3" s="517">
        <f>IS!BN3</f>
        <v>41274</v>
      </c>
      <c r="BO3" s="518">
        <f>IS!BO3</f>
        <v>41364</v>
      </c>
      <c r="BP3" s="518">
        <f>IS!BP3</f>
        <v>41455</v>
      </c>
      <c r="BQ3" s="518">
        <f>IS!BQ3</f>
        <v>41547</v>
      </c>
      <c r="BR3" s="518">
        <f>IS!BR3</f>
        <v>41639</v>
      </c>
      <c r="BS3" s="517">
        <f>IS!BS3</f>
        <v>41639</v>
      </c>
      <c r="BT3" s="518">
        <f>IS!BT3</f>
        <v>41729</v>
      </c>
      <c r="BU3" s="518">
        <f>IS!BU3</f>
        <v>41820</v>
      </c>
      <c r="BV3" s="518">
        <f>IS!BV3</f>
        <v>41912</v>
      </c>
      <c r="BW3" s="518">
        <f>IS!BW3</f>
        <v>42004</v>
      </c>
      <c r="BX3" s="517">
        <f>IS!BX3</f>
        <v>42004</v>
      </c>
      <c r="BY3" s="518">
        <f>IS!BY3</f>
        <v>42094</v>
      </c>
      <c r="BZ3" s="518">
        <f>IS!BZ3</f>
        <v>42185</v>
      </c>
      <c r="CA3" s="518">
        <f>IS!CA3</f>
        <v>42277</v>
      </c>
      <c r="CB3" s="518">
        <f>IS!CB3</f>
        <v>42369</v>
      </c>
      <c r="CC3" s="676"/>
      <c r="CD3" s="518">
        <f>IS!CD3</f>
        <v>42460</v>
      </c>
      <c r="CE3" s="518">
        <f>IS!CE3</f>
        <v>42551</v>
      </c>
      <c r="CF3" s="518">
        <f>IS!CF3</f>
        <v>42643</v>
      </c>
      <c r="CG3" s="518">
        <f>IS!CG3</f>
        <v>42735</v>
      </c>
      <c r="CH3" s="676"/>
      <c r="CI3" s="518">
        <f>IS!CI3</f>
        <v>42825</v>
      </c>
      <c r="CJ3" s="518">
        <f>IS!CJ3</f>
        <v>42916</v>
      </c>
      <c r="CK3" s="518">
        <f>IS!CK3</f>
        <v>43008</v>
      </c>
      <c r="CL3" s="518">
        <f>IS!CL3</f>
        <v>43100</v>
      </c>
      <c r="CM3" s="676"/>
      <c r="CN3" s="518">
        <f>IS!CN3</f>
        <v>43190</v>
      </c>
      <c r="CO3" s="518">
        <f>IS!CO3</f>
        <v>43281</v>
      </c>
      <c r="CP3" s="518">
        <f>IS!CP3</f>
        <v>43373</v>
      </c>
      <c r="CQ3" s="518">
        <f>IS!CQ3</f>
        <v>43465</v>
      </c>
      <c r="CR3" s="676"/>
      <c r="CS3" s="518">
        <f>IS!CS3</f>
        <v>43555</v>
      </c>
      <c r="CT3" s="518">
        <f>IS!CT3</f>
        <v>43646</v>
      </c>
      <c r="CU3" s="518">
        <f>IS!CU3</f>
        <v>43738</v>
      </c>
      <c r="CV3" s="518">
        <f>IS!CV3</f>
        <v>43830</v>
      </c>
      <c r="CW3" s="676"/>
      <c r="CX3" s="518">
        <f>IS!CX3</f>
        <v>43921</v>
      </c>
      <c r="CY3" s="518">
        <f>IS!CY3</f>
        <v>44012</v>
      </c>
      <c r="CZ3" s="518">
        <f>IS!CZ3</f>
        <v>44104</v>
      </c>
      <c r="DA3" s="518">
        <f>IS!DA3</f>
        <v>44196</v>
      </c>
      <c r="DB3" s="676"/>
      <c r="DC3" s="9"/>
      <c r="DD3" s="9"/>
      <c r="DE3" s="685"/>
      <c r="DF3" s="685"/>
      <c r="DG3" s="685"/>
      <c r="DH3" s="685"/>
      <c r="DI3" s="685"/>
      <c r="DJ3" s="685"/>
    </row>
    <row r="4" spans="1:114">
      <c r="A4" s="683"/>
      <c r="B4" s="525" t="s">
        <v>100</v>
      </c>
      <c r="C4" s="520" t="s">
        <v>77</v>
      </c>
      <c r="D4" s="527" t="s">
        <v>101</v>
      </c>
      <c r="E4" s="527" t="s">
        <v>102</v>
      </c>
      <c r="F4" s="527" t="s">
        <v>103</v>
      </c>
      <c r="G4" s="526" t="s">
        <v>104</v>
      </c>
      <c r="H4" s="526" t="s">
        <v>105</v>
      </c>
      <c r="I4" s="526" t="s">
        <v>106</v>
      </c>
      <c r="J4" s="526" t="s">
        <v>107</v>
      </c>
      <c r="K4" s="527" t="s">
        <v>108</v>
      </c>
      <c r="L4" s="526" t="s">
        <v>109</v>
      </c>
      <c r="M4" s="526" t="s">
        <v>110</v>
      </c>
      <c r="N4" s="526" t="s">
        <v>111</v>
      </c>
      <c r="O4" s="526" t="s">
        <v>112</v>
      </c>
      <c r="P4" s="527" t="s">
        <v>113</v>
      </c>
      <c r="Q4" s="526" t="s">
        <v>114</v>
      </c>
      <c r="R4" s="526" t="s">
        <v>115</v>
      </c>
      <c r="S4" s="526" t="s">
        <v>116</v>
      </c>
      <c r="T4" s="526" t="s">
        <v>117</v>
      </c>
      <c r="U4" s="527" t="s">
        <v>118</v>
      </c>
      <c r="V4" s="526" t="s">
        <v>119</v>
      </c>
      <c r="W4" s="526" t="s">
        <v>120</v>
      </c>
      <c r="X4" s="526" t="s">
        <v>121</v>
      </c>
      <c r="Y4" s="526" t="s">
        <v>122</v>
      </c>
      <c r="Z4" s="527" t="s">
        <v>123</v>
      </c>
      <c r="AA4" s="526" t="s">
        <v>124</v>
      </c>
      <c r="AB4" s="526" t="s">
        <v>125</v>
      </c>
      <c r="AC4" s="526" t="s">
        <v>126</v>
      </c>
      <c r="AD4" s="526" t="s">
        <v>127</v>
      </c>
      <c r="AE4" s="527" t="s">
        <v>128</v>
      </c>
      <c r="AF4" s="526" t="s">
        <v>129</v>
      </c>
      <c r="AG4" s="526" t="s">
        <v>130</v>
      </c>
      <c r="AH4" s="526" t="s">
        <v>131</v>
      </c>
      <c r="AI4" s="526" t="s">
        <v>132</v>
      </c>
      <c r="AJ4" s="527" t="s">
        <v>133</v>
      </c>
      <c r="AK4" s="526" t="s">
        <v>134</v>
      </c>
      <c r="AL4" s="526" t="s">
        <v>135</v>
      </c>
      <c r="AM4" s="526" t="s">
        <v>136</v>
      </c>
      <c r="AN4" s="526" t="s">
        <v>137</v>
      </c>
      <c r="AO4" s="527" t="s">
        <v>138</v>
      </c>
      <c r="AP4" s="524" t="str">
        <f>IS!AP4</f>
        <v>1Q08A</v>
      </c>
      <c r="AQ4" s="524" t="str">
        <f>IS!AQ4</f>
        <v>2Q08A</v>
      </c>
      <c r="AR4" s="524" t="str">
        <f>IS!AR4</f>
        <v>3Q08A</v>
      </c>
      <c r="AS4" s="524" t="str">
        <f>IS!AS4</f>
        <v>4Q08A</v>
      </c>
      <c r="AT4" s="523" t="str">
        <f>IS!AT4</f>
        <v>2008A</v>
      </c>
      <c r="AU4" s="524" t="str">
        <f>IS!AU4</f>
        <v>1Q09</v>
      </c>
      <c r="AV4" s="524" t="str">
        <f>IS!AV4</f>
        <v>2Q09</v>
      </c>
      <c r="AW4" s="524" t="str">
        <f>IS!AW4</f>
        <v>3Q09</v>
      </c>
      <c r="AX4" s="524" t="str">
        <f>IS!AX4</f>
        <v>4Q09</v>
      </c>
      <c r="AY4" s="523" t="str">
        <f>IS!AY4</f>
        <v>2009A</v>
      </c>
      <c r="AZ4" s="524" t="str">
        <f>IS!AZ4</f>
        <v>1Q10A</v>
      </c>
      <c r="BA4" s="524" t="str">
        <f>IS!BA4</f>
        <v>2Q10A</v>
      </c>
      <c r="BB4" s="524" t="str">
        <f>IS!BB4</f>
        <v>3Q10A</v>
      </c>
      <c r="BC4" s="524" t="str">
        <f>IS!BC4</f>
        <v>4Q10A</v>
      </c>
      <c r="BD4" s="523" t="str">
        <f>IS!BD4</f>
        <v>2010A</v>
      </c>
      <c r="BE4" s="524" t="str">
        <f>IS!BE4</f>
        <v>1Q11A</v>
      </c>
      <c r="BF4" s="524" t="str">
        <f>IS!BF4</f>
        <v>2Q11A</v>
      </c>
      <c r="BG4" s="524" t="str">
        <f>IS!BG4</f>
        <v>3Q11A</v>
      </c>
      <c r="BH4" s="524" t="str">
        <f>IS!BH4</f>
        <v>4Q11A</v>
      </c>
      <c r="BI4" s="523" t="str">
        <f>IS!BI4</f>
        <v>2011A</v>
      </c>
      <c r="BJ4" s="524" t="str">
        <f>IS!BJ4</f>
        <v>1Q12A</v>
      </c>
      <c r="BK4" s="524" t="str">
        <f>IS!BK4</f>
        <v>2Q12A</v>
      </c>
      <c r="BL4" s="524" t="str">
        <f>IS!BL4</f>
        <v>3Q12A</v>
      </c>
      <c r="BM4" s="524" t="str">
        <f>IS!BM4</f>
        <v>4Q12A</v>
      </c>
      <c r="BN4" s="523" t="str">
        <f>IS!BN4</f>
        <v>2012A</v>
      </c>
      <c r="BO4" s="524" t="str">
        <f>IS!BO4</f>
        <v>1Q13A</v>
      </c>
      <c r="BP4" s="524" t="str">
        <f>IS!BP4</f>
        <v>2Q13A</v>
      </c>
      <c r="BQ4" s="524" t="str">
        <f>IS!BQ4</f>
        <v>3Q13A</v>
      </c>
      <c r="BR4" s="524" t="str">
        <f>IS!BR4</f>
        <v>4Q13A</v>
      </c>
      <c r="BS4" s="523" t="str">
        <f>IS!BS4</f>
        <v>2013A</v>
      </c>
      <c r="BT4" s="524" t="str">
        <f>IS!BT4</f>
        <v>1Q14A</v>
      </c>
      <c r="BU4" s="524" t="str">
        <f>IS!BU4</f>
        <v>2Q14A</v>
      </c>
      <c r="BV4" s="524" t="str">
        <f>IS!BV4</f>
        <v>3Q14A</v>
      </c>
      <c r="BW4" s="524" t="str">
        <f>IS!BW4</f>
        <v>4Q14A</v>
      </c>
      <c r="BX4" s="523" t="str">
        <f>IS!BX4</f>
        <v>2014A</v>
      </c>
      <c r="BY4" s="524" t="str">
        <f>IS!BY4</f>
        <v>1Q15A</v>
      </c>
      <c r="BZ4" s="524" t="str">
        <f>IS!BZ4</f>
        <v>2Q15A</v>
      </c>
      <c r="CA4" s="524" t="str">
        <f>IS!CA4</f>
        <v>3Q15A</v>
      </c>
      <c r="CB4" s="524" t="str">
        <f>IS!CB4</f>
        <v>4Q15A</v>
      </c>
      <c r="CC4" s="523" t="str">
        <f>IS!CC4</f>
        <v>2015A</v>
      </c>
      <c r="CD4" s="524" t="str">
        <f>IS!CD4</f>
        <v>1Q16A</v>
      </c>
      <c r="CE4" s="524" t="str">
        <f>IS!CE4</f>
        <v>2Q16A</v>
      </c>
      <c r="CF4" s="524" t="str">
        <f>IS!CF4</f>
        <v>3Q16A</v>
      </c>
      <c r="CG4" s="524" t="str">
        <f>IS!CG4</f>
        <v>4Q16A</v>
      </c>
      <c r="CH4" s="523" t="str">
        <f>IS!CH4</f>
        <v>2016A</v>
      </c>
      <c r="CI4" s="524" t="str">
        <f>IS!CI4</f>
        <v>1Q17A</v>
      </c>
      <c r="CJ4" s="524" t="str">
        <f>IS!CJ4</f>
        <v>2Q17A</v>
      </c>
      <c r="CK4" s="524" t="str">
        <f>IS!CK4</f>
        <v>3Q17A</v>
      </c>
      <c r="CL4" s="524" t="str">
        <f>IS!CL4</f>
        <v>4Q17A</v>
      </c>
      <c r="CM4" s="523" t="str">
        <f>IS!CM4</f>
        <v>2017A</v>
      </c>
      <c r="CN4" s="524" t="str">
        <f>IS!CN4</f>
        <v>1Q18E</v>
      </c>
      <c r="CO4" s="524" t="str">
        <f>IS!CO4</f>
        <v>2Q18E</v>
      </c>
      <c r="CP4" s="524" t="str">
        <f>IS!CP4</f>
        <v>3Q18E</v>
      </c>
      <c r="CQ4" s="524" t="str">
        <f>IS!CQ4</f>
        <v>4Q18E</v>
      </c>
      <c r="CR4" s="523" t="str">
        <f>IS!CR4</f>
        <v>2018E</v>
      </c>
      <c r="CS4" s="524" t="str">
        <f>IS!CS4</f>
        <v>1Q19E</v>
      </c>
      <c r="CT4" s="524" t="str">
        <f>IS!CT4</f>
        <v>2Q19E</v>
      </c>
      <c r="CU4" s="524" t="str">
        <f>IS!CU4</f>
        <v>3Q19E</v>
      </c>
      <c r="CV4" s="524" t="str">
        <f>IS!CV4</f>
        <v>4Q19E</v>
      </c>
      <c r="CW4" s="523" t="str">
        <f>IS!CW4</f>
        <v>2019E</v>
      </c>
      <c r="CX4" s="524" t="str">
        <f>IS!CX4</f>
        <v>1Q20E</v>
      </c>
      <c r="CY4" s="524" t="str">
        <f>IS!CY4</f>
        <v>2Q20E</v>
      </c>
      <c r="CZ4" s="524" t="str">
        <f>IS!CZ4</f>
        <v>3Q20E</v>
      </c>
      <c r="DA4" s="524" t="str">
        <f>IS!DA4</f>
        <v>4Q20E</v>
      </c>
      <c r="DB4" s="523" t="str">
        <f>IS!DB4</f>
        <v>2020E</v>
      </c>
      <c r="DC4" s="9"/>
      <c r="DD4" s="9"/>
      <c r="DE4" s="685"/>
      <c r="DF4" s="685"/>
      <c r="DG4" s="685"/>
      <c r="DH4" s="685"/>
      <c r="DI4" s="685"/>
      <c r="DJ4" s="685"/>
    </row>
    <row r="5" spans="1:114" ht="3" customHeight="1">
      <c r="A5" s="171"/>
      <c r="B5" s="686"/>
      <c r="C5" s="164"/>
      <c r="D5" s="165"/>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c r="BS5" s="165"/>
      <c r="BT5" s="165"/>
      <c r="BU5" s="165"/>
      <c r="BV5" s="165"/>
      <c r="BW5" s="165"/>
      <c r="BX5" s="165"/>
      <c r="BY5" s="165"/>
      <c r="BZ5" s="165"/>
      <c r="CA5" s="165"/>
      <c r="CB5" s="165"/>
      <c r="CC5" s="165"/>
      <c r="CD5" s="165"/>
      <c r="CE5" s="165"/>
      <c r="CF5" s="165"/>
      <c r="CG5" s="165"/>
      <c r="CH5" s="165"/>
      <c r="CI5" s="165"/>
      <c r="CJ5" s="165"/>
      <c r="CK5" s="165"/>
      <c r="CL5" s="165"/>
      <c r="CM5" s="165"/>
      <c r="CN5" s="165"/>
      <c r="CO5" s="165"/>
      <c r="CP5" s="165"/>
      <c r="CQ5" s="165"/>
      <c r="CR5" s="165"/>
      <c r="CS5" s="165"/>
      <c r="CT5" s="165"/>
      <c r="CU5" s="165"/>
      <c r="CV5" s="165"/>
      <c r="CW5" s="165"/>
      <c r="CX5" s="165"/>
      <c r="CY5" s="165"/>
      <c r="CZ5" s="165"/>
      <c r="DA5" s="165"/>
      <c r="DB5" s="165"/>
      <c r="DC5" s="5"/>
      <c r="DD5" s="5"/>
      <c r="DE5" s="171"/>
      <c r="DF5" s="171"/>
      <c r="DG5" s="171"/>
      <c r="DH5" s="171"/>
      <c r="DI5" s="171"/>
      <c r="DJ5" s="171"/>
    </row>
    <row r="6" spans="1:114" s="1171" customFormat="1">
      <c r="A6" s="1166"/>
      <c r="B6" s="1167" t="s">
        <v>175</v>
      </c>
      <c r="C6" s="1168"/>
      <c r="D6" s="1169">
        <v>365</v>
      </c>
      <c r="E6" s="1169">
        <v>365</v>
      </c>
      <c r="F6" s="1169">
        <v>366</v>
      </c>
      <c r="G6" s="1169">
        <v>90</v>
      </c>
      <c r="H6" s="1169">
        <v>91</v>
      </c>
      <c r="I6" s="1169">
        <v>92</v>
      </c>
      <c r="J6" s="1169">
        <v>92</v>
      </c>
      <c r="K6" s="1169">
        <f>SUM(G6:J6)</f>
        <v>365</v>
      </c>
      <c r="L6" s="1169">
        <v>90</v>
      </c>
      <c r="M6" s="1169">
        <v>91</v>
      </c>
      <c r="N6" s="1169">
        <v>92</v>
      </c>
      <c r="O6" s="1169">
        <v>92</v>
      </c>
      <c r="P6" s="1169">
        <f>SUM(L6:O6)</f>
        <v>365</v>
      </c>
      <c r="Q6" s="1169">
        <v>90</v>
      </c>
      <c r="R6" s="1169">
        <v>91</v>
      </c>
      <c r="S6" s="1169">
        <v>92</v>
      </c>
      <c r="T6" s="1169">
        <v>92</v>
      </c>
      <c r="U6" s="1169">
        <f>SUM(Q6:T6)</f>
        <v>365</v>
      </c>
      <c r="V6" s="1169">
        <v>91</v>
      </c>
      <c r="W6" s="1169">
        <v>91</v>
      </c>
      <c r="X6" s="1169">
        <v>92</v>
      </c>
      <c r="Y6" s="1169">
        <v>92</v>
      </c>
      <c r="Z6" s="1169">
        <f>SUM(V6:Y6)</f>
        <v>366</v>
      </c>
      <c r="AA6" s="1169">
        <v>90</v>
      </c>
      <c r="AB6" s="1169">
        <v>91</v>
      </c>
      <c r="AC6" s="1169">
        <v>92</v>
      </c>
      <c r="AD6" s="1169">
        <v>92</v>
      </c>
      <c r="AE6" s="1169">
        <f>SUM(AA6:AD6)</f>
        <v>365</v>
      </c>
      <c r="AF6" s="1169">
        <v>90</v>
      </c>
      <c r="AG6" s="1169">
        <v>91</v>
      </c>
      <c r="AH6" s="1169">
        <v>92</v>
      </c>
      <c r="AI6" s="1169">
        <v>92</v>
      </c>
      <c r="AJ6" s="1169">
        <f>SUM(AF6:AI6)</f>
        <v>365</v>
      </c>
      <c r="AK6" s="1169">
        <v>90</v>
      </c>
      <c r="AL6" s="1169">
        <v>91</v>
      </c>
      <c r="AM6" s="1169">
        <v>92</v>
      </c>
      <c r="AN6" s="1169">
        <v>92</v>
      </c>
      <c r="AO6" s="1169">
        <f>SUM(AK6:AN6)</f>
        <v>365</v>
      </c>
      <c r="AP6" s="1169">
        <v>91</v>
      </c>
      <c r="AQ6" s="1169">
        <v>91</v>
      </c>
      <c r="AR6" s="1169">
        <v>92</v>
      </c>
      <c r="AS6" s="1169">
        <v>92</v>
      </c>
      <c r="AT6" s="1169">
        <f>SUM(AP6:AS6)</f>
        <v>366</v>
      </c>
      <c r="AU6" s="1169">
        <f>+AU3-AS3</f>
        <v>90</v>
      </c>
      <c r="AV6" s="1169">
        <f>+AV3-AU3</f>
        <v>91</v>
      </c>
      <c r="AW6" s="1169">
        <f>+AW3-AV3</f>
        <v>92</v>
      </c>
      <c r="AX6" s="1169">
        <f>+AX3-AW3</f>
        <v>92</v>
      </c>
      <c r="AY6" s="1169">
        <f>SUM(AU6:AX6)</f>
        <v>365</v>
      </c>
      <c r="AZ6" s="1169">
        <f>+AZ3-AX3</f>
        <v>90</v>
      </c>
      <c r="BA6" s="1169">
        <f>+BA3-AZ3</f>
        <v>91</v>
      </c>
      <c r="BB6" s="1169">
        <f>+BB3-BA3</f>
        <v>92</v>
      </c>
      <c r="BC6" s="1169">
        <f>+BC3-BB3</f>
        <v>92</v>
      </c>
      <c r="BD6" s="1169">
        <f>SUM(AZ6:BC6)</f>
        <v>365</v>
      </c>
      <c r="BE6" s="1169">
        <f>+BE3-BC3</f>
        <v>90</v>
      </c>
      <c r="BF6" s="1169">
        <f>+BF3-BE3</f>
        <v>91</v>
      </c>
      <c r="BG6" s="1169">
        <f>+BG3-BF3</f>
        <v>92</v>
      </c>
      <c r="BH6" s="1169">
        <f>+BH3-BG3</f>
        <v>92</v>
      </c>
      <c r="BI6" s="1169">
        <f>SUM(BE6:BH6)</f>
        <v>365</v>
      </c>
      <c r="BJ6" s="1169">
        <f>+BJ3-BH3</f>
        <v>91</v>
      </c>
      <c r="BK6" s="1169">
        <f>+BK3-BJ3</f>
        <v>91</v>
      </c>
      <c r="BL6" s="1169">
        <f>+BL3-BK3</f>
        <v>92</v>
      </c>
      <c r="BM6" s="1169">
        <f>+BM3-BL3</f>
        <v>92</v>
      </c>
      <c r="BN6" s="1169">
        <f>SUM(BJ6:BM6)</f>
        <v>366</v>
      </c>
      <c r="BO6" s="1169">
        <f>+BO3-BM3</f>
        <v>90</v>
      </c>
      <c r="BP6" s="1169">
        <f>+BP3-BO3</f>
        <v>91</v>
      </c>
      <c r="BQ6" s="1169">
        <f>+BQ3-BP3</f>
        <v>92</v>
      </c>
      <c r="BR6" s="1169">
        <f>+BR3-BQ3</f>
        <v>92</v>
      </c>
      <c r="BS6" s="1169">
        <f>SUM(BO6:BR6)</f>
        <v>365</v>
      </c>
      <c r="BT6" s="1169">
        <f>+BT3-BR3</f>
        <v>90</v>
      </c>
      <c r="BU6" s="1169">
        <f>+BU3-BT3</f>
        <v>91</v>
      </c>
      <c r="BV6" s="1169">
        <f>+BV3-BU3</f>
        <v>92</v>
      </c>
      <c r="BW6" s="1169">
        <f>+BW3-BV3</f>
        <v>92</v>
      </c>
      <c r="BX6" s="1169">
        <f>SUM(BT6:BW6)</f>
        <v>365</v>
      </c>
      <c r="BY6" s="1169">
        <f>+BY3-BW3</f>
        <v>90</v>
      </c>
      <c r="BZ6" s="1169">
        <f>+BZ3-BY3</f>
        <v>91</v>
      </c>
      <c r="CA6" s="1169">
        <f>+CA3-BZ3</f>
        <v>92</v>
      </c>
      <c r="CB6" s="1169">
        <f>+CB3-CA3</f>
        <v>92</v>
      </c>
      <c r="CC6" s="1169">
        <f>SUM(BY6:CB6)</f>
        <v>365</v>
      </c>
      <c r="CD6" s="1169">
        <f>+CD3-CB3</f>
        <v>91</v>
      </c>
      <c r="CE6" s="1169">
        <f>+CE3-CD3</f>
        <v>91</v>
      </c>
      <c r="CF6" s="1169">
        <f>+CF3-CE3</f>
        <v>92</v>
      </c>
      <c r="CG6" s="1169">
        <f>+CG3-CF3</f>
        <v>92</v>
      </c>
      <c r="CH6" s="1169">
        <f>SUM(CD6:CG6)</f>
        <v>366</v>
      </c>
      <c r="CI6" s="1169">
        <f>+CI3-CG3</f>
        <v>90</v>
      </c>
      <c r="CJ6" s="1169">
        <f>+CJ3-CI3</f>
        <v>91</v>
      </c>
      <c r="CK6" s="1169">
        <f>+CK3-CJ3</f>
        <v>92</v>
      </c>
      <c r="CL6" s="1169">
        <f>+CL3-CK3</f>
        <v>92</v>
      </c>
      <c r="CM6" s="1169">
        <f>SUM(CI6:CL6)</f>
        <v>365</v>
      </c>
      <c r="CN6" s="1169">
        <f>+CN3-CL3</f>
        <v>90</v>
      </c>
      <c r="CO6" s="1169">
        <f>+CO3-CN3</f>
        <v>91</v>
      </c>
      <c r="CP6" s="1169">
        <f>+CP3-CO3</f>
        <v>92</v>
      </c>
      <c r="CQ6" s="1169">
        <f>+CQ3-CP3</f>
        <v>92</v>
      </c>
      <c r="CR6" s="1169">
        <f>SUM(CN6:CQ6)</f>
        <v>365</v>
      </c>
      <c r="CS6" s="1169">
        <f>+CS3-CQ3</f>
        <v>90</v>
      </c>
      <c r="CT6" s="1169">
        <f>+CT3-CS3</f>
        <v>91</v>
      </c>
      <c r="CU6" s="1169">
        <f>+CU3-CT3</f>
        <v>92</v>
      </c>
      <c r="CV6" s="1169">
        <f>+CV3-CU3</f>
        <v>92</v>
      </c>
      <c r="CW6" s="1169">
        <f>SUM(CS6:CV6)</f>
        <v>365</v>
      </c>
      <c r="CX6" s="1169">
        <f>+CX3-CV3</f>
        <v>91</v>
      </c>
      <c r="CY6" s="1169">
        <f>+CY3-CX3</f>
        <v>91</v>
      </c>
      <c r="CZ6" s="1169">
        <f>+CZ3-CY3</f>
        <v>92</v>
      </c>
      <c r="DA6" s="1169">
        <f>+DA3-CZ3</f>
        <v>92</v>
      </c>
      <c r="DB6" s="1169">
        <f>SUM(CX6:DA6)</f>
        <v>366</v>
      </c>
      <c r="DC6" s="1170"/>
      <c r="DD6" s="1170"/>
      <c r="DE6" s="1166"/>
      <c r="DF6" s="1166"/>
      <c r="DG6" s="1166"/>
      <c r="DH6" s="1166"/>
      <c r="DI6" s="1166"/>
      <c r="DJ6" s="1166"/>
    </row>
    <row r="7" spans="1:114">
      <c r="A7" s="171"/>
      <c r="B7" s="688" t="s">
        <v>522</v>
      </c>
      <c r="C7" s="48"/>
      <c r="D7" s="204"/>
      <c r="E7" s="204"/>
      <c r="F7" s="204"/>
      <c r="G7" s="407"/>
      <c r="H7" s="407"/>
      <c r="I7" s="407"/>
      <c r="J7" s="407"/>
      <c r="K7" s="204"/>
      <c r="L7" s="407"/>
      <c r="M7" s="407"/>
      <c r="N7" s="407"/>
      <c r="O7" s="407"/>
      <c r="P7" s="204"/>
      <c r="Q7" s="407"/>
      <c r="R7" s="407"/>
      <c r="S7" s="407"/>
      <c r="T7" s="407"/>
      <c r="U7" s="204"/>
      <c r="V7" s="407"/>
      <c r="W7" s="407"/>
      <c r="X7" s="407"/>
      <c r="Y7" s="407"/>
      <c r="Z7" s="204"/>
      <c r="AA7" s="407"/>
      <c r="AB7" s="407"/>
      <c r="AC7" s="407"/>
      <c r="AD7" s="407"/>
      <c r="AE7" s="204"/>
      <c r="AF7" s="407"/>
      <c r="AG7" s="407"/>
      <c r="AH7" s="407"/>
      <c r="AI7" s="407"/>
      <c r="AJ7" s="204"/>
      <c r="AK7" s="407"/>
      <c r="AL7" s="407"/>
      <c r="AM7" s="407"/>
      <c r="AN7" s="407"/>
      <c r="AO7" s="204"/>
      <c r="AP7" s="407"/>
      <c r="AQ7" s="407"/>
      <c r="AR7" s="407"/>
      <c r="AS7" s="407"/>
      <c r="AT7" s="204"/>
      <c r="AU7" s="205">
        <v>2.5000000000000001E-3</v>
      </c>
      <c r="AV7" s="205">
        <v>2.5000000000000001E-3</v>
      </c>
      <c r="AW7" s="205">
        <v>2.5000000000000001E-3</v>
      </c>
      <c r="AX7" s="205">
        <v>2.5000000000000001E-3</v>
      </c>
      <c r="AY7" s="204"/>
      <c r="AZ7" s="205">
        <v>2.5000000000000001E-3</v>
      </c>
      <c r="BA7" s="205">
        <v>2.5000000000000001E-3</v>
      </c>
      <c r="BB7" s="205">
        <v>2.5000000000000001E-3</v>
      </c>
      <c r="BC7" s="205">
        <v>2.5000000000000001E-3</v>
      </c>
      <c r="BD7" s="204"/>
      <c r="BE7" s="205">
        <v>2.5000000000000001E-3</v>
      </c>
      <c r="BF7" s="205">
        <v>2.5000000000000001E-3</v>
      </c>
      <c r="BG7" s="205">
        <v>2.5000000000000001E-3</v>
      </c>
      <c r="BH7" s="205">
        <v>2.5000000000000001E-3</v>
      </c>
      <c r="BI7" s="204"/>
      <c r="BJ7" s="205">
        <v>2.5000000000000001E-3</v>
      </c>
      <c r="BK7" s="205">
        <v>2.5000000000000001E-3</v>
      </c>
      <c r="BL7" s="205">
        <v>2.5000000000000001E-3</v>
      </c>
      <c r="BM7" s="205">
        <v>2.5000000000000001E-3</v>
      </c>
      <c r="BN7" s="204"/>
      <c r="BO7" s="205">
        <v>2.5000000000000001E-3</v>
      </c>
      <c r="BP7" s="205">
        <v>2.5000000000000001E-3</v>
      </c>
      <c r="BQ7" s="205">
        <v>2.5000000000000001E-3</v>
      </c>
      <c r="BR7" s="205">
        <v>2.5000000000000001E-3</v>
      </c>
      <c r="BS7" s="204"/>
      <c r="BT7" s="205">
        <v>2.5000000000000001E-3</v>
      </c>
      <c r="BU7" s="205">
        <v>2.5000000000000001E-3</v>
      </c>
      <c r="BV7" s="205">
        <v>2.5000000000000001E-3</v>
      </c>
      <c r="BW7" s="205">
        <v>2.5000000000000001E-3</v>
      </c>
      <c r="BX7" s="204"/>
      <c r="BY7" s="205">
        <v>2.5000000000000001E-3</v>
      </c>
      <c r="BZ7" s="205">
        <v>2.5000000000000001E-3</v>
      </c>
      <c r="CA7" s="205">
        <v>2.5000000000000001E-3</v>
      </c>
      <c r="CB7" s="205">
        <v>2.5000000000000001E-3</v>
      </c>
      <c r="CC7" s="204"/>
      <c r="CD7" s="205">
        <v>2.5000000000000001E-3</v>
      </c>
      <c r="CE7" s="205">
        <v>2.5000000000000001E-3</v>
      </c>
      <c r="CF7" s="205">
        <v>2.5000000000000001E-3</v>
      </c>
      <c r="CG7" s="205">
        <v>2.5000000000000001E-3</v>
      </c>
      <c r="CH7" s="204"/>
      <c r="CI7" s="1177">
        <v>2.5000000000000001E-3</v>
      </c>
      <c r="CJ7" s="1177">
        <v>2.5000000000000001E-3</v>
      </c>
      <c r="CK7" s="1177">
        <v>2.5000000000000001E-3</v>
      </c>
      <c r="CL7" s="1177">
        <v>2.5000000000000001E-3</v>
      </c>
      <c r="CM7" s="1178"/>
      <c r="CN7" s="1177">
        <v>2.5000000000000001E-3</v>
      </c>
      <c r="CO7" s="1177">
        <v>2.5000000000000001E-3</v>
      </c>
      <c r="CP7" s="1177">
        <v>2.5000000000000001E-3</v>
      </c>
      <c r="CQ7" s="1177">
        <v>2.5000000000000001E-3</v>
      </c>
      <c r="CR7" s="1178"/>
      <c r="CS7" s="1177">
        <v>2.5000000000000001E-3</v>
      </c>
      <c r="CT7" s="1177">
        <v>2.5000000000000001E-3</v>
      </c>
      <c r="CU7" s="1177">
        <v>2.5000000000000001E-3</v>
      </c>
      <c r="CV7" s="1177">
        <v>2.5000000000000001E-3</v>
      </c>
      <c r="CW7" s="1178"/>
      <c r="CX7" s="1177">
        <v>2.5000000000000001E-3</v>
      </c>
      <c r="CY7" s="1177">
        <v>2.5000000000000001E-3</v>
      </c>
      <c r="CZ7" s="1177">
        <v>2.5000000000000001E-3</v>
      </c>
      <c r="DA7" s="1177">
        <v>2.5000000000000001E-3</v>
      </c>
      <c r="DB7" s="1178"/>
      <c r="DC7" s="5"/>
      <c r="DD7" s="5"/>
      <c r="DE7" s="171"/>
      <c r="DF7" s="171"/>
      <c r="DG7" s="171"/>
      <c r="DH7" s="171"/>
      <c r="DI7" s="171"/>
      <c r="DJ7" s="171"/>
    </row>
    <row r="8" spans="1:114">
      <c r="A8" s="171"/>
      <c r="B8" s="689" t="s">
        <v>523</v>
      </c>
      <c r="C8" s="38"/>
      <c r="D8" s="201"/>
      <c r="E8" s="201"/>
      <c r="F8" s="201"/>
      <c r="G8" s="166"/>
      <c r="H8" s="166"/>
      <c r="I8" s="166"/>
      <c r="J8" s="166"/>
      <c r="K8" s="201"/>
      <c r="L8" s="166"/>
      <c r="M8" s="166"/>
      <c r="N8" s="166"/>
      <c r="O8" s="166"/>
      <c r="P8" s="201"/>
      <c r="Q8" s="166"/>
      <c r="R8" s="166"/>
      <c r="S8" s="166"/>
      <c r="T8" s="166"/>
      <c r="U8" s="201"/>
      <c r="V8" s="166"/>
      <c r="W8" s="166"/>
      <c r="X8" s="166"/>
      <c r="Y8" s="166"/>
      <c r="Z8" s="201"/>
      <c r="AA8" s="166"/>
      <c r="AB8" s="166"/>
      <c r="AC8" s="166"/>
      <c r="AD8" s="166"/>
      <c r="AE8" s="201"/>
      <c r="AF8" s="166"/>
      <c r="AG8" s="166"/>
      <c r="AH8" s="166"/>
      <c r="AI8" s="166"/>
      <c r="AJ8" s="201"/>
      <c r="AK8" s="166"/>
      <c r="AL8" s="166"/>
      <c r="AM8" s="166"/>
      <c r="AN8" s="166"/>
      <c r="AO8" s="201"/>
      <c r="AP8" s="166"/>
      <c r="AQ8" s="166"/>
      <c r="AR8" s="166"/>
      <c r="AS8" s="166"/>
      <c r="AT8" s="201"/>
      <c r="AU8" s="166">
        <f>AT9</f>
        <v>220.655</v>
      </c>
      <c r="AV8" s="166">
        <f>AU9</f>
        <v>532.13199999999995</v>
      </c>
      <c r="AW8" s="166">
        <f>AV9</f>
        <v>268.82499999999999</v>
      </c>
      <c r="AX8" s="166">
        <f>AW9</f>
        <v>432.815</v>
      </c>
      <c r="AY8" s="201"/>
      <c r="AZ8" s="166">
        <f>AY9</f>
        <v>344.541</v>
      </c>
      <c r="BA8" s="166">
        <f>AZ9</f>
        <v>480.06599999999997</v>
      </c>
      <c r="BB8" s="166">
        <f>BA9</f>
        <v>548.75400000000002</v>
      </c>
      <c r="BC8" s="166">
        <f>BB9</f>
        <v>567.74900000000002</v>
      </c>
      <c r="BD8" s="201"/>
      <c r="BE8" s="166">
        <f>BD9</f>
        <v>299.16899999999998</v>
      </c>
      <c r="BF8" s="166">
        <f>BE9</f>
        <v>270.71600000000001</v>
      </c>
      <c r="BG8" s="166">
        <f>BF9</f>
        <v>191.43199999999999</v>
      </c>
      <c r="BH8" s="166">
        <f>BG9</f>
        <v>266.31200000000001</v>
      </c>
      <c r="BI8" s="201"/>
      <c r="BJ8" s="166">
        <f>BI9</f>
        <v>129.86500000000001</v>
      </c>
      <c r="BK8" s="166">
        <f>BJ9</f>
        <v>129.298</v>
      </c>
      <c r="BL8" s="166">
        <f>BK9</f>
        <v>115.10899999999999</v>
      </c>
      <c r="BM8" s="166">
        <f>BL9</f>
        <v>240.65</v>
      </c>
      <c r="BN8" s="201"/>
      <c r="BO8" s="166">
        <f>BN9</f>
        <v>387.81299999999965</v>
      </c>
      <c r="BP8" s="166">
        <f>BO9</f>
        <v>285.048</v>
      </c>
      <c r="BQ8" s="166">
        <f>BP9</f>
        <v>251.22699999999992</v>
      </c>
      <c r="BR8" s="166">
        <f>BQ9</f>
        <v>143.60500000000039</v>
      </c>
      <c r="BS8" s="201"/>
      <c r="BT8" s="166">
        <f>BS9</f>
        <v>373.40300000000002</v>
      </c>
      <c r="BU8" s="166">
        <f>BT9</f>
        <v>613.40300000000002</v>
      </c>
      <c r="BV8" s="166">
        <f>BU9</f>
        <v>389</v>
      </c>
      <c r="BW8" s="166">
        <f>BV9</f>
        <v>221.00000000000045</v>
      </c>
      <c r="BX8" s="201"/>
      <c r="BY8" s="166">
        <f>BX9</f>
        <v>509</v>
      </c>
      <c r="BZ8" s="166">
        <f>BY9</f>
        <v>222</v>
      </c>
      <c r="CA8" s="166">
        <f>BZ9</f>
        <v>365</v>
      </c>
      <c r="CB8" s="166">
        <f>CA9</f>
        <v>186</v>
      </c>
      <c r="CC8" s="201"/>
      <c r="CD8" s="166">
        <f>CC9</f>
        <v>184</v>
      </c>
      <c r="CE8" s="166">
        <f>CD9</f>
        <v>181</v>
      </c>
      <c r="CF8" s="166">
        <f>CE9</f>
        <v>461</v>
      </c>
      <c r="CG8" s="166">
        <f>CF9</f>
        <v>133</v>
      </c>
      <c r="CH8" s="201"/>
      <c r="CI8" s="166">
        <f>CH9</f>
        <v>238</v>
      </c>
      <c r="CJ8" s="166">
        <f>CI9</f>
        <v>247</v>
      </c>
      <c r="CK8" s="166">
        <f>CJ9</f>
        <v>768</v>
      </c>
      <c r="CL8" s="166">
        <f>CK9</f>
        <v>590</v>
      </c>
      <c r="CM8" s="201"/>
      <c r="CN8" s="166">
        <f>CM9</f>
        <v>563</v>
      </c>
      <c r="CO8" s="166">
        <f ca="1">CN9</f>
        <v>508.02631845250716</v>
      </c>
      <c r="CP8" s="166">
        <f ca="1">CO9</f>
        <v>712.28602136398672</v>
      </c>
      <c r="CQ8" s="166">
        <f ca="1">CP9</f>
        <v>740.97549917369292</v>
      </c>
      <c r="CR8" s="201"/>
      <c r="CS8" s="166">
        <f ca="1">CR9</f>
        <v>574.67555942532442</v>
      </c>
      <c r="CT8" s="166">
        <f ca="1">CS9</f>
        <v>310.88494895668333</v>
      </c>
      <c r="CU8" s="166">
        <f ca="1">CT9</f>
        <v>474.61248303849931</v>
      </c>
      <c r="CV8" s="166">
        <f ca="1">CU9</f>
        <v>500.16083743763676</v>
      </c>
      <c r="CW8" s="201"/>
      <c r="CX8" s="166">
        <f ca="1">CW9</f>
        <v>714.23774281568853</v>
      </c>
      <c r="CY8" s="166">
        <f ca="1">CX9</f>
        <v>283.07015564062908</v>
      </c>
      <c r="CZ8" s="166">
        <f ca="1">CY9</f>
        <v>336.79526973413726</v>
      </c>
      <c r="DA8" s="166">
        <f ca="1">CZ9</f>
        <v>453.3926388405722</v>
      </c>
      <c r="DB8" s="201"/>
      <c r="DC8" s="5"/>
      <c r="DD8" s="5"/>
      <c r="DE8" s="171"/>
      <c r="DF8" s="171"/>
      <c r="DG8" s="171"/>
      <c r="DH8" s="171"/>
      <c r="DI8" s="171"/>
      <c r="DJ8" s="171"/>
    </row>
    <row r="9" spans="1:114">
      <c r="A9" s="171"/>
      <c r="B9" s="1155" t="s">
        <v>524</v>
      </c>
      <c r="C9" s="1152"/>
      <c r="D9" s="1153"/>
      <c r="E9" s="1153"/>
      <c r="F9" s="1153"/>
      <c r="G9" s="1154"/>
      <c r="H9" s="1154"/>
      <c r="I9" s="1154"/>
      <c r="J9" s="1154"/>
      <c r="K9" s="1153"/>
      <c r="L9" s="1154"/>
      <c r="M9" s="1154"/>
      <c r="N9" s="1154"/>
      <c r="O9" s="1154"/>
      <c r="P9" s="1153"/>
      <c r="Q9" s="1154"/>
      <c r="R9" s="1154"/>
      <c r="S9" s="1154"/>
      <c r="T9" s="1154"/>
      <c r="U9" s="1153"/>
      <c r="V9" s="1154"/>
      <c r="W9" s="1154"/>
      <c r="X9" s="1154"/>
      <c r="Y9" s="1154"/>
      <c r="Z9" s="1153"/>
      <c r="AA9" s="1154"/>
      <c r="AB9" s="1154"/>
      <c r="AC9" s="1154"/>
      <c r="AD9" s="1154"/>
      <c r="AE9" s="1153"/>
      <c r="AF9" s="1154"/>
      <c r="AG9" s="1154"/>
      <c r="AH9" s="1154"/>
      <c r="AI9" s="1154"/>
      <c r="AJ9" s="1153"/>
      <c r="AK9" s="1154"/>
      <c r="AL9" s="1154"/>
      <c r="AM9" s="1154"/>
      <c r="AN9" s="1154"/>
      <c r="AO9" s="1153"/>
      <c r="AP9" s="1154"/>
      <c r="AQ9" s="1154"/>
      <c r="AR9" s="1154"/>
      <c r="AS9" s="1154"/>
      <c r="AT9" s="1153">
        <f>'BS &amp; CF'!AT8</f>
        <v>220.655</v>
      </c>
      <c r="AU9" s="1154">
        <f>'BS &amp; CF'!AU8</f>
        <v>532.13199999999995</v>
      </c>
      <c r="AV9" s="1154">
        <f>'BS &amp; CF'!AV8</f>
        <v>268.82499999999999</v>
      </c>
      <c r="AW9" s="1154">
        <f>'BS &amp; CF'!AW8</f>
        <v>432.815</v>
      </c>
      <c r="AX9" s="1154">
        <f>'BS &amp; CF'!AX8</f>
        <v>344.541</v>
      </c>
      <c r="AY9" s="1153">
        <f>'BS &amp; CF'!AY8</f>
        <v>344.541</v>
      </c>
      <c r="AZ9" s="1154">
        <f>'BS &amp; CF'!AZ8</f>
        <v>480.06599999999997</v>
      </c>
      <c r="BA9" s="1154">
        <f>'BS &amp; CF'!BA8</f>
        <v>548.75400000000002</v>
      </c>
      <c r="BB9" s="1154">
        <f>'BS &amp; CF'!BB8</f>
        <v>567.74900000000002</v>
      </c>
      <c r="BC9" s="1154">
        <f>'BS &amp; CF'!BC8</f>
        <v>299.16899999999998</v>
      </c>
      <c r="BD9" s="1153">
        <f>'BS &amp; CF'!BD8</f>
        <v>299.16899999999998</v>
      </c>
      <c r="BE9" s="1154">
        <f>'BS &amp; CF'!BE8</f>
        <v>270.71600000000001</v>
      </c>
      <c r="BF9" s="1154">
        <f>'BS &amp; CF'!BF8</f>
        <v>191.43199999999999</v>
      </c>
      <c r="BG9" s="1154">
        <f>'BS &amp; CF'!BG8</f>
        <v>266.31200000000001</v>
      </c>
      <c r="BH9" s="1154">
        <f>'BS &amp; CF'!BH8</f>
        <v>129.86500000000001</v>
      </c>
      <c r="BI9" s="1153">
        <f>BH9</f>
        <v>129.86500000000001</v>
      </c>
      <c r="BJ9" s="1154">
        <f>'BS &amp; CF'!BJ8</f>
        <v>129.298</v>
      </c>
      <c r="BK9" s="1154">
        <f>'BS &amp; CF'!BK8</f>
        <v>115.10899999999999</v>
      </c>
      <c r="BL9" s="1154">
        <f>'BS &amp; CF'!BL8</f>
        <v>240.65</v>
      </c>
      <c r="BM9" s="1154">
        <f>'BS &amp; CF'!BM147</f>
        <v>387.81299999999965</v>
      </c>
      <c r="BN9" s="1153">
        <f>BM9</f>
        <v>387.81299999999965</v>
      </c>
      <c r="BO9" s="1154">
        <f>'BS &amp; CF'!BO147</f>
        <v>285.048</v>
      </c>
      <c r="BP9" s="1154">
        <f>'BS &amp; CF'!BP147</f>
        <v>251.22699999999992</v>
      </c>
      <c r="BQ9" s="1154">
        <f>'BS &amp; CF'!BQ147</f>
        <v>143.60500000000039</v>
      </c>
      <c r="BR9" s="1154">
        <f>'BS &amp; CF'!BR147</f>
        <v>373.40300000000002</v>
      </c>
      <c r="BS9" s="1153">
        <f>BR9</f>
        <v>373.40300000000002</v>
      </c>
      <c r="BT9" s="1154">
        <f>'BS &amp; CF'!BT147</f>
        <v>613.40300000000002</v>
      </c>
      <c r="BU9" s="1154">
        <f>'BS &amp; CF'!BU147</f>
        <v>389</v>
      </c>
      <c r="BV9" s="1154">
        <f>'BS &amp; CF'!BV147</f>
        <v>221.00000000000045</v>
      </c>
      <c r="BW9" s="1154">
        <f>'BS &amp; CF'!BW147</f>
        <v>509</v>
      </c>
      <c r="BX9" s="1153">
        <f>BW9</f>
        <v>509</v>
      </c>
      <c r="BY9" s="1154">
        <f>'BS &amp; CF'!BY147</f>
        <v>222</v>
      </c>
      <c r="BZ9" s="1154">
        <f>'BS &amp; CF'!BZ147</f>
        <v>365</v>
      </c>
      <c r="CA9" s="1154">
        <f>'BS &amp; CF'!CA147</f>
        <v>186</v>
      </c>
      <c r="CB9" s="1154">
        <f>'BS &amp; CF'!CB147</f>
        <v>184</v>
      </c>
      <c r="CC9" s="1153">
        <f>CB9</f>
        <v>184</v>
      </c>
      <c r="CD9" s="1154">
        <f>'BS &amp; CF'!CD147</f>
        <v>181</v>
      </c>
      <c r="CE9" s="1154">
        <f>'BS &amp; CF'!CE147</f>
        <v>461</v>
      </c>
      <c r="CF9" s="1154">
        <f>'BS &amp; CF'!CF147</f>
        <v>133</v>
      </c>
      <c r="CG9" s="1154">
        <f>'BS &amp; CF'!CG147</f>
        <v>238</v>
      </c>
      <c r="CH9" s="1153">
        <f>CG9</f>
        <v>238</v>
      </c>
      <c r="CI9" s="1154">
        <f>'BS &amp; CF'!CI147</f>
        <v>247</v>
      </c>
      <c r="CJ9" s="1154">
        <f>'BS &amp; CF'!CJ147</f>
        <v>768</v>
      </c>
      <c r="CK9" s="1154">
        <f>'BS &amp; CF'!CK147</f>
        <v>590</v>
      </c>
      <c r="CL9" s="1154">
        <f>'BS &amp; CF'!CL147</f>
        <v>563</v>
      </c>
      <c r="CM9" s="1153">
        <f>CL9</f>
        <v>563</v>
      </c>
      <c r="CN9" s="1154">
        <f ca="1">'BS &amp; CF'!CN147</f>
        <v>508.02631845250716</v>
      </c>
      <c r="CO9" s="1154">
        <f ca="1">'BS &amp; CF'!CO147</f>
        <v>712.28602136398672</v>
      </c>
      <c r="CP9" s="1154">
        <f ca="1">'BS &amp; CF'!CP147</f>
        <v>740.97549917369292</v>
      </c>
      <c r="CQ9" s="1154">
        <f ca="1">'BS &amp; CF'!CQ147</f>
        <v>574.67555942532442</v>
      </c>
      <c r="CR9" s="1153">
        <f ca="1">CQ9</f>
        <v>574.67555942532442</v>
      </c>
      <c r="CS9" s="1154">
        <f ca="1">'BS &amp; CF'!CS147</f>
        <v>310.88494895668333</v>
      </c>
      <c r="CT9" s="1154">
        <f ca="1">'BS &amp; CF'!CT147</f>
        <v>474.61248303849931</v>
      </c>
      <c r="CU9" s="1154">
        <f ca="1">'BS &amp; CF'!CU147</f>
        <v>500.16083743763676</v>
      </c>
      <c r="CV9" s="1154">
        <f ca="1">'BS &amp; CF'!CV147</f>
        <v>714.23774281568853</v>
      </c>
      <c r="CW9" s="1153">
        <f ca="1">CV9</f>
        <v>714.23774281568853</v>
      </c>
      <c r="CX9" s="1154">
        <f ca="1">'BS &amp; CF'!CX147</f>
        <v>283.07015564062908</v>
      </c>
      <c r="CY9" s="1154">
        <f ca="1">'BS &amp; CF'!CY147</f>
        <v>336.79526973413726</v>
      </c>
      <c r="CZ9" s="1154">
        <f ca="1">'BS &amp; CF'!CZ147</f>
        <v>453.3926388405722</v>
      </c>
      <c r="DA9" s="1154">
        <f ca="1">'BS &amp; CF'!DA147</f>
        <v>255.53769257557096</v>
      </c>
      <c r="DB9" s="1153">
        <f ca="1">DA9</f>
        <v>255.53769257557096</v>
      </c>
      <c r="DC9" s="5"/>
      <c r="DD9" s="5"/>
      <c r="DE9" s="171"/>
      <c r="DF9" s="171"/>
      <c r="DG9" s="171"/>
      <c r="DH9" s="171"/>
      <c r="DI9" s="171"/>
      <c r="DJ9" s="171"/>
    </row>
    <row r="10" spans="1:114" ht="3" customHeight="1">
      <c r="A10" s="171"/>
      <c r="B10" s="690"/>
      <c r="C10" s="38"/>
      <c r="D10" s="201"/>
      <c r="E10" s="201"/>
      <c r="F10" s="201"/>
      <c r="G10" s="166"/>
      <c r="H10" s="166"/>
      <c r="I10" s="166"/>
      <c r="J10" s="166"/>
      <c r="K10" s="201"/>
      <c r="L10" s="166"/>
      <c r="M10" s="166"/>
      <c r="N10" s="166"/>
      <c r="O10" s="166"/>
      <c r="P10" s="201"/>
      <c r="Q10" s="166"/>
      <c r="R10" s="166"/>
      <c r="S10" s="166"/>
      <c r="T10" s="166"/>
      <c r="U10" s="201"/>
      <c r="V10" s="166"/>
      <c r="W10" s="166"/>
      <c r="X10" s="166"/>
      <c r="Y10" s="166"/>
      <c r="Z10" s="201"/>
      <c r="AA10" s="166"/>
      <c r="AB10" s="166"/>
      <c r="AC10" s="166"/>
      <c r="AD10" s="166"/>
      <c r="AE10" s="201"/>
      <c r="AF10" s="166"/>
      <c r="AG10" s="166"/>
      <c r="AH10" s="166"/>
      <c r="AI10" s="166"/>
      <c r="AJ10" s="201"/>
      <c r="AK10" s="166"/>
      <c r="AL10" s="166"/>
      <c r="AM10" s="166"/>
      <c r="AN10" s="166"/>
      <c r="AO10" s="201"/>
      <c r="AP10" s="166"/>
      <c r="AQ10" s="166"/>
      <c r="AR10" s="166"/>
      <c r="AS10" s="166"/>
      <c r="AT10" s="201"/>
      <c r="AU10" s="202"/>
      <c r="AV10" s="202"/>
      <c r="AW10" s="202"/>
      <c r="AX10" s="202"/>
      <c r="AY10" s="201"/>
      <c r="AZ10" s="202"/>
      <c r="BA10" s="202"/>
      <c r="BB10" s="202"/>
      <c r="BC10" s="202"/>
      <c r="BD10" s="201"/>
      <c r="BE10" s="203"/>
      <c r="BF10" s="203"/>
      <c r="BG10" s="166"/>
      <c r="BH10" s="166"/>
      <c r="BI10" s="201"/>
      <c r="BJ10" s="203"/>
      <c r="BK10" s="203"/>
      <c r="BL10" s="166"/>
      <c r="BM10" s="166"/>
      <c r="BN10" s="201"/>
      <c r="BO10" s="203"/>
      <c r="BP10" s="203"/>
      <c r="BQ10" s="166"/>
      <c r="BR10" s="166"/>
      <c r="BS10" s="201"/>
      <c r="BT10" s="203"/>
      <c r="BU10" s="203"/>
      <c r="BV10" s="166"/>
      <c r="BW10" s="166"/>
      <c r="BX10" s="201"/>
      <c r="BY10" s="203"/>
      <c r="BZ10" s="203"/>
      <c r="CA10" s="166"/>
      <c r="CB10" s="166"/>
      <c r="CC10" s="201"/>
      <c r="CD10" s="203"/>
      <c r="CE10" s="203"/>
      <c r="CF10" s="166"/>
      <c r="CG10" s="166"/>
      <c r="CH10" s="201"/>
      <c r="CI10" s="203"/>
      <c r="CJ10" s="203"/>
      <c r="CK10" s="166"/>
      <c r="CL10" s="166"/>
      <c r="CM10" s="201"/>
      <c r="CN10" s="203"/>
      <c r="CO10" s="203"/>
      <c r="CP10" s="166"/>
      <c r="CQ10" s="166"/>
      <c r="CR10" s="201"/>
      <c r="CS10" s="203"/>
      <c r="CT10" s="203"/>
      <c r="CU10" s="166"/>
      <c r="CV10" s="166"/>
      <c r="CW10" s="201"/>
      <c r="CX10" s="203"/>
      <c r="CY10" s="203"/>
      <c r="CZ10" s="166"/>
      <c r="DA10" s="166"/>
      <c r="DB10" s="201"/>
      <c r="DC10" s="5"/>
      <c r="DD10" s="5"/>
      <c r="DE10" s="171"/>
      <c r="DF10" s="171"/>
      <c r="DG10" s="171"/>
      <c r="DH10" s="171"/>
      <c r="DI10" s="171"/>
      <c r="DJ10" s="171"/>
    </row>
    <row r="11" spans="1:114">
      <c r="A11" s="171"/>
      <c r="B11" s="691" t="s">
        <v>525</v>
      </c>
      <c r="C11" s="33"/>
      <c r="D11" s="206"/>
      <c r="E11" s="206"/>
      <c r="F11" s="206"/>
      <c r="G11" s="214"/>
      <c r="H11" s="214"/>
      <c r="I11" s="214"/>
      <c r="J11" s="214"/>
      <c r="K11" s="206"/>
      <c r="L11" s="214"/>
      <c r="M11" s="214"/>
      <c r="N11" s="214"/>
      <c r="O11" s="214"/>
      <c r="P11" s="206"/>
      <c r="Q11" s="214"/>
      <c r="R11" s="214"/>
      <c r="S11" s="214"/>
      <c r="T11" s="214"/>
      <c r="U11" s="206"/>
      <c r="V11" s="214"/>
      <c r="W11" s="214"/>
      <c r="X11" s="214"/>
      <c r="Y11" s="214"/>
      <c r="Z11" s="206"/>
      <c r="AA11" s="214"/>
      <c r="AB11" s="214"/>
      <c r="AC11" s="214"/>
      <c r="AD11" s="214"/>
      <c r="AE11" s="206"/>
      <c r="AF11" s="214"/>
      <c r="AG11" s="214"/>
      <c r="AH11" s="214"/>
      <c r="AI11" s="214"/>
      <c r="AJ11" s="206"/>
      <c r="AK11" s="214"/>
      <c r="AL11" s="214"/>
      <c r="AM11" s="214"/>
      <c r="AN11" s="214"/>
      <c r="AO11" s="206"/>
      <c r="AP11" s="214"/>
      <c r="AQ11" s="214"/>
      <c r="AR11" s="214"/>
      <c r="AS11" s="214"/>
      <c r="AT11" s="206"/>
      <c r="AU11" s="208">
        <f>AVERAGE(AU8:AU9)*AU7/4</f>
        <v>0.23524593749999997</v>
      </c>
      <c r="AV11" s="208">
        <f>AVERAGE(AV8:AV9)*AV7/4</f>
        <v>0.25029906249999995</v>
      </c>
      <c r="AW11" s="208">
        <f>AVERAGE(AW8:AW9)*AW7/4</f>
        <v>0.2192625</v>
      </c>
      <c r="AX11" s="208">
        <f>AVERAGE(AX8:AX9)*AX7/4</f>
        <v>0.24292374999999999</v>
      </c>
      <c r="AY11" s="206">
        <f>SUM(AU11:AX11)</f>
        <v>0.94773124999999991</v>
      </c>
      <c r="AZ11" s="208">
        <f>AVERAGE(AZ8:AZ9)*AZ7/4</f>
        <v>0.25768968749999999</v>
      </c>
      <c r="BA11" s="208">
        <f>AVERAGE(BA8:BA9)*BA7/4</f>
        <v>0.32150624999999999</v>
      </c>
      <c r="BB11" s="208">
        <f>AVERAGE(BB8:BB9)*BB7/4</f>
        <v>0.34890718750000005</v>
      </c>
      <c r="BC11" s="208">
        <f>AVERAGE(BC8:BC9)*BC7/4</f>
        <v>0.27091187500000002</v>
      </c>
      <c r="BD11" s="206">
        <f>SUM(AZ11:BC11)</f>
        <v>1.1990150000000002</v>
      </c>
      <c r="BE11" s="208">
        <f>AVERAGE(BE8:BE9)*BE7/4</f>
        <v>0.17808906250000001</v>
      </c>
      <c r="BF11" s="208">
        <f>AVERAGE(BF8:BF9)*BF7/4</f>
        <v>0.14442125</v>
      </c>
      <c r="BG11" s="208">
        <f>AVERAGE(BG8:BG9)*BG7/4</f>
        <v>0.14304500000000001</v>
      </c>
      <c r="BH11" s="208">
        <f>AVERAGE(BH8:BH9)*BH7/4</f>
        <v>0.12380531250000001</v>
      </c>
      <c r="BI11" s="206">
        <f>SUM(BE11:BH11)</f>
        <v>0.58936062500000008</v>
      </c>
      <c r="BJ11" s="208">
        <f>AVERAGE(BJ8:BJ9)*BJ7/4</f>
        <v>8.098843750000001E-2</v>
      </c>
      <c r="BK11" s="208">
        <f>AVERAGE(BK8:BK9)*BK7/4</f>
        <v>7.6377187499999999E-2</v>
      </c>
      <c r="BL11" s="208">
        <f>AVERAGE(BL8:BL9)*BL7/4</f>
        <v>0.11117468750000001</v>
      </c>
      <c r="BM11" s="208">
        <f>AVERAGE(BM8:BM9)*BM7/4</f>
        <v>0.19639468749999989</v>
      </c>
      <c r="BN11" s="206">
        <f>SUM(BJ11:BM11)</f>
        <v>0.46493499999999988</v>
      </c>
      <c r="BO11" s="208">
        <f>AVERAGE(BO8:BO9)*BO7/4</f>
        <v>0.21026906249999988</v>
      </c>
      <c r="BP11" s="208">
        <f>AVERAGE(BP8:BP9)*BP7/4</f>
        <v>0.16758593749999995</v>
      </c>
      <c r="BQ11" s="208">
        <f>AVERAGE(BQ8:BQ9)*BQ7/4</f>
        <v>0.12338500000000011</v>
      </c>
      <c r="BR11" s="208">
        <f>AVERAGE(BR8:BR9)*BR7/4</f>
        <v>0.16156500000000013</v>
      </c>
      <c r="BS11" s="206">
        <f>SUM(BO11:BR11)</f>
        <v>0.66280500000000009</v>
      </c>
      <c r="BT11" s="208">
        <f>AVERAGE(BT8:BT9)*BT7/4</f>
        <v>0.30837687499999999</v>
      </c>
      <c r="BU11" s="208">
        <f>AVERAGE(BU8:BU9)*BU7/4</f>
        <v>0.31325093749999999</v>
      </c>
      <c r="BV11" s="208">
        <f>AVERAGE(BV8:BV9)*BV7/4</f>
        <v>0.19062500000000016</v>
      </c>
      <c r="BW11" s="208">
        <f>AVERAGE(BW8:BW9)*BW7/4</f>
        <v>0.22812500000000013</v>
      </c>
      <c r="BX11" s="206">
        <f>SUM(BT11:BW11)</f>
        <v>1.0403778125000003</v>
      </c>
      <c r="BY11" s="214">
        <f>AVERAGE(BY8:BY9)*BY7/4</f>
        <v>0.22843750000000002</v>
      </c>
      <c r="BZ11" s="214">
        <f>AVERAGE(BZ8:BZ9)*BZ7/4</f>
        <v>0.1834375</v>
      </c>
      <c r="CA11" s="214">
        <f>AVERAGE(CA8:CA9)*CA7/4</f>
        <v>0.17218749999999999</v>
      </c>
      <c r="CB11" s="214">
        <f>AVERAGE(CB8:CB9)*CB7/4</f>
        <v>0.11562500000000001</v>
      </c>
      <c r="CC11" s="206">
        <f>SUM(BY11:CB11)</f>
        <v>0.69968749999999991</v>
      </c>
      <c r="CD11" s="214">
        <f>AVERAGE(CD8:CD9)*CD7/4</f>
        <v>0.1140625</v>
      </c>
      <c r="CE11" s="214">
        <f>AVERAGE(CE8:CE9)*CE7/4</f>
        <v>0.200625</v>
      </c>
      <c r="CF11" s="214">
        <f>AVERAGE(CF8:CF9)*CF7/4</f>
        <v>0.18562500000000001</v>
      </c>
      <c r="CG11" s="214">
        <f>AVERAGE(CG8:CG9)*CG7/4</f>
        <v>0.1159375</v>
      </c>
      <c r="CH11" s="206">
        <f>SUM(CD11:CG11)</f>
        <v>0.61625000000000008</v>
      </c>
      <c r="CI11" s="214">
        <f>AVERAGE(CI8:CI9)*CI7/4</f>
        <v>0.15156250000000002</v>
      </c>
      <c r="CJ11" s="214">
        <f>AVERAGE(CJ8:CJ9)*CJ7/4</f>
        <v>0.31718750000000001</v>
      </c>
      <c r="CK11" s="214">
        <f>AVERAGE(CK8:CK9)*CK7/4</f>
        <v>0.424375</v>
      </c>
      <c r="CL11" s="214">
        <f>AVERAGE(CL8:CL9)*CL7/4</f>
        <v>0.36031249999999998</v>
      </c>
      <c r="CM11" s="206">
        <f>SUM(CI11:CL11)</f>
        <v>1.2534375</v>
      </c>
      <c r="CN11" s="214">
        <f ca="1">AVERAGE(CN8:CN9)*CN7/4</f>
        <v>0.3346957245164085</v>
      </c>
      <c r="CO11" s="214">
        <f ca="1">AVERAGE(CO8:CO9)*CO7/4</f>
        <v>0.38134760619265434</v>
      </c>
      <c r="CP11" s="214">
        <f ca="1">AVERAGE(CP8:CP9)*CP7/4</f>
        <v>0.45414422516802488</v>
      </c>
      <c r="CQ11" s="214">
        <f ca="1">AVERAGE(CQ8:CQ9)*CQ7/4</f>
        <v>0.4111409558121929</v>
      </c>
      <c r="CR11" s="206">
        <f ca="1">SUM(CN11:CQ11)</f>
        <v>1.5813285116892808</v>
      </c>
      <c r="CS11" s="214">
        <f ca="1">AVERAGE(CS8:CS9)*CS7/4</f>
        <v>0.27673765886937746</v>
      </c>
      <c r="CT11" s="214">
        <f ca="1">AVERAGE(CT8:CT9)*CT7/4</f>
        <v>0.24546794749849457</v>
      </c>
      <c r="CU11" s="214">
        <f ca="1">AVERAGE(CU8:CU9)*CU7/4</f>
        <v>0.3046166626487925</v>
      </c>
      <c r="CV11" s="214">
        <f ca="1">AVERAGE(CV8:CV9)*CV7/4</f>
        <v>0.37949955632916416</v>
      </c>
      <c r="CW11" s="206">
        <f ca="1">SUM(CS11:CV11)</f>
        <v>1.2063218253458288</v>
      </c>
      <c r="CX11" s="214">
        <f ca="1">AVERAGE(CX8:CX9)*CX7/4</f>
        <v>0.31165871826759928</v>
      </c>
      <c r="CY11" s="214">
        <f ca="1">AVERAGE(CY8:CY9)*CY7/4</f>
        <v>0.19370794542961448</v>
      </c>
      <c r="CZ11" s="214">
        <f ca="1">AVERAGE(CZ8:CZ9)*CZ7/4</f>
        <v>0.24693372142959671</v>
      </c>
      <c r="DA11" s="214">
        <f ca="1">AVERAGE(DA8:DA9)*DA7/4</f>
        <v>0.22154072856754475</v>
      </c>
      <c r="DB11" s="206">
        <f ca="1">SUM(CX11:DA11)</f>
        <v>0.97384111369435522</v>
      </c>
      <c r="DC11" s="5"/>
      <c r="DD11" s="5"/>
      <c r="DE11" s="171"/>
      <c r="DF11" s="171"/>
      <c r="DG11" s="171"/>
      <c r="DH11" s="171"/>
      <c r="DI11" s="171"/>
      <c r="DJ11" s="171"/>
    </row>
    <row r="12" spans="1:114">
      <c r="A12" s="171"/>
      <c r="B12" s="5"/>
      <c r="C12" s="38"/>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202"/>
      <c r="AV12" s="202"/>
      <c r="AW12" s="202"/>
      <c r="AX12" s="202"/>
      <c r="AY12" s="166"/>
      <c r="AZ12" s="202"/>
      <c r="BA12" s="202"/>
      <c r="BB12" s="202"/>
      <c r="BC12" s="202"/>
      <c r="BD12" s="166"/>
      <c r="BE12" s="202"/>
      <c r="BF12" s="202"/>
      <c r="BG12" s="202"/>
      <c r="BH12" s="202"/>
      <c r="BI12" s="166"/>
      <c r="BJ12" s="203"/>
      <c r="BK12" s="203"/>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5"/>
      <c r="DD12" s="5"/>
      <c r="DE12" s="171"/>
      <c r="DF12" s="171"/>
      <c r="DG12" s="171"/>
      <c r="DH12" s="171"/>
      <c r="DI12" s="171"/>
      <c r="DJ12" s="171"/>
    </row>
    <row r="13" spans="1:114">
      <c r="A13" s="171"/>
      <c r="B13" s="692" t="s">
        <v>526</v>
      </c>
      <c r="C13" s="169"/>
      <c r="D13" s="209"/>
      <c r="E13" s="209"/>
      <c r="F13" s="209"/>
      <c r="G13" s="212"/>
      <c r="H13" s="212"/>
      <c r="I13" s="212"/>
      <c r="J13" s="212"/>
      <c r="K13" s="209"/>
      <c r="L13" s="212"/>
      <c r="M13" s="212"/>
      <c r="N13" s="212"/>
      <c r="O13" s="212"/>
      <c r="P13" s="209"/>
      <c r="Q13" s="212"/>
      <c r="R13" s="212"/>
      <c r="S13" s="212"/>
      <c r="T13" s="212"/>
      <c r="U13" s="209"/>
      <c r="V13" s="212"/>
      <c r="W13" s="212"/>
      <c r="X13" s="212"/>
      <c r="Y13" s="212"/>
      <c r="Z13" s="209"/>
      <c r="AA13" s="212"/>
      <c r="AB13" s="212"/>
      <c r="AC13" s="212"/>
      <c r="AD13" s="212"/>
      <c r="AE13" s="209"/>
      <c r="AF13" s="212"/>
      <c r="AG13" s="212"/>
      <c r="AH13" s="212"/>
      <c r="AI13" s="212"/>
      <c r="AJ13" s="209"/>
      <c r="AK13" s="212"/>
      <c r="AL13" s="212"/>
      <c r="AM13" s="212"/>
      <c r="AN13" s="212"/>
      <c r="AO13" s="209"/>
      <c r="AP13" s="212"/>
      <c r="AQ13" s="212"/>
      <c r="AR13" s="212"/>
      <c r="AS13" s="212"/>
      <c r="AT13" s="209"/>
      <c r="AU13" s="210"/>
      <c r="AV13" s="210"/>
      <c r="AW13" s="210"/>
      <c r="AX13" s="210"/>
      <c r="AY13" s="209"/>
      <c r="AZ13" s="210"/>
      <c r="BA13" s="210"/>
      <c r="BB13" s="210"/>
      <c r="BC13" s="210"/>
      <c r="BD13" s="209"/>
      <c r="BE13" s="210"/>
      <c r="BF13" s="210"/>
      <c r="BG13" s="210"/>
      <c r="BH13" s="210"/>
      <c r="BI13" s="209"/>
      <c r="BJ13" s="211"/>
      <c r="BK13" s="211"/>
      <c r="BL13" s="212"/>
      <c r="BM13" s="533"/>
      <c r="BN13" s="533"/>
      <c r="BO13" s="212"/>
      <c r="BP13" s="212"/>
      <c r="BQ13" s="212"/>
      <c r="BR13" s="212"/>
      <c r="BS13" s="209"/>
      <c r="BT13" s="212"/>
      <c r="BU13" s="212"/>
      <c r="BV13" s="212"/>
      <c r="BW13" s="212"/>
      <c r="BX13" s="209"/>
      <c r="BY13" s="212"/>
      <c r="BZ13" s="212"/>
      <c r="CA13" s="212"/>
      <c r="CB13" s="212"/>
      <c r="CC13" s="209"/>
      <c r="CD13" s="212"/>
      <c r="CE13" s="212"/>
      <c r="CF13" s="212"/>
      <c r="CG13" s="212"/>
      <c r="CH13" s="209"/>
      <c r="CI13" s="212"/>
      <c r="CJ13" s="212"/>
      <c r="CK13" s="212"/>
      <c r="CL13" s="212"/>
      <c r="CM13" s="209"/>
      <c r="CN13" s="212"/>
      <c r="CO13" s="212"/>
      <c r="CP13" s="212"/>
      <c r="CQ13" s="212"/>
      <c r="CR13" s="209"/>
      <c r="CS13" s="212"/>
      <c r="CT13" s="212"/>
      <c r="CU13" s="212"/>
      <c r="CV13" s="212"/>
      <c r="CW13" s="209"/>
      <c r="CX13" s="212"/>
      <c r="CY13" s="212"/>
      <c r="CZ13" s="212"/>
      <c r="DA13" s="212"/>
      <c r="DB13" s="209"/>
      <c r="DC13" s="5"/>
      <c r="DD13" s="5"/>
      <c r="DE13" s="171"/>
      <c r="DF13" s="171"/>
      <c r="DG13" s="171"/>
      <c r="DH13" s="171"/>
      <c r="DI13" s="171"/>
      <c r="DJ13" s="171"/>
    </row>
    <row r="14" spans="1:114">
      <c r="A14" s="171"/>
      <c r="B14" s="693" t="s">
        <v>527</v>
      </c>
      <c r="C14" s="38"/>
      <c r="D14" s="201"/>
      <c r="E14" s="201"/>
      <c r="F14" s="201"/>
      <c r="G14" s="166"/>
      <c r="H14" s="166"/>
      <c r="I14" s="166"/>
      <c r="J14" s="166"/>
      <c r="K14" s="201"/>
      <c r="L14" s="166"/>
      <c r="M14" s="166"/>
      <c r="N14" s="166"/>
      <c r="O14" s="166"/>
      <c r="P14" s="201"/>
      <c r="Q14" s="166"/>
      <c r="R14" s="166"/>
      <c r="S14" s="166"/>
      <c r="T14" s="166"/>
      <c r="U14" s="201"/>
      <c r="V14" s="166"/>
      <c r="W14" s="166"/>
      <c r="X14" s="166"/>
      <c r="Y14" s="166"/>
      <c r="Z14" s="201"/>
      <c r="AA14" s="166"/>
      <c r="AB14" s="166"/>
      <c r="AC14" s="166"/>
      <c r="AD14" s="166"/>
      <c r="AE14" s="201"/>
      <c r="AF14" s="166"/>
      <c r="AG14" s="166"/>
      <c r="AH14" s="166"/>
      <c r="AI14" s="166"/>
      <c r="AJ14" s="201"/>
      <c r="AK14" s="166"/>
      <c r="AL14" s="166"/>
      <c r="AM14" s="166"/>
      <c r="AN14" s="166"/>
      <c r="AO14" s="201"/>
      <c r="AP14" s="166"/>
      <c r="AQ14" s="166"/>
      <c r="AR14" s="166"/>
      <c r="AS14" s="166"/>
      <c r="AT14" s="201"/>
      <c r="AU14" s="166"/>
      <c r="AV14" s="166"/>
      <c r="AW14" s="166"/>
      <c r="AX14" s="166"/>
      <c r="AY14" s="201"/>
      <c r="AZ14" s="166"/>
      <c r="BA14" s="166"/>
      <c r="BB14" s="166"/>
      <c r="BC14" s="166"/>
      <c r="BD14" s="201"/>
      <c r="BE14" s="166"/>
      <c r="BF14" s="166"/>
      <c r="BG14" s="166"/>
      <c r="BH14" s="166"/>
      <c r="BI14" s="201"/>
      <c r="BJ14" s="166"/>
      <c r="BK14" s="166"/>
      <c r="BL14" s="166"/>
      <c r="BM14" s="166"/>
      <c r="BN14" s="201"/>
      <c r="BO14" s="166"/>
      <c r="BP14" s="166"/>
      <c r="BQ14" s="166"/>
      <c r="BR14" s="166"/>
      <c r="BS14" s="201"/>
      <c r="BT14" s="166"/>
      <c r="BU14" s="166"/>
      <c r="BV14" s="166"/>
      <c r="BW14" s="166"/>
      <c r="BX14" s="201"/>
      <c r="BY14" s="166">
        <f t="shared" ref="BY14:CB14" si="0">BY15</f>
        <v>241</v>
      </c>
      <c r="BZ14" s="166">
        <f t="shared" si="0"/>
        <v>239</v>
      </c>
      <c r="CA14" s="166">
        <f t="shared" si="0"/>
        <v>242</v>
      </c>
      <c r="CB14" s="166">
        <f t="shared" si="0"/>
        <v>249</v>
      </c>
      <c r="CC14" s="201">
        <f>CC127+CC159+CC117+CC149+CC139+CC52+CC53+CC66+CC67+CC80+CC81+CC94+CC95+CC38+CC39+CC189+CC105+CC197+CC169+CC179</f>
        <v>910.75312500000007</v>
      </c>
      <c r="CD14" s="166">
        <f t="shared" ref="CD14:CG14" si="1">CD15</f>
        <v>251</v>
      </c>
      <c r="CE14" s="166">
        <f t="shared" si="1"/>
        <v>246</v>
      </c>
      <c r="CF14" s="166">
        <f t="shared" si="1"/>
        <v>233</v>
      </c>
      <c r="CG14" s="166">
        <f t="shared" si="1"/>
        <v>232</v>
      </c>
      <c r="CH14" s="201">
        <f>CH127+CH159+CH117+CH149+CH139+CH52+CH53+CH66+CH67+CH80+CH81+CH94+CH95+CH38+CH39+CH189+CH105+CH197+CH169+CH179</f>
        <v>852.60859375000007</v>
      </c>
      <c r="CI14" s="166">
        <f>CI15</f>
        <v>229</v>
      </c>
      <c r="CJ14" s="166">
        <f>CJ127+CJ159+CJ117+CJ149+CJ139+CJ52+CJ53+CJ66+CJ67+CJ80+CJ81+CJ94+CJ95+CJ38+CJ39+CJ189+CJ105+CJ197+CJ169+CJ179</f>
        <v>222.54179687500343</v>
      </c>
      <c r="CK14" s="166">
        <f t="shared" ref="CK14:CL14" si="2">CK127+CK159+CK117+CK149+CK139+CK52+CK53+CK66+CK67+CK80+CK81+CK94+CK95+CK38+CK39+CK189+CK105+CK197+CK169+CK179</f>
        <v>220.13289062500689</v>
      </c>
      <c r="CL14" s="166">
        <f t="shared" si="2"/>
        <v>216.41984375000064</v>
      </c>
      <c r="CM14" s="201">
        <f>SUM(CI14:CL14)</f>
        <v>888.09453125001096</v>
      </c>
      <c r="CN14" s="166">
        <f ca="1">CN127+CN159+CN117+CN149+CN139+CN52+CN53+CN66+CN67+CN80+CN81+CN94+CN95+CN38+CN39+CN189+CN105+CN197+CN169+CN179+18</f>
        <v>232.32296874999437</v>
      </c>
      <c r="CO14" s="166">
        <f ca="1">CO127+CO159+CO117+CO149+CO139+CO52+CO53+CO66+CO67+CO80+CO81+CO94+CO95+CO38+CO39+CO189+CO105+CO197+CO169+CO179+18</f>
        <v>228.47281249999438</v>
      </c>
      <c r="CP14" s="166">
        <f ca="1">CP127+CP159+CP117+CP149+CP139+CP52+CP53+CP66+CP67+CP80+CP81+CP94+CP95+CP38+CP39+CP189+CP105+CP197+CP169+CP179+18</f>
        <v>224.32072968749438</v>
      </c>
      <c r="CQ14" s="166">
        <f ca="1">CQ127+CQ159+CQ117+CQ149+CQ139+CQ52+CQ53+CQ66+CQ67+CQ80+CQ81+CQ94+CQ95+CQ38+CQ39+CQ189+CQ105+CQ197+CQ169+CQ179+18</f>
        <v>219.09276093749438</v>
      </c>
      <c r="CR14" s="201">
        <f ca="1">SUM(CN14:CQ14)</f>
        <v>904.2092718749775</v>
      </c>
      <c r="CS14" s="166">
        <f ca="1">CS127+CS159+CS117+CS149+CS139+CS52+CS53+CS66+CS67+CS80+CS81+CS94+CS95+CS38+CS39+CS189+CS105+CS197+CS169+CS179+18</f>
        <v>214.632468749993</v>
      </c>
      <c r="CT14" s="166">
        <f ca="1">CT127+CT159+CT117+CT149+CT139+CT52+CT53+CT66+CT67+CT80+CT81+CT94+CT95+CT38+CT39+CT189+CT105+CT197+CT169+CT179+18</f>
        <v>212.3026687499908</v>
      </c>
      <c r="CU14" s="166">
        <f ca="1">CU127+CU159+CU117+CU149+CU139+CU52+CU53+CU66+CU67+CU80+CU81+CU94+CU95+CU38+CU39+CU189+CU105+CU197+CU169+CU179+18</f>
        <v>210.90478874998948</v>
      </c>
      <c r="CV14" s="166">
        <f ca="1">CV127+CV159+CV117+CV149+CV139+CV52+CV53+CV66+CV67+CV80+CV81+CV94+CV95+CV38+CV39+CV189+CV105+CV197+CV169+CV179+18</f>
        <v>210.06606074998868</v>
      </c>
      <c r="CW14" s="201">
        <f ca="1">SUM(CS14:CV14)</f>
        <v>847.9059869999619</v>
      </c>
      <c r="CX14" s="166">
        <f ca="1">CX127+CX159+CX117+CX149+CX139+CX52+CX53+CX66+CX67+CX80+CX81+CX94+CX95+CX38+CX39+CX189+CX105+CX197+CX169+CX179+18</f>
        <v>209.5628239499882</v>
      </c>
      <c r="CY14" s="166">
        <f ca="1">CY127+CY159+CY117+CY149+CY139+CY52+CY53+CY66+CY67+CY80+CY81+CY94+CY95+CY38+CY39+CY189+CY105+CY197+CY169+CY179+18</f>
        <v>209.26088186998791</v>
      </c>
      <c r="CZ14" s="166">
        <f ca="1">CZ127+CZ159+CZ117+CZ149+CZ139+CZ52+CZ53+CZ66+CZ67+CZ80+CZ81+CZ94+CZ95+CZ38+CZ39+CZ189+CZ105+CZ197+CZ169+CZ179+18</f>
        <v>209.07971662198776</v>
      </c>
      <c r="DA14" s="166">
        <f ca="1">DA127+DA159+DA117+DA149+DA139+DA52+DA53+DA66+DA67+DA80+DA81+DA94+DA95+DA38+DA39+DA189+DA105+DA197+DA169+DA179+18</f>
        <v>209.0117796539877</v>
      </c>
      <c r="DB14" s="201">
        <f ca="1">SUM(CX14:DA14)</f>
        <v>836.91520209595149</v>
      </c>
      <c r="DC14" s="5"/>
      <c r="DD14" s="5"/>
      <c r="DE14" s="171"/>
      <c r="DF14" s="171"/>
      <c r="DG14" s="171"/>
      <c r="DH14" s="171"/>
      <c r="DI14" s="171"/>
      <c r="DJ14" s="171"/>
    </row>
    <row r="15" spans="1:114">
      <c r="A15" s="171"/>
      <c r="B15" s="1151" t="s">
        <v>528</v>
      </c>
      <c r="C15" s="1152"/>
      <c r="D15" s="1153"/>
      <c r="E15" s="1153"/>
      <c r="F15" s="1153"/>
      <c r="G15" s="1154"/>
      <c r="H15" s="1154"/>
      <c r="I15" s="1154"/>
      <c r="J15" s="1154"/>
      <c r="K15" s="1153"/>
      <c r="L15" s="1154"/>
      <c r="M15" s="1154"/>
      <c r="N15" s="1154"/>
      <c r="O15" s="1154"/>
      <c r="P15" s="1153"/>
      <c r="Q15" s="1154"/>
      <c r="R15" s="1154"/>
      <c r="S15" s="1154"/>
      <c r="T15" s="1154"/>
      <c r="U15" s="1153"/>
      <c r="V15" s="1154"/>
      <c r="W15" s="1154"/>
      <c r="X15" s="1154"/>
      <c r="Y15" s="1154"/>
      <c r="Z15" s="1153"/>
      <c r="AA15" s="1154"/>
      <c r="AB15" s="1154"/>
      <c r="AC15" s="1154"/>
      <c r="AD15" s="1154"/>
      <c r="AE15" s="1153"/>
      <c r="AF15" s="1154"/>
      <c r="AG15" s="1154"/>
      <c r="AH15" s="1154"/>
      <c r="AI15" s="1154"/>
      <c r="AJ15" s="1153"/>
      <c r="AK15" s="1154"/>
      <c r="AL15" s="1154"/>
      <c r="AM15" s="1154"/>
      <c r="AN15" s="1154"/>
      <c r="AO15" s="1153"/>
      <c r="AP15" s="1154"/>
      <c r="AQ15" s="1154"/>
      <c r="AR15" s="1154"/>
      <c r="AS15" s="1154"/>
      <c r="AT15" s="1153"/>
      <c r="AU15" s="1154">
        <f>IS!AU20</f>
        <v>163.81</v>
      </c>
      <c r="AV15" s="1154">
        <f>IS!AV20</f>
        <v>161.47300000000001</v>
      </c>
      <c r="AW15" s="1154">
        <f>IS!AW20</f>
        <v>161.82300000000001</v>
      </c>
      <c r="AX15" s="1154">
        <f>IS!AX20</f>
        <v>161.755</v>
      </c>
      <c r="AY15" s="1153"/>
      <c r="AZ15" s="1154"/>
      <c r="BA15" s="1154"/>
      <c r="BB15" s="1154"/>
      <c r="BC15" s="1154"/>
      <c r="BD15" s="1153"/>
      <c r="BE15" s="1154"/>
      <c r="BF15" s="1154"/>
      <c r="BG15" s="1154"/>
      <c r="BH15" s="1154"/>
      <c r="BI15" s="1153"/>
      <c r="BJ15" s="1154"/>
      <c r="BK15" s="1154"/>
      <c r="BL15" s="1154"/>
      <c r="BM15" s="1154"/>
      <c r="BN15" s="1153"/>
      <c r="BO15" s="1154"/>
      <c r="BP15" s="1154"/>
      <c r="BQ15" s="1154"/>
      <c r="BR15" s="1154"/>
      <c r="BS15" s="1153"/>
      <c r="BT15" s="1154"/>
      <c r="BU15" s="1154"/>
      <c r="BV15" s="1154"/>
      <c r="BW15" s="1154"/>
      <c r="BX15" s="1153"/>
      <c r="BY15" s="1154">
        <f>IS!BY20</f>
        <v>241</v>
      </c>
      <c r="BZ15" s="1154">
        <f>IS!BZ20</f>
        <v>239</v>
      </c>
      <c r="CA15" s="1154">
        <f>IS!CA20</f>
        <v>242</v>
      </c>
      <c r="CB15" s="1154">
        <f>IS!CB20</f>
        <v>249</v>
      </c>
      <c r="CC15" s="1153">
        <f>IS!CC20</f>
        <v>971</v>
      </c>
      <c r="CD15" s="1154">
        <f>IS!CD20</f>
        <v>251</v>
      </c>
      <c r="CE15" s="1154">
        <f>IS!CE20</f>
        <v>246</v>
      </c>
      <c r="CF15" s="1154">
        <f>IS!CF20</f>
        <v>233</v>
      </c>
      <c r="CG15" s="1154">
        <f>IS!CG20</f>
        <v>232</v>
      </c>
      <c r="CH15" s="1153">
        <f>IS!CH20</f>
        <v>962</v>
      </c>
      <c r="CI15" s="1154">
        <f>IS!CI20</f>
        <v>229</v>
      </c>
      <c r="CJ15" s="1154">
        <f>IS!CJ20</f>
        <v>239</v>
      </c>
      <c r="CK15" s="1154">
        <f>IS!CK20</f>
        <v>238</v>
      </c>
      <c r="CL15" s="1154">
        <f>IS!CL20</f>
        <v>225</v>
      </c>
      <c r="CM15" s="1153">
        <f>IS!CM20</f>
        <v>931</v>
      </c>
      <c r="CN15" s="1154">
        <f ca="1">IS!CN20</f>
        <v>232.32296874999437</v>
      </c>
      <c r="CO15" s="1154">
        <f ca="1">IS!CO20</f>
        <v>228.47281249999438</v>
      </c>
      <c r="CP15" s="1154">
        <f ca="1">IS!CP20</f>
        <v>224.32072968749438</v>
      </c>
      <c r="CQ15" s="1154">
        <f ca="1">IS!CQ20</f>
        <v>219.09276093749438</v>
      </c>
      <c r="CR15" s="1153">
        <f ca="1">IS!CR20</f>
        <v>904.2092718749775</v>
      </c>
      <c r="CS15" s="1154">
        <f ca="1">IS!CS20</f>
        <v>214.632468749993</v>
      </c>
      <c r="CT15" s="1154">
        <f ca="1">IS!CT20</f>
        <v>212.3026687499908</v>
      </c>
      <c r="CU15" s="1154">
        <f ca="1">IS!CU20</f>
        <v>210.90478874998948</v>
      </c>
      <c r="CV15" s="1154">
        <f ca="1">IS!CV20</f>
        <v>210.06606074998868</v>
      </c>
      <c r="CW15" s="1153">
        <f ca="1">IS!CW20</f>
        <v>847.9059869999619</v>
      </c>
      <c r="CX15" s="1154">
        <f ca="1">IS!CX20</f>
        <v>209.5628239499882</v>
      </c>
      <c r="CY15" s="1154">
        <f ca="1">IS!CY20</f>
        <v>209.26088186998791</v>
      </c>
      <c r="CZ15" s="1154">
        <f ca="1">IS!CZ20</f>
        <v>209.07971662198776</v>
      </c>
      <c r="DA15" s="1154">
        <f ca="1">IS!DA20</f>
        <v>209.0117796539877</v>
      </c>
      <c r="DB15" s="1153">
        <f ca="1">IS!DB20</f>
        <v>836.91520209595149</v>
      </c>
      <c r="DC15" s="5"/>
      <c r="DD15" s="5"/>
      <c r="DE15" s="171"/>
      <c r="DF15" s="171"/>
      <c r="DG15" s="171"/>
      <c r="DH15" s="171"/>
      <c r="DI15" s="171"/>
      <c r="DJ15" s="171"/>
    </row>
    <row r="16" spans="1:114" s="921" customFormat="1">
      <c r="A16" s="171"/>
      <c r="B16" s="703" t="s">
        <v>529</v>
      </c>
      <c r="C16" s="179"/>
      <c r="D16" s="704"/>
      <c r="E16" s="704"/>
      <c r="F16" s="704"/>
      <c r="G16" s="705"/>
      <c r="H16" s="705"/>
      <c r="I16" s="705"/>
      <c r="J16" s="705"/>
      <c r="K16" s="704"/>
      <c r="L16" s="705"/>
      <c r="M16" s="705"/>
      <c r="N16" s="705"/>
      <c r="O16" s="705"/>
      <c r="P16" s="704"/>
      <c r="Q16" s="705"/>
      <c r="R16" s="705"/>
      <c r="S16" s="705"/>
      <c r="T16" s="705"/>
      <c r="U16" s="704"/>
      <c r="V16" s="705"/>
      <c r="W16" s="705"/>
      <c r="X16" s="705"/>
      <c r="Y16" s="705"/>
      <c r="Z16" s="704"/>
      <c r="AA16" s="705"/>
      <c r="AB16" s="705"/>
      <c r="AC16" s="705"/>
      <c r="AD16" s="705"/>
      <c r="AE16" s="704"/>
      <c r="AF16" s="705"/>
      <c r="AG16" s="705"/>
      <c r="AH16" s="705"/>
      <c r="AI16" s="705"/>
      <c r="AJ16" s="704"/>
      <c r="AK16" s="705"/>
      <c r="AL16" s="705"/>
      <c r="AM16" s="705"/>
      <c r="AN16" s="705"/>
      <c r="AO16" s="704"/>
      <c r="AP16" s="705"/>
      <c r="AQ16" s="705"/>
      <c r="AR16" s="705"/>
      <c r="AS16" s="705"/>
      <c r="AT16" s="704"/>
      <c r="AU16" s="705"/>
      <c r="AV16" s="705"/>
      <c r="AW16" s="705"/>
      <c r="AX16" s="705"/>
      <c r="AY16" s="704"/>
      <c r="AZ16" s="705"/>
      <c r="BA16" s="705"/>
      <c r="BB16" s="705"/>
      <c r="BC16" s="705"/>
      <c r="BD16" s="704"/>
      <c r="BE16" s="705"/>
      <c r="BF16" s="705"/>
      <c r="BG16" s="705"/>
      <c r="BH16" s="705"/>
      <c r="BI16" s="704"/>
      <c r="BJ16" s="705"/>
      <c r="BK16" s="705"/>
      <c r="BL16" s="705"/>
      <c r="BM16" s="705"/>
      <c r="BN16" s="704"/>
      <c r="BO16" s="705"/>
      <c r="BP16" s="705"/>
      <c r="BQ16" s="705"/>
      <c r="BR16" s="705"/>
      <c r="BS16" s="704"/>
      <c r="BT16" s="705"/>
      <c r="BU16" s="705"/>
      <c r="BV16" s="705"/>
      <c r="BW16" s="705"/>
      <c r="BX16" s="704"/>
      <c r="BY16" s="705">
        <f t="shared" ref="BY16:CG16" si="3">BY14-BY15</f>
        <v>0</v>
      </c>
      <c r="BZ16" s="705">
        <f t="shared" si="3"/>
        <v>0</v>
      </c>
      <c r="CA16" s="705">
        <f t="shared" si="3"/>
        <v>0</v>
      </c>
      <c r="CB16" s="705">
        <f t="shared" si="3"/>
        <v>0</v>
      </c>
      <c r="CC16" s="704">
        <f t="shared" si="3"/>
        <v>-60.246874999999932</v>
      </c>
      <c r="CD16" s="705">
        <f t="shared" si="3"/>
        <v>0</v>
      </c>
      <c r="CE16" s="705">
        <f t="shared" si="3"/>
        <v>0</v>
      </c>
      <c r="CF16" s="705">
        <f t="shared" si="3"/>
        <v>0</v>
      </c>
      <c r="CG16" s="705">
        <f t="shared" si="3"/>
        <v>0</v>
      </c>
      <c r="CH16" s="704">
        <f t="shared" ref="CH16" si="4">CH14-CH15</f>
        <v>-109.39140624999993</v>
      </c>
      <c r="CI16" s="705">
        <f t="shared" ref="CI16" si="5">CI14-CI15</f>
        <v>0</v>
      </c>
      <c r="CJ16" s="705">
        <f t="shared" ref="CJ16:CW16" si="6">CJ14-CJ15</f>
        <v>-16.458203124996572</v>
      </c>
      <c r="CK16" s="705">
        <f t="shared" si="6"/>
        <v>-17.867109374993106</v>
      </c>
      <c r="CL16" s="705">
        <f t="shared" si="6"/>
        <v>-8.5801562499993622</v>
      </c>
      <c r="CM16" s="704">
        <f t="shared" si="6"/>
        <v>-42.905468749989041</v>
      </c>
      <c r="CN16" s="705">
        <f t="shared" ca="1" si="6"/>
        <v>0</v>
      </c>
      <c r="CO16" s="705">
        <f t="shared" ca="1" si="6"/>
        <v>0</v>
      </c>
      <c r="CP16" s="705">
        <f t="shared" ca="1" si="6"/>
        <v>0</v>
      </c>
      <c r="CQ16" s="705">
        <f t="shared" ca="1" si="6"/>
        <v>0</v>
      </c>
      <c r="CR16" s="704">
        <f t="shared" ca="1" si="6"/>
        <v>0</v>
      </c>
      <c r="CS16" s="705">
        <f t="shared" ca="1" si="6"/>
        <v>0</v>
      </c>
      <c r="CT16" s="705">
        <f t="shared" ca="1" si="6"/>
        <v>0</v>
      </c>
      <c r="CU16" s="705">
        <f t="shared" ca="1" si="6"/>
        <v>0</v>
      </c>
      <c r="CV16" s="705">
        <f t="shared" ca="1" si="6"/>
        <v>0</v>
      </c>
      <c r="CW16" s="704">
        <f t="shared" ca="1" si="6"/>
        <v>0</v>
      </c>
      <c r="CX16" s="705">
        <f t="shared" ref="CX16:DB16" ca="1" si="7">CX14-CX15</f>
        <v>0</v>
      </c>
      <c r="CY16" s="705">
        <f t="shared" ca="1" si="7"/>
        <v>0</v>
      </c>
      <c r="CZ16" s="705">
        <f t="shared" ca="1" si="7"/>
        <v>0</v>
      </c>
      <c r="DA16" s="705">
        <f t="shared" ca="1" si="7"/>
        <v>0</v>
      </c>
      <c r="DB16" s="704">
        <f t="shared" ca="1" si="7"/>
        <v>0</v>
      </c>
      <c r="DC16" s="5"/>
      <c r="DD16" s="5"/>
      <c r="DE16" s="171"/>
      <c r="DF16" s="171"/>
      <c r="DG16" s="171"/>
      <c r="DH16" s="171"/>
      <c r="DI16" s="171"/>
      <c r="DJ16" s="171"/>
    </row>
    <row r="17" spans="1:114">
      <c r="A17" s="171"/>
      <c r="B17" s="694"/>
      <c r="C17" s="48"/>
      <c r="D17" s="407"/>
      <c r="E17" s="407"/>
      <c r="F17" s="407"/>
      <c r="G17" s="407"/>
      <c r="H17" s="407"/>
      <c r="I17" s="407"/>
      <c r="J17" s="407"/>
      <c r="K17" s="407"/>
      <c r="L17" s="407"/>
      <c r="M17" s="407"/>
      <c r="N17" s="407"/>
      <c r="O17" s="407"/>
      <c r="P17" s="407"/>
      <c r="Q17" s="407"/>
      <c r="R17" s="407"/>
      <c r="S17" s="407"/>
      <c r="T17" s="407"/>
      <c r="U17" s="407"/>
      <c r="V17" s="407"/>
      <c r="W17" s="407"/>
      <c r="X17" s="407"/>
      <c r="Y17" s="407"/>
      <c r="Z17" s="407"/>
      <c r="AA17" s="407"/>
      <c r="AB17" s="407"/>
      <c r="AC17" s="407"/>
      <c r="AD17" s="407"/>
      <c r="AE17" s="407"/>
      <c r="AF17" s="407"/>
      <c r="AG17" s="407"/>
      <c r="AH17" s="407"/>
      <c r="AI17" s="407"/>
      <c r="AJ17" s="407"/>
      <c r="AK17" s="407"/>
      <c r="AL17" s="407"/>
      <c r="AM17" s="407"/>
      <c r="AN17" s="407"/>
      <c r="AO17" s="407"/>
      <c r="AP17" s="407"/>
      <c r="AQ17" s="407"/>
      <c r="AR17" s="407"/>
      <c r="AS17" s="407"/>
      <c r="AT17" s="407"/>
      <c r="AU17" s="408"/>
      <c r="AV17" s="408"/>
      <c r="AW17" s="408"/>
      <c r="AX17" s="408"/>
      <c r="AY17" s="407"/>
      <c r="AZ17" s="408"/>
      <c r="BA17" s="408"/>
      <c r="BB17" s="408"/>
      <c r="BC17" s="408"/>
      <c r="BD17" s="407"/>
      <c r="BE17" s="408"/>
      <c r="BF17" s="408"/>
      <c r="BG17" s="408"/>
      <c r="BH17" s="408"/>
      <c r="BI17" s="407"/>
      <c r="BJ17" s="386"/>
      <c r="BK17" s="386"/>
      <c r="BL17" s="386"/>
      <c r="BM17" s="407"/>
      <c r="BN17" s="407"/>
      <c r="BO17" s="407"/>
      <c r="BP17" s="407"/>
      <c r="BQ17" s="407"/>
      <c r="BR17" s="407"/>
      <c r="BS17" s="407"/>
      <c r="BT17" s="407"/>
      <c r="BU17" s="407"/>
      <c r="BV17" s="407"/>
      <c r="BW17" s="407"/>
      <c r="BX17" s="407"/>
      <c r="BY17" s="407"/>
      <c r="BZ17" s="407"/>
      <c r="CA17" s="407"/>
      <c r="CB17" s="407"/>
      <c r="CC17" s="407"/>
      <c r="CD17" s="407"/>
      <c r="CE17" s="407"/>
      <c r="CF17" s="407"/>
      <c r="CG17" s="407"/>
      <c r="CH17" s="407"/>
      <c r="CI17" s="407"/>
      <c r="CJ17" s="407"/>
      <c r="CK17" s="407"/>
      <c r="CL17" s="407"/>
      <c r="CM17" s="407"/>
      <c r="CN17" s="407"/>
      <c r="CO17" s="407"/>
      <c r="CP17" s="407"/>
      <c r="CQ17" s="407"/>
      <c r="CR17" s="407"/>
      <c r="CS17" s="407"/>
      <c r="CT17" s="407"/>
      <c r="CU17" s="407"/>
      <c r="CV17" s="407"/>
      <c r="CW17" s="407"/>
      <c r="CX17" s="407"/>
      <c r="CY17" s="407"/>
      <c r="CZ17" s="407"/>
      <c r="DA17" s="407"/>
      <c r="DB17" s="407"/>
      <c r="DC17" s="5"/>
      <c r="DD17" s="5"/>
      <c r="DE17" s="171"/>
      <c r="DF17" s="171"/>
      <c r="DG17" s="171"/>
      <c r="DH17" s="171"/>
      <c r="DI17" s="171"/>
      <c r="DJ17" s="171"/>
    </row>
    <row r="18" spans="1:114">
      <c r="A18" s="171"/>
      <c r="B18" s="695" t="s">
        <v>530</v>
      </c>
      <c r="C18" s="169"/>
      <c r="D18" s="209"/>
      <c r="E18" s="209"/>
      <c r="F18" s="209"/>
      <c r="G18" s="212"/>
      <c r="H18" s="212"/>
      <c r="I18" s="212"/>
      <c r="J18" s="212"/>
      <c r="K18" s="209"/>
      <c r="L18" s="212"/>
      <c r="M18" s="212"/>
      <c r="N18" s="212"/>
      <c r="O18" s="212"/>
      <c r="P18" s="209"/>
      <c r="Q18" s="212"/>
      <c r="R18" s="212"/>
      <c r="S18" s="212"/>
      <c r="T18" s="212"/>
      <c r="U18" s="209"/>
      <c r="V18" s="212"/>
      <c r="W18" s="212"/>
      <c r="X18" s="212"/>
      <c r="Y18" s="212"/>
      <c r="Z18" s="209"/>
      <c r="AA18" s="212"/>
      <c r="AB18" s="212"/>
      <c r="AC18" s="212"/>
      <c r="AD18" s="212"/>
      <c r="AE18" s="209"/>
      <c r="AF18" s="212"/>
      <c r="AG18" s="212"/>
      <c r="AH18" s="212"/>
      <c r="AI18" s="212"/>
      <c r="AJ18" s="209"/>
      <c r="AK18" s="212"/>
      <c r="AL18" s="212"/>
      <c r="AM18" s="212"/>
      <c r="AN18" s="212"/>
      <c r="AO18" s="209"/>
      <c r="AP18" s="212"/>
      <c r="AQ18" s="212"/>
      <c r="AR18" s="212"/>
      <c r="AS18" s="212"/>
      <c r="AT18" s="209"/>
      <c r="AU18" s="210"/>
      <c r="AV18" s="210"/>
      <c r="AW18" s="210"/>
      <c r="AX18" s="210"/>
      <c r="AY18" s="209"/>
      <c r="AZ18" s="210"/>
      <c r="BA18" s="210"/>
      <c r="BB18" s="210"/>
      <c r="BC18" s="210"/>
      <c r="BD18" s="209"/>
      <c r="BE18" s="210"/>
      <c r="BF18" s="210"/>
      <c r="BG18" s="210"/>
      <c r="BH18" s="210"/>
      <c r="BI18" s="209"/>
      <c r="BJ18" s="211"/>
      <c r="BK18" s="211"/>
      <c r="BL18" s="212"/>
      <c r="BM18" s="212"/>
      <c r="BN18" s="209"/>
      <c r="BO18" s="212"/>
      <c r="BP18" s="212"/>
      <c r="BQ18" s="212"/>
      <c r="BR18" s="212"/>
      <c r="BS18" s="209"/>
      <c r="BT18" s="212"/>
      <c r="BU18" s="212"/>
      <c r="BV18" s="212"/>
      <c r="BW18" s="212"/>
      <c r="BX18" s="209"/>
      <c r="BY18" s="212"/>
      <c r="BZ18" s="212"/>
      <c r="CA18" s="212"/>
      <c r="CB18" s="212"/>
      <c r="CC18" s="209"/>
      <c r="CD18" s="212"/>
      <c r="CE18" s="212"/>
      <c r="CF18" s="212"/>
      <c r="CG18" s="212"/>
      <c r="CH18" s="209"/>
      <c r="CI18" s="212"/>
      <c r="CJ18" s="212"/>
      <c r="CK18" s="212"/>
      <c r="CL18" s="212"/>
      <c r="CM18" s="209"/>
      <c r="CN18" s="212"/>
      <c r="CO18" s="212"/>
      <c r="CP18" s="212"/>
      <c r="CQ18" s="212"/>
      <c r="CR18" s="209"/>
      <c r="CS18" s="212"/>
      <c r="CT18" s="212"/>
      <c r="CU18" s="212"/>
      <c r="CV18" s="212"/>
      <c r="CW18" s="209"/>
      <c r="CX18" s="212"/>
      <c r="CY18" s="212"/>
      <c r="CZ18" s="212"/>
      <c r="DA18" s="212"/>
      <c r="DB18" s="209"/>
      <c r="DC18" s="5"/>
      <c r="DD18" s="5"/>
      <c r="DE18" s="171"/>
      <c r="DF18" s="171"/>
      <c r="DG18" s="171"/>
      <c r="DH18" s="171"/>
      <c r="DI18" s="171"/>
      <c r="DJ18" s="171"/>
    </row>
    <row r="19" spans="1:114">
      <c r="A19" s="171"/>
      <c r="B19" s="1151" t="s">
        <v>531</v>
      </c>
      <c r="C19" s="1152"/>
      <c r="D19" s="1153"/>
      <c r="E19" s="1153"/>
      <c r="F19" s="1153"/>
      <c r="G19" s="1154"/>
      <c r="H19" s="1154"/>
      <c r="I19" s="1154"/>
      <c r="J19" s="1154"/>
      <c r="K19" s="1153"/>
      <c r="L19" s="1154"/>
      <c r="M19" s="1154"/>
      <c r="N19" s="1154"/>
      <c r="O19" s="1154"/>
      <c r="P19" s="1153"/>
      <c r="Q19" s="1154"/>
      <c r="R19" s="1154"/>
      <c r="S19" s="1154"/>
      <c r="T19" s="1154"/>
      <c r="U19" s="1153"/>
      <c r="V19" s="1154"/>
      <c r="W19" s="1154"/>
      <c r="X19" s="1154"/>
      <c r="Y19" s="1154"/>
      <c r="Z19" s="1153"/>
      <c r="AA19" s="1154"/>
      <c r="AB19" s="1154"/>
      <c r="AC19" s="1154"/>
      <c r="AD19" s="1154"/>
      <c r="AE19" s="1153"/>
      <c r="AF19" s="1154"/>
      <c r="AG19" s="1154"/>
      <c r="AH19" s="1154"/>
      <c r="AI19" s="1154"/>
      <c r="AJ19" s="1153"/>
      <c r="AK19" s="1154"/>
      <c r="AL19" s="1154"/>
      <c r="AM19" s="1154"/>
      <c r="AN19" s="1154"/>
      <c r="AO19" s="1153"/>
      <c r="AP19" s="1154"/>
      <c r="AQ19" s="1154"/>
      <c r="AR19" s="1154"/>
      <c r="AS19" s="1154"/>
      <c r="AT19" s="1153"/>
      <c r="AU19" s="1154"/>
      <c r="AV19" s="1154"/>
      <c r="AW19" s="1154"/>
      <c r="AX19" s="1154"/>
      <c r="AY19" s="1153">
        <f t="shared" ref="AY19:BX19" si="8">AY126+AY158+AY116+AY148+AY138+AY50+AY64+AY78+AY92+AY36+AY188+AY104+AY196+AY168</f>
        <v>6889.2389999999996</v>
      </c>
      <c r="AZ19" s="1154">
        <f t="shared" si="8"/>
        <v>0</v>
      </c>
      <c r="BA19" s="1154">
        <f t="shared" si="8"/>
        <v>0</v>
      </c>
      <c r="BB19" s="1154">
        <f t="shared" si="8"/>
        <v>0</v>
      </c>
      <c r="BC19" s="1154">
        <f t="shared" si="8"/>
        <v>0</v>
      </c>
      <c r="BD19" s="1153">
        <f t="shared" si="8"/>
        <v>6837.1900000000005</v>
      </c>
      <c r="BE19" s="1154">
        <f t="shared" si="8"/>
        <v>0</v>
      </c>
      <c r="BF19" s="1154">
        <f t="shared" si="8"/>
        <v>0</v>
      </c>
      <c r="BG19" s="1154">
        <f t="shared" si="8"/>
        <v>0</v>
      </c>
      <c r="BH19" s="1154">
        <f t="shared" si="8"/>
        <v>0</v>
      </c>
      <c r="BI19" s="1153">
        <f t="shared" si="8"/>
        <v>7818.8869999999997</v>
      </c>
      <c r="BJ19" s="1154">
        <f t="shared" si="8"/>
        <v>8387.9879999999994</v>
      </c>
      <c r="BK19" s="1154">
        <f t="shared" si="8"/>
        <v>8394.1310000000012</v>
      </c>
      <c r="BL19" s="1154">
        <f t="shared" si="8"/>
        <v>9572.0629999999983</v>
      </c>
      <c r="BM19" s="1154">
        <f t="shared" si="8"/>
        <v>9541.3049999999985</v>
      </c>
      <c r="BN19" s="1153">
        <f t="shared" si="8"/>
        <v>9541.3049999999985</v>
      </c>
      <c r="BO19" s="1154">
        <f t="shared" si="8"/>
        <v>9538.1839999999993</v>
      </c>
      <c r="BP19" s="1154">
        <f t="shared" si="8"/>
        <v>9507.2339999999986</v>
      </c>
      <c r="BQ19" s="1154">
        <f t="shared" si="8"/>
        <v>9548.6790000000001</v>
      </c>
      <c r="BR19" s="1154">
        <f t="shared" si="8"/>
        <v>9453.3970000000008</v>
      </c>
      <c r="BS19" s="1153">
        <f t="shared" si="8"/>
        <v>9453.3970000000008</v>
      </c>
      <c r="BT19" s="1154">
        <f t="shared" si="8"/>
        <v>16998</v>
      </c>
      <c r="BU19" s="1154">
        <f t="shared" si="8"/>
        <v>16931</v>
      </c>
      <c r="BV19" s="1154">
        <f t="shared" si="8"/>
        <v>17012</v>
      </c>
      <c r="BW19" s="1154">
        <f t="shared" si="8"/>
        <v>16916</v>
      </c>
      <c r="BX19" s="1153">
        <f t="shared" si="8"/>
        <v>16916</v>
      </c>
      <c r="BY19" s="1154">
        <f>BY126+BY158+BY116+BY148+BY138+BY50+BY64+BY78+BY92+BY36+BY188+BY104+BY196+BY168+BY178</f>
        <v>16969</v>
      </c>
      <c r="BZ19" s="1154">
        <f t="shared" ref="BZ19:CW19" si="9">BZ126+BZ158+BZ116+BZ148+BZ138+BZ50+BZ64+BZ78+BZ92+BZ36+BZ188+BZ104+BZ196+BZ168+BZ178</f>
        <v>16867</v>
      </c>
      <c r="CA19" s="1154">
        <f t="shared" si="9"/>
        <v>16831</v>
      </c>
      <c r="CB19" s="1154">
        <f t="shared" si="9"/>
        <v>17051</v>
      </c>
      <c r="CC19" s="1153">
        <f t="shared" si="9"/>
        <v>17051</v>
      </c>
      <c r="CD19" s="1154">
        <f t="shared" si="9"/>
        <v>16914</v>
      </c>
      <c r="CE19" s="1154">
        <f t="shared" si="9"/>
        <v>15363</v>
      </c>
      <c r="CF19" s="1154">
        <f t="shared" si="9"/>
        <v>15363</v>
      </c>
      <c r="CG19" s="1154">
        <f t="shared" si="9"/>
        <v>15244</v>
      </c>
      <c r="CH19" s="1153">
        <f t="shared" si="9"/>
        <v>15244</v>
      </c>
      <c r="CI19" s="1154">
        <f t="shared" si="9"/>
        <v>15245</v>
      </c>
      <c r="CJ19" s="1154">
        <f t="shared" si="9"/>
        <v>14748.000000001</v>
      </c>
      <c r="CK19" s="1154">
        <f t="shared" si="9"/>
        <v>13941.000000001</v>
      </c>
      <c r="CL19" s="1154">
        <f t="shared" si="9"/>
        <v>13913</v>
      </c>
      <c r="CM19" s="1153">
        <f t="shared" si="9"/>
        <v>13913</v>
      </c>
      <c r="CN19" s="1154">
        <f t="shared" ca="1" si="9"/>
        <v>13613</v>
      </c>
      <c r="CO19" s="1154">
        <f t="shared" ca="1" si="9"/>
        <v>13312</v>
      </c>
      <c r="CP19" s="1154">
        <f t="shared" ca="1" si="9"/>
        <v>12964.869999999999</v>
      </c>
      <c r="CQ19" s="1154">
        <f t="shared" ca="1" si="9"/>
        <v>12613</v>
      </c>
      <c r="CR19" s="1153">
        <f t="shared" ca="1" si="9"/>
        <v>12613</v>
      </c>
      <c r="CS19" s="1154">
        <f t="shared" ca="1" si="9"/>
        <v>12189.399999999599</v>
      </c>
      <c r="CT19" s="1154">
        <f t="shared" ca="1" si="9"/>
        <v>11935.239999999359</v>
      </c>
      <c r="CU19" s="1154">
        <f t="shared" ca="1" si="9"/>
        <v>11782.743999999217</v>
      </c>
      <c r="CV19" s="1154">
        <f t="shared" ca="1" si="9"/>
        <v>11691.246399999129</v>
      </c>
      <c r="CW19" s="1153">
        <f t="shared" ca="1" si="9"/>
        <v>11691.246399999129</v>
      </c>
      <c r="CX19" s="1154">
        <f t="shared" ref="CX19:DB19" ca="1" si="10">CX126+CX158+CX116+CX148+CX138+CX50+CX64+CX78+CX92+CX36+CX188+CX104+CX196+CX168+CX178</f>
        <v>11636.347839999078</v>
      </c>
      <c r="CY19" s="1154">
        <f t="shared" ca="1" si="10"/>
        <v>11603.408703999046</v>
      </c>
      <c r="CZ19" s="1154">
        <f t="shared" ca="1" si="10"/>
        <v>11583.645222399027</v>
      </c>
      <c r="DA19" s="1154">
        <f t="shared" ca="1" si="10"/>
        <v>11583.645222399027</v>
      </c>
      <c r="DB19" s="1153">
        <f t="shared" ca="1" si="10"/>
        <v>11583.645222399027</v>
      </c>
      <c r="DC19" s="5"/>
      <c r="DD19" s="5"/>
      <c r="DE19" s="171"/>
      <c r="DF19" s="171"/>
      <c r="DG19" s="171"/>
      <c r="DH19" s="171"/>
      <c r="DI19" s="171"/>
      <c r="DJ19" s="171"/>
    </row>
    <row r="20" spans="1:114">
      <c r="A20" s="171"/>
      <c r="B20" s="693" t="s">
        <v>659</v>
      </c>
      <c r="C20" s="38"/>
      <c r="D20" s="201"/>
      <c r="E20" s="201"/>
      <c r="F20" s="201"/>
      <c r="G20" s="166"/>
      <c r="H20" s="166"/>
      <c r="I20" s="166"/>
      <c r="J20" s="166"/>
      <c r="K20" s="201"/>
      <c r="L20" s="166"/>
      <c r="M20" s="166"/>
      <c r="N20" s="166"/>
      <c r="O20" s="166"/>
      <c r="P20" s="201"/>
      <c r="Q20" s="166"/>
      <c r="R20" s="166"/>
      <c r="S20" s="166"/>
      <c r="T20" s="166"/>
      <c r="U20" s="201"/>
      <c r="V20" s="166"/>
      <c r="W20" s="166"/>
      <c r="X20" s="166"/>
      <c r="Y20" s="166"/>
      <c r="Z20" s="201"/>
      <c r="AA20" s="166"/>
      <c r="AB20" s="166"/>
      <c r="AC20" s="166"/>
      <c r="AD20" s="166"/>
      <c r="AE20" s="201"/>
      <c r="AF20" s="166"/>
      <c r="AG20" s="166"/>
      <c r="AH20" s="166"/>
      <c r="AI20" s="166"/>
      <c r="AJ20" s="201"/>
      <c r="AK20" s="166"/>
      <c r="AL20" s="166"/>
      <c r="AM20" s="166"/>
      <c r="AN20" s="166"/>
      <c r="AO20" s="201"/>
      <c r="AP20" s="166"/>
      <c r="AQ20" s="166"/>
      <c r="AR20" s="166"/>
      <c r="AS20" s="166"/>
      <c r="AT20" s="201"/>
      <c r="AU20" s="166">
        <f>'BS &amp; CF'!AU24+'BS &amp; CF'!AU31</f>
        <v>9107.6239999999998</v>
      </c>
      <c r="AV20" s="166">
        <f>'BS &amp; CF'!AV24+'BS &amp; CF'!AV31</f>
        <v>8940.5439999999999</v>
      </c>
      <c r="AW20" s="166">
        <f>'BS &amp; CF'!AW24+'BS &amp; CF'!AW31</f>
        <v>8926.9629999999997</v>
      </c>
      <c r="AX20" s="166">
        <f>'BS &amp; CF'!AX24+'BS &amp; CF'!AX31</f>
        <v>8911.1080000000002</v>
      </c>
      <c r="AY20" s="201">
        <f>'BS &amp; CF'!AY24+'BS &amp; CF'!AY31</f>
        <v>8911.1080000000002</v>
      </c>
      <c r="AZ20" s="166">
        <f>'BS &amp; CF'!AZ24+'BS &amp; CF'!AZ31</f>
        <v>8901.630000000001</v>
      </c>
      <c r="BA20" s="166">
        <f>'BS &amp; CF'!BA24+'BS &amp; CF'!BA31</f>
        <v>8883.2569999999996</v>
      </c>
      <c r="BB20" s="166">
        <f>'BS &amp; CF'!BB24+'BS &amp; CF'!BB31</f>
        <v>8876.8770000000004</v>
      </c>
      <c r="BC20" s="166">
        <f>'BS &amp; CF'!BC24+'BS &amp; CF'!BC31</f>
        <v>8871.5209999999988</v>
      </c>
      <c r="BD20" s="201">
        <f>'BS &amp; CF'!BD24+'BS &amp; CF'!BD31</f>
        <v>8871.5209999999988</v>
      </c>
      <c r="BE20" s="166">
        <f>'BS &amp; CF'!BE24+'BS &amp; CF'!BE31</f>
        <v>8860.098</v>
      </c>
      <c r="BF20" s="166">
        <f>'BS &amp; CF'!BF24+'BS &amp; CF'!BF31</f>
        <v>8851.5549999999985</v>
      </c>
      <c r="BG20" s="166">
        <f>'BS &amp; CF'!BG24+'BS &amp; CF'!BG31</f>
        <v>8829.7430000000004</v>
      </c>
      <c r="BH20" s="166">
        <f>'BS &amp; CF'!BH24+'BS &amp; CF'!BH31</f>
        <v>8846.5040000000008</v>
      </c>
      <c r="BI20" s="201">
        <f>'BS &amp; CF'!BI24+'BS &amp; CF'!BI31</f>
        <v>8846.5040000000008</v>
      </c>
      <c r="BJ20" s="166">
        <f>'BS &amp; CF'!BJ24+'BS &amp; CF'!BJ31</f>
        <v>9319.0040000000008</v>
      </c>
      <c r="BK20" s="166">
        <f>'BS &amp; CF'!BK24+'BS &amp; CF'!BK31</f>
        <v>9325.366</v>
      </c>
      <c r="BL20" s="166">
        <f>'BS &amp; CF'!BL24+'BS &amp; CF'!BL31</f>
        <v>9572.0630000000001</v>
      </c>
      <c r="BM20" s="166">
        <f>'BS &amp; CF'!BM24+'BS &amp; CF'!BM31</f>
        <v>9541.3050000000003</v>
      </c>
      <c r="BN20" s="201">
        <f>'BS &amp; CF'!BN24+'BS &amp; CF'!BN31</f>
        <v>9541.3050000000003</v>
      </c>
      <c r="BO20" s="166">
        <f>'BS &amp; CF'!BO24+'BS &amp; CF'!BO31</f>
        <v>9538.1839999999993</v>
      </c>
      <c r="BP20" s="166">
        <f>'BS &amp; CF'!BP24+'BS &amp; CF'!BP31</f>
        <v>9507.2340000000004</v>
      </c>
      <c r="BQ20" s="166">
        <f>'BS &amp; CF'!BQ24+'BS &amp; CF'!BQ31</f>
        <v>9548.6790000000001</v>
      </c>
      <c r="BR20" s="166">
        <f>'BS &amp; CF'!BR24+'BS &amp; CF'!BR31</f>
        <v>9453.3970000000008</v>
      </c>
      <c r="BS20" s="201">
        <f>'BS &amp; CF'!BS24+'BS &amp; CF'!BS31</f>
        <v>9453.3970000000008</v>
      </c>
      <c r="BT20" s="166">
        <f>'BS &amp; CF'!BT24+'BS &amp; CF'!BT31</f>
        <v>16998</v>
      </c>
      <c r="BU20" s="166">
        <f>'BS &amp; CF'!BU24+'BS &amp; CF'!BU31</f>
        <v>16931</v>
      </c>
      <c r="BV20" s="166">
        <f>'BS &amp; CF'!BV24+'BS &amp; CF'!BV31</f>
        <v>17012</v>
      </c>
      <c r="BW20" s="166">
        <f>'BS &amp; CF'!BW24+'BS &amp; CF'!BW31</f>
        <v>16916</v>
      </c>
      <c r="BX20" s="201">
        <f>'BS &amp; CF'!BX24+'BS &amp; CF'!BX31</f>
        <v>16916</v>
      </c>
      <c r="BY20" s="166">
        <f>'BS &amp; CF'!BY24+'BS &amp; CF'!BY31</f>
        <v>16969</v>
      </c>
      <c r="BZ20" s="166">
        <f>'BS &amp; CF'!BZ24+'BS &amp; CF'!BZ31</f>
        <v>16867</v>
      </c>
      <c r="CA20" s="166">
        <f>'BS &amp; CF'!CA24+'BS &amp; CF'!CA31</f>
        <v>16887</v>
      </c>
      <c r="CB20" s="166">
        <f>'BS &amp; CF'!CB24+'BS &amp; CF'!CB31</f>
        <v>17051</v>
      </c>
      <c r="CC20" s="201">
        <f>'BS &amp; CF'!CC24+'BS &amp; CF'!CC31</f>
        <v>17051</v>
      </c>
      <c r="CD20" s="166">
        <f>'BS &amp; CF'!CD24+'BS &amp; CF'!CD31</f>
        <v>16914</v>
      </c>
      <c r="CE20" s="166">
        <f>'BS &amp; CF'!CE24+'BS &amp; CF'!CE31</f>
        <v>15363</v>
      </c>
      <c r="CF20" s="166">
        <f>'BS &amp; CF'!CF24+'BS &amp; CF'!CF31</f>
        <v>15322</v>
      </c>
      <c r="CG20" s="166">
        <f>'BS &amp; CF'!CG24+'BS &amp; CF'!CG31</f>
        <v>15244</v>
      </c>
      <c r="CH20" s="201">
        <f>'BS &amp; CF'!CH24+'BS &amp; CF'!CH31</f>
        <v>15244</v>
      </c>
      <c r="CI20" s="166">
        <f>'BS &amp; CF'!CI24+'BS &amp; CF'!CI31</f>
        <v>15245</v>
      </c>
      <c r="CJ20" s="166">
        <f>'BS &amp; CF'!CJ24+'BS &amp; CF'!CJ31</f>
        <v>14748</v>
      </c>
      <c r="CK20" s="166">
        <f>'BS &amp; CF'!CK24+'BS &amp; CF'!CK31</f>
        <v>13941</v>
      </c>
      <c r="CL20" s="166">
        <f>'BS &amp; CF'!CL24+'BS &amp; CF'!CL31</f>
        <v>13913</v>
      </c>
      <c r="CM20" s="201">
        <f>'BS &amp; CF'!CM24+'BS &amp; CF'!CM31</f>
        <v>13913</v>
      </c>
      <c r="CN20" s="166">
        <f ca="1">'BS &amp; CF'!CN24+'BS &amp; CF'!CN31</f>
        <v>13613</v>
      </c>
      <c r="CO20" s="166">
        <f ca="1">'BS &amp; CF'!CO24+'BS &amp; CF'!CO31</f>
        <v>13312</v>
      </c>
      <c r="CP20" s="166">
        <f ca="1">'BS &amp; CF'!CP24+'BS &amp; CF'!CP31</f>
        <v>12964.869999999999</v>
      </c>
      <c r="CQ20" s="166">
        <f ca="1">'BS &amp; CF'!CQ24+'BS &amp; CF'!CQ31</f>
        <v>12613</v>
      </c>
      <c r="CR20" s="201">
        <f ca="1">'BS &amp; CF'!CR24+'BS &amp; CF'!CR31</f>
        <v>12613</v>
      </c>
      <c r="CS20" s="166">
        <f ca="1">'BS &amp; CF'!CS24+'BS &amp; CF'!CS31</f>
        <v>12189.399999999599</v>
      </c>
      <c r="CT20" s="166">
        <f ca="1">'BS &amp; CF'!CT24+'BS &amp; CF'!CT31</f>
        <v>11935.239999999359</v>
      </c>
      <c r="CU20" s="166">
        <f ca="1">'BS &amp; CF'!CU24+'BS &amp; CF'!CU31</f>
        <v>11782.743999999217</v>
      </c>
      <c r="CV20" s="166">
        <f ca="1">'BS &amp; CF'!CV24+'BS &amp; CF'!CV31</f>
        <v>11691.246399999129</v>
      </c>
      <c r="CW20" s="201">
        <f ca="1">'BS &amp; CF'!CW24+'BS &amp; CF'!CW31</f>
        <v>11691.246399999129</v>
      </c>
      <c r="CX20" s="166">
        <f ca="1">'BS &amp; CF'!CX24+'BS &amp; CF'!CX31</f>
        <v>11636.347839999078</v>
      </c>
      <c r="CY20" s="166">
        <f ca="1">'BS &amp; CF'!CY24+'BS &amp; CF'!CY31</f>
        <v>11603.408703999046</v>
      </c>
      <c r="CZ20" s="166">
        <f ca="1">'BS &amp; CF'!CZ24+'BS &amp; CF'!CZ31</f>
        <v>11583.645222399027</v>
      </c>
      <c r="DA20" s="166">
        <f ca="1">'BS &amp; CF'!DA24+'BS &amp; CF'!DA31</f>
        <v>11583.645222399027</v>
      </c>
      <c r="DB20" s="201">
        <f ca="1">'BS &amp; CF'!DB24+'BS &amp; CF'!DB31</f>
        <v>11583.645222399027</v>
      </c>
      <c r="DC20" s="5"/>
      <c r="DD20" s="5"/>
      <c r="DE20" s="171"/>
      <c r="DF20" s="171"/>
      <c r="DG20" s="171"/>
      <c r="DH20" s="171"/>
      <c r="DI20" s="171"/>
      <c r="DJ20" s="171"/>
    </row>
    <row r="21" spans="1:114">
      <c r="A21" s="171"/>
      <c r="B21" s="693" t="s">
        <v>532</v>
      </c>
      <c r="C21" s="38"/>
      <c r="D21" s="201"/>
      <c r="E21" s="201"/>
      <c r="F21" s="201"/>
      <c r="G21" s="166"/>
      <c r="H21" s="166"/>
      <c r="I21" s="166"/>
      <c r="J21" s="166"/>
      <c r="K21" s="201"/>
      <c r="L21" s="166"/>
      <c r="M21" s="166"/>
      <c r="N21" s="166"/>
      <c r="O21" s="166"/>
      <c r="P21" s="201"/>
      <c r="Q21" s="166"/>
      <c r="R21" s="166"/>
      <c r="S21" s="166"/>
      <c r="T21" s="166"/>
      <c r="U21" s="201"/>
      <c r="V21" s="166"/>
      <c r="W21" s="166"/>
      <c r="X21" s="166"/>
      <c r="Y21" s="166"/>
      <c r="Z21" s="201"/>
      <c r="AA21" s="166"/>
      <c r="AB21" s="166"/>
      <c r="AC21" s="166"/>
      <c r="AD21" s="166"/>
      <c r="AE21" s="201"/>
      <c r="AF21" s="166"/>
      <c r="AG21" s="166"/>
      <c r="AH21" s="166"/>
      <c r="AI21" s="166"/>
      <c r="AJ21" s="201"/>
      <c r="AK21" s="166"/>
      <c r="AL21" s="166"/>
      <c r="AM21" s="166"/>
      <c r="AN21" s="166"/>
      <c r="AO21" s="201"/>
      <c r="AP21" s="166"/>
      <c r="AQ21" s="166"/>
      <c r="AR21" s="166"/>
      <c r="AS21" s="166"/>
      <c r="AT21" s="213"/>
      <c r="AU21" s="202">
        <v>32.671999999999997</v>
      </c>
      <c r="AV21" s="202">
        <v>56.734000000000002</v>
      </c>
      <c r="AW21" s="202">
        <v>62.265000000000001</v>
      </c>
      <c r="AX21" s="202">
        <v>66.47</v>
      </c>
      <c r="AY21" s="213">
        <f t="shared" ref="AY21:CC21" si="11">AX21</f>
        <v>66.47</v>
      </c>
      <c r="AZ21" s="202">
        <f t="shared" si="11"/>
        <v>66.47</v>
      </c>
      <c r="BA21" s="202">
        <f t="shared" si="11"/>
        <v>66.47</v>
      </c>
      <c r="BB21" s="202">
        <f t="shared" si="11"/>
        <v>66.47</v>
      </c>
      <c r="BC21" s="202">
        <f t="shared" si="11"/>
        <v>66.47</v>
      </c>
      <c r="BD21" s="213">
        <f t="shared" si="11"/>
        <v>66.47</v>
      </c>
      <c r="BE21" s="202">
        <f t="shared" si="11"/>
        <v>66.47</v>
      </c>
      <c r="BF21" s="202">
        <f t="shared" si="11"/>
        <v>66.47</v>
      </c>
      <c r="BG21" s="202">
        <f t="shared" si="11"/>
        <v>66.47</v>
      </c>
      <c r="BH21" s="202">
        <f t="shared" si="11"/>
        <v>66.47</v>
      </c>
      <c r="BI21" s="201">
        <f t="shared" ref="BI21" si="12">BH21</f>
        <v>66.47</v>
      </c>
      <c r="BJ21" s="166">
        <f>'BS &amp; CF'!BJ24</f>
        <v>75.388000000000005</v>
      </c>
      <c r="BK21" s="166">
        <f>'BS &amp; CF'!BK24</f>
        <v>83.876999999999995</v>
      </c>
      <c r="BL21" s="166">
        <f>'BS &amp; CF'!BL24</f>
        <v>99.194000000000003</v>
      </c>
      <c r="BM21" s="166">
        <f>'BS &amp; CF'!BM24</f>
        <v>89.911000000000001</v>
      </c>
      <c r="BN21" s="201">
        <f t="shared" ref="BN21" si="13">BM21</f>
        <v>89.911000000000001</v>
      </c>
      <c r="BO21" s="166">
        <f>'BS &amp; CF'!BO24</f>
        <v>113.801</v>
      </c>
      <c r="BP21" s="166">
        <f>'BS &amp; CF'!BP24</f>
        <v>119.03700000000001</v>
      </c>
      <c r="BQ21" s="166">
        <f>'BS &amp; CF'!BQ24</f>
        <v>180.386</v>
      </c>
      <c r="BR21" s="166">
        <f>'BS &amp; CF'!BR24</f>
        <v>166.90199999999999</v>
      </c>
      <c r="BS21" s="201">
        <f t="shared" ref="BS21" si="14">BR21</f>
        <v>166.90199999999999</v>
      </c>
      <c r="BT21" s="166">
        <f>'BS &amp; CF'!BT24</f>
        <v>199</v>
      </c>
      <c r="BU21" s="166">
        <f>'BS &amp; CF'!BU24</f>
        <v>209</v>
      </c>
      <c r="BV21" s="166">
        <f>'BS &amp; CF'!BV24</f>
        <v>219</v>
      </c>
      <c r="BW21" s="166">
        <f>'BS &amp; CF'!BW24</f>
        <v>235</v>
      </c>
      <c r="BX21" s="201">
        <f t="shared" ref="BX21" si="15">BW21</f>
        <v>235</v>
      </c>
      <c r="BY21" s="166">
        <f>'BS &amp; CF'!BY24</f>
        <v>229</v>
      </c>
      <c r="BZ21" s="166">
        <f>'BS &amp; CF'!BZ24</f>
        <v>246</v>
      </c>
      <c r="CA21" s="166">
        <f>'BS &amp; CF'!CA24</f>
        <v>240</v>
      </c>
      <c r="CB21" s="166">
        <f>'BS &amp; CF'!CB24</f>
        <v>229</v>
      </c>
      <c r="CC21" s="201">
        <f t="shared" si="11"/>
        <v>229</v>
      </c>
      <c r="CD21" s="166">
        <f>'BS &amp; CF'!CD24</f>
        <v>249</v>
      </c>
      <c r="CE21" s="166">
        <f>'BS &amp; CF'!CE24</f>
        <v>253</v>
      </c>
      <c r="CF21" s="166">
        <f>'BS &amp; CF'!CF24</f>
        <v>240</v>
      </c>
      <c r="CG21" s="166">
        <f>'BS &amp; CF'!CG24</f>
        <v>455</v>
      </c>
      <c r="CH21" s="201">
        <f>CG21</f>
        <v>455</v>
      </c>
      <c r="CI21" s="166">
        <f>'BS &amp; CF'!CI24</f>
        <v>558</v>
      </c>
      <c r="CJ21" s="166">
        <f t="shared" ref="CJ21:CW21" si="16">CI21</f>
        <v>558</v>
      </c>
      <c r="CK21" s="166">
        <f t="shared" ref="CK21" si="17">CJ21</f>
        <v>558</v>
      </c>
      <c r="CL21" s="166">
        <f t="shared" ref="CL21" si="18">CK21</f>
        <v>558</v>
      </c>
      <c r="CM21" s="201">
        <f t="shared" si="16"/>
        <v>558</v>
      </c>
      <c r="CN21" s="166">
        <f t="shared" si="16"/>
        <v>558</v>
      </c>
      <c r="CO21" s="166">
        <f t="shared" ref="CO21" si="19">CN21</f>
        <v>558</v>
      </c>
      <c r="CP21" s="166">
        <f t="shared" ref="CP21" si="20">CO21</f>
        <v>558</v>
      </c>
      <c r="CQ21" s="166">
        <f t="shared" ref="CQ21" si="21">CP21</f>
        <v>558</v>
      </c>
      <c r="CR21" s="201">
        <f t="shared" si="16"/>
        <v>558</v>
      </c>
      <c r="CS21" s="166">
        <f t="shared" ref="CS21" si="22">CR21</f>
        <v>558</v>
      </c>
      <c r="CT21" s="166">
        <f t="shared" ref="CT21" si="23">CS21</f>
        <v>558</v>
      </c>
      <c r="CU21" s="166">
        <f t="shared" ref="CU21" si="24">CT21</f>
        <v>558</v>
      </c>
      <c r="CV21" s="166">
        <f t="shared" ref="CV21" si="25">CU21</f>
        <v>558</v>
      </c>
      <c r="CW21" s="201">
        <f t="shared" si="16"/>
        <v>558</v>
      </c>
      <c r="CX21" s="166">
        <f t="shared" ref="CX21" si="26">CW21</f>
        <v>558</v>
      </c>
      <c r="CY21" s="166">
        <f t="shared" ref="CY21" si="27">CX21</f>
        <v>558</v>
      </c>
      <c r="CZ21" s="166">
        <f t="shared" ref="CZ21" si="28">CY21</f>
        <v>558</v>
      </c>
      <c r="DA21" s="166">
        <f t="shared" ref="DA21" si="29">CZ21</f>
        <v>558</v>
      </c>
      <c r="DB21" s="201">
        <f t="shared" ref="DB21" si="30">DA21</f>
        <v>558</v>
      </c>
      <c r="DC21" s="5"/>
      <c r="DD21" s="5"/>
      <c r="DE21" s="171"/>
      <c r="DF21" s="171"/>
      <c r="DG21" s="171"/>
      <c r="DH21" s="171"/>
      <c r="DI21" s="171"/>
      <c r="DJ21" s="171"/>
    </row>
    <row r="22" spans="1:114">
      <c r="A22" s="171"/>
      <c r="B22" s="1151" t="s">
        <v>655</v>
      </c>
      <c r="C22" s="1152"/>
      <c r="D22" s="1153"/>
      <c r="E22" s="1153"/>
      <c r="F22" s="1153"/>
      <c r="G22" s="1154"/>
      <c r="H22" s="1154"/>
      <c r="I22" s="1154"/>
      <c r="J22" s="1154"/>
      <c r="K22" s="1153"/>
      <c r="L22" s="1154"/>
      <c r="M22" s="1154"/>
      <c r="N22" s="1154"/>
      <c r="O22" s="1154"/>
      <c r="P22" s="1153"/>
      <c r="Q22" s="1154"/>
      <c r="R22" s="1154"/>
      <c r="S22" s="1154"/>
      <c r="T22" s="1154"/>
      <c r="U22" s="1153"/>
      <c r="V22" s="1154"/>
      <c r="W22" s="1154"/>
      <c r="X22" s="1154"/>
      <c r="Y22" s="1154"/>
      <c r="Z22" s="1153"/>
      <c r="AA22" s="1154"/>
      <c r="AB22" s="1154"/>
      <c r="AC22" s="1154"/>
      <c r="AD22" s="1154"/>
      <c r="AE22" s="1153"/>
      <c r="AF22" s="1154"/>
      <c r="AG22" s="1154"/>
      <c r="AH22" s="1154"/>
      <c r="AI22" s="1154"/>
      <c r="AJ22" s="1153"/>
      <c r="AK22" s="1154"/>
      <c r="AL22" s="1154"/>
      <c r="AM22" s="1154"/>
      <c r="AN22" s="1154"/>
      <c r="AO22" s="1153"/>
      <c r="AP22" s="1154"/>
      <c r="AQ22" s="1154"/>
      <c r="AR22" s="1154"/>
      <c r="AS22" s="1154"/>
      <c r="AT22" s="1153"/>
      <c r="AU22" s="1154"/>
      <c r="AV22" s="1154"/>
      <c r="AW22" s="1154"/>
      <c r="AX22" s="1154"/>
      <c r="AY22" s="1153">
        <f t="shared" ref="AY22:BX22" si="31">AY125+AY157+AY115+AY147+AY169+AY137+AY49+AY63+AY77+AY91+AY34+AY187+AY103+AY195</f>
        <v>811.62699999999984</v>
      </c>
      <c r="AZ22" s="1154">
        <f t="shared" si="31"/>
        <v>0</v>
      </c>
      <c r="BA22" s="1154">
        <f t="shared" si="31"/>
        <v>0</v>
      </c>
      <c r="BB22" s="1154">
        <f t="shared" si="31"/>
        <v>0</v>
      </c>
      <c r="BC22" s="1154">
        <f t="shared" si="31"/>
        <v>0</v>
      </c>
      <c r="BD22" s="1153">
        <f t="shared" si="31"/>
        <v>-52.048999999999303</v>
      </c>
      <c r="BE22" s="1154">
        <f t="shared" si="31"/>
        <v>0</v>
      </c>
      <c r="BF22" s="1154">
        <f t="shared" si="31"/>
        <v>0</v>
      </c>
      <c r="BG22" s="1154">
        <f t="shared" si="31"/>
        <v>0</v>
      </c>
      <c r="BH22" s="1154">
        <f t="shared" si="31"/>
        <v>0</v>
      </c>
      <c r="BI22" s="1153">
        <f t="shared" si="31"/>
        <v>-18.303000000000637</v>
      </c>
      <c r="BJ22" s="1154">
        <f t="shared" si="31"/>
        <v>569.101</v>
      </c>
      <c r="BK22" s="1154">
        <f t="shared" si="31"/>
        <v>6.1429999999999652</v>
      </c>
      <c r="BL22" s="1154">
        <f t="shared" si="31"/>
        <v>1177.932</v>
      </c>
      <c r="BM22" s="1154">
        <f t="shared" si="31"/>
        <v>-30.758000000000031</v>
      </c>
      <c r="BN22" s="1153">
        <f t="shared" si="31"/>
        <v>1722.4179999999997</v>
      </c>
      <c r="BO22" s="1154">
        <f t="shared" si="31"/>
        <v>-3.1209999999999383</v>
      </c>
      <c r="BP22" s="1154">
        <f t="shared" si="31"/>
        <v>-30.950000000000003</v>
      </c>
      <c r="BQ22" s="1154">
        <f t="shared" si="31"/>
        <v>-45.554999999999957</v>
      </c>
      <c r="BR22" s="1154">
        <f t="shared" si="31"/>
        <v>-95.282000000000096</v>
      </c>
      <c r="BS22" s="1153">
        <f t="shared" si="31"/>
        <v>-174.90800000000002</v>
      </c>
      <c r="BT22" s="1154">
        <f t="shared" si="31"/>
        <v>7544.603000000001</v>
      </c>
      <c r="BU22" s="1154">
        <f t="shared" si="31"/>
        <v>-67</v>
      </c>
      <c r="BV22" s="1154">
        <f t="shared" si="31"/>
        <v>81</v>
      </c>
      <c r="BW22" s="1154">
        <f t="shared" si="31"/>
        <v>-96</v>
      </c>
      <c r="BX22" s="1153">
        <f t="shared" si="31"/>
        <v>7462.603000000001</v>
      </c>
      <c r="BY22" s="1154">
        <f>BY124+BY156+BY114+BY146+BY166+BY136+BY48+BY62+BY76+BY90+BY34+BY186+BY102+BY194+BY176</f>
        <v>111</v>
      </c>
      <c r="BZ22" s="1154">
        <f t="shared" ref="BZ22:CW22" si="32">BZ124+BZ156+BZ114+BZ146+BZ166+BZ136+BZ48+BZ62+BZ76+BZ90+BZ34+BZ186+BZ102+BZ194+BZ176</f>
        <v>20</v>
      </c>
      <c r="CA22" s="1154">
        <f t="shared" si="32"/>
        <v>12</v>
      </c>
      <c r="CB22" s="1154">
        <f t="shared" si="32"/>
        <v>276</v>
      </c>
      <c r="CC22" s="1153">
        <f t="shared" si="32"/>
        <v>419</v>
      </c>
      <c r="CD22" s="1154">
        <f t="shared" si="32"/>
        <v>164</v>
      </c>
      <c r="CE22" s="1154">
        <f t="shared" si="32"/>
        <v>19</v>
      </c>
      <c r="CF22" s="1154">
        <f t="shared" si="32"/>
        <v>0</v>
      </c>
      <c r="CG22" s="1154">
        <f t="shared" si="32"/>
        <v>151</v>
      </c>
      <c r="CH22" s="1153">
        <f t="shared" si="32"/>
        <v>811</v>
      </c>
      <c r="CI22" s="1182">
        <f t="shared" si="32"/>
        <v>2400</v>
      </c>
      <c r="CJ22" s="1154">
        <f t="shared" si="32"/>
        <v>900</v>
      </c>
      <c r="CK22" s="1154">
        <f t="shared" si="32"/>
        <v>0</v>
      </c>
      <c r="CL22" s="1183">
        <f t="shared" si="32"/>
        <v>0</v>
      </c>
      <c r="CM22" s="1153">
        <f t="shared" si="32"/>
        <v>3300</v>
      </c>
      <c r="CN22" s="1154">
        <f t="shared" si="32"/>
        <v>0</v>
      </c>
      <c r="CO22" s="1154">
        <f t="shared" si="32"/>
        <v>0</v>
      </c>
      <c r="CP22" s="1154">
        <f t="shared" si="32"/>
        <v>0</v>
      </c>
      <c r="CQ22" s="1154">
        <f t="shared" si="32"/>
        <v>0</v>
      </c>
      <c r="CR22" s="1153">
        <f t="shared" si="32"/>
        <v>0</v>
      </c>
      <c r="CS22" s="1154">
        <f t="shared" si="32"/>
        <v>0</v>
      </c>
      <c r="CT22" s="1154">
        <f t="shared" si="32"/>
        <v>0</v>
      </c>
      <c r="CU22" s="1154">
        <f t="shared" si="32"/>
        <v>0</v>
      </c>
      <c r="CV22" s="1154">
        <f t="shared" si="32"/>
        <v>0</v>
      </c>
      <c r="CW22" s="1153">
        <f t="shared" si="32"/>
        <v>0</v>
      </c>
      <c r="CX22" s="1154">
        <f t="shared" ref="CX22:DB22" si="33">CX124+CX156+CX114+CX146+CX166+CX136+CX48+CX62+CX76+CX90+CX34+CX186+CX102+CX194+CX176</f>
        <v>0</v>
      </c>
      <c r="CY22" s="1154">
        <f t="shared" si="33"/>
        <v>0</v>
      </c>
      <c r="CZ22" s="1154">
        <f t="shared" si="33"/>
        <v>0</v>
      </c>
      <c r="DA22" s="1154">
        <f t="shared" si="33"/>
        <v>0</v>
      </c>
      <c r="DB22" s="1153">
        <f t="shared" si="33"/>
        <v>0</v>
      </c>
      <c r="DC22" s="5"/>
      <c r="DD22" s="5"/>
      <c r="DE22" s="171"/>
      <c r="DF22" s="171"/>
      <c r="DG22" s="171"/>
      <c r="DH22" s="171"/>
      <c r="DI22" s="171"/>
      <c r="DJ22" s="171"/>
    </row>
    <row r="23" spans="1:114">
      <c r="A23" s="171"/>
      <c r="B23" s="1156" t="s">
        <v>656</v>
      </c>
      <c r="C23" s="1157"/>
      <c r="D23" s="1158"/>
      <c r="E23" s="1158"/>
      <c r="F23" s="1158"/>
      <c r="G23" s="1159"/>
      <c r="H23" s="1159"/>
      <c r="I23" s="1159"/>
      <c r="J23" s="1159"/>
      <c r="K23" s="1158"/>
      <c r="L23" s="1159"/>
      <c r="M23" s="1159"/>
      <c r="N23" s="1159"/>
      <c r="O23" s="1159"/>
      <c r="P23" s="1158"/>
      <c r="Q23" s="1159"/>
      <c r="R23" s="1159"/>
      <c r="S23" s="1159"/>
      <c r="T23" s="1159"/>
      <c r="U23" s="1158"/>
      <c r="V23" s="1159"/>
      <c r="W23" s="1159"/>
      <c r="X23" s="1159"/>
      <c r="Y23" s="1159"/>
      <c r="Z23" s="1158"/>
      <c r="AA23" s="1159"/>
      <c r="AB23" s="1159"/>
      <c r="AC23" s="1159"/>
      <c r="AD23" s="1159"/>
      <c r="AE23" s="1158"/>
      <c r="AF23" s="1159"/>
      <c r="AG23" s="1159"/>
      <c r="AH23" s="1159"/>
      <c r="AI23" s="1159"/>
      <c r="AJ23" s="1158"/>
      <c r="AK23" s="1159"/>
      <c r="AL23" s="1159"/>
      <c r="AM23" s="1159"/>
      <c r="AN23" s="1159"/>
      <c r="AO23" s="1158"/>
      <c r="AP23" s="1159"/>
      <c r="AQ23" s="1159"/>
      <c r="AR23" s="1159"/>
      <c r="AS23" s="1159"/>
      <c r="AT23" s="1158"/>
      <c r="AU23" s="1159"/>
      <c r="AV23" s="1159"/>
      <c r="AW23" s="1159"/>
      <c r="AX23" s="1159"/>
      <c r="AY23" s="1158">
        <f t="shared" ref="AY23:BX23" si="34">AY126+AY158+AY116+AY148+AY170+AY138+AY50+AY64+AY78+AY92+AY35+AY188+AY104+AY196</f>
        <v>6889.2389999999996</v>
      </c>
      <c r="AZ23" s="1159">
        <f t="shared" si="34"/>
        <v>0</v>
      </c>
      <c r="BA23" s="1159">
        <f t="shared" si="34"/>
        <v>0</v>
      </c>
      <c r="BB23" s="1159">
        <f t="shared" si="34"/>
        <v>0</v>
      </c>
      <c r="BC23" s="1159">
        <f t="shared" si="34"/>
        <v>0</v>
      </c>
      <c r="BD23" s="1158">
        <f t="shared" si="34"/>
        <v>6837.1900000000005</v>
      </c>
      <c r="BE23" s="1159">
        <f t="shared" si="34"/>
        <v>0</v>
      </c>
      <c r="BF23" s="1159">
        <f t="shared" si="34"/>
        <v>0</v>
      </c>
      <c r="BG23" s="1159">
        <f t="shared" si="34"/>
        <v>0</v>
      </c>
      <c r="BH23" s="1159">
        <f t="shared" si="34"/>
        <v>0</v>
      </c>
      <c r="BI23" s="1158">
        <f t="shared" si="34"/>
        <v>7788.8869999999997</v>
      </c>
      <c r="BJ23" s="1159">
        <f t="shared" si="34"/>
        <v>8387.9879999999994</v>
      </c>
      <c r="BK23" s="1159">
        <f t="shared" si="34"/>
        <v>8389.1310000000012</v>
      </c>
      <c r="BL23" s="1159">
        <f t="shared" si="34"/>
        <v>9572.0629999999983</v>
      </c>
      <c r="BM23" s="1159">
        <f t="shared" si="34"/>
        <v>9541.3049999999985</v>
      </c>
      <c r="BN23" s="1158">
        <f t="shared" si="34"/>
        <v>9541.3049999999985</v>
      </c>
      <c r="BO23" s="1159">
        <f t="shared" si="34"/>
        <v>9538.1839999999993</v>
      </c>
      <c r="BP23" s="1159">
        <f t="shared" si="34"/>
        <v>9507.2339999999986</v>
      </c>
      <c r="BQ23" s="1159">
        <f t="shared" si="34"/>
        <v>9461.6790000000001</v>
      </c>
      <c r="BR23" s="1159">
        <f t="shared" si="34"/>
        <v>9453.3970000000008</v>
      </c>
      <c r="BS23" s="1158">
        <f t="shared" si="34"/>
        <v>9453.3970000000008</v>
      </c>
      <c r="BT23" s="1159">
        <f t="shared" si="34"/>
        <v>16998</v>
      </c>
      <c r="BU23" s="1159">
        <f t="shared" si="34"/>
        <v>16931</v>
      </c>
      <c r="BV23" s="1159">
        <f t="shared" si="34"/>
        <v>17012</v>
      </c>
      <c r="BW23" s="1159">
        <f t="shared" si="34"/>
        <v>16916</v>
      </c>
      <c r="BX23" s="1158">
        <f t="shared" si="34"/>
        <v>16916</v>
      </c>
      <c r="BY23" s="1159">
        <f>BY125+BY157+BY115+BY147+BY167+BY137+BY49+BY63+BY77+BY91+BY35+BY187+BY103+BY195+BY177</f>
        <v>-58</v>
      </c>
      <c r="BZ23" s="1159">
        <f t="shared" ref="BZ23:CW23" si="35">BZ125+BZ157+BZ115+BZ147+BZ167+BZ137+BZ49+BZ63+BZ77+BZ91+BZ35+BZ187+BZ103+BZ195+BZ177</f>
        <v>-1722</v>
      </c>
      <c r="CA23" s="1159">
        <f t="shared" si="35"/>
        <v>-48</v>
      </c>
      <c r="CB23" s="1159">
        <f t="shared" si="35"/>
        <v>-56</v>
      </c>
      <c r="CC23" s="1158">
        <f t="shared" si="35"/>
        <v>-1884</v>
      </c>
      <c r="CD23" s="1159">
        <f t="shared" si="35"/>
        <v>-301</v>
      </c>
      <c r="CE23" s="1159">
        <f t="shared" si="35"/>
        <v>-1570</v>
      </c>
      <c r="CF23" s="1159">
        <f t="shared" si="35"/>
        <v>0</v>
      </c>
      <c r="CG23" s="1159">
        <f t="shared" si="35"/>
        <v>-270</v>
      </c>
      <c r="CH23" s="1158">
        <f t="shared" si="35"/>
        <v>-2141</v>
      </c>
      <c r="CI23" s="1175">
        <f t="shared" si="35"/>
        <v>-2399</v>
      </c>
      <c r="CJ23" s="1159">
        <f t="shared" si="35"/>
        <v>-1396.999999999</v>
      </c>
      <c r="CK23" s="1159">
        <f>CK125+CK157+CK115+CK147+CK167+CK137+CK49+CK63+CK77+CK91+CK35+CK187+CK103+CK195+CK177</f>
        <v>-807</v>
      </c>
      <c r="CL23" s="1176">
        <f t="shared" si="35"/>
        <v>-28.000000001000402</v>
      </c>
      <c r="CM23" s="1158">
        <f t="shared" si="35"/>
        <v>-4631</v>
      </c>
      <c r="CN23" s="1159">
        <f ca="1">CN125+CN157+CN115+CN147+CN167+CN137+CN49+CN63+CN77+CN91+CN35+CN187+CN103+CN195+CN177</f>
        <v>-300</v>
      </c>
      <c r="CO23" s="1159">
        <f t="shared" ca="1" si="35"/>
        <v>-301</v>
      </c>
      <c r="CP23" s="1159">
        <f t="shared" ca="1" si="35"/>
        <v>-347.13</v>
      </c>
      <c r="CQ23" s="1159">
        <f t="shared" ca="1" si="35"/>
        <v>-351.87</v>
      </c>
      <c r="CR23" s="1158">
        <f t="shared" ca="1" si="35"/>
        <v>-1300</v>
      </c>
      <c r="CS23" s="1159">
        <f t="shared" ca="1" si="35"/>
        <v>-423.60000000040003</v>
      </c>
      <c r="CT23" s="1159">
        <f t="shared" ca="1" si="35"/>
        <v>-254.16000000023996</v>
      </c>
      <c r="CU23" s="1159">
        <f t="shared" ca="1" si="35"/>
        <v>-152.49600000014399</v>
      </c>
      <c r="CV23" s="1159">
        <f t="shared" ca="1" si="35"/>
        <v>-91.497600000086379</v>
      </c>
      <c r="CW23" s="1158">
        <f t="shared" ca="1" si="35"/>
        <v>-921.75360000087039</v>
      </c>
      <c r="CX23" s="1159">
        <f t="shared" ref="CX23:DB23" ca="1" si="36">CX125+CX157+CX115+CX147+CX167+CX137+CX49+CX63+CX77+CX91+CX35+CX187+CX103+CX195+CX177</f>
        <v>-54.89856000005183</v>
      </c>
      <c r="CY23" s="1159">
        <f t="shared" ca="1" si="36"/>
        <v>-32.939136000031098</v>
      </c>
      <c r="CZ23" s="1159">
        <f t="shared" ca="1" si="36"/>
        <v>-19.763481600018658</v>
      </c>
      <c r="DA23" s="1159">
        <f t="shared" ca="1" si="36"/>
        <v>0</v>
      </c>
      <c r="DB23" s="1158">
        <f t="shared" ca="1" si="36"/>
        <v>-107.60117760010158</v>
      </c>
      <c r="DC23" s="5"/>
      <c r="DD23" s="5"/>
      <c r="DE23" s="171"/>
      <c r="DF23" s="171"/>
      <c r="DG23" s="171"/>
      <c r="DH23" s="171"/>
      <c r="DI23" s="171"/>
      <c r="DJ23" s="171"/>
    </row>
    <row r="24" spans="1:114" s="1163" customFormat="1" hidden="1" outlineLevel="1">
      <c r="A24" s="171"/>
      <c r="B24" s="1160"/>
      <c r="C24" s="46"/>
      <c r="D24" s="1161"/>
      <c r="E24" s="1161"/>
      <c r="F24" s="1161"/>
      <c r="G24" s="1161"/>
      <c r="H24" s="1161"/>
      <c r="I24" s="1161"/>
      <c r="J24" s="1161"/>
      <c r="K24" s="1161"/>
      <c r="L24" s="1161"/>
      <c r="M24" s="1161"/>
      <c r="N24" s="1161"/>
      <c r="O24" s="1161"/>
      <c r="P24" s="1161"/>
      <c r="Q24" s="1161"/>
      <c r="R24" s="1161"/>
      <c r="S24" s="1161"/>
      <c r="T24" s="1161"/>
      <c r="U24" s="1161"/>
      <c r="V24" s="1161"/>
      <c r="W24" s="1161"/>
      <c r="X24" s="1161"/>
      <c r="Y24" s="1161"/>
      <c r="Z24" s="1161"/>
      <c r="AA24" s="1161"/>
      <c r="AB24" s="1161"/>
      <c r="AC24" s="1161"/>
      <c r="AD24" s="1161"/>
      <c r="AE24" s="1161"/>
      <c r="AF24" s="1161"/>
      <c r="AG24" s="1161"/>
      <c r="AH24" s="1161"/>
      <c r="AI24" s="1161"/>
      <c r="AJ24" s="1161"/>
      <c r="AK24" s="1161"/>
      <c r="AL24" s="1161"/>
      <c r="AM24" s="1161"/>
      <c r="AN24" s="1161"/>
      <c r="AO24" s="1161"/>
      <c r="AP24" s="1161"/>
      <c r="AQ24" s="1161"/>
      <c r="AR24" s="1161"/>
      <c r="AS24" s="1161"/>
      <c r="AT24" s="1161"/>
      <c r="AU24" s="1162"/>
      <c r="AV24" s="1162"/>
      <c r="AW24" s="1162"/>
      <c r="AX24" s="1162"/>
      <c r="AY24" s="1161"/>
      <c r="AZ24" s="1162"/>
      <c r="BA24" s="1162"/>
      <c r="BB24" s="1162"/>
      <c r="BC24" s="1162"/>
      <c r="BD24" s="1161"/>
      <c r="BE24" s="1162"/>
      <c r="BF24" s="1162"/>
      <c r="BG24" s="1162"/>
      <c r="BH24" s="1162"/>
      <c r="BI24" s="1161"/>
      <c r="BJ24" s="1161"/>
      <c r="BK24" s="1161"/>
      <c r="BL24" s="1161"/>
      <c r="BM24" s="1161"/>
      <c r="BN24" s="1161"/>
      <c r="BO24" s="1161"/>
      <c r="BP24" s="1161"/>
      <c r="BQ24" s="1161"/>
      <c r="BR24" s="1161"/>
      <c r="BS24" s="1161"/>
      <c r="BT24" s="1161"/>
      <c r="BU24" s="1161"/>
      <c r="BV24" s="1161"/>
      <c r="BW24" s="1161"/>
      <c r="BX24" s="1161"/>
      <c r="BY24" s="1161"/>
      <c r="BZ24" s="1161"/>
      <c r="CA24" s="1161"/>
      <c r="CB24" s="1161"/>
      <c r="CC24" s="1161"/>
      <c r="CD24" s="1161"/>
      <c r="CE24" s="1161"/>
      <c r="CF24" s="1161"/>
      <c r="CG24" s="1161"/>
      <c r="CH24" s="1161"/>
      <c r="CI24" s="1161"/>
      <c r="CJ24" s="1161"/>
      <c r="CK24" s="1161"/>
      <c r="CL24" s="1161"/>
      <c r="CM24" s="1161"/>
      <c r="CN24" s="1161"/>
      <c r="CO24" s="1161"/>
      <c r="CP24" s="1161"/>
      <c r="CQ24" s="1161"/>
      <c r="CR24" s="1161"/>
      <c r="CS24" s="1161"/>
      <c r="CT24" s="1161"/>
      <c r="CU24" s="1161"/>
      <c r="CV24" s="1161"/>
      <c r="CW24" s="1161"/>
      <c r="CX24" s="1161"/>
      <c r="CY24" s="1161"/>
      <c r="CZ24" s="1161"/>
      <c r="DA24" s="1161"/>
      <c r="DB24" s="1161"/>
      <c r="DC24" s="5"/>
      <c r="DD24" s="5"/>
      <c r="DE24" s="171"/>
      <c r="DF24" s="171"/>
      <c r="DG24" s="171"/>
      <c r="DH24" s="171"/>
      <c r="DI24" s="171"/>
      <c r="DJ24" s="171"/>
    </row>
    <row r="25" spans="1:114" s="1163" customFormat="1" hidden="1" outlineLevel="1">
      <c r="A25" s="171"/>
      <c r="B25" s="1164" t="s">
        <v>650</v>
      </c>
      <c r="C25" s="46"/>
      <c r="D25" s="1161"/>
      <c r="E25" s="1161"/>
      <c r="F25" s="1161"/>
      <c r="G25" s="1161"/>
      <c r="H25" s="1161"/>
      <c r="I25" s="1161"/>
      <c r="J25" s="1161"/>
      <c r="K25" s="1161"/>
      <c r="L25" s="1161"/>
      <c r="M25" s="1161"/>
      <c r="N25" s="1161"/>
      <c r="O25" s="1161"/>
      <c r="P25" s="1161"/>
      <c r="Q25" s="1161"/>
      <c r="R25" s="1161"/>
      <c r="S25" s="1161"/>
      <c r="T25" s="1161"/>
      <c r="U25" s="1161"/>
      <c r="V25" s="1161"/>
      <c r="W25" s="1161"/>
      <c r="X25" s="1161"/>
      <c r="Y25" s="1161"/>
      <c r="Z25" s="1161"/>
      <c r="AA25" s="1161"/>
      <c r="AB25" s="1161"/>
      <c r="AC25" s="1161"/>
      <c r="AD25" s="1161"/>
      <c r="AE25" s="1161"/>
      <c r="AF25" s="1161"/>
      <c r="AG25" s="1161"/>
      <c r="AH25" s="1161"/>
      <c r="AI25" s="1161"/>
      <c r="AJ25" s="1161"/>
      <c r="AK25" s="1161"/>
      <c r="AL25" s="1161"/>
      <c r="AM25" s="1161"/>
      <c r="AN25" s="1161"/>
      <c r="AO25" s="1161"/>
      <c r="AP25" s="1161"/>
      <c r="AQ25" s="1161"/>
      <c r="AR25" s="1161"/>
      <c r="AS25" s="1161"/>
      <c r="AT25" s="1161"/>
      <c r="AU25" s="1162"/>
      <c r="AV25" s="1162"/>
      <c r="AW25" s="1162"/>
      <c r="AX25" s="1162"/>
      <c r="AY25" s="1161"/>
      <c r="AZ25" s="1162"/>
      <c r="BA25" s="1162"/>
      <c r="BB25" s="1162"/>
      <c r="BC25" s="1162"/>
      <c r="BD25" s="1161"/>
      <c r="BE25" s="1162"/>
      <c r="BF25" s="1162"/>
      <c r="BG25" s="1162"/>
      <c r="BH25" s="1162"/>
      <c r="BI25" s="1161"/>
      <c r="BJ25" s="1165"/>
      <c r="BK25" s="1165"/>
      <c r="BL25" s="1161"/>
      <c r="BM25" s="1161"/>
      <c r="BN25" s="1161"/>
      <c r="BO25" s="1161"/>
      <c r="BP25" s="1161"/>
      <c r="BQ25" s="1161"/>
      <c r="BR25" s="1161"/>
      <c r="BS25" s="1161"/>
      <c r="BT25" s="1161"/>
      <c r="BU25" s="1161"/>
      <c r="BV25" s="1161"/>
      <c r="BW25" s="1161"/>
      <c r="BX25" s="1161"/>
      <c r="BY25" s="1161"/>
      <c r="BZ25" s="1161"/>
      <c r="CA25" s="1161"/>
      <c r="CB25" s="1161"/>
      <c r="CC25" s="1161"/>
      <c r="CD25" s="1161"/>
      <c r="CE25" s="1161"/>
      <c r="CF25" s="1161"/>
      <c r="CG25" s="1161"/>
      <c r="CH25" s="1161"/>
      <c r="CI25" s="1161"/>
      <c r="CJ25" s="1161">
        <f>CJ8+'BS &amp; CF'!CJ118+'BS &amp; CF'!CJ126+SUM('BS &amp; CF'!CJ128:CJ137)+CJ22</f>
        <v>2358</v>
      </c>
      <c r="CK25" s="1161">
        <f>CK8+'BS &amp; CF'!CK118+'BS &amp; CF'!CK126+SUM('BS &amp; CF'!CK128:CK137)+CK22</f>
        <v>1445</v>
      </c>
      <c r="CL25" s="1161">
        <f>CL8+'BS &amp; CF'!CL118+'BS &amp; CF'!CL126+SUM('BS &amp; CF'!CL128:CL137)+CL22</f>
        <v>604</v>
      </c>
      <c r="CM25" s="1161"/>
      <c r="CN25" s="1161">
        <f ca="1">CN8+'BS &amp; CF'!CN118+'BS &amp; CF'!CN126+SUM('BS &amp; CF'!CN128:CN137)+CN22</f>
        <v>808.02631845250721</v>
      </c>
      <c r="CO25" s="1161">
        <f ca="1">CO8+'BS &amp; CF'!CO118+'BS &amp; CF'!CO126+SUM('BS &amp; CF'!CO128:CO137)+CO22</f>
        <v>1013.2860213639867</v>
      </c>
      <c r="CP25" s="1161">
        <f ca="1">CP8+'BS &amp; CF'!CP118+'BS &amp; CF'!CP126+SUM('BS &amp; CF'!CP128:CP137)+CP22</f>
        <v>1088.105499173693</v>
      </c>
      <c r="CQ25" s="1161">
        <f ca="1">CQ8+'BS &amp; CF'!CQ118+'BS &amp; CF'!CQ126+SUM('BS &amp; CF'!CQ128:CQ137)+CQ22</f>
        <v>926.54555942532443</v>
      </c>
      <c r="CR25" s="1161"/>
      <c r="CS25" s="1161">
        <f ca="1">CS8+'BS &amp; CF'!CS118+'BS &amp; CF'!CS126+SUM('BS &amp; CF'!CS128:CS137)+CS22</f>
        <v>734.48494895708325</v>
      </c>
      <c r="CT25" s="1161">
        <f ca="1">CT8+'BS &amp; CF'!CT118+'BS &amp; CF'!CT126+SUM('BS &amp; CF'!CT128:CT137)+CT22</f>
        <v>728.77248303873932</v>
      </c>
      <c r="CU25" s="1161">
        <f ca="1">CU8+'BS &amp; CF'!CU118+'BS &amp; CF'!CU126+SUM('BS &amp; CF'!CU128:CU137)+CU22</f>
        <v>652.65683743778084</v>
      </c>
      <c r="CV25" s="1161">
        <f ca="1">CV8+'BS &amp; CF'!CV118+'BS &amp; CF'!CV126+SUM('BS &amp; CF'!CV128:CV137)+CV22</f>
        <v>805.73534281577497</v>
      </c>
      <c r="CW25" s="1161"/>
      <c r="CX25" s="1161">
        <f ca="1">CX8+'BS &amp; CF'!CX118+'BS &amp; CF'!CX126+SUM('BS &amp; CF'!CX128:CX137)+CX22</f>
        <v>337.9687156406809</v>
      </c>
      <c r="CY25" s="1161">
        <f ca="1">CY8+'BS &amp; CF'!CY118+'BS &amp; CF'!CY126+SUM('BS &amp; CF'!CY128:CY137)+CY22</f>
        <v>369.73440573416826</v>
      </c>
      <c r="CZ25" s="1161">
        <f ca="1">CZ8+'BS &amp; CF'!CZ118+'BS &amp; CF'!CZ126+SUM('BS &amp; CF'!CZ128:CZ137)+CZ22</f>
        <v>473.15612044059088</v>
      </c>
      <c r="DA25" s="1161">
        <f ca="1">DA8+'BS &amp; CF'!DA118+'BS &amp; CF'!DA126+SUM('BS &amp; CF'!DA128:DA137)+DA22</f>
        <v>255.53769257557099</v>
      </c>
      <c r="DB25" s="1161"/>
      <c r="DC25" s="5"/>
      <c r="DD25" s="5"/>
      <c r="DE25" s="171"/>
      <c r="DF25" s="171"/>
      <c r="DG25" s="171"/>
      <c r="DH25" s="171"/>
      <c r="DI25" s="171"/>
      <c r="DJ25" s="171"/>
    </row>
    <row r="26" spans="1:114" s="1163" customFormat="1" collapsed="1">
      <c r="A26" s="171"/>
      <c r="B26" s="1160"/>
      <c r="C26" s="46"/>
      <c r="D26" s="1161"/>
      <c r="E26" s="1161"/>
      <c r="F26" s="1161"/>
      <c r="G26" s="1161"/>
      <c r="H26" s="1161"/>
      <c r="I26" s="1161"/>
      <c r="J26" s="1161"/>
      <c r="K26" s="1161"/>
      <c r="L26" s="1161"/>
      <c r="M26" s="1161"/>
      <c r="N26" s="1161"/>
      <c r="O26" s="1161"/>
      <c r="P26" s="1161"/>
      <c r="Q26" s="1161"/>
      <c r="R26" s="1161"/>
      <c r="S26" s="1161"/>
      <c r="T26" s="1161"/>
      <c r="U26" s="1161"/>
      <c r="V26" s="1161"/>
      <c r="W26" s="1161"/>
      <c r="X26" s="1161"/>
      <c r="Y26" s="1161"/>
      <c r="Z26" s="1161"/>
      <c r="AA26" s="1161"/>
      <c r="AB26" s="1161"/>
      <c r="AC26" s="1161"/>
      <c r="AD26" s="1161"/>
      <c r="AE26" s="1161"/>
      <c r="AF26" s="1161"/>
      <c r="AG26" s="1161"/>
      <c r="AH26" s="1161"/>
      <c r="AI26" s="1161"/>
      <c r="AJ26" s="1161"/>
      <c r="AK26" s="1161"/>
      <c r="AL26" s="1161"/>
      <c r="AM26" s="1161"/>
      <c r="AN26" s="1161"/>
      <c r="AO26" s="1161"/>
      <c r="AP26" s="1161"/>
      <c r="AQ26" s="1161"/>
      <c r="AR26" s="1161"/>
      <c r="AS26" s="1161"/>
      <c r="AT26" s="1161"/>
      <c r="AU26" s="1162"/>
      <c r="AV26" s="1162"/>
      <c r="AW26" s="1162"/>
      <c r="AX26" s="1162"/>
      <c r="AY26" s="1161"/>
      <c r="AZ26" s="1162"/>
      <c r="BA26" s="1162"/>
      <c r="BB26" s="1162"/>
      <c r="BC26" s="1162"/>
      <c r="BD26" s="1161"/>
      <c r="BE26" s="1162"/>
      <c r="BF26" s="1162"/>
      <c r="BG26" s="1162"/>
      <c r="BH26" s="1162"/>
      <c r="BI26" s="1161"/>
      <c r="BJ26" s="1161"/>
      <c r="BK26" s="1161"/>
      <c r="BL26" s="1161"/>
      <c r="BM26" s="1161"/>
      <c r="BN26" s="1161"/>
      <c r="BO26" s="1161"/>
      <c r="BP26" s="1161"/>
      <c r="BQ26" s="1161"/>
      <c r="BR26" s="1161"/>
      <c r="BS26" s="1161"/>
      <c r="BT26" s="1161"/>
      <c r="BU26" s="1161"/>
      <c r="BV26" s="1161"/>
      <c r="BW26" s="1161"/>
      <c r="BX26" s="1161"/>
      <c r="BY26" s="1161"/>
      <c r="BZ26" s="1161"/>
      <c r="CA26" s="1161"/>
      <c r="CB26" s="1161"/>
      <c r="CC26" s="1161"/>
      <c r="CD26" s="1161"/>
      <c r="CE26" s="1161"/>
      <c r="CF26" s="1161"/>
      <c r="CG26" s="1161"/>
      <c r="CH26" s="1161"/>
      <c r="CI26" s="1161"/>
      <c r="CJ26" s="1161"/>
      <c r="CK26" s="1161"/>
      <c r="CL26" s="1161"/>
      <c r="CM26" s="1161"/>
      <c r="CN26" s="1161"/>
      <c r="CO26" s="1161"/>
      <c r="CP26" s="1161"/>
      <c r="CQ26" s="1161"/>
      <c r="CR26" s="1161"/>
      <c r="CS26" s="1161"/>
      <c r="CT26" s="1161"/>
      <c r="CU26" s="1161"/>
      <c r="CV26" s="1161"/>
      <c r="CW26" s="1161"/>
      <c r="CX26" s="1161"/>
      <c r="CY26" s="1161"/>
      <c r="CZ26" s="1161"/>
      <c r="DA26" s="1161"/>
      <c r="DB26" s="1161"/>
      <c r="DC26" s="5"/>
      <c r="DD26" s="5"/>
      <c r="DE26" s="171"/>
      <c r="DF26" s="171"/>
      <c r="DG26" s="171"/>
      <c r="DH26" s="171"/>
      <c r="DI26" s="171"/>
      <c r="DJ26" s="171"/>
    </row>
    <row r="27" spans="1:114" s="1163" customFormat="1">
      <c r="A27" s="171"/>
      <c r="B27" s="1184" t="s">
        <v>649</v>
      </c>
      <c r="C27" s="38"/>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202"/>
      <c r="AV27" s="202"/>
      <c r="AW27" s="202"/>
      <c r="AX27" s="202"/>
      <c r="AY27" s="166"/>
      <c r="AZ27" s="202"/>
      <c r="BA27" s="202"/>
      <c r="BB27" s="202"/>
      <c r="BC27" s="202"/>
      <c r="BD27" s="166"/>
      <c r="BE27" s="202"/>
      <c r="BF27" s="202"/>
      <c r="BG27" s="202"/>
      <c r="BH27" s="202"/>
      <c r="BI27" s="166"/>
      <c r="BJ27" s="203"/>
      <c r="BK27" s="203"/>
      <c r="BL27" s="166"/>
      <c r="BM27" s="166"/>
      <c r="BN27" s="166"/>
      <c r="BO27" s="166"/>
      <c r="BP27" s="166"/>
      <c r="BQ27" s="166"/>
      <c r="BR27" s="388"/>
      <c r="BS27" s="166"/>
      <c r="BT27" s="166"/>
      <c r="BU27" s="166"/>
      <c r="BV27" s="166"/>
      <c r="BW27" s="388"/>
      <c r="BX27" s="166"/>
      <c r="BY27" s="166"/>
      <c r="BZ27" s="166"/>
      <c r="CA27" s="166"/>
      <c r="CB27" s="166"/>
      <c r="CC27" s="166"/>
      <c r="CD27" s="166"/>
      <c r="CE27" s="166"/>
      <c r="CF27" s="166"/>
      <c r="CG27" s="166"/>
      <c r="CH27" s="166"/>
      <c r="CI27" s="166"/>
      <c r="CJ27" s="166"/>
      <c r="CK27" s="166"/>
      <c r="CL27" s="166"/>
      <c r="CM27" s="166"/>
      <c r="CN27" s="166"/>
      <c r="CO27" s="166"/>
      <c r="CP27" s="166"/>
      <c r="CQ27" s="166"/>
      <c r="CR27" s="166"/>
      <c r="CS27" s="166"/>
      <c r="CT27" s="166"/>
      <c r="CU27" s="166"/>
      <c r="CV27" s="166"/>
      <c r="CW27" s="166"/>
      <c r="CX27" s="166"/>
      <c r="CY27" s="166"/>
      <c r="CZ27" s="166"/>
      <c r="DA27" s="166"/>
      <c r="DB27" s="166"/>
      <c r="DC27" s="5"/>
      <c r="DD27" s="5"/>
      <c r="DE27" s="171"/>
      <c r="DF27" s="171"/>
      <c r="DG27" s="171"/>
      <c r="DH27" s="171"/>
      <c r="DI27" s="171"/>
      <c r="DJ27" s="171"/>
    </row>
    <row r="28" spans="1:114" s="1163" customFormat="1">
      <c r="A28" s="171"/>
      <c r="B28" s="1164"/>
      <c r="C28" s="46"/>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2"/>
      <c r="AV28" s="1162"/>
      <c r="AW28" s="1162"/>
      <c r="AX28" s="1162"/>
      <c r="AY28" s="1161"/>
      <c r="AZ28" s="1162"/>
      <c r="BA28" s="1162"/>
      <c r="BB28" s="1162"/>
      <c r="BC28" s="1162"/>
      <c r="BD28" s="1161"/>
      <c r="BE28" s="1162"/>
      <c r="BF28" s="1162"/>
      <c r="BG28" s="1162"/>
      <c r="BH28" s="1162"/>
      <c r="BI28" s="1161"/>
      <c r="BJ28" s="1165"/>
      <c r="BK28" s="1165"/>
      <c r="BL28" s="1161"/>
      <c r="BM28" s="1161"/>
      <c r="BN28" s="1161"/>
      <c r="BO28" s="1161"/>
      <c r="BP28" s="1161"/>
      <c r="BQ28" s="1161"/>
      <c r="BR28" s="1161"/>
      <c r="BS28" s="1161"/>
      <c r="BT28" s="1161"/>
      <c r="BU28" s="1161"/>
      <c r="BV28" s="1161"/>
      <c r="BW28" s="1161"/>
      <c r="BX28" s="1161"/>
      <c r="BY28" s="1161"/>
      <c r="BZ28" s="1161"/>
      <c r="CA28" s="1161"/>
      <c r="CB28" s="1161"/>
      <c r="CC28" s="1161"/>
      <c r="CD28" s="1161"/>
      <c r="CE28" s="1161"/>
      <c r="CF28" s="1161"/>
      <c r="CG28" s="1161"/>
      <c r="CH28" s="1161"/>
      <c r="CI28" s="1161"/>
      <c r="CJ28" s="1161"/>
      <c r="CK28" s="1161"/>
      <c r="CL28" s="1161"/>
      <c r="CM28" s="1161"/>
      <c r="CN28" s="1161"/>
      <c r="CO28" s="1161"/>
      <c r="CP28" s="1161"/>
      <c r="CQ28" s="1161"/>
      <c r="CR28" s="1161"/>
      <c r="CS28" s="1161"/>
      <c r="CT28" s="1161"/>
      <c r="CU28" s="1161"/>
      <c r="CV28" s="1161"/>
      <c r="CW28" s="1161"/>
      <c r="CX28" s="1161"/>
      <c r="CY28" s="1161"/>
      <c r="CZ28" s="1161"/>
      <c r="DA28" s="1161"/>
      <c r="DB28" s="1161"/>
      <c r="DC28" s="5"/>
      <c r="DD28" s="5"/>
      <c r="DE28" s="171"/>
      <c r="DF28" s="171"/>
      <c r="DG28" s="171"/>
      <c r="DH28" s="171"/>
      <c r="DI28" s="171"/>
      <c r="DJ28" s="171"/>
    </row>
    <row r="29" spans="1:114">
      <c r="A29" s="171"/>
      <c r="B29" s="696" t="s">
        <v>83</v>
      </c>
      <c r="C29" s="169"/>
      <c r="D29" s="209"/>
      <c r="E29" s="209"/>
      <c r="F29" s="209"/>
      <c r="G29" s="212"/>
      <c r="H29" s="212"/>
      <c r="I29" s="212"/>
      <c r="J29" s="212"/>
      <c r="K29" s="209"/>
      <c r="L29" s="212"/>
      <c r="M29" s="212"/>
      <c r="N29" s="212"/>
      <c r="O29" s="212"/>
      <c r="P29" s="209"/>
      <c r="Q29" s="212"/>
      <c r="R29" s="212"/>
      <c r="S29" s="212"/>
      <c r="T29" s="212"/>
      <c r="U29" s="209"/>
      <c r="V29" s="212"/>
      <c r="W29" s="212"/>
      <c r="X29" s="212"/>
      <c r="Y29" s="212"/>
      <c r="Z29" s="209"/>
      <c r="AA29" s="212"/>
      <c r="AB29" s="212"/>
      <c r="AC29" s="212"/>
      <c r="AD29" s="212"/>
      <c r="AE29" s="209"/>
      <c r="AF29" s="212"/>
      <c r="AG29" s="212"/>
      <c r="AH29" s="212"/>
      <c r="AI29" s="212"/>
      <c r="AJ29" s="209"/>
      <c r="AK29" s="212"/>
      <c r="AL29" s="212"/>
      <c r="AM29" s="212"/>
      <c r="AN29" s="212"/>
      <c r="AO29" s="209"/>
      <c r="AP29" s="212"/>
      <c r="AQ29" s="212"/>
      <c r="AR29" s="212"/>
      <c r="AS29" s="212"/>
      <c r="AT29" s="209"/>
      <c r="AU29" s="212"/>
      <c r="AV29" s="212"/>
      <c r="AW29" s="212"/>
      <c r="AX29" s="212"/>
      <c r="AY29" s="209"/>
      <c r="AZ29" s="212"/>
      <c r="BA29" s="212"/>
      <c r="BB29" s="212"/>
      <c r="BC29" s="212"/>
      <c r="BD29" s="209"/>
      <c r="BE29" s="212"/>
      <c r="BF29" s="212"/>
      <c r="BG29" s="212"/>
      <c r="BH29" s="212"/>
      <c r="BI29" s="209"/>
      <c r="BJ29" s="212"/>
      <c r="BK29" s="212"/>
      <c r="BL29" s="212"/>
      <c r="BM29" s="212"/>
      <c r="BN29" s="209"/>
      <c r="BO29" s="212"/>
      <c r="BP29" s="212"/>
      <c r="BQ29" s="212"/>
      <c r="BR29" s="212"/>
      <c r="BS29" s="209"/>
      <c r="BT29" s="212"/>
      <c r="BU29" s="212"/>
      <c r="BV29" s="212"/>
      <c r="BW29" s="212"/>
      <c r="BX29" s="209"/>
      <c r="BY29" s="212"/>
      <c r="BZ29" s="212"/>
      <c r="CA29" s="212"/>
      <c r="CB29" s="212"/>
      <c r="CC29" s="209"/>
      <c r="CD29" s="212"/>
      <c r="CE29" s="212"/>
      <c r="CF29" s="212"/>
      <c r="CG29" s="212"/>
      <c r="CH29" s="209"/>
      <c r="CI29" s="212"/>
      <c r="CJ29" s="212"/>
      <c r="CK29" s="212"/>
      <c r="CL29" s="212"/>
      <c r="CM29" s="209"/>
      <c r="CN29" s="212"/>
      <c r="CO29" s="212"/>
      <c r="CP29" s="212"/>
      <c r="CQ29" s="212"/>
      <c r="CR29" s="209"/>
      <c r="CS29" s="212"/>
      <c r="CT29" s="212"/>
      <c r="CU29" s="212"/>
      <c r="CV29" s="212"/>
      <c r="CW29" s="209"/>
      <c r="CX29" s="212"/>
      <c r="CY29" s="212"/>
      <c r="CZ29" s="212"/>
      <c r="DA29" s="212"/>
      <c r="DB29" s="209"/>
      <c r="DC29" s="5"/>
      <c r="DD29" s="5"/>
      <c r="DE29" s="171"/>
      <c r="DF29" s="171"/>
      <c r="DG29" s="171"/>
      <c r="DH29" s="171"/>
      <c r="DI29" s="171"/>
      <c r="DJ29" s="171"/>
    </row>
    <row r="30" spans="1:114">
      <c r="A30" s="171"/>
      <c r="B30" s="697" t="s">
        <v>360</v>
      </c>
      <c r="C30" s="155"/>
      <c r="D30" s="26"/>
      <c r="E30" s="26"/>
      <c r="F30" s="26"/>
      <c r="G30" s="156"/>
      <c r="H30" s="156"/>
      <c r="I30" s="156"/>
      <c r="J30" s="156"/>
      <c r="K30" s="26"/>
      <c r="L30" s="156"/>
      <c r="M30" s="156"/>
      <c r="N30" s="156"/>
      <c r="O30" s="156"/>
      <c r="P30" s="26"/>
      <c r="Q30" s="156"/>
      <c r="R30" s="156"/>
      <c r="S30" s="156"/>
      <c r="T30" s="156"/>
      <c r="U30" s="26"/>
      <c r="V30" s="156"/>
      <c r="W30" s="156"/>
      <c r="X30" s="156"/>
      <c r="Y30" s="156"/>
      <c r="Z30" s="26"/>
      <c r="AA30" s="156"/>
      <c r="AB30" s="156"/>
      <c r="AC30" s="156"/>
      <c r="AD30" s="156"/>
      <c r="AE30" s="26"/>
      <c r="AF30" s="156"/>
      <c r="AG30" s="156"/>
      <c r="AH30" s="156"/>
      <c r="AI30" s="156"/>
      <c r="AJ30" s="26"/>
      <c r="AK30" s="156"/>
      <c r="AL30" s="156"/>
      <c r="AM30" s="156"/>
      <c r="AN30" s="156"/>
      <c r="AO30" s="26"/>
      <c r="AP30" s="156"/>
      <c r="AQ30" s="156"/>
      <c r="AR30" s="156"/>
      <c r="AS30" s="156"/>
      <c r="AT30" s="26"/>
      <c r="AU30" s="231"/>
      <c r="AV30" s="231"/>
      <c r="AW30" s="231"/>
      <c r="AX30" s="231"/>
      <c r="AY30" s="270">
        <f>AVERAGE(0.375%,0.5%)</f>
        <v>4.3750000000000004E-3</v>
      </c>
      <c r="AZ30" s="231"/>
      <c r="BA30" s="231"/>
      <c r="BB30" s="231"/>
      <c r="BC30" s="231"/>
      <c r="BD30" s="270">
        <f>AVERAGE(0.375%,0.5%)</f>
        <v>4.3750000000000004E-3</v>
      </c>
      <c r="BE30" s="231"/>
      <c r="BF30" s="231"/>
      <c r="BG30" s="231"/>
      <c r="BH30" s="231"/>
      <c r="BI30" s="270">
        <f>AVERAGE(0.375%,0.5%)</f>
        <v>4.3750000000000004E-3</v>
      </c>
      <c r="BJ30" s="231">
        <f>AVERAGE(0.375%,0.5%)</f>
        <v>4.3750000000000004E-3</v>
      </c>
      <c r="BK30" s="231">
        <f>AVERAGE(0.375%,0.5%)</f>
        <v>4.3750000000000004E-3</v>
      </c>
      <c r="BL30" s="231">
        <f>AVERAGE(0.375%,0.5%)</f>
        <v>4.3750000000000004E-3</v>
      </c>
      <c r="BM30" s="220">
        <f>AVERAGE(0.375%,0.5%)</f>
        <v>4.3750000000000004E-3</v>
      </c>
      <c r="BN30" s="200"/>
      <c r="BO30" s="220">
        <f>AVERAGE(0.375%,0.5%)</f>
        <v>4.3750000000000004E-3</v>
      </c>
      <c r="BP30" s="220">
        <f>AVERAGE(0.375%,0.5%)</f>
        <v>4.3750000000000004E-3</v>
      </c>
      <c r="BQ30" s="220">
        <f>AVERAGE(0.375%,0.5%)</f>
        <v>4.3750000000000004E-3</v>
      </c>
      <c r="BR30" s="220">
        <f>AVERAGE(0.375%,0.5%)</f>
        <v>4.3750000000000004E-3</v>
      </c>
      <c r="BS30" s="200"/>
      <c r="BT30" s="220">
        <f>AVERAGE(0.375%,0.5%)</f>
        <v>4.3750000000000004E-3</v>
      </c>
      <c r="BU30" s="220">
        <f>AVERAGE(0.375%,0.5%)</f>
        <v>4.3750000000000004E-3</v>
      </c>
      <c r="BV30" s="220">
        <f>AVERAGE(0.375%,0.5%)</f>
        <v>4.3750000000000004E-3</v>
      </c>
      <c r="BW30" s="220">
        <f>AVERAGE(0.375%,0.5%)</f>
        <v>4.3750000000000004E-3</v>
      </c>
      <c r="BX30" s="200"/>
      <c r="BY30" s="220">
        <f>AVERAGE(0.375%,0.5%)</f>
        <v>4.3750000000000004E-3</v>
      </c>
      <c r="BZ30" s="220">
        <f>AVERAGE(0.375%,0.5%)</f>
        <v>4.3750000000000004E-3</v>
      </c>
      <c r="CA30" s="220">
        <f>AVERAGE(0.375%,0.5%)</f>
        <v>4.3750000000000004E-3</v>
      </c>
      <c r="CB30" s="220">
        <f>AVERAGE(0.375%,0.5%)</f>
        <v>4.3750000000000004E-3</v>
      </c>
      <c r="CC30" s="200"/>
      <c r="CD30" s="220">
        <f>AVERAGE(0.375%,0.5%)</f>
        <v>4.3750000000000004E-3</v>
      </c>
      <c r="CE30" s="220">
        <f>AVERAGE(0.375%,0.5%)</f>
        <v>4.3750000000000004E-3</v>
      </c>
      <c r="CF30" s="220">
        <f>AVERAGE(0.375%,0.5%)</f>
        <v>4.3750000000000004E-3</v>
      </c>
      <c r="CG30" s="220">
        <f>AVERAGE(0.375%,0.5%)</f>
        <v>4.3750000000000004E-3</v>
      </c>
      <c r="CH30" s="200"/>
      <c r="CI30" s="220">
        <f>AVERAGE(0.375%,0.5%)</f>
        <v>4.3750000000000004E-3</v>
      </c>
      <c r="CJ30" s="220">
        <f>AVERAGE(0.375%,0.5%)</f>
        <v>4.3750000000000004E-3</v>
      </c>
      <c r="CK30" s="220">
        <f>AVERAGE(0.375%,0.5%)</f>
        <v>4.3750000000000004E-3</v>
      </c>
      <c r="CL30" s="220">
        <f>AVERAGE(0.375%,0.5%)</f>
        <v>4.3750000000000004E-3</v>
      </c>
      <c r="CM30" s="200"/>
      <c r="CN30" s="220">
        <f>AVERAGE(0.375%,0.5%)</f>
        <v>4.3750000000000004E-3</v>
      </c>
      <c r="CO30" s="220">
        <f>AVERAGE(0.375%,0.5%)</f>
        <v>4.3750000000000004E-3</v>
      </c>
      <c r="CP30" s="220">
        <f>AVERAGE(0.375%,0.5%)</f>
        <v>4.3750000000000004E-3</v>
      </c>
      <c r="CQ30" s="220">
        <f>AVERAGE(0.375%,0.5%)</f>
        <v>4.3750000000000004E-3</v>
      </c>
      <c r="CR30" s="200"/>
      <c r="CS30" s="220">
        <f>AVERAGE(0.375%,0.5%)</f>
        <v>4.3750000000000004E-3</v>
      </c>
      <c r="CT30" s="220">
        <f>AVERAGE(0.375%,0.5%)</f>
        <v>4.3750000000000004E-3</v>
      </c>
      <c r="CU30" s="220">
        <f>AVERAGE(0.375%,0.5%)</f>
        <v>4.3750000000000004E-3</v>
      </c>
      <c r="CV30" s="220">
        <f>AVERAGE(0.375%,0.5%)</f>
        <v>4.3750000000000004E-3</v>
      </c>
      <c r="CW30" s="200"/>
      <c r="CX30" s="220">
        <f>AVERAGE(0.375%,0.5%)</f>
        <v>4.3750000000000004E-3</v>
      </c>
      <c r="CY30" s="220">
        <f>AVERAGE(0.375%,0.5%)</f>
        <v>4.3750000000000004E-3</v>
      </c>
      <c r="CZ30" s="220">
        <f>AVERAGE(0.375%,0.5%)</f>
        <v>4.3750000000000004E-3</v>
      </c>
      <c r="DA30" s="220">
        <f>AVERAGE(0.375%,0.5%)</f>
        <v>4.3750000000000004E-3</v>
      </c>
      <c r="DB30" s="200"/>
      <c r="DC30" s="8"/>
      <c r="DD30" s="8"/>
      <c r="DE30" s="171"/>
      <c r="DF30" s="171"/>
      <c r="DG30" s="171"/>
      <c r="DH30" s="171"/>
      <c r="DI30" s="171"/>
      <c r="DJ30" s="171"/>
    </row>
    <row r="31" spans="1:114">
      <c r="A31" s="171"/>
      <c r="B31" s="697" t="s">
        <v>517</v>
      </c>
      <c r="C31" s="38"/>
      <c r="D31" s="201"/>
      <c r="E31" s="201"/>
      <c r="F31" s="201"/>
      <c r="G31" s="166"/>
      <c r="H31" s="166"/>
      <c r="I31" s="166"/>
      <c r="J31" s="166"/>
      <c r="K31" s="201"/>
      <c r="L31" s="166"/>
      <c r="M31" s="166"/>
      <c r="N31" s="166"/>
      <c r="O31" s="166"/>
      <c r="P31" s="201"/>
      <c r="Q31" s="166"/>
      <c r="R31" s="166"/>
      <c r="S31" s="166"/>
      <c r="T31" s="166"/>
      <c r="U31" s="201"/>
      <c r="V31" s="166"/>
      <c r="W31" s="166"/>
      <c r="X31" s="166"/>
      <c r="Y31" s="166"/>
      <c r="Z31" s="201"/>
      <c r="AA31" s="166"/>
      <c r="AB31" s="166"/>
      <c r="AC31" s="166"/>
      <c r="AD31" s="166"/>
      <c r="AE31" s="201"/>
      <c r="AF31" s="166"/>
      <c r="AG31" s="166"/>
      <c r="AH31" s="166"/>
      <c r="AI31" s="166"/>
      <c r="AJ31" s="201"/>
      <c r="AK31" s="166"/>
      <c r="AL31" s="166"/>
      <c r="AM31" s="166"/>
      <c r="AN31" s="166"/>
      <c r="AO31" s="201"/>
      <c r="AP31" s="166"/>
      <c r="AQ31" s="166"/>
      <c r="AR31" s="166"/>
      <c r="AS31" s="166"/>
      <c r="AT31" s="201"/>
      <c r="AU31" s="231"/>
      <c r="AV31" s="231"/>
      <c r="AW31" s="231"/>
      <c r="AX31" s="231"/>
      <c r="AY31" s="270">
        <f>2.25%+0.5%</f>
        <v>2.75E-2</v>
      </c>
      <c r="AZ31" s="231"/>
      <c r="BA31" s="231"/>
      <c r="BB31" s="231"/>
      <c r="BC31" s="231"/>
      <c r="BD31" s="270">
        <f>2.25%+0.5%</f>
        <v>2.75E-2</v>
      </c>
      <c r="BE31" s="231"/>
      <c r="BF31" s="231"/>
      <c r="BG31" s="231"/>
      <c r="BH31" s="231"/>
      <c r="BI31" s="270">
        <f>2.25%+0.5%</f>
        <v>2.75E-2</v>
      </c>
      <c r="BJ31" s="231">
        <f>2.5%+0.5%</f>
        <v>3.0000000000000002E-2</v>
      </c>
      <c r="BK31" s="231">
        <f>2.5%+0.5%</f>
        <v>3.0000000000000002E-2</v>
      </c>
      <c r="BL31" s="231">
        <f>2.5%+0.5%</f>
        <v>3.0000000000000002E-2</v>
      </c>
      <c r="BM31" s="220">
        <f>2.5%+0.5%</f>
        <v>3.0000000000000002E-2</v>
      </c>
      <c r="BN31" s="107"/>
      <c r="BO31" s="220">
        <f>2.5%+0.5%</f>
        <v>3.0000000000000002E-2</v>
      </c>
      <c r="BP31" s="220">
        <f>2.5%+0.5%</f>
        <v>3.0000000000000002E-2</v>
      </c>
      <c r="BQ31" s="220">
        <f>2.5%+0.5%</f>
        <v>3.0000000000000002E-2</v>
      </c>
      <c r="BR31" s="220">
        <f>2.5%+0.5%</f>
        <v>3.0000000000000002E-2</v>
      </c>
      <c r="BS31" s="107"/>
      <c r="BT31" s="220">
        <f>2.5%+0.5%</f>
        <v>3.0000000000000002E-2</v>
      </c>
      <c r="BU31" s="220">
        <f>2.5%+0.5%</f>
        <v>3.0000000000000002E-2</v>
      </c>
      <c r="BV31" s="220">
        <f>2.5%+0.5%</f>
        <v>3.0000000000000002E-2</v>
      </c>
      <c r="BW31" s="220">
        <f>2.5%+0.5%</f>
        <v>3.0000000000000002E-2</v>
      </c>
      <c r="BX31" s="107"/>
      <c r="BY31" s="220"/>
      <c r="BZ31" s="220">
        <f>2.5%+0.5%</f>
        <v>3.0000000000000002E-2</v>
      </c>
      <c r="CA31" s="220">
        <f>2.5%+0.5%</f>
        <v>3.0000000000000002E-2</v>
      </c>
      <c r="CB31" s="220">
        <f>2.5%+0.5%</f>
        <v>3.0000000000000002E-2</v>
      </c>
      <c r="CC31" s="107"/>
      <c r="CD31" s="220">
        <f>2.5%+0.5%</f>
        <v>3.0000000000000002E-2</v>
      </c>
      <c r="CE31" s="220">
        <f>2.5%+0.5%</f>
        <v>3.0000000000000002E-2</v>
      </c>
      <c r="CF31" s="220">
        <f>2.5%+0.5%</f>
        <v>3.0000000000000002E-2</v>
      </c>
      <c r="CG31" s="220">
        <f>2.5%+0.5%</f>
        <v>3.0000000000000002E-2</v>
      </c>
      <c r="CH31" s="107"/>
      <c r="CI31" s="220">
        <f>2.5%+0.5%</f>
        <v>3.0000000000000002E-2</v>
      </c>
      <c r="CJ31" s="220">
        <f>2.5%+0.5%</f>
        <v>3.0000000000000002E-2</v>
      </c>
      <c r="CK31" s="220">
        <f>2.5%+0.5%</f>
        <v>3.0000000000000002E-2</v>
      </c>
      <c r="CL31" s="220">
        <f>2.5%+0.5%</f>
        <v>3.0000000000000002E-2</v>
      </c>
      <c r="CM31" s="107"/>
      <c r="CN31" s="220">
        <f>2.5%+0.5%</f>
        <v>3.0000000000000002E-2</v>
      </c>
      <c r="CO31" s="220">
        <f>2.5%+0.5%</f>
        <v>3.0000000000000002E-2</v>
      </c>
      <c r="CP31" s="220">
        <f>2.5%+0.5%</f>
        <v>3.0000000000000002E-2</v>
      </c>
      <c r="CQ31" s="220">
        <f>2.5%+0.5%</f>
        <v>3.0000000000000002E-2</v>
      </c>
      <c r="CR31" s="107"/>
      <c r="CS31" s="220">
        <f>2.5%+0.5%</f>
        <v>3.0000000000000002E-2</v>
      </c>
      <c r="CT31" s="220">
        <f>2.5%+0.5%</f>
        <v>3.0000000000000002E-2</v>
      </c>
      <c r="CU31" s="220">
        <f>2.5%+0.5%</f>
        <v>3.0000000000000002E-2</v>
      </c>
      <c r="CV31" s="220">
        <f>2.5%+0.5%</f>
        <v>3.0000000000000002E-2</v>
      </c>
      <c r="CW31" s="107"/>
      <c r="CX31" s="220">
        <f>2.5%+0.5%</f>
        <v>3.0000000000000002E-2</v>
      </c>
      <c r="CY31" s="220">
        <f>2.5%+0.5%</f>
        <v>3.0000000000000002E-2</v>
      </c>
      <c r="CZ31" s="220">
        <f>2.5%+0.5%</f>
        <v>3.0000000000000002E-2</v>
      </c>
      <c r="DA31" s="220">
        <f>2.5%+0.5%</f>
        <v>3.0000000000000002E-2</v>
      </c>
      <c r="DB31" s="107"/>
      <c r="DC31" s="5"/>
      <c r="DD31" s="5"/>
      <c r="DE31" s="171"/>
      <c r="DF31" s="171"/>
      <c r="DG31" s="171"/>
      <c r="DH31" s="171"/>
      <c r="DI31" s="171"/>
      <c r="DJ31" s="171"/>
    </row>
    <row r="32" spans="1:114">
      <c r="A32" s="171"/>
      <c r="B32" s="690" t="s">
        <v>361</v>
      </c>
      <c r="C32" s="38"/>
      <c r="D32" s="201"/>
      <c r="E32" s="201"/>
      <c r="F32" s="201"/>
      <c r="G32" s="166"/>
      <c r="H32" s="166"/>
      <c r="I32" s="166"/>
      <c r="J32" s="166"/>
      <c r="K32" s="201"/>
      <c r="L32" s="166"/>
      <c r="M32" s="166"/>
      <c r="N32" s="166"/>
      <c r="O32" s="166"/>
      <c r="P32" s="201"/>
      <c r="Q32" s="166"/>
      <c r="R32" s="166"/>
      <c r="S32" s="166"/>
      <c r="T32" s="166"/>
      <c r="U32" s="201"/>
      <c r="V32" s="166"/>
      <c r="W32" s="166"/>
      <c r="X32" s="166"/>
      <c r="Y32" s="166"/>
      <c r="Z32" s="201"/>
      <c r="AA32" s="166"/>
      <c r="AB32" s="166"/>
      <c r="AC32" s="166"/>
      <c r="AD32" s="166"/>
      <c r="AE32" s="201"/>
      <c r="AF32" s="166"/>
      <c r="AG32" s="166"/>
      <c r="AH32" s="166"/>
      <c r="AI32" s="166"/>
      <c r="AJ32" s="201"/>
      <c r="AK32" s="166"/>
      <c r="AL32" s="166"/>
      <c r="AM32" s="166"/>
      <c r="AN32" s="166"/>
      <c r="AO32" s="201"/>
      <c r="AP32" s="166"/>
      <c r="AQ32" s="166"/>
      <c r="AR32" s="166"/>
      <c r="AS32" s="166"/>
      <c r="AT32" s="221"/>
      <c r="AU32" s="222">
        <v>600</v>
      </c>
      <c r="AV32" s="222">
        <v>600</v>
      </c>
      <c r="AW32" s="222">
        <v>600</v>
      </c>
      <c r="AX32" s="222">
        <v>600</v>
      </c>
      <c r="AY32" s="234">
        <v>600</v>
      </c>
      <c r="AZ32" s="222">
        <v>600</v>
      </c>
      <c r="BA32" s="222">
        <v>600</v>
      </c>
      <c r="BB32" s="222">
        <v>600</v>
      </c>
      <c r="BC32" s="222">
        <v>1000</v>
      </c>
      <c r="BD32" s="234">
        <v>1000</v>
      </c>
      <c r="BE32" s="222">
        <v>1000</v>
      </c>
      <c r="BF32" s="222">
        <v>1000</v>
      </c>
      <c r="BG32" s="222">
        <v>1000</v>
      </c>
      <c r="BH32" s="222">
        <v>1000</v>
      </c>
      <c r="BI32" s="234">
        <v>1000</v>
      </c>
      <c r="BJ32" s="222">
        <v>1000</v>
      </c>
      <c r="BK32" s="222">
        <v>1000</v>
      </c>
      <c r="BL32" s="222">
        <v>1000</v>
      </c>
      <c r="BM32" s="222">
        <f>BL32</f>
        <v>1000</v>
      </c>
      <c r="BN32" s="221">
        <f>BM32</f>
        <v>1000</v>
      </c>
      <c r="BO32" s="222">
        <v>800</v>
      </c>
      <c r="BP32" s="222">
        <f>BO32</f>
        <v>800</v>
      </c>
      <c r="BQ32" s="222">
        <f>BP32</f>
        <v>800</v>
      </c>
      <c r="BR32" s="222">
        <f>BQ32</f>
        <v>800</v>
      </c>
      <c r="BS32" s="221">
        <f>BR32</f>
        <v>800</v>
      </c>
      <c r="BT32" s="222">
        <v>800</v>
      </c>
      <c r="BU32" s="222">
        <f>BT32</f>
        <v>800</v>
      </c>
      <c r="BV32" s="222">
        <f>BU32</f>
        <v>800</v>
      </c>
      <c r="BW32" s="222">
        <f>BV32</f>
        <v>800</v>
      </c>
      <c r="BX32" s="221">
        <f>BW32</f>
        <v>800</v>
      </c>
      <c r="BY32" s="222">
        <v>800</v>
      </c>
      <c r="BZ32" s="222">
        <f>BY32</f>
        <v>800</v>
      </c>
      <c r="CA32" s="222">
        <f>BZ32</f>
        <v>800</v>
      </c>
      <c r="CB32" s="222">
        <f>CA32</f>
        <v>800</v>
      </c>
      <c r="CC32" s="221">
        <f>CB32</f>
        <v>800</v>
      </c>
      <c r="CD32" s="222">
        <v>800</v>
      </c>
      <c r="CE32" s="222">
        <f>CD32</f>
        <v>800</v>
      </c>
      <c r="CF32" s="222">
        <f>CE32</f>
        <v>800</v>
      </c>
      <c r="CG32" s="222">
        <f>CF32</f>
        <v>800</v>
      </c>
      <c r="CH32" s="221">
        <f>CG32</f>
        <v>800</v>
      </c>
      <c r="CI32" s="222">
        <v>800</v>
      </c>
      <c r="CJ32" s="222">
        <f>CI32</f>
        <v>800</v>
      </c>
      <c r="CK32" s="222">
        <f>CJ32</f>
        <v>800</v>
      </c>
      <c r="CL32" s="222">
        <f>CK32</f>
        <v>800</v>
      </c>
      <c r="CM32" s="221">
        <f>CL32</f>
        <v>800</v>
      </c>
      <c r="CN32" s="222">
        <v>800</v>
      </c>
      <c r="CO32" s="222">
        <f>CN32</f>
        <v>800</v>
      </c>
      <c r="CP32" s="222">
        <f>CO32</f>
        <v>800</v>
      </c>
      <c r="CQ32" s="222">
        <f>CP32</f>
        <v>800</v>
      </c>
      <c r="CR32" s="221">
        <f>CQ32</f>
        <v>800</v>
      </c>
      <c r="CS32" s="222">
        <v>800</v>
      </c>
      <c r="CT32" s="222">
        <f>CS32</f>
        <v>800</v>
      </c>
      <c r="CU32" s="222">
        <f>CT32</f>
        <v>800</v>
      </c>
      <c r="CV32" s="222">
        <f>CU32</f>
        <v>800</v>
      </c>
      <c r="CW32" s="221">
        <f>CV32</f>
        <v>800</v>
      </c>
      <c r="CX32" s="222">
        <v>800</v>
      </c>
      <c r="CY32" s="222">
        <f>CX32</f>
        <v>800</v>
      </c>
      <c r="CZ32" s="222">
        <f>CY32</f>
        <v>800</v>
      </c>
      <c r="DA32" s="222">
        <f>CZ32</f>
        <v>800</v>
      </c>
      <c r="DB32" s="221">
        <f>DA32</f>
        <v>800</v>
      </c>
      <c r="DC32" s="5"/>
      <c r="DD32" s="5"/>
      <c r="DE32" s="171"/>
      <c r="DF32" s="171"/>
      <c r="DG32" s="171"/>
      <c r="DH32" s="171"/>
      <c r="DI32" s="171"/>
      <c r="DJ32" s="171"/>
    </row>
    <row r="33" spans="1:114">
      <c r="A33" s="171"/>
      <c r="B33" s="693" t="s">
        <v>518</v>
      </c>
      <c r="C33" s="38"/>
      <c r="D33" s="201"/>
      <c r="E33" s="201"/>
      <c r="F33" s="201"/>
      <c r="G33" s="166"/>
      <c r="H33" s="166"/>
      <c r="I33" s="166"/>
      <c r="J33" s="166"/>
      <c r="K33" s="201"/>
      <c r="L33" s="166"/>
      <c r="M33" s="166"/>
      <c r="N33" s="166"/>
      <c r="O33" s="166"/>
      <c r="P33" s="201"/>
      <c r="Q33" s="166"/>
      <c r="R33" s="166"/>
      <c r="S33" s="166"/>
      <c r="T33" s="166"/>
      <c r="U33" s="201"/>
      <c r="V33" s="166"/>
      <c r="W33" s="166"/>
      <c r="X33" s="166"/>
      <c r="Y33" s="166"/>
      <c r="Z33" s="201"/>
      <c r="AA33" s="166"/>
      <c r="AB33" s="166"/>
      <c r="AC33" s="166"/>
      <c r="AD33" s="166"/>
      <c r="AE33" s="201"/>
      <c r="AF33" s="166"/>
      <c r="AG33" s="166"/>
      <c r="AH33" s="166"/>
      <c r="AI33" s="166"/>
      <c r="AJ33" s="201"/>
      <c r="AK33" s="166"/>
      <c r="AL33" s="166"/>
      <c r="AM33" s="166"/>
      <c r="AN33" s="166"/>
      <c r="AO33" s="201"/>
      <c r="AP33" s="166"/>
      <c r="AQ33" s="166"/>
      <c r="AR33" s="166"/>
      <c r="AS33" s="166"/>
      <c r="AT33" s="221"/>
      <c r="AU33" s="192"/>
      <c r="AV33" s="193"/>
      <c r="AW33" s="193"/>
      <c r="AX33" s="193"/>
      <c r="AY33" s="194">
        <f>AT36</f>
        <v>0</v>
      </c>
      <c r="AZ33" s="192"/>
      <c r="BA33" s="193"/>
      <c r="BB33" s="193"/>
      <c r="BC33" s="193"/>
      <c r="BD33" s="194">
        <f>AY36</f>
        <v>0</v>
      </c>
      <c r="BE33" s="192"/>
      <c r="BF33" s="193"/>
      <c r="BG33" s="193"/>
      <c r="BH33" s="193"/>
      <c r="BI33" s="194">
        <f>BD36</f>
        <v>0</v>
      </c>
      <c r="BJ33" s="193">
        <f>BI36</f>
        <v>30</v>
      </c>
      <c r="BK33" s="193">
        <f>BJ36</f>
        <v>0</v>
      </c>
      <c r="BL33" s="193">
        <f>BK36</f>
        <v>5</v>
      </c>
      <c r="BM33" s="193">
        <f>BL36</f>
        <v>0</v>
      </c>
      <c r="BN33" s="194">
        <f>BI36</f>
        <v>30</v>
      </c>
      <c r="BO33" s="193">
        <f>BM36</f>
        <v>0</v>
      </c>
      <c r="BP33" s="193">
        <f>BO36</f>
        <v>0</v>
      </c>
      <c r="BQ33" s="193">
        <f>BP36</f>
        <v>0</v>
      </c>
      <c r="BR33" s="193">
        <f>BQ36</f>
        <v>87</v>
      </c>
      <c r="BS33" s="194">
        <f>BN36</f>
        <v>0</v>
      </c>
      <c r="BT33" s="193">
        <f>BR36</f>
        <v>0</v>
      </c>
      <c r="BU33" s="193">
        <f>BT36</f>
        <v>0</v>
      </c>
      <c r="BV33" s="193">
        <f>BU36</f>
        <v>0</v>
      </c>
      <c r="BW33" s="193">
        <f>BV36</f>
        <v>0</v>
      </c>
      <c r="BX33" s="194">
        <f>BS36</f>
        <v>0</v>
      </c>
      <c r="BY33" s="193">
        <f>BW36</f>
        <v>0</v>
      </c>
      <c r="BZ33" s="193">
        <f>BY36</f>
        <v>62</v>
      </c>
      <c r="CA33" s="193">
        <f>BZ36</f>
        <v>0</v>
      </c>
      <c r="CB33" s="193">
        <f>CA36</f>
        <v>0</v>
      </c>
      <c r="CC33" s="194">
        <f>BX36</f>
        <v>0</v>
      </c>
      <c r="CD33" s="193">
        <f>CB36</f>
        <v>159</v>
      </c>
      <c r="CE33" s="193">
        <f>CD36</f>
        <v>323</v>
      </c>
      <c r="CF33" s="193">
        <f>CE36</f>
        <v>-10</v>
      </c>
      <c r="CG33" s="193">
        <f>CF36</f>
        <v>-10</v>
      </c>
      <c r="CH33" s="194">
        <f>CC36</f>
        <v>159</v>
      </c>
      <c r="CI33" s="193">
        <f>CG36</f>
        <v>-10</v>
      </c>
      <c r="CJ33" s="193">
        <f>CI36</f>
        <v>0</v>
      </c>
      <c r="CK33" s="193">
        <f>CJ36</f>
        <v>0</v>
      </c>
      <c r="CL33" s="193">
        <f>CK36</f>
        <v>0</v>
      </c>
      <c r="CM33" s="194">
        <f>CH36</f>
        <v>-10</v>
      </c>
      <c r="CN33" s="193">
        <f>CL36</f>
        <v>0</v>
      </c>
      <c r="CO33" s="193">
        <f>CN36</f>
        <v>0</v>
      </c>
      <c r="CP33" s="193">
        <f>CO36</f>
        <v>0</v>
      </c>
      <c r="CQ33" s="193">
        <f>CP36</f>
        <v>0</v>
      </c>
      <c r="CR33" s="194">
        <f>CM36</f>
        <v>0</v>
      </c>
      <c r="CS33" s="193">
        <f>CQ36</f>
        <v>0</v>
      </c>
      <c r="CT33" s="193">
        <f>CS36</f>
        <v>0</v>
      </c>
      <c r="CU33" s="193">
        <f>CT36</f>
        <v>0</v>
      </c>
      <c r="CV33" s="193">
        <f>CU36</f>
        <v>0</v>
      </c>
      <c r="CW33" s="194">
        <f>CR36</f>
        <v>0</v>
      </c>
      <c r="CX33" s="193">
        <f>CV36</f>
        <v>0</v>
      </c>
      <c r="CY33" s="193">
        <f>CX36</f>
        <v>0</v>
      </c>
      <c r="CZ33" s="193">
        <f>CY36</f>
        <v>0</v>
      </c>
      <c r="DA33" s="193">
        <f>CZ36</f>
        <v>0</v>
      </c>
      <c r="DB33" s="194">
        <f>CW36</f>
        <v>0</v>
      </c>
      <c r="DC33" s="5"/>
      <c r="DD33" s="5"/>
      <c r="DE33" s="171"/>
      <c r="DF33" s="171"/>
      <c r="DG33" s="171"/>
      <c r="DH33" s="171"/>
      <c r="DI33" s="171"/>
      <c r="DJ33" s="171"/>
    </row>
    <row r="34" spans="1:114">
      <c r="A34" s="171"/>
      <c r="B34" s="693" t="s">
        <v>654</v>
      </c>
      <c r="C34" s="38"/>
      <c r="D34" s="201"/>
      <c r="E34" s="201"/>
      <c r="F34" s="201"/>
      <c r="G34" s="166"/>
      <c r="H34" s="166"/>
      <c r="I34" s="166"/>
      <c r="J34" s="166"/>
      <c r="K34" s="201"/>
      <c r="L34" s="166"/>
      <c r="M34" s="166"/>
      <c r="N34" s="166"/>
      <c r="O34" s="166"/>
      <c r="P34" s="201"/>
      <c r="Q34" s="166"/>
      <c r="R34" s="166"/>
      <c r="S34" s="166"/>
      <c r="T34" s="166"/>
      <c r="U34" s="201"/>
      <c r="V34" s="166"/>
      <c r="W34" s="166"/>
      <c r="X34" s="166"/>
      <c r="Y34" s="166"/>
      <c r="Z34" s="201"/>
      <c r="AA34" s="166"/>
      <c r="AB34" s="166"/>
      <c r="AC34" s="166"/>
      <c r="AD34" s="166"/>
      <c r="AE34" s="201"/>
      <c r="AF34" s="166"/>
      <c r="AG34" s="166"/>
      <c r="AH34" s="166"/>
      <c r="AI34" s="166"/>
      <c r="AJ34" s="201"/>
      <c r="AK34" s="166"/>
      <c r="AL34" s="166"/>
      <c r="AM34" s="166"/>
      <c r="AN34" s="166"/>
      <c r="AO34" s="201"/>
      <c r="AP34" s="166"/>
      <c r="AQ34" s="166"/>
      <c r="AR34" s="166"/>
      <c r="AS34" s="166"/>
      <c r="AT34" s="221"/>
      <c r="AU34" s="198"/>
      <c r="AV34" s="198"/>
      <c r="AW34" s="198"/>
      <c r="AX34" s="193"/>
      <c r="AY34" s="272">
        <v>0</v>
      </c>
      <c r="AZ34" s="198"/>
      <c r="BA34" s="198"/>
      <c r="BB34" s="198"/>
      <c r="BC34" s="198"/>
      <c r="BD34" s="272">
        <v>0</v>
      </c>
      <c r="BE34" s="198"/>
      <c r="BF34" s="198"/>
      <c r="BG34" s="198"/>
      <c r="BH34" s="198"/>
      <c r="BI34" s="194">
        <f>BI36-BI33</f>
        <v>30</v>
      </c>
      <c r="BJ34" s="193">
        <f>BJ36-BJ33</f>
        <v>-30</v>
      </c>
      <c r="BK34" s="193">
        <f>BK36-BK33</f>
        <v>5</v>
      </c>
      <c r="BL34" s="193">
        <f>BL36-BL33</f>
        <v>-5</v>
      </c>
      <c r="BM34" s="193">
        <v>0</v>
      </c>
      <c r="BN34" s="194">
        <f>SUM(BJ34:BM34)</f>
        <v>-30</v>
      </c>
      <c r="BO34" s="193">
        <v>0</v>
      </c>
      <c r="BP34" s="193">
        <v>0</v>
      </c>
      <c r="BQ34" s="193">
        <v>0</v>
      </c>
      <c r="BR34" s="193">
        <f>BR36-BR33</f>
        <v>-87</v>
      </c>
      <c r="BS34" s="194">
        <f>SUM(BO34:BR34)</f>
        <v>-87</v>
      </c>
      <c r="BT34" s="193">
        <f>-BT33</f>
        <v>0</v>
      </c>
      <c r="BU34" s="193">
        <v>0</v>
      </c>
      <c r="BV34" s="193">
        <v>0</v>
      </c>
      <c r="BW34" s="193">
        <v>0</v>
      </c>
      <c r="BX34" s="194">
        <f>SUM(BT34:BW34)</f>
        <v>0</v>
      </c>
      <c r="BY34" s="193">
        <f>BY36-BY33</f>
        <v>62</v>
      </c>
      <c r="BZ34" s="193">
        <v>0</v>
      </c>
      <c r="CA34" s="193">
        <f>CA36-CA33</f>
        <v>0</v>
      </c>
      <c r="CB34" s="193">
        <f>CB36-CB33</f>
        <v>159</v>
      </c>
      <c r="CC34" s="194">
        <f>SUM(BY34:CB34)</f>
        <v>221</v>
      </c>
      <c r="CD34" s="193">
        <f>CD36-CD33</f>
        <v>164</v>
      </c>
      <c r="CE34" s="193">
        <v>0</v>
      </c>
      <c r="CF34" s="193">
        <v>0</v>
      </c>
      <c r="CG34" s="193">
        <v>0</v>
      </c>
      <c r="CH34" s="194">
        <f>CC37</f>
        <v>641</v>
      </c>
      <c r="CI34" s="193">
        <f>+CI36-CI33</f>
        <v>10</v>
      </c>
      <c r="CJ34" s="193">
        <v>0</v>
      </c>
      <c r="CK34" s="193">
        <v>0</v>
      </c>
      <c r="CL34" s="193">
        <v>0</v>
      </c>
      <c r="CM34" s="194">
        <f>SUM(CI34:CL34)</f>
        <v>10</v>
      </c>
      <c r="CN34" s="193">
        <v>0</v>
      </c>
      <c r="CO34" s="193">
        <v>0</v>
      </c>
      <c r="CP34" s="193">
        <v>0</v>
      </c>
      <c r="CQ34" s="193">
        <v>0</v>
      </c>
      <c r="CR34" s="194">
        <f>SUM(CN34:CQ34)</f>
        <v>0</v>
      </c>
      <c r="CS34" s="193">
        <v>0</v>
      </c>
      <c r="CT34" s="193">
        <v>0</v>
      </c>
      <c r="CU34" s="193">
        <v>0</v>
      </c>
      <c r="CV34" s="193">
        <v>0</v>
      </c>
      <c r="CW34" s="194">
        <f>SUM(CS34:CV34)</f>
        <v>0</v>
      </c>
      <c r="CX34" s="193">
        <v>0</v>
      </c>
      <c r="CY34" s="193">
        <v>0</v>
      </c>
      <c r="CZ34" s="193">
        <v>0</v>
      </c>
      <c r="DA34" s="193">
        <v>0</v>
      </c>
      <c r="DB34" s="194">
        <f>SUM(CX34:DA34)</f>
        <v>0</v>
      </c>
      <c r="DC34" s="5"/>
      <c r="DD34" s="5"/>
      <c r="DE34" s="171"/>
      <c r="DF34" s="171"/>
      <c r="DG34" s="171"/>
      <c r="DH34" s="171"/>
      <c r="DI34" s="171"/>
      <c r="DJ34" s="171"/>
    </row>
    <row r="35" spans="1:114">
      <c r="A35" s="171"/>
      <c r="B35" s="691" t="s">
        <v>653</v>
      </c>
      <c r="C35" s="33"/>
      <c r="D35" s="206"/>
      <c r="E35" s="206"/>
      <c r="F35" s="206"/>
      <c r="G35" s="214"/>
      <c r="H35" s="214"/>
      <c r="I35" s="214"/>
      <c r="J35" s="214"/>
      <c r="K35" s="206"/>
      <c r="L35" s="214"/>
      <c r="M35" s="214"/>
      <c r="N35" s="214"/>
      <c r="O35" s="214"/>
      <c r="P35" s="206"/>
      <c r="Q35" s="214"/>
      <c r="R35" s="214"/>
      <c r="S35" s="214"/>
      <c r="T35" s="214"/>
      <c r="U35" s="206"/>
      <c r="V35" s="214"/>
      <c r="W35" s="214"/>
      <c r="X35" s="214"/>
      <c r="Y35" s="214"/>
      <c r="Z35" s="206"/>
      <c r="AA35" s="214"/>
      <c r="AB35" s="214"/>
      <c r="AC35" s="214"/>
      <c r="AD35" s="214"/>
      <c r="AE35" s="206"/>
      <c r="AF35" s="214"/>
      <c r="AG35" s="214"/>
      <c r="AH35" s="214"/>
      <c r="AI35" s="214"/>
      <c r="AJ35" s="206"/>
      <c r="AK35" s="214"/>
      <c r="AL35" s="214"/>
      <c r="AM35" s="214"/>
      <c r="AN35" s="214"/>
      <c r="AO35" s="206"/>
      <c r="AP35" s="214"/>
      <c r="AQ35" s="214"/>
      <c r="AR35" s="214"/>
      <c r="AS35" s="214"/>
      <c r="AT35" s="225"/>
      <c r="AU35" s="195"/>
      <c r="AV35" s="195"/>
      <c r="AW35" s="195"/>
      <c r="AX35" s="196"/>
      <c r="AY35" s="271"/>
      <c r="AZ35" s="195"/>
      <c r="BA35" s="195"/>
      <c r="BB35" s="195"/>
      <c r="BC35" s="195"/>
      <c r="BD35" s="271"/>
      <c r="BE35" s="195"/>
      <c r="BF35" s="195"/>
      <c r="BG35" s="195"/>
      <c r="BH35" s="195"/>
      <c r="BI35" s="197"/>
      <c r="BJ35" s="196"/>
      <c r="BK35" s="196"/>
      <c r="BL35" s="196"/>
      <c r="BM35" s="196"/>
      <c r="BN35" s="197"/>
      <c r="BO35" s="196"/>
      <c r="BP35" s="196"/>
      <c r="BQ35" s="196"/>
      <c r="BR35" s="196"/>
      <c r="BS35" s="197"/>
      <c r="BT35" s="196"/>
      <c r="BU35" s="196"/>
      <c r="BV35" s="196"/>
      <c r="BW35" s="196"/>
      <c r="BX35" s="197"/>
      <c r="BY35" s="196"/>
      <c r="BZ35" s="196">
        <f>BZ36-BZ33</f>
        <v>-62</v>
      </c>
      <c r="CA35" s="196"/>
      <c r="CB35" s="196"/>
      <c r="CC35" s="197">
        <f>SUM(BY35:CB35)</f>
        <v>-62</v>
      </c>
      <c r="CD35" s="196"/>
      <c r="CE35" s="196">
        <f>CE36-CE33</f>
        <v>-333</v>
      </c>
      <c r="CF35" s="196"/>
      <c r="CG35" s="196"/>
      <c r="CH35" s="194">
        <f>SUM(CD35:CG35)</f>
        <v>-333</v>
      </c>
      <c r="CI35" s="1179">
        <v>0</v>
      </c>
      <c r="CJ35" s="196">
        <v>0</v>
      </c>
      <c r="CK35" s="196">
        <v>0</v>
      </c>
      <c r="CL35" s="1180">
        <v>0</v>
      </c>
      <c r="CM35" s="197">
        <f>SUM(CI35:CL35)</f>
        <v>0</v>
      </c>
      <c r="CN35" s="1179">
        <v>0</v>
      </c>
      <c r="CO35" s="196">
        <v>0</v>
      </c>
      <c r="CP35" s="196">
        <v>0</v>
      </c>
      <c r="CQ35" s="1180">
        <v>0</v>
      </c>
      <c r="CR35" s="197">
        <f>SUM(CN35:CQ35)</f>
        <v>0</v>
      </c>
      <c r="CS35" s="1179">
        <v>0</v>
      </c>
      <c r="CT35" s="196">
        <v>0</v>
      </c>
      <c r="CU35" s="196">
        <v>0</v>
      </c>
      <c r="CV35" s="1180">
        <v>0</v>
      </c>
      <c r="CW35" s="197">
        <f>SUM(CS35:CV35)</f>
        <v>0</v>
      </c>
      <c r="CX35" s="1179">
        <v>0</v>
      </c>
      <c r="CY35" s="196">
        <v>0</v>
      </c>
      <c r="CZ35" s="196">
        <v>0</v>
      </c>
      <c r="DA35" s="1180">
        <v>0</v>
      </c>
      <c r="DB35" s="197">
        <f>SUM(CX35:DA35)</f>
        <v>0</v>
      </c>
      <c r="DC35" s="5"/>
      <c r="DD35" s="5"/>
      <c r="DE35" s="171"/>
      <c r="DF35" s="171"/>
      <c r="DG35" s="171"/>
      <c r="DH35" s="171"/>
      <c r="DI35" s="171"/>
      <c r="DJ35" s="171"/>
    </row>
    <row r="36" spans="1:114">
      <c r="A36" s="171"/>
      <c r="B36" s="693" t="s">
        <v>519</v>
      </c>
      <c r="C36" s="38"/>
      <c r="D36" s="201"/>
      <c r="E36" s="201"/>
      <c r="F36" s="201"/>
      <c r="G36" s="166"/>
      <c r="H36" s="166"/>
      <c r="I36" s="166"/>
      <c r="J36" s="166"/>
      <c r="K36" s="201"/>
      <c r="L36" s="166"/>
      <c r="M36" s="166"/>
      <c r="N36" s="166"/>
      <c r="O36" s="166"/>
      <c r="P36" s="201"/>
      <c r="Q36" s="166"/>
      <c r="R36" s="166"/>
      <c r="S36" s="166"/>
      <c r="T36" s="166"/>
      <c r="U36" s="201"/>
      <c r="V36" s="166"/>
      <c r="W36" s="166"/>
      <c r="X36" s="166"/>
      <c r="Y36" s="166"/>
      <c r="Z36" s="201"/>
      <c r="AA36" s="166"/>
      <c r="AB36" s="166"/>
      <c r="AC36" s="166"/>
      <c r="AD36" s="166"/>
      <c r="AE36" s="201"/>
      <c r="AF36" s="166"/>
      <c r="AG36" s="166"/>
      <c r="AH36" s="166"/>
      <c r="AI36" s="166"/>
      <c r="AJ36" s="201"/>
      <c r="AK36" s="166"/>
      <c r="AL36" s="166"/>
      <c r="AM36" s="166"/>
      <c r="AN36" s="166"/>
      <c r="AO36" s="201"/>
      <c r="AP36" s="166"/>
      <c r="AQ36" s="166"/>
      <c r="AR36" s="166"/>
      <c r="AS36" s="166"/>
      <c r="AT36" s="234">
        <v>0</v>
      </c>
      <c r="AU36" s="192"/>
      <c r="AV36" s="192"/>
      <c r="AW36" s="192"/>
      <c r="AX36" s="192"/>
      <c r="AY36" s="194">
        <f>AY33+AY34</f>
        <v>0</v>
      </c>
      <c r="AZ36" s="192"/>
      <c r="BA36" s="192"/>
      <c r="BB36" s="192"/>
      <c r="BC36" s="192"/>
      <c r="BD36" s="194">
        <f>BD33+BD34</f>
        <v>0</v>
      </c>
      <c r="BE36" s="192"/>
      <c r="BF36" s="192"/>
      <c r="BG36" s="192"/>
      <c r="BH36" s="192"/>
      <c r="BI36" s="272">
        <v>30</v>
      </c>
      <c r="BJ36" s="198">
        <v>0</v>
      </c>
      <c r="BK36" s="198">
        <v>5</v>
      </c>
      <c r="BL36" s="193">
        <v>0</v>
      </c>
      <c r="BM36" s="193">
        <f>SUM(BM33:BM34)</f>
        <v>0</v>
      </c>
      <c r="BN36" s="194">
        <f>BM36</f>
        <v>0</v>
      </c>
      <c r="BO36" s="193">
        <f>SUM(BO33:BO34)</f>
        <v>0</v>
      </c>
      <c r="BP36" s="193">
        <f>SUM(BP33:BP34)</f>
        <v>0</v>
      </c>
      <c r="BQ36" s="550">
        <v>87</v>
      </c>
      <c r="BR36" s="193">
        <v>0</v>
      </c>
      <c r="BS36" s="194">
        <f>BR36</f>
        <v>0</v>
      </c>
      <c r="BT36" s="193">
        <v>0</v>
      </c>
      <c r="BU36" s="193">
        <f>SUM(BU33:BU34)</f>
        <v>0</v>
      </c>
      <c r="BV36" s="193">
        <f>SUM(BV33:BV34)</f>
        <v>0</v>
      </c>
      <c r="BW36" s="193">
        <f>SUM(BW33:BW34)</f>
        <v>0</v>
      </c>
      <c r="BX36" s="194">
        <f>BW36</f>
        <v>0</v>
      </c>
      <c r="BY36" s="193">
        <v>62</v>
      </c>
      <c r="BZ36" s="583">
        <v>0</v>
      </c>
      <c r="CA36" s="583">
        <v>0</v>
      </c>
      <c r="CB36" s="583">
        <v>159</v>
      </c>
      <c r="CC36" s="194">
        <f>CB36</f>
        <v>159</v>
      </c>
      <c r="CD36" s="583">
        <v>323</v>
      </c>
      <c r="CE36" s="583">
        <v>-10</v>
      </c>
      <c r="CF36" s="193">
        <f>SUM(CF33:CF34)</f>
        <v>-10</v>
      </c>
      <c r="CG36" s="583">
        <v>-10</v>
      </c>
      <c r="CH36" s="199">
        <f>CG36</f>
        <v>-10</v>
      </c>
      <c r="CI36" s="583">
        <v>0</v>
      </c>
      <c r="CJ36" s="193">
        <f>SUM(CJ33:CJ35)</f>
        <v>0</v>
      </c>
      <c r="CK36" s="193">
        <f>SUM(CK33:CK35)</f>
        <v>0</v>
      </c>
      <c r="CL36" s="193">
        <f>SUM(CL33:CL35)</f>
        <v>0</v>
      </c>
      <c r="CM36" s="194">
        <f>CL36</f>
        <v>0</v>
      </c>
      <c r="CN36" s="193">
        <f>SUM(CN33:CN35)</f>
        <v>0</v>
      </c>
      <c r="CO36" s="193">
        <f>SUM(CO33:CO35)</f>
        <v>0</v>
      </c>
      <c r="CP36" s="193">
        <f>SUM(CP33:CP35)</f>
        <v>0</v>
      </c>
      <c r="CQ36" s="193">
        <f>SUM(CQ33:CQ35)</f>
        <v>0</v>
      </c>
      <c r="CR36" s="194">
        <f>CQ36</f>
        <v>0</v>
      </c>
      <c r="CS36" s="193">
        <f>SUM(CS33:CS35)</f>
        <v>0</v>
      </c>
      <c r="CT36" s="193">
        <f>SUM(CT33:CT35)</f>
        <v>0</v>
      </c>
      <c r="CU36" s="193">
        <f>SUM(CU33:CU35)</f>
        <v>0</v>
      </c>
      <c r="CV36" s="193">
        <f>SUM(CV33:CV35)</f>
        <v>0</v>
      </c>
      <c r="CW36" s="194">
        <f>CV36</f>
        <v>0</v>
      </c>
      <c r="CX36" s="193">
        <f>SUM(CX33:CX35)</f>
        <v>0</v>
      </c>
      <c r="CY36" s="193">
        <f>SUM(CY33:CY35)</f>
        <v>0</v>
      </c>
      <c r="CZ36" s="193">
        <f>SUM(CZ33:CZ35)</f>
        <v>0</v>
      </c>
      <c r="DA36" s="193">
        <f>SUM(DA33:DA35)</f>
        <v>0</v>
      </c>
      <c r="DB36" s="194">
        <f>DA36</f>
        <v>0</v>
      </c>
      <c r="DC36" s="5"/>
      <c r="DD36" s="5"/>
      <c r="DE36" s="171"/>
      <c r="DF36" s="171"/>
      <c r="DG36" s="699"/>
      <c r="DH36" s="699"/>
      <c r="DI36" s="699"/>
      <c r="DJ36" s="699"/>
    </row>
    <row r="37" spans="1:114">
      <c r="A37" s="171"/>
      <c r="B37" s="690" t="s">
        <v>362</v>
      </c>
      <c r="C37" s="38"/>
      <c r="D37" s="201"/>
      <c r="E37" s="201"/>
      <c r="F37" s="201"/>
      <c r="G37" s="166"/>
      <c r="H37" s="166"/>
      <c r="I37" s="166"/>
      <c r="J37" s="166"/>
      <c r="K37" s="201"/>
      <c r="L37" s="166"/>
      <c r="M37" s="166"/>
      <c r="N37" s="166"/>
      <c r="O37" s="166"/>
      <c r="P37" s="201"/>
      <c r="Q37" s="166"/>
      <c r="R37" s="166"/>
      <c r="S37" s="166"/>
      <c r="T37" s="166"/>
      <c r="U37" s="201"/>
      <c r="V37" s="166"/>
      <c r="W37" s="166"/>
      <c r="X37" s="166"/>
      <c r="Y37" s="166"/>
      <c r="Z37" s="201"/>
      <c r="AA37" s="166"/>
      <c r="AB37" s="166"/>
      <c r="AC37" s="166"/>
      <c r="AD37" s="166"/>
      <c r="AE37" s="201"/>
      <c r="AF37" s="166"/>
      <c r="AG37" s="166"/>
      <c r="AH37" s="166"/>
      <c r="AI37" s="166"/>
      <c r="AJ37" s="201"/>
      <c r="AK37" s="166"/>
      <c r="AL37" s="166"/>
      <c r="AM37" s="166"/>
      <c r="AN37" s="166"/>
      <c r="AO37" s="201"/>
      <c r="AP37" s="166"/>
      <c r="AQ37" s="166"/>
      <c r="AR37" s="166"/>
      <c r="AS37" s="166"/>
      <c r="AT37" s="221"/>
      <c r="AU37" s="193"/>
      <c r="AV37" s="193"/>
      <c r="AW37" s="193"/>
      <c r="AX37" s="193"/>
      <c r="AY37" s="194">
        <f>AY32-AY36</f>
        <v>600</v>
      </c>
      <c r="AZ37" s="193"/>
      <c r="BA37" s="193"/>
      <c r="BB37" s="193"/>
      <c r="BC37" s="193"/>
      <c r="BD37" s="194">
        <f>BD32-BD36</f>
        <v>1000</v>
      </c>
      <c r="BE37" s="193"/>
      <c r="BF37" s="193"/>
      <c r="BG37" s="193"/>
      <c r="BH37" s="193"/>
      <c r="BI37" s="194">
        <f>BI32-BI36</f>
        <v>970</v>
      </c>
      <c r="BJ37" s="193">
        <f>BJ32-BJ36</f>
        <v>1000</v>
      </c>
      <c r="BK37" s="193">
        <f>BK32-BK36</f>
        <v>995</v>
      </c>
      <c r="BL37" s="193">
        <f>BL32-BL36</f>
        <v>1000</v>
      </c>
      <c r="BM37" s="193">
        <f>BM32-BM36</f>
        <v>1000</v>
      </c>
      <c r="BN37" s="194">
        <f>BM37</f>
        <v>1000</v>
      </c>
      <c r="BO37" s="193">
        <f>BO32-BO36</f>
        <v>800</v>
      </c>
      <c r="BP37" s="193">
        <f>BP32-BP36</f>
        <v>800</v>
      </c>
      <c r="BQ37" s="193">
        <f>BQ32-BQ36</f>
        <v>713</v>
      </c>
      <c r="BR37" s="193">
        <f>BR32-BR36</f>
        <v>800</v>
      </c>
      <c r="BS37" s="194">
        <f>BR37</f>
        <v>800</v>
      </c>
      <c r="BT37" s="193">
        <f>BT32-BT36</f>
        <v>800</v>
      </c>
      <c r="BU37" s="193">
        <f>BU32-BU36</f>
        <v>800</v>
      </c>
      <c r="BV37" s="193">
        <f>BV32-BV36</f>
        <v>800</v>
      </c>
      <c r="BW37" s="193">
        <f>BW32-BW36</f>
        <v>800</v>
      </c>
      <c r="BX37" s="194">
        <f>BW37</f>
        <v>800</v>
      </c>
      <c r="BY37" s="193">
        <f>BY32-BY36</f>
        <v>738</v>
      </c>
      <c r="BZ37" s="193">
        <f>BZ32-BZ36</f>
        <v>800</v>
      </c>
      <c r="CA37" s="193">
        <f>CA32-CA36</f>
        <v>800</v>
      </c>
      <c r="CB37" s="193">
        <f>CB32-CB36</f>
        <v>641</v>
      </c>
      <c r="CC37" s="194">
        <f>CB37</f>
        <v>641</v>
      </c>
      <c r="CD37" s="193">
        <f>CD32-CD36</f>
        <v>477</v>
      </c>
      <c r="CE37" s="193">
        <f>CE32-CE36</f>
        <v>810</v>
      </c>
      <c r="CF37" s="193">
        <f>CF32-CF36</f>
        <v>810</v>
      </c>
      <c r="CG37" s="193">
        <f>CG32-CG36</f>
        <v>810</v>
      </c>
      <c r="CH37" s="194">
        <f>CG37</f>
        <v>810</v>
      </c>
      <c r="CI37" s="193">
        <f>CI32-CI36</f>
        <v>800</v>
      </c>
      <c r="CJ37" s="193">
        <f>CJ32-CJ36</f>
        <v>800</v>
      </c>
      <c r="CK37" s="193">
        <f>CK32-CK36</f>
        <v>800</v>
      </c>
      <c r="CL37" s="193">
        <f>CL32-CL36</f>
        <v>800</v>
      </c>
      <c r="CM37" s="194">
        <f>CL37</f>
        <v>800</v>
      </c>
      <c r="CN37" s="193">
        <f>CN32-CN36</f>
        <v>800</v>
      </c>
      <c r="CO37" s="193">
        <f>CO32-CO36</f>
        <v>800</v>
      </c>
      <c r="CP37" s="193">
        <f>CP32-CP36</f>
        <v>800</v>
      </c>
      <c r="CQ37" s="193">
        <f>CQ32-CQ36</f>
        <v>800</v>
      </c>
      <c r="CR37" s="194">
        <f>CQ37</f>
        <v>800</v>
      </c>
      <c r="CS37" s="193">
        <f>CS32-CS36</f>
        <v>800</v>
      </c>
      <c r="CT37" s="193">
        <f>CT32-CT36</f>
        <v>800</v>
      </c>
      <c r="CU37" s="193">
        <f>CU32-CU36</f>
        <v>800</v>
      </c>
      <c r="CV37" s="193">
        <f>CV32-CV36</f>
        <v>800</v>
      </c>
      <c r="CW37" s="194">
        <f>CV37</f>
        <v>800</v>
      </c>
      <c r="CX37" s="193">
        <f>CX32-CX36</f>
        <v>800</v>
      </c>
      <c r="CY37" s="193">
        <f>CY32-CY36</f>
        <v>800</v>
      </c>
      <c r="CZ37" s="193">
        <f>CZ32-CZ36</f>
        <v>800</v>
      </c>
      <c r="DA37" s="193">
        <f>DA32-DA36</f>
        <v>800</v>
      </c>
      <c r="DB37" s="194">
        <f>DA37</f>
        <v>800</v>
      </c>
      <c r="DC37" s="5"/>
      <c r="DD37" s="5"/>
      <c r="DE37" s="171"/>
      <c r="DF37" s="171"/>
      <c r="DG37" s="699"/>
      <c r="DH37" s="699"/>
      <c r="DI37" s="699"/>
      <c r="DJ37" s="699"/>
    </row>
    <row r="38" spans="1:114">
      <c r="A38" s="700"/>
      <c r="B38" s="693" t="s">
        <v>520</v>
      </c>
      <c r="C38" s="38"/>
      <c r="D38" s="168"/>
      <c r="E38" s="168"/>
      <c r="F38" s="168"/>
      <c r="G38" s="158"/>
      <c r="H38" s="158"/>
      <c r="I38" s="158"/>
      <c r="J38" s="158"/>
      <c r="K38" s="168"/>
      <c r="L38" s="158"/>
      <c r="M38" s="158"/>
      <c r="N38" s="158"/>
      <c r="O38" s="158"/>
      <c r="P38" s="168"/>
      <c r="Q38" s="158"/>
      <c r="R38" s="158"/>
      <c r="S38" s="158"/>
      <c r="T38" s="158"/>
      <c r="U38" s="168"/>
      <c r="V38" s="158"/>
      <c r="W38" s="158"/>
      <c r="X38" s="158"/>
      <c r="Y38" s="158"/>
      <c r="Z38" s="168"/>
      <c r="AA38" s="158"/>
      <c r="AB38" s="158"/>
      <c r="AC38" s="158"/>
      <c r="AD38" s="158"/>
      <c r="AE38" s="168"/>
      <c r="AF38" s="158"/>
      <c r="AG38" s="158"/>
      <c r="AH38" s="158"/>
      <c r="AI38" s="158"/>
      <c r="AJ38" s="168"/>
      <c r="AK38" s="158"/>
      <c r="AL38" s="158"/>
      <c r="AM38" s="158"/>
      <c r="AN38" s="158"/>
      <c r="AO38" s="168"/>
      <c r="AP38" s="158"/>
      <c r="AQ38" s="158"/>
      <c r="AR38" s="158"/>
      <c r="AS38" s="158"/>
      <c r="AT38" s="235"/>
      <c r="AU38" s="192"/>
      <c r="AV38" s="192"/>
      <c r="AW38" s="192"/>
      <c r="AX38" s="192"/>
      <c r="AY38" s="194">
        <f>AY31*AVERAGE(AY36,AY33)</f>
        <v>0</v>
      </c>
      <c r="AZ38" s="192"/>
      <c r="BA38" s="192"/>
      <c r="BB38" s="192"/>
      <c r="BC38" s="192"/>
      <c r="BD38" s="194">
        <f>BD31*AVERAGE(BD36,BD33)</f>
        <v>0</v>
      </c>
      <c r="BE38" s="192"/>
      <c r="BF38" s="192"/>
      <c r="BG38" s="192"/>
      <c r="BH38" s="192"/>
      <c r="BI38" s="194">
        <f>BI31*AVERAGE(BI36,BI33)</f>
        <v>0.41249999999999998</v>
      </c>
      <c r="BJ38" s="192">
        <f>BJ31/4*AVERAGE(BJ36,BJ36)</f>
        <v>0</v>
      </c>
      <c r="BK38" s="192">
        <f>BK31/4*AVERAGE(BK36,BK33)</f>
        <v>1.8750000000000003E-2</v>
      </c>
      <c r="BL38" s="192">
        <f>BL31/4*AVERAGE(BL36,BL33)</f>
        <v>1.8750000000000003E-2</v>
      </c>
      <c r="BM38" s="192">
        <f>BM31/4*AVERAGE(BM36,BM33)</f>
        <v>0</v>
      </c>
      <c r="BN38" s="194">
        <f>SUM(BJ38:BM38)</f>
        <v>3.7500000000000006E-2</v>
      </c>
      <c r="BO38" s="192">
        <f>BO31/4*AVERAGE(BO36,BO33)</f>
        <v>0</v>
      </c>
      <c r="BP38" s="192">
        <f>BP31/4*AVERAGE(BP36,BP33)</f>
        <v>0</v>
      </c>
      <c r="BQ38" s="192">
        <f>BQ31/4*AVERAGE(BQ36,BQ33)</f>
        <v>0.32625000000000004</v>
      </c>
      <c r="BR38" s="192">
        <f>BR31/4*AVERAGE(BR36,BR33)</f>
        <v>0.32625000000000004</v>
      </c>
      <c r="BS38" s="194">
        <f>SUM(BO38:BR38)</f>
        <v>0.65250000000000008</v>
      </c>
      <c r="BT38" s="192">
        <f>BT31/4*AVERAGE(BT36,BT33)</f>
        <v>0</v>
      </c>
      <c r="BU38" s="192">
        <f>BU31/4*AVERAGE(BU36,BU33)</f>
        <v>0</v>
      </c>
      <c r="BV38" s="192">
        <f>BV31/4*AVERAGE(BV36,BV33)</f>
        <v>0</v>
      </c>
      <c r="BW38" s="192">
        <f>BW31/4*AVERAGE(BW36,BW33)</f>
        <v>0</v>
      </c>
      <c r="BX38" s="194">
        <f>SUM(BT38:BW38)</f>
        <v>0</v>
      </c>
      <c r="BY38" s="192">
        <f>BY31/4*AVERAGE(BY36,BY33)</f>
        <v>0</v>
      </c>
      <c r="BZ38" s="192">
        <f>BZ31/4*AVERAGE(BZ36,BZ33)</f>
        <v>0.23250000000000001</v>
      </c>
      <c r="CA38" s="192">
        <f>CA31/4*AVERAGE(CA36,CA33)</f>
        <v>0</v>
      </c>
      <c r="CB38" s="192">
        <f>CB31/4*AVERAGE(CB36,CB33)</f>
        <v>0.59625000000000006</v>
      </c>
      <c r="CC38" s="194">
        <f>SUM(BY38:CB38)</f>
        <v>0.8287500000000001</v>
      </c>
      <c r="CD38" s="192">
        <f>CD31/4*AVERAGE(CD36,CD33)</f>
        <v>1.8075000000000001</v>
      </c>
      <c r="CE38" s="192">
        <f>CE31/4*AVERAGE(CE36,CE33)</f>
        <v>1.1737500000000001</v>
      </c>
      <c r="CF38" s="192">
        <f>CF31/4*AVERAGE(CF36,CF33)</f>
        <v>-7.5000000000000011E-2</v>
      </c>
      <c r="CG38" s="192">
        <f>CG31/4*AVERAGE(CG36,CG33)</f>
        <v>-7.5000000000000011E-2</v>
      </c>
      <c r="CH38" s="194">
        <f>SUM(CD38:CG38)</f>
        <v>2.8312499999999998</v>
      </c>
      <c r="CI38" s="192">
        <f>CI31/4*AVERAGE(CI36,CI33)</f>
        <v>-3.7500000000000006E-2</v>
      </c>
      <c r="CJ38" s="192">
        <f>CJ31/4*AVERAGE(CJ36,CJ33)</f>
        <v>0</v>
      </c>
      <c r="CK38" s="192">
        <f>CK31/4*AVERAGE(CK36,CK33)</f>
        <v>0</v>
      </c>
      <c r="CL38" s="192">
        <f>CL31/4*AVERAGE(CL36,CL33)</f>
        <v>0</v>
      </c>
      <c r="CM38" s="194">
        <f>SUM(CI38:CL38)</f>
        <v>-3.7500000000000006E-2</v>
      </c>
      <c r="CN38" s="192">
        <f>CN31/4*AVERAGE(CN36,CN33)</f>
        <v>0</v>
      </c>
      <c r="CO38" s="192">
        <f>CO31/4*AVERAGE(CO36,CO33)</f>
        <v>0</v>
      </c>
      <c r="CP38" s="192">
        <f>CP31/4*AVERAGE(CP36,CP33)</f>
        <v>0</v>
      </c>
      <c r="CQ38" s="192">
        <f>CQ31/4*AVERAGE(CQ36,CQ33)</f>
        <v>0</v>
      </c>
      <c r="CR38" s="194">
        <f>SUM(CN38:CQ38)</f>
        <v>0</v>
      </c>
      <c r="CS38" s="192">
        <f>CS31/4*AVERAGE(CS36,CS33)</f>
        <v>0</v>
      </c>
      <c r="CT38" s="192">
        <f>CT31/4*AVERAGE(CT36,CT33)</f>
        <v>0</v>
      </c>
      <c r="CU38" s="192">
        <f>CU31/4*AVERAGE(CU36,CU33)</f>
        <v>0</v>
      </c>
      <c r="CV38" s="192">
        <f>CV31/4*AVERAGE(CV36,CV33)</f>
        <v>0</v>
      </c>
      <c r="CW38" s="194">
        <f>SUM(CS38:CV38)</f>
        <v>0</v>
      </c>
      <c r="CX38" s="192">
        <f>CX31/4*AVERAGE(CX36,CX33)</f>
        <v>0</v>
      </c>
      <c r="CY38" s="192">
        <f>CY31/4*AVERAGE(CY36,CY33)</f>
        <v>0</v>
      </c>
      <c r="CZ38" s="192">
        <f>CZ31/4*AVERAGE(CZ36,CZ33)</f>
        <v>0</v>
      </c>
      <c r="DA38" s="192">
        <f>DA31/4*AVERAGE(DA36,DA33)</f>
        <v>0</v>
      </c>
      <c r="DB38" s="194">
        <f>SUM(CX38:DA38)</f>
        <v>0</v>
      </c>
      <c r="DC38" s="5"/>
      <c r="DD38" s="5"/>
      <c r="DE38" s="171"/>
      <c r="DF38" s="171"/>
      <c r="DG38" s="699"/>
      <c r="DH38" s="699"/>
      <c r="DI38" s="699"/>
      <c r="DJ38" s="699"/>
    </row>
    <row r="39" spans="1:114">
      <c r="A39" s="700"/>
      <c r="B39" s="691" t="s">
        <v>363</v>
      </c>
      <c r="C39" s="33"/>
      <c r="D39" s="206"/>
      <c r="E39" s="206"/>
      <c r="F39" s="206"/>
      <c r="G39" s="214"/>
      <c r="H39" s="214"/>
      <c r="I39" s="214"/>
      <c r="J39" s="214"/>
      <c r="K39" s="206"/>
      <c r="L39" s="214"/>
      <c r="M39" s="214"/>
      <c r="N39" s="214"/>
      <c r="O39" s="214"/>
      <c r="P39" s="206"/>
      <c r="Q39" s="214"/>
      <c r="R39" s="214"/>
      <c r="S39" s="214"/>
      <c r="T39" s="214"/>
      <c r="U39" s="206"/>
      <c r="V39" s="214"/>
      <c r="W39" s="214"/>
      <c r="X39" s="214"/>
      <c r="Y39" s="214"/>
      <c r="Z39" s="206"/>
      <c r="AA39" s="214"/>
      <c r="AB39" s="214"/>
      <c r="AC39" s="214"/>
      <c r="AD39" s="214"/>
      <c r="AE39" s="206"/>
      <c r="AF39" s="214"/>
      <c r="AG39" s="214"/>
      <c r="AH39" s="214"/>
      <c r="AI39" s="214"/>
      <c r="AJ39" s="206"/>
      <c r="AK39" s="214"/>
      <c r="AL39" s="214"/>
      <c r="AM39" s="214"/>
      <c r="AN39" s="214"/>
      <c r="AO39" s="206"/>
      <c r="AP39" s="214"/>
      <c r="AQ39" s="214"/>
      <c r="AR39" s="214"/>
      <c r="AS39" s="214"/>
      <c r="AT39" s="225"/>
      <c r="AU39" s="230"/>
      <c r="AV39" s="230"/>
      <c r="AW39" s="230"/>
      <c r="AX39" s="230"/>
      <c r="AY39" s="197">
        <f>AY30*(AVERAGE(AY37,AT37))</f>
        <v>2.6250000000000004</v>
      </c>
      <c r="AZ39" s="230"/>
      <c r="BA39" s="230"/>
      <c r="BB39" s="230"/>
      <c r="BC39" s="230"/>
      <c r="BD39" s="197">
        <f>BD30*(AVERAGE(BD37,AY37))</f>
        <v>3.5000000000000004</v>
      </c>
      <c r="BE39" s="230"/>
      <c r="BF39" s="230"/>
      <c r="BG39" s="230"/>
      <c r="BH39" s="230"/>
      <c r="BI39" s="197">
        <f>BI30*(AVERAGE(BI37,BD37))</f>
        <v>4.3093750000000002</v>
      </c>
      <c r="BJ39" s="230">
        <f>BJ30/4*(AVERAGE(BJ37,BJ37))</f>
        <v>1.09375</v>
      </c>
      <c r="BK39" s="230">
        <f>BK30/4*(AVERAGE(BK37,BJ37))</f>
        <v>1.091015625</v>
      </c>
      <c r="BL39" s="230">
        <f>BL30/4*(AVERAGE(BL37,BK37))</f>
        <v>1.091015625</v>
      </c>
      <c r="BM39" s="230">
        <f>BM30/4*(AVERAGE(BM37,BL37))</f>
        <v>1.09375</v>
      </c>
      <c r="BN39" s="197"/>
      <c r="BO39" s="230">
        <f>BO30/4*(AVERAGE(BO37,BN37))</f>
        <v>0.98437500000000011</v>
      </c>
      <c r="BP39" s="230">
        <f>BP30/4*(AVERAGE(BP37,BO37))</f>
        <v>0.87500000000000011</v>
      </c>
      <c r="BQ39" s="230">
        <f>BQ30/4*(AVERAGE(BQ37,BP37))</f>
        <v>0.82742187500000008</v>
      </c>
      <c r="BR39" s="230">
        <f>BR30/4*(AVERAGE(BR37,BQ37))</f>
        <v>0.82742187500000008</v>
      </c>
      <c r="BS39" s="197"/>
      <c r="BT39" s="230">
        <f>BT30/4*(AVERAGE(BT37,BS37))</f>
        <v>0.87500000000000011</v>
      </c>
      <c r="BU39" s="230">
        <f>BU30/4*(AVERAGE(BU37,BT37))</f>
        <v>0.87500000000000011</v>
      </c>
      <c r="BV39" s="230">
        <f>BV30/4*(AVERAGE(BV37,BU37))</f>
        <v>0.87500000000000011</v>
      </c>
      <c r="BW39" s="230">
        <f>BW30/4*(AVERAGE(BW37,BV37))</f>
        <v>0.87500000000000011</v>
      </c>
      <c r="BX39" s="197"/>
      <c r="BY39" s="230">
        <f>BY30/4*(AVERAGE(BY37,BX37))</f>
        <v>0.84109375000000008</v>
      </c>
      <c r="BZ39" s="230">
        <f>BZ30/4*(AVERAGE(BZ37,BY37))</f>
        <v>0.84109375000000008</v>
      </c>
      <c r="CA39" s="230">
        <f>CA30/4*(AVERAGE(CA37,BZ37))</f>
        <v>0.87500000000000011</v>
      </c>
      <c r="CB39" s="230">
        <f>CB30/4*(AVERAGE(CB37,CA37))</f>
        <v>0.78804687500000004</v>
      </c>
      <c r="CC39" s="197"/>
      <c r="CD39" s="230">
        <f>CD30/4*(AVERAGE(CD37,CC37))</f>
        <v>0.61140625000000004</v>
      </c>
      <c r="CE39" s="230">
        <f>CE30/4*(AVERAGE(CE37,CD37))</f>
        <v>0.70382812500000003</v>
      </c>
      <c r="CF39" s="230">
        <f>CF30/4*(AVERAGE(CF37,CE37))</f>
        <v>0.88593750000000004</v>
      </c>
      <c r="CG39" s="230">
        <f>CG30/4*(AVERAGE(CG37,CF37))</f>
        <v>0.88593750000000004</v>
      </c>
      <c r="CH39" s="197"/>
      <c r="CI39" s="230">
        <f>CI30/4*(AVERAGE(CI37,CH37))</f>
        <v>0.88046875000000013</v>
      </c>
      <c r="CJ39" s="230">
        <f>CJ30/4*(AVERAGE(CJ37,CI37))</f>
        <v>0.87500000000000011</v>
      </c>
      <c r="CK39" s="230">
        <f>CK30/4*(AVERAGE(CK37,CJ37))</f>
        <v>0.87500000000000011</v>
      </c>
      <c r="CL39" s="230">
        <f>CL30/4*(AVERAGE(CL37,CK37))</f>
        <v>0.87500000000000011</v>
      </c>
      <c r="CM39" s="197"/>
      <c r="CN39" s="230">
        <f>CN30/4*(AVERAGE(CN37,CM37))</f>
        <v>0.87500000000000011</v>
      </c>
      <c r="CO39" s="230">
        <f>CO30/4*(AVERAGE(CO37,CN37))</f>
        <v>0.87500000000000011</v>
      </c>
      <c r="CP39" s="230">
        <f>CP30/4*(AVERAGE(CP37,CO37))</f>
        <v>0.87500000000000011</v>
      </c>
      <c r="CQ39" s="230">
        <f>CQ30/4*(AVERAGE(CQ37,CP37))</f>
        <v>0.87500000000000011</v>
      </c>
      <c r="CR39" s="197">
        <f>SUM(CN39:CQ39)</f>
        <v>3.5000000000000004</v>
      </c>
      <c r="CS39" s="230">
        <f>CS30/4*(AVERAGE(CS37,CR37))</f>
        <v>0.87500000000000011</v>
      </c>
      <c r="CT39" s="230">
        <f>CT30/4*(AVERAGE(CT37,CS37))</f>
        <v>0.87500000000000011</v>
      </c>
      <c r="CU39" s="230">
        <f>CU30/4*(AVERAGE(CU37,CT37))</f>
        <v>0.87500000000000011</v>
      </c>
      <c r="CV39" s="230">
        <f>CV30/4*(AVERAGE(CV37,CU37))</f>
        <v>0.87500000000000011</v>
      </c>
      <c r="CW39" s="197">
        <f>SUM(CS39:CV39)</f>
        <v>3.5000000000000004</v>
      </c>
      <c r="CX39" s="230">
        <f>CX30/4*(AVERAGE(CX37,CW37))</f>
        <v>0.87500000000000011</v>
      </c>
      <c r="CY39" s="230">
        <f>CY30/4*(AVERAGE(CY37,CX37))</f>
        <v>0.87500000000000011</v>
      </c>
      <c r="CZ39" s="230">
        <f>CZ30/4*(AVERAGE(CZ37,CY37))</f>
        <v>0.87500000000000011</v>
      </c>
      <c r="DA39" s="230">
        <f>DA30/4*(AVERAGE(DA37,CZ37))</f>
        <v>0.87500000000000011</v>
      </c>
      <c r="DB39" s="197">
        <f>SUM(CX39:DA39)</f>
        <v>3.5000000000000004</v>
      </c>
      <c r="DC39" s="5"/>
      <c r="DD39" s="5"/>
      <c r="DE39" s="171"/>
      <c r="DF39" s="171"/>
      <c r="DG39" s="699"/>
      <c r="DH39" s="699"/>
      <c r="DI39" s="699"/>
      <c r="DJ39" s="699"/>
    </row>
    <row r="40" spans="1:114" s="1163" customFormat="1" hidden="1" outlineLevel="1">
      <c r="A40" s="171"/>
      <c r="B40" s="1164"/>
      <c r="C40" s="46"/>
      <c r="D40" s="1161"/>
      <c r="E40" s="1161"/>
      <c r="F40" s="1161"/>
      <c r="G40" s="1161"/>
      <c r="H40" s="1161"/>
      <c r="I40" s="1161"/>
      <c r="J40" s="1161"/>
      <c r="K40" s="1161"/>
      <c r="L40" s="1161"/>
      <c r="M40" s="1161"/>
      <c r="N40" s="1161"/>
      <c r="O40" s="1161"/>
      <c r="P40" s="1161"/>
      <c r="Q40" s="1161"/>
      <c r="R40" s="1161"/>
      <c r="S40" s="1161"/>
      <c r="T40" s="1161"/>
      <c r="U40" s="1161"/>
      <c r="V40" s="1161"/>
      <c r="W40" s="1161"/>
      <c r="X40" s="1161"/>
      <c r="Y40" s="1161"/>
      <c r="Z40" s="1161"/>
      <c r="AA40" s="1161"/>
      <c r="AB40" s="1161"/>
      <c r="AC40" s="1161"/>
      <c r="AD40" s="1161"/>
      <c r="AE40" s="1161"/>
      <c r="AF40" s="1161"/>
      <c r="AG40" s="1161"/>
      <c r="AH40" s="1161"/>
      <c r="AI40" s="1161"/>
      <c r="AJ40" s="1161"/>
      <c r="AK40" s="1161"/>
      <c r="AL40" s="1161"/>
      <c r="AM40" s="1161"/>
      <c r="AN40" s="1161"/>
      <c r="AO40" s="1161"/>
      <c r="AP40" s="1161"/>
      <c r="AQ40" s="1161"/>
      <c r="AR40" s="1161"/>
      <c r="AS40" s="1161"/>
      <c r="AT40" s="1161"/>
      <c r="AU40" s="1162"/>
      <c r="AV40" s="1162"/>
      <c r="AW40" s="1162"/>
      <c r="AX40" s="1162"/>
      <c r="AY40" s="1161"/>
      <c r="AZ40" s="1162"/>
      <c r="BA40" s="1162"/>
      <c r="BB40" s="1162"/>
      <c r="BC40" s="1162"/>
      <c r="BD40" s="1161"/>
      <c r="BE40" s="1162"/>
      <c r="BF40" s="1162"/>
      <c r="BG40" s="1162"/>
      <c r="BH40" s="1162"/>
      <c r="BI40" s="1161"/>
      <c r="BJ40" s="1165"/>
      <c r="BK40" s="1165"/>
      <c r="BL40" s="1161"/>
      <c r="BM40" s="1161"/>
      <c r="BN40" s="1161"/>
      <c r="BO40" s="1161"/>
      <c r="BP40" s="1161"/>
      <c r="BQ40" s="1161"/>
      <c r="BR40" s="1161"/>
      <c r="BS40" s="1161"/>
      <c r="BT40" s="1161"/>
      <c r="BU40" s="1161"/>
      <c r="BV40" s="1161"/>
      <c r="BW40" s="1161"/>
      <c r="BX40" s="1161"/>
      <c r="BY40" s="1161"/>
      <c r="BZ40" s="1161"/>
      <c r="CA40" s="1161"/>
      <c r="CB40" s="1161"/>
      <c r="CC40" s="1161"/>
      <c r="CD40" s="1161"/>
      <c r="CE40" s="1161"/>
      <c r="CF40" s="1161"/>
      <c r="CG40" s="1161"/>
      <c r="CH40" s="1161"/>
      <c r="CI40" s="1161"/>
      <c r="CJ40" s="1161"/>
      <c r="CK40" s="1161"/>
      <c r="CL40" s="1161"/>
      <c r="CM40" s="1161"/>
      <c r="CN40" s="1161"/>
      <c r="CO40" s="1161"/>
      <c r="CP40" s="1161"/>
      <c r="CQ40" s="1161"/>
      <c r="CR40" s="1161"/>
      <c r="CS40" s="1161"/>
      <c r="CT40" s="1161"/>
      <c r="CU40" s="1161"/>
      <c r="CV40" s="1161"/>
      <c r="CW40" s="1161"/>
      <c r="CX40" s="1161"/>
      <c r="CY40" s="1161"/>
      <c r="CZ40" s="1161"/>
      <c r="DA40" s="1161"/>
      <c r="DB40" s="1161"/>
      <c r="DC40" s="5"/>
      <c r="DD40" s="5"/>
      <c r="DE40" s="171"/>
      <c r="DF40" s="171"/>
      <c r="DG40" s="171"/>
      <c r="DH40" s="171"/>
      <c r="DI40" s="171"/>
      <c r="DJ40" s="171"/>
    </row>
    <row r="41" spans="1:114" s="1163" customFormat="1" hidden="1" outlineLevel="1">
      <c r="A41" s="171"/>
      <c r="B41" s="1164" t="s">
        <v>650</v>
      </c>
      <c r="C41" s="46"/>
      <c r="D41" s="1161"/>
      <c r="E41" s="1161"/>
      <c r="F41" s="1161"/>
      <c r="G41" s="1161"/>
      <c r="H41" s="1161"/>
      <c r="I41" s="1161"/>
      <c r="J41" s="1161"/>
      <c r="K41" s="1161"/>
      <c r="L41" s="1161"/>
      <c r="M41" s="1161"/>
      <c r="N41" s="1161"/>
      <c r="O41" s="1161"/>
      <c r="P41" s="1161"/>
      <c r="Q41" s="1161"/>
      <c r="R41" s="1161"/>
      <c r="S41" s="1161"/>
      <c r="T41" s="1161"/>
      <c r="U41" s="1161"/>
      <c r="V41" s="1161"/>
      <c r="W41" s="1161"/>
      <c r="X41" s="1161"/>
      <c r="Y41" s="1161"/>
      <c r="Z41" s="1161"/>
      <c r="AA41" s="1161"/>
      <c r="AB41" s="1161"/>
      <c r="AC41" s="1161"/>
      <c r="AD41" s="1161"/>
      <c r="AE41" s="1161"/>
      <c r="AF41" s="1161"/>
      <c r="AG41" s="1161"/>
      <c r="AH41" s="1161"/>
      <c r="AI41" s="1161"/>
      <c r="AJ41" s="1161"/>
      <c r="AK41" s="1161"/>
      <c r="AL41" s="1161"/>
      <c r="AM41" s="1161"/>
      <c r="AN41" s="1161"/>
      <c r="AO41" s="1161"/>
      <c r="AP41" s="1161"/>
      <c r="AQ41" s="1161"/>
      <c r="AR41" s="1161"/>
      <c r="AS41" s="1161"/>
      <c r="AT41" s="1161"/>
      <c r="AU41" s="1162"/>
      <c r="AV41" s="1162"/>
      <c r="AW41" s="1162"/>
      <c r="AX41" s="1162"/>
      <c r="AY41" s="1161"/>
      <c r="AZ41" s="1162"/>
      <c r="BA41" s="1162"/>
      <c r="BB41" s="1162"/>
      <c r="BC41" s="1162"/>
      <c r="BD41" s="1161"/>
      <c r="BE41" s="1162"/>
      <c r="BF41" s="1162"/>
      <c r="BG41" s="1162"/>
      <c r="BH41" s="1162"/>
      <c r="BI41" s="1161"/>
      <c r="BJ41" s="1165"/>
      <c r="BK41" s="1165"/>
      <c r="BL41" s="1161"/>
      <c r="BM41" s="1161"/>
      <c r="BN41" s="1161"/>
      <c r="BO41" s="1161"/>
      <c r="BP41" s="1161"/>
      <c r="BQ41" s="1161"/>
      <c r="BR41" s="1161"/>
      <c r="BS41" s="1161"/>
      <c r="BT41" s="1161"/>
      <c r="BU41" s="1161"/>
      <c r="BV41" s="1161"/>
      <c r="BW41" s="1161"/>
      <c r="BX41" s="1161"/>
      <c r="BY41" s="1161"/>
      <c r="BZ41" s="1161"/>
      <c r="CA41" s="1161"/>
      <c r="CB41" s="1161"/>
      <c r="CC41" s="1161"/>
      <c r="CD41" s="1161"/>
      <c r="CE41" s="1161"/>
      <c r="CF41" s="1161"/>
      <c r="CG41" s="1161"/>
      <c r="CH41" s="1161"/>
      <c r="CI41" s="1161"/>
      <c r="CJ41" s="1161">
        <f>CJ25+CJ35</f>
        <v>2358</v>
      </c>
      <c r="CK41" s="1161">
        <f t="shared" ref="CK41:CV41" si="37">CK25+CK35</f>
        <v>1445</v>
      </c>
      <c r="CL41" s="1161">
        <f t="shared" si="37"/>
        <v>604</v>
      </c>
      <c r="CM41" s="1161"/>
      <c r="CN41" s="1161">
        <f t="shared" ca="1" si="37"/>
        <v>808.02631845250721</v>
      </c>
      <c r="CO41" s="1161">
        <f t="shared" ca="1" si="37"/>
        <v>1013.2860213639867</v>
      </c>
      <c r="CP41" s="1161">
        <f t="shared" ca="1" si="37"/>
        <v>1088.105499173693</v>
      </c>
      <c r="CQ41" s="1161">
        <f t="shared" ca="1" si="37"/>
        <v>926.54555942532443</v>
      </c>
      <c r="CR41" s="1161"/>
      <c r="CS41" s="1161">
        <f t="shared" ca="1" si="37"/>
        <v>734.48494895708325</v>
      </c>
      <c r="CT41" s="1161">
        <f t="shared" ca="1" si="37"/>
        <v>728.77248303873932</v>
      </c>
      <c r="CU41" s="1161">
        <f t="shared" ca="1" si="37"/>
        <v>652.65683743778084</v>
      </c>
      <c r="CV41" s="1161">
        <f t="shared" ca="1" si="37"/>
        <v>805.73534281577497</v>
      </c>
      <c r="CW41" s="1161"/>
      <c r="CX41" s="1161">
        <f t="shared" ref="CX41:DA41" ca="1" si="38">CX25+CX35</f>
        <v>337.9687156406809</v>
      </c>
      <c r="CY41" s="1161">
        <f t="shared" ca="1" si="38"/>
        <v>369.73440573416826</v>
      </c>
      <c r="CZ41" s="1161">
        <f t="shared" ca="1" si="38"/>
        <v>473.15612044059088</v>
      </c>
      <c r="DA41" s="1161">
        <f t="shared" ca="1" si="38"/>
        <v>255.53769257557099</v>
      </c>
      <c r="DB41" s="1161"/>
      <c r="DC41" s="5"/>
      <c r="DD41" s="5"/>
      <c r="DE41" s="171"/>
      <c r="DF41" s="171"/>
      <c r="DG41" s="171"/>
      <c r="DH41" s="171"/>
      <c r="DI41" s="171"/>
      <c r="DJ41" s="171"/>
    </row>
    <row r="42" spans="1:114" s="1163" customFormat="1" collapsed="1">
      <c r="A42" s="171"/>
      <c r="B42" s="1164"/>
      <c r="C42" s="46"/>
      <c r="D42" s="1161"/>
      <c r="E42" s="1161"/>
      <c r="F42" s="1161"/>
      <c r="G42" s="1161"/>
      <c r="H42" s="1161"/>
      <c r="I42" s="1161"/>
      <c r="J42" s="1161"/>
      <c r="K42" s="1161"/>
      <c r="L42" s="1161"/>
      <c r="M42" s="1161"/>
      <c r="N42" s="1161"/>
      <c r="O42" s="1161"/>
      <c r="P42" s="1161"/>
      <c r="Q42" s="1161"/>
      <c r="R42" s="1161"/>
      <c r="S42" s="1161"/>
      <c r="T42" s="1161"/>
      <c r="U42" s="1161"/>
      <c r="V42" s="1161"/>
      <c r="W42" s="1161"/>
      <c r="X42" s="1161"/>
      <c r="Y42" s="1161"/>
      <c r="Z42" s="1161"/>
      <c r="AA42" s="1161"/>
      <c r="AB42" s="1161"/>
      <c r="AC42" s="1161"/>
      <c r="AD42" s="1161"/>
      <c r="AE42" s="1161"/>
      <c r="AF42" s="1161"/>
      <c r="AG42" s="1161"/>
      <c r="AH42" s="1161"/>
      <c r="AI42" s="1161"/>
      <c r="AJ42" s="1161"/>
      <c r="AK42" s="1161"/>
      <c r="AL42" s="1161"/>
      <c r="AM42" s="1161"/>
      <c r="AN42" s="1161"/>
      <c r="AO42" s="1161"/>
      <c r="AP42" s="1161"/>
      <c r="AQ42" s="1161"/>
      <c r="AR42" s="1161"/>
      <c r="AS42" s="1161"/>
      <c r="AT42" s="1161"/>
      <c r="AU42" s="1162"/>
      <c r="AV42" s="1162"/>
      <c r="AW42" s="1162"/>
      <c r="AX42" s="1162"/>
      <c r="AY42" s="1161"/>
      <c r="AZ42" s="1162"/>
      <c r="BA42" s="1162"/>
      <c r="BB42" s="1162"/>
      <c r="BC42" s="1162"/>
      <c r="BD42" s="1161"/>
      <c r="BE42" s="1162"/>
      <c r="BF42" s="1162"/>
      <c r="BG42" s="1162"/>
      <c r="BH42" s="1162"/>
      <c r="BI42" s="1161"/>
      <c r="BJ42" s="1165"/>
      <c r="BK42" s="1165"/>
      <c r="BL42" s="1161"/>
      <c r="BM42" s="1161"/>
      <c r="BN42" s="1161"/>
      <c r="BO42" s="1161"/>
      <c r="BP42" s="1161"/>
      <c r="BQ42" s="1161"/>
      <c r="BR42" s="1161"/>
      <c r="BS42" s="1161"/>
      <c r="BT42" s="1161"/>
      <c r="BU42" s="1161"/>
      <c r="BV42" s="1161"/>
      <c r="BW42" s="1161"/>
      <c r="BX42" s="1161"/>
      <c r="BY42" s="1161"/>
      <c r="BZ42" s="1161"/>
      <c r="CA42" s="1161"/>
      <c r="CB42" s="1161"/>
      <c r="CC42" s="1161"/>
      <c r="CD42" s="1161"/>
      <c r="CE42" s="1161"/>
      <c r="CF42" s="1161"/>
      <c r="CG42" s="1161"/>
      <c r="CH42" s="1161"/>
      <c r="CI42" s="1161"/>
      <c r="CJ42" s="1161"/>
      <c r="CK42" s="1161"/>
      <c r="CL42" s="1161"/>
      <c r="CM42" s="1161"/>
      <c r="CN42" s="1161"/>
      <c r="CO42" s="1161"/>
      <c r="CP42" s="1161"/>
      <c r="CQ42" s="1161"/>
      <c r="CR42" s="1161"/>
      <c r="CS42" s="1161"/>
      <c r="CT42" s="1161"/>
      <c r="CU42" s="1161"/>
      <c r="CV42" s="1161"/>
      <c r="CW42" s="1161"/>
      <c r="CX42" s="1161"/>
      <c r="CY42" s="1161"/>
      <c r="CZ42" s="1161"/>
      <c r="DA42" s="1161"/>
      <c r="DB42" s="1161"/>
      <c r="DC42" s="5"/>
      <c r="DD42" s="5"/>
      <c r="DE42" s="171"/>
      <c r="DF42" s="171"/>
      <c r="DG42" s="171"/>
      <c r="DH42" s="171"/>
      <c r="DI42" s="171"/>
      <c r="DJ42" s="171"/>
    </row>
    <row r="43" spans="1:114">
      <c r="A43" s="171"/>
      <c r="B43" s="696" t="s">
        <v>364</v>
      </c>
      <c r="C43" s="169"/>
      <c r="D43" s="209"/>
      <c r="E43" s="209"/>
      <c r="F43" s="209"/>
      <c r="G43" s="212"/>
      <c r="H43" s="212"/>
      <c r="I43" s="212"/>
      <c r="J43" s="212"/>
      <c r="K43" s="209"/>
      <c r="L43" s="212"/>
      <c r="M43" s="212"/>
      <c r="N43" s="212"/>
      <c r="O43" s="212"/>
      <c r="P43" s="209"/>
      <c r="Q43" s="212"/>
      <c r="R43" s="212"/>
      <c r="S43" s="212"/>
      <c r="T43" s="212"/>
      <c r="U43" s="209"/>
      <c r="V43" s="212"/>
      <c r="W43" s="212"/>
      <c r="X43" s="212"/>
      <c r="Y43" s="212"/>
      <c r="Z43" s="209"/>
      <c r="AA43" s="212"/>
      <c r="AB43" s="212"/>
      <c r="AC43" s="212"/>
      <c r="AD43" s="212"/>
      <c r="AE43" s="209"/>
      <c r="AF43" s="212"/>
      <c r="AG43" s="212"/>
      <c r="AH43" s="212"/>
      <c r="AI43" s="212"/>
      <c r="AJ43" s="209"/>
      <c r="AK43" s="212"/>
      <c r="AL43" s="212"/>
      <c r="AM43" s="212"/>
      <c r="AN43" s="212"/>
      <c r="AO43" s="209"/>
      <c r="AP43" s="212"/>
      <c r="AQ43" s="212"/>
      <c r="AR43" s="212"/>
      <c r="AS43" s="212"/>
      <c r="AT43" s="209"/>
      <c r="AU43" s="212"/>
      <c r="AV43" s="212"/>
      <c r="AW43" s="212"/>
      <c r="AX43" s="212"/>
      <c r="AY43" s="209"/>
      <c r="AZ43" s="212"/>
      <c r="BA43" s="212"/>
      <c r="BB43" s="212"/>
      <c r="BC43" s="212"/>
      <c r="BD43" s="209"/>
      <c r="BE43" s="212"/>
      <c r="BF43" s="212"/>
      <c r="BG43" s="212"/>
      <c r="BH43" s="212"/>
      <c r="BI43" s="209"/>
      <c r="BJ43" s="212"/>
      <c r="BK43" s="212"/>
      <c r="BL43" s="212"/>
      <c r="BM43" s="212"/>
      <c r="BN43" s="209"/>
      <c r="BO43" s="212"/>
      <c r="BP43" s="212"/>
      <c r="BQ43" s="212"/>
      <c r="BR43" s="212"/>
      <c r="BS43" s="209"/>
      <c r="BT43" s="212"/>
      <c r="BU43" s="212"/>
      <c r="BV43" s="212"/>
      <c r="BW43" s="212"/>
      <c r="BX43" s="209"/>
      <c r="BY43" s="212"/>
      <c r="BZ43" s="212"/>
      <c r="CA43" s="212"/>
      <c r="CB43" s="212"/>
      <c r="CC43" s="209"/>
      <c r="CD43" s="212"/>
      <c r="CE43" s="212"/>
      <c r="CF43" s="212"/>
      <c r="CG43" s="212"/>
      <c r="CH43" s="209"/>
      <c r="CI43" s="212"/>
      <c r="CJ43" s="212"/>
      <c r="CK43" s="212"/>
      <c r="CL43" s="212"/>
      <c r="CM43" s="209"/>
      <c r="CN43" s="212"/>
      <c r="CO43" s="212"/>
      <c r="CP43" s="212"/>
      <c r="CQ43" s="212"/>
      <c r="CR43" s="209"/>
      <c r="CS43" s="212"/>
      <c r="CT43" s="212"/>
      <c r="CU43" s="212"/>
      <c r="CV43" s="212"/>
      <c r="CW43" s="209"/>
      <c r="CX43" s="212"/>
      <c r="CY43" s="212"/>
      <c r="CZ43" s="212"/>
      <c r="DA43" s="212"/>
      <c r="DB43" s="209"/>
      <c r="DC43" s="5"/>
      <c r="DD43" s="5"/>
      <c r="DE43" s="171"/>
      <c r="DF43" s="171"/>
      <c r="DG43" s="171"/>
      <c r="DH43" s="171"/>
      <c r="DI43" s="171"/>
      <c r="DJ43" s="171"/>
    </row>
    <row r="44" spans="1:114">
      <c r="A44" s="171"/>
      <c r="B44" s="697" t="s">
        <v>360</v>
      </c>
      <c r="C44" s="155"/>
      <c r="D44" s="26"/>
      <c r="E44" s="26"/>
      <c r="F44" s="26"/>
      <c r="G44" s="156"/>
      <c r="H44" s="156"/>
      <c r="I44" s="156"/>
      <c r="J44" s="156"/>
      <c r="K44" s="26"/>
      <c r="L44" s="156"/>
      <c r="M44" s="156"/>
      <c r="N44" s="156"/>
      <c r="O44" s="156"/>
      <c r="P44" s="26"/>
      <c r="Q44" s="156"/>
      <c r="R44" s="156"/>
      <c r="S44" s="156"/>
      <c r="T44" s="156"/>
      <c r="U44" s="26"/>
      <c r="V44" s="156"/>
      <c r="W44" s="156"/>
      <c r="X44" s="156"/>
      <c r="Y44" s="156"/>
      <c r="Z44" s="26"/>
      <c r="AA44" s="156"/>
      <c r="AB44" s="156"/>
      <c r="AC44" s="156"/>
      <c r="AD44" s="156"/>
      <c r="AE44" s="26"/>
      <c r="AF44" s="156"/>
      <c r="AG44" s="156"/>
      <c r="AH44" s="156"/>
      <c r="AI44" s="156"/>
      <c r="AJ44" s="26"/>
      <c r="AK44" s="156"/>
      <c r="AL44" s="156"/>
      <c r="AM44" s="156"/>
      <c r="AN44" s="156"/>
      <c r="AO44" s="26"/>
      <c r="AP44" s="156"/>
      <c r="AQ44" s="156"/>
      <c r="AR44" s="156"/>
      <c r="AS44" s="156"/>
      <c r="AT44" s="26"/>
      <c r="AU44" s="231"/>
      <c r="AV44" s="231"/>
      <c r="AW44" s="231"/>
      <c r="AX44" s="231"/>
      <c r="AY44" s="270">
        <v>2.5000000000000001E-3</v>
      </c>
      <c r="AZ44" s="231"/>
      <c r="BA44" s="231"/>
      <c r="BB44" s="231"/>
      <c r="BC44" s="231"/>
      <c r="BD44" s="270">
        <v>2.5000000000000001E-3</v>
      </c>
      <c r="BE44" s="231"/>
      <c r="BF44" s="231"/>
      <c r="BG44" s="231"/>
      <c r="BH44" s="231"/>
      <c r="BI44" s="270">
        <v>2.5000000000000001E-3</v>
      </c>
      <c r="BJ44" s="231">
        <v>2.5000000000000001E-3</v>
      </c>
      <c r="BK44" s="231">
        <v>2.5000000000000001E-3</v>
      </c>
      <c r="BL44" s="231">
        <v>2.5000000000000001E-3</v>
      </c>
      <c r="BM44" s="220">
        <v>2.5000000000000001E-3</v>
      </c>
      <c r="BN44" s="200"/>
      <c r="BO44" s="220">
        <f>AVERAGE(0.375%,0.5%)</f>
        <v>4.3750000000000004E-3</v>
      </c>
      <c r="BP44" s="220">
        <f>AVERAGE(0.375%,0.5%)</f>
        <v>4.3750000000000004E-3</v>
      </c>
      <c r="BQ44" s="220">
        <f>AVERAGE(0.375%,0.5%)</f>
        <v>4.3750000000000004E-3</v>
      </c>
      <c r="BR44" s="220">
        <f>AVERAGE(0.375%,0.5%)</f>
        <v>4.3750000000000004E-3</v>
      </c>
      <c r="BS44" s="200"/>
      <c r="BT44" s="220">
        <f>AVERAGE(0.375%,0.5%)</f>
        <v>4.3750000000000004E-3</v>
      </c>
      <c r="BU44" s="220">
        <f>AVERAGE(0.375%,0.5%)</f>
        <v>4.3750000000000004E-3</v>
      </c>
      <c r="BV44" s="220">
        <f>AVERAGE(0.375%,0.5%)</f>
        <v>4.3750000000000004E-3</v>
      </c>
      <c r="BW44" s="220">
        <f>AVERAGE(0.375%,0.5%)</f>
        <v>4.3750000000000004E-3</v>
      </c>
      <c r="BX44" s="200"/>
      <c r="BY44" s="220">
        <f>AVERAGE(0.375%,0.5%)</f>
        <v>4.3750000000000004E-3</v>
      </c>
      <c r="BZ44" s="220">
        <f>AVERAGE(0.375%,0.5%)</f>
        <v>4.3750000000000004E-3</v>
      </c>
      <c r="CA44" s="220">
        <f>AVERAGE(0.375%,0.5%)</f>
        <v>4.3750000000000004E-3</v>
      </c>
      <c r="CB44" s="220">
        <f>AVERAGE(0.375%,0.5%)</f>
        <v>4.3750000000000004E-3</v>
      </c>
      <c r="CC44" s="200"/>
      <c r="CD44" s="220">
        <f>AVERAGE(0.375%,0.5%)</f>
        <v>4.3750000000000004E-3</v>
      </c>
      <c r="CE44" s="220">
        <f>AVERAGE(0.375%,0.5%)</f>
        <v>4.3750000000000004E-3</v>
      </c>
      <c r="CF44" s="220">
        <f>AVERAGE(0.375%,0.5%)</f>
        <v>4.3750000000000004E-3</v>
      </c>
      <c r="CG44" s="220">
        <f>AVERAGE(0.375%,0.5%)</f>
        <v>4.3750000000000004E-3</v>
      </c>
      <c r="CH44" s="200"/>
      <c r="CI44" s="220">
        <f>AVERAGE(0.375%,0.5%)</f>
        <v>4.3750000000000004E-3</v>
      </c>
      <c r="CJ44" s="220">
        <f>AVERAGE(0.375%,0.5%)</f>
        <v>4.3750000000000004E-3</v>
      </c>
      <c r="CK44" s="220">
        <f>AVERAGE(0.375%,0.5%)</f>
        <v>4.3750000000000004E-3</v>
      </c>
      <c r="CL44" s="220">
        <f>AVERAGE(0.375%,0.5%)</f>
        <v>4.3750000000000004E-3</v>
      </c>
      <c r="CM44" s="200"/>
      <c r="CN44" s="220">
        <f>AVERAGE(0.375%,0.5%)</f>
        <v>4.3750000000000004E-3</v>
      </c>
      <c r="CO44" s="220">
        <f>AVERAGE(0.375%,0.5%)</f>
        <v>4.3750000000000004E-3</v>
      </c>
      <c r="CP44" s="220">
        <f>AVERAGE(0.375%,0.5%)</f>
        <v>4.3750000000000004E-3</v>
      </c>
      <c r="CQ44" s="220">
        <f>AVERAGE(0.375%,0.5%)</f>
        <v>4.3750000000000004E-3</v>
      </c>
      <c r="CR44" s="200"/>
      <c r="CS44" s="220">
        <f>AVERAGE(0.375%,0.5%)</f>
        <v>4.3750000000000004E-3</v>
      </c>
      <c r="CT44" s="220">
        <f>AVERAGE(0.375%,0.5%)</f>
        <v>4.3750000000000004E-3</v>
      </c>
      <c r="CU44" s="220">
        <f>AVERAGE(0.375%,0.5%)</f>
        <v>4.3750000000000004E-3</v>
      </c>
      <c r="CV44" s="220">
        <f>AVERAGE(0.375%,0.5%)</f>
        <v>4.3750000000000004E-3</v>
      </c>
      <c r="CW44" s="200"/>
      <c r="CX44" s="220">
        <f>AVERAGE(0.375%,0.5%)</f>
        <v>4.3750000000000004E-3</v>
      </c>
      <c r="CY44" s="220">
        <f>AVERAGE(0.375%,0.5%)</f>
        <v>4.3750000000000004E-3</v>
      </c>
      <c r="CZ44" s="220">
        <f>AVERAGE(0.375%,0.5%)</f>
        <v>4.3750000000000004E-3</v>
      </c>
      <c r="DA44" s="220">
        <f>AVERAGE(0.375%,0.5%)</f>
        <v>4.3750000000000004E-3</v>
      </c>
      <c r="DB44" s="200"/>
      <c r="DC44" s="8"/>
      <c r="DD44" s="8"/>
      <c r="DE44" s="171"/>
      <c r="DF44" s="171"/>
      <c r="DG44" s="171"/>
      <c r="DH44" s="171"/>
      <c r="DI44" s="171"/>
      <c r="DJ44" s="171"/>
    </row>
    <row r="45" spans="1:114">
      <c r="A45" s="171"/>
      <c r="B45" s="697" t="s">
        <v>517</v>
      </c>
      <c r="C45" s="38"/>
      <c r="D45" s="201"/>
      <c r="E45" s="201"/>
      <c r="F45" s="201"/>
      <c r="G45" s="166"/>
      <c r="H45" s="166"/>
      <c r="I45" s="166"/>
      <c r="J45" s="166"/>
      <c r="K45" s="201"/>
      <c r="L45" s="166"/>
      <c r="M45" s="166"/>
      <c r="N45" s="166"/>
      <c r="O45" s="166"/>
      <c r="P45" s="201"/>
      <c r="Q45" s="166"/>
      <c r="R45" s="166"/>
      <c r="S45" s="166"/>
      <c r="T45" s="166"/>
      <c r="U45" s="201"/>
      <c r="V45" s="166"/>
      <c r="W45" s="166"/>
      <c r="X45" s="166"/>
      <c r="Y45" s="166"/>
      <c r="Z45" s="201"/>
      <c r="AA45" s="166"/>
      <c r="AB45" s="166"/>
      <c r="AC45" s="166"/>
      <c r="AD45" s="166"/>
      <c r="AE45" s="201"/>
      <c r="AF45" s="166"/>
      <c r="AG45" s="166"/>
      <c r="AH45" s="166"/>
      <c r="AI45" s="166"/>
      <c r="AJ45" s="201"/>
      <c r="AK45" s="166"/>
      <c r="AL45" s="166"/>
      <c r="AM45" s="166"/>
      <c r="AN45" s="166"/>
      <c r="AO45" s="201"/>
      <c r="AP45" s="166"/>
      <c r="AQ45" s="166"/>
      <c r="AR45" s="166"/>
      <c r="AS45" s="166"/>
      <c r="AT45" s="201"/>
      <c r="AU45" s="231"/>
      <c r="AV45" s="231"/>
      <c r="AW45" s="231"/>
      <c r="AX45" s="231"/>
      <c r="AY45" s="270">
        <f>3.5%+0.5%</f>
        <v>0.04</v>
      </c>
      <c r="AZ45" s="231"/>
      <c r="BA45" s="231"/>
      <c r="BB45" s="231"/>
      <c r="BC45" s="231"/>
      <c r="BD45" s="270">
        <f>3.5%+0.5%</f>
        <v>0.04</v>
      </c>
      <c r="BE45" s="231"/>
      <c r="BF45" s="231"/>
      <c r="BG45" s="231"/>
      <c r="BH45" s="231"/>
      <c r="BI45" s="270">
        <f>3.5%+0.5%</f>
        <v>0.04</v>
      </c>
      <c r="BJ45" s="231">
        <f>3.5%+0.5%</f>
        <v>0.04</v>
      </c>
      <c r="BK45" s="231">
        <f>3.5%+0.5%</f>
        <v>0.04</v>
      </c>
      <c r="BL45" s="231">
        <f>3.5%+0.5%</f>
        <v>0.04</v>
      </c>
      <c r="BM45" s="220">
        <f>3.5%+0.5%</f>
        <v>0.04</v>
      </c>
      <c r="BN45" s="107"/>
      <c r="BO45" s="220">
        <f>3.5%+0.5%</f>
        <v>0.04</v>
      </c>
      <c r="BP45" s="220">
        <f>3.5%+0.5%</f>
        <v>0.04</v>
      </c>
      <c r="BQ45" s="220">
        <f>3.5%+0.5%</f>
        <v>0.04</v>
      </c>
      <c r="BR45" s="220">
        <f>3.5%+0.5%</f>
        <v>0.04</v>
      </c>
      <c r="BS45" s="107"/>
      <c r="BT45" s="220">
        <v>3.5000000000000003E-2</v>
      </c>
      <c r="BU45" s="220">
        <v>3.5000000000000003E-2</v>
      </c>
      <c r="BV45" s="220">
        <v>3.5000000000000003E-2</v>
      </c>
      <c r="BW45" s="220">
        <v>3.5000000000000003E-2</v>
      </c>
      <c r="BX45" s="107"/>
      <c r="BY45" s="220">
        <v>3.5000000000000003E-2</v>
      </c>
      <c r="BZ45" s="220">
        <v>3.5000000000000003E-2</v>
      </c>
      <c r="CA45" s="220">
        <v>3.5000000000000003E-2</v>
      </c>
      <c r="CB45" s="220">
        <v>3.5000000000000003E-2</v>
      </c>
      <c r="CC45" s="107"/>
      <c r="CD45" s="220">
        <v>3.5000000000000003E-2</v>
      </c>
      <c r="CE45" s="220">
        <v>3.5000000000000003E-2</v>
      </c>
      <c r="CF45" s="220">
        <v>3.5000000000000003E-2</v>
      </c>
      <c r="CG45" s="220">
        <v>3.5000000000000003E-2</v>
      </c>
      <c r="CH45" s="107"/>
      <c r="CI45" s="220">
        <v>3.5000000000000003E-2</v>
      </c>
      <c r="CJ45" s="220">
        <v>3.5000000000000003E-2</v>
      </c>
      <c r="CK45" s="220">
        <v>3.5000000000000003E-2</v>
      </c>
      <c r="CL45" s="220">
        <v>3.5000000000000003E-2</v>
      </c>
      <c r="CM45" s="107"/>
      <c r="CN45" s="220">
        <v>3.5000000000000003E-2</v>
      </c>
      <c r="CO45" s="220">
        <v>3.5000000000000003E-2</v>
      </c>
      <c r="CP45" s="220">
        <v>3.5000000000000003E-2</v>
      </c>
      <c r="CQ45" s="220">
        <v>3.5000000000000003E-2</v>
      </c>
      <c r="CR45" s="107"/>
      <c r="CS45" s="220">
        <v>3.5000000000000003E-2</v>
      </c>
      <c r="CT45" s="220">
        <v>3.5000000000000003E-2</v>
      </c>
      <c r="CU45" s="220">
        <v>3.5000000000000003E-2</v>
      </c>
      <c r="CV45" s="220">
        <v>3.5000000000000003E-2</v>
      </c>
      <c r="CW45" s="107"/>
      <c r="CX45" s="220">
        <v>3.5000000000000003E-2</v>
      </c>
      <c r="CY45" s="220">
        <v>3.5000000000000003E-2</v>
      </c>
      <c r="CZ45" s="220">
        <v>3.5000000000000003E-2</v>
      </c>
      <c r="DA45" s="220">
        <v>3.5000000000000003E-2</v>
      </c>
      <c r="DB45" s="107"/>
      <c r="DC45" s="5"/>
      <c r="DD45" s="5"/>
      <c r="DE45" s="171"/>
      <c r="DF45" s="171"/>
      <c r="DG45" s="171"/>
      <c r="DH45" s="171"/>
      <c r="DI45" s="171"/>
      <c r="DJ45" s="171"/>
    </row>
    <row r="46" spans="1:114">
      <c r="A46" s="171"/>
      <c r="B46" s="690" t="s">
        <v>361</v>
      </c>
      <c r="C46" s="38"/>
      <c r="D46" s="201"/>
      <c r="E46" s="201"/>
      <c r="F46" s="201"/>
      <c r="G46" s="166"/>
      <c r="H46" s="166"/>
      <c r="I46" s="166"/>
      <c r="J46" s="166"/>
      <c r="K46" s="201"/>
      <c r="L46" s="166"/>
      <c r="M46" s="166"/>
      <c r="N46" s="166"/>
      <c r="O46" s="166"/>
      <c r="P46" s="201"/>
      <c r="Q46" s="166"/>
      <c r="R46" s="166"/>
      <c r="S46" s="166"/>
      <c r="T46" s="166"/>
      <c r="U46" s="201"/>
      <c r="V46" s="166"/>
      <c r="W46" s="166"/>
      <c r="X46" s="166"/>
      <c r="Y46" s="166"/>
      <c r="Z46" s="201"/>
      <c r="AA46" s="166"/>
      <c r="AB46" s="166"/>
      <c r="AC46" s="166"/>
      <c r="AD46" s="166"/>
      <c r="AE46" s="201"/>
      <c r="AF46" s="166"/>
      <c r="AG46" s="166"/>
      <c r="AH46" s="166"/>
      <c r="AI46" s="166"/>
      <c r="AJ46" s="201"/>
      <c r="AK46" s="166"/>
      <c r="AL46" s="166"/>
      <c r="AM46" s="166"/>
      <c r="AN46" s="166"/>
      <c r="AO46" s="201"/>
      <c r="AP46" s="166"/>
      <c r="AQ46" s="166"/>
      <c r="AR46" s="166"/>
      <c r="AS46" s="166"/>
      <c r="AT46" s="234">
        <v>950</v>
      </c>
      <c r="AU46" s="222">
        <v>750</v>
      </c>
      <c r="AV46" s="222">
        <v>750</v>
      </c>
      <c r="AW46" s="222">
        <v>750</v>
      </c>
      <c r="AX46" s="222">
        <v>750</v>
      </c>
      <c r="AY46" s="234">
        <v>750</v>
      </c>
      <c r="AZ46" s="222">
        <v>750</v>
      </c>
      <c r="BA46" s="222">
        <v>750</v>
      </c>
      <c r="BB46" s="222">
        <v>750</v>
      </c>
      <c r="BC46" s="222">
        <v>750</v>
      </c>
      <c r="BD46" s="234">
        <v>750</v>
      </c>
      <c r="BE46" s="222">
        <v>750</v>
      </c>
      <c r="BF46" s="222">
        <v>750</v>
      </c>
      <c r="BG46" s="222">
        <v>750</v>
      </c>
      <c r="BH46" s="222">
        <v>750</v>
      </c>
      <c r="BI46" s="234">
        <v>750</v>
      </c>
      <c r="BJ46" s="222">
        <v>750</v>
      </c>
      <c r="BK46" s="222">
        <v>750</v>
      </c>
      <c r="BL46" s="222">
        <v>750</v>
      </c>
      <c r="BM46" s="222">
        <f>BL46</f>
        <v>750</v>
      </c>
      <c r="BN46" s="221">
        <f>BM46</f>
        <v>750</v>
      </c>
      <c r="BO46" s="222">
        <v>750</v>
      </c>
      <c r="BP46" s="222">
        <v>750</v>
      </c>
      <c r="BQ46" s="222">
        <v>750</v>
      </c>
      <c r="BR46" s="222">
        <v>750</v>
      </c>
      <c r="BS46" s="221">
        <f>BR46</f>
        <v>750</v>
      </c>
      <c r="BT46" s="222">
        <v>1000</v>
      </c>
      <c r="BU46" s="222">
        <v>1000</v>
      </c>
      <c r="BV46" s="222">
        <v>1000</v>
      </c>
      <c r="BW46" s="222">
        <v>1000</v>
      </c>
      <c r="BX46" s="221">
        <f>BW46</f>
        <v>1000</v>
      </c>
      <c r="BY46" s="222">
        <v>1000</v>
      </c>
      <c r="BZ46" s="222">
        <v>1000</v>
      </c>
      <c r="CA46" s="222">
        <v>1000</v>
      </c>
      <c r="CB46" s="222">
        <v>1000</v>
      </c>
      <c r="CC46" s="221">
        <f>CB46</f>
        <v>1000</v>
      </c>
      <c r="CD46" s="222">
        <v>1000</v>
      </c>
      <c r="CE46" s="222">
        <v>1000</v>
      </c>
      <c r="CF46" s="222">
        <v>1000</v>
      </c>
      <c r="CG46" s="222">
        <v>1000</v>
      </c>
      <c r="CH46" s="221">
        <f>CG46</f>
        <v>1000</v>
      </c>
      <c r="CI46" s="222">
        <v>1000</v>
      </c>
      <c r="CJ46" s="222">
        <v>1000</v>
      </c>
      <c r="CK46" s="222">
        <v>1000</v>
      </c>
      <c r="CL46" s="222">
        <v>1000</v>
      </c>
      <c r="CM46" s="221">
        <f>CL46</f>
        <v>1000</v>
      </c>
      <c r="CN46" s="222">
        <v>1000</v>
      </c>
      <c r="CO46" s="222">
        <v>1000</v>
      </c>
      <c r="CP46" s="222">
        <v>1000</v>
      </c>
      <c r="CQ46" s="222">
        <v>1000</v>
      </c>
      <c r="CR46" s="221">
        <f>CQ46</f>
        <v>1000</v>
      </c>
      <c r="CS46" s="222">
        <v>1000</v>
      </c>
      <c r="CT46" s="222">
        <v>1000</v>
      </c>
      <c r="CU46" s="222">
        <v>1000</v>
      </c>
      <c r="CV46" s="222">
        <v>1000</v>
      </c>
      <c r="CW46" s="221">
        <f>CV46</f>
        <v>1000</v>
      </c>
      <c r="CX46" s="222">
        <v>1000</v>
      </c>
      <c r="CY46" s="222">
        <v>1000</v>
      </c>
      <c r="CZ46" s="222">
        <v>1000</v>
      </c>
      <c r="DA46" s="222">
        <v>1000</v>
      </c>
      <c r="DB46" s="221">
        <f>DA46</f>
        <v>1000</v>
      </c>
      <c r="DC46" s="5"/>
      <c r="DD46" s="5"/>
      <c r="DE46" s="171"/>
      <c r="DF46" s="171"/>
      <c r="DG46" s="171"/>
      <c r="DH46" s="171"/>
      <c r="DI46" s="171"/>
      <c r="DJ46" s="171"/>
    </row>
    <row r="47" spans="1:114">
      <c r="A47" s="171"/>
      <c r="B47" s="693" t="s">
        <v>518</v>
      </c>
      <c r="C47" s="38"/>
      <c r="D47" s="201"/>
      <c r="E47" s="201"/>
      <c r="F47" s="201"/>
      <c r="G47" s="166"/>
      <c r="H47" s="166"/>
      <c r="I47" s="166"/>
      <c r="J47" s="166"/>
      <c r="K47" s="201"/>
      <c r="L47" s="166"/>
      <c r="M47" s="166"/>
      <c r="N47" s="166"/>
      <c r="O47" s="166"/>
      <c r="P47" s="201"/>
      <c r="Q47" s="166"/>
      <c r="R47" s="166"/>
      <c r="S47" s="166"/>
      <c r="T47" s="166"/>
      <c r="U47" s="201"/>
      <c r="V47" s="166"/>
      <c r="W47" s="166"/>
      <c r="X47" s="166"/>
      <c r="Y47" s="166"/>
      <c r="Z47" s="201"/>
      <c r="AA47" s="166"/>
      <c r="AB47" s="166"/>
      <c r="AC47" s="166"/>
      <c r="AD47" s="166"/>
      <c r="AE47" s="201"/>
      <c r="AF47" s="166"/>
      <c r="AG47" s="166"/>
      <c r="AH47" s="166"/>
      <c r="AI47" s="166"/>
      <c r="AJ47" s="201"/>
      <c r="AK47" s="166"/>
      <c r="AL47" s="166"/>
      <c r="AM47" s="166"/>
      <c r="AN47" s="166"/>
      <c r="AO47" s="201"/>
      <c r="AP47" s="166"/>
      <c r="AQ47" s="166"/>
      <c r="AR47" s="166"/>
      <c r="AS47" s="166"/>
      <c r="AT47" s="221"/>
      <c r="AU47" s="192"/>
      <c r="AV47" s="192"/>
      <c r="AW47" s="192"/>
      <c r="AX47" s="193"/>
      <c r="AY47" s="194">
        <f>AT50</f>
        <v>750</v>
      </c>
      <c r="AZ47" s="192"/>
      <c r="BA47" s="192"/>
      <c r="BB47" s="192"/>
      <c r="BC47" s="193"/>
      <c r="BD47" s="194">
        <f>AY50</f>
        <v>750</v>
      </c>
      <c r="BE47" s="192"/>
      <c r="BF47" s="192"/>
      <c r="BG47" s="192"/>
      <c r="BH47" s="193"/>
      <c r="BI47" s="194">
        <f>BD50</f>
        <v>750</v>
      </c>
      <c r="BJ47" s="193">
        <f>BI50</f>
        <v>750</v>
      </c>
      <c r="BK47" s="193">
        <f>BJ50</f>
        <v>750</v>
      </c>
      <c r="BL47" s="193">
        <f>BK50</f>
        <v>750</v>
      </c>
      <c r="BM47" s="193">
        <f>BL50</f>
        <v>737.5</v>
      </c>
      <c r="BN47" s="194">
        <f>BI50</f>
        <v>750</v>
      </c>
      <c r="BO47" s="193">
        <f>BM50</f>
        <v>712.5</v>
      </c>
      <c r="BP47" s="193">
        <f>BO50</f>
        <v>712.5</v>
      </c>
      <c r="BQ47" s="193">
        <f>BP50</f>
        <v>693.75</v>
      </c>
      <c r="BR47" s="193">
        <f>BQ50</f>
        <v>656.25</v>
      </c>
      <c r="BS47" s="194">
        <f>BN50</f>
        <v>712.5</v>
      </c>
      <c r="BT47" s="193">
        <f>BR50</f>
        <v>637.5</v>
      </c>
      <c r="BU47" s="193">
        <f>BT50</f>
        <v>1000</v>
      </c>
      <c r="BV47" s="193">
        <f>BU50</f>
        <v>983</v>
      </c>
      <c r="BW47" s="193">
        <f>BV50</f>
        <v>967</v>
      </c>
      <c r="BX47" s="194">
        <f>BS50</f>
        <v>637.5</v>
      </c>
      <c r="BY47" s="193">
        <f>BW50</f>
        <v>950</v>
      </c>
      <c r="BZ47" s="193">
        <f>BY50</f>
        <v>925</v>
      </c>
      <c r="CA47" s="193">
        <f>BZ50</f>
        <v>900</v>
      </c>
      <c r="CB47" s="193">
        <f>CA50</f>
        <v>875</v>
      </c>
      <c r="CC47" s="194">
        <f>BX50</f>
        <v>950</v>
      </c>
      <c r="CD47" s="193">
        <f>CB50</f>
        <v>850</v>
      </c>
      <c r="CE47" s="193">
        <f>CD50</f>
        <v>820</v>
      </c>
      <c r="CF47" s="193">
        <f>CE50</f>
        <v>796</v>
      </c>
      <c r="CG47" s="193">
        <f>CF50</f>
        <v>796</v>
      </c>
      <c r="CH47" s="194">
        <f>CC50</f>
        <v>850</v>
      </c>
      <c r="CI47" s="193">
        <f>CG50</f>
        <v>745</v>
      </c>
      <c r="CJ47" s="193">
        <f>CI50</f>
        <v>712</v>
      </c>
      <c r="CK47" s="193">
        <f>CJ50</f>
        <v>0</v>
      </c>
      <c r="CL47" s="193">
        <f>CK50</f>
        <v>0</v>
      </c>
      <c r="CM47" s="194">
        <f>CH50</f>
        <v>745</v>
      </c>
      <c r="CN47" s="193">
        <f>CL50</f>
        <v>0</v>
      </c>
      <c r="CO47" s="193">
        <f>CN50</f>
        <v>0</v>
      </c>
      <c r="CP47" s="193">
        <f>CO50</f>
        <v>0</v>
      </c>
      <c r="CQ47" s="193">
        <f>CP50</f>
        <v>0</v>
      </c>
      <c r="CR47" s="194">
        <f>CM50</f>
        <v>0</v>
      </c>
      <c r="CS47" s="193">
        <f>CQ50</f>
        <v>0</v>
      </c>
      <c r="CT47" s="193">
        <f>CS50</f>
        <v>0</v>
      </c>
      <c r="CU47" s="193">
        <f>CT50</f>
        <v>0</v>
      </c>
      <c r="CV47" s="193">
        <f>CU50</f>
        <v>0</v>
      </c>
      <c r="CW47" s="194">
        <f>CR50</f>
        <v>0</v>
      </c>
      <c r="CX47" s="193">
        <f>CV50</f>
        <v>0</v>
      </c>
      <c r="CY47" s="193">
        <f>CX50</f>
        <v>0</v>
      </c>
      <c r="CZ47" s="193">
        <f>CY50</f>
        <v>0</v>
      </c>
      <c r="DA47" s="193">
        <f>CZ50</f>
        <v>0</v>
      </c>
      <c r="DB47" s="194">
        <f>CW50</f>
        <v>0</v>
      </c>
      <c r="DC47" s="5"/>
      <c r="DD47" s="5"/>
      <c r="DE47" s="171"/>
      <c r="DF47" s="171"/>
      <c r="DG47" s="171"/>
      <c r="DH47" s="171"/>
      <c r="DI47" s="171"/>
      <c r="DJ47" s="171"/>
    </row>
    <row r="48" spans="1:114">
      <c r="A48" s="171"/>
      <c r="B48" s="693" t="s">
        <v>654</v>
      </c>
      <c r="C48" s="38"/>
      <c r="D48" s="201"/>
      <c r="E48" s="201"/>
      <c r="F48" s="201"/>
      <c r="G48" s="166"/>
      <c r="H48" s="166"/>
      <c r="I48" s="166"/>
      <c r="J48" s="166"/>
      <c r="K48" s="201"/>
      <c r="L48" s="166"/>
      <c r="M48" s="166"/>
      <c r="N48" s="166"/>
      <c r="O48" s="166"/>
      <c r="P48" s="201"/>
      <c r="Q48" s="166"/>
      <c r="R48" s="166"/>
      <c r="S48" s="166"/>
      <c r="T48" s="166"/>
      <c r="U48" s="201"/>
      <c r="V48" s="166"/>
      <c r="W48" s="166"/>
      <c r="X48" s="166"/>
      <c r="Y48" s="166"/>
      <c r="Z48" s="201"/>
      <c r="AA48" s="166"/>
      <c r="AB48" s="166"/>
      <c r="AC48" s="166"/>
      <c r="AD48" s="166"/>
      <c r="AE48" s="201"/>
      <c r="AF48" s="166"/>
      <c r="AG48" s="166"/>
      <c r="AH48" s="166"/>
      <c r="AI48" s="166"/>
      <c r="AJ48" s="201"/>
      <c r="AK48" s="166"/>
      <c r="AL48" s="166"/>
      <c r="AM48" s="166"/>
      <c r="AN48" s="166"/>
      <c r="AO48" s="201"/>
      <c r="AP48" s="166"/>
      <c r="AQ48" s="166"/>
      <c r="AR48" s="166"/>
      <c r="AS48" s="166"/>
      <c r="AT48" s="221"/>
      <c r="AU48" s="192"/>
      <c r="AV48" s="192"/>
      <c r="AW48" s="192"/>
      <c r="AX48" s="193"/>
      <c r="AY48" s="194"/>
      <c r="AZ48" s="192"/>
      <c r="BA48" s="192"/>
      <c r="BB48" s="192"/>
      <c r="BC48" s="193"/>
      <c r="BD48" s="194"/>
      <c r="BE48" s="192"/>
      <c r="BF48" s="192"/>
      <c r="BG48" s="192"/>
      <c r="BH48" s="193"/>
      <c r="BI48" s="194"/>
      <c r="BJ48" s="193"/>
      <c r="BK48" s="193"/>
      <c r="BL48" s="193"/>
      <c r="BM48" s="193"/>
      <c r="BN48" s="194"/>
      <c r="BO48" s="193"/>
      <c r="BP48" s="193"/>
      <c r="BQ48" s="193"/>
      <c r="BR48" s="193"/>
      <c r="BS48" s="194"/>
      <c r="BT48" s="193"/>
      <c r="BU48" s="193"/>
      <c r="BV48" s="193"/>
      <c r="BW48" s="193"/>
      <c r="BX48" s="194"/>
      <c r="BY48" s="1181">
        <v>0</v>
      </c>
      <c r="BZ48" s="193">
        <v>0</v>
      </c>
      <c r="CA48" s="193">
        <v>0</v>
      </c>
      <c r="CB48" s="842">
        <v>0</v>
      </c>
      <c r="CC48" s="194">
        <f>SUM(BY48:CB48)</f>
        <v>0</v>
      </c>
      <c r="CD48" s="1181">
        <v>0</v>
      </c>
      <c r="CE48" s="193">
        <v>0</v>
      </c>
      <c r="CF48" s="193">
        <v>0</v>
      </c>
      <c r="CG48" s="842">
        <v>0</v>
      </c>
      <c r="CH48" s="194">
        <f>SUM(CD48:CG48)</f>
        <v>0</v>
      </c>
      <c r="CI48" s="1181">
        <v>0</v>
      </c>
      <c r="CJ48" s="193">
        <v>0</v>
      </c>
      <c r="CK48" s="193">
        <v>0</v>
      </c>
      <c r="CL48" s="842">
        <v>0</v>
      </c>
      <c r="CM48" s="194">
        <f>SUM(CI48:CL48)</f>
        <v>0</v>
      </c>
      <c r="CN48" s="1181">
        <v>0</v>
      </c>
      <c r="CO48" s="193">
        <v>0</v>
      </c>
      <c r="CP48" s="193">
        <v>0</v>
      </c>
      <c r="CQ48" s="842">
        <v>0</v>
      </c>
      <c r="CR48" s="194">
        <f>SUM(CN48:CQ48)</f>
        <v>0</v>
      </c>
      <c r="CS48" s="1181">
        <v>0</v>
      </c>
      <c r="CT48" s="193">
        <v>0</v>
      </c>
      <c r="CU48" s="193">
        <v>0</v>
      </c>
      <c r="CV48" s="842">
        <v>0</v>
      </c>
      <c r="CW48" s="194">
        <f>SUM(CS48:CV48)</f>
        <v>0</v>
      </c>
      <c r="CX48" s="1181">
        <v>0</v>
      </c>
      <c r="CY48" s="193">
        <v>0</v>
      </c>
      <c r="CZ48" s="193">
        <v>0</v>
      </c>
      <c r="DA48" s="842">
        <v>0</v>
      </c>
      <c r="DB48" s="194">
        <f>SUM(CX48:DA48)</f>
        <v>0</v>
      </c>
      <c r="DC48" s="5"/>
      <c r="DD48" s="5"/>
      <c r="DE48" s="171"/>
      <c r="DF48" s="171"/>
      <c r="DG48" s="171"/>
      <c r="DH48" s="171"/>
      <c r="DI48" s="171"/>
      <c r="DJ48" s="171"/>
    </row>
    <row r="49" spans="1:114">
      <c r="A49" s="171"/>
      <c r="B49" s="691" t="s">
        <v>653</v>
      </c>
      <c r="C49" s="33"/>
      <c r="D49" s="206"/>
      <c r="E49" s="206"/>
      <c r="F49" s="206"/>
      <c r="G49" s="214"/>
      <c r="H49" s="214"/>
      <c r="I49" s="214"/>
      <c r="J49" s="214"/>
      <c r="K49" s="206"/>
      <c r="L49" s="214"/>
      <c r="M49" s="214"/>
      <c r="N49" s="214"/>
      <c r="O49" s="214"/>
      <c r="P49" s="206"/>
      <c r="Q49" s="214"/>
      <c r="R49" s="214"/>
      <c r="S49" s="214"/>
      <c r="T49" s="214"/>
      <c r="U49" s="206"/>
      <c r="V49" s="214"/>
      <c r="W49" s="214"/>
      <c r="X49" s="214"/>
      <c r="Y49" s="214"/>
      <c r="Z49" s="206"/>
      <c r="AA49" s="214"/>
      <c r="AB49" s="214"/>
      <c r="AC49" s="214"/>
      <c r="AD49" s="214"/>
      <c r="AE49" s="206"/>
      <c r="AF49" s="214"/>
      <c r="AG49" s="214"/>
      <c r="AH49" s="214"/>
      <c r="AI49" s="214"/>
      <c r="AJ49" s="206"/>
      <c r="AK49" s="214"/>
      <c r="AL49" s="214"/>
      <c r="AM49" s="214"/>
      <c r="AN49" s="214"/>
      <c r="AO49" s="206"/>
      <c r="AP49" s="214"/>
      <c r="AQ49" s="214"/>
      <c r="AR49" s="214"/>
      <c r="AS49" s="214"/>
      <c r="AT49" s="225"/>
      <c r="AU49" s="226"/>
      <c r="AV49" s="226"/>
      <c r="AW49" s="226"/>
      <c r="AX49" s="195"/>
      <c r="AY49" s="197">
        <f>AY50-AY47</f>
        <v>0</v>
      </c>
      <c r="AZ49" s="226"/>
      <c r="BA49" s="226"/>
      <c r="BB49" s="226"/>
      <c r="BC49" s="195"/>
      <c r="BD49" s="197">
        <f>BD50-BD47</f>
        <v>0</v>
      </c>
      <c r="BE49" s="226"/>
      <c r="BF49" s="226"/>
      <c r="BG49" s="226"/>
      <c r="BH49" s="195"/>
      <c r="BI49" s="197">
        <f>BI50-BI47</f>
        <v>0</v>
      </c>
      <c r="BJ49" s="196">
        <f>BJ50-BJ47</f>
        <v>0</v>
      </c>
      <c r="BK49" s="196">
        <f>BK50-BK47</f>
        <v>0</v>
      </c>
      <c r="BL49" s="196">
        <f>BL50-BL47</f>
        <v>-12.5</v>
      </c>
      <c r="BM49" s="196">
        <f>BM50-BM47</f>
        <v>-25</v>
      </c>
      <c r="BN49" s="197">
        <f>SUM(BJ49:BM49)</f>
        <v>-37.5</v>
      </c>
      <c r="BO49" s="196">
        <f>BO50-BO47</f>
        <v>0</v>
      </c>
      <c r="BP49" s="196">
        <f>BP50-BP47</f>
        <v>-18.75</v>
      </c>
      <c r="BQ49" s="196">
        <f>BQ50-BQ47</f>
        <v>-37.5</v>
      </c>
      <c r="BR49" s="196">
        <f>BR50-BR47</f>
        <v>-18.75</v>
      </c>
      <c r="BS49" s="197">
        <f>SUM(BO49:BR49)</f>
        <v>-75</v>
      </c>
      <c r="BT49" s="196">
        <f>BT50-BT47</f>
        <v>362.5</v>
      </c>
      <c r="BU49" s="196">
        <f>BU50-BU47</f>
        <v>-17</v>
      </c>
      <c r="BV49" s="196">
        <f>BV50-BV47</f>
        <v>-16</v>
      </c>
      <c r="BW49" s="196">
        <f>BW50-BW47</f>
        <v>-17</v>
      </c>
      <c r="BX49" s="197">
        <f>SUM(BT49:BW49)</f>
        <v>312.5</v>
      </c>
      <c r="BY49" s="196">
        <f>BY50-BY47</f>
        <v>-25</v>
      </c>
      <c r="BZ49" s="196">
        <f>BZ50-BZ47</f>
        <v>-25</v>
      </c>
      <c r="CA49" s="196">
        <f>CA50-CA47</f>
        <v>-25</v>
      </c>
      <c r="CB49" s="196">
        <f>CB50-CB47</f>
        <v>-25</v>
      </c>
      <c r="CC49" s="197">
        <f>SUM(BY49:CB49)</f>
        <v>-100</v>
      </c>
      <c r="CD49" s="196">
        <f>CD50-CD47</f>
        <v>-30</v>
      </c>
      <c r="CE49" s="196">
        <f>CE50-CE47</f>
        <v>-24</v>
      </c>
      <c r="CF49" s="196">
        <v>0</v>
      </c>
      <c r="CG49" s="196">
        <f>+CG50-CG47</f>
        <v>-51</v>
      </c>
      <c r="CH49" s="197">
        <f>SUM(CD49:CG49)</f>
        <v>-105</v>
      </c>
      <c r="CI49" s="196">
        <f>+CI50-CI47</f>
        <v>-33</v>
      </c>
      <c r="CJ49" s="1150">
        <v>-712</v>
      </c>
      <c r="CK49" s="196">
        <v>0</v>
      </c>
      <c r="CL49" s="196">
        <v>0</v>
      </c>
      <c r="CM49" s="197">
        <f>SUM(CI49:CL49)</f>
        <v>-745</v>
      </c>
      <c r="CN49" s="196">
        <v>0</v>
      </c>
      <c r="CO49" s="196">
        <v>0</v>
      </c>
      <c r="CP49" s="196">
        <v>0</v>
      </c>
      <c r="CQ49" s="196">
        <v>0</v>
      </c>
      <c r="CR49" s="197">
        <f>SUM(CN49:CQ49)</f>
        <v>0</v>
      </c>
      <c r="CS49" s="196">
        <v>0</v>
      </c>
      <c r="CT49" s="196">
        <v>0</v>
      </c>
      <c r="CU49" s="196">
        <v>0</v>
      </c>
      <c r="CV49" s="196">
        <v>0</v>
      </c>
      <c r="CW49" s="197">
        <f>SUM(CS49:CV49)</f>
        <v>0</v>
      </c>
      <c r="CX49" s="196">
        <v>0</v>
      </c>
      <c r="CY49" s="196">
        <v>0</v>
      </c>
      <c r="CZ49" s="196">
        <v>0</v>
      </c>
      <c r="DA49" s="196">
        <v>0</v>
      </c>
      <c r="DB49" s="197">
        <f>SUM(CX49:DA49)</f>
        <v>0</v>
      </c>
      <c r="DC49" s="5"/>
      <c r="DD49" s="5"/>
      <c r="DE49" s="171"/>
      <c r="DF49" s="171"/>
      <c r="DG49" s="171"/>
      <c r="DH49" s="171"/>
      <c r="DI49" s="171"/>
      <c r="DJ49" s="171"/>
    </row>
    <row r="50" spans="1:114">
      <c r="A50" s="171"/>
      <c r="B50" s="693" t="s">
        <v>519</v>
      </c>
      <c r="C50" s="38"/>
      <c r="D50" s="201"/>
      <c r="E50" s="201"/>
      <c r="F50" s="201"/>
      <c r="G50" s="166"/>
      <c r="H50" s="166"/>
      <c r="I50" s="166"/>
      <c r="J50" s="166"/>
      <c r="K50" s="201"/>
      <c r="L50" s="166"/>
      <c r="M50" s="166"/>
      <c r="N50" s="166"/>
      <c r="O50" s="166"/>
      <c r="P50" s="201"/>
      <c r="Q50" s="166"/>
      <c r="R50" s="166"/>
      <c r="S50" s="166"/>
      <c r="T50" s="166"/>
      <c r="U50" s="201"/>
      <c r="V50" s="166"/>
      <c r="W50" s="166"/>
      <c r="X50" s="166"/>
      <c r="Y50" s="166"/>
      <c r="Z50" s="201"/>
      <c r="AA50" s="166"/>
      <c r="AB50" s="166"/>
      <c r="AC50" s="166"/>
      <c r="AD50" s="166"/>
      <c r="AE50" s="201"/>
      <c r="AF50" s="166"/>
      <c r="AG50" s="166"/>
      <c r="AH50" s="166"/>
      <c r="AI50" s="166"/>
      <c r="AJ50" s="201"/>
      <c r="AK50" s="166"/>
      <c r="AL50" s="166"/>
      <c r="AM50" s="166"/>
      <c r="AN50" s="166"/>
      <c r="AO50" s="201"/>
      <c r="AP50" s="166"/>
      <c r="AQ50" s="166"/>
      <c r="AR50" s="166"/>
      <c r="AS50" s="166"/>
      <c r="AT50" s="234">
        <v>750</v>
      </c>
      <c r="AU50" s="192"/>
      <c r="AV50" s="192"/>
      <c r="AW50" s="192"/>
      <c r="AX50" s="192"/>
      <c r="AY50" s="272">
        <v>750</v>
      </c>
      <c r="AZ50" s="192"/>
      <c r="BA50" s="192"/>
      <c r="BB50" s="192"/>
      <c r="BC50" s="192"/>
      <c r="BD50" s="272">
        <v>750</v>
      </c>
      <c r="BE50" s="192"/>
      <c r="BF50" s="192"/>
      <c r="BG50" s="192"/>
      <c r="BH50" s="192"/>
      <c r="BI50" s="272">
        <v>750</v>
      </c>
      <c r="BJ50" s="198">
        <v>750</v>
      </c>
      <c r="BK50" s="198">
        <v>750</v>
      </c>
      <c r="BL50" s="193">
        <v>737.5</v>
      </c>
      <c r="BM50" s="198">
        <v>712.5</v>
      </c>
      <c r="BN50" s="194">
        <f>BM50</f>
        <v>712.5</v>
      </c>
      <c r="BO50" s="198">
        <v>712.5</v>
      </c>
      <c r="BP50" s="198">
        <v>693.75</v>
      </c>
      <c r="BQ50" s="550">
        <v>656.25</v>
      </c>
      <c r="BR50" s="550">
        <v>637.5</v>
      </c>
      <c r="BS50" s="194">
        <f>BR50</f>
        <v>637.5</v>
      </c>
      <c r="BT50" s="550">
        <v>1000</v>
      </c>
      <c r="BU50" s="550">
        <v>983</v>
      </c>
      <c r="BV50" s="583">
        <v>967</v>
      </c>
      <c r="BW50" s="550">
        <v>950</v>
      </c>
      <c r="BX50" s="194">
        <f>BW50</f>
        <v>950</v>
      </c>
      <c r="BY50" s="550">
        <v>925</v>
      </c>
      <c r="BZ50" s="583">
        <v>900</v>
      </c>
      <c r="CA50" s="583">
        <v>875</v>
      </c>
      <c r="CB50" s="583">
        <v>850</v>
      </c>
      <c r="CC50" s="194">
        <f>CB50</f>
        <v>850</v>
      </c>
      <c r="CD50" s="583">
        <v>820</v>
      </c>
      <c r="CE50" s="583">
        <v>796</v>
      </c>
      <c r="CF50" s="193">
        <f>SUM(CF47:CF49)</f>
        <v>796</v>
      </c>
      <c r="CG50" s="583">
        <v>745</v>
      </c>
      <c r="CH50" s="194">
        <f>CG50</f>
        <v>745</v>
      </c>
      <c r="CI50" s="582">
        <v>712</v>
      </c>
      <c r="CJ50" s="193">
        <f>SUM(CJ47:CJ49)</f>
        <v>0</v>
      </c>
      <c r="CK50" s="193">
        <f>SUM(CK47:CK49)</f>
        <v>0</v>
      </c>
      <c r="CL50" s="193">
        <f>SUM(CL47:CL49)</f>
        <v>0</v>
      </c>
      <c r="CM50" s="194">
        <f>CL50</f>
        <v>0</v>
      </c>
      <c r="CN50" s="193">
        <f>SUM(CN47:CN49)</f>
        <v>0</v>
      </c>
      <c r="CO50" s="193">
        <f>SUM(CO47:CO49)</f>
        <v>0</v>
      </c>
      <c r="CP50" s="193">
        <f>SUM(CP47:CP49)</f>
        <v>0</v>
      </c>
      <c r="CQ50" s="193">
        <f>SUM(CQ47:CQ49)</f>
        <v>0</v>
      </c>
      <c r="CR50" s="194">
        <f>CQ50</f>
        <v>0</v>
      </c>
      <c r="CS50" s="193">
        <f>SUM(CS47:CS49)</f>
        <v>0</v>
      </c>
      <c r="CT50" s="193">
        <f>SUM(CT47:CT49)</f>
        <v>0</v>
      </c>
      <c r="CU50" s="193">
        <f>SUM(CU47:CU49)</f>
        <v>0</v>
      </c>
      <c r="CV50" s="193">
        <f>SUM(CV47:CV49)</f>
        <v>0</v>
      </c>
      <c r="CW50" s="194">
        <f>CV50</f>
        <v>0</v>
      </c>
      <c r="CX50" s="193">
        <f>SUM(CX47:CX49)</f>
        <v>0</v>
      </c>
      <c r="CY50" s="193">
        <f>SUM(CY47:CY49)</f>
        <v>0</v>
      </c>
      <c r="CZ50" s="193">
        <f>SUM(CZ47:CZ49)</f>
        <v>0</v>
      </c>
      <c r="DA50" s="193">
        <f>SUM(DA47:DA49)</f>
        <v>0</v>
      </c>
      <c r="DB50" s="194">
        <f>DA50</f>
        <v>0</v>
      </c>
      <c r="DC50" s="5"/>
      <c r="DD50" s="5"/>
      <c r="DE50" s="171"/>
      <c r="DF50" s="171"/>
      <c r="DG50" s="699"/>
      <c r="DH50" s="699"/>
      <c r="DI50" s="699"/>
      <c r="DJ50" s="699"/>
    </row>
    <row r="51" spans="1:114">
      <c r="A51" s="171"/>
      <c r="B51" s="690" t="s">
        <v>362</v>
      </c>
      <c r="C51" s="38"/>
      <c r="D51" s="201"/>
      <c r="E51" s="201"/>
      <c r="F51" s="201"/>
      <c r="G51" s="166"/>
      <c r="H51" s="166"/>
      <c r="I51" s="166"/>
      <c r="J51" s="166"/>
      <c r="K51" s="201"/>
      <c r="L51" s="166"/>
      <c r="M51" s="166"/>
      <c r="N51" s="166"/>
      <c r="O51" s="166"/>
      <c r="P51" s="201"/>
      <c r="Q51" s="166"/>
      <c r="R51" s="166"/>
      <c r="S51" s="166"/>
      <c r="T51" s="166"/>
      <c r="U51" s="201"/>
      <c r="V51" s="166"/>
      <c r="W51" s="166"/>
      <c r="X51" s="166"/>
      <c r="Y51" s="166"/>
      <c r="Z51" s="201"/>
      <c r="AA51" s="166"/>
      <c r="AB51" s="166"/>
      <c r="AC51" s="166"/>
      <c r="AD51" s="166"/>
      <c r="AE51" s="201"/>
      <c r="AF51" s="166"/>
      <c r="AG51" s="166"/>
      <c r="AH51" s="166"/>
      <c r="AI51" s="166"/>
      <c r="AJ51" s="201"/>
      <c r="AK51" s="166"/>
      <c r="AL51" s="166"/>
      <c r="AM51" s="166"/>
      <c r="AN51" s="166"/>
      <c r="AO51" s="201"/>
      <c r="AP51" s="166"/>
      <c r="AQ51" s="166"/>
      <c r="AR51" s="166"/>
      <c r="AS51" s="166"/>
      <c r="AT51" s="221"/>
      <c r="AU51" s="193"/>
      <c r="AV51" s="192"/>
      <c r="AW51" s="192"/>
      <c r="AX51" s="193"/>
      <c r="AY51" s="194">
        <f>AY46-AY50</f>
        <v>0</v>
      </c>
      <c r="AZ51" s="193"/>
      <c r="BA51" s="192"/>
      <c r="BB51" s="192"/>
      <c r="BC51" s="193"/>
      <c r="BD51" s="194">
        <f>BD46-BD50</f>
        <v>0</v>
      </c>
      <c r="BE51" s="193"/>
      <c r="BF51" s="192"/>
      <c r="BG51" s="192"/>
      <c r="BH51" s="193"/>
      <c r="BI51" s="194">
        <f>BI46-BI50</f>
        <v>0</v>
      </c>
      <c r="BJ51" s="193">
        <f>BJ46-BJ50</f>
        <v>0</v>
      </c>
      <c r="BK51" s="193">
        <f>BK46-BK50</f>
        <v>0</v>
      </c>
      <c r="BL51" s="193">
        <f>BL46-BL50</f>
        <v>12.5</v>
      </c>
      <c r="BM51" s="193">
        <f>BM46-BM50</f>
        <v>37.5</v>
      </c>
      <c r="BN51" s="194">
        <f>BM51</f>
        <v>37.5</v>
      </c>
      <c r="BO51" s="193">
        <f>BO46-BO50</f>
        <v>37.5</v>
      </c>
      <c r="BP51" s="193">
        <f>BP46-BP50</f>
        <v>56.25</v>
      </c>
      <c r="BQ51" s="193">
        <f>BQ46-BQ50</f>
        <v>93.75</v>
      </c>
      <c r="BR51" s="193">
        <f>BR46-BR50</f>
        <v>112.5</v>
      </c>
      <c r="BS51" s="194">
        <f>BR51</f>
        <v>112.5</v>
      </c>
      <c r="BT51" s="193">
        <f>BT46-BT50</f>
        <v>0</v>
      </c>
      <c r="BU51" s="193">
        <f>BU46-BU50</f>
        <v>17</v>
      </c>
      <c r="BV51" s="193">
        <f>BV46-BV50</f>
        <v>33</v>
      </c>
      <c r="BW51" s="193">
        <f>BW46-BW50</f>
        <v>50</v>
      </c>
      <c r="BX51" s="194">
        <f>BW51</f>
        <v>50</v>
      </c>
      <c r="BY51" s="193">
        <f>BY46-BY50</f>
        <v>75</v>
      </c>
      <c r="BZ51" s="193">
        <f>BZ46-BZ50</f>
        <v>100</v>
      </c>
      <c r="CA51" s="193">
        <f>CA46-CA50</f>
        <v>125</v>
      </c>
      <c r="CB51" s="193">
        <f>CB46-CB50</f>
        <v>150</v>
      </c>
      <c r="CC51" s="194">
        <f>CB51</f>
        <v>150</v>
      </c>
      <c r="CD51" s="193">
        <f>CD46-CD50</f>
        <v>180</v>
      </c>
      <c r="CE51" s="193">
        <f>CE46-CE50</f>
        <v>204</v>
      </c>
      <c r="CF51" s="193">
        <f>CF46-CF50</f>
        <v>204</v>
      </c>
      <c r="CG51" s="193">
        <f>CG46-CG50</f>
        <v>255</v>
      </c>
      <c r="CH51" s="194">
        <f>CG51</f>
        <v>255</v>
      </c>
      <c r="CI51" s="193">
        <f>CI46-CI50</f>
        <v>288</v>
      </c>
      <c r="CJ51" s="193">
        <f>CJ46-CJ50</f>
        <v>1000</v>
      </c>
      <c r="CK51" s="193">
        <f>CK46-CK50</f>
        <v>1000</v>
      </c>
      <c r="CL51" s="193">
        <f>CL46-CL50</f>
        <v>1000</v>
      </c>
      <c r="CM51" s="194">
        <f>CL51</f>
        <v>1000</v>
      </c>
      <c r="CN51" s="193">
        <f>CN46-CN50</f>
        <v>1000</v>
      </c>
      <c r="CO51" s="193">
        <f>CO46-CO50</f>
        <v>1000</v>
      </c>
      <c r="CP51" s="193">
        <f>CP46-CP50</f>
        <v>1000</v>
      </c>
      <c r="CQ51" s="193">
        <f>CQ46-CQ50</f>
        <v>1000</v>
      </c>
      <c r="CR51" s="194">
        <f>CQ51</f>
        <v>1000</v>
      </c>
      <c r="CS51" s="193">
        <f>CS46-CS50</f>
        <v>1000</v>
      </c>
      <c r="CT51" s="193">
        <f>CT46-CT50</f>
        <v>1000</v>
      </c>
      <c r="CU51" s="193">
        <f>CU46-CU50</f>
        <v>1000</v>
      </c>
      <c r="CV51" s="193">
        <f>CV46-CV50</f>
        <v>1000</v>
      </c>
      <c r="CW51" s="194">
        <f>CV51</f>
        <v>1000</v>
      </c>
      <c r="CX51" s="193">
        <f>CX46-CX50</f>
        <v>1000</v>
      </c>
      <c r="CY51" s="193">
        <f>CY46-CY50</f>
        <v>1000</v>
      </c>
      <c r="CZ51" s="193">
        <f>CZ46-CZ50</f>
        <v>1000</v>
      </c>
      <c r="DA51" s="193">
        <f>DA46-DA50</f>
        <v>1000</v>
      </c>
      <c r="DB51" s="194">
        <f>DA51</f>
        <v>1000</v>
      </c>
      <c r="DC51" s="5"/>
      <c r="DD51" s="5"/>
      <c r="DE51" s="171"/>
      <c r="DF51" s="171"/>
      <c r="DG51" s="699"/>
      <c r="DH51" s="699"/>
      <c r="DI51" s="699"/>
      <c r="DJ51" s="699"/>
    </row>
    <row r="52" spans="1:114">
      <c r="A52" s="700"/>
      <c r="B52" s="693" t="s">
        <v>520</v>
      </c>
      <c r="C52" s="38"/>
      <c r="D52" s="168"/>
      <c r="E52" s="168"/>
      <c r="F52" s="168"/>
      <c r="G52" s="158"/>
      <c r="H52" s="158"/>
      <c r="I52" s="158"/>
      <c r="J52" s="158"/>
      <c r="K52" s="168"/>
      <c r="L52" s="158"/>
      <c r="M52" s="158"/>
      <c r="N52" s="158"/>
      <c r="O52" s="158"/>
      <c r="P52" s="168"/>
      <c r="Q52" s="158"/>
      <c r="R52" s="158"/>
      <c r="S52" s="158"/>
      <c r="T52" s="158"/>
      <c r="U52" s="168"/>
      <c r="V52" s="158"/>
      <c r="W52" s="158"/>
      <c r="X52" s="158"/>
      <c r="Y52" s="158"/>
      <c r="Z52" s="168"/>
      <c r="AA52" s="158"/>
      <c r="AB52" s="158"/>
      <c r="AC52" s="158"/>
      <c r="AD52" s="158"/>
      <c r="AE52" s="168"/>
      <c r="AF52" s="158"/>
      <c r="AG52" s="158"/>
      <c r="AH52" s="158"/>
      <c r="AI52" s="158"/>
      <c r="AJ52" s="168"/>
      <c r="AK52" s="158"/>
      <c r="AL52" s="158"/>
      <c r="AM52" s="158"/>
      <c r="AN52" s="158"/>
      <c r="AO52" s="168"/>
      <c r="AP52" s="158"/>
      <c r="AQ52" s="158"/>
      <c r="AR52" s="158"/>
      <c r="AS52" s="158"/>
      <c r="AT52" s="235"/>
      <c r="AU52" s="192"/>
      <c r="AV52" s="192"/>
      <c r="AW52" s="192"/>
      <c r="AX52" s="192"/>
      <c r="AY52" s="194">
        <f>AY45*AVERAGE(AY50,AY47)</f>
        <v>30</v>
      </c>
      <c r="AZ52" s="192"/>
      <c r="BA52" s="192"/>
      <c r="BB52" s="192"/>
      <c r="BC52" s="192"/>
      <c r="BD52" s="194">
        <f>BD45*AVERAGE(BD50,BD47)</f>
        <v>30</v>
      </c>
      <c r="BE52" s="192"/>
      <c r="BF52" s="192"/>
      <c r="BG52" s="192"/>
      <c r="BH52" s="192"/>
      <c r="BI52" s="194">
        <f>BI45*AVERAGE(BI50,BI47)</f>
        <v>30</v>
      </c>
      <c r="BJ52" s="192">
        <f>BJ45/4*AVERAGE(BJ50,BJ50)</f>
        <v>7.5</v>
      </c>
      <c r="BK52" s="192">
        <f>BK45/4*AVERAGE(BK50,BK47)</f>
        <v>7.5</v>
      </c>
      <c r="BL52" s="192">
        <f>BL45/4*AVERAGE(BL50,BL47)</f>
        <v>7.4375</v>
      </c>
      <c r="BM52" s="192">
        <f>BM45/4*AVERAGE(BM50,BM47)</f>
        <v>7.25</v>
      </c>
      <c r="BN52" s="194">
        <f>SUM(BJ52:BM52)</f>
        <v>29.6875</v>
      </c>
      <c r="BO52" s="192">
        <f>BO45/4*AVERAGE(BO50,BO47)</f>
        <v>7.125</v>
      </c>
      <c r="BP52" s="192">
        <f>BP45/4*AVERAGE(BP50,BP47)</f>
        <v>7.03125</v>
      </c>
      <c r="BQ52" s="192">
        <f>BQ45/4*AVERAGE(BQ50,BQ47)</f>
        <v>6.75</v>
      </c>
      <c r="BR52" s="192">
        <f>BR45/4*AVERAGE(BR50,BR47)</f>
        <v>6.46875</v>
      </c>
      <c r="BS52" s="194">
        <f>SUM(BO52:BR52)</f>
        <v>27.375</v>
      </c>
      <c r="BT52" s="192">
        <f>BT45/4*AVERAGE(BT50,BT50,BT47)</f>
        <v>7.6927083333333339</v>
      </c>
      <c r="BU52" s="192">
        <f>BU45/4*AVERAGE(BU50,BU47)</f>
        <v>8.6756250000000001</v>
      </c>
      <c r="BV52" s="192">
        <f>BV45/4*AVERAGE(BV50,BV47)</f>
        <v>8.53125</v>
      </c>
      <c r="BW52" s="192">
        <f>BW45/4*AVERAGE(BW50,BW47)</f>
        <v>8.3868750000000016</v>
      </c>
      <c r="BX52" s="194">
        <f>SUM(BT52:BW52)</f>
        <v>33.286458333333336</v>
      </c>
      <c r="BY52" s="192">
        <f>BY45/4*AVERAGE(BY50,BY47)</f>
        <v>8.203125</v>
      </c>
      <c r="BZ52" s="192">
        <f>BZ45/4*AVERAGE(BZ50,BZ47)</f>
        <v>7.9843750000000009</v>
      </c>
      <c r="CA52" s="192">
        <f>CA45/4*AVERAGE(CA50,CA47)</f>
        <v>7.7656250000000009</v>
      </c>
      <c r="CB52" s="192">
        <f>CB45/4*AVERAGE(CB50,CB47)</f>
        <v>7.5468750000000009</v>
      </c>
      <c r="CC52" s="194">
        <f>SUM(BY52:CB52)</f>
        <v>31.5</v>
      </c>
      <c r="CD52" s="192">
        <f>CD45/4*AVERAGE(CD50,CD47)</f>
        <v>7.3062500000000004</v>
      </c>
      <c r="CE52" s="192">
        <f>CE45/4*AVERAGE(CE50,CE47)</f>
        <v>7.07</v>
      </c>
      <c r="CF52" s="192">
        <f>CF45/4*AVERAGE(CF50,CF47)</f>
        <v>6.9650000000000007</v>
      </c>
      <c r="CG52" s="192">
        <f>CG45/4*AVERAGE(CG50,CG47)</f>
        <v>6.7418750000000003</v>
      </c>
      <c r="CH52" s="194">
        <f>SUM(CD52:CG52)</f>
        <v>28.083125000000003</v>
      </c>
      <c r="CI52" s="192">
        <f>CI45/4*AVERAGE(CI50,CI47)</f>
        <v>6.3743750000000006</v>
      </c>
      <c r="CJ52" s="192">
        <f>CJ45/4*AVERAGE(CJ50,CJ47)</f>
        <v>3.1150000000000002</v>
      </c>
      <c r="CK52" s="192">
        <f>CK45/4*AVERAGE(CK50,CK47)</f>
        <v>0</v>
      </c>
      <c r="CL52" s="192">
        <f>CL45/4*AVERAGE(CL50,CL47)</f>
        <v>0</v>
      </c>
      <c r="CM52" s="194">
        <f>SUM(CI52:CL52)</f>
        <v>9.4893750000000008</v>
      </c>
      <c r="CN52" s="192">
        <f>CN45/4*AVERAGE(CN50,CN47)</f>
        <v>0</v>
      </c>
      <c r="CO52" s="192">
        <f>CO45/4*AVERAGE(CO50,CO47)</f>
        <v>0</v>
      </c>
      <c r="CP52" s="192">
        <f>CP45/4*AVERAGE(CP50,CP47)</f>
        <v>0</v>
      </c>
      <c r="CQ52" s="192">
        <f>CQ45/4*AVERAGE(CQ50,CQ47)</f>
        <v>0</v>
      </c>
      <c r="CR52" s="194">
        <f>SUM(CN52:CQ52)</f>
        <v>0</v>
      </c>
      <c r="CS52" s="192">
        <f>CS45/4*AVERAGE(CS50,CS47)</f>
        <v>0</v>
      </c>
      <c r="CT52" s="192">
        <f>CT45/4*AVERAGE(CT50,CT47)</f>
        <v>0</v>
      </c>
      <c r="CU52" s="192">
        <f>CU45/4*AVERAGE(CU50,CU47)</f>
        <v>0</v>
      </c>
      <c r="CV52" s="192">
        <f>CV45/4*AVERAGE(CV50,CV47)</f>
        <v>0</v>
      </c>
      <c r="CW52" s="194">
        <f>SUM(CS52:CV52)</f>
        <v>0</v>
      </c>
      <c r="CX52" s="192">
        <f>CX45/4*AVERAGE(CX50,CX47)</f>
        <v>0</v>
      </c>
      <c r="CY52" s="192">
        <f>CY45/4*AVERAGE(CY50,CY47)</f>
        <v>0</v>
      </c>
      <c r="CZ52" s="192">
        <f>CZ45/4*AVERAGE(CZ50,CZ47)</f>
        <v>0</v>
      </c>
      <c r="DA52" s="192">
        <f>DA45/4*AVERAGE(DA50,DA47)</f>
        <v>0</v>
      </c>
      <c r="DB52" s="194">
        <f>SUM(CX52:DA52)</f>
        <v>0</v>
      </c>
      <c r="DC52" s="5"/>
      <c r="DD52" s="5"/>
      <c r="DE52" s="171"/>
      <c r="DF52" s="171"/>
      <c r="DG52" s="699"/>
      <c r="DH52" s="699"/>
      <c r="DI52" s="699"/>
      <c r="DJ52" s="699"/>
    </row>
    <row r="53" spans="1:114">
      <c r="A53" s="700"/>
      <c r="B53" s="691" t="s">
        <v>363</v>
      </c>
      <c r="C53" s="33"/>
      <c r="D53" s="206"/>
      <c r="E53" s="206"/>
      <c r="F53" s="206"/>
      <c r="G53" s="214"/>
      <c r="H53" s="214"/>
      <c r="I53" s="214"/>
      <c r="J53" s="214"/>
      <c r="K53" s="206"/>
      <c r="L53" s="214"/>
      <c r="M53" s="214"/>
      <c r="N53" s="214"/>
      <c r="O53" s="214"/>
      <c r="P53" s="206"/>
      <c r="Q53" s="214"/>
      <c r="R53" s="214"/>
      <c r="S53" s="214"/>
      <c r="T53" s="214"/>
      <c r="U53" s="206"/>
      <c r="V53" s="214"/>
      <c r="W53" s="214"/>
      <c r="X53" s="214"/>
      <c r="Y53" s="214"/>
      <c r="Z53" s="206"/>
      <c r="AA53" s="214"/>
      <c r="AB53" s="214"/>
      <c r="AC53" s="214"/>
      <c r="AD53" s="214"/>
      <c r="AE53" s="206"/>
      <c r="AF53" s="214"/>
      <c r="AG53" s="214"/>
      <c r="AH53" s="214"/>
      <c r="AI53" s="214"/>
      <c r="AJ53" s="206"/>
      <c r="AK53" s="214"/>
      <c r="AL53" s="214"/>
      <c r="AM53" s="214"/>
      <c r="AN53" s="214"/>
      <c r="AO53" s="206"/>
      <c r="AP53" s="214"/>
      <c r="AQ53" s="214"/>
      <c r="AR53" s="214"/>
      <c r="AS53" s="214"/>
      <c r="AT53" s="225"/>
      <c r="AU53" s="230"/>
      <c r="AV53" s="226"/>
      <c r="AW53" s="226"/>
      <c r="AX53" s="230"/>
      <c r="AY53" s="197">
        <f>AY44*(AVERAGE(AY51,AT51))</f>
        <v>0</v>
      </c>
      <c r="AZ53" s="230"/>
      <c r="BA53" s="226"/>
      <c r="BB53" s="226"/>
      <c r="BC53" s="230"/>
      <c r="BD53" s="197">
        <f>BD44*(AVERAGE(BD51,AY51))</f>
        <v>0</v>
      </c>
      <c r="BE53" s="230"/>
      <c r="BF53" s="226"/>
      <c r="BG53" s="226"/>
      <c r="BH53" s="230"/>
      <c r="BI53" s="197">
        <f>BI44*(AVERAGE(BI51,BD51))</f>
        <v>0</v>
      </c>
      <c r="BJ53" s="230">
        <f>BJ44/4*(AVERAGE(BJ51,BJ51))</f>
        <v>0</v>
      </c>
      <c r="BK53" s="230">
        <f>BK44/4*(AVERAGE(BK51,BJ51))</f>
        <v>0</v>
      </c>
      <c r="BL53" s="230">
        <f>BL44/4*(AVERAGE(BL51,BK51))</f>
        <v>3.90625E-3</v>
      </c>
      <c r="BM53" s="230">
        <f>BM44/4*(AVERAGE(BM51,BL51))</f>
        <v>1.5625E-2</v>
      </c>
      <c r="BN53" s="197"/>
      <c r="BO53" s="230">
        <f>BO44/4*(AVERAGE(BO51,BN51))</f>
        <v>4.1015625000000007E-2</v>
      </c>
      <c r="BP53" s="230">
        <f>BP44/4*(AVERAGE(BP51,BO51))</f>
        <v>5.1269531250000007E-2</v>
      </c>
      <c r="BQ53" s="230">
        <f>BQ44/4*(AVERAGE(BQ51,BP51))</f>
        <v>8.2031250000000014E-2</v>
      </c>
      <c r="BR53" s="230">
        <f>BR44/4*(AVERAGE(BR51,BQ51))</f>
        <v>0.11279296875000001</v>
      </c>
      <c r="BS53" s="197"/>
      <c r="BT53" s="230"/>
      <c r="BU53" s="230">
        <f>BU44/4*(AVERAGE(BU51,BT51))</f>
        <v>9.2968750000000013E-3</v>
      </c>
      <c r="BV53" s="230">
        <f>BV44/4*(AVERAGE(BV51,BU51))</f>
        <v>2.7343750000000003E-2</v>
      </c>
      <c r="BW53" s="230">
        <f>BW44/4*(AVERAGE(BW51,BV51))</f>
        <v>4.5390625000000004E-2</v>
      </c>
      <c r="BX53" s="197"/>
      <c r="BY53" s="230">
        <f>BY44/4*(AVERAGE(BY51,BX51))</f>
        <v>6.8359375E-2</v>
      </c>
      <c r="BZ53" s="230">
        <f>BZ44/4*(AVERAGE(BZ51,BY51))</f>
        <v>9.5703125000000014E-2</v>
      </c>
      <c r="CA53" s="230">
        <f>CA44/4*(AVERAGE(CA51,BZ51))</f>
        <v>0.12304687500000001</v>
      </c>
      <c r="CB53" s="230">
        <f>CB44/4*(AVERAGE(CB51,CA51))</f>
        <v>0.15039062500000003</v>
      </c>
      <c r="CC53" s="197"/>
      <c r="CD53" s="230">
        <f>CD44/4*(AVERAGE(CD51,CC51))</f>
        <v>0.18046875000000001</v>
      </c>
      <c r="CE53" s="230">
        <f>CE44/4*(AVERAGE(CE51,CD51))</f>
        <v>0.21000000000000002</v>
      </c>
      <c r="CF53" s="230">
        <f>CF44/4*(AVERAGE(CF51,CE51))</f>
        <v>0.22312500000000002</v>
      </c>
      <c r="CG53" s="230">
        <f>CG44/4*(AVERAGE(CG51,CF51))</f>
        <v>0.25101562500000002</v>
      </c>
      <c r="CH53" s="197"/>
      <c r="CI53" s="230">
        <f>CI44/4*(AVERAGE(CI51,CH51))</f>
        <v>0.29695312500000004</v>
      </c>
      <c r="CJ53" s="230">
        <f>CJ44/4*(AVERAGE(CJ51,CI51))</f>
        <v>0.70437500000000008</v>
      </c>
      <c r="CK53" s="230">
        <f>CK44/4*(AVERAGE(CK51,CJ51))</f>
        <v>1.09375</v>
      </c>
      <c r="CL53" s="230">
        <f>CL44/4*(AVERAGE(CL51,CK51))</f>
        <v>1.09375</v>
      </c>
      <c r="CM53" s="197"/>
      <c r="CN53" s="230">
        <f>CN44/4*(AVERAGE(CN51,CM51))</f>
        <v>1.09375</v>
      </c>
      <c r="CO53" s="230">
        <f>CO44/4*(AVERAGE(CO51,CN51))</f>
        <v>1.09375</v>
      </c>
      <c r="CP53" s="230">
        <f>CP44/4*(AVERAGE(CP51,CO51))</f>
        <v>1.09375</v>
      </c>
      <c r="CQ53" s="230">
        <f>CQ44/4*(AVERAGE(CQ51,CP51))</f>
        <v>1.09375</v>
      </c>
      <c r="CR53" s="197">
        <f>SUM(CN53:CQ53)</f>
        <v>4.375</v>
      </c>
      <c r="CS53" s="230">
        <f>CS44/4*(AVERAGE(CS51,CR51))</f>
        <v>1.09375</v>
      </c>
      <c r="CT53" s="230">
        <f>CT44/4*(AVERAGE(CT51,CS51))</f>
        <v>1.09375</v>
      </c>
      <c r="CU53" s="230">
        <f>CU44/4*(AVERAGE(CU51,CT51))</f>
        <v>1.09375</v>
      </c>
      <c r="CV53" s="230">
        <f>CV44/4*(AVERAGE(CV51,CU51))</f>
        <v>1.09375</v>
      </c>
      <c r="CW53" s="197">
        <f>SUM(CS53:CV53)</f>
        <v>4.375</v>
      </c>
      <c r="CX53" s="230">
        <f>CX44/4*(AVERAGE(CX51,CW51))</f>
        <v>1.09375</v>
      </c>
      <c r="CY53" s="230">
        <f>CY44/4*(AVERAGE(CY51,CX51))</f>
        <v>1.09375</v>
      </c>
      <c r="CZ53" s="230">
        <f>CZ44/4*(AVERAGE(CZ51,CY51))</f>
        <v>1.09375</v>
      </c>
      <c r="DA53" s="230">
        <f>DA44/4*(AVERAGE(DA51,CZ51))</f>
        <v>1.09375</v>
      </c>
      <c r="DB53" s="197">
        <f>SUM(CX53:DA53)</f>
        <v>4.375</v>
      </c>
      <c r="DC53" s="5"/>
      <c r="DD53" s="5"/>
      <c r="DE53" s="171"/>
      <c r="DF53" s="171"/>
      <c r="DG53" s="699"/>
      <c r="DH53" s="699"/>
      <c r="DI53" s="699"/>
      <c r="DJ53" s="699"/>
    </row>
    <row r="54" spans="1:114" s="1163" customFormat="1" hidden="1" outlineLevel="1">
      <c r="A54" s="171"/>
      <c r="B54" s="1164"/>
      <c r="C54" s="46"/>
      <c r="D54" s="1161"/>
      <c r="E54" s="1161"/>
      <c r="F54" s="1161"/>
      <c r="G54" s="1161"/>
      <c r="H54" s="1161"/>
      <c r="I54" s="1161"/>
      <c r="J54" s="1161"/>
      <c r="K54" s="1161"/>
      <c r="L54" s="1161"/>
      <c r="M54" s="1161"/>
      <c r="N54" s="1161"/>
      <c r="O54" s="1161"/>
      <c r="P54" s="1161"/>
      <c r="Q54" s="1161"/>
      <c r="R54" s="1161"/>
      <c r="S54" s="1161"/>
      <c r="T54" s="1161"/>
      <c r="U54" s="1161"/>
      <c r="V54" s="1161"/>
      <c r="W54" s="1161"/>
      <c r="X54" s="1161"/>
      <c r="Y54" s="1161"/>
      <c r="Z54" s="1161"/>
      <c r="AA54" s="1161"/>
      <c r="AB54" s="1161"/>
      <c r="AC54" s="1161"/>
      <c r="AD54" s="1161"/>
      <c r="AE54" s="1161"/>
      <c r="AF54" s="1161"/>
      <c r="AG54" s="1161"/>
      <c r="AH54" s="1161"/>
      <c r="AI54" s="1161"/>
      <c r="AJ54" s="1161"/>
      <c r="AK54" s="1161"/>
      <c r="AL54" s="1161"/>
      <c r="AM54" s="1161"/>
      <c r="AN54" s="1161"/>
      <c r="AO54" s="1161"/>
      <c r="AP54" s="1161"/>
      <c r="AQ54" s="1161"/>
      <c r="AR54" s="1161"/>
      <c r="AS54" s="1161"/>
      <c r="AT54" s="1161"/>
      <c r="AU54" s="1162"/>
      <c r="AV54" s="1162"/>
      <c r="AW54" s="1162"/>
      <c r="AX54" s="1162"/>
      <c r="AY54" s="1161"/>
      <c r="AZ54" s="1162"/>
      <c r="BA54" s="1162"/>
      <c r="BB54" s="1162"/>
      <c r="BC54" s="1162"/>
      <c r="BD54" s="1161"/>
      <c r="BE54" s="1162"/>
      <c r="BF54" s="1162"/>
      <c r="BG54" s="1162"/>
      <c r="BH54" s="1162"/>
      <c r="BI54" s="1161"/>
      <c r="BJ54" s="1165"/>
      <c r="BK54" s="1165"/>
      <c r="BL54" s="1161"/>
      <c r="BM54" s="1161"/>
      <c r="BN54" s="1161"/>
      <c r="BO54" s="1161"/>
      <c r="BP54" s="1161"/>
      <c r="BQ54" s="1161"/>
      <c r="BR54" s="1161"/>
      <c r="BS54" s="1161"/>
      <c r="BT54" s="1161"/>
      <c r="BU54" s="1161"/>
      <c r="BV54" s="1161"/>
      <c r="BW54" s="1161"/>
      <c r="BX54" s="1161"/>
      <c r="BY54" s="1161"/>
      <c r="BZ54" s="1161"/>
      <c r="CA54" s="1161"/>
      <c r="CB54" s="1161"/>
      <c r="CC54" s="1161"/>
      <c r="CD54" s="1161"/>
      <c r="CE54" s="1161"/>
      <c r="CF54" s="1161"/>
      <c r="CG54" s="1161"/>
      <c r="CH54" s="1161"/>
      <c r="CI54" s="1161"/>
      <c r="CJ54" s="1161"/>
      <c r="CK54" s="1161"/>
      <c r="CL54" s="1161"/>
      <c r="CM54" s="1161"/>
      <c r="CN54" s="1161"/>
      <c r="CO54" s="1161"/>
      <c r="CP54" s="1161"/>
      <c r="CQ54" s="1161"/>
      <c r="CR54" s="1161"/>
      <c r="CS54" s="1161"/>
      <c r="CT54" s="1161"/>
      <c r="CU54" s="1161"/>
      <c r="CV54" s="1161"/>
      <c r="CW54" s="1161"/>
      <c r="CX54" s="1161"/>
      <c r="CY54" s="1161"/>
      <c r="CZ54" s="1161"/>
      <c r="DA54" s="1161"/>
      <c r="DB54" s="1161"/>
      <c r="DC54" s="5"/>
      <c r="DD54" s="5"/>
      <c r="DE54" s="171"/>
      <c r="DF54" s="171"/>
      <c r="DG54" s="171"/>
      <c r="DH54" s="171"/>
      <c r="DI54" s="171"/>
      <c r="DJ54" s="171"/>
    </row>
    <row r="55" spans="1:114" s="1163" customFormat="1" hidden="1" outlineLevel="1">
      <c r="A55" s="171"/>
      <c r="B55" s="1164" t="s">
        <v>650</v>
      </c>
      <c r="C55" s="46"/>
      <c r="D55" s="1161"/>
      <c r="E55" s="1161"/>
      <c r="F55" s="1161"/>
      <c r="G55" s="1161"/>
      <c r="H55" s="1161"/>
      <c r="I55" s="1161"/>
      <c r="J55" s="1161"/>
      <c r="K55" s="1161"/>
      <c r="L55" s="1161"/>
      <c r="M55" s="1161"/>
      <c r="N55" s="1161"/>
      <c r="O55" s="1161"/>
      <c r="P55" s="1161"/>
      <c r="Q55" s="1161"/>
      <c r="R55" s="1161"/>
      <c r="S55" s="1161"/>
      <c r="T55" s="1161"/>
      <c r="U55" s="1161"/>
      <c r="V55" s="1161"/>
      <c r="W55" s="1161"/>
      <c r="X55" s="1161"/>
      <c r="Y55" s="1161"/>
      <c r="Z55" s="1161"/>
      <c r="AA55" s="1161"/>
      <c r="AB55" s="1161"/>
      <c r="AC55" s="1161"/>
      <c r="AD55" s="1161"/>
      <c r="AE55" s="1161"/>
      <c r="AF55" s="1161"/>
      <c r="AG55" s="1161"/>
      <c r="AH55" s="1161"/>
      <c r="AI55" s="1161"/>
      <c r="AJ55" s="1161"/>
      <c r="AK55" s="1161"/>
      <c r="AL55" s="1161"/>
      <c r="AM55" s="1161"/>
      <c r="AN55" s="1161"/>
      <c r="AO55" s="1161"/>
      <c r="AP55" s="1161"/>
      <c r="AQ55" s="1161"/>
      <c r="AR55" s="1161"/>
      <c r="AS55" s="1161"/>
      <c r="AT55" s="1161"/>
      <c r="AU55" s="1162"/>
      <c r="AV55" s="1162"/>
      <c r="AW55" s="1162"/>
      <c r="AX55" s="1162"/>
      <c r="AY55" s="1161"/>
      <c r="AZ55" s="1162"/>
      <c r="BA55" s="1162"/>
      <c r="BB55" s="1162"/>
      <c r="BC55" s="1162"/>
      <c r="BD55" s="1161"/>
      <c r="BE55" s="1162"/>
      <c r="BF55" s="1162"/>
      <c r="BG55" s="1162"/>
      <c r="BH55" s="1162"/>
      <c r="BI55" s="1161"/>
      <c r="BJ55" s="1165"/>
      <c r="BK55" s="1165"/>
      <c r="BL55" s="1161"/>
      <c r="BM55" s="1161"/>
      <c r="BN55" s="1161"/>
      <c r="BO55" s="1161"/>
      <c r="BP55" s="1161"/>
      <c r="BQ55" s="1161"/>
      <c r="BR55" s="1161"/>
      <c r="BS55" s="1161"/>
      <c r="BT55" s="1161"/>
      <c r="BU55" s="1161"/>
      <c r="BV55" s="1161"/>
      <c r="BW55" s="1161"/>
      <c r="BX55" s="1161"/>
      <c r="BY55" s="1161"/>
      <c r="BZ55" s="1161"/>
      <c r="CA55" s="1161"/>
      <c r="CB55" s="1161"/>
      <c r="CC55" s="1161"/>
      <c r="CD55" s="1161"/>
      <c r="CE55" s="1161"/>
      <c r="CF55" s="1161"/>
      <c r="CG55" s="1161"/>
      <c r="CH55" s="1161"/>
      <c r="CI55" s="1161"/>
      <c r="CJ55" s="1161">
        <f>CJ41+CJ49</f>
        <v>1646</v>
      </c>
      <c r="CK55" s="1161">
        <f t="shared" ref="CK55:CV55" si="39">CK41+CK49</f>
        <v>1445</v>
      </c>
      <c r="CL55" s="1161">
        <f t="shared" si="39"/>
        <v>604</v>
      </c>
      <c r="CM55" s="1161"/>
      <c r="CN55" s="1161">
        <f t="shared" ca="1" si="39"/>
        <v>808.02631845250721</v>
      </c>
      <c r="CO55" s="1161">
        <f t="shared" ca="1" si="39"/>
        <v>1013.2860213639867</v>
      </c>
      <c r="CP55" s="1161">
        <f t="shared" ca="1" si="39"/>
        <v>1088.105499173693</v>
      </c>
      <c r="CQ55" s="1161">
        <f t="shared" ca="1" si="39"/>
        <v>926.54555942532443</v>
      </c>
      <c r="CR55" s="1161"/>
      <c r="CS55" s="1161">
        <f t="shared" ca="1" si="39"/>
        <v>734.48494895708325</v>
      </c>
      <c r="CT55" s="1161">
        <f t="shared" ca="1" si="39"/>
        <v>728.77248303873932</v>
      </c>
      <c r="CU55" s="1161">
        <f t="shared" ca="1" si="39"/>
        <v>652.65683743778084</v>
      </c>
      <c r="CV55" s="1161">
        <f t="shared" ca="1" si="39"/>
        <v>805.73534281577497</v>
      </c>
      <c r="CW55" s="1161"/>
      <c r="CX55" s="1161">
        <f t="shared" ref="CX55:DA55" ca="1" si="40">CX41+CX49</f>
        <v>337.9687156406809</v>
      </c>
      <c r="CY55" s="1161">
        <f t="shared" ca="1" si="40"/>
        <v>369.73440573416826</v>
      </c>
      <c r="CZ55" s="1161">
        <f t="shared" ca="1" si="40"/>
        <v>473.15612044059088</v>
      </c>
      <c r="DA55" s="1161">
        <f t="shared" ca="1" si="40"/>
        <v>255.53769257557099</v>
      </c>
      <c r="DB55" s="1161"/>
      <c r="DC55" s="5"/>
      <c r="DD55" s="5"/>
      <c r="DE55" s="171"/>
      <c r="DF55" s="171"/>
      <c r="DG55" s="171"/>
      <c r="DH55" s="171"/>
      <c r="DI55" s="171"/>
      <c r="DJ55" s="171"/>
    </row>
    <row r="56" spans="1:114" s="1163" customFormat="1" collapsed="1">
      <c r="A56" s="171"/>
      <c r="B56" s="1164"/>
      <c r="C56" s="46"/>
      <c r="D56" s="1161"/>
      <c r="E56" s="1161"/>
      <c r="F56" s="1161"/>
      <c r="G56" s="1161"/>
      <c r="H56" s="1161"/>
      <c r="I56" s="1161"/>
      <c r="J56" s="1161"/>
      <c r="K56" s="1161"/>
      <c r="L56" s="1161"/>
      <c r="M56" s="1161"/>
      <c r="N56" s="1161"/>
      <c r="O56" s="1161"/>
      <c r="P56" s="1161"/>
      <c r="Q56" s="1161"/>
      <c r="R56" s="1161"/>
      <c r="S56" s="1161"/>
      <c r="T56" s="1161"/>
      <c r="U56" s="1161"/>
      <c r="V56" s="1161"/>
      <c r="W56" s="1161"/>
      <c r="X56" s="1161"/>
      <c r="Y56" s="1161"/>
      <c r="Z56" s="1161"/>
      <c r="AA56" s="1161"/>
      <c r="AB56" s="1161"/>
      <c r="AC56" s="1161"/>
      <c r="AD56" s="1161"/>
      <c r="AE56" s="1161"/>
      <c r="AF56" s="1161"/>
      <c r="AG56" s="1161"/>
      <c r="AH56" s="1161"/>
      <c r="AI56" s="1161"/>
      <c r="AJ56" s="1161"/>
      <c r="AK56" s="1161"/>
      <c r="AL56" s="1161"/>
      <c r="AM56" s="1161"/>
      <c r="AN56" s="1161"/>
      <c r="AO56" s="1161"/>
      <c r="AP56" s="1161"/>
      <c r="AQ56" s="1161"/>
      <c r="AR56" s="1161"/>
      <c r="AS56" s="1161"/>
      <c r="AT56" s="1161"/>
      <c r="AU56" s="1162"/>
      <c r="AV56" s="1162"/>
      <c r="AW56" s="1162"/>
      <c r="AX56" s="1162"/>
      <c r="AY56" s="1161"/>
      <c r="AZ56" s="1162"/>
      <c r="BA56" s="1162"/>
      <c r="BB56" s="1162"/>
      <c r="BC56" s="1162"/>
      <c r="BD56" s="1161"/>
      <c r="BE56" s="1162"/>
      <c r="BF56" s="1162"/>
      <c r="BG56" s="1162"/>
      <c r="BH56" s="1162"/>
      <c r="BI56" s="1161"/>
      <c r="BJ56" s="1165"/>
      <c r="BK56" s="1165"/>
      <c r="BL56" s="1161"/>
      <c r="BM56" s="1161"/>
      <c r="BN56" s="1161"/>
      <c r="BO56" s="1161"/>
      <c r="BP56" s="1161"/>
      <c r="BQ56" s="1161"/>
      <c r="BR56" s="1161"/>
      <c r="BS56" s="1161"/>
      <c r="BT56" s="1161"/>
      <c r="BU56" s="1161"/>
      <c r="BV56" s="1161"/>
      <c r="BW56" s="1161"/>
      <c r="BX56" s="1161"/>
      <c r="BY56" s="1161"/>
      <c r="BZ56" s="1161"/>
      <c r="CA56" s="1161"/>
      <c r="CB56" s="1161"/>
      <c r="CC56" s="1161"/>
      <c r="CD56" s="1161"/>
      <c r="CE56" s="1161"/>
      <c r="CF56" s="1161"/>
      <c r="CG56" s="1161"/>
      <c r="CH56" s="1161"/>
      <c r="CI56" s="1161"/>
      <c r="CJ56" s="1161"/>
      <c r="CK56" s="1161"/>
      <c r="CL56" s="1161"/>
      <c r="CM56" s="1161"/>
      <c r="CN56" s="1161"/>
      <c r="CO56" s="1161"/>
      <c r="CP56" s="1161"/>
      <c r="CQ56" s="1161"/>
      <c r="CR56" s="1161"/>
      <c r="CS56" s="1161"/>
      <c r="CT56" s="1161"/>
      <c r="CU56" s="1161"/>
      <c r="CV56" s="1161"/>
      <c r="CW56" s="1161"/>
      <c r="CX56" s="1161"/>
      <c r="CY56" s="1161"/>
      <c r="CZ56" s="1161"/>
      <c r="DA56" s="1161"/>
      <c r="DB56" s="1161"/>
      <c r="DC56" s="5"/>
      <c r="DD56" s="5"/>
      <c r="DE56" s="171"/>
      <c r="DF56" s="171"/>
      <c r="DG56" s="171"/>
      <c r="DH56" s="171"/>
      <c r="DI56" s="171"/>
      <c r="DJ56" s="171"/>
    </row>
    <row r="57" spans="1:114">
      <c r="A57" s="171"/>
      <c r="B57" s="696" t="s">
        <v>707</v>
      </c>
      <c r="C57" s="169"/>
      <c r="D57" s="209"/>
      <c r="E57" s="209"/>
      <c r="F57" s="209"/>
      <c r="G57" s="212"/>
      <c r="H57" s="212"/>
      <c r="I57" s="212"/>
      <c r="J57" s="212"/>
      <c r="K57" s="209"/>
      <c r="L57" s="212"/>
      <c r="M57" s="212"/>
      <c r="N57" s="212"/>
      <c r="O57" s="212"/>
      <c r="P57" s="209"/>
      <c r="Q57" s="212"/>
      <c r="R57" s="212"/>
      <c r="S57" s="212"/>
      <c r="T57" s="212"/>
      <c r="U57" s="209"/>
      <c r="V57" s="212"/>
      <c r="W57" s="212"/>
      <c r="X57" s="212"/>
      <c r="Y57" s="212"/>
      <c r="Z57" s="209"/>
      <c r="AA57" s="212"/>
      <c r="AB57" s="212"/>
      <c r="AC57" s="212"/>
      <c r="AD57" s="212"/>
      <c r="AE57" s="209"/>
      <c r="AF57" s="212"/>
      <c r="AG57" s="212"/>
      <c r="AH57" s="212"/>
      <c r="AI57" s="212"/>
      <c r="AJ57" s="209"/>
      <c r="AK57" s="212"/>
      <c r="AL57" s="212"/>
      <c r="AM57" s="212"/>
      <c r="AN57" s="212"/>
      <c r="AO57" s="209"/>
      <c r="AP57" s="212"/>
      <c r="AQ57" s="212"/>
      <c r="AR57" s="212"/>
      <c r="AS57" s="212"/>
      <c r="AT57" s="209"/>
      <c r="AU57" s="212"/>
      <c r="AV57" s="212"/>
      <c r="AW57" s="212"/>
      <c r="AX57" s="212"/>
      <c r="AY57" s="209"/>
      <c r="AZ57" s="212"/>
      <c r="BA57" s="212"/>
      <c r="BB57" s="212"/>
      <c r="BC57" s="212"/>
      <c r="BD57" s="209"/>
      <c r="BE57" s="212"/>
      <c r="BF57" s="212"/>
      <c r="BG57" s="212"/>
      <c r="BH57" s="212"/>
      <c r="BI57" s="209"/>
      <c r="BJ57" s="212"/>
      <c r="BK57" s="212"/>
      <c r="BL57" s="212"/>
      <c r="BM57" s="212"/>
      <c r="BN57" s="209"/>
      <c r="BO57" s="212"/>
      <c r="BP57" s="212"/>
      <c r="BQ57" s="212"/>
      <c r="BR57" s="212"/>
      <c r="BS57" s="209"/>
      <c r="BT57" s="212"/>
      <c r="BU57" s="212"/>
      <c r="BV57" s="212"/>
      <c r="BW57" s="212"/>
      <c r="BX57" s="209"/>
      <c r="BY57" s="212"/>
      <c r="BZ57" s="212"/>
      <c r="CA57" s="212"/>
      <c r="CB57" s="212"/>
      <c r="CC57" s="209"/>
      <c r="CD57" s="212"/>
      <c r="CE57" s="212"/>
      <c r="CF57" s="212"/>
      <c r="CG57" s="212"/>
      <c r="CH57" s="209"/>
      <c r="CI57" s="212"/>
      <c r="CJ57" s="212"/>
      <c r="CK57" s="212"/>
      <c r="CL57" s="212"/>
      <c r="CM57" s="209"/>
      <c r="CN57" s="212"/>
      <c r="CO57" s="212"/>
      <c r="CP57" s="212"/>
      <c r="CQ57" s="212"/>
      <c r="CR57" s="209"/>
      <c r="CS57" s="212"/>
      <c r="CT57" s="212"/>
      <c r="CU57" s="212"/>
      <c r="CV57" s="212"/>
      <c r="CW57" s="209"/>
      <c r="CX57" s="212"/>
      <c r="CY57" s="212"/>
      <c r="CZ57" s="212"/>
      <c r="DA57" s="212"/>
      <c r="DB57" s="209"/>
      <c r="DC57" s="5"/>
      <c r="DD57" s="5"/>
      <c r="DE57" s="171"/>
      <c r="DF57" s="171"/>
      <c r="DG57" s="171"/>
      <c r="DH57" s="171"/>
      <c r="DI57" s="171"/>
      <c r="DJ57" s="171"/>
    </row>
    <row r="58" spans="1:114">
      <c r="A58" s="171"/>
      <c r="B58" s="697" t="s">
        <v>360</v>
      </c>
      <c r="C58" s="155"/>
      <c r="D58" s="26"/>
      <c r="E58" s="26"/>
      <c r="F58" s="26"/>
      <c r="G58" s="156"/>
      <c r="H58" s="156"/>
      <c r="I58" s="156"/>
      <c r="J58" s="156"/>
      <c r="K58" s="26"/>
      <c r="L58" s="156"/>
      <c r="M58" s="156"/>
      <c r="N58" s="156"/>
      <c r="O58" s="156"/>
      <c r="P58" s="26"/>
      <c r="Q58" s="156"/>
      <c r="R58" s="156"/>
      <c r="S58" s="156"/>
      <c r="T58" s="156"/>
      <c r="U58" s="26"/>
      <c r="V58" s="156"/>
      <c r="W58" s="156"/>
      <c r="X58" s="156"/>
      <c r="Y58" s="156"/>
      <c r="Z58" s="26"/>
      <c r="AA58" s="156"/>
      <c r="AB58" s="156"/>
      <c r="AC58" s="156"/>
      <c r="AD58" s="156"/>
      <c r="AE58" s="26"/>
      <c r="AF58" s="156"/>
      <c r="AG58" s="156"/>
      <c r="AH58" s="156"/>
      <c r="AI58" s="156"/>
      <c r="AJ58" s="26"/>
      <c r="AK58" s="156"/>
      <c r="AL58" s="156"/>
      <c r="AM58" s="156"/>
      <c r="AN58" s="156"/>
      <c r="AO58" s="26"/>
      <c r="AP58" s="156"/>
      <c r="AQ58" s="156"/>
      <c r="AR58" s="156"/>
      <c r="AS58" s="156"/>
      <c r="AT58" s="26"/>
      <c r="AU58" s="231"/>
      <c r="AV58" s="231"/>
      <c r="AW58" s="231"/>
      <c r="AX58" s="231"/>
      <c r="AY58" s="270">
        <v>2.5000000000000001E-3</v>
      </c>
      <c r="AZ58" s="231"/>
      <c r="BA58" s="231"/>
      <c r="BB58" s="231"/>
      <c r="BC58" s="231"/>
      <c r="BD58" s="270">
        <v>2.5000000000000001E-3</v>
      </c>
      <c r="BE58" s="231"/>
      <c r="BF58" s="231"/>
      <c r="BG58" s="231"/>
      <c r="BH58" s="231"/>
      <c r="BI58" s="270">
        <v>2.5000000000000001E-3</v>
      </c>
      <c r="BJ58" s="231">
        <v>2.5000000000000001E-3</v>
      </c>
      <c r="BK58" s="231">
        <v>2.5000000000000001E-3</v>
      </c>
      <c r="BL58" s="231">
        <v>2.5000000000000001E-3</v>
      </c>
      <c r="BM58" s="220">
        <v>2.5000000000000001E-3</v>
      </c>
      <c r="BN58" s="200"/>
      <c r="BO58" s="220">
        <f>AVERAGE(0.375%,0.5%)</f>
        <v>4.3750000000000004E-3</v>
      </c>
      <c r="BP58" s="220">
        <f>AVERAGE(0.375%,0.5%)</f>
        <v>4.3750000000000004E-3</v>
      </c>
      <c r="BQ58" s="220">
        <f>AVERAGE(0.375%,0.5%)</f>
        <v>4.3750000000000004E-3</v>
      </c>
      <c r="BR58" s="220">
        <f>AVERAGE(0.375%,0.5%)</f>
        <v>4.3750000000000004E-3</v>
      </c>
      <c r="BS58" s="200"/>
      <c r="BT58" s="220">
        <f>AVERAGE(0.375%,0.5%)</f>
        <v>4.3750000000000004E-3</v>
      </c>
      <c r="BU58" s="220">
        <f>AVERAGE(0.375%,0.5%)</f>
        <v>4.3750000000000004E-3</v>
      </c>
      <c r="BV58" s="220">
        <f>AVERAGE(0.375%,0.5%)</f>
        <v>4.3750000000000004E-3</v>
      </c>
      <c r="BW58" s="220">
        <f>AVERAGE(0.375%,0.5%)</f>
        <v>4.3750000000000004E-3</v>
      </c>
      <c r="BX58" s="200"/>
      <c r="BY58" s="220">
        <f>AVERAGE(0.375%,0.5%)</f>
        <v>4.3750000000000004E-3</v>
      </c>
      <c r="BZ58" s="220">
        <f>AVERAGE(0.375%,0.5%)</f>
        <v>4.3750000000000004E-3</v>
      </c>
      <c r="CA58" s="220">
        <f>AVERAGE(0.375%,0.5%)</f>
        <v>4.3750000000000004E-3</v>
      </c>
      <c r="CB58" s="220">
        <f>AVERAGE(0.375%,0.5%)</f>
        <v>4.3750000000000004E-3</v>
      </c>
      <c r="CC58" s="200"/>
      <c r="CD58" s="220">
        <f>AVERAGE(0.375%,0.5%)</f>
        <v>4.3750000000000004E-3</v>
      </c>
      <c r="CE58" s="220">
        <f>AVERAGE(0.375%,0.5%)</f>
        <v>4.3750000000000004E-3</v>
      </c>
      <c r="CF58" s="220">
        <f>AVERAGE(0.375%,0.5%)</f>
        <v>4.3750000000000004E-3</v>
      </c>
      <c r="CG58" s="220">
        <f>AVERAGE(0.375%,0.5%)</f>
        <v>4.3750000000000004E-3</v>
      </c>
      <c r="CH58" s="200"/>
      <c r="CI58" s="220">
        <f>AVERAGE(0.375%,0.5%)</f>
        <v>4.3750000000000004E-3</v>
      </c>
      <c r="CJ58" s="220">
        <f>AVERAGE(0.375%,0.5%)</f>
        <v>4.3750000000000004E-3</v>
      </c>
      <c r="CK58" s="220">
        <f>AVERAGE(0.375%,0.5%)</f>
        <v>4.3750000000000004E-3</v>
      </c>
      <c r="CL58" s="220">
        <f>AVERAGE(0.375%,0.5%)</f>
        <v>4.3750000000000004E-3</v>
      </c>
      <c r="CM58" s="200"/>
      <c r="CN58" s="220">
        <f>AVERAGE(0.375%,0.5%)</f>
        <v>4.3750000000000004E-3</v>
      </c>
      <c r="CO58" s="220">
        <f>AVERAGE(0.375%,0.5%)</f>
        <v>4.3750000000000004E-3</v>
      </c>
      <c r="CP58" s="220">
        <f>AVERAGE(0.375%,0.5%)</f>
        <v>4.3750000000000004E-3</v>
      </c>
      <c r="CQ58" s="220">
        <f>AVERAGE(0.375%,0.5%)</f>
        <v>4.3750000000000004E-3</v>
      </c>
      <c r="CR58" s="200"/>
      <c r="CS58" s="220">
        <f>AVERAGE(0.375%,0.5%)</f>
        <v>4.3750000000000004E-3</v>
      </c>
      <c r="CT58" s="220">
        <f>AVERAGE(0.375%,0.5%)</f>
        <v>4.3750000000000004E-3</v>
      </c>
      <c r="CU58" s="220">
        <f>AVERAGE(0.375%,0.5%)</f>
        <v>4.3750000000000004E-3</v>
      </c>
      <c r="CV58" s="220">
        <f>AVERAGE(0.375%,0.5%)</f>
        <v>4.3750000000000004E-3</v>
      </c>
      <c r="CW58" s="200"/>
      <c r="CX58" s="220">
        <f>AVERAGE(0.375%,0.5%)</f>
        <v>4.3750000000000004E-3</v>
      </c>
      <c r="CY58" s="220">
        <f>AVERAGE(0.375%,0.5%)</f>
        <v>4.3750000000000004E-3</v>
      </c>
      <c r="CZ58" s="220">
        <f>AVERAGE(0.375%,0.5%)</f>
        <v>4.3750000000000004E-3</v>
      </c>
      <c r="DA58" s="220">
        <f>AVERAGE(0.375%,0.5%)</f>
        <v>4.3750000000000004E-3</v>
      </c>
      <c r="DB58" s="200"/>
      <c r="DC58" s="8"/>
      <c r="DD58" s="8"/>
      <c r="DE58" s="171"/>
      <c r="DF58" s="171"/>
      <c r="DG58" s="171"/>
      <c r="DH58" s="171"/>
      <c r="DI58" s="171"/>
      <c r="DJ58" s="171"/>
    </row>
    <row r="59" spans="1:114">
      <c r="A59" s="171"/>
      <c r="B59" s="697" t="s">
        <v>517</v>
      </c>
      <c r="C59" s="38"/>
      <c r="D59" s="201"/>
      <c r="E59" s="201"/>
      <c r="F59" s="201"/>
      <c r="G59" s="166"/>
      <c r="H59" s="166"/>
      <c r="I59" s="166"/>
      <c r="J59" s="166"/>
      <c r="K59" s="201"/>
      <c r="L59" s="166"/>
      <c r="M59" s="166"/>
      <c r="N59" s="166"/>
      <c r="O59" s="166"/>
      <c r="P59" s="201"/>
      <c r="Q59" s="166"/>
      <c r="R59" s="166"/>
      <c r="S59" s="166"/>
      <c r="T59" s="166"/>
      <c r="U59" s="201"/>
      <c r="V59" s="166"/>
      <c r="W59" s="166"/>
      <c r="X59" s="166"/>
      <c r="Y59" s="166"/>
      <c r="Z59" s="201"/>
      <c r="AA59" s="166"/>
      <c r="AB59" s="166"/>
      <c r="AC59" s="166"/>
      <c r="AD59" s="166"/>
      <c r="AE59" s="201"/>
      <c r="AF59" s="166"/>
      <c r="AG59" s="166"/>
      <c r="AH59" s="166"/>
      <c r="AI59" s="166"/>
      <c r="AJ59" s="201"/>
      <c r="AK59" s="166"/>
      <c r="AL59" s="166"/>
      <c r="AM59" s="166"/>
      <c r="AN59" s="166"/>
      <c r="AO59" s="201"/>
      <c r="AP59" s="166"/>
      <c r="AQ59" s="166"/>
      <c r="AR59" s="166"/>
      <c r="AS59" s="166"/>
      <c r="AT59" s="201"/>
      <c r="AU59" s="231"/>
      <c r="AV59" s="231"/>
      <c r="AW59" s="231"/>
      <c r="AX59" s="231"/>
      <c r="AY59" s="270">
        <f>2.25%+0.5%</f>
        <v>2.75E-2</v>
      </c>
      <c r="AZ59" s="231"/>
      <c r="BA59" s="231"/>
      <c r="BB59" s="231"/>
      <c r="BC59" s="231"/>
      <c r="BD59" s="270">
        <f>2.25%+0.5%</f>
        <v>2.75E-2</v>
      </c>
      <c r="BE59" s="231"/>
      <c r="BF59" s="231"/>
      <c r="BG59" s="231"/>
      <c r="BH59" s="231"/>
      <c r="BI59" s="270">
        <f>2.25%+0.5%</f>
        <v>2.75E-2</v>
      </c>
      <c r="BJ59" s="231">
        <f>2.25%+0.5%</f>
        <v>2.75E-2</v>
      </c>
      <c r="BK59" s="231">
        <f>2.25%+0.5%</f>
        <v>2.75E-2</v>
      </c>
      <c r="BL59" s="231">
        <f>2.25%+0.5%</f>
        <v>2.75E-2</v>
      </c>
      <c r="BM59" s="220">
        <f>2.25%+0.5%</f>
        <v>2.75E-2</v>
      </c>
      <c r="BN59" s="107"/>
      <c r="BO59" s="220">
        <f>2.25%+0.5%</f>
        <v>2.75E-2</v>
      </c>
      <c r="BP59" s="220">
        <f>2.25%+0.5%</f>
        <v>2.75E-2</v>
      </c>
      <c r="BQ59" s="220">
        <f>2.25%+0.5%</f>
        <v>2.75E-2</v>
      </c>
      <c r="BR59" s="220">
        <f>2.25%+0.5%</f>
        <v>2.75E-2</v>
      </c>
      <c r="BS59" s="107"/>
      <c r="BT59" s="220">
        <f>2.25%+0.5%</f>
        <v>2.75E-2</v>
      </c>
      <c r="BU59" s="220">
        <f>2.25%+0.5%</f>
        <v>2.75E-2</v>
      </c>
      <c r="BV59" s="220">
        <f>2.25%+0.5%</f>
        <v>2.75E-2</v>
      </c>
      <c r="BW59" s="220">
        <f>2.25%+0.5%</f>
        <v>2.75E-2</v>
      </c>
      <c r="BX59" s="107"/>
      <c r="BY59" s="220">
        <f>2.25%+0.5%</f>
        <v>2.75E-2</v>
      </c>
      <c r="BZ59" s="220">
        <f>2.25%+0.5%</f>
        <v>2.75E-2</v>
      </c>
      <c r="CA59" s="220">
        <f>2.25%+0.5%</f>
        <v>2.75E-2</v>
      </c>
      <c r="CB59" s="220">
        <f>2.25%+0.5%</f>
        <v>2.75E-2</v>
      </c>
      <c r="CC59" s="107"/>
      <c r="CD59" s="220">
        <f>2.25%+0.5%</f>
        <v>2.75E-2</v>
      </c>
      <c r="CE59" s="220">
        <f>2.25%+0.5%</f>
        <v>2.75E-2</v>
      </c>
      <c r="CF59" s="220">
        <f>2.25%+0.5%</f>
        <v>2.75E-2</v>
      </c>
      <c r="CG59" s="220">
        <f>2.25%+0.5%</f>
        <v>2.75E-2</v>
      </c>
      <c r="CH59" s="107"/>
      <c r="CI59" s="220">
        <f>2.25%+0.5%</f>
        <v>2.75E-2</v>
      </c>
      <c r="CJ59" s="220">
        <f>2.25%+0.5%</f>
        <v>2.75E-2</v>
      </c>
      <c r="CK59" s="220">
        <f>2.25%+0.5%</f>
        <v>2.75E-2</v>
      </c>
      <c r="CL59" s="220">
        <f>2.25%+0.5%</f>
        <v>2.75E-2</v>
      </c>
      <c r="CM59" s="107"/>
      <c r="CN59" s="220">
        <f>2.25%+0.5%</f>
        <v>2.75E-2</v>
      </c>
      <c r="CO59" s="220">
        <f>2.25%+0.5%</f>
        <v>2.75E-2</v>
      </c>
      <c r="CP59" s="220">
        <f>2.25%+0.5%</f>
        <v>2.75E-2</v>
      </c>
      <c r="CQ59" s="220">
        <f>2.25%+0.5%</f>
        <v>2.75E-2</v>
      </c>
      <c r="CR59" s="107"/>
      <c r="CS59" s="220">
        <f>2.25%+0.5%</f>
        <v>2.75E-2</v>
      </c>
      <c r="CT59" s="220">
        <f>2.25%+0.5%</f>
        <v>2.75E-2</v>
      </c>
      <c r="CU59" s="220">
        <f>2.25%+0.5%</f>
        <v>2.75E-2</v>
      </c>
      <c r="CV59" s="220">
        <f>2.25%+0.5%</f>
        <v>2.75E-2</v>
      </c>
      <c r="CW59" s="107"/>
      <c r="CX59" s="220">
        <f>2.25%+0.5%</f>
        <v>2.75E-2</v>
      </c>
      <c r="CY59" s="220">
        <f>2.25%+0.5%</f>
        <v>2.75E-2</v>
      </c>
      <c r="CZ59" s="220">
        <f>2.25%+0.5%</f>
        <v>2.75E-2</v>
      </c>
      <c r="DA59" s="220">
        <f>2.25%+0.5%</f>
        <v>2.75E-2</v>
      </c>
      <c r="DB59" s="107"/>
      <c r="DC59" s="5"/>
      <c r="DD59" s="5"/>
      <c r="DE59" s="171"/>
      <c r="DF59" s="171"/>
      <c r="DG59" s="171"/>
      <c r="DH59" s="171"/>
      <c r="DI59" s="171"/>
      <c r="DJ59" s="171"/>
    </row>
    <row r="60" spans="1:114">
      <c r="A60" s="171"/>
      <c r="B60" s="690" t="s">
        <v>361</v>
      </c>
      <c r="C60" s="38"/>
      <c r="D60" s="201"/>
      <c r="E60" s="201"/>
      <c r="F60" s="201"/>
      <c r="G60" s="166"/>
      <c r="H60" s="166"/>
      <c r="I60" s="166"/>
      <c r="J60" s="166"/>
      <c r="K60" s="201"/>
      <c r="L60" s="166"/>
      <c r="M60" s="166"/>
      <c r="N60" s="166"/>
      <c r="O60" s="166"/>
      <c r="P60" s="201"/>
      <c r="Q60" s="166"/>
      <c r="R60" s="166"/>
      <c r="S60" s="166"/>
      <c r="T60" s="166"/>
      <c r="U60" s="201"/>
      <c r="V60" s="166"/>
      <c r="W60" s="166"/>
      <c r="X60" s="166"/>
      <c r="Y60" s="166"/>
      <c r="Z60" s="201"/>
      <c r="AA60" s="166"/>
      <c r="AB60" s="166"/>
      <c r="AC60" s="166"/>
      <c r="AD60" s="166"/>
      <c r="AE60" s="201"/>
      <c r="AF60" s="166"/>
      <c r="AG60" s="166"/>
      <c r="AH60" s="166"/>
      <c r="AI60" s="166"/>
      <c r="AJ60" s="201"/>
      <c r="AK60" s="166"/>
      <c r="AL60" s="166"/>
      <c r="AM60" s="166"/>
      <c r="AN60" s="166"/>
      <c r="AO60" s="201"/>
      <c r="AP60" s="166"/>
      <c r="AQ60" s="166"/>
      <c r="AR60" s="166"/>
      <c r="AS60" s="166"/>
      <c r="AT60" s="221"/>
      <c r="AU60" s="222">
        <v>6100</v>
      </c>
      <c r="AV60" s="222">
        <v>6100</v>
      </c>
      <c r="AW60" s="222">
        <v>6100</v>
      </c>
      <c r="AX60" s="222">
        <v>6100</v>
      </c>
      <c r="AY60" s="234">
        <v>6100</v>
      </c>
      <c r="AZ60" s="222">
        <v>6100</v>
      </c>
      <c r="BA60" s="222">
        <v>6100</v>
      </c>
      <c r="BB60" s="222">
        <v>6100</v>
      </c>
      <c r="BC60" s="222">
        <v>6100</v>
      </c>
      <c r="BD60" s="234">
        <v>6100</v>
      </c>
      <c r="BE60" s="222">
        <v>6100</v>
      </c>
      <c r="BF60" s="222">
        <v>6100</v>
      </c>
      <c r="BG60" s="222">
        <v>6100</v>
      </c>
      <c r="BH60" s="222">
        <v>6100</v>
      </c>
      <c r="BI60" s="234">
        <v>6100</v>
      </c>
      <c r="BJ60" s="222">
        <v>6100</v>
      </c>
      <c r="BK60" s="222">
        <v>6100</v>
      </c>
      <c r="BL60" s="222">
        <v>6100</v>
      </c>
      <c r="BM60" s="222">
        <f t="shared" ref="BM60:BW60" si="41">BL60</f>
        <v>6100</v>
      </c>
      <c r="BN60" s="221">
        <f t="shared" si="41"/>
        <v>6100</v>
      </c>
      <c r="BO60" s="222">
        <f t="shared" si="41"/>
        <v>6100</v>
      </c>
      <c r="BP60" s="222">
        <f t="shared" si="41"/>
        <v>6100</v>
      </c>
      <c r="BQ60" s="222">
        <f t="shared" si="41"/>
        <v>6100</v>
      </c>
      <c r="BR60" s="222">
        <f t="shared" si="41"/>
        <v>6100</v>
      </c>
      <c r="BS60" s="221">
        <f>BR60</f>
        <v>6100</v>
      </c>
      <c r="BT60" s="222">
        <f t="shared" si="41"/>
        <v>6100</v>
      </c>
      <c r="BU60" s="222">
        <f t="shared" si="41"/>
        <v>6100</v>
      </c>
      <c r="BV60" s="222">
        <f t="shared" si="41"/>
        <v>6100</v>
      </c>
      <c r="BW60" s="222">
        <f t="shared" si="41"/>
        <v>6100</v>
      </c>
      <c r="BX60" s="221">
        <f t="shared" ref="BX60:CC60" si="42">BW60</f>
        <v>6100</v>
      </c>
      <c r="BY60" s="222">
        <f t="shared" si="42"/>
        <v>6100</v>
      </c>
      <c r="BZ60" s="222">
        <f t="shared" si="42"/>
        <v>6100</v>
      </c>
      <c r="CA60" s="222">
        <f t="shared" si="42"/>
        <v>6100</v>
      </c>
      <c r="CB60" s="222">
        <f t="shared" si="42"/>
        <v>6100</v>
      </c>
      <c r="CC60" s="221">
        <f t="shared" si="42"/>
        <v>6100</v>
      </c>
      <c r="CD60" s="222">
        <f t="shared" ref="CD60:CM60" si="43">CC60</f>
        <v>6100</v>
      </c>
      <c r="CE60" s="222">
        <f t="shared" si="43"/>
        <v>6100</v>
      </c>
      <c r="CF60" s="222">
        <f t="shared" si="43"/>
        <v>6100</v>
      </c>
      <c r="CG60" s="222">
        <f t="shared" si="43"/>
        <v>6100</v>
      </c>
      <c r="CH60" s="221">
        <f t="shared" si="43"/>
        <v>6100</v>
      </c>
      <c r="CI60" s="222">
        <f t="shared" si="43"/>
        <v>6100</v>
      </c>
      <c r="CJ60" s="222">
        <f t="shared" si="43"/>
        <v>6100</v>
      </c>
      <c r="CK60" s="222">
        <f t="shared" si="43"/>
        <v>6100</v>
      </c>
      <c r="CL60" s="222">
        <f t="shared" si="43"/>
        <v>6100</v>
      </c>
      <c r="CM60" s="221">
        <f t="shared" si="43"/>
        <v>6100</v>
      </c>
      <c r="CN60" s="222">
        <f t="shared" ref="CN60:CW60" si="44">CM60</f>
        <v>6100</v>
      </c>
      <c r="CO60" s="222">
        <f t="shared" si="44"/>
        <v>6100</v>
      </c>
      <c r="CP60" s="222">
        <f t="shared" si="44"/>
        <v>6100</v>
      </c>
      <c r="CQ60" s="222">
        <f t="shared" si="44"/>
        <v>6100</v>
      </c>
      <c r="CR60" s="221">
        <f t="shared" si="44"/>
        <v>6100</v>
      </c>
      <c r="CS60" s="222">
        <f t="shared" si="44"/>
        <v>6100</v>
      </c>
      <c r="CT60" s="222">
        <f t="shared" si="44"/>
        <v>6100</v>
      </c>
      <c r="CU60" s="222">
        <f t="shared" si="44"/>
        <v>6100</v>
      </c>
      <c r="CV60" s="222">
        <f t="shared" si="44"/>
        <v>6100</v>
      </c>
      <c r="CW60" s="221">
        <f t="shared" si="44"/>
        <v>6100</v>
      </c>
      <c r="CX60" s="222">
        <f t="shared" ref="CX60" si="45">CW60</f>
        <v>6100</v>
      </c>
      <c r="CY60" s="222">
        <f t="shared" ref="CY60" si="46">CX60</f>
        <v>6100</v>
      </c>
      <c r="CZ60" s="222">
        <f t="shared" ref="CZ60" si="47">CY60</f>
        <v>6100</v>
      </c>
      <c r="DA60" s="222">
        <f t="shared" ref="DA60" si="48">CZ60</f>
        <v>6100</v>
      </c>
      <c r="DB60" s="221">
        <f t="shared" ref="DB60" si="49">DA60</f>
        <v>6100</v>
      </c>
      <c r="DC60" s="5"/>
      <c r="DD60" s="5"/>
      <c r="DE60" s="171"/>
      <c r="DF60" s="171"/>
      <c r="DG60" s="171"/>
      <c r="DH60" s="171"/>
      <c r="DI60" s="171"/>
      <c r="DJ60" s="171"/>
    </row>
    <row r="61" spans="1:114">
      <c r="A61" s="171"/>
      <c r="B61" s="693" t="s">
        <v>518</v>
      </c>
      <c r="C61" s="38"/>
      <c r="D61" s="201"/>
      <c r="E61" s="201"/>
      <c r="F61" s="201"/>
      <c r="G61" s="166"/>
      <c r="H61" s="166"/>
      <c r="I61" s="166"/>
      <c r="J61" s="166"/>
      <c r="K61" s="201"/>
      <c r="L61" s="166"/>
      <c r="M61" s="166"/>
      <c r="N61" s="166"/>
      <c r="O61" s="166"/>
      <c r="P61" s="201"/>
      <c r="Q61" s="166"/>
      <c r="R61" s="166"/>
      <c r="S61" s="166"/>
      <c r="T61" s="166"/>
      <c r="U61" s="201"/>
      <c r="V61" s="166"/>
      <c r="W61" s="166"/>
      <c r="X61" s="166"/>
      <c r="Y61" s="166"/>
      <c r="Z61" s="201"/>
      <c r="AA61" s="166"/>
      <c r="AB61" s="166"/>
      <c r="AC61" s="166"/>
      <c r="AD61" s="166"/>
      <c r="AE61" s="201"/>
      <c r="AF61" s="166"/>
      <c r="AG61" s="166"/>
      <c r="AH61" s="166"/>
      <c r="AI61" s="166"/>
      <c r="AJ61" s="201"/>
      <c r="AK61" s="166"/>
      <c r="AL61" s="166"/>
      <c r="AM61" s="166"/>
      <c r="AN61" s="166"/>
      <c r="AO61" s="201"/>
      <c r="AP61" s="166"/>
      <c r="AQ61" s="166"/>
      <c r="AR61" s="166"/>
      <c r="AS61" s="166"/>
      <c r="AT61" s="221"/>
      <c r="AU61" s="192"/>
      <c r="AV61" s="193"/>
      <c r="AW61" s="193"/>
      <c r="AX61" s="193"/>
      <c r="AY61" s="194">
        <f>AT64</f>
        <v>5215.866</v>
      </c>
      <c r="AZ61" s="192"/>
      <c r="BA61" s="193"/>
      <c r="BB61" s="193"/>
      <c r="BC61" s="193"/>
      <c r="BD61" s="194">
        <f>AY64</f>
        <v>6043.8469999999998</v>
      </c>
      <c r="BE61" s="192"/>
      <c r="BF61" s="193"/>
      <c r="BG61" s="193"/>
      <c r="BH61" s="193"/>
      <c r="BI61" s="194">
        <f>BD64</f>
        <v>5999.3370000000004</v>
      </c>
      <c r="BJ61" s="193">
        <f>BI64</f>
        <v>5949.3829999999998</v>
      </c>
      <c r="BK61" s="193">
        <f>BJ64</f>
        <v>5219.0619999999999</v>
      </c>
      <c r="BL61" s="193">
        <f>BK64</f>
        <v>5219.0619999999999</v>
      </c>
      <c r="BM61" s="193">
        <f>BL64</f>
        <v>3619.0619999999999</v>
      </c>
      <c r="BN61" s="194">
        <f>BI64</f>
        <v>5949.3829999999998</v>
      </c>
      <c r="BO61" s="193">
        <f>BM64</f>
        <v>3619.0619999999999</v>
      </c>
      <c r="BP61" s="193">
        <f>BO64</f>
        <v>3412.5839999999998</v>
      </c>
      <c r="BQ61" s="193">
        <f>BP64</f>
        <v>3412.5839999999998</v>
      </c>
      <c r="BR61" s="193">
        <f>BQ64</f>
        <v>3412.5839999999998</v>
      </c>
      <c r="BS61" s="194">
        <f>BN64</f>
        <v>3619.0619999999999</v>
      </c>
      <c r="BT61" s="193">
        <f>BR64</f>
        <v>3412.5839999999998</v>
      </c>
      <c r="BU61" s="193">
        <f>BT64</f>
        <v>0</v>
      </c>
      <c r="BV61" s="193">
        <f>BU64</f>
        <v>0</v>
      </c>
      <c r="BW61" s="193">
        <f>BV64</f>
        <v>0</v>
      </c>
      <c r="BX61" s="194">
        <f>BS64</f>
        <v>3412.5839999999998</v>
      </c>
      <c r="BY61" s="193">
        <f>BW64</f>
        <v>0</v>
      </c>
      <c r="BZ61" s="193">
        <f>BY64</f>
        <v>0</v>
      </c>
      <c r="CA61" s="193">
        <f>BZ64</f>
        <v>1600</v>
      </c>
      <c r="CB61" s="193">
        <f>CA64</f>
        <v>1596</v>
      </c>
      <c r="CC61" s="194">
        <f>BX64</f>
        <v>0</v>
      </c>
      <c r="CD61" s="193">
        <f>CB64</f>
        <v>1592</v>
      </c>
      <c r="CE61" s="193">
        <f>CD64</f>
        <v>1565</v>
      </c>
      <c r="CF61" s="193">
        <f>CE64</f>
        <v>1563</v>
      </c>
      <c r="CG61" s="193">
        <f>CF64</f>
        <v>1563</v>
      </c>
      <c r="CH61" s="194">
        <f>CC64</f>
        <v>1592</v>
      </c>
      <c r="CI61" s="193">
        <f>CG64</f>
        <v>1510</v>
      </c>
      <c r="CJ61" s="193">
        <f>CI64</f>
        <v>1528</v>
      </c>
      <c r="CK61" s="193">
        <f>CJ64</f>
        <v>1331.000000001</v>
      </c>
      <c r="CL61" s="193">
        <f>CK64</f>
        <v>1059.000000001</v>
      </c>
      <c r="CM61" s="194">
        <f>CH64</f>
        <v>1510</v>
      </c>
      <c r="CN61" s="193">
        <f>CL64</f>
        <v>1059.000000001</v>
      </c>
      <c r="CO61" s="193">
        <f>CN64</f>
        <v>1059.000000001</v>
      </c>
      <c r="CP61" s="193">
        <f>CO64</f>
        <v>1059.000000001</v>
      </c>
      <c r="CQ61" s="193">
        <f>CP64</f>
        <v>1059.000000001</v>
      </c>
      <c r="CR61" s="194">
        <f>CM64</f>
        <v>1059.000000001</v>
      </c>
      <c r="CS61" s="193">
        <f>CQ64</f>
        <v>1059.000000001</v>
      </c>
      <c r="CT61" s="193">
        <f ca="1">CS64</f>
        <v>635.4000000005999</v>
      </c>
      <c r="CU61" s="193">
        <f ca="1">CT64</f>
        <v>381.24000000035994</v>
      </c>
      <c r="CV61" s="193">
        <f ca="1">CU64</f>
        <v>228.74400000021595</v>
      </c>
      <c r="CW61" s="194">
        <f>CR64</f>
        <v>1059.000000001</v>
      </c>
      <c r="CX61" s="193">
        <f ca="1">CV64</f>
        <v>137.24640000012957</v>
      </c>
      <c r="CY61" s="193">
        <f ca="1">CX64</f>
        <v>82.347840000077738</v>
      </c>
      <c r="CZ61" s="193">
        <f ca="1">CY64</f>
        <v>49.40870400004664</v>
      </c>
      <c r="DA61" s="193">
        <f ca="1">CZ64</f>
        <v>29.645222400027983</v>
      </c>
      <c r="DB61" s="194">
        <f ca="1">CW64</f>
        <v>137.24640000012957</v>
      </c>
      <c r="DC61" s="5"/>
      <c r="DD61" s="5"/>
      <c r="DE61" s="171"/>
      <c r="DF61" s="171"/>
      <c r="DG61" s="171"/>
      <c r="DH61" s="171"/>
      <c r="DI61" s="171"/>
      <c r="DJ61" s="171"/>
    </row>
    <row r="62" spans="1:114">
      <c r="A62" s="171"/>
      <c r="B62" s="693" t="s">
        <v>654</v>
      </c>
      <c r="C62" s="38"/>
      <c r="D62" s="201"/>
      <c r="E62" s="201"/>
      <c r="F62" s="201"/>
      <c r="G62" s="166"/>
      <c r="H62" s="166"/>
      <c r="I62" s="166"/>
      <c r="J62" s="166"/>
      <c r="K62" s="201"/>
      <c r="L62" s="166"/>
      <c r="M62" s="166"/>
      <c r="N62" s="166"/>
      <c r="O62" s="166"/>
      <c r="P62" s="201"/>
      <c r="Q62" s="166"/>
      <c r="R62" s="166"/>
      <c r="S62" s="166"/>
      <c r="T62" s="166"/>
      <c r="U62" s="201"/>
      <c r="V62" s="166"/>
      <c r="W62" s="166"/>
      <c r="X62" s="166"/>
      <c r="Y62" s="166"/>
      <c r="Z62" s="201"/>
      <c r="AA62" s="166"/>
      <c r="AB62" s="166"/>
      <c r="AC62" s="166"/>
      <c r="AD62" s="166"/>
      <c r="AE62" s="201"/>
      <c r="AF62" s="166"/>
      <c r="AG62" s="166"/>
      <c r="AH62" s="166"/>
      <c r="AI62" s="166"/>
      <c r="AJ62" s="201"/>
      <c r="AK62" s="166"/>
      <c r="AL62" s="166"/>
      <c r="AM62" s="166"/>
      <c r="AN62" s="166"/>
      <c r="AO62" s="201"/>
      <c r="AP62" s="166"/>
      <c r="AQ62" s="166"/>
      <c r="AR62" s="166"/>
      <c r="AS62" s="166"/>
      <c r="AT62" s="221"/>
      <c r="AU62" s="192"/>
      <c r="AV62" s="193"/>
      <c r="AW62" s="193"/>
      <c r="AX62" s="193"/>
      <c r="AY62" s="194"/>
      <c r="AZ62" s="192"/>
      <c r="BA62" s="193"/>
      <c r="BB62" s="193"/>
      <c r="BC62" s="193"/>
      <c r="BD62" s="194"/>
      <c r="BE62" s="192"/>
      <c r="BF62" s="193"/>
      <c r="BG62" s="193"/>
      <c r="BH62" s="193"/>
      <c r="BI62" s="194"/>
      <c r="BJ62" s="193"/>
      <c r="BK62" s="193"/>
      <c r="BL62" s="193"/>
      <c r="BM62" s="193"/>
      <c r="BN62" s="194"/>
      <c r="BO62" s="193"/>
      <c r="BP62" s="193"/>
      <c r="BQ62" s="193"/>
      <c r="BR62" s="193"/>
      <c r="BS62" s="194"/>
      <c r="BT62" s="193"/>
      <c r="BU62" s="193"/>
      <c r="BV62" s="193"/>
      <c r="BW62" s="193"/>
      <c r="BX62" s="194"/>
      <c r="BY62" s="1181">
        <v>0</v>
      </c>
      <c r="BZ62" s="193">
        <v>0</v>
      </c>
      <c r="CA62" s="193">
        <v>0</v>
      </c>
      <c r="CB62" s="842">
        <v>0</v>
      </c>
      <c r="CC62" s="194">
        <f>SUM(BY62:CB62)</f>
        <v>0</v>
      </c>
      <c r="CD62" s="1181">
        <v>0</v>
      </c>
      <c r="CE62" s="193">
        <v>0</v>
      </c>
      <c r="CF62" s="193">
        <v>0</v>
      </c>
      <c r="CG62" s="842">
        <v>0</v>
      </c>
      <c r="CH62" s="194">
        <f>SUM(CD62:CG62)</f>
        <v>0</v>
      </c>
      <c r="CI62" s="193">
        <f>+CI64-CI61</f>
        <v>18</v>
      </c>
      <c r="CJ62" s="193">
        <v>0</v>
      </c>
      <c r="CK62" s="193">
        <v>0</v>
      </c>
      <c r="CL62" s="842">
        <v>0</v>
      </c>
      <c r="CM62" s="194">
        <f>SUM(CI62:CL62)</f>
        <v>18</v>
      </c>
      <c r="CN62" s="1181">
        <v>0</v>
      </c>
      <c r="CO62" s="193">
        <v>0</v>
      </c>
      <c r="CP62" s="193">
        <v>0</v>
      </c>
      <c r="CQ62" s="842">
        <v>0</v>
      </c>
      <c r="CR62" s="194">
        <f>SUM(CN62:CQ62)</f>
        <v>0</v>
      </c>
      <c r="CS62" s="1181">
        <v>0</v>
      </c>
      <c r="CT62" s="193">
        <v>0</v>
      </c>
      <c r="CU62" s="193">
        <v>0</v>
      </c>
      <c r="CV62" s="842">
        <v>0</v>
      </c>
      <c r="CW62" s="194">
        <f>SUM(CS62:CV62)</f>
        <v>0</v>
      </c>
      <c r="CX62" s="1181">
        <v>0</v>
      </c>
      <c r="CY62" s="193">
        <v>0</v>
      </c>
      <c r="CZ62" s="193">
        <v>0</v>
      </c>
      <c r="DA62" s="842">
        <v>0</v>
      </c>
      <c r="DB62" s="194">
        <f>SUM(CX62:DA62)</f>
        <v>0</v>
      </c>
      <c r="DC62" s="5"/>
      <c r="DD62" s="5"/>
      <c r="DE62" s="171"/>
      <c r="DF62" s="171"/>
      <c r="DG62" s="171"/>
      <c r="DH62" s="171"/>
      <c r="DI62" s="171"/>
      <c r="DJ62" s="171"/>
    </row>
    <row r="63" spans="1:114">
      <c r="A63" s="171"/>
      <c r="B63" s="691" t="s">
        <v>653</v>
      </c>
      <c r="C63" s="33"/>
      <c r="D63" s="206"/>
      <c r="E63" s="206"/>
      <c r="F63" s="206"/>
      <c r="G63" s="214"/>
      <c r="H63" s="214"/>
      <c r="I63" s="214"/>
      <c r="J63" s="214"/>
      <c r="K63" s="206"/>
      <c r="L63" s="214"/>
      <c r="M63" s="214"/>
      <c r="N63" s="214"/>
      <c r="O63" s="214"/>
      <c r="P63" s="206"/>
      <c r="Q63" s="214"/>
      <c r="R63" s="214"/>
      <c r="S63" s="214"/>
      <c r="T63" s="214"/>
      <c r="U63" s="206"/>
      <c r="V63" s="214"/>
      <c r="W63" s="214"/>
      <c r="X63" s="214"/>
      <c r="Y63" s="214"/>
      <c r="Z63" s="206"/>
      <c r="AA63" s="214"/>
      <c r="AB63" s="214"/>
      <c r="AC63" s="214"/>
      <c r="AD63" s="214"/>
      <c r="AE63" s="206"/>
      <c r="AF63" s="214"/>
      <c r="AG63" s="214"/>
      <c r="AH63" s="214"/>
      <c r="AI63" s="214"/>
      <c r="AJ63" s="206"/>
      <c r="AK63" s="214"/>
      <c r="AL63" s="214"/>
      <c r="AM63" s="214"/>
      <c r="AN63" s="214"/>
      <c r="AO63" s="206"/>
      <c r="AP63" s="214"/>
      <c r="AQ63" s="214"/>
      <c r="AR63" s="214"/>
      <c r="AS63" s="214"/>
      <c r="AT63" s="225"/>
      <c r="AU63" s="195"/>
      <c r="AV63" s="195"/>
      <c r="AW63" s="195"/>
      <c r="AX63" s="195"/>
      <c r="AY63" s="197">
        <f>AY64-AY61</f>
        <v>827.98099999999977</v>
      </c>
      <c r="AZ63" s="195"/>
      <c r="BA63" s="195"/>
      <c r="BB63" s="195"/>
      <c r="BC63" s="195"/>
      <c r="BD63" s="197">
        <f>BD64-BD61</f>
        <v>-44.509999999999309</v>
      </c>
      <c r="BE63" s="195"/>
      <c r="BF63" s="195"/>
      <c r="BG63" s="195"/>
      <c r="BH63" s="195"/>
      <c r="BI63" s="197">
        <f>BI64-BI61</f>
        <v>-49.954000000000633</v>
      </c>
      <c r="BJ63" s="196">
        <f>BJ64-BJ61</f>
        <v>-730.32099999999991</v>
      </c>
      <c r="BK63" s="196">
        <f>BK64-BK61</f>
        <v>0</v>
      </c>
      <c r="BL63" s="196">
        <f>BL64-BL61</f>
        <v>-1600</v>
      </c>
      <c r="BM63" s="196">
        <f>BM64-BM61</f>
        <v>0</v>
      </c>
      <c r="BN63" s="197">
        <f>SUM(BJ63:BM63)</f>
        <v>-2330.3209999999999</v>
      </c>
      <c r="BO63" s="196">
        <f>BO64-BO61</f>
        <v>-206.47800000000007</v>
      </c>
      <c r="BP63" s="196">
        <f>BP64-BP61</f>
        <v>0</v>
      </c>
      <c r="BQ63" s="196">
        <f>BQ64-BQ61</f>
        <v>0</v>
      </c>
      <c r="BR63" s="196">
        <f>BR64-BR61</f>
        <v>0</v>
      </c>
      <c r="BS63" s="197">
        <f>SUM(BO63:BR63)</f>
        <v>-206.47800000000007</v>
      </c>
      <c r="BT63" s="196">
        <f>BT64-BT61</f>
        <v>-3412.5839999999998</v>
      </c>
      <c r="BU63" s="196">
        <v>0</v>
      </c>
      <c r="BV63" s="196">
        <v>0</v>
      </c>
      <c r="BW63" s="196">
        <v>0</v>
      </c>
      <c r="BX63" s="197">
        <f>SUM(BT63:BW63)</f>
        <v>-3412.5839999999998</v>
      </c>
      <c r="BY63" s="196">
        <v>0</v>
      </c>
      <c r="BZ63" s="196">
        <v>0</v>
      </c>
      <c r="CA63" s="196">
        <f>CA64-CA61</f>
        <v>-4</v>
      </c>
      <c r="CB63" s="196">
        <f>CB64-CB61</f>
        <v>-4</v>
      </c>
      <c r="CC63" s="197">
        <f>SUM(BY63:CB63)</f>
        <v>-8</v>
      </c>
      <c r="CD63" s="196">
        <f>CD64-CD61</f>
        <v>-27</v>
      </c>
      <c r="CE63" s="196">
        <f>CE64-CE61</f>
        <v>-2</v>
      </c>
      <c r="CF63" s="196">
        <v>0</v>
      </c>
      <c r="CG63" s="196">
        <f>+CG64-CG61</f>
        <v>-53</v>
      </c>
      <c r="CH63" s="197">
        <f>SUM(CD63:CG63)</f>
        <v>-82</v>
      </c>
      <c r="CI63" s="196">
        <v>0</v>
      </c>
      <c r="CJ63" s="196">
        <f>IF(CJ$55&gt;300,-0.2*CJ61,0)+108.600000001</f>
        <v>-196.99999999900001</v>
      </c>
      <c r="CK63" s="1352">
        <v>-272</v>
      </c>
      <c r="CL63" s="196"/>
      <c r="CM63" s="197">
        <f>SUM(CI63:CL63)</f>
        <v>-468.99999999900001</v>
      </c>
      <c r="CN63" s="196"/>
      <c r="CO63" s="196"/>
      <c r="CP63" s="196"/>
      <c r="CQ63" s="196"/>
      <c r="CR63" s="197">
        <f>SUM(CN63:CQ63)</f>
        <v>0</v>
      </c>
      <c r="CS63" s="196">
        <f ca="1">IF(CS$55&gt;300,-0.4*CS61,0)</f>
        <v>-423.60000000040003</v>
      </c>
      <c r="CT63" s="196">
        <f ca="1">IF(CT$55&gt;300,-0.4*CT61,0)</f>
        <v>-254.16000000023996</v>
      </c>
      <c r="CU63" s="196">
        <f ca="1">IF(CU$55&gt;300,-0.4*CU61,0)</f>
        <v>-152.49600000014399</v>
      </c>
      <c r="CV63" s="196">
        <f ca="1">IF(CV$55&gt;300,-0.4*CV61,0)</f>
        <v>-91.497600000086379</v>
      </c>
      <c r="CW63" s="197">
        <f ca="1">SUM(CS63:CV63)</f>
        <v>-921.75360000087039</v>
      </c>
      <c r="CX63" s="196">
        <f ca="1">IF(CX$55&gt;300,-0.4*CX61,0)</f>
        <v>-54.89856000005183</v>
      </c>
      <c r="CY63" s="196">
        <f ca="1">IF(CY$55&gt;300,-0.4*CY61,0)</f>
        <v>-32.939136000031098</v>
      </c>
      <c r="CZ63" s="196">
        <f ca="1">IF(CZ$55&gt;300,-0.4*CZ61,0)</f>
        <v>-19.763481600018658</v>
      </c>
      <c r="DA63" s="196">
        <f ca="1">IF(DA$55&gt;300,-0.4*DA61,0)</f>
        <v>0</v>
      </c>
      <c r="DB63" s="197">
        <f ca="1">SUM(CX63:DA63)</f>
        <v>-107.60117760010158</v>
      </c>
      <c r="DC63" s="5"/>
      <c r="DD63" s="5"/>
      <c r="DE63" s="171"/>
      <c r="DF63" s="171"/>
      <c r="DG63" s="171"/>
      <c r="DH63" s="171"/>
      <c r="DI63" s="171"/>
      <c r="DJ63" s="171"/>
    </row>
    <row r="64" spans="1:114">
      <c r="A64" s="171"/>
      <c r="B64" s="693" t="s">
        <v>519</v>
      </c>
      <c r="C64" s="38"/>
      <c r="D64" s="201"/>
      <c r="E64" s="201"/>
      <c r="F64" s="201"/>
      <c r="G64" s="166"/>
      <c r="H64" s="166"/>
      <c r="I64" s="166"/>
      <c r="J64" s="166"/>
      <c r="K64" s="201"/>
      <c r="L64" s="166"/>
      <c r="M64" s="166"/>
      <c r="N64" s="166"/>
      <c r="O64" s="166"/>
      <c r="P64" s="201"/>
      <c r="Q64" s="166"/>
      <c r="R64" s="166"/>
      <c r="S64" s="166"/>
      <c r="T64" s="166"/>
      <c r="U64" s="201"/>
      <c r="V64" s="166"/>
      <c r="W64" s="166"/>
      <c r="X64" s="166"/>
      <c r="Y64" s="166"/>
      <c r="Z64" s="201"/>
      <c r="AA64" s="166"/>
      <c r="AB64" s="166"/>
      <c r="AC64" s="166"/>
      <c r="AD64" s="166"/>
      <c r="AE64" s="201"/>
      <c r="AF64" s="166"/>
      <c r="AG64" s="166"/>
      <c r="AH64" s="166"/>
      <c r="AI64" s="166"/>
      <c r="AJ64" s="201"/>
      <c r="AK64" s="166"/>
      <c r="AL64" s="166"/>
      <c r="AM64" s="166"/>
      <c r="AN64" s="166"/>
      <c r="AO64" s="201"/>
      <c r="AP64" s="166"/>
      <c r="AQ64" s="166"/>
      <c r="AR64" s="166"/>
      <c r="AS64" s="166"/>
      <c r="AT64" s="234">
        <f>5965.866-750</f>
        <v>5215.866</v>
      </c>
      <c r="AU64" s="192"/>
      <c r="AV64" s="192"/>
      <c r="AW64" s="192"/>
      <c r="AX64" s="192"/>
      <c r="AY64" s="272">
        <f>6043.847</f>
        <v>6043.8469999999998</v>
      </c>
      <c r="AZ64" s="192"/>
      <c r="BA64" s="192"/>
      <c r="BB64" s="192"/>
      <c r="BC64" s="192"/>
      <c r="BD64" s="272">
        <f>5999.337</f>
        <v>5999.3370000000004</v>
      </c>
      <c r="BE64" s="192"/>
      <c r="BF64" s="192"/>
      <c r="BG64" s="192"/>
      <c r="BH64" s="192"/>
      <c r="BI64" s="272">
        <f>5949.383</f>
        <v>5949.3829999999998</v>
      </c>
      <c r="BJ64" s="198">
        <v>5219.0619999999999</v>
      </c>
      <c r="BK64" s="198">
        <v>5219.0619999999999</v>
      </c>
      <c r="BL64" s="198">
        <v>3619.0619999999999</v>
      </c>
      <c r="BM64" s="198">
        <v>3619.0619999999999</v>
      </c>
      <c r="BN64" s="194">
        <f>BM64</f>
        <v>3619.0619999999999</v>
      </c>
      <c r="BO64" s="198">
        <v>3412.5839999999998</v>
      </c>
      <c r="BP64" s="198">
        <v>3412.5839999999998</v>
      </c>
      <c r="BQ64" s="550">
        <v>3412.5839999999998</v>
      </c>
      <c r="BR64" s="193">
        <v>3412.5839999999998</v>
      </c>
      <c r="BS64" s="194">
        <f>BR64</f>
        <v>3412.5839999999998</v>
      </c>
      <c r="BT64" s="550">
        <v>0</v>
      </c>
      <c r="BU64" s="550">
        <f>SUM(BU61:BU63)</f>
        <v>0</v>
      </c>
      <c r="BV64" s="193">
        <f>SUM(BV61:BV63)</f>
        <v>0</v>
      </c>
      <c r="BW64" s="193">
        <f>SUM(BW61:BW63)</f>
        <v>0</v>
      </c>
      <c r="BX64" s="194">
        <f>BW64</f>
        <v>0</v>
      </c>
      <c r="BY64" s="550">
        <f>SUM(BY61:BY63)</f>
        <v>0</v>
      </c>
      <c r="BZ64" s="193">
        <v>1600</v>
      </c>
      <c r="CA64" s="583">
        <v>1596</v>
      </c>
      <c r="CB64" s="583">
        <v>1592</v>
      </c>
      <c r="CC64" s="194">
        <f>CB64</f>
        <v>1592</v>
      </c>
      <c r="CD64" s="583">
        <v>1565</v>
      </c>
      <c r="CE64" s="583">
        <v>1563</v>
      </c>
      <c r="CF64" s="193">
        <f>SUM(CF61:CF63)</f>
        <v>1563</v>
      </c>
      <c r="CG64" s="583">
        <v>1510</v>
      </c>
      <c r="CH64" s="194">
        <f>CG64</f>
        <v>1510</v>
      </c>
      <c r="CI64" s="582">
        <v>1528</v>
      </c>
      <c r="CJ64" s="193">
        <f>SUM(CJ61:CJ63)</f>
        <v>1331.000000001</v>
      </c>
      <c r="CK64" s="193">
        <f>SUM(CK61:CK63)</f>
        <v>1059.000000001</v>
      </c>
      <c r="CL64" s="193">
        <f>SUM(CL61:CL63)</f>
        <v>1059.000000001</v>
      </c>
      <c r="CM64" s="194">
        <f>CL64</f>
        <v>1059.000000001</v>
      </c>
      <c r="CN64" s="193">
        <f>SUM(CN61:CN63)</f>
        <v>1059.000000001</v>
      </c>
      <c r="CO64" s="193">
        <f>SUM(CO61:CO63)</f>
        <v>1059.000000001</v>
      </c>
      <c r="CP64" s="193">
        <f>SUM(CP61:CP63)</f>
        <v>1059.000000001</v>
      </c>
      <c r="CQ64" s="193">
        <f>SUM(CQ61:CQ63)</f>
        <v>1059.000000001</v>
      </c>
      <c r="CR64" s="194">
        <f>CQ64</f>
        <v>1059.000000001</v>
      </c>
      <c r="CS64" s="193">
        <f ca="1">SUM(CS61:CS63)</f>
        <v>635.4000000005999</v>
      </c>
      <c r="CT64" s="193">
        <f ca="1">SUM(CT61:CT63)</f>
        <v>381.24000000035994</v>
      </c>
      <c r="CU64" s="193">
        <f ca="1">SUM(CU61:CU63)</f>
        <v>228.74400000021595</v>
      </c>
      <c r="CV64" s="193">
        <f ca="1">SUM(CV61:CV63)</f>
        <v>137.24640000012957</v>
      </c>
      <c r="CW64" s="194">
        <f ca="1">CV64</f>
        <v>137.24640000012957</v>
      </c>
      <c r="CX64" s="193">
        <f ca="1">SUM(CX61:CX63)</f>
        <v>82.347840000077738</v>
      </c>
      <c r="CY64" s="193">
        <f ca="1">SUM(CY61:CY63)</f>
        <v>49.40870400004664</v>
      </c>
      <c r="CZ64" s="193">
        <f ca="1">SUM(CZ61:CZ63)</f>
        <v>29.645222400027983</v>
      </c>
      <c r="DA64" s="193">
        <f ca="1">SUM(DA61:DA63)</f>
        <v>29.645222400027983</v>
      </c>
      <c r="DB64" s="194">
        <f ca="1">DA64</f>
        <v>29.645222400027983</v>
      </c>
      <c r="DC64" s="5"/>
      <c r="DD64" s="5"/>
      <c r="DE64" s="171"/>
      <c r="DF64" s="171"/>
      <c r="DG64" s="699"/>
      <c r="DH64" s="699"/>
      <c r="DI64" s="699"/>
      <c r="DJ64" s="699"/>
    </row>
    <row r="65" spans="1:114">
      <c r="A65" s="171"/>
      <c r="B65" s="690" t="s">
        <v>362</v>
      </c>
      <c r="C65" s="38"/>
      <c r="D65" s="201"/>
      <c r="E65" s="201"/>
      <c r="F65" s="201"/>
      <c r="G65" s="166"/>
      <c r="H65" s="166"/>
      <c r="I65" s="166"/>
      <c r="J65" s="166"/>
      <c r="K65" s="201"/>
      <c r="L65" s="166"/>
      <c r="M65" s="166"/>
      <c r="N65" s="166"/>
      <c r="O65" s="166"/>
      <c r="P65" s="201"/>
      <c r="Q65" s="166"/>
      <c r="R65" s="166"/>
      <c r="S65" s="166"/>
      <c r="T65" s="166"/>
      <c r="U65" s="201"/>
      <c r="V65" s="166"/>
      <c r="W65" s="166"/>
      <c r="X65" s="166"/>
      <c r="Y65" s="166"/>
      <c r="Z65" s="201"/>
      <c r="AA65" s="166"/>
      <c r="AB65" s="166"/>
      <c r="AC65" s="166"/>
      <c r="AD65" s="166"/>
      <c r="AE65" s="201"/>
      <c r="AF65" s="166"/>
      <c r="AG65" s="166"/>
      <c r="AH65" s="166"/>
      <c r="AI65" s="166"/>
      <c r="AJ65" s="201"/>
      <c r="AK65" s="166"/>
      <c r="AL65" s="166"/>
      <c r="AM65" s="166"/>
      <c r="AN65" s="166"/>
      <c r="AO65" s="201"/>
      <c r="AP65" s="166"/>
      <c r="AQ65" s="166"/>
      <c r="AR65" s="166"/>
      <c r="AS65" s="166"/>
      <c r="AT65" s="221"/>
      <c r="AU65" s="193"/>
      <c r="AV65" s="193"/>
      <c r="AW65" s="193"/>
      <c r="AX65" s="193"/>
      <c r="AY65" s="194">
        <f>AY60-AY64</f>
        <v>56.153000000000247</v>
      </c>
      <c r="AZ65" s="193"/>
      <c r="BA65" s="193"/>
      <c r="BB65" s="193"/>
      <c r="BC65" s="193"/>
      <c r="BD65" s="194">
        <f>BD60-BD64</f>
        <v>100.66299999999956</v>
      </c>
      <c r="BE65" s="193"/>
      <c r="BF65" s="193"/>
      <c r="BG65" s="193"/>
      <c r="BH65" s="193"/>
      <c r="BI65" s="194">
        <f>BI60-BI64</f>
        <v>150.61700000000019</v>
      </c>
      <c r="BJ65" s="193">
        <f>BJ60-BJ64</f>
        <v>880.9380000000001</v>
      </c>
      <c r="BK65" s="193">
        <f>BK60-BK64</f>
        <v>880.9380000000001</v>
      </c>
      <c r="BL65" s="193">
        <f>BL60-BL64</f>
        <v>2480.9380000000001</v>
      </c>
      <c r="BM65" s="193">
        <f>BM60-BM64</f>
        <v>2480.9380000000001</v>
      </c>
      <c r="BN65" s="194">
        <f>BM65</f>
        <v>2480.9380000000001</v>
      </c>
      <c r="BO65" s="193">
        <f>BO60-BO64</f>
        <v>2687.4160000000002</v>
      </c>
      <c r="BP65" s="193">
        <f>BP60-BP64</f>
        <v>2687.4160000000002</v>
      </c>
      <c r="BQ65" s="193">
        <f>BQ60-BQ64</f>
        <v>2687.4160000000002</v>
      </c>
      <c r="BR65" s="193">
        <f>BR60-BR64</f>
        <v>2687.4160000000002</v>
      </c>
      <c r="BS65" s="194">
        <f>BR65</f>
        <v>2687.4160000000002</v>
      </c>
      <c r="BT65" s="193">
        <f>BT60-BT64</f>
        <v>6100</v>
      </c>
      <c r="BU65" s="193">
        <f>BU60-BU64</f>
        <v>6100</v>
      </c>
      <c r="BV65" s="193">
        <f>BV60-BV64</f>
        <v>6100</v>
      </c>
      <c r="BW65" s="193">
        <f>BW60-BW64</f>
        <v>6100</v>
      </c>
      <c r="BX65" s="194">
        <f>BW65</f>
        <v>6100</v>
      </c>
      <c r="BY65" s="193">
        <f>BY60-BY64</f>
        <v>6100</v>
      </c>
      <c r="BZ65" s="193">
        <f>BZ60-BZ64</f>
        <v>4500</v>
      </c>
      <c r="CA65" s="193">
        <f>CA60-CA64</f>
        <v>4504</v>
      </c>
      <c r="CB65" s="193">
        <f>CB60-CB64</f>
        <v>4508</v>
      </c>
      <c r="CC65" s="194">
        <f>CB65</f>
        <v>4508</v>
      </c>
      <c r="CD65" s="193">
        <f>CD60-CD64</f>
        <v>4535</v>
      </c>
      <c r="CE65" s="193">
        <f>CE60-CE64</f>
        <v>4537</v>
      </c>
      <c r="CF65" s="193">
        <f>CF60-CF64</f>
        <v>4537</v>
      </c>
      <c r="CG65" s="193">
        <f>CG60-CG64</f>
        <v>4590</v>
      </c>
      <c r="CH65" s="194">
        <f>CG65</f>
        <v>4590</v>
      </c>
      <c r="CI65" s="193">
        <f>CI60-CI64</f>
        <v>4572</v>
      </c>
      <c r="CJ65" s="193">
        <f>CJ60-CJ64</f>
        <v>4768.9999999989996</v>
      </c>
      <c r="CK65" s="193">
        <f>CK60-CK64</f>
        <v>5040.9999999989996</v>
      </c>
      <c r="CL65" s="193">
        <f>CL60-CL64</f>
        <v>5040.9999999989996</v>
      </c>
      <c r="CM65" s="194">
        <f>CL65</f>
        <v>5040.9999999989996</v>
      </c>
      <c r="CN65" s="193">
        <f>CN60-CN64</f>
        <v>5040.9999999989996</v>
      </c>
      <c r="CO65" s="193">
        <f>CO60-CO64</f>
        <v>5040.9999999989996</v>
      </c>
      <c r="CP65" s="193">
        <f>CP60-CP64</f>
        <v>5040.9999999989996</v>
      </c>
      <c r="CQ65" s="193">
        <f>CQ60-CQ64</f>
        <v>5040.9999999989996</v>
      </c>
      <c r="CR65" s="194">
        <f>CQ65</f>
        <v>5040.9999999989996</v>
      </c>
      <c r="CS65" s="193">
        <f ca="1">CS60-CS64</f>
        <v>5464.5999999994001</v>
      </c>
      <c r="CT65" s="193">
        <f ca="1">CT60-CT64</f>
        <v>5718.7599999996401</v>
      </c>
      <c r="CU65" s="193">
        <f ca="1">CU60-CU64</f>
        <v>5871.2559999997839</v>
      </c>
      <c r="CV65" s="193">
        <f ca="1">CV60-CV64</f>
        <v>5962.7535999998709</v>
      </c>
      <c r="CW65" s="194">
        <f ca="1">CV65</f>
        <v>5962.7535999998709</v>
      </c>
      <c r="CX65" s="193">
        <f ca="1">CX60-CX64</f>
        <v>6017.6521599999223</v>
      </c>
      <c r="CY65" s="193">
        <f ca="1">CY60-CY64</f>
        <v>6050.5912959999532</v>
      </c>
      <c r="CZ65" s="193">
        <f ca="1">CZ60-CZ64</f>
        <v>6070.3547775999723</v>
      </c>
      <c r="DA65" s="193">
        <f ca="1">DA60-DA64</f>
        <v>6070.3547775999723</v>
      </c>
      <c r="DB65" s="194">
        <f ca="1">DA65</f>
        <v>6070.3547775999723</v>
      </c>
      <c r="DC65" s="5"/>
      <c r="DD65" s="5"/>
      <c r="DE65" s="171"/>
      <c r="DF65" s="171"/>
      <c r="DG65" s="699"/>
      <c r="DH65" s="699"/>
      <c r="DI65" s="699"/>
      <c r="DJ65" s="699"/>
    </row>
    <row r="66" spans="1:114">
      <c r="A66" s="700"/>
      <c r="B66" s="693" t="s">
        <v>520</v>
      </c>
      <c r="C66" s="38"/>
      <c r="D66" s="168"/>
      <c r="E66" s="168"/>
      <c r="F66" s="168"/>
      <c r="G66" s="158"/>
      <c r="H66" s="158"/>
      <c r="I66" s="158"/>
      <c r="J66" s="158"/>
      <c r="K66" s="168"/>
      <c r="L66" s="158"/>
      <c r="M66" s="158"/>
      <c r="N66" s="158"/>
      <c r="O66" s="158"/>
      <c r="P66" s="168"/>
      <c r="Q66" s="158"/>
      <c r="R66" s="158"/>
      <c r="S66" s="158"/>
      <c r="T66" s="158"/>
      <c r="U66" s="168"/>
      <c r="V66" s="158"/>
      <c r="W66" s="158"/>
      <c r="X66" s="158"/>
      <c r="Y66" s="158"/>
      <c r="Z66" s="168"/>
      <c r="AA66" s="158"/>
      <c r="AB66" s="158"/>
      <c r="AC66" s="158"/>
      <c r="AD66" s="158"/>
      <c r="AE66" s="168"/>
      <c r="AF66" s="158"/>
      <c r="AG66" s="158"/>
      <c r="AH66" s="158"/>
      <c r="AI66" s="158"/>
      <c r="AJ66" s="168"/>
      <c r="AK66" s="158"/>
      <c r="AL66" s="158"/>
      <c r="AM66" s="158"/>
      <c r="AN66" s="158"/>
      <c r="AO66" s="168"/>
      <c r="AP66" s="158"/>
      <c r="AQ66" s="158"/>
      <c r="AR66" s="158"/>
      <c r="AS66" s="158"/>
      <c r="AT66" s="235"/>
      <c r="AU66" s="192"/>
      <c r="AV66" s="192"/>
      <c r="AW66" s="192"/>
      <c r="AX66" s="192"/>
      <c r="AY66" s="194">
        <f>AY59*AVERAGE(AY64,AY64)</f>
        <v>166.2057925</v>
      </c>
      <c r="AZ66" s="192"/>
      <c r="BA66" s="192"/>
      <c r="BB66" s="192"/>
      <c r="BC66" s="192"/>
      <c r="BD66" s="194">
        <f>BD59*AVERAGE(BD64,BD64)</f>
        <v>164.98176750000002</v>
      </c>
      <c r="BE66" s="192"/>
      <c r="BF66" s="192"/>
      <c r="BG66" s="192"/>
      <c r="BH66" s="192"/>
      <c r="BI66" s="194">
        <f>BI59*AVERAGE(BI64,BI64)</f>
        <v>163.60803250000001</v>
      </c>
      <c r="BJ66" s="192">
        <f>BJ59/4*AVERAGE(BJ64,BJ64)</f>
        <v>35.881051249999999</v>
      </c>
      <c r="BK66" s="192">
        <f>BK59/4*AVERAGE(BK64,BK61)</f>
        <v>35.881051249999999</v>
      </c>
      <c r="BL66" s="192">
        <f>BL59/4*AVERAGE(BL64,BL61)</f>
        <v>30.381051249999999</v>
      </c>
      <c r="BM66" s="192">
        <f>BM59/4*AVERAGE(BM64,BM61)</f>
        <v>24.881051249999999</v>
      </c>
      <c r="BN66" s="194">
        <f>SUM(BJ66:BM66)</f>
        <v>127.02420499999999</v>
      </c>
      <c r="BO66" s="192">
        <f>BO59/4*AVERAGE(BO64,BO61)</f>
        <v>24.171283124999999</v>
      </c>
      <c r="BP66" s="192">
        <f>BP59/4*AVERAGE(BP64,BP61)</f>
        <v>23.461514999999999</v>
      </c>
      <c r="BQ66" s="192">
        <f>BQ59/4*AVERAGE(BQ64,BQ61)</f>
        <v>23.461514999999999</v>
      </c>
      <c r="BR66" s="192">
        <f>BR59/4*AVERAGE(BR64,BR61)</f>
        <v>23.461514999999999</v>
      </c>
      <c r="BS66" s="194">
        <f>SUM(BO66:BR66)</f>
        <v>94.555828124999977</v>
      </c>
      <c r="BT66" s="192">
        <f>BT59/4*AVERAGE(BT64,BT64,BT61)</f>
        <v>7.8205049999999998</v>
      </c>
      <c r="BU66" s="192">
        <f>BU59/4*AVERAGE(BU64,BU61)</f>
        <v>0</v>
      </c>
      <c r="BV66" s="192">
        <f>BV59/4*AVERAGE(BV64,BV61)</f>
        <v>0</v>
      </c>
      <c r="BW66" s="192">
        <f>BW59/4*AVERAGE(BW64,BW61)</f>
        <v>0</v>
      </c>
      <c r="BX66" s="194">
        <f>SUM(BT66:BW66)</f>
        <v>7.8205049999999998</v>
      </c>
      <c r="BY66" s="192">
        <f>BY59/4*AVERAGE(BY64,BY61)</f>
        <v>0</v>
      </c>
      <c r="BZ66" s="192">
        <f>BZ59/4*AVERAGE(BZ64,BZ61)</f>
        <v>5.5</v>
      </c>
      <c r="CA66" s="192">
        <f>CA59/4*AVERAGE(CA64,CA61)</f>
        <v>10.98625</v>
      </c>
      <c r="CB66" s="192">
        <f>CB59/4*AVERAGE(CB64,CB61)</f>
        <v>10.95875</v>
      </c>
      <c r="CC66" s="194">
        <f>SUM(BY66:CB66)</f>
        <v>27.445</v>
      </c>
      <c r="CD66" s="192">
        <f>CD59/4*AVERAGE(CD64,CD61)</f>
        <v>10.852187499999999</v>
      </c>
      <c r="CE66" s="192">
        <f>CE59/4*AVERAGE(CE64,CE61)</f>
        <v>10.7525</v>
      </c>
      <c r="CF66" s="192">
        <f>CF59/4*AVERAGE(CF64,CF61)</f>
        <v>10.745625</v>
      </c>
      <c r="CG66" s="192">
        <f>CG59/4*AVERAGE(CG64,CG61)</f>
        <v>10.563437500000001</v>
      </c>
      <c r="CH66" s="194">
        <f>SUM(CD66:CG66)</f>
        <v>42.91375</v>
      </c>
      <c r="CI66" s="192">
        <f>CI59/4*AVERAGE(CI64,CI61)</f>
        <v>10.443125</v>
      </c>
      <c r="CJ66" s="192">
        <f>CJ59/4*AVERAGE(CJ64,CJ61)</f>
        <v>9.8278125000034375</v>
      </c>
      <c r="CK66" s="192">
        <f>CK59/4*AVERAGE(CK64,CK61)</f>
        <v>8.2156250000068756</v>
      </c>
      <c r="CL66" s="192">
        <f>CL59/4*AVERAGE(CL64,CL61)</f>
        <v>7.2806250000068751</v>
      </c>
      <c r="CM66" s="194">
        <f>SUM(CI66:CL66)</f>
        <v>35.767187500017187</v>
      </c>
      <c r="CN66" s="192">
        <f>CN59/4*AVERAGE(CN64,CN61)</f>
        <v>7.2806250000068751</v>
      </c>
      <c r="CO66" s="192">
        <f>CO59/4*AVERAGE(CO64,CO61)</f>
        <v>7.2806250000068751</v>
      </c>
      <c r="CP66" s="192">
        <f>CP59/4*AVERAGE(CP64,CP61)</f>
        <v>7.2806250000068751</v>
      </c>
      <c r="CQ66" s="192">
        <f>CQ59/4*AVERAGE(CQ64,CQ61)</f>
        <v>7.2806250000068751</v>
      </c>
      <c r="CR66" s="194">
        <f>SUM(CN66:CQ66)</f>
        <v>29.1225000000275</v>
      </c>
      <c r="CS66" s="192">
        <f ca="1">CS59/4*AVERAGE(CS64,CS61)</f>
        <v>5.8245000000055001</v>
      </c>
      <c r="CT66" s="192">
        <f ca="1">CT59/4*AVERAGE(CT64,CT61)</f>
        <v>3.4947000000032995</v>
      </c>
      <c r="CU66" s="192">
        <f ca="1">CU59/4*AVERAGE(CU64,CU61)</f>
        <v>2.0968200000019794</v>
      </c>
      <c r="CV66" s="192">
        <f ca="1">CV59/4*AVERAGE(CV64,CV61)</f>
        <v>1.2580920000011877</v>
      </c>
      <c r="CW66" s="194">
        <f ca="1">SUM(CS66:CV66)</f>
        <v>12.674112000011966</v>
      </c>
      <c r="CX66" s="192">
        <f ca="1">CX59/4*AVERAGE(CX64,CX61)</f>
        <v>0.75485520000071271</v>
      </c>
      <c r="CY66" s="192">
        <f ca="1">CY59/4*AVERAGE(CY64,CY61)</f>
        <v>0.4529131200004276</v>
      </c>
      <c r="CZ66" s="192">
        <f ca="1">CZ59/4*AVERAGE(CZ64,CZ61)</f>
        <v>0.27174787200025652</v>
      </c>
      <c r="DA66" s="192">
        <f ca="1">DA59/4*AVERAGE(DA64,DA61)</f>
        <v>0.20381090400019239</v>
      </c>
      <c r="DB66" s="194">
        <f ca="1">SUM(CX66:DA66)</f>
        <v>1.6833270960015891</v>
      </c>
      <c r="DC66" s="5"/>
      <c r="DD66" s="5"/>
      <c r="DE66" s="171"/>
      <c r="DF66" s="171"/>
      <c r="DG66" s="699"/>
      <c r="DH66" s="699"/>
      <c r="DI66" s="699"/>
      <c r="DJ66" s="699"/>
    </row>
    <row r="67" spans="1:114">
      <c r="A67" s="700"/>
      <c r="B67" s="691" t="s">
        <v>363</v>
      </c>
      <c r="C67" s="33"/>
      <c r="D67" s="206"/>
      <c r="E67" s="206"/>
      <c r="F67" s="206"/>
      <c r="G67" s="214"/>
      <c r="H67" s="214"/>
      <c r="I67" s="214"/>
      <c r="J67" s="214"/>
      <c r="K67" s="206"/>
      <c r="L67" s="214"/>
      <c r="M67" s="214"/>
      <c r="N67" s="214"/>
      <c r="O67" s="214"/>
      <c r="P67" s="206"/>
      <c r="Q67" s="214"/>
      <c r="R67" s="214"/>
      <c r="S67" s="214"/>
      <c r="T67" s="214"/>
      <c r="U67" s="206"/>
      <c r="V67" s="214"/>
      <c r="W67" s="214"/>
      <c r="X67" s="214"/>
      <c r="Y67" s="214"/>
      <c r="Z67" s="206"/>
      <c r="AA67" s="214"/>
      <c r="AB67" s="214"/>
      <c r="AC67" s="214"/>
      <c r="AD67" s="214"/>
      <c r="AE67" s="206"/>
      <c r="AF67" s="214"/>
      <c r="AG67" s="214"/>
      <c r="AH67" s="214"/>
      <c r="AI67" s="214"/>
      <c r="AJ67" s="206"/>
      <c r="AK67" s="214"/>
      <c r="AL67" s="214"/>
      <c r="AM67" s="214"/>
      <c r="AN67" s="214"/>
      <c r="AO67" s="206"/>
      <c r="AP67" s="214"/>
      <c r="AQ67" s="214"/>
      <c r="AR67" s="214"/>
      <c r="AS67" s="214"/>
      <c r="AT67" s="225"/>
      <c r="AU67" s="230"/>
      <c r="AV67" s="230"/>
      <c r="AW67" s="230"/>
      <c r="AX67" s="230"/>
      <c r="AY67" s="197">
        <f>AY58*(AVERAGE(AY65,AY65))</f>
        <v>0.14038250000000063</v>
      </c>
      <c r="AZ67" s="230"/>
      <c r="BA67" s="230"/>
      <c r="BB67" s="230"/>
      <c r="BC67" s="230"/>
      <c r="BD67" s="197">
        <f>BD58*(AVERAGE(BD65,BD65))</f>
        <v>0.25165749999999887</v>
      </c>
      <c r="BE67" s="230"/>
      <c r="BF67" s="230"/>
      <c r="BG67" s="230"/>
      <c r="BH67" s="230"/>
      <c r="BI67" s="197">
        <f>BI58*(AVERAGE(BI65,BI65))</f>
        <v>0.3765425000000005</v>
      </c>
      <c r="BJ67" s="230">
        <f>BJ58/4*(AVERAGE(BJ65,BJ65))</f>
        <v>0.55058625000000005</v>
      </c>
      <c r="BK67" s="230">
        <f>BK58/4*(AVERAGE(BK65,BJ65))</f>
        <v>0.55058625000000005</v>
      </c>
      <c r="BL67" s="230">
        <f>BL58/4*(AVERAGE(BL65,BK65))</f>
        <v>1.0505862500000001</v>
      </c>
      <c r="BM67" s="230">
        <f>BM58/4*(AVERAGE(BM65,BL65))</f>
        <v>1.5505862500000001</v>
      </c>
      <c r="BN67" s="197">
        <f>SUM(BJ67:BM67)</f>
        <v>3.7023450000000002</v>
      </c>
      <c r="BO67" s="230">
        <f>BO58/4*(AVERAGE(BO65,BN65))</f>
        <v>2.8264435937500005</v>
      </c>
      <c r="BP67" s="230">
        <f>BP58/4*(AVERAGE(BP65,BO65))</f>
        <v>2.9393612500000006</v>
      </c>
      <c r="BQ67" s="230">
        <f>BQ58/4*(AVERAGE(BQ65,BP65))</f>
        <v>2.9393612500000006</v>
      </c>
      <c r="BR67" s="230">
        <f>BR58/4*(AVERAGE(BR65,BQ65))</f>
        <v>2.9393612500000006</v>
      </c>
      <c r="BS67" s="197">
        <f>SUM(BO67:BR67)</f>
        <v>11.644527343750003</v>
      </c>
      <c r="BT67" s="230"/>
      <c r="BU67" s="230"/>
      <c r="BV67" s="230"/>
      <c r="BW67" s="230"/>
      <c r="BX67" s="197"/>
      <c r="BY67" s="230"/>
      <c r="BZ67" s="230"/>
      <c r="CA67" s="230"/>
      <c r="CB67" s="230"/>
      <c r="CC67" s="197"/>
      <c r="CD67" s="230"/>
      <c r="CE67" s="230"/>
      <c r="CF67" s="230"/>
      <c r="CG67" s="230"/>
      <c r="CH67" s="197"/>
      <c r="CI67" s="230"/>
      <c r="CJ67" s="230"/>
      <c r="CK67" s="230"/>
      <c r="CL67" s="230"/>
      <c r="CM67" s="197"/>
      <c r="CN67" s="230"/>
      <c r="CO67" s="230"/>
      <c r="CP67" s="230"/>
      <c r="CQ67" s="230"/>
      <c r="CR67" s="197"/>
      <c r="CS67" s="230"/>
      <c r="CT67" s="230"/>
      <c r="CU67" s="230"/>
      <c r="CV67" s="230"/>
      <c r="CW67" s="197"/>
      <c r="CX67" s="230"/>
      <c r="CY67" s="230"/>
      <c r="CZ67" s="230"/>
      <c r="DA67" s="230"/>
      <c r="DB67" s="197"/>
      <c r="DC67" s="5"/>
      <c r="DD67" s="5"/>
      <c r="DE67" s="171"/>
      <c r="DF67" s="171"/>
      <c r="DG67" s="699"/>
      <c r="DH67" s="699"/>
      <c r="DI67" s="699"/>
      <c r="DJ67" s="699"/>
    </row>
    <row r="68" spans="1:114" s="1163" customFormat="1" hidden="1" outlineLevel="1">
      <c r="A68" s="171"/>
      <c r="B68" s="1164"/>
      <c r="C68" s="46"/>
      <c r="D68" s="1161"/>
      <c r="E68" s="1161"/>
      <c r="F68" s="1161"/>
      <c r="G68" s="1161"/>
      <c r="H68" s="1161"/>
      <c r="I68" s="1161"/>
      <c r="J68" s="1161"/>
      <c r="K68" s="1161"/>
      <c r="L68" s="1161"/>
      <c r="M68" s="1161"/>
      <c r="N68" s="1161"/>
      <c r="O68" s="1161"/>
      <c r="P68" s="1161"/>
      <c r="Q68" s="1161"/>
      <c r="R68" s="1161"/>
      <c r="S68" s="1161"/>
      <c r="T68" s="1161"/>
      <c r="U68" s="1161"/>
      <c r="V68" s="1161"/>
      <c r="W68" s="1161"/>
      <c r="X68" s="1161"/>
      <c r="Y68" s="1161"/>
      <c r="Z68" s="1161"/>
      <c r="AA68" s="1161"/>
      <c r="AB68" s="1161"/>
      <c r="AC68" s="1161"/>
      <c r="AD68" s="1161"/>
      <c r="AE68" s="1161"/>
      <c r="AF68" s="1161"/>
      <c r="AG68" s="1161"/>
      <c r="AH68" s="1161"/>
      <c r="AI68" s="1161"/>
      <c r="AJ68" s="1161"/>
      <c r="AK68" s="1161"/>
      <c r="AL68" s="1161"/>
      <c r="AM68" s="1161"/>
      <c r="AN68" s="1161"/>
      <c r="AO68" s="1161"/>
      <c r="AP68" s="1161"/>
      <c r="AQ68" s="1161"/>
      <c r="AR68" s="1161"/>
      <c r="AS68" s="1161"/>
      <c r="AT68" s="1161"/>
      <c r="AU68" s="1162"/>
      <c r="AV68" s="1162"/>
      <c r="AW68" s="1162"/>
      <c r="AX68" s="1162"/>
      <c r="AY68" s="1161"/>
      <c r="AZ68" s="1162"/>
      <c r="BA68" s="1162"/>
      <c r="BB68" s="1162"/>
      <c r="BC68" s="1162"/>
      <c r="BD68" s="1161"/>
      <c r="BE68" s="1162"/>
      <c r="BF68" s="1162"/>
      <c r="BG68" s="1162"/>
      <c r="BH68" s="1162"/>
      <c r="BI68" s="1161"/>
      <c r="BJ68" s="1165"/>
      <c r="BK68" s="1165"/>
      <c r="BL68" s="1161"/>
      <c r="BM68" s="1161"/>
      <c r="BN68" s="1161"/>
      <c r="BO68" s="1161"/>
      <c r="BP68" s="1161"/>
      <c r="BQ68" s="1161"/>
      <c r="BR68" s="1161"/>
      <c r="BS68" s="1161"/>
      <c r="BT68" s="1161"/>
      <c r="BU68" s="1161"/>
      <c r="BV68" s="1161"/>
      <c r="BW68" s="1161"/>
      <c r="BX68" s="1161"/>
      <c r="BY68" s="1161"/>
      <c r="BZ68" s="1161"/>
      <c r="CA68" s="1161"/>
      <c r="CB68" s="1161"/>
      <c r="CC68" s="1161"/>
      <c r="CD68" s="1161"/>
      <c r="CE68" s="1161"/>
      <c r="CF68" s="1161"/>
      <c r="CG68" s="1161"/>
      <c r="CH68" s="1161"/>
      <c r="CI68" s="1161"/>
      <c r="CJ68" s="1161"/>
      <c r="CK68" s="1161"/>
      <c r="CL68" s="1161"/>
      <c r="CM68" s="1161"/>
      <c r="CN68" s="1161"/>
      <c r="CO68" s="1161"/>
      <c r="CP68" s="1161"/>
      <c r="CQ68" s="1161"/>
      <c r="CR68" s="1161"/>
      <c r="CS68" s="1161"/>
      <c r="CT68" s="1161"/>
      <c r="CU68" s="1161"/>
      <c r="CV68" s="1161"/>
      <c r="CW68" s="1161"/>
      <c r="CX68" s="1161"/>
      <c r="CY68" s="1161"/>
      <c r="CZ68" s="1161"/>
      <c r="DA68" s="1161"/>
      <c r="DB68" s="1161"/>
      <c r="DC68" s="5"/>
      <c r="DD68" s="5"/>
      <c r="DE68" s="171"/>
      <c r="DF68" s="171"/>
      <c r="DG68" s="171"/>
      <c r="DH68" s="171"/>
      <c r="DI68" s="171"/>
      <c r="DJ68" s="171"/>
    </row>
    <row r="69" spans="1:114" s="1163" customFormat="1" hidden="1" outlineLevel="1">
      <c r="A69" s="171"/>
      <c r="B69" s="1164" t="s">
        <v>650</v>
      </c>
      <c r="C69" s="46"/>
      <c r="D69" s="1161"/>
      <c r="E69" s="1161"/>
      <c r="F69" s="1161"/>
      <c r="G69" s="1161"/>
      <c r="H69" s="1161"/>
      <c r="I69" s="1161"/>
      <c r="J69" s="1161"/>
      <c r="K69" s="1161"/>
      <c r="L69" s="1161"/>
      <c r="M69" s="1161"/>
      <c r="N69" s="1161"/>
      <c r="O69" s="1161"/>
      <c r="P69" s="1161"/>
      <c r="Q69" s="1161"/>
      <c r="R69" s="1161"/>
      <c r="S69" s="1161"/>
      <c r="T69" s="1161"/>
      <c r="U69" s="1161"/>
      <c r="V69" s="1161"/>
      <c r="W69" s="1161"/>
      <c r="X69" s="1161"/>
      <c r="Y69" s="1161"/>
      <c r="Z69" s="1161"/>
      <c r="AA69" s="1161"/>
      <c r="AB69" s="1161"/>
      <c r="AC69" s="1161"/>
      <c r="AD69" s="1161"/>
      <c r="AE69" s="1161"/>
      <c r="AF69" s="1161"/>
      <c r="AG69" s="1161"/>
      <c r="AH69" s="1161"/>
      <c r="AI69" s="1161"/>
      <c r="AJ69" s="1161"/>
      <c r="AK69" s="1161"/>
      <c r="AL69" s="1161"/>
      <c r="AM69" s="1161"/>
      <c r="AN69" s="1161"/>
      <c r="AO69" s="1161"/>
      <c r="AP69" s="1161"/>
      <c r="AQ69" s="1161"/>
      <c r="AR69" s="1161"/>
      <c r="AS69" s="1161"/>
      <c r="AT69" s="1161"/>
      <c r="AU69" s="1162"/>
      <c r="AV69" s="1162"/>
      <c r="AW69" s="1162"/>
      <c r="AX69" s="1162"/>
      <c r="AY69" s="1161"/>
      <c r="AZ69" s="1162"/>
      <c r="BA69" s="1162"/>
      <c r="BB69" s="1162"/>
      <c r="BC69" s="1162"/>
      <c r="BD69" s="1161"/>
      <c r="BE69" s="1162"/>
      <c r="BF69" s="1162"/>
      <c r="BG69" s="1162"/>
      <c r="BH69" s="1162"/>
      <c r="BI69" s="1161"/>
      <c r="BJ69" s="1165"/>
      <c r="BK69" s="1165"/>
      <c r="BL69" s="1161"/>
      <c r="BM69" s="1161"/>
      <c r="BN69" s="1161"/>
      <c r="BO69" s="1161"/>
      <c r="BP69" s="1161"/>
      <c r="BQ69" s="1161"/>
      <c r="BR69" s="1161"/>
      <c r="BS69" s="1161"/>
      <c r="BT69" s="1161"/>
      <c r="BU69" s="1161"/>
      <c r="BV69" s="1161"/>
      <c r="BW69" s="1161"/>
      <c r="BX69" s="1161"/>
      <c r="BY69" s="1161"/>
      <c r="BZ69" s="1161"/>
      <c r="CA69" s="1161"/>
      <c r="CB69" s="1161"/>
      <c r="CC69" s="1161"/>
      <c r="CD69" s="1161"/>
      <c r="CE69" s="1161"/>
      <c r="CF69" s="1161"/>
      <c r="CG69" s="1161"/>
      <c r="CH69" s="1161"/>
      <c r="CI69" s="1161"/>
      <c r="CJ69" s="1161">
        <f>CJ55+CJ63</f>
        <v>1449.000000001</v>
      </c>
      <c r="CK69" s="1161">
        <f>CK55+CK63</f>
        <v>1173</v>
      </c>
      <c r="CL69" s="1161">
        <f t="shared" ref="CL69:CV69" si="50">CL55+CL63</f>
        <v>604</v>
      </c>
      <c r="CM69" s="1161"/>
      <c r="CN69" s="1161">
        <f t="shared" ca="1" si="50"/>
        <v>808.02631845250721</v>
      </c>
      <c r="CO69" s="1161">
        <f t="shared" ca="1" si="50"/>
        <v>1013.2860213639867</v>
      </c>
      <c r="CP69" s="1161">
        <f t="shared" ca="1" si="50"/>
        <v>1088.105499173693</v>
      </c>
      <c r="CQ69" s="1161">
        <f t="shared" ca="1" si="50"/>
        <v>926.54555942532443</v>
      </c>
      <c r="CR69" s="1161"/>
      <c r="CS69" s="1161">
        <f t="shared" ca="1" si="50"/>
        <v>310.88494895668322</v>
      </c>
      <c r="CT69" s="1161">
        <f t="shared" ca="1" si="50"/>
        <v>474.61248303849936</v>
      </c>
      <c r="CU69" s="1161">
        <f t="shared" ca="1" si="50"/>
        <v>500.16083743763681</v>
      </c>
      <c r="CV69" s="1161">
        <f t="shared" ca="1" si="50"/>
        <v>714.23774281568853</v>
      </c>
      <c r="CW69" s="1161"/>
      <c r="CX69" s="1161">
        <f t="shared" ref="CX69:DA69" ca="1" si="51">CX55+CX63</f>
        <v>283.07015564062908</v>
      </c>
      <c r="CY69" s="1161">
        <f t="shared" ca="1" si="51"/>
        <v>336.79526973413715</v>
      </c>
      <c r="CZ69" s="1161">
        <f t="shared" ca="1" si="51"/>
        <v>453.3926388405722</v>
      </c>
      <c r="DA69" s="1161">
        <f t="shared" ca="1" si="51"/>
        <v>255.53769257557099</v>
      </c>
      <c r="DB69" s="1161"/>
      <c r="DC69" s="5"/>
      <c r="DD69" s="5"/>
      <c r="DE69" s="171"/>
      <c r="DF69" s="171"/>
      <c r="DG69" s="171"/>
      <c r="DH69" s="171"/>
      <c r="DI69" s="171"/>
      <c r="DJ69" s="171"/>
    </row>
    <row r="70" spans="1:114" s="1163" customFormat="1" collapsed="1">
      <c r="A70" s="171"/>
      <c r="B70" s="1164"/>
      <c r="C70" s="46"/>
      <c r="D70" s="1161"/>
      <c r="E70" s="1161"/>
      <c r="F70" s="1161"/>
      <c r="G70" s="1161"/>
      <c r="H70" s="1161"/>
      <c r="I70" s="1161"/>
      <c r="J70" s="1161"/>
      <c r="K70" s="1161"/>
      <c r="L70" s="1161"/>
      <c r="M70" s="1161"/>
      <c r="N70" s="1161"/>
      <c r="O70" s="1161"/>
      <c r="P70" s="1161"/>
      <c r="Q70" s="1161"/>
      <c r="R70" s="1161"/>
      <c r="S70" s="1161"/>
      <c r="T70" s="1161"/>
      <c r="U70" s="1161"/>
      <c r="V70" s="1161"/>
      <c r="W70" s="1161"/>
      <c r="X70" s="1161"/>
      <c r="Y70" s="1161"/>
      <c r="Z70" s="1161"/>
      <c r="AA70" s="1161"/>
      <c r="AB70" s="1161"/>
      <c r="AC70" s="1161"/>
      <c r="AD70" s="1161"/>
      <c r="AE70" s="1161"/>
      <c r="AF70" s="1161"/>
      <c r="AG70" s="1161"/>
      <c r="AH70" s="1161"/>
      <c r="AI70" s="1161"/>
      <c r="AJ70" s="1161"/>
      <c r="AK70" s="1161"/>
      <c r="AL70" s="1161"/>
      <c r="AM70" s="1161"/>
      <c r="AN70" s="1161"/>
      <c r="AO70" s="1161"/>
      <c r="AP70" s="1161"/>
      <c r="AQ70" s="1161"/>
      <c r="AR70" s="1161"/>
      <c r="AS70" s="1161"/>
      <c r="AT70" s="1161"/>
      <c r="AU70" s="1162"/>
      <c r="AV70" s="1162"/>
      <c r="AW70" s="1162"/>
      <c r="AX70" s="1162"/>
      <c r="AY70" s="1161"/>
      <c r="AZ70" s="1162"/>
      <c r="BA70" s="1162"/>
      <c r="BB70" s="1162"/>
      <c r="BC70" s="1162"/>
      <c r="BD70" s="1161"/>
      <c r="BE70" s="1162"/>
      <c r="BF70" s="1162"/>
      <c r="BG70" s="1162"/>
      <c r="BH70" s="1162"/>
      <c r="BI70" s="1161"/>
      <c r="BJ70" s="1165"/>
      <c r="BK70" s="1165"/>
      <c r="BL70" s="1161"/>
      <c r="BM70" s="1161"/>
      <c r="BN70" s="1161"/>
      <c r="BO70" s="1161"/>
      <c r="BP70" s="1161"/>
      <c r="BQ70" s="1161"/>
      <c r="BR70" s="1161"/>
      <c r="BS70" s="1161"/>
      <c r="BT70" s="1161"/>
      <c r="BU70" s="1161"/>
      <c r="BV70" s="1161"/>
      <c r="BW70" s="1161"/>
      <c r="BX70" s="1161"/>
      <c r="BY70" s="1161"/>
      <c r="BZ70" s="1161"/>
      <c r="CA70" s="1161"/>
      <c r="CB70" s="1161"/>
      <c r="CC70" s="1161"/>
      <c r="CD70" s="1161"/>
      <c r="CE70" s="1161"/>
      <c r="CF70" s="1161"/>
      <c r="CG70" s="1161"/>
      <c r="CH70" s="1161"/>
      <c r="CI70" s="1161"/>
      <c r="CJ70" s="1161"/>
      <c r="CK70" s="1161"/>
      <c r="CL70" s="1161"/>
      <c r="CM70" s="1161"/>
      <c r="CN70" s="1161"/>
      <c r="CO70" s="1161"/>
      <c r="CP70" s="1161"/>
      <c r="CQ70" s="1161"/>
      <c r="CR70" s="1161"/>
      <c r="CS70" s="1161"/>
      <c r="CT70" s="1161"/>
      <c r="CU70" s="1161"/>
      <c r="CV70" s="1161"/>
      <c r="CW70" s="1161"/>
      <c r="CX70" s="1161"/>
      <c r="CY70" s="1161"/>
      <c r="CZ70" s="1161"/>
      <c r="DA70" s="1161"/>
      <c r="DB70" s="1161"/>
      <c r="DC70" s="5"/>
      <c r="DD70" s="5"/>
      <c r="DE70" s="171"/>
      <c r="DF70" s="171"/>
      <c r="DG70" s="171"/>
      <c r="DH70" s="171"/>
      <c r="DI70" s="171"/>
      <c r="DJ70" s="171"/>
    </row>
    <row r="71" spans="1:114">
      <c r="A71" s="171"/>
      <c r="B71" s="696" t="s">
        <v>708</v>
      </c>
      <c r="C71" s="169"/>
      <c r="D71" s="209"/>
      <c r="E71" s="209"/>
      <c r="F71" s="209"/>
      <c r="G71" s="212"/>
      <c r="H71" s="212"/>
      <c r="I71" s="212"/>
      <c r="J71" s="212"/>
      <c r="K71" s="209"/>
      <c r="L71" s="212"/>
      <c r="M71" s="212"/>
      <c r="N71" s="212"/>
      <c r="O71" s="212"/>
      <c r="P71" s="209"/>
      <c r="Q71" s="212"/>
      <c r="R71" s="212"/>
      <c r="S71" s="212"/>
      <c r="T71" s="212"/>
      <c r="U71" s="209"/>
      <c r="V71" s="212"/>
      <c r="W71" s="212"/>
      <c r="X71" s="212"/>
      <c r="Y71" s="212"/>
      <c r="Z71" s="209"/>
      <c r="AA71" s="212"/>
      <c r="AB71" s="212"/>
      <c r="AC71" s="212"/>
      <c r="AD71" s="212"/>
      <c r="AE71" s="209"/>
      <c r="AF71" s="212"/>
      <c r="AG71" s="212"/>
      <c r="AH71" s="212"/>
      <c r="AI71" s="212"/>
      <c r="AJ71" s="209"/>
      <c r="AK71" s="212"/>
      <c r="AL71" s="212"/>
      <c r="AM71" s="212"/>
      <c r="AN71" s="212"/>
      <c r="AO71" s="209"/>
      <c r="AP71" s="212"/>
      <c r="AQ71" s="212"/>
      <c r="AR71" s="212"/>
      <c r="AS71" s="212"/>
      <c r="AT71" s="209"/>
      <c r="AU71" s="212"/>
      <c r="AV71" s="212"/>
      <c r="AW71" s="212"/>
      <c r="AX71" s="212"/>
      <c r="AY71" s="209"/>
      <c r="AZ71" s="212"/>
      <c r="BA71" s="212"/>
      <c r="BB71" s="212"/>
      <c r="BC71" s="212"/>
      <c r="BD71" s="209"/>
      <c r="BE71" s="212"/>
      <c r="BF71" s="212"/>
      <c r="BG71" s="212"/>
      <c r="BH71" s="212"/>
      <c r="BI71" s="209"/>
      <c r="BJ71" s="212"/>
      <c r="BK71" s="212"/>
      <c r="BL71" s="212"/>
      <c r="BM71" s="212"/>
      <c r="BN71" s="209"/>
      <c r="BO71" s="212"/>
      <c r="BP71" s="212"/>
      <c r="BQ71" s="212"/>
      <c r="BR71" s="212"/>
      <c r="BS71" s="209"/>
      <c r="BT71" s="212"/>
      <c r="BU71" s="212"/>
      <c r="BV71" s="212"/>
      <c r="BW71" s="212"/>
      <c r="BX71" s="209"/>
      <c r="BY71" s="212"/>
      <c r="BZ71" s="212"/>
      <c r="CA71" s="212"/>
      <c r="CB71" s="212"/>
      <c r="CC71" s="209"/>
      <c r="CD71" s="212"/>
      <c r="CE71" s="212"/>
      <c r="CF71" s="212"/>
      <c r="CG71" s="212"/>
      <c r="CH71" s="209"/>
      <c r="CI71" s="212"/>
      <c r="CJ71" s="212"/>
      <c r="CK71" s="212"/>
      <c r="CL71" s="212"/>
      <c r="CM71" s="209"/>
      <c r="CN71" s="212"/>
      <c r="CO71" s="212"/>
      <c r="CP71" s="212"/>
      <c r="CQ71" s="212"/>
      <c r="CR71" s="209"/>
      <c r="CS71" s="212"/>
      <c r="CT71" s="212"/>
      <c r="CU71" s="212"/>
      <c r="CV71" s="212"/>
      <c r="CW71" s="209"/>
      <c r="CX71" s="212"/>
      <c r="CY71" s="212"/>
      <c r="CZ71" s="212"/>
      <c r="DA71" s="212"/>
      <c r="DB71" s="209"/>
      <c r="DC71" s="5"/>
      <c r="DD71" s="5"/>
      <c r="DE71" s="171"/>
      <c r="DF71" s="171"/>
      <c r="DG71" s="171"/>
      <c r="DH71" s="171"/>
      <c r="DI71" s="171"/>
      <c r="DJ71" s="171"/>
    </row>
    <row r="72" spans="1:114">
      <c r="A72" s="171"/>
      <c r="B72" s="697" t="s">
        <v>360</v>
      </c>
      <c r="C72" s="155"/>
      <c r="D72" s="26"/>
      <c r="E72" s="26"/>
      <c r="F72" s="26"/>
      <c r="G72" s="156"/>
      <c r="H72" s="156"/>
      <c r="I72" s="156"/>
      <c r="J72" s="156"/>
      <c r="K72" s="26"/>
      <c r="L72" s="156"/>
      <c r="M72" s="156"/>
      <c r="N72" s="156"/>
      <c r="O72" s="156"/>
      <c r="P72" s="26"/>
      <c r="Q72" s="156"/>
      <c r="R72" s="156"/>
      <c r="S72" s="156"/>
      <c r="T72" s="156"/>
      <c r="U72" s="26"/>
      <c r="V72" s="156"/>
      <c r="W72" s="156"/>
      <c r="X72" s="156"/>
      <c r="Y72" s="156"/>
      <c r="Z72" s="26"/>
      <c r="AA72" s="156"/>
      <c r="AB72" s="156"/>
      <c r="AC72" s="156"/>
      <c r="AD72" s="156"/>
      <c r="AE72" s="26"/>
      <c r="AF72" s="156"/>
      <c r="AG72" s="156"/>
      <c r="AH72" s="156"/>
      <c r="AI72" s="156"/>
      <c r="AJ72" s="26"/>
      <c r="AK72" s="156"/>
      <c r="AL72" s="156"/>
      <c r="AM72" s="156"/>
      <c r="AN72" s="156"/>
      <c r="AO72" s="26"/>
      <c r="AP72" s="156"/>
      <c r="AQ72" s="156"/>
      <c r="AR72" s="156"/>
      <c r="AS72" s="156"/>
      <c r="AT72" s="26"/>
      <c r="AU72" s="231"/>
      <c r="AV72" s="231"/>
      <c r="AW72" s="231"/>
      <c r="AX72" s="231"/>
      <c r="AY72" s="270"/>
      <c r="AZ72" s="231"/>
      <c r="BA72" s="231"/>
      <c r="BB72" s="231"/>
      <c r="BC72" s="231"/>
      <c r="BD72" s="270"/>
      <c r="BE72" s="231"/>
      <c r="BF72" s="231"/>
      <c r="BG72" s="231"/>
      <c r="BH72" s="231"/>
      <c r="BI72" s="270"/>
      <c r="BJ72" s="231"/>
      <c r="BK72" s="231"/>
      <c r="BL72" s="231"/>
      <c r="BM72" s="220"/>
      <c r="BN72" s="200"/>
      <c r="BO72" s="220"/>
      <c r="BP72" s="220"/>
      <c r="BQ72" s="220"/>
      <c r="BR72" s="220"/>
      <c r="BS72" s="200"/>
      <c r="BT72" s="220">
        <f>AVERAGE(0.375%,0.5%)</f>
        <v>4.3750000000000004E-3</v>
      </c>
      <c r="BU72" s="220">
        <f>AVERAGE(0.375%,0.5%)</f>
        <v>4.3750000000000004E-3</v>
      </c>
      <c r="BV72" s="220">
        <f>AVERAGE(0.375%,0.5%)</f>
        <v>4.3750000000000004E-3</v>
      </c>
      <c r="BW72" s="220">
        <f>AVERAGE(0.375%,0.5%)</f>
        <v>4.3750000000000004E-3</v>
      </c>
      <c r="BX72" s="200"/>
      <c r="BY72" s="220">
        <f>AVERAGE(0.375%,0.5%)</f>
        <v>4.3750000000000004E-3</v>
      </c>
      <c r="BZ72" s="220">
        <f>AVERAGE(0.375%,0.5%)</f>
        <v>4.3750000000000004E-3</v>
      </c>
      <c r="CA72" s="220">
        <f>AVERAGE(0.375%,0.5%)</f>
        <v>4.3750000000000004E-3</v>
      </c>
      <c r="CB72" s="220">
        <f>AVERAGE(0.375%,0.5%)</f>
        <v>4.3750000000000004E-3</v>
      </c>
      <c r="CC72" s="200"/>
      <c r="CD72" s="220">
        <f>AVERAGE(0.375%,0.5%)</f>
        <v>4.3750000000000004E-3</v>
      </c>
      <c r="CE72" s="220">
        <f>AVERAGE(0.375%,0.5%)</f>
        <v>4.3750000000000004E-3</v>
      </c>
      <c r="CF72" s="220">
        <f>AVERAGE(0.375%,0.5%)</f>
        <v>4.3750000000000004E-3</v>
      </c>
      <c r="CG72" s="220">
        <f>AVERAGE(0.375%,0.5%)</f>
        <v>4.3750000000000004E-3</v>
      </c>
      <c r="CH72" s="200"/>
      <c r="CI72" s="220">
        <f>AVERAGE(0.375%,0.5%)</f>
        <v>4.3750000000000004E-3</v>
      </c>
      <c r="CJ72" s="220">
        <f>AVERAGE(0.375%,0.5%)</f>
        <v>4.3750000000000004E-3</v>
      </c>
      <c r="CK72" s="220">
        <f>AVERAGE(0.375%,0.5%)</f>
        <v>4.3750000000000004E-3</v>
      </c>
      <c r="CL72" s="220">
        <f>AVERAGE(0.375%,0.5%)</f>
        <v>4.3750000000000004E-3</v>
      </c>
      <c r="CM72" s="200"/>
      <c r="CN72" s="220">
        <f>AVERAGE(0.375%,0.5%)</f>
        <v>4.3750000000000004E-3</v>
      </c>
      <c r="CO72" s="220">
        <f>AVERAGE(0.375%,0.5%)</f>
        <v>4.3750000000000004E-3</v>
      </c>
      <c r="CP72" s="220">
        <f>AVERAGE(0.375%,0.5%)</f>
        <v>4.3750000000000004E-3</v>
      </c>
      <c r="CQ72" s="220">
        <f>AVERAGE(0.375%,0.5%)</f>
        <v>4.3750000000000004E-3</v>
      </c>
      <c r="CR72" s="200"/>
      <c r="CS72" s="220">
        <f>AVERAGE(0.375%,0.5%)</f>
        <v>4.3750000000000004E-3</v>
      </c>
      <c r="CT72" s="220">
        <f>AVERAGE(0.375%,0.5%)</f>
        <v>4.3750000000000004E-3</v>
      </c>
      <c r="CU72" s="220">
        <f>AVERAGE(0.375%,0.5%)</f>
        <v>4.3750000000000004E-3</v>
      </c>
      <c r="CV72" s="220">
        <f>AVERAGE(0.375%,0.5%)</f>
        <v>4.3750000000000004E-3</v>
      </c>
      <c r="CW72" s="200"/>
      <c r="CX72" s="220">
        <f>AVERAGE(0.375%,0.5%)</f>
        <v>4.3750000000000004E-3</v>
      </c>
      <c r="CY72" s="220">
        <f>AVERAGE(0.375%,0.5%)</f>
        <v>4.3750000000000004E-3</v>
      </c>
      <c r="CZ72" s="220">
        <f>AVERAGE(0.375%,0.5%)</f>
        <v>4.3750000000000004E-3</v>
      </c>
      <c r="DA72" s="220">
        <f>AVERAGE(0.375%,0.5%)</f>
        <v>4.3750000000000004E-3</v>
      </c>
      <c r="DB72" s="200"/>
      <c r="DC72" s="8"/>
      <c r="DD72" s="8"/>
      <c r="DE72" s="171"/>
      <c r="DF72" s="171"/>
      <c r="DG72" s="171"/>
      <c r="DH72" s="171"/>
      <c r="DI72" s="171"/>
      <c r="DJ72" s="171"/>
    </row>
    <row r="73" spans="1:114">
      <c r="A73" s="171"/>
      <c r="B73" s="697" t="s">
        <v>517</v>
      </c>
      <c r="C73" s="38"/>
      <c r="D73" s="201"/>
      <c r="E73" s="201"/>
      <c r="F73" s="201"/>
      <c r="G73" s="166"/>
      <c r="H73" s="166"/>
      <c r="I73" s="166"/>
      <c r="J73" s="166"/>
      <c r="K73" s="201"/>
      <c r="L73" s="166"/>
      <c r="M73" s="166"/>
      <c r="N73" s="166"/>
      <c r="O73" s="166"/>
      <c r="P73" s="201"/>
      <c r="Q73" s="166"/>
      <c r="R73" s="166"/>
      <c r="S73" s="166"/>
      <c r="T73" s="166"/>
      <c r="U73" s="201"/>
      <c r="V73" s="166"/>
      <c r="W73" s="166"/>
      <c r="X73" s="166"/>
      <c r="Y73" s="166"/>
      <c r="Z73" s="201"/>
      <c r="AA73" s="166"/>
      <c r="AB73" s="166"/>
      <c r="AC73" s="166"/>
      <c r="AD73" s="166"/>
      <c r="AE73" s="201"/>
      <c r="AF73" s="166"/>
      <c r="AG73" s="166"/>
      <c r="AH73" s="166"/>
      <c r="AI73" s="166"/>
      <c r="AJ73" s="201"/>
      <c r="AK73" s="166"/>
      <c r="AL73" s="166"/>
      <c r="AM73" s="166"/>
      <c r="AN73" s="166"/>
      <c r="AO73" s="201"/>
      <c r="AP73" s="166"/>
      <c r="AQ73" s="166"/>
      <c r="AR73" s="166"/>
      <c r="AS73" s="166"/>
      <c r="AT73" s="201"/>
      <c r="AU73" s="231"/>
      <c r="AV73" s="231"/>
      <c r="AW73" s="231"/>
      <c r="AX73" s="231"/>
      <c r="AY73" s="270"/>
      <c r="AZ73" s="231"/>
      <c r="BA73" s="231"/>
      <c r="BB73" s="231"/>
      <c r="BC73" s="231"/>
      <c r="BD73" s="270"/>
      <c r="BE73" s="231"/>
      <c r="BF73" s="231"/>
      <c r="BG73" s="231"/>
      <c r="BH73" s="231"/>
      <c r="BI73" s="270"/>
      <c r="BJ73" s="231"/>
      <c r="BK73" s="231"/>
      <c r="BL73" s="231"/>
      <c r="BM73" s="220"/>
      <c r="BN73" s="107"/>
      <c r="BO73" s="220"/>
      <c r="BP73" s="220"/>
      <c r="BQ73" s="220"/>
      <c r="BR73" s="220"/>
      <c r="BS73" s="107"/>
      <c r="BT73" s="220">
        <v>4.2500000000000003E-2</v>
      </c>
      <c r="BU73" s="220">
        <v>4.2500000000000003E-2</v>
      </c>
      <c r="BV73" s="220">
        <v>4.2500000000000003E-2</v>
      </c>
      <c r="BW73" s="220">
        <v>4.2500000000000003E-2</v>
      </c>
      <c r="BX73" s="107"/>
      <c r="BY73" s="220">
        <v>4.2500000000000003E-2</v>
      </c>
      <c r="BZ73" s="220">
        <v>4.2500000000000003E-2</v>
      </c>
      <c r="CA73" s="220">
        <v>4.2500000000000003E-2</v>
      </c>
      <c r="CB73" s="220">
        <v>4.2500000000000003E-2</v>
      </c>
      <c r="CC73" s="107"/>
      <c r="CD73" s="220">
        <v>4.2500000000000003E-2</v>
      </c>
      <c r="CE73" s="220">
        <v>4.2500000000000003E-2</v>
      </c>
      <c r="CF73" s="220">
        <v>4.2500000000000003E-2</v>
      </c>
      <c r="CG73" s="220">
        <v>4.2500000000000003E-2</v>
      </c>
      <c r="CH73" s="107"/>
      <c r="CI73" s="220">
        <v>4.2500000000000003E-2</v>
      </c>
      <c r="CJ73" s="220">
        <v>4.2500000000000003E-2</v>
      </c>
      <c r="CK73" s="220">
        <v>4.2500000000000003E-2</v>
      </c>
      <c r="CL73" s="220">
        <v>4.2500000000000003E-2</v>
      </c>
      <c r="CM73" s="107"/>
      <c r="CN73" s="220">
        <v>4.2500000000000003E-2</v>
      </c>
      <c r="CO73" s="220">
        <v>4.2500000000000003E-2</v>
      </c>
      <c r="CP73" s="220">
        <v>4.2500000000000003E-2</v>
      </c>
      <c r="CQ73" s="220">
        <v>4.2500000000000003E-2</v>
      </c>
      <c r="CR73" s="107"/>
      <c r="CS73" s="220">
        <v>4.2500000000000003E-2</v>
      </c>
      <c r="CT73" s="220">
        <v>4.2500000000000003E-2</v>
      </c>
      <c r="CU73" s="220">
        <v>4.2500000000000003E-2</v>
      </c>
      <c r="CV73" s="220">
        <v>4.2500000000000003E-2</v>
      </c>
      <c r="CW73" s="107"/>
      <c r="CX73" s="220">
        <v>4.2500000000000003E-2</v>
      </c>
      <c r="CY73" s="220">
        <v>4.2500000000000003E-2</v>
      </c>
      <c r="CZ73" s="220">
        <v>4.2500000000000003E-2</v>
      </c>
      <c r="DA73" s="220">
        <v>4.2500000000000003E-2</v>
      </c>
      <c r="DB73" s="107"/>
      <c r="DC73" s="5"/>
      <c r="DD73" s="5"/>
      <c r="DE73" s="171"/>
      <c r="DF73" s="171"/>
      <c r="DG73" s="171"/>
      <c r="DH73" s="171"/>
      <c r="DI73" s="171"/>
      <c r="DJ73" s="171"/>
    </row>
    <row r="74" spans="1:114">
      <c r="A74" s="171"/>
      <c r="B74" s="690" t="s">
        <v>361</v>
      </c>
      <c r="C74" s="38"/>
      <c r="D74" s="201"/>
      <c r="E74" s="201"/>
      <c r="F74" s="201"/>
      <c r="G74" s="166"/>
      <c r="H74" s="166"/>
      <c r="I74" s="166"/>
      <c r="J74" s="166"/>
      <c r="K74" s="201"/>
      <c r="L74" s="166"/>
      <c r="M74" s="166"/>
      <c r="N74" s="166"/>
      <c r="O74" s="166"/>
      <c r="P74" s="201"/>
      <c r="Q74" s="166"/>
      <c r="R74" s="166"/>
      <c r="S74" s="166"/>
      <c r="T74" s="166"/>
      <c r="U74" s="201"/>
      <c r="V74" s="166"/>
      <c r="W74" s="166"/>
      <c r="X74" s="166"/>
      <c r="Y74" s="166"/>
      <c r="Z74" s="201"/>
      <c r="AA74" s="166"/>
      <c r="AB74" s="166"/>
      <c r="AC74" s="166"/>
      <c r="AD74" s="166"/>
      <c r="AE74" s="201"/>
      <c r="AF74" s="166"/>
      <c r="AG74" s="166"/>
      <c r="AH74" s="166"/>
      <c r="AI74" s="166"/>
      <c r="AJ74" s="201"/>
      <c r="AK74" s="166"/>
      <c r="AL74" s="166"/>
      <c r="AM74" s="166"/>
      <c r="AN74" s="166"/>
      <c r="AO74" s="201"/>
      <c r="AP74" s="166"/>
      <c r="AQ74" s="166"/>
      <c r="AR74" s="166"/>
      <c r="AS74" s="166"/>
      <c r="AT74" s="234"/>
      <c r="AU74" s="222"/>
      <c r="AV74" s="222"/>
      <c r="AW74" s="222"/>
      <c r="AX74" s="222"/>
      <c r="AY74" s="234"/>
      <c r="AZ74" s="222"/>
      <c r="BA74" s="222"/>
      <c r="BB74" s="222"/>
      <c r="BC74" s="222"/>
      <c r="BD74" s="234"/>
      <c r="BE74" s="222"/>
      <c r="BF74" s="222"/>
      <c r="BG74" s="222"/>
      <c r="BH74" s="222"/>
      <c r="BI74" s="234"/>
      <c r="BJ74" s="222"/>
      <c r="BK74" s="222"/>
      <c r="BL74" s="222"/>
      <c r="BM74" s="222"/>
      <c r="BN74" s="221"/>
      <c r="BO74" s="222"/>
      <c r="BP74" s="222"/>
      <c r="BQ74" s="222"/>
      <c r="BR74" s="222"/>
      <c r="BS74" s="221">
        <f>BR74</f>
        <v>0</v>
      </c>
      <c r="BT74" s="222">
        <f>BT77</f>
        <v>4590</v>
      </c>
      <c r="BU74" s="222">
        <f>BT74</f>
        <v>4590</v>
      </c>
      <c r="BV74" s="222">
        <f t="shared" ref="BV74:CH74" si="52">BU74</f>
        <v>4590</v>
      </c>
      <c r="BW74" s="222">
        <f t="shared" si="52"/>
        <v>4590</v>
      </c>
      <c r="BX74" s="221">
        <f t="shared" si="52"/>
        <v>4590</v>
      </c>
      <c r="BY74" s="222">
        <f t="shared" si="52"/>
        <v>4590</v>
      </c>
      <c r="BZ74" s="222">
        <f t="shared" si="52"/>
        <v>4590</v>
      </c>
      <c r="CA74" s="222">
        <f t="shared" si="52"/>
        <v>4590</v>
      </c>
      <c r="CB74" s="222">
        <f t="shared" si="52"/>
        <v>4590</v>
      </c>
      <c r="CC74" s="221">
        <f t="shared" si="52"/>
        <v>4590</v>
      </c>
      <c r="CD74" s="222">
        <f t="shared" si="52"/>
        <v>4590</v>
      </c>
      <c r="CE74" s="222">
        <f t="shared" si="52"/>
        <v>4590</v>
      </c>
      <c r="CF74" s="222">
        <f t="shared" si="52"/>
        <v>4590</v>
      </c>
      <c r="CG74" s="222">
        <f t="shared" si="52"/>
        <v>4590</v>
      </c>
      <c r="CH74" s="221">
        <f t="shared" si="52"/>
        <v>4590</v>
      </c>
      <c r="CI74" s="222">
        <f t="shared" ref="CI74:CW74" si="53">CH74</f>
        <v>4590</v>
      </c>
      <c r="CJ74" s="222">
        <f t="shared" si="53"/>
        <v>4590</v>
      </c>
      <c r="CK74" s="222">
        <f t="shared" si="53"/>
        <v>4590</v>
      </c>
      <c r="CL74" s="222">
        <f t="shared" si="53"/>
        <v>4590</v>
      </c>
      <c r="CM74" s="221">
        <f t="shared" si="53"/>
        <v>4590</v>
      </c>
      <c r="CN74" s="222">
        <f t="shared" si="53"/>
        <v>4590</v>
      </c>
      <c r="CO74" s="222">
        <f t="shared" si="53"/>
        <v>4590</v>
      </c>
      <c r="CP74" s="222">
        <f t="shared" si="53"/>
        <v>4590</v>
      </c>
      <c r="CQ74" s="222">
        <f t="shared" si="53"/>
        <v>4590</v>
      </c>
      <c r="CR74" s="221">
        <f t="shared" si="53"/>
        <v>4590</v>
      </c>
      <c r="CS74" s="222">
        <f t="shared" si="53"/>
        <v>4590</v>
      </c>
      <c r="CT74" s="222">
        <f t="shared" si="53"/>
        <v>4590</v>
      </c>
      <c r="CU74" s="222">
        <f t="shared" si="53"/>
        <v>4590</v>
      </c>
      <c r="CV74" s="222">
        <f t="shared" si="53"/>
        <v>4590</v>
      </c>
      <c r="CW74" s="221">
        <f t="shared" si="53"/>
        <v>4590</v>
      </c>
      <c r="CX74" s="222">
        <f t="shared" ref="CX74" si="54">CW74</f>
        <v>4590</v>
      </c>
      <c r="CY74" s="222">
        <f t="shared" ref="CY74" si="55">CX74</f>
        <v>4590</v>
      </c>
      <c r="CZ74" s="222">
        <f t="shared" ref="CZ74" si="56">CY74</f>
        <v>4590</v>
      </c>
      <c r="DA74" s="222">
        <f t="shared" ref="DA74" si="57">CZ74</f>
        <v>4590</v>
      </c>
      <c r="DB74" s="221">
        <f t="shared" ref="DB74" si="58">DA74</f>
        <v>4590</v>
      </c>
      <c r="DC74" s="5"/>
      <c r="DD74" s="5"/>
      <c r="DE74" s="171"/>
      <c r="DF74" s="171"/>
      <c r="DG74" s="171"/>
      <c r="DH74" s="171"/>
      <c r="DI74" s="171"/>
      <c r="DJ74" s="171"/>
    </row>
    <row r="75" spans="1:114">
      <c r="A75" s="171"/>
      <c r="B75" s="693" t="s">
        <v>518</v>
      </c>
      <c r="C75" s="38"/>
      <c r="D75" s="201"/>
      <c r="E75" s="201"/>
      <c r="F75" s="201"/>
      <c r="G75" s="166"/>
      <c r="H75" s="166"/>
      <c r="I75" s="166"/>
      <c r="J75" s="166"/>
      <c r="K75" s="201"/>
      <c r="L75" s="166"/>
      <c r="M75" s="166"/>
      <c r="N75" s="166"/>
      <c r="O75" s="166"/>
      <c r="P75" s="201"/>
      <c r="Q75" s="166"/>
      <c r="R75" s="166"/>
      <c r="S75" s="166"/>
      <c r="T75" s="166"/>
      <c r="U75" s="201"/>
      <c r="V75" s="166"/>
      <c r="W75" s="166"/>
      <c r="X75" s="166"/>
      <c r="Y75" s="166"/>
      <c r="Z75" s="201"/>
      <c r="AA75" s="166"/>
      <c r="AB75" s="166"/>
      <c r="AC75" s="166"/>
      <c r="AD75" s="166"/>
      <c r="AE75" s="201"/>
      <c r="AF75" s="166"/>
      <c r="AG75" s="166"/>
      <c r="AH75" s="166"/>
      <c r="AI75" s="166"/>
      <c r="AJ75" s="201"/>
      <c r="AK75" s="166"/>
      <c r="AL75" s="166"/>
      <c r="AM75" s="166"/>
      <c r="AN75" s="166"/>
      <c r="AO75" s="201"/>
      <c r="AP75" s="166"/>
      <c r="AQ75" s="166"/>
      <c r="AR75" s="166"/>
      <c r="AS75" s="166"/>
      <c r="AT75" s="221"/>
      <c r="AU75" s="192"/>
      <c r="AV75" s="192"/>
      <c r="AW75" s="192"/>
      <c r="AX75" s="193"/>
      <c r="AY75" s="194"/>
      <c r="AZ75" s="192"/>
      <c r="BA75" s="192"/>
      <c r="BB75" s="192"/>
      <c r="BC75" s="193"/>
      <c r="BD75" s="194"/>
      <c r="BE75" s="192"/>
      <c r="BF75" s="192"/>
      <c r="BG75" s="192"/>
      <c r="BH75" s="193"/>
      <c r="BI75" s="194"/>
      <c r="BJ75" s="193"/>
      <c r="BK75" s="193"/>
      <c r="BL75" s="193"/>
      <c r="BM75" s="193"/>
      <c r="BN75" s="194"/>
      <c r="BO75" s="193"/>
      <c r="BP75" s="193"/>
      <c r="BQ75" s="193"/>
      <c r="BR75" s="193"/>
      <c r="BS75" s="194">
        <f>BN78</f>
        <v>0</v>
      </c>
      <c r="BT75" s="193">
        <f>BR78</f>
        <v>0</v>
      </c>
      <c r="BU75" s="193">
        <f>BT78</f>
        <v>4590</v>
      </c>
      <c r="BV75" s="193">
        <f>BU78</f>
        <v>4578</v>
      </c>
      <c r="BW75" s="193">
        <f>BV78</f>
        <v>4567</v>
      </c>
      <c r="BX75" s="194">
        <f>BS78</f>
        <v>0</v>
      </c>
      <c r="BY75" s="193">
        <f>BW78</f>
        <v>4555</v>
      </c>
      <c r="BZ75" s="193">
        <f>BY78</f>
        <v>4544</v>
      </c>
      <c r="CA75" s="193">
        <f>BZ78</f>
        <v>2944</v>
      </c>
      <c r="CB75" s="193">
        <f>CA78</f>
        <v>2937</v>
      </c>
      <c r="CC75" s="194">
        <f>BX78</f>
        <v>4555</v>
      </c>
      <c r="CD75" s="193">
        <f>CB78</f>
        <v>2929</v>
      </c>
      <c r="CE75" s="193">
        <f>CD78</f>
        <v>2879</v>
      </c>
      <c r="CF75" s="193">
        <f>CE78</f>
        <v>2874</v>
      </c>
      <c r="CG75" s="193">
        <f>CF78</f>
        <v>2874</v>
      </c>
      <c r="CH75" s="194">
        <f>CC78</f>
        <v>2929</v>
      </c>
      <c r="CI75" s="193">
        <f>CG78</f>
        <v>2776</v>
      </c>
      <c r="CJ75" s="193">
        <f>CI78</f>
        <v>2811</v>
      </c>
      <c r="CK75" s="193">
        <f>CJ78</f>
        <v>2440</v>
      </c>
      <c r="CL75" s="193">
        <f>CK78</f>
        <v>1941</v>
      </c>
      <c r="CM75" s="194">
        <f>CH78</f>
        <v>2776</v>
      </c>
      <c r="CN75" s="193">
        <f>CL78</f>
        <v>1941</v>
      </c>
      <c r="CO75" s="193">
        <f>CN78</f>
        <v>1941</v>
      </c>
      <c r="CP75" s="193">
        <f>CO78</f>
        <v>1941</v>
      </c>
      <c r="CQ75" s="193">
        <f>CP78</f>
        <v>1941</v>
      </c>
      <c r="CR75" s="194">
        <f>CM78</f>
        <v>1941</v>
      </c>
      <c r="CS75" s="193">
        <f>CQ78</f>
        <v>1941</v>
      </c>
      <c r="CT75" s="193">
        <f>CS78</f>
        <v>1941</v>
      </c>
      <c r="CU75" s="193">
        <f>CT78</f>
        <v>1941</v>
      </c>
      <c r="CV75" s="193">
        <f>CU78</f>
        <v>1941</v>
      </c>
      <c r="CW75" s="194">
        <f>CR78</f>
        <v>1941</v>
      </c>
      <c r="CX75" s="193">
        <f>CV78</f>
        <v>1941</v>
      </c>
      <c r="CY75" s="193">
        <f>CX78</f>
        <v>1941</v>
      </c>
      <c r="CZ75" s="193">
        <f>CY78</f>
        <v>1941</v>
      </c>
      <c r="DA75" s="193">
        <f>CZ78</f>
        <v>1941</v>
      </c>
      <c r="DB75" s="194">
        <f>CW78</f>
        <v>1941</v>
      </c>
      <c r="DC75" s="5"/>
      <c r="DD75" s="5"/>
      <c r="DE75" s="171"/>
      <c r="DF75" s="171"/>
      <c r="DG75" s="171"/>
      <c r="DH75" s="171"/>
      <c r="DI75" s="171"/>
      <c r="DJ75" s="171"/>
    </row>
    <row r="76" spans="1:114">
      <c r="A76" s="171"/>
      <c r="B76" s="693" t="s">
        <v>654</v>
      </c>
      <c r="C76" s="38"/>
      <c r="D76" s="201"/>
      <c r="E76" s="201"/>
      <c r="F76" s="201"/>
      <c r="G76" s="166"/>
      <c r="H76" s="166"/>
      <c r="I76" s="166"/>
      <c r="J76" s="166"/>
      <c r="K76" s="201"/>
      <c r="L76" s="166"/>
      <c r="M76" s="166"/>
      <c r="N76" s="166"/>
      <c r="O76" s="166"/>
      <c r="P76" s="201"/>
      <c r="Q76" s="166"/>
      <c r="R76" s="166"/>
      <c r="S76" s="166"/>
      <c r="T76" s="166"/>
      <c r="U76" s="201"/>
      <c r="V76" s="166"/>
      <c r="W76" s="166"/>
      <c r="X76" s="166"/>
      <c r="Y76" s="166"/>
      <c r="Z76" s="201"/>
      <c r="AA76" s="166"/>
      <c r="AB76" s="166"/>
      <c r="AC76" s="166"/>
      <c r="AD76" s="166"/>
      <c r="AE76" s="201"/>
      <c r="AF76" s="166"/>
      <c r="AG76" s="166"/>
      <c r="AH76" s="166"/>
      <c r="AI76" s="166"/>
      <c r="AJ76" s="201"/>
      <c r="AK76" s="166"/>
      <c r="AL76" s="166"/>
      <c r="AM76" s="166"/>
      <c r="AN76" s="166"/>
      <c r="AO76" s="201"/>
      <c r="AP76" s="166"/>
      <c r="AQ76" s="166"/>
      <c r="AR76" s="166"/>
      <c r="AS76" s="166"/>
      <c r="AT76" s="221"/>
      <c r="AU76" s="192"/>
      <c r="AV76" s="192"/>
      <c r="AW76" s="192"/>
      <c r="AX76" s="193"/>
      <c r="AY76" s="194"/>
      <c r="AZ76" s="192"/>
      <c r="BA76" s="192"/>
      <c r="BB76" s="192"/>
      <c r="BC76" s="193"/>
      <c r="BD76" s="194"/>
      <c r="BE76" s="192"/>
      <c r="BF76" s="192"/>
      <c r="BG76" s="192"/>
      <c r="BH76" s="193"/>
      <c r="BI76" s="194"/>
      <c r="BJ76" s="193"/>
      <c r="BK76" s="193"/>
      <c r="BL76" s="193"/>
      <c r="BM76" s="193"/>
      <c r="BN76" s="194"/>
      <c r="BO76" s="193"/>
      <c r="BP76" s="193"/>
      <c r="BQ76" s="193"/>
      <c r="BR76" s="193"/>
      <c r="BS76" s="194"/>
      <c r="BT76" s="193"/>
      <c r="BU76" s="193"/>
      <c r="BV76" s="193"/>
      <c r="BW76" s="193"/>
      <c r="BX76" s="194"/>
      <c r="BY76" s="193">
        <v>0</v>
      </c>
      <c r="BZ76" s="193">
        <v>0</v>
      </c>
      <c r="CA76" s="193">
        <v>0</v>
      </c>
      <c r="CB76" s="193">
        <v>0</v>
      </c>
      <c r="CC76" s="194">
        <f>SUM(BY76:CB76)</f>
        <v>0</v>
      </c>
      <c r="CD76" s="193">
        <v>0</v>
      </c>
      <c r="CE76" s="193">
        <v>0</v>
      </c>
      <c r="CF76" s="193">
        <v>0</v>
      </c>
      <c r="CG76" s="193">
        <v>0</v>
      </c>
      <c r="CH76" s="194"/>
      <c r="CI76" s="193">
        <f>+CI78-CI75</f>
        <v>35</v>
      </c>
      <c r="CJ76" s="193">
        <v>0</v>
      </c>
      <c r="CK76" s="193">
        <v>0</v>
      </c>
      <c r="CL76" s="842">
        <v>0</v>
      </c>
      <c r="CM76" s="194">
        <f>SUM(CI76:CL76)</f>
        <v>35</v>
      </c>
      <c r="CN76" s="1181">
        <v>0</v>
      </c>
      <c r="CO76" s="193">
        <v>0</v>
      </c>
      <c r="CP76" s="193">
        <v>0</v>
      </c>
      <c r="CQ76" s="842">
        <v>0</v>
      </c>
      <c r="CR76" s="194">
        <f>SUM(CN76:CQ76)</f>
        <v>0</v>
      </c>
      <c r="CS76" s="1181">
        <v>0</v>
      </c>
      <c r="CT76" s="193">
        <v>0</v>
      </c>
      <c r="CU76" s="193">
        <v>0</v>
      </c>
      <c r="CV76" s="842">
        <v>0</v>
      </c>
      <c r="CW76" s="194">
        <f>SUM(CS76:CV76)</f>
        <v>0</v>
      </c>
      <c r="CX76" s="1181">
        <v>0</v>
      </c>
      <c r="CY76" s="193">
        <v>0</v>
      </c>
      <c r="CZ76" s="193">
        <v>0</v>
      </c>
      <c r="DA76" s="842">
        <v>0</v>
      </c>
      <c r="DB76" s="194">
        <f>SUM(CX76:DA76)</f>
        <v>0</v>
      </c>
      <c r="DC76" s="5"/>
      <c r="DD76" s="5"/>
      <c r="DE76" s="171"/>
      <c r="DF76" s="171"/>
      <c r="DG76" s="171"/>
      <c r="DH76" s="171"/>
      <c r="DI76" s="171"/>
      <c r="DJ76" s="171"/>
    </row>
    <row r="77" spans="1:114">
      <c r="A77" s="171"/>
      <c r="B77" s="691" t="s">
        <v>653</v>
      </c>
      <c r="C77" s="33"/>
      <c r="D77" s="206"/>
      <c r="E77" s="206"/>
      <c r="F77" s="206"/>
      <c r="G77" s="214"/>
      <c r="H77" s="214"/>
      <c r="I77" s="214"/>
      <c r="J77" s="214"/>
      <c r="K77" s="206"/>
      <c r="L77" s="214"/>
      <c r="M77" s="214"/>
      <c r="N77" s="214"/>
      <c r="O77" s="214"/>
      <c r="P77" s="206"/>
      <c r="Q77" s="214"/>
      <c r="R77" s="214"/>
      <c r="S77" s="214"/>
      <c r="T77" s="214"/>
      <c r="U77" s="206"/>
      <c r="V77" s="214"/>
      <c r="W77" s="214"/>
      <c r="X77" s="214"/>
      <c r="Y77" s="214"/>
      <c r="Z77" s="206"/>
      <c r="AA77" s="214"/>
      <c r="AB77" s="214"/>
      <c r="AC77" s="214"/>
      <c r="AD77" s="214"/>
      <c r="AE77" s="206"/>
      <c r="AF77" s="214"/>
      <c r="AG77" s="214"/>
      <c r="AH77" s="214"/>
      <c r="AI77" s="214"/>
      <c r="AJ77" s="206"/>
      <c r="AK77" s="214"/>
      <c r="AL77" s="214"/>
      <c r="AM77" s="214"/>
      <c r="AN77" s="214"/>
      <c r="AO77" s="206"/>
      <c r="AP77" s="214"/>
      <c r="AQ77" s="214"/>
      <c r="AR77" s="214"/>
      <c r="AS77" s="214"/>
      <c r="AT77" s="225"/>
      <c r="AU77" s="226"/>
      <c r="AV77" s="226"/>
      <c r="AW77" s="226"/>
      <c r="AX77" s="195"/>
      <c r="AY77" s="197"/>
      <c r="AZ77" s="226"/>
      <c r="BA77" s="226"/>
      <c r="BB77" s="226"/>
      <c r="BC77" s="195"/>
      <c r="BD77" s="197"/>
      <c r="BE77" s="226"/>
      <c r="BF77" s="226"/>
      <c r="BG77" s="226"/>
      <c r="BH77" s="195"/>
      <c r="BI77" s="197"/>
      <c r="BJ77" s="196"/>
      <c r="BK77" s="196"/>
      <c r="BL77" s="196"/>
      <c r="BM77" s="196"/>
      <c r="BN77" s="197"/>
      <c r="BO77" s="196"/>
      <c r="BP77" s="196"/>
      <c r="BQ77" s="196"/>
      <c r="BR77" s="196"/>
      <c r="BS77" s="197">
        <f>SUM(BO77:BR77)</f>
        <v>0</v>
      </c>
      <c r="BT77" s="196">
        <f>BT78-BT75</f>
        <v>4590</v>
      </c>
      <c r="BU77" s="196">
        <f>BU78-BU75</f>
        <v>-12</v>
      </c>
      <c r="BV77" s="196">
        <f>BV78-BV75</f>
        <v>-11</v>
      </c>
      <c r="BW77" s="196">
        <f>BW78-BW75</f>
        <v>-12</v>
      </c>
      <c r="BX77" s="197">
        <f>SUM(BT77:BW77)</f>
        <v>4555</v>
      </c>
      <c r="BY77" s="196">
        <f>BY78-BY75</f>
        <v>-11</v>
      </c>
      <c r="BZ77" s="196">
        <f>BZ78-BZ75</f>
        <v>-1600</v>
      </c>
      <c r="CA77" s="196">
        <f>CA78-CA75</f>
        <v>-7</v>
      </c>
      <c r="CB77" s="196">
        <f>CB78-CB75</f>
        <v>-8</v>
      </c>
      <c r="CC77" s="197">
        <f>SUM(BY77:CB77)</f>
        <v>-1626</v>
      </c>
      <c r="CD77" s="196">
        <f>CD78-CD75</f>
        <v>-50</v>
      </c>
      <c r="CE77" s="196">
        <f>CE78-CE75</f>
        <v>-5</v>
      </c>
      <c r="CF77" s="196">
        <v>0</v>
      </c>
      <c r="CG77" s="196">
        <f>+CG78-CG75</f>
        <v>-98</v>
      </c>
      <c r="CH77" s="197">
        <f>SUM(CD77:CG77)</f>
        <v>-153</v>
      </c>
      <c r="CI77" s="196">
        <v>0</v>
      </c>
      <c r="CJ77" s="196">
        <f>IF(CJ$69&gt;400,-0.1*CJ75)-89.9</f>
        <v>-371</v>
      </c>
      <c r="CK77" s="196">
        <v>-499</v>
      </c>
      <c r="CL77" s="196">
        <v>0</v>
      </c>
      <c r="CM77" s="197">
        <f>SUM(CI77:CL77)</f>
        <v>-870</v>
      </c>
      <c r="CN77" s="196">
        <v>0</v>
      </c>
      <c r="CO77" s="196">
        <v>0</v>
      </c>
      <c r="CP77" s="196">
        <v>0</v>
      </c>
      <c r="CQ77" s="196">
        <v>0</v>
      </c>
      <c r="CR77" s="197">
        <f>SUM(CN77:CQ77)</f>
        <v>0</v>
      </c>
      <c r="CS77" s="196">
        <v>0</v>
      </c>
      <c r="CT77" s="196">
        <v>0</v>
      </c>
      <c r="CU77" s="196">
        <v>0</v>
      </c>
      <c r="CV77" s="196">
        <v>0</v>
      </c>
      <c r="CW77" s="197">
        <f>SUM(CS77:CV77)</f>
        <v>0</v>
      </c>
      <c r="CX77" s="196">
        <v>0</v>
      </c>
      <c r="CY77" s="196">
        <v>0</v>
      </c>
      <c r="CZ77" s="196">
        <v>0</v>
      </c>
      <c r="DA77" s="196">
        <v>0</v>
      </c>
      <c r="DB77" s="197">
        <f>SUM(CX77:DA77)</f>
        <v>0</v>
      </c>
      <c r="DC77" s="5"/>
      <c r="DD77" s="5"/>
      <c r="DE77" s="171"/>
      <c r="DF77" s="171"/>
      <c r="DG77" s="171"/>
      <c r="DH77" s="171"/>
      <c r="DI77" s="171"/>
      <c r="DJ77" s="171"/>
    </row>
    <row r="78" spans="1:114">
      <c r="A78" s="171"/>
      <c r="B78" s="693" t="s">
        <v>519</v>
      </c>
      <c r="C78" s="38"/>
      <c r="D78" s="201"/>
      <c r="E78" s="201"/>
      <c r="F78" s="201"/>
      <c r="G78" s="166"/>
      <c r="H78" s="166"/>
      <c r="I78" s="166"/>
      <c r="J78" s="166"/>
      <c r="K78" s="201"/>
      <c r="L78" s="166"/>
      <c r="M78" s="166"/>
      <c r="N78" s="166"/>
      <c r="O78" s="166"/>
      <c r="P78" s="201"/>
      <c r="Q78" s="166"/>
      <c r="R78" s="166"/>
      <c r="S78" s="166"/>
      <c r="T78" s="166"/>
      <c r="U78" s="201"/>
      <c r="V78" s="166"/>
      <c r="W78" s="166"/>
      <c r="X78" s="166"/>
      <c r="Y78" s="166"/>
      <c r="Z78" s="201"/>
      <c r="AA78" s="166"/>
      <c r="AB78" s="166"/>
      <c r="AC78" s="166"/>
      <c r="AD78" s="166"/>
      <c r="AE78" s="201"/>
      <c r="AF78" s="166"/>
      <c r="AG78" s="166"/>
      <c r="AH78" s="166"/>
      <c r="AI78" s="166"/>
      <c r="AJ78" s="201"/>
      <c r="AK78" s="166"/>
      <c r="AL78" s="166"/>
      <c r="AM78" s="166"/>
      <c r="AN78" s="166"/>
      <c r="AO78" s="201"/>
      <c r="AP78" s="166"/>
      <c r="AQ78" s="166"/>
      <c r="AR78" s="166"/>
      <c r="AS78" s="166"/>
      <c r="AT78" s="234"/>
      <c r="AU78" s="192"/>
      <c r="AV78" s="192"/>
      <c r="AW78" s="192"/>
      <c r="AX78" s="192"/>
      <c r="AY78" s="272"/>
      <c r="AZ78" s="192"/>
      <c r="BA78" s="192"/>
      <c r="BB78" s="192"/>
      <c r="BC78" s="192"/>
      <c r="BD78" s="272"/>
      <c r="BE78" s="192"/>
      <c r="BF78" s="192"/>
      <c r="BG78" s="192"/>
      <c r="BH78" s="192"/>
      <c r="BI78" s="272"/>
      <c r="BJ78" s="198"/>
      <c r="BK78" s="198"/>
      <c r="BL78" s="193"/>
      <c r="BM78" s="198"/>
      <c r="BN78" s="194"/>
      <c r="BO78" s="198"/>
      <c r="BP78" s="198"/>
      <c r="BQ78" s="550"/>
      <c r="BR78" s="193"/>
      <c r="BS78" s="194">
        <f>BR78</f>
        <v>0</v>
      </c>
      <c r="BT78" s="550">
        <v>4590</v>
      </c>
      <c r="BU78" s="550">
        <v>4578</v>
      </c>
      <c r="BV78" s="583">
        <v>4567</v>
      </c>
      <c r="BW78" s="583">
        <v>4555</v>
      </c>
      <c r="BX78" s="194">
        <f>BW78</f>
        <v>4555</v>
      </c>
      <c r="BY78" s="550">
        <v>4544</v>
      </c>
      <c r="BZ78" s="583">
        <v>2944</v>
      </c>
      <c r="CA78" s="583">
        <v>2937</v>
      </c>
      <c r="CB78" s="583">
        <v>2929</v>
      </c>
      <c r="CC78" s="194">
        <f>CB78</f>
        <v>2929</v>
      </c>
      <c r="CD78" s="583">
        <v>2879</v>
      </c>
      <c r="CE78" s="583">
        <v>2874</v>
      </c>
      <c r="CF78" s="193">
        <f>SUM(CF75:CF77)</f>
        <v>2874</v>
      </c>
      <c r="CG78" s="583">
        <v>2776</v>
      </c>
      <c r="CH78" s="194">
        <f>CG78</f>
        <v>2776</v>
      </c>
      <c r="CI78" s="582">
        <v>2811</v>
      </c>
      <c r="CJ78" s="193">
        <f>SUM(CJ75:CJ77)</f>
        <v>2440</v>
      </c>
      <c r="CK78" s="193">
        <f>SUM(CK75:CK77)</f>
        <v>1941</v>
      </c>
      <c r="CL78" s="193">
        <f>SUM(CL75:CL77)</f>
        <v>1941</v>
      </c>
      <c r="CM78" s="194">
        <f>CL78</f>
        <v>1941</v>
      </c>
      <c r="CN78" s="193">
        <f>SUM(CN75:CN77)</f>
        <v>1941</v>
      </c>
      <c r="CO78" s="193">
        <f>SUM(CO75:CO77)</f>
        <v>1941</v>
      </c>
      <c r="CP78" s="193">
        <f>SUM(CP75:CP77)</f>
        <v>1941</v>
      </c>
      <c r="CQ78" s="193">
        <f>SUM(CQ75:CQ77)</f>
        <v>1941</v>
      </c>
      <c r="CR78" s="194">
        <f>CQ78</f>
        <v>1941</v>
      </c>
      <c r="CS78" s="193">
        <f>SUM(CS75:CS77)</f>
        <v>1941</v>
      </c>
      <c r="CT78" s="193">
        <f>SUM(CT75:CT77)</f>
        <v>1941</v>
      </c>
      <c r="CU78" s="193">
        <f>SUM(CU75:CU77)</f>
        <v>1941</v>
      </c>
      <c r="CV78" s="193">
        <f>SUM(CV75:CV77)</f>
        <v>1941</v>
      </c>
      <c r="CW78" s="194">
        <f>CV78</f>
        <v>1941</v>
      </c>
      <c r="CX78" s="193">
        <f>SUM(CX75:CX77)</f>
        <v>1941</v>
      </c>
      <c r="CY78" s="193">
        <f>SUM(CY75:CY77)</f>
        <v>1941</v>
      </c>
      <c r="CZ78" s="193">
        <f>SUM(CZ75:CZ77)</f>
        <v>1941</v>
      </c>
      <c r="DA78" s="193">
        <f>SUM(DA75:DA77)</f>
        <v>1941</v>
      </c>
      <c r="DB78" s="194">
        <f>DA78</f>
        <v>1941</v>
      </c>
      <c r="DC78" s="5"/>
      <c r="DD78" s="5"/>
      <c r="DE78" s="171"/>
      <c r="DF78" s="171"/>
      <c r="DG78" s="699"/>
      <c r="DH78" s="699"/>
      <c r="DI78" s="699"/>
      <c r="DJ78" s="699"/>
    </row>
    <row r="79" spans="1:114">
      <c r="A79" s="171"/>
      <c r="B79" s="690" t="s">
        <v>362</v>
      </c>
      <c r="C79" s="38"/>
      <c r="D79" s="201"/>
      <c r="E79" s="201"/>
      <c r="F79" s="201"/>
      <c r="G79" s="166"/>
      <c r="H79" s="166"/>
      <c r="I79" s="166"/>
      <c r="J79" s="166"/>
      <c r="K79" s="201"/>
      <c r="L79" s="166"/>
      <c r="M79" s="166"/>
      <c r="N79" s="166"/>
      <c r="O79" s="166"/>
      <c r="P79" s="201"/>
      <c r="Q79" s="166"/>
      <c r="R79" s="166"/>
      <c r="S79" s="166"/>
      <c r="T79" s="166"/>
      <c r="U79" s="201"/>
      <c r="V79" s="166"/>
      <c r="W79" s="166"/>
      <c r="X79" s="166"/>
      <c r="Y79" s="166"/>
      <c r="Z79" s="201"/>
      <c r="AA79" s="166"/>
      <c r="AB79" s="166"/>
      <c r="AC79" s="166"/>
      <c r="AD79" s="166"/>
      <c r="AE79" s="201"/>
      <c r="AF79" s="166"/>
      <c r="AG79" s="166"/>
      <c r="AH79" s="166"/>
      <c r="AI79" s="166"/>
      <c r="AJ79" s="201"/>
      <c r="AK79" s="166"/>
      <c r="AL79" s="166"/>
      <c r="AM79" s="166"/>
      <c r="AN79" s="166"/>
      <c r="AO79" s="201"/>
      <c r="AP79" s="166"/>
      <c r="AQ79" s="166"/>
      <c r="AR79" s="166"/>
      <c r="AS79" s="166"/>
      <c r="AT79" s="221"/>
      <c r="AU79" s="193"/>
      <c r="AV79" s="192"/>
      <c r="AW79" s="192"/>
      <c r="AX79" s="193"/>
      <c r="AY79" s="194"/>
      <c r="AZ79" s="193"/>
      <c r="BA79" s="192"/>
      <c r="BB79" s="192"/>
      <c r="BC79" s="193"/>
      <c r="BD79" s="194"/>
      <c r="BE79" s="193"/>
      <c r="BF79" s="192"/>
      <c r="BG79" s="192"/>
      <c r="BH79" s="193"/>
      <c r="BI79" s="194"/>
      <c r="BJ79" s="193"/>
      <c r="BK79" s="193"/>
      <c r="BL79" s="193"/>
      <c r="BM79" s="193"/>
      <c r="BN79" s="194"/>
      <c r="BO79" s="193"/>
      <c r="BP79" s="193"/>
      <c r="BQ79" s="193"/>
      <c r="BR79" s="193"/>
      <c r="BS79" s="194">
        <f>BR79</f>
        <v>0</v>
      </c>
      <c r="BT79" s="193">
        <f>BT74-BT78</f>
        <v>0</v>
      </c>
      <c r="BU79" s="193">
        <f>BU74-BU78</f>
        <v>12</v>
      </c>
      <c r="BV79" s="193">
        <f>BV74-BV78</f>
        <v>23</v>
      </c>
      <c r="BW79" s="193">
        <f>BW74-BW78</f>
        <v>35</v>
      </c>
      <c r="BX79" s="194">
        <f>BW79</f>
        <v>35</v>
      </c>
      <c r="BY79" s="193">
        <f>BY74-BY78</f>
        <v>46</v>
      </c>
      <c r="BZ79" s="193">
        <f>BZ74-BZ78</f>
        <v>1646</v>
      </c>
      <c r="CA79" s="193">
        <f>CA74-CA78</f>
        <v>1653</v>
      </c>
      <c r="CB79" s="193">
        <f>CB74-CB78</f>
        <v>1661</v>
      </c>
      <c r="CC79" s="194">
        <f>CB79</f>
        <v>1661</v>
      </c>
      <c r="CD79" s="193">
        <f>CD74-CD78</f>
        <v>1711</v>
      </c>
      <c r="CE79" s="193">
        <f>CE74-CE78</f>
        <v>1716</v>
      </c>
      <c r="CF79" s="193">
        <f>CF74-CF78</f>
        <v>1716</v>
      </c>
      <c r="CG79" s="193">
        <f>CG74-CG78</f>
        <v>1814</v>
      </c>
      <c r="CH79" s="194">
        <f>CG79</f>
        <v>1814</v>
      </c>
      <c r="CI79" s="193">
        <f>CI74-CI78</f>
        <v>1779</v>
      </c>
      <c r="CJ79" s="193">
        <f>CJ74-CJ78</f>
        <v>2150</v>
      </c>
      <c r="CK79" s="193">
        <f>CK74-CK78</f>
        <v>2649</v>
      </c>
      <c r="CL79" s="193">
        <f>CL74-CL78</f>
        <v>2649</v>
      </c>
      <c r="CM79" s="194">
        <f>CL79</f>
        <v>2649</v>
      </c>
      <c r="CN79" s="193">
        <f>CN74-CN78</f>
        <v>2649</v>
      </c>
      <c r="CO79" s="193">
        <f>CO74-CO78</f>
        <v>2649</v>
      </c>
      <c r="CP79" s="193">
        <f>CP74-CP78</f>
        <v>2649</v>
      </c>
      <c r="CQ79" s="193">
        <f>CQ74-CQ78</f>
        <v>2649</v>
      </c>
      <c r="CR79" s="194">
        <f>CQ79</f>
        <v>2649</v>
      </c>
      <c r="CS79" s="193">
        <f>CS74-CS78</f>
        <v>2649</v>
      </c>
      <c r="CT79" s="193">
        <f>CT74-CT78</f>
        <v>2649</v>
      </c>
      <c r="CU79" s="193">
        <f>CU74-CU78</f>
        <v>2649</v>
      </c>
      <c r="CV79" s="193">
        <f>CV74-CV78</f>
        <v>2649</v>
      </c>
      <c r="CW79" s="194">
        <f>CV79</f>
        <v>2649</v>
      </c>
      <c r="CX79" s="193">
        <f>CX74-CX78</f>
        <v>2649</v>
      </c>
      <c r="CY79" s="193">
        <f>CY74-CY78</f>
        <v>2649</v>
      </c>
      <c r="CZ79" s="193">
        <f>CZ74-CZ78</f>
        <v>2649</v>
      </c>
      <c r="DA79" s="193">
        <f>DA74-DA78</f>
        <v>2649</v>
      </c>
      <c r="DB79" s="194">
        <f>DA79</f>
        <v>2649</v>
      </c>
      <c r="DC79" s="5"/>
      <c r="DD79" s="5"/>
      <c r="DE79" s="171"/>
      <c r="DF79" s="171"/>
      <c r="DG79" s="699"/>
      <c r="DH79" s="699"/>
      <c r="DI79" s="699"/>
      <c r="DJ79" s="699"/>
    </row>
    <row r="80" spans="1:114">
      <c r="A80" s="700"/>
      <c r="B80" s="693" t="s">
        <v>520</v>
      </c>
      <c r="C80" s="38"/>
      <c r="D80" s="168"/>
      <c r="E80" s="168"/>
      <c r="F80" s="168"/>
      <c r="G80" s="158"/>
      <c r="H80" s="158"/>
      <c r="I80" s="158"/>
      <c r="J80" s="158"/>
      <c r="K80" s="168"/>
      <c r="L80" s="158"/>
      <c r="M80" s="158"/>
      <c r="N80" s="158"/>
      <c r="O80" s="158"/>
      <c r="P80" s="168"/>
      <c r="Q80" s="158"/>
      <c r="R80" s="158"/>
      <c r="S80" s="158"/>
      <c r="T80" s="158"/>
      <c r="U80" s="168"/>
      <c r="V80" s="158"/>
      <c r="W80" s="158"/>
      <c r="X80" s="158"/>
      <c r="Y80" s="158"/>
      <c r="Z80" s="168"/>
      <c r="AA80" s="158"/>
      <c r="AB80" s="158"/>
      <c r="AC80" s="158"/>
      <c r="AD80" s="158"/>
      <c r="AE80" s="168"/>
      <c r="AF80" s="158"/>
      <c r="AG80" s="158"/>
      <c r="AH80" s="158"/>
      <c r="AI80" s="158"/>
      <c r="AJ80" s="168"/>
      <c r="AK80" s="158"/>
      <c r="AL80" s="158"/>
      <c r="AM80" s="158"/>
      <c r="AN80" s="158"/>
      <c r="AO80" s="168"/>
      <c r="AP80" s="158"/>
      <c r="AQ80" s="158"/>
      <c r="AR80" s="158"/>
      <c r="AS80" s="158"/>
      <c r="AT80" s="235"/>
      <c r="AU80" s="192"/>
      <c r="AV80" s="192"/>
      <c r="AW80" s="192"/>
      <c r="AX80" s="192"/>
      <c r="AY80" s="194"/>
      <c r="AZ80" s="192"/>
      <c r="BA80" s="192"/>
      <c r="BB80" s="192"/>
      <c r="BC80" s="192"/>
      <c r="BD80" s="194"/>
      <c r="BE80" s="192"/>
      <c r="BF80" s="192"/>
      <c r="BG80" s="192"/>
      <c r="BH80" s="192"/>
      <c r="BI80" s="194"/>
      <c r="BJ80" s="192"/>
      <c r="BK80" s="192"/>
      <c r="BL80" s="192"/>
      <c r="BM80" s="192"/>
      <c r="BN80" s="194"/>
      <c r="BO80" s="192"/>
      <c r="BP80" s="192"/>
      <c r="BQ80" s="192"/>
      <c r="BR80" s="192"/>
      <c r="BS80" s="194">
        <f>SUM(BO80:BR80)</f>
        <v>0</v>
      </c>
      <c r="BT80" s="192">
        <f>BT73/4*AVERAGE(BT78,BT78,0)</f>
        <v>32.512500000000003</v>
      </c>
      <c r="BU80" s="192">
        <f>BU73/4*AVERAGE(BU78,BU75)</f>
        <v>48.705000000000005</v>
      </c>
      <c r="BV80" s="192">
        <f>BV73/4*AVERAGE(BV78,BV75)</f>
        <v>48.582812500000003</v>
      </c>
      <c r="BW80" s="192">
        <f>BW73/4*AVERAGE(BW78,BW75)</f>
        <v>48.460625</v>
      </c>
      <c r="BX80" s="194">
        <f>SUM(BT80:BW80)</f>
        <v>178.26093750000001</v>
      </c>
      <c r="BY80" s="192">
        <f>BY73/4*AVERAGE(BY78,BY75)</f>
        <v>48.338437500000005</v>
      </c>
      <c r="BZ80" s="192">
        <f>BZ73/4*AVERAGE(BZ78,BZ75)</f>
        <v>39.78</v>
      </c>
      <c r="CA80" s="192">
        <f>CA73/4*AVERAGE(CA78,CA75)</f>
        <v>31.242812500000003</v>
      </c>
      <c r="CB80" s="192">
        <f>CB73/4*AVERAGE(CB78,CB75)</f>
        <v>31.163125000000001</v>
      </c>
      <c r="CC80" s="194">
        <f>SUM(BY80:CB80)</f>
        <v>150.52437499999999</v>
      </c>
      <c r="CD80" s="192">
        <f>CD73/4*AVERAGE(CD78,CD75)</f>
        <v>30.855000000000004</v>
      </c>
      <c r="CE80" s="192">
        <f>CE73/4*AVERAGE(CE78,CE75)</f>
        <v>30.562812500000003</v>
      </c>
      <c r="CF80" s="192">
        <f>CF73/4*AVERAGE(CF78,CF75)</f>
        <v>30.536250000000003</v>
      </c>
      <c r="CG80" s="192">
        <f>CG73/4*AVERAGE(CG78,CG75)</f>
        <v>30.015625000000004</v>
      </c>
      <c r="CH80" s="194">
        <f>SUM(CD80:CG80)</f>
        <v>121.96968750000002</v>
      </c>
      <c r="CI80" s="192">
        <f>CI73/4*AVERAGE(CI78,CI75)</f>
        <v>29.680937500000002</v>
      </c>
      <c r="CJ80" s="192">
        <f>CJ73/4*AVERAGE(CJ78,CJ75)</f>
        <v>27.895937500000002</v>
      </c>
      <c r="CK80" s="192">
        <f>CK73/4*AVERAGE(CK78,CK75)</f>
        <v>23.274062500000003</v>
      </c>
      <c r="CL80" s="192">
        <f>CL73/4*AVERAGE(CL78,CL75)</f>
        <v>20.623125000000002</v>
      </c>
      <c r="CM80" s="194">
        <f>SUM(CI80:CL80)</f>
        <v>101.4740625</v>
      </c>
      <c r="CN80" s="192">
        <f>CN73/4*AVERAGE(CN78,CN75)</f>
        <v>20.623125000000002</v>
      </c>
      <c r="CO80" s="192">
        <f>CO73/4*AVERAGE(CO78,CO75)</f>
        <v>20.623125000000002</v>
      </c>
      <c r="CP80" s="192">
        <f>CP73/4*AVERAGE(CP78,CP75)</f>
        <v>20.623125000000002</v>
      </c>
      <c r="CQ80" s="192">
        <f>CQ73/4*AVERAGE(CQ78,CQ75)</f>
        <v>20.623125000000002</v>
      </c>
      <c r="CR80" s="194">
        <f>SUM(CN80:CQ80)</f>
        <v>82.492500000000007</v>
      </c>
      <c r="CS80" s="192">
        <f>CS73/4*AVERAGE(CS78,CS75)</f>
        <v>20.623125000000002</v>
      </c>
      <c r="CT80" s="192">
        <f>CT73/4*AVERAGE(CT78,CT75)</f>
        <v>20.623125000000002</v>
      </c>
      <c r="CU80" s="192">
        <f>CU73/4*AVERAGE(CU78,CU75)</f>
        <v>20.623125000000002</v>
      </c>
      <c r="CV80" s="192">
        <f>CV73/4*AVERAGE(CV78,CV75)</f>
        <v>20.623125000000002</v>
      </c>
      <c r="CW80" s="194">
        <f>SUM(CS80:CV80)</f>
        <v>82.492500000000007</v>
      </c>
      <c r="CX80" s="192">
        <f>CX73/4*AVERAGE(CX78,CX75)</f>
        <v>20.623125000000002</v>
      </c>
      <c r="CY80" s="192">
        <f>CY73/4*AVERAGE(CY78,CY75)</f>
        <v>20.623125000000002</v>
      </c>
      <c r="CZ80" s="192">
        <f>CZ73/4*AVERAGE(CZ78,CZ75)</f>
        <v>20.623125000000002</v>
      </c>
      <c r="DA80" s="192">
        <f>DA73/4*AVERAGE(DA78,DA75)</f>
        <v>20.623125000000002</v>
      </c>
      <c r="DB80" s="194">
        <f>SUM(CX80:DA80)</f>
        <v>82.492500000000007</v>
      </c>
      <c r="DC80" s="5"/>
      <c r="DD80" s="5"/>
      <c r="DE80" s="171"/>
      <c r="DF80" s="171"/>
      <c r="DG80" s="699"/>
      <c r="DH80" s="699"/>
      <c r="DI80" s="699"/>
      <c r="DJ80" s="699"/>
    </row>
    <row r="81" spans="1:114">
      <c r="A81" s="700"/>
      <c r="B81" s="691" t="s">
        <v>363</v>
      </c>
      <c r="C81" s="33"/>
      <c r="D81" s="206"/>
      <c r="E81" s="206"/>
      <c r="F81" s="206"/>
      <c r="G81" s="214"/>
      <c r="H81" s="214"/>
      <c r="I81" s="214"/>
      <c r="J81" s="214"/>
      <c r="K81" s="206"/>
      <c r="L81" s="214"/>
      <c r="M81" s="214"/>
      <c r="N81" s="214"/>
      <c r="O81" s="214"/>
      <c r="P81" s="206"/>
      <c r="Q81" s="214"/>
      <c r="R81" s="214"/>
      <c r="S81" s="214"/>
      <c r="T81" s="214"/>
      <c r="U81" s="206"/>
      <c r="V81" s="214"/>
      <c r="W81" s="214"/>
      <c r="X81" s="214"/>
      <c r="Y81" s="214"/>
      <c r="Z81" s="206"/>
      <c r="AA81" s="214"/>
      <c r="AB81" s="214"/>
      <c r="AC81" s="214"/>
      <c r="AD81" s="214"/>
      <c r="AE81" s="206"/>
      <c r="AF81" s="214"/>
      <c r="AG81" s="214"/>
      <c r="AH81" s="214"/>
      <c r="AI81" s="214"/>
      <c r="AJ81" s="206"/>
      <c r="AK81" s="214"/>
      <c r="AL81" s="214"/>
      <c r="AM81" s="214"/>
      <c r="AN81" s="214"/>
      <c r="AO81" s="206"/>
      <c r="AP81" s="214"/>
      <c r="AQ81" s="214"/>
      <c r="AR81" s="214"/>
      <c r="AS81" s="214"/>
      <c r="AT81" s="225"/>
      <c r="AU81" s="230"/>
      <c r="AV81" s="226"/>
      <c r="AW81" s="226"/>
      <c r="AX81" s="230"/>
      <c r="AY81" s="197"/>
      <c r="AZ81" s="230"/>
      <c r="BA81" s="226"/>
      <c r="BB81" s="226"/>
      <c r="BC81" s="230"/>
      <c r="BD81" s="197"/>
      <c r="BE81" s="230"/>
      <c r="BF81" s="226"/>
      <c r="BG81" s="226"/>
      <c r="BH81" s="230"/>
      <c r="BI81" s="197"/>
      <c r="BJ81" s="230"/>
      <c r="BK81" s="230"/>
      <c r="BL81" s="230"/>
      <c r="BM81" s="230"/>
      <c r="BN81" s="197"/>
      <c r="BO81" s="230"/>
      <c r="BP81" s="230"/>
      <c r="BQ81" s="230"/>
      <c r="BR81" s="230"/>
      <c r="BS81" s="197"/>
      <c r="BT81" s="230">
        <f>BT72/4*(AVERAGE(BT79,BS79))</f>
        <v>0</v>
      </c>
      <c r="BU81" s="230">
        <f>BU72/4*(AVERAGE(BU79,BT79))</f>
        <v>6.5625000000000006E-3</v>
      </c>
      <c r="BV81" s="230">
        <f>BV72/4*(AVERAGE(BV79,BU79))</f>
        <v>1.9140625000000001E-2</v>
      </c>
      <c r="BW81" s="230">
        <f>BW72/4*(AVERAGE(BW79,BV79))</f>
        <v>3.1718750000000004E-2</v>
      </c>
      <c r="BX81" s="197"/>
      <c r="BY81" s="230">
        <f>BY72/4*(AVERAGE(BY79,BX79))</f>
        <v>4.4296875000000006E-2</v>
      </c>
      <c r="BZ81" s="230">
        <f>BZ72/4*(AVERAGE(BZ79,BY79))</f>
        <v>0.92531250000000009</v>
      </c>
      <c r="CA81" s="230">
        <f>CA72/4*(AVERAGE(CA79,BZ79))</f>
        <v>1.8041406250000003</v>
      </c>
      <c r="CB81" s="230">
        <f>CB72/4*(AVERAGE(CB79,CA79))</f>
        <v>1.8123437500000001</v>
      </c>
      <c r="CC81" s="197"/>
      <c r="CD81" s="230">
        <f>CD72/4*(AVERAGE(CD79,CC79))</f>
        <v>1.8440625000000002</v>
      </c>
      <c r="CE81" s="230">
        <f>CE72/4*(AVERAGE(CE79,CD79))</f>
        <v>1.8741406250000001</v>
      </c>
      <c r="CF81" s="230">
        <f>CF72/4*(AVERAGE(CF79,CE79))</f>
        <v>1.8768750000000001</v>
      </c>
      <c r="CG81" s="230">
        <f>CG72/4*(AVERAGE(CG79,CF79))</f>
        <v>1.9304687500000002</v>
      </c>
      <c r="CH81" s="197"/>
      <c r="CI81" s="230">
        <f>CI72/4*(AVERAGE(CI79,CH79))</f>
        <v>1.9649218750000002</v>
      </c>
      <c r="CJ81" s="230">
        <f>CJ72/4*(AVERAGE(CJ79,CI79))</f>
        <v>2.1486718750000002</v>
      </c>
      <c r="CK81" s="230">
        <f>CK72/4*(AVERAGE(CK79,CJ79))</f>
        <v>2.6244531250000001</v>
      </c>
      <c r="CL81" s="230">
        <f>CL72/4*(AVERAGE(CL79,CK79))</f>
        <v>2.8973437500000001</v>
      </c>
      <c r="CM81" s="197"/>
      <c r="CN81" s="230">
        <f>CN72/4*(AVERAGE(CN79,CM79))</f>
        <v>2.8973437500000001</v>
      </c>
      <c r="CO81" s="230">
        <f>CO72/4*(AVERAGE(CO79,CN79))</f>
        <v>2.8973437500000001</v>
      </c>
      <c r="CP81" s="230">
        <f>CP72/4*(AVERAGE(CP79,CO79))</f>
        <v>2.8973437500000001</v>
      </c>
      <c r="CQ81" s="230">
        <f>CQ72/4*(AVERAGE(CQ79,CP79))</f>
        <v>2.8973437500000001</v>
      </c>
      <c r="CR81" s="197">
        <f>SUM(CN81:CQ81)</f>
        <v>11.589375</v>
      </c>
      <c r="CS81" s="230">
        <f>CS72/4*(AVERAGE(CS79,CR79))</f>
        <v>2.8973437500000001</v>
      </c>
      <c r="CT81" s="230">
        <f>CT72/4*(AVERAGE(CT79,CS79))</f>
        <v>2.8973437500000001</v>
      </c>
      <c r="CU81" s="230">
        <f>CU72/4*(AVERAGE(CU79,CT79))</f>
        <v>2.8973437500000001</v>
      </c>
      <c r="CV81" s="230">
        <f>CV72/4*(AVERAGE(CV79,CU79))</f>
        <v>2.8973437500000001</v>
      </c>
      <c r="CW81" s="197">
        <f>SUM(CS81:CV81)</f>
        <v>11.589375</v>
      </c>
      <c r="CX81" s="230">
        <f>CX72/4*(AVERAGE(CX79,CW79))</f>
        <v>2.8973437500000001</v>
      </c>
      <c r="CY81" s="230">
        <f>CY72/4*(AVERAGE(CY79,CX79))</f>
        <v>2.8973437500000001</v>
      </c>
      <c r="CZ81" s="230">
        <f>CZ72/4*(AVERAGE(CZ79,CY79))</f>
        <v>2.8973437500000001</v>
      </c>
      <c r="DA81" s="230">
        <f>DA72/4*(AVERAGE(DA79,CZ79))</f>
        <v>2.8973437500000001</v>
      </c>
      <c r="DB81" s="197">
        <f>SUM(CX81:DA81)</f>
        <v>11.589375</v>
      </c>
      <c r="DC81" s="5"/>
      <c r="DD81" s="5"/>
      <c r="DE81" s="171"/>
      <c r="DF81" s="171"/>
      <c r="DG81" s="699"/>
      <c r="DH81" s="699"/>
      <c r="DI81" s="699"/>
      <c r="DJ81" s="699"/>
    </row>
    <row r="82" spans="1:114" s="1163" customFormat="1" hidden="1" outlineLevel="1">
      <c r="A82" s="171"/>
      <c r="B82" s="1164"/>
      <c r="C82" s="46"/>
      <c r="D82" s="1161"/>
      <c r="E82" s="1161"/>
      <c r="F82" s="1161"/>
      <c r="G82" s="1161"/>
      <c r="H82" s="1161"/>
      <c r="I82" s="1161"/>
      <c r="J82" s="1161"/>
      <c r="K82" s="1161"/>
      <c r="L82" s="1161"/>
      <c r="M82" s="1161"/>
      <c r="N82" s="1161"/>
      <c r="O82" s="1161"/>
      <c r="P82" s="1161"/>
      <c r="Q82" s="1161"/>
      <c r="R82" s="1161"/>
      <c r="S82" s="1161"/>
      <c r="T82" s="1161"/>
      <c r="U82" s="1161"/>
      <c r="V82" s="1161"/>
      <c r="W82" s="1161"/>
      <c r="X82" s="1161"/>
      <c r="Y82" s="1161"/>
      <c r="Z82" s="1161"/>
      <c r="AA82" s="1161"/>
      <c r="AB82" s="1161"/>
      <c r="AC82" s="1161"/>
      <c r="AD82" s="1161"/>
      <c r="AE82" s="1161"/>
      <c r="AF82" s="1161"/>
      <c r="AG82" s="1161"/>
      <c r="AH82" s="1161"/>
      <c r="AI82" s="1161"/>
      <c r="AJ82" s="1161"/>
      <c r="AK82" s="1161"/>
      <c r="AL82" s="1161"/>
      <c r="AM82" s="1161"/>
      <c r="AN82" s="1161"/>
      <c r="AO82" s="1161"/>
      <c r="AP82" s="1161"/>
      <c r="AQ82" s="1161"/>
      <c r="AR82" s="1161"/>
      <c r="AS82" s="1161"/>
      <c r="AT82" s="1161"/>
      <c r="AU82" s="1162"/>
      <c r="AV82" s="1162"/>
      <c r="AW82" s="1162"/>
      <c r="AX82" s="1162"/>
      <c r="AY82" s="1161"/>
      <c r="AZ82" s="1162"/>
      <c r="BA82" s="1162"/>
      <c r="BB82" s="1162"/>
      <c r="BC82" s="1162"/>
      <c r="BD82" s="1161"/>
      <c r="BE82" s="1162"/>
      <c r="BF82" s="1162"/>
      <c r="BG82" s="1162"/>
      <c r="BH82" s="1162"/>
      <c r="BI82" s="1161"/>
      <c r="BJ82" s="1165"/>
      <c r="BK82" s="1165"/>
      <c r="BL82" s="1161"/>
      <c r="BM82" s="1161"/>
      <c r="BN82" s="1161"/>
      <c r="BO82" s="1161"/>
      <c r="BP82" s="1161"/>
      <c r="BQ82" s="1161"/>
      <c r="BR82" s="1161"/>
      <c r="BS82" s="1161"/>
      <c r="BT82" s="1161"/>
      <c r="BU82" s="1161"/>
      <c r="BV82" s="1161"/>
      <c r="BW82" s="1161"/>
      <c r="BX82" s="1161"/>
      <c r="BY82" s="1161"/>
      <c r="BZ82" s="1161"/>
      <c r="CA82" s="1161"/>
      <c r="CB82" s="1161"/>
      <c r="CC82" s="1161"/>
      <c r="CD82" s="1161"/>
      <c r="CE82" s="1161"/>
      <c r="CF82" s="1161"/>
      <c r="CG82" s="1161"/>
      <c r="CH82" s="1161"/>
      <c r="CI82" s="1161"/>
      <c r="CJ82" s="1161"/>
      <c r="CK82" s="1161"/>
      <c r="CL82" s="1161"/>
      <c r="CM82" s="1161"/>
      <c r="CN82" s="1161"/>
      <c r="CO82" s="1161"/>
      <c r="CP82" s="1161"/>
      <c r="CQ82" s="1161"/>
      <c r="CR82" s="1161"/>
      <c r="CS82" s="1161"/>
      <c r="CT82" s="1161"/>
      <c r="CU82" s="1161"/>
      <c r="CV82" s="1161"/>
      <c r="CW82" s="1161"/>
      <c r="CX82" s="1161"/>
      <c r="CY82" s="1161"/>
      <c r="CZ82" s="1161"/>
      <c r="DA82" s="1161"/>
      <c r="DB82" s="1161"/>
      <c r="DC82" s="5"/>
      <c r="DD82" s="5"/>
      <c r="DE82" s="171"/>
      <c r="DF82" s="171"/>
      <c r="DG82" s="171"/>
      <c r="DH82" s="171"/>
      <c r="DI82" s="171"/>
      <c r="DJ82" s="171"/>
    </row>
    <row r="83" spans="1:114" s="1163" customFormat="1" hidden="1" outlineLevel="1">
      <c r="A83" s="171"/>
      <c r="B83" s="1164" t="s">
        <v>650</v>
      </c>
      <c r="C83" s="46"/>
      <c r="D83" s="1161"/>
      <c r="E83" s="1161"/>
      <c r="F83" s="1161"/>
      <c r="G83" s="1161"/>
      <c r="H83" s="1161"/>
      <c r="I83" s="1161"/>
      <c r="J83" s="1161"/>
      <c r="K83" s="1161"/>
      <c r="L83" s="1161"/>
      <c r="M83" s="1161"/>
      <c r="N83" s="1161"/>
      <c r="O83" s="1161"/>
      <c r="P83" s="1161"/>
      <c r="Q83" s="1161"/>
      <c r="R83" s="1161"/>
      <c r="S83" s="1161"/>
      <c r="T83" s="1161"/>
      <c r="U83" s="1161"/>
      <c r="V83" s="1161"/>
      <c r="W83" s="1161"/>
      <c r="X83" s="1161"/>
      <c r="Y83" s="1161"/>
      <c r="Z83" s="1161"/>
      <c r="AA83" s="1161"/>
      <c r="AB83" s="1161"/>
      <c r="AC83" s="1161"/>
      <c r="AD83" s="1161"/>
      <c r="AE83" s="1161"/>
      <c r="AF83" s="1161"/>
      <c r="AG83" s="1161"/>
      <c r="AH83" s="1161"/>
      <c r="AI83" s="1161"/>
      <c r="AJ83" s="1161"/>
      <c r="AK83" s="1161"/>
      <c r="AL83" s="1161"/>
      <c r="AM83" s="1161"/>
      <c r="AN83" s="1161"/>
      <c r="AO83" s="1161"/>
      <c r="AP83" s="1161"/>
      <c r="AQ83" s="1161"/>
      <c r="AR83" s="1161"/>
      <c r="AS83" s="1161"/>
      <c r="AT83" s="1161"/>
      <c r="AU83" s="1162"/>
      <c r="AV83" s="1162"/>
      <c r="AW83" s="1162"/>
      <c r="AX83" s="1162"/>
      <c r="AY83" s="1161"/>
      <c r="AZ83" s="1162"/>
      <c r="BA83" s="1162"/>
      <c r="BB83" s="1162"/>
      <c r="BC83" s="1162"/>
      <c r="BD83" s="1161"/>
      <c r="BE83" s="1162"/>
      <c r="BF83" s="1162"/>
      <c r="BG83" s="1162"/>
      <c r="BH83" s="1162"/>
      <c r="BI83" s="1161"/>
      <c r="BJ83" s="1165"/>
      <c r="BK83" s="1165"/>
      <c r="BL83" s="1161"/>
      <c r="BM83" s="1161"/>
      <c r="BN83" s="1161"/>
      <c r="BO83" s="1161"/>
      <c r="BP83" s="1161"/>
      <c r="BQ83" s="1161"/>
      <c r="BR83" s="1161"/>
      <c r="BS83" s="1161"/>
      <c r="BT83" s="1161"/>
      <c r="BU83" s="1161"/>
      <c r="BV83" s="1161"/>
      <c r="BW83" s="1161"/>
      <c r="BX83" s="1161"/>
      <c r="BY83" s="1161"/>
      <c r="BZ83" s="1161"/>
      <c r="CA83" s="1161"/>
      <c r="CB83" s="1161"/>
      <c r="CC83" s="1161"/>
      <c r="CD83" s="1161"/>
      <c r="CE83" s="1161"/>
      <c r="CF83" s="1161"/>
      <c r="CG83" s="1161"/>
      <c r="CH83" s="1161"/>
      <c r="CI83" s="1161"/>
      <c r="CJ83" s="1161">
        <f>CJ69+CJ77</f>
        <v>1078.000000001</v>
      </c>
      <c r="CK83" s="1161">
        <f t="shared" ref="CK83:CV83" si="59">CK69+CK77</f>
        <v>674</v>
      </c>
      <c r="CL83" s="1161">
        <f t="shared" si="59"/>
        <v>604</v>
      </c>
      <c r="CM83" s="1161"/>
      <c r="CN83" s="1161">
        <f t="shared" ca="1" si="59"/>
        <v>808.02631845250721</v>
      </c>
      <c r="CO83" s="1161">
        <f t="shared" ca="1" si="59"/>
        <v>1013.2860213639867</v>
      </c>
      <c r="CP83" s="1161">
        <f t="shared" ca="1" si="59"/>
        <v>1088.105499173693</v>
      </c>
      <c r="CQ83" s="1161">
        <f t="shared" ca="1" si="59"/>
        <v>926.54555942532443</v>
      </c>
      <c r="CR83" s="1161"/>
      <c r="CS83" s="1161">
        <f t="shared" ca="1" si="59"/>
        <v>310.88494895668322</v>
      </c>
      <c r="CT83" s="1161">
        <f t="shared" ca="1" si="59"/>
        <v>474.61248303849936</v>
      </c>
      <c r="CU83" s="1161">
        <f t="shared" ca="1" si="59"/>
        <v>500.16083743763681</v>
      </c>
      <c r="CV83" s="1161">
        <f t="shared" ca="1" si="59"/>
        <v>714.23774281568853</v>
      </c>
      <c r="CW83" s="1161"/>
      <c r="CX83" s="1161">
        <f t="shared" ref="CX83:DA83" ca="1" si="60">CX69+CX77</f>
        <v>283.07015564062908</v>
      </c>
      <c r="CY83" s="1161">
        <f t="shared" ca="1" si="60"/>
        <v>336.79526973413715</v>
      </c>
      <c r="CZ83" s="1161">
        <f t="shared" ca="1" si="60"/>
        <v>453.3926388405722</v>
      </c>
      <c r="DA83" s="1161">
        <f t="shared" ca="1" si="60"/>
        <v>255.53769257557099</v>
      </c>
      <c r="DB83" s="1161"/>
      <c r="DC83" s="5"/>
      <c r="DD83" s="5"/>
      <c r="DE83" s="171"/>
      <c r="DF83" s="171"/>
      <c r="DG83" s="171"/>
      <c r="DH83" s="171"/>
      <c r="DI83" s="171"/>
      <c r="DJ83" s="171"/>
    </row>
    <row r="84" spans="1:114" s="1163" customFormat="1" collapsed="1">
      <c r="A84" s="171"/>
      <c r="B84" s="1164"/>
      <c r="C84" s="46"/>
      <c r="D84" s="1161"/>
      <c r="E84" s="1161"/>
      <c r="F84" s="1161"/>
      <c r="G84" s="1161"/>
      <c r="H84" s="1161"/>
      <c r="I84" s="1161"/>
      <c r="J84" s="1161"/>
      <c r="K84" s="1161"/>
      <c r="L84" s="1161"/>
      <c r="M84" s="1161"/>
      <c r="N84" s="1161"/>
      <c r="O84" s="1161"/>
      <c r="P84" s="1161"/>
      <c r="Q84" s="1161"/>
      <c r="R84" s="1161"/>
      <c r="S84" s="1161"/>
      <c r="T84" s="1161"/>
      <c r="U84" s="1161"/>
      <c r="V84" s="1161"/>
      <c r="W84" s="1161"/>
      <c r="X84" s="1161"/>
      <c r="Y84" s="1161"/>
      <c r="Z84" s="1161"/>
      <c r="AA84" s="1161"/>
      <c r="AB84" s="1161"/>
      <c r="AC84" s="1161"/>
      <c r="AD84" s="1161"/>
      <c r="AE84" s="1161"/>
      <c r="AF84" s="1161"/>
      <c r="AG84" s="1161"/>
      <c r="AH84" s="1161"/>
      <c r="AI84" s="1161"/>
      <c r="AJ84" s="1161"/>
      <c r="AK84" s="1161"/>
      <c r="AL84" s="1161"/>
      <c r="AM84" s="1161"/>
      <c r="AN84" s="1161"/>
      <c r="AO84" s="1161"/>
      <c r="AP84" s="1161"/>
      <c r="AQ84" s="1161"/>
      <c r="AR84" s="1161"/>
      <c r="AS84" s="1161"/>
      <c r="AT84" s="1161"/>
      <c r="AU84" s="1162"/>
      <c r="AV84" s="1162"/>
      <c r="AW84" s="1162"/>
      <c r="AX84" s="1162"/>
      <c r="AY84" s="1161"/>
      <c r="AZ84" s="1162"/>
      <c r="BA84" s="1162"/>
      <c r="BB84" s="1162"/>
      <c r="BC84" s="1162"/>
      <c r="BD84" s="1161"/>
      <c r="BE84" s="1162"/>
      <c r="BF84" s="1162"/>
      <c r="BG84" s="1162"/>
      <c r="BH84" s="1162"/>
      <c r="BI84" s="1161"/>
      <c r="BJ84" s="1165"/>
      <c r="BK84" s="1165"/>
      <c r="BL84" s="1161"/>
      <c r="BM84" s="1161"/>
      <c r="BN84" s="1161"/>
      <c r="BO84" s="1161"/>
      <c r="BP84" s="1161"/>
      <c r="BQ84" s="1161"/>
      <c r="BR84" s="1161"/>
      <c r="BS84" s="1161"/>
      <c r="BT84" s="1161"/>
      <c r="BU84" s="1161"/>
      <c r="BV84" s="1161"/>
      <c r="BW84" s="1161"/>
      <c r="BX84" s="1161"/>
      <c r="BY84" s="1161"/>
      <c r="BZ84" s="1161"/>
      <c r="CA84" s="1161"/>
      <c r="CB84" s="1161"/>
      <c r="CC84" s="1161"/>
      <c r="CD84" s="1161"/>
      <c r="CE84" s="1161"/>
      <c r="CF84" s="1161"/>
      <c r="CG84" s="1161"/>
      <c r="CH84" s="1161"/>
      <c r="CI84" s="1161"/>
      <c r="CJ84" s="1161"/>
      <c r="CK84" s="1161"/>
      <c r="CL84" s="1161"/>
      <c r="CM84" s="1161"/>
      <c r="CN84" s="1161"/>
      <c r="CO84" s="1161"/>
      <c r="CP84" s="1161"/>
      <c r="CQ84" s="1161"/>
      <c r="CR84" s="1161"/>
      <c r="CS84" s="1161"/>
      <c r="CT84" s="1161"/>
      <c r="CU84" s="1161"/>
      <c r="CV84" s="1161"/>
      <c r="CW84" s="1161"/>
      <c r="CX84" s="1161"/>
      <c r="CY84" s="1161"/>
      <c r="CZ84" s="1161"/>
      <c r="DA84" s="1161"/>
      <c r="DB84" s="1161"/>
      <c r="DC84" s="5"/>
      <c r="DD84" s="5"/>
      <c r="DE84" s="171"/>
      <c r="DF84" s="171"/>
      <c r="DG84" s="171"/>
      <c r="DH84" s="171"/>
      <c r="DI84" s="171"/>
      <c r="DJ84" s="171"/>
    </row>
    <row r="85" spans="1:114">
      <c r="A85" s="171"/>
      <c r="B85" s="696" t="s">
        <v>709</v>
      </c>
      <c r="C85" s="169"/>
      <c r="D85" s="209"/>
      <c r="E85" s="209"/>
      <c r="F85" s="209"/>
      <c r="G85" s="212"/>
      <c r="H85" s="212"/>
      <c r="I85" s="212"/>
      <c r="J85" s="212"/>
      <c r="K85" s="209"/>
      <c r="L85" s="212"/>
      <c r="M85" s="212"/>
      <c r="N85" s="212"/>
      <c r="O85" s="212"/>
      <c r="P85" s="209"/>
      <c r="Q85" s="212"/>
      <c r="R85" s="212"/>
      <c r="S85" s="212"/>
      <c r="T85" s="212"/>
      <c r="U85" s="209"/>
      <c r="V85" s="212"/>
      <c r="W85" s="212"/>
      <c r="X85" s="212"/>
      <c r="Y85" s="212"/>
      <c r="Z85" s="209"/>
      <c r="AA85" s="212"/>
      <c r="AB85" s="212"/>
      <c r="AC85" s="212"/>
      <c r="AD85" s="212"/>
      <c r="AE85" s="209"/>
      <c r="AF85" s="212"/>
      <c r="AG85" s="212"/>
      <c r="AH85" s="212"/>
      <c r="AI85" s="212"/>
      <c r="AJ85" s="209"/>
      <c r="AK85" s="212"/>
      <c r="AL85" s="212"/>
      <c r="AM85" s="212"/>
      <c r="AN85" s="212"/>
      <c r="AO85" s="209"/>
      <c r="AP85" s="212"/>
      <c r="AQ85" s="212"/>
      <c r="AR85" s="212"/>
      <c r="AS85" s="212"/>
      <c r="AT85" s="209"/>
      <c r="AU85" s="212"/>
      <c r="AV85" s="212"/>
      <c r="AW85" s="212"/>
      <c r="AX85" s="212"/>
      <c r="AY85" s="209"/>
      <c r="AZ85" s="212"/>
      <c r="BA85" s="212"/>
      <c r="BB85" s="212"/>
      <c r="BC85" s="212"/>
      <c r="BD85" s="209"/>
      <c r="BE85" s="212"/>
      <c r="BF85" s="212"/>
      <c r="BG85" s="212"/>
      <c r="BH85" s="212"/>
      <c r="BI85" s="209"/>
      <c r="BJ85" s="212"/>
      <c r="BK85" s="212"/>
      <c r="BL85" s="212"/>
      <c r="BM85" s="212"/>
      <c r="BN85" s="209"/>
      <c r="BO85" s="212"/>
      <c r="BP85" s="212"/>
      <c r="BQ85" s="212"/>
      <c r="BR85" s="212"/>
      <c r="BS85" s="209"/>
      <c r="BT85" s="212"/>
      <c r="BU85" s="212"/>
      <c r="BV85" s="212"/>
      <c r="BW85" s="212"/>
      <c r="BX85" s="209"/>
      <c r="BY85" s="212"/>
      <c r="BZ85" s="212"/>
      <c r="CA85" s="212"/>
      <c r="CB85" s="212"/>
      <c r="CC85" s="209"/>
      <c r="CD85" s="212"/>
      <c r="CE85" s="212"/>
      <c r="CF85" s="212"/>
      <c r="CG85" s="212"/>
      <c r="CH85" s="209"/>
      <c r="CI85" s="212"/>
      <c r="CJ85" s="212"/>
      <c r="CK85" s="212"/>
      <c r="CL85" s="212"/>
      <c r="CM85" s="209"/>
      <c r="CN85" s="212"/>
      <c r="CO85" s="212"/>
      <c r="CP85" s="212"/>
      <c r="CQ85" s="212"/>
      <c r="CR85" s="209"/>
      <c r="CS85" s="212"/>
      <c r="CT85" s="212"/>
      <c r="CU85" s="212"/>
      <c r="CV85" s="212"/>
      <c r="CW85" s="209"/>
      <c r="CX85" s="212"/>
      <c r="CY85" s="212"/>
      <c r="CZ85" s="212"/>
      <c r="DA85" s="212"/>
      <c r="DB85" s="209"/>
      <c r="DC85" s="5"/>
      <c r="DD85" s="5"/>
      <c r="DE85" s="171"/>
      <c r="DF85" s="171"/>
      <c r="DG85" s="171"/>
      <c r="DH85" s="171"/>
      <c r="DI85" s="171"/>
      <c r="DJ85" s="171"/>
    </row>
    <row r="86" spans="1:114">
      <c r="A86" s="171"/>
      <c r="B86" s="697" t="s">
        <v>360</v>
      </c>
      <c r="C86" s="155"/>
      <c r="D86" s="26"/>
      <c r="E86" s="26"/>
      <c r="F86" s="26"/>
      <c r="G86" s="156"/>
      <c r="H86" s="156"/>
      <c r="I86" s="156"/>
      <c r="J86" s="156"/>
      <c r="K86" s="26"/>
      <c r="L86" s="156"/>
      <c r="M86" s="156"/>
      <c r="N86" s="156"/>
      <c r="O86" s="156"/>
      <c r="P86" s="26"/>
      <c r="Q86" s="156"/>
      <c r="R86" s="156"/>
      <c r="S86" s="156"/>
      <c r="T86" s="156"/>
      <c r="U86" s="26"/>
      <c r="V86" s="156"/>
      <c r="W86" s="156"/>
      <c r="X86" s="156"/>
      <c r="Y86" s="156"/>
      <c r="Z86" s="26"/>
      <c r="AA86" s="156"/>
      <c r="AB86" s="156"/>
      <c r="AC86" s="156"/>
      <c r="AD86" s="156"/>
      <c r="AE86" s="26"/>
      <c r="AF86" s="156"/>
      <c r="AG86" s="156"/>
      <c r="AH86" s="156"/>
      <c r="AI86" s="156"/>
      <c r="AJ86" s="26"/>
      <c r="AK86" s="156"/>
      <c r="AL86" s="156"/>
      <c r="AM86" s="156"/>
      <c r="AN86" s="156"/>
      <c r="AO86" s="26"/>
      <c r="AP86" s="156"/>
      <c r="AQ86" s="156"/>
      <c r="AR86" s="156"/>
      <c r="AS86" s="156"/>
      <c r="AT86" s="26"/>
      <c r="AU86" s="231"/>
      <c r="AV86" s="231"/>
      <c r="AW86" s="231"/>
      <c r="AX86" s="231"/>
      <c r="AY86" s="270"/>
      <c r="AZ86" s="231"/>
      <c r="BA86" s="231"/>
      <c r="BB86" s="231"/>
      <c r="BC86" s="231"/>
      <c r="BD86" s="270"/>
      <c r="BE86" s="231"/>
      <c r="BF86" s="231"/>
      <c r="BG86" s="231"/>
      <c r="BH86" s="231"/>
      <c r="BI86" s="270"/>
      <c r="BJ86" s="231"/>
      <c r="BK86" s="231"/>
      <c r="BL86" s="231"/>
      <c r="BM86" s="220"/>
      <c r="BN86" s="200"/>
      <c r="BO86" s="220"/>
      <c r="BP86" s="220"/>
      <c r="BQ86" s="220"/>
      <c r="BR86" s="220"/>
      <c r="BS86" s="200"/>
      <c r="BT86" s="220">
        <f>AVERAGE(0.375%,0.5%)</f>
        <v>4.3750000000000004E-3</v>
      </c>
      <c r="BU86" s="220">
        <f>AVERAGE(0.375%,0.5%)</f>
        <v>4.3750000000000004E-3</v>
      </c>
      <c r="BV86" s="220">
        <f>AVERAGE(0.375%,0.5%)</f>
        <v>4.3750000000000004E-3</v>
      </c>
      <c r="BW86" s="220">
        <f>AVERAGE(0.375%,0.5%)</f>
        <v>4.3750000000000004E-3</v>
      </c>
      <c r="BX86" s="200"/>
      <c r="BY86" s="220">
        <f>AVERAGE(0.375%,0.5%)</f>
        <v>4.3750000000000004E-3</v>
      </c>
      <c r="BZ86" s="220">
        <f>AVERAGE(0.375%,0.5%)</f>
        <v>4.3750000000000004E-3</v>
      </c>
      <c r="CA86" s="220">
        <f>AVERAGE(0.375%,0.5%)</f>
        <v>4.3750000000000004E-3</v>
      </c>
      <c r="CB86" s="220">
        <f>AVERAGE(0.375%,0.5%)</f>
        <v>4.3750000000000004E-3</v>
      </c>
      <c r="CC86" s="200"/>
      <c r="CD86" s="220">
        <f>AVERAGE(0.375%,0.5%)</f>
        <v>4.3750000000000004E-3</v>
      </c>
      <c r="CE86" s="220">
        <f>AVERAGE(0.375%,0.5%)</f>
        <v>4.3750000000000004E-3</v>
      </c>
      <c r="CF86" s="220">
        <f>AVERAGE(0.375%,0.5%)</f>
        <v>4.3750000000000004E-3</v>
      </c>
      <c r="CG86" s="220">
        <f>AVERAGE(0.375%,0.5%)</f>
        <v>4.3750000000000004E-3</v>
      </c>
      <c r="CH86" s="200"/>
      <c r="CI86" s="220">
        <f>AVERAGE(0.375%,0.5%)</f>
        <v>4.3750000000000004E-3</v>
      </c>
      <c r="CJ86" s="220">
        <f>AVERAGE(0.375%,0.5%)</f>
        <v>4.3750000000000004E-3</v>
      </c>
      <c r="CK86" s="220">
        <f>AVERAGE(0.375%,0.5%)</f>
        <v>4.3750000000000004E-3</v>
      </c>
      <c r="CL86" s="220">
        <f>AVERAGE(0.375%,0.5%)</f>
        <v>4.3750000000000004E-3</v>
      </c>
      <c r="CM86" s="200"/>
      <c r="CN86" s="220">
        <f>AVERAGE(0.375%,0.5%)</f>
        <v>4.3750000000000004E-3</v>
      </c>
      <c r="CO86" s="220">
        <f>AVERAGE(0.375%,0.5%)</f>
        <v>4.3750000000000004E-3</v>
      </c>
      <c r="CP86" s="220">
        <f>AVERAGE(0.375%,0.5%)</f>
        <v>4.3750000000000004E-3</v>
      </c>
      <c r="CQ86" s="220">
        <f>AVERAGE(0.375%,0.5%)</f>
        <v>4.3750000000000004E-3</v>
      </c>
      <c r="CR86" s="200"/>
      <c r="CS86" s="220">
        <f>AVERAGE(0.375%,0.5%)</f>
        <v>4.3750000000000004E-3</v>
      </c>
      <c r="CT86" s="220">
        <f>AVERAGE(0.375%,0.5%)</f>
        <v>4.3750000000000004E-3</v>
      </c>
      <c r="CU86" s="220">
        <f>AVERAGE(0.375%,0.5%)</f>
        <v>4.3750000000000004E-3</v>
      </c>
      <c r="CV86" s="220">
        <f>AVERAGE(0.375%,0.5%)</f>
        <v>4.3750000000000004E-3</v>
      </c>
      <c r="CW86" s="200"/>
      <c r="CX86" s="220">
        <f>AVERAGE(0.375%,0.5%)</f>
        <v>4.3750000000000004E-3</v>
      </c>
      <c r="CY86" s="220">
        <f>AVERAGE(0.375%,0.5%)</f>
        <v>4.3750000000000004E-3</v>
      </c>
      <c r="CZ86" s="220">
        <f>AVERAGE(0.375%,0.5%)</f>
        <v>4.3750000000000004E-3</v>
      </c>
      <c r="DA86" s="220">
        <f>AVERAGE(0.375%,0.5%)</f>
        <v>4.3750000000000004E-3</v>
      </c>
      <c r="DB86" s="200"/>
      <c r="DC86" s="8"/>
      <c r="DD86" s="8"/>
      <c r="DE86" s="171"/>
      <c r="DF86" s="171"/>
      <c r="DG86" s="171"/>
      <c r="DH86" s="171"/>
      <c r="DI86" s="171"/>
      <c r="DJ86" s="171"/>
    </row>
    <row r="87" spans="1:114">
      <c r="A87" s="171"/>
      <c r="B87" s="697" t="s">
        <v>517</v>
      </c>
      <c r="C87" s="38"/>
      <c r="D87" s="201"/>
      <c r="E87" s="201"/>
      <c r="F87" s="201"/>
      <c r="G87" s="166"/>
      <c r="H87" s="166"/>
      <c r="I87" s="166"/>
      <c r="J87" s="166"/>
      <c r="K87" s="201"/>
      <c r="L87" s="166"/>
      <c r="M87" s="166"/>
      <c r="N87" s="166"/>
      <c r="O87" s="166"/>
      <c r="P87" s="201"/>
      <c r="Q87" s="166"/>
      <c r="R87" s="166"/>
      <c r="S87" s="166"/>
      <c r="T87" s="166"/>
      <c r="U87" s="201"/>
      <c r="V87" s="166"/>
      <c r="W87" s="166"/>
      <c r="X87" s="166"/>
      <c r="Y87" s="166"/>
      <c r="Z87" s="201"/>
      <c r="AA87" s="166"/>
      <c r="AB87" s="166"/>
      <c r="AC87" s="166"/>
      <c r="AD87" s="166"/>
      <c r="AE87" s="201"/>
      <c r="AF87" s="166"/>
      <c r="AG87" s="166"/>
      <c r="AH87" s="166"/>
      <c r="AI87" s="166"/>
      <c r="AJ87" s="201"/>
      <c r="AK87" s="166"/>
      <c r="AL87" s="166"/>
      <c r="AM87" s="166"/>
      <c r="AN87" s="166"/>
      <c r="AO87" s="201"/>
      <c r="AP87" s="166"/>
      <c r="AQ87" s="166"/>
      <c r="AR87" s="166"/>
      <c r="AS87" s="166"/>
      <c r="AT87" s="201"/>
      <c r="AU87" s="231"/>
      <c r="AV87" s="231"/>
      <c r="AW87" s="231"/>
      <c r="AX87" s="231"/>
      <c r="AY87" s="270"/>
      <c r="AZ87" s="231"/>
      <c r="BA87" s="231"/>
      <c r="BB87" s="231"/>
      <c r="BC87" s="231"/>
      <c r="BD87" s="270"/>
      <c r="BE87" s="231"/>
      <c r="BF87" s="231"/>
      <c r="BG87" s="231"/>
      <c r="BH87" s="231"/>
      <c r="BI87" s="270"/>
      <c r="BJ87" s="231"/>
      <c r="BK87" s="231"/>
      <c r="BL87" s="231"/>
      <c r="BM87" s="220"/>
      <c r="BN87" s="107"/>
      <c r="BO87" s="220"/>
      <c r="BP87" s="220"/>
      <c r="BQ87" s="220"/>
      <c r="BR87" s="220"/>
      <c r="BS87" s="107"/>
      <c r="BT87" s="220">
        <f>3.5%+0.5%</f>
        <v>0.04</v>
      </c>
      <c r="BU87" s="220">
        <f>3.5%+0.5%</f>
        <v>0.04</v>
      </c>
      <c r="BV87" s="220">
        <f>3.5%+0.5%</f>
        <v>0.04</v>
      </c>
      <c r="BW87" s="220">
        <f>3.5%+0.5%</f>
        <v>0.04</v>
      </c>
      <c r="BX87" s="107"/>
      <c r="BY87" s="220">
        <f>3.5%+0.5%</f>
        <v>0.04</v>
      </c>
      <c r="BZ87" s="220">
        <f>3.5%+0.5%</f>
        <v>0.04</v>
      </c>
      <c r="CA87" s="220">
        <f>3.5%+0.5%</f>
        <v>0.04</v>
      </c>
      <c r="CB87" s="220">
        <f>3.5%+0.5%</f>
        <v>0.04</v>
      </c>
      <c r="CC87" s="107"/>
      <c r="CD87" s="220">
        <f>3.5%+0.5%</f>
        <v>0.04</v>
      </c>
      <c r="CE87" s="220">
        <f>3.5%+0.5%</f>
        <v>0.04</v>
      </c>
      <c r="CF87" s="220">
        <f>3.5%+0.5%</f>
        <v>0.04</v>
      </c>
      <c r="CG87" s="220">
        <f>3.5%+0.5%</f>
        <v>0.04</v>
      </c>
      <c r="CH87" s="107"/>
      <c r="CI87" s="220">
        <f>3.5%+0.5%</f>
        <v>0.04</v>
      </c>
      <c r="CJ87" s="220">
        <f>3.5%+0.5%</f>
        <v>0.04</v>
      </c>
      <c r="CK87" s="220">
        <f>3.5%+0.5%</f>
        <v>0.04</v>
      </c>
      <c r="CL87" s="220">
        <f>3.5%+0.5%</f>
        <v>0.04</v>
      </c>
      <c r="CM87" s="107"/>
      <c r="CN87" s="220">
        <f>3.5%+0.5%</f>
        <v>0.04</v>
      </c>
      <c r="CO87" s="220">
        <f>3.5%+0.5%</f>
        <v>0.04</v>
      </c>
      <c r="CP87" s="220">
        <f>3.5%+0.5%</f>
        <v>0.04</v>
      </c>
      <c r="CQ87" s="220">
        <f>3.5%+0.5%</f>
        <v>0.04</v>
      </c>
      <c r="CR87" s="107"/>
      <c r="CS87" s="220">
        <f>3.5%+0.5%</f>
        <v>0.04</v>
      </c>
      <c r="CT87" s="220">
        <f>3.5%+0.5%</f>
        <v>0.04</v>
      </c>
      <c r="CU87" s="220">
        <f>3.5%+0.5%</f>
        <v>0.04</v>
      </c>
      <c r="CV87" s="220">
        <f>3.5%+0.5%</f>
        <v>0.04</v>
      </c>
      <c r="CW87" s="107"/>
      <c r="CX87" s="220">
        <f>3.5%+0.5%</f>
        <v>0.04</v>
      </c>
      <c r="CY87" s="220">
        <f>3.5%+0.5%</f>
        <v>0.04</v>
      </c>
      <c r="CZ87" s="220">
        <f>3.5%+0.5%</f>
        <v>0.04</v>
      </c>
      <c r="DA87" s="220">
        <f>3.5%+0.5%</f>
        <v>0.04</v>
      </c>
      <c r="DB87" s="107"/>
      <c r="DC87" s="5"/>
      <c r="DD87" s="5"/>
      <c r="DE87" s="171"/>
      <c r="DF87" s="171"/>
      <c r="DG87" s="171"/>
      <c r="DH87" s="171"/>
      <c r="DI87" s="171"/>
      <c r="DJ87" s="171"/>
    </row>
    <row r="88" spans="1:114">
      <c r="A88" s="171"/>
      <c r="B88" s="690" t="s">
        <v>361</v>
      </c>
      <c r="C88" s="38"/>
      <c r="D88" s="201"/>
      <c r="E88" s="201"/>
      <c r="F88" s="201"/>
      <c r="G88" s="166"/>
      <c r="H88" s="166"/>
      <c r="I88" s="166"/>
      <c r="J88" s="166"/>
      <c r="K88" s="201"/>
      <c r="L88" s="166"/>
      <c r="M88" s="166"/>
      <c r="N88" s="166"/>
      <c r="O88" s="166"/>
      <c r="P88" s="201"/>
      <c r="Q88" s="166"/>
      <c r="R88" s="166"/>
      <c r="S88" s="166"/>
      <c r="T88" s="166"/>
      <c r="U88" s="201"/>
      <c r="V88" s="166"/>
      <c r="W88" s="166"/>
      <c r="X88" s="166"/>
      <c r="Y88" s="166"/>
      <c r="Z88" s="201"/>
      <c r="AA88" s="166"/>
      <c r="AB88" s="166"/>
      <c r="AC88" s="166"/>
      <c r="AD88" s="166"/>
      <c r="AE88" s="201"/>
      <c r="AF88" s="166"/>
      <c r="AG88" s="166"/>
      <c r="AH88" s="166"/>
      <c r="AI88" s="166"/>
      <c r="AJ88" s="201"/>
      <c r="AK88" s="166"/>
      <c r="AL88" s="166"/>
      <c r="AM88" s="166"/>
      <c r="AN88" s="166"/>
      <c r="AO88" s="201"/>
      <c r="AP88" s="166"/>
      <c r="AQ88" s="166"/>
      <c r="AR88" s="166"/>
      <c r="AS88" s="166"/>
      <c r="AT88" s="234"/>
      <c r="AU88" s="222"/>
      <c r="AV88" s="222"/>
      <c r="AW88" s="222"/>
      <c r="AX88" s="222"/>
      <c r="AY88" s="234"/>
      <c r="AZ88" s="222"/>
      <c r="BA88" s="222"/>
      <c r="BB88" s="222"/>
      <c r="BC88" s="222"/>
      <c r="BD88" s="234"/>
      <c r="BE88" s="222"/>
      <c r="BF88" s="222"/>
      <c r="BG88" s="222"/>
      <c r="BH88" s="222"/>
      <c r="BI88" s="234"/>
      <c r="BJ88" s="222"/>
      <c r="BK88" s="222"/>
      <c r="BL88" s="222"/>
      <c r="BM88" s="222"/>
      <c r="BN88" s="221"/>
      <c r="BO88" s="222"/>
      <c r="BP88" s="222"/>
      <c r="BQ88" s="222"/>
      <c r="BR88" s="222"/>
      <c r="BS88" s="221">
        <f>BR88</f>
        <v>0</v>
      </c>
      <c r="BT88" s="222">
        <v>2000</v>
      </c>
      <c r="BU88" s="222">
        <f>BT88</f>
        <v>2000</v>
      </c>
      <c r="BV88" s="222">
        <f t="shared" ref="BV88:CH88" si="61">BU88</f>
        <v>2000</v>
      </c>
      <c r="BW88" s="222">
        <f t="shared" si="61"/>
        <v>2000</v>
      </c>
      <c r="BX88" s="221">
        <f t="shared" si="61"/>
        <v>2000</v>
      </c>
      <c r="BY88" s="222">
        <f t="shared" si="61"/>
        <v>2000</v>
      </c>
      <c r="BZ88" s="222">
        <f t="shared" si="61"/>
        <v>2000</v>
      </c>
      <c r="CA88" s="222">
        <f t="shared" si="61"/>
        <v>2000</v>
      </c>
      <c r="CB88" s="222">
        <f t="shared" si="61"/>
        <v>2000</v>
      </c>
      <c r="CC88" s="221">
        <f t="shared" si="61"/>
        <v>2000</v>
      </c>
      <c r="CD88" s="222">
        <f t="shared" si="61"/>
        <v>2000</v>
      </c>
      <c r="CE88" s="222">
        <f t="shared" si="61"/>
        <v>2000</v>
      </c>
      <c r="CF88" s="222">
        <f t="shared" si="61"/>
        <v>2000</v>
      </c>
      <c r="CG88" s="222">
        <f t="shared" si="61"/>
        <v>2000</v>
      </c>
      <c r="CH88" s="221">
        <f t="shared" si="61"/>
        <v>2000</v>
      </c>
      <c r="CI88" s="222">
        <f t="shared" ref="CI88:CW88" si="62">CH88</f>
        <v>2000</v>
      </c>
      <c r="CJ88" s="222">
        <f t="shared" si="62"/>
        <v>2000</v>
      </c>
      <c r="CK88" s="222">
        <f t="shared" si="62"/>
        <v>2000</v>
      </c>
      <c r="CL88" s="222">
        <f t="shared" si="62"/>
        <v>2000</v>
      </c>
      <c r="CM88" s="221">
        <f t="shared" si="62"/>
        <v>2000</v>
      </c>
      <c r="CN88" s="222">
        <f t="shared" si="62"/>
        <v>2000</v>
      </c>
      <c r="CO88" s="222">
        <f t="shared" si="62"/>
        <v>2000</v>
      </c>
      <c r="CP88" s="222">
        <f t="shared" si="62"/>
        <v>2000</v>
      </c>
      <c r="CQ88" s="222">
        <f t="shared" si="62"/>
        <v>2000</v>
      </c>
      <c r="CR88" s="221">
        <f t="shared" si="62"/>
        <v>2000</v>
      </c>
      <c r="CS88" s="222">
        <f t="shared" si="62"/>
        <v>2000</v>
      </c>
      <c r="CT88" s="222">
        <f t="shared" si="62"/>
        <v>2000</v>
      </c>
      <c r="CU88" s="222">
        <f t="shared" si="62"/>
        <v>2000</v>
      </c>
      <c r="CV88" s="222">
        <f t="shared" si="62"/>
        <v>2000</v>
      </c>
      <c r="CW88" s="221">
        <f t="shared" si="62"/>
        <v>2000</v>
      </c>
      <c r="CX88" s="222">
        <f t="shared" ref="CX88" si="63">CW88</f>
        <v>2000</v>
      </c>
      <c r="CY88" s="222">
        <f t="shared" ref="CY88" si="64">CX88</f>
        <v>2000</v>
      </c>
      <c r="CZ88" s="222">
        <f t="shared" ref="CZ88" si="65">CY88</f>
        <v>2000</v>
      </c>
      <c r="DA88" s="222">
        <f t="shared" ref="DA88" si="66">CZ88</f>
        <v>2000</v>
      </c>
      <c r="DB88" s="221">
        <f t="shared" ref="DB88" si="67">DA88</f>
        <v>2000</v>
      </c>
      <c r="DC88" s="5"/>
      <c r="DD88" s="5"/>
      <c r="DE88" s="171"/>
      <c r="DF88" s="171"/>
      <c r="DG88" s="171"/>
      <c r="DH88" s="171"/>
      <c r="DI88" s="171"/>
      <c r="DJ88" s="171"/>
    </row>
    <row r="89" spans="1:114">
      <c r="A89" s="171"/>
      <c r="B89" s="693" t="s">
        <v>518</v>
      </c>
      <c r="C89" s="38"/>
      <c r="D89" s="201"/>
      <c r="E89" s="201"/>
      <c r="F89" s="201"/>
      <c r="G89" s="166"/>
      <c r="H89" s="166"/>
      <c r="I89" s="166"/>
      <c r="J89" s="166"/>
      <c r="K89" s="201"/>
      <c r="L89" s="166"/>
      <c r="M89" s="166"/>
      <c r="N89" s="166"/>
      <c r="O89" s="166"/>
      <c r="P89" s="201"/>
      <c r="Q89" s="166"/>
      <c r="R89" s="166"/>
      <c r="S89" s="166"/>
      <c r="T89" s="166"/>
      <c r="U89" s="201"/>
      <c r="V89" s="166"/>
      <c r="W89" s="166"/>
      <c r="X89" s="166"/>
      <c r="Y89" s="166"/>
      <c r="Z89" s="201"/>
      <c r="AA89" s="166"/>
      <c r="AB89" s="166"/>
      <c r="AC89" s="166"/>
      <c r="AD89" s="166"/>
      <c r="AE89" s="201"/>
      <c r="AF89" s="166"/>
      <c r="AG89" s="166"/>
      <c r="AH89" s="166"/>
      <c r="AI89" s="166"/>
      <c r="AJ89" s="201"/>
      <c r="AK89" s="166"/>
      <c r="AL89" s="166"/>
      <c r="AM89" s="166"/>
      <c r="AN89" s="166"/>
      <c r="AO89" s="201"/>
      <c r="AP89" s="166"/>
      <c r="AQ89" s="166"/>
      <c r="AR89" s="166"/>
      <c r="AS89" s="166"/>
      <c r="AT89" s="221"/>
      <c r="AU89" s="192"/>
      <c r="AV89" s="192"/>
      <c r="AW89" s="192"/>
      <c r="AX89" s="193"/>
      <c r="AY89" s="194"/>
      <c r="AZ89" s="192"/>
      <c r="BA89" s="192"/>
      <c r="BB89" s="192"/>
      <c r="BC89" s="193"/>
      <c r="BD89" s="194"/>
      <c r="BE89" s="192"/>
      <c r="BF89" s="192"/>
      <c r="BG89" s="192"/>
      <c r="BH89" s="193"/>
      <c r="BI89" s="194"/>
      <c r="BJ89" s="193"/>
      <c r="BK89" s="193"/>
      <c r="BL89" s="193"/>
      <c r="BM89" s="193"/>
      <c r="BN89" s="194"/>
      <c r="BO89" s="193"/>
      <c r="BP89" s="193"/>
      <c r="BQ89" s="193"/>
      <c r="BR89" s="193"/>
      <c r="BS89" s="194">
        <f>BN92</f>
        <v>0</v>
      </c>
      <c r="BT89" s="193">
        <f>BR92</f>
        <v>0</v>
      </c>
      <c r="BU89" s="193">
        <f>BT92</f>
        <v>1672</v>
      </c>
      <c r="BV89" s="193">
        <f>BU92</f>
        <v>1668</v>
      </c>
      <c r="BW89" s="193">
        <f>BV92</f>
        <v>1664</v>
      </c>
      <c r="BX89" s="194">
        <f>BS92</f>
        <v>0</v>
      </c>
      <c r="BY89" s="193">
        <f>BW92</f>
        <v>1660</v>
      </c>
      <c r="BZ89" s="193">
        <f>BY92</f>
        <v>1700</v>
      </c>
      <c r="CA89" s="193">
        <f>BZ92</f>
        <v>1696</v>
      </c>
      <c r="CB89" s="193">
        <f>CA92</f>
        <v>1692</v>
      </c>
      <c r="CC89" s="194">
        <f>BX92</f>
        <v>1660</v>
      </c>
      <c r="CD89" s="193">
        <f>CB92</f>
        <v>1687</v>
      </c>
      <c r="CE89" s="193">
        <f>CD92</f>
        <v>1668</v>
      </c>
      <c r="CF89" s="193">
        <f>CE92</f>
        <v>1481</v>
      </c>
      <c r="CG89" s="193">
        <f>CF92</f>
        <v>1481</v>
      </c>
      <c r="CH89" s="194">
        <f>CC92</f>
        <v>1687</v>
      </c>
      <c r="CI89" s="193">
        <f>CG92</f>
        <v>1435</v>
      </c>
      <c r="CJ89" s="193">
        <f>CI92</f>
        <v>0</v>
      </c>
      <c r="CK89" s="193">
        <f>CJ92</f>
        <v>0</v>
      </c>
      <c r="CL89" s="193">
        <f>CK92</f>
        <v>0</v>
      </c>
      <c r="CM89" s="194">
        <f>CH92</f>
        <v>1435</v>
      </c>
      <c r="CN89" s="193">
        <f>CL92</f>
        <v>0</v>
      </c>
      <c r="CO89" s="193">
        <f>CN92</f>
        <v>0</v>
      </c>
      <c r="CP89" s="193">
        <f>CO92</f>
        <v>0</v>
      </c>
      <c r="CQ89" s="193">
        <f>CP92</f>
        <v>0</v>
      </c>
      <c r="CR89" s="194">
        <f>CM92</f>
        <v>0</v>
      </c>
      <c r="CS89" s="193">
        <f>CQ92</f>
        <v>0</v>
      </c>
      <c r="CT89" s="193">
        <f>CS92</f>
        <v>0</v>
      </c>
      <c r="CU89" s="193">
        <f>CT92</f>
        <v>0</v>
      </c>
      <c r="CV89" s="193">
        <f>CU92</f>
        <v>0</v>
      </c>
      <c r="CW89" s="194">
        <f>CR92</f>
        <v>0</v>
      </c>
      <c r="CX89" s="193">
        <f>CV92</f>
        <v>0</v>
      </c>
      <c r="CY89" s="193">
        <f>CX92</f>
        <v>0</v>
      </c>
      <c r="CZ89" s="193">
        <f>CY92</f>
        <v>0</v>
      </c>
      <c r="DA89" s="193">
        <f>CZ92</f>
        <v>0</v>
      </c>
      <c r="DB89" s="194">
        <f>CW92</f>
        <v>0</v>
      </c>
      <c r="DC89" s="5"/>
      <c r="DD89" s="5"/>
      <c r="DE89" s="171"/>
      <c r="DF89" s="171"/>
      <c r="DG89" s="171"/>
      <c r="DH89" s="171"/>
      <c r="DI89" s="171"/>
      <c r="DJ89" s="171"/>
    </row>
    <row r="90" spans="1:114">
      <c r="A90" s="171"/>
      <c r="B90" s="693" t="s">
        <v>654</v>
      </c>
      <c r="C90" s="38"/>
      <c r="D90" s="201"/>
      <c r="E90" s="201"/>
      <c r="F90" s="201"/>
      <c r="G90" s="166"/>
      <c r="H90" s="166"/>
      <c r="I90" s="166"/>
      <c r="J90" s="166"/>
      <c r="K90" s="201"/>
      <c r="L90" s="166"/>
      <c r="M90" s="166"/>
      <c r="N90" s="166"/>
      <c r="O90" s="166"/>
      <c r="P90" s="201"/>
      <c r="Q90" s="166"/>
      <c r="R90" s="166"/>
      <c r="S90" s="166"/>
      <c r="T90" s="166"/>
      <c r="U90" s="201"/>
      <c r="V90" s="166"/>
      <c r="W90" s="166"/>
      <c r="X90" s="166"/>
      <c r="Y90" s="166"/>
      <c r="Z90" s="201"/>
      <c r="AA90" s="166"/>
      <c r="AB90" s="166"/>
      <c r="AC90" s="166"/>
      <c r="AD90" s="166"/>
      <c r="AE90" s="201"/>
      <c r="AF90" s="166"/>
      <c r="AG90" s="166"/>
      <c r="AH90" s="166"/>
      <c r="AI90" s="166"/>
      <c r="AJ90" s="201"/>
      <c r="AK90" s="166"/>
      <c r="AL90" s="166"/>
      <c r="AM90" s="166"/>
      <c r="AN90" s="166"/>
      <c r="AO90" s="201"/>
      <c r="AP90" s="166"/>
      <c r="AQ90" s="166"/>
      <c r="AR90" s="166"/>
      <c r="AS90" s="166"/>
      <c r="AT90" s="221"/>
      <c r="AU90" s="192"/>
      <c r="AV90" s="192"/>
      <c r="AW90" s="192"/>
      <c r="AX90" s="193"/>
      <c r="AY90" s="194"/>
      <c r="AZ90" s="192"/>
      <c r="BA90" s="192"/>
      <c r="BB90" s="192"/>
      <c r="BC90" s="193"/>
      <c r="BD90" s="194"/>
      <c r="BE90" s="192"/>
      <c r="BF90" s="192"/>
      <c r="BG90" s="192"/>
      <c r="BH90" s="193"/>
      <c r="BI90" s="194"/>
      <c r="BJ90" s="193"/>
      <c r="BK90" s="193"/>
      <c r="BL90" s="193"/>
      <c r="BM90" s="193"/>
      <c r="BN90" s="194"/>
      <c r="BO90" s="193"/>
      <c r="BP90" s="193"/>
      <c r="BQ90" s="193"/>
      <c r="BR90" s="193"/>
      <c r="BS90" s="194"/>
      <c r="BT90" s="193"/>
      <c r="BU90" s="193"/>
      <c r="BV90" s="193"/>
      <c r="BW90" s="193"/>
      <c r="BX90" s="194"/>
      <c r="BY90" s="193">
        <f>BY92-BY89</f>
        <v>40</v>
      </c>
      <c r="BZ90" s="193">
        <v>0</v>
      </c>
      <c r="CA90" s="193">
        <v>0</v>
      </c>
      <c r="CB90" s="842">
        <v>0</v>
      </c>
      <c r="CC90" s="194">
        <f>SUM(BY90:CB90)</f>
        <v>40</v>
      </c>
      <c r="CD90" s="1181">
        <v>0</v>
      </c>
      <c r="CE90" s="193">
        <v>0</v>
      </c>
      <c r="CF90" s="193">
        <v>0</v>
      </c>
      <c r="CG90" s="842">
        <v>0</v>
      </c>
      <c r="CH90" s="194">
        <f>SUM(CD90:CG90)</f>
        <v>0</v>
      </c>
      <c r="CI90" s="193">
        <v>0</v>
      </c>
      <c r="CJ90" s="193">
        <v>0</v>
      </c>
      <c r="CK90" s="193">
        <v>0</v>
      </c>
      <c r="CL90" s="842">
        <v>0</v>
      </c>
      <c r="CM90" s="194">
        <f>SUM(CI90:CL90)</f>
        <v>0</v>
      </c>
      <c r="CN90" s="1181">
        <v>0</v>
      </c>
      <c r="CO90" s="193">
        <v>0</v>
      </c>
      <c r="CP90" s="193">
        <v>0</v>
      </c>
      <c r="CQ90" s="842">
        <v>0</v>
      </c>
      <c r="CR90" s="194">
        <f>SUM(CN90:CQ90)</f>
        <v>0</v>
      </c>
      <c r="CS90" s="1181">
        <v>0</v>
      </c>
      <c r="CT90" s="193">
        <v>0</v>
      </c>
      <c r="CU90" s="193">
        <v>0</v>
      </c>
      <c r="CV90" s="842">
        <v>0</v>
      </c>
      <c r="CW90" s="194">
        <f>SUM(CS90:CV90)</f>
        <v>0</v>
      </c>
      <c r="CX90" s="1181">
        <v>0</v>
      </c>
      <c r="CY90" s="193">
        <v>0</v>
      </c>
      <c r="CZ90" s="193">
        <v>0</v>
      </c>
      <c r="DA90" s="842">
        <v>0</v>
      </c>
      <c r="DB90" s="194">
        <f>SUM(CX90:DA90)</f>
        <v>0</v>
      </c>
      <c r="DC90" s="5"/>
      <c r="DD90" s="5"/>
      <c r="DE90" s="171"/>
      <c r="DF90" s="171"/>
      <c r="DG90" s="171"/>
      <c r="DH90" s="171"/>
      <c r="DI90" s="171"/>
      <c r="DJ90" s="171"/>
    </row>
    <row r="91" spans="1:114">
      <c r="A91" s="171"/>
      <c r="B91" s="691" t="s">
        <v>653</v>
      </c>
      <c r="C91" s="33"/>
      <c r="D91" s="206"/>
      <c r="E91" s="206"/>
      <c r="F91" s="206"/>
      <c r="G91" s="214"/>
      <c r="H91" s="214"/>
      <c r="I91" s="214"/>
      <c r="J91" s="214"/>
      <c r="K91" s="206"/>
      <c r="L91" s="214"/>
      <c r="M91" s="214"/>
      <c r="N91" s="214"/>
      <c r="O91" s="214"/>
      <c r="P91" s="206"/>
      <c r="Q91" s="214"/>
      <c r="R91" s="214"/>
      <c r="S91" s="214"/>
      <c r="T91" s="214"/>
      <c r="U91" s="206"/>
      <c r="V91" s="214"/>
      <c r="W91" s="214"/>
      <c r="X91" s="214"/>
      <c r="Y91" s="214"/>
      <c r="Z91" s="206"/>
      <c r="AA91" s="214"/>
      <c r="AB91" s="214"/>
      <c r="AC91" s="214"/>
      <c r="AD91" s="214"/>
      <c r="AE91" s="206"/>
      <c r="AF91" s="214"/>
      <c r="AG91" s="214"/>
      <c r="AH91" s="214"/>
      <c r="AI91" s="214"/>
      <c r="AJ91" s="206"/>
      <c r="AK91" s="214"/>
      <c r="AL91" s="214"/>
      <c r="AM91" s="214"/>
      <c r="AN91" s="214"/>
      <c r="AO91" s="206"/>
      <c r="AP91" s="214"/>
      <c r="AQ91" s="214"/>
      <c r="AR91" s="214"/>
      <c r="AS91" s="214"/>
      <c r="AT91" s="225"/>
      <c r="AU91" s="226"/>
      <c r="AV91" s="226"/>
      <c r="AW91" s="226"/>
      <c r="AX91" s="195"/>
      <c r="AY91" s="197"/>
      <c r="AZ91" s="226"/>
      <c r="BA91" s="226"/>
      <c r="BB91" s="226"/>
      <c r="BC91" s="195"/>
      <c r="BD91" s="197"/>
      <c r="BE91" s="226"/>
      <c r="BF91" s="226"/>
      <c r="BG91" s="226"/>
      <c r="BH91" s="195"/>
      <c r="BI91" s="197"/>
      <c r="BJ91" s="196"/>
      <c r="BK91" s="196"/>
      <c r="BL91" s="196"/>
      <c r="BM91" s="196"/>
      <c r="BN91" s="197"/>
      <c r="BO91" s="196"/>
      <c r="BP91" s="196"/>
      <c r="BQ91" s="196"/>
      <c r="BR91" s="196"/>
      <c r="BS91" s="197">
        <f>SUM(BO91:BR91)</f>
        <v>0</v>
      </c>
      <c r="BT91" s="196">
        <f>BT92-BT89</f>
        <v>1672</v>
      </c>
      <c r="BU91" s="196">
        <f>BU92-BU89</f>
        <v>-4</v>
      </c>
      <c r="BV91" s="196">
        <f>BV92-BV89</f>
        <v>-4</v>
      </c>
      <c r="BW91" s="196">
        <f>BW92-BW89</f>
        <v>-4</v>
      </c>
      <c r="BX91" s="197">
        <f>SUM(BT91:BW91)</f>
        <v>1660</v>
      </c>
      <c r="BY91" s="1179">
        <v>0</v>
      </c>
      <c r="BZ91" s="196">
        <f>BZ92-BZ89</f>
        <v>-4</v>
      </c>
      <c r="CA91" s="196">
        <f>CA92-CA89</f>
        <v>-4</v>
      </c>
      <c r="CB91" s="196">
        <f>CB92-CB89</f>
        <v>-5</v>
      </c>
      <c r="CC91" s="197">
        <f>SUM(BY91:CB91)</f>
        <v>-13</v>
      </c>
      <c r="CD91" s="196">
        <f>CD92-CD89</f>
        <v>-19</v>
      </c>
      <c r="CE91" s="196">
        <f>CE92-CE89</f>
        <v>-187</v>
      </c>
      <c r="CF91" s="196">
        <v>0</v>
      </c>
      <c r="CG91" s="196">
        <f>+CG92-CG89</f>
        <v>-46</v>
      </c>
      <c r="CH91" s="197">
        <f>SUM(CD91:CG91)</f>
        <v>-252</v>
      </c>
      <c r="CI91" s="196">
        <f>+CI92-CI89</f>
        <v>-1435</v>
      </c>
      <c r="CJ91" s="196">
        <v>0</v>
      </c>
      <c r="CK91" s="196">
        <v>0</v>
      </c>
      <c r="CL91" s="196">
        <v>0</v>
      </c>
      <c r="CM91" s="197">
        <f>SUM(CI91:CL91)</f>
        <v>-1435</v>
      </c>
      <c r="CN91" s="196">
        <v>0</v>
      </c>
      <c r="CO91" s="196">
        <v>0</v>
      </c>
      <c r="CP91" s="196">
        <v>0</v>
      </c>
      <c r="CQ91" s="196">
        <v>0</v>
      </c>
      <c r="CR91" s="197">
        <f>SUM(CN91:CQ91)</f>
        <v>0</v>
      </c>
      <c r="CS91" s="196">
        <v>0</v>
      </c>
      <c r="CT91" s="196">
        <v>0</v>
      </c>
      <c r="CU91" s="196">
        <v>0</v>
      </c>
      <c r="CV91" s="196">
        <v>0</v>
      </c>
      <c r="CW91" s="197">
        <f>SUM(CS91:CV91)</f>
        <v>0</v>
      </c>
      <c r="CX91" s="196">
        <v>0</v>
      </c>
      <c r="CY91" s="196">
        <v>0</v>
      </c>
      <c r="CZ91" s="196">
        <v>0</v>
      </c>
      <c r="DA91" s="196">
        <v>0</v>
      </c>
      <c r="DB91" s="197">
        <f>SUM(CX91:DA91)</f>
        <v>0</v>
      </c>
      <c r="DC91" s="5"/>
      <c r="DD91" s="5"/>
      <c r="DE91" s="171"/>
      <c r="DF91" s="171"/>
      <c r="DG91" s="171"/>
      <c r="DH91" s="171"/>
      <c r="DI91" s="171"/>
      <c r="DJ91" s="171"/>
    </row>
    <row r="92" spans="1:114">
      <c r="A92" s="171"/>
      <c r="B92" s="693" t="s">
        <v>519</v>
      </c>
      <c r="C92" s="38"/>
      <c r="D92" s="201"/>
      <c r="E92" s="201"/>
      <c r="F92" s="201"/>
      <c r="G92" s="166"/>
      <c r="H92" s="166"/>
      <c r="I92" s="166"/>
      <c r="J92" s="166"/>
      <c r="K92" s="201"/>
      <c r="L92" s="166"/>
      <c r="M92" s="166"/>
      <c r="N92" s="166"/>
      <c r="O92" s="166"/>
      <c r="P92" s="201"/>
      <c r="Q92" s="166"/>
      <c r="R92" s="166"/>
      <c r="S92" s="166"/>
      <c r="T92" s="166"/>
      <c r="U92" s="201"/>
      <c r="V92" s="166"/>
      <c r="W92" s="166"/>
      <c r="X92" s="166"/>
      <c r="Y92" s="166"/>
      <c r="Z92" s="201"/>
      <c r="AA92" s="166"/>
      <c r="AB92" s="166"/>
      <c r="AC92" s="166"/>
      <c r="AD92" s="166"/>
      <c r="AE92" s="201"/>
      <c r="AF92" s="166"/>
      <c r="AG92" s="166"/>
      <c r="AH92" s="166"/>
      <c r="AI92" s="166"/>
      <c r="AJ92" s="201"/>
      <c r="AK92" s="166"/>
      <c r="AL92" s="166"/>
      <c r="AM92" s="166"/>
      <c r="AN92" s="166"/>
      <c r="AO92" s="201"/>
      <c r="AP92" s="166"/>
      <c r="AQ92" s="166"/>
      <c r="AR92" s="166"/>
      <c r="AS92" s="166"/>
      <c r="AT92" s="234"/>
      <c r="AU92" s="192"/>
      <c r="AV92" s="192"/>
      <c r="AW92" s="192"/>
      <c r="AX92" s="192"/>
      <c r="AY92" s="272"/>
      <c r="AZ92" s="192"/>
      <c r="BA92" s="192"/>
      <c r="BB92" s="192"/>
      <c r="BC92" s="192"/>
      <c r="BD92" s="272"/>
      <c r="BE92" s="192"/>
      <c r="BF92" s="192"/>
      <c r="BG92" s="192"/>
      <c r="BH92" s="192"/>
      <c r="BI92" s="272"/>
      <c r="BJ92" s="198"/>
      <c r="BK92" s="198"/>
      <c r="BL92" s="193"/>
      <c r="BM92" s="198"/>
      <c r="BN92" s="194"/>
      <c r="BO92" s="198"/>
      <c r="BP92" s="198"/>
      <c r="BQ92" s="550"/>
      <c r="BR92" s="193"/>
      <c r="BS92" s="194">
        <f>BR92</f>
        <v>0</v>
      </c>
      <c r="BT92" s="550">
        <v>1672</v>
      </c>
      <c r="BU92" s="550">
        <v>1668</v>
      </c>
      <c r="BV92" s="583">
        <v>1664</v>
      </c>
      <c r="BW92" s="583">
        <v>1660</v>
      </c>
      <c r="BX92" s="194">
        <f>BW92</f>
        <v>1660</v>
      </c>
      <c r="BY92" s="550">
        <v>1700</v>
      </c>
      <c r="BZ92" s="583">
        <v>1696</v>
      </c>
      <c r="CA92" s="583">
        <v>1692</v>
      </c>
      <c r="CB92" s="583">
        <v>1687</v>
      </c>
      <c r="CC92" s="194">
        <f>CB92</f>
        <v>1687</v>
      </c>
      <c r="CD92" s="583">
        <v>1668</v>
      </c>
      <c r="CE92" s="583">
        <v>1481</v>
      </c>
      <c r="CF92" s="193">
        <f>SUM(CF89:CF91)</f>
        <v>1481</v>
      </c>
      <c r="CG92" s="583">
        <v>1435</v>
      </c>
      <c r="CH92" s="194">
        <f>CG92</f>
        <v>1435</v>
      </c>
      <c r="CI92" s="583">
        <v>0</v>
      </c>
      <c r="CJ92" s="193">
        <f>SUM(CJ89:CJ91)</f>
        <v>0</v>
      </c>
      <c r="CK92" s="193">
        <f>SUM(CK89:CK91)</f>
        <v>0</v>
      </c>
      <c r="CL92" s="193">
        <f>SUM(CL89:CL91)</f>
        <v>0</v>
      </c>
      <c r="CM92" s="194">
        <f>CL92</f>
        <v>0</v>
      </c>
      <c r="CN92" s="193">
        <f>SUM(CN89:CN91)</f>
        <v>0</v>
      </c>
      <c r="CO92" s="193">
        <f>SUM(CO89:CO91)</f>
        <v>0</v>
      </c>
      <c r="CP92" s="193">
        <f>SUM(CP89:CP91)</f>
        <v>0</v>
      </c>
      <c r="CQ92" s="193">
        <f>SUM(CQ89:CQ91)</f>
        <v>0</v>
      </c>
      <c r="CR92" s="194">
        <f>CQ92</f>
        <v>0</v>
      </c>
      <c r="CS92" s="193">
        <f>SUM(CS89:CS91)</f>
        <v>0</v>
      </c>
      <c r="CT92" s="193">
        <f>SUM(CT89:CT91)</f>
        <v>0</v>
      </c>
      <c r="CU92" s="193">
        <f>SUM(CU89:CU91)</f>
        <v>0</v>
      </c>
      <c r="CV92" s="193">
        <f>SUM(CV89:CV91)</f>
        <v>0</v>
      </c>
      <c r="CW92" s="194">
        <f>CV92</f>
        <v>0</v>
      </c>
      <c r="CX92" s="193">
        <f>SUM(CX89:CX91)</f>
        <v>0</v>
      </c>
      <c r="CY92" s="193">
        <f>SUM(CY89:CY91)</f>
        <v>0</v>
      </c>
      <c r="CZ92" s="193">
        <f>SUM(CZ89:CZ91)</f>
        <v>0</v>
      </c>
      <c r="DA92" s="193">
        <f>SUM(DA89:DA91)</f>
        <v>0</v>
      </c>
      <c r="DB92" s="194">
        <f>DA92</f>
        <v>0</v>
      </c>
      <c r="DC92" s="5"/>
      <c r="DD92" s="5"/>
      <c r="DE92" s="171"/>
      <c r="DF92" s="171"/>
      <c r="DG92" s="699"/>
      <c r="DH92" s="699"/>
      <c r="DI92" s="699"/>
      <c r="DJ92" s="699"/>
    </row>
    <row r="93" spans="1:114">
      <c r="A93" s="171"/>
      <c r="B93" s="690" t="s">
        <v>362</v>
      </c>
      <c r="C93" s="38"/>
      <c r="D93" s="201"/>
      <c r="E93" s="201"/>
      <c r="F93" s="201"/>
      <c r="G93" s="166"/>
      <c r="H93" s="166"/>
      <c r="I93" s="166"/>
      <c r="J93" s="166"/>
      <c r="K93" s="201"/>
      <c r="L93" s="166"/>
      <c r="M93" s="166"/>
      <c r="N93" s="166"/>
      <c r="O93" s="166"/>
      <c r="P93" s="201"/>
      <c r="Q93" s="166"/>
      <c r="R93" s="166"/>
      <c r="S93" s="166"/>
      <c r="T93" s="166"/>
      <c r="U93" s="201"/>
      <c r="V93" s="166"/>
      <c r="W93" s="166"/>
      <c r="X93" s="166"/>
      <c r="Y93" s="166"/>
      <c r="Z93" s="201"/>
      <c r="AA93" s="166"/>
      <c r="AB93" s="166"/>
      <c r="AC93" s="166"/>
      <c r="AD93" s="166"/>
      <c r="AE93" s="201"/>
      <c r="AF93" s="166"/>
      <c r="AG93" s="166"/>
      <c r="AH93" s="166"/>
      <c r="AI93" s="166"/>
      <c r="AJ93" s="201"/>
      <c r="AK93" s="166"/>
      <c r="AL93" s="166"/>
      <c r="AM93" s="166"/>
      <c r="AN93" s="166"/>
      <c r="AO93" s="201"/>
      <c r="AP93" s="166"/>
      <c r="AQ93" s="166"/>
      <c r="AR93" s="166"/>
      <c r="AS93" s="166"/>
      <c r="AT93" s="221"/>
      <c r="AU93" s="193"/>
      <c r="AV93" s="192"/>
      <c r="AW93" s="192"/>
      <c r="AX93" s="193"/>
      <c r="AY93" s="194"/>
      <c r="AZ93" s="193"/>
      <c r="BA93" s="192"/>
      <c r="BB93" s="192"/>
      <c r="BC93" s="193"/>
      <c r="BD93" s="194"/>
      <c r="BE93" s="193"/>
      <c r="BF93" s="192"/>
      <c r="BG93" s="192"/>
      <c r="BH93" s="193"/>
      <c r="BI93" s="194"/>
      <c r="BJ93" s="193"/>
      <c r="BK93" s="193"/>
      <c r="BL93" s="193"/>
      <c r="BM93" s="193"/>
      <c r="BN93" s="194"/>
      <c r="BO93" s="193"/>
      <c r="BP93" s="193"/>
      <c r="BQ93" s="193"/>
      <c r="BR93" s="193"/>
      <c r="BS93" s="194">
        <f>BR93</f>
        <v>0</v>
      </c>
      <c r="BT93" s="193">
        <f>BT88-BT92</f>
        <v>328</v>
      </c>
      <c r="BU93" s="193">
        <f>BU88-BU92</f>
        <v>332</v>
      </c>
      <c r="BV93" s="193">
        <f>BV88-BV92</f>
        <v>336</v>
      </c>
      <c r="BW93" s="193">
        <f>BW88-BW92</f>
        <v>340</v>
      </c>
      <c r="BX93" s="194">
        <f>BW93</f>
        <v>340</v>
      </c>
      <c r="BY93" s="193">
        <f>BY88-BY92</f>
        <v>300</v>
      </c>
      <c r="BZ93" s="193">
        <f>BZ88-BZ92</f>
        <v>304</v>
      </c>
      <c r="CA93" s="193">
        <f>CA88-CA92</f>
        <v>308</v>
      </c>
      <c r="CB93" s="193">
        <f>CB88-CB92</f>
        <v>313</v>
      </c>
      <c r="CC93" s="194">
        <f>CB93</f>
        <v>313</v>
      </c>
      <c r="CD93" s="193">
        <f>CD88-CD92</f>
        <v>332</v>
      </c>
      <c r="CE93" s="193">
        <f>CE88-CE92</f>
        <v>519</v>
      </c>
      <c r="CF93" s="193">
        <f>CF88-CF92</f>
        <v>519</v>
      </c>
      <c r="CG93" s="193">
        <f>CG88-CG92</f>
        <v>565</v>
      </c>
      <c r="CH93" s="194">
        <f>CG93</f>
        <v>565</v>
      </c>
      <c r="CI93" s="193">
        <f>CI88-CI92</f>
        <v>2000</v>
      </c>
      <c r="CJ93" s="193">
        <f>CJ88-CJ92</f>
        <v>2000</v>
      </c>
      <c r="CK93" s="193">
        <f>CK88-CK92</f>
        <v>2000</v>
      </c>
      <c r="CL93" s="193">
        <f>CL88-CL92</f>
        <v>2000</v>
      </c>
      <c r="CM93" s="194">
        <f>CL93</f>
        <v>2000</v>
      </c>
      <c r="CN93" s="193">
        <f>CN88-CN92</f>
        <v>2000</v>
      </c>
      <c r="CO93" s="193">
        <f>CO88-CO92</f>
        <v>2000</v>
      </c>
      <c r="CP93" s="193">
        <f>CP88-CP92</f>
        <v>2000</v>
      </c>
      <c r="CQ93" s="193">
        <f>CQ88-CQ92</f>
        <v>2000</v>
      </c>
      <c r="CR93" s="194">
        <f>CQ93</f>
        <v>2000</v>
      </c>
      <c r="CS93" s="193">
        <f>CS88-CS92</f>
        <v>2000</v>
      </c>
      <c r="CT93" s="193">
        <f>CT88-CT92</f>
        <v>2000</v>
      </c>
      <c r="CU93" s="193">
        <f>CU88-CU92</f>
        <v>2000</v>
      </c>
      <c r="CV93" s="193">
        <f>CV88-CV92</f>
        <v>2000</v>
      </c>
      <c r="CW93" s="194">
        <f>CV93</f>
        <v>2000</v>
      </c>
      <c r="CX93" s="193">
        <f>CX88-CX92</f>
        <v>2000</v>
      </c>
      <c r="CY93" s="193">
        <f>CY88-CY92</f>
        <v>2000</v>
      </c>
      <c r="CZ93" s="193">
        <f>CZ88-CZ92</f>
        <v>2000</v>
      </c>
      <c r="DA93" s="193">
        <f>DA88-DA92</f>
        <v>2000</v>
      </c>
      <c r="DB93" s="194">
        <f>DA93</f>
        <v>2000</v>
      </c>
      <c r="DC93" s="5"/>
      <c r="DD93" s="5"/>
      <c r="DE93" s="171"/>
      <c r="DF93" s="171"/>
      <c r="DG93" s="699"/>
      <c r="DH93" s="699"/>
      <c r="DI93" s="699"/>
      <c r="DJ93" s="699"/>
    </row>
    <row r="94" spans="1:114">
      <c r="A94" s="700"/>
      <c r="B94" s="693" t="s">
        <v>520</v>
      </c>
      <c r="C94" s="38"/>
      <c r="D94" s="168"/>
      <c r="E94" s="168"/>
      <c r="F94" s="168"/>
      <c r="G94" s="158"/>
      <c r="H94" s="158"/>
      <c r="I94" s="158"/>
      <c r="J94" s="158"/>
      <c r="K94" s="168"/>
      <c r="L94" s="158"/>
      <c r="M94" s="158"/>
      <c r="N94" s="158"/>
      <c r="O94" s="158"/>
      <c r="P94" s="168"/>
      <c r="Q94" s="158"/>
      <c r="R94" s="158"/>
      <c r="S94" s="158"/>
      <c r="T94" s="158"/>
      <c r="U94" s="168"/>
      <c r="V94" s="158"/>
      <c r="W94" s="158"/>
      <c r="X94" s="158"/>
      <c r="Y94" s="158"/>
      <c r="Z94" s="168"/>
      <c r="AA94" s="158"/>
      <c r="AB94" s="158"/>
      <c r="AC94" s="158"/>
      <c r="AD94" s="158"/>
      <c r="AE94" s="168"/>
      <c r="AF94" s="158"/>
      <c r="AG94" s="158"/>
      <c r="AH94" s="158"/>
      <c r="AI94" s="158"/>
      <c r="AJ94" s="168"/>
      <c r="AK94" s="158"/>
      <c r="AL94" s="158"/>
      <c r="AM94" s="158"/>
      <c r="AN94" s="158"/>
      <c r="AO94" s="168"/>
      <c r="AP94" s="158"/>
      <c r="AQ94" s="158"/>
      <c r="AR94" s="158"/>
      <c r="AS94" s="158"/>
      <c r="AT94" s="235"/>
      <c r="AU94" s="192"/>
      <c r="AV94" s="192"/>
      <c r="AW94" s="192"/>
      <c r="AX94" s="192"/>
      <c r="AY94" s="194"/>
      <c r="AZ94" s="192"/>
      <c r="BA94" s="192"/>
      <c r="BB94" s="192"/>
      <c r="BC94" s="192"/>
      <c r="BD94" s="194"/>
      <c r="BE94" s="192"/>
      <c r="BF94" s="192"/>
      <c r="BG94" s="192"/>
      <c r="BH94" s="192"/>
      <c r="BI94" s="194"/>
      <c r="BJ94" s="192"/>
      <c r="BK94" s="192"/>
      <c r="BL94" s="192"/>
      <c r="BM94" s="192"/>
      <c r="BN94" s="194"/>
      <c r="BO94" s="192"/>
      <c r="BP94" s="192"/>
      <c r="BQ94" s="192"/>
      <c r="BR94" s="192"/>
      <c r="BS94" s="194">
        <f>SUM(BO94:BR94)</f>
        <v>0</v>
      </c>
      <c r="BT94" s="192">
        <f>BT87/4*AVERAGE(BT92,BT92,0)</f>
        <v>11.146666666666668</v>
      </c>
      <c r="BU94" s="192">
        <f>BU87/4*AVERAGE(BU92,BU89)</f>
        <v>16.7</v>
      </c>
      <c r="BV94" s="192">
        <f>BV87/4*AVERAGE(BV92,BV89)</f>
        <v>16.66</v>
      </c>
      <c r="BW94" s="192">
        <f>BW87/4*AVERAGE(BW92,BW89)</f>
        <v>16.62</v>
      </c>
      <c r="BX94" s="194">
        <f>SUM(BT94:BW94)</f>
        <v>61.126666666666665</v>
      </c>
      <c r="BY94" s="192">
        <f>BY87/4*AVERAGE(BY92,BY89)</f>
        <v>16.8</v>
      </c>
      <c r="BZ94" s="192">
        <f>BZ87/4*AVERAGE(BZ92,BZ89)</f>
        <v>16.98</v>
      </c>
      <c r="CA94" s="192">
        <f>CA87/4*AVERAGE(CA92,CA89)</f>
        <v>16.940000000000001</v>
      </c>
      <c r="CB94" s="192">
        <f>CB87/4*AVERAGE(CB92,CB89)</f>
        <v>16.895</v>
      </c>
      <c r="CC94" s="194">
        <f>SUM(BY94:CB94)</f>
        <v>67.614999999999995</v>
      </c>
      <c r="CD94" s="192">
        <f>CD87/4*AVERAGE(CD92,CD89)</f>
        <v>16.774999999999999</v>
      </c>
      <c r="CE94" s="192">
        <f>CE87/4*AVERAGE(CE92,CE89)</f>
        <v>15.745000000000001</v>
      </c>
      <c r="CF94" s="192">
        <f>CF87/4*AVERAGE(CF92,CF89)</f>
        <v>14.81</v>
      </c>
      <c r="CG94" s="192">
        <f>CG87/4*AVERAGE(CG92,CG89)</f>
        <v>14.58</v>
      </c>
      <c r="CH94" s="194">
        <f>SUM(CD94:CG94)</f>
        <v>61.91</v>
      </c>
      <c r="CI94" s="192">
        <f>CI87/4*AVERAGE(CI92,CI89)</f>
        <v>7.1749999999999998</v>
      </c>
      <c r="CJ94" s="192">
        <f>CJ87/4*AVERAGE(CJ92,CJ89)</f>
        <v>0</v>
      </c>
      <c r="CK94" s="192">
        <f>CK87/4*AVERAGE(CK92,CK89)</f>
        <v>0</v>
      </c>
      <c r="CL94" s="192">
        <f>CL87/4*AVERAGE(CL92,CL89)</f>
        <v>0</v>
      </c>
      <c r="CM94" s="194">
        <f>SUM(CI94:CL94)</f>
        <v>7.1749999999999998</v>
      </c>
      <c r="CN94" s="192">
        <f>CN87/4*AVERAGE(CN92,CN89)</f>
        <v>0</v>
      </c>
      <c r="CO94" s="192">
        <f>CO87/4*AVERAGE(CO92,CO89)</f>
        <v>0</v>
      </c>
      <c r="CP94" s="192">
        <f>CP87/4*AVERAGE(CP92,CP89)</f>
        <v>0</v>
      </c>
      <c r="CQ94" s="192">
        <f>CQ87/4*AVERAGE(CQ92,CQ89)</f>
        <v>0</v>
      </c>
      <c r="CR94" s="194">
        <f>SUM(CN94:CQ94)</f>
        <v>0</v>
      </c>
      <c r="CS94" s="192">
        <f>CS87/4*AVERAGE(CS92,CS89)</f>
        <v>0</v>
      </c>
      <c r="CT94" s="192">
        <f>CT87/4*AVERAGE(CT92,CT89)</f>
        <v>0</v>
      </c>
      <c r="CU94" s="192">
        <f>CU87/4*AVERAGE(CU92,CU89)</f>
        <v>0</v>
      </c>
      <c r="CV94" s="192">
        <f>CV87/4*AVERAGE(CV92,CV89)</f>
        <v>0</v>
      </c>
      <c r="CW94" s="194">
        <f>SUM(CS94:CV94)</f>
        <v>0</v>
      </c>
      <c r="CX94" s="192">
        <f>CX87/4*AVERAGE(CX92,CX89)</f>
        <v>0</v>
      </c>
      <c r="CY94" s="192">
        <f>CY87/4*AVERAGE(CY92,CY89)</f>
        <v>0</v>
      </c>
      <c r="CZ94" s="192">
        <f>CZ87/4*AVERAGE(CZ92,CZ89)</f>
        <v>0</v>
      </c>
      <c r="DA94" s="192">
        <f>DA87/4*AVERAGE(DA92,DA89)</f>
        <v>0</v>
      </c>
      <c r="DB94" s="194">
        <f>SUM(CX94:DA94)</f>
        <v>0</v>
      </c>
      <c r="DC94" s="5"/>
      <c r="DD94" s="5"/>
      <c r="DE94" s="171"/>
      <c r="DF94" s="171"/>
      <c r="DG94" s="699"/>
      <c r="DH94" s="699"/>
      <c r="DI94" s="699"/>
      <c r="DJ94" s="699"/>
    </row>
    <row r="95" spans="1:114">
      <c r="A95" s="700"/>
      <c r="B95" s="691" t="s">
        <v>363</v>
      </c>
      <c r="C95" s="33"/>
      <c r="D95" s="206"/>
      <c r="E95" s="206"/>
      <c r="F95" s="206"/>
      <c r="G95" s="214"/>
      <c r="H95" s="214"/>
      <c r="I95" s="214"/>
      <c r="J95" s="214"/>
      <c r="K95" s="206"/>
      <c r="L95" s="214"/>
      <c r="M95" s="214"/>
      <c r="N95" s="214"/>
      <c r="O95" s="214"/>
      <c r="P95" s="206"/>
      <c r="Q95" s="214"/>
      <c r="R95" s="214"/>
      <c r="S95" s="214"/>
      <c r="T95" s="214"/>
      <c r="U95" s="206"/>
      <c r="V95" s="214"/>
      <c r="W95" s="214"/>
      <c r="X95" s="214"/>
      <c r="Y95" s="214"/>
      <c r="Z95" s="206"/>
      <c r="AA95" s="214"/>
      <c r="AB95" s="214"/>
      <c r="AC95" s="214"/>
      <c r="AD95" s="214"/>
      <c r="AE95" s="206"/>
      <c r="AF95" s="214"/>
      <c r="AG95" s="214"/>
      <c r="AH95" s="214"/>
      <c r="AI95" s="214"/>
      <c r="AJ95" s="206"/>
      <c r="AK95" s="214"/>
      <c r="AL95" s="214"/>
      <c r="AM95" s="214"/>
      <c r="AN95" s="214"/>
      <c r="AO95" s="206"/>
      <c r="AP95" s="214"/>
      <c r="AQ95" s="214"/>
      <c r="AR95" s="214"/>
      <c r="AS95" s="214"/>
      <c r="AT95" s="225"/>
      <c r="AU95" s="230"/>
      <c r="AV95" s="226"/>
      <c r="AW95" s="226"/>
      <c r="AX95" s="230"/>
      <c r="AY95" s="197"/>
      <c r="AZ95" s="230"/>
      <c r="BA95" s="226"/>
      <c r="BB95" s="226"/>
      <c r="BC95" s="230"/>
      <c r="BD95" s="197"/>
      <c r="BE95" s="230"/>
      <c r="BF95" s="226"/>
      <c r="BG95" s="226"/>
      <c r="BH95" s="230"/>
      <c r="BI95" s="197"/>
      <c r="BJ95" s="230"/>
      <c r="BK95" s="230"/>
      <c r="BL95" s="230"/>
      <c r="BM95" s="230"/>
      <c r="BN95" s="197"/>
      <c r="BO95" s="230"/>
      <c r="BP95" s="230"/>
      <c r="BQ95" s="230"/>
      <c r="BR95" s="230"/>
      <c r="BS95" s="197"/>
      <c r="BT95" s="230">
        <f>BT86/4*(AVERAGE(BT93,BS93))</f>
        <v>0.17937500000000001</v>
      </c>
      <c r="BU95" s="230">
        <f>BU86/4*(AVERAGE(BU93,BT93))</f>
        <v>0.36093750000000002</v>
      </c>
      <c r="BV95" s="230">
        <f>BV86/4*(AVERAGE(BV93,BU93))</f>
        <v>0.36531250000000004</v>
      </c>
      <c r="BW95" s="230">
        <f>BW86/4*(AVERAGE(BW93,BV93))</f>
        <v>0.36968750000000006</v>
      </c>
      <c r="BX95" s="197"/>
      <c r="BY95" s="230">
        <f>BY86/4*(AVERAGE(BY93,BX93))</f>
        <v>0.35000000000000003</v>
      </c>
      <c r="BZ95" s="230">
        <f>BZ86/4*(AVERAGE(BZ93,BY93))</f>
        <v>0.33031250000000001</v>
      </c>
      <c r="CA95" s="230">
        <f>CA86/4*(AVERAGE(CA93,BZ93))</f>
        <v>0.33468750000000003</v>
      </c>
      <c r="CB95" s="230">
        <f>CB86/4*(AVERAGE(CB93,CA93))</f>
        <v>0.33960937500000005</v>
      </c>
      <c r="CC95" s="197"/>
      <c r="CD95" s="230">
        <f>CD86/4*(AVERAGE(CD93,CC93))</f>
        <v>0.35273437500000004</v>
      </c>
      <c r="CE95" s="230">
        <f>CE86/4*(AVERAGE(CE93,CD93))</f>
        <v>0.46539062500000006</v>
      </c>
      <c r="CF95" s="230">
        <f>CF86/4*(AVERAGE(CF93,CE93))</f>
        <v>0.56765625000000008</v>
      </c>
      <c r="CG95" s="230">
        <f>CG86/4*(AVERAGE(CG93,CF93))</f>
        <v>0.59281250000000008</v>
      </c>
      <c r="CH95" s="197"/>
      <c r="CI95" s="230">
        <f>CI86/4*(AVERAGE(CI93,CH93))</f>
        <v>1.4027343750000001</v>
      </c>
      <c r="CJ95" s="230">
        <f>CJ86/4*(AVERAGE(CJ93,CI93))</f>
        <v>2.1875</v>
      </c>
      <c r="CK95" s="230">
        <f>CK86/4*(AVERAGE(CK93,CJ93))</f>
        <v>2.1875</v>
      </c>
      <c r="CL95" s="230">
        <f>CL86/4*(AVERAGE(CL93,CK93))</f>
        <v>2.1875</v>
      </c>
      <c r="CM95" s="197"/>
      <c r="CN95" s="230">
        <f>CN86/4*(AVERAGE(CN93,CM93))</f>
        <v>2.1875</v>
      </c>
      <c r="CO95" s="230">
        <f>CO86/4*(AVERAGE(CO93,CN93))</f>
        <v>2.1875</v>
      </c>
      <c r="CP95" s="230">
        <f>CP86/4*(AVERAGE(CP93,CO93))</f>
        <v>2.1875</v>
      </c>
      <c r="CQ95" s="230">
        <f>CQ86/4*(AVERAGE(CQ93,CP93))</f>
        <v>2.1875</v>
      </c>
      <c r="CR95" s="197">
        <f>SUM(CN95:CQ95)</f>
        <v>8.75</v>
      </c>
      <c r="CS95" s="230">
        <f>CS86/4*(AVERAGE(CS93,CR93))</f>
        <v>2.1875</v>
      </c>
      <c r="CT95" s="230">
        <f>CT86/4*(AVERAGE(CT93,CS93))</f>
        <v>2.1875</v>
      </c>
      <c r="CU95" s="230">
        <f>CU86/4*(AVERAGE(CU93,CT93))</f>
        <v>2.1875</v>
      </c>
      <c r="CV95" s="230">
        <f>CV86/4*(AVERAGE(CV93,CU93))</f>
        <v>2.1875</v>
      </c>
      <c r="CW95" s="197">
        <f>SUM(CS95:CV95)</f>
        <v>8.75</v>
      </c>
      <c r="CX95" s="230">
        <f>CX86/4*(AVERAGE(CX93,CW93))</f>
        <v>2.1875</v>
      </c>
      <c r="CY95" s="230">
        <f>CY86/4*(AVERAGE(CY93,CX93))</f>
        <v>2.1875</v>
      </c>
      <c r="CZ95" s="230">
        <f>CZ86/4*(AVERAGE(CZ93,CY93))</f>
        <v>2.1875</v>
      </c>
      <c r="DA95" s="230">
        <f>DA86/4*(AVERAGE(DA93,CZ93))</f>
        <v>2.1875</v>
      </c>
      <c r="DB95" s="197">
        <f>SUM(CX95:DA95)</f>
        <v>8.75</v>
      </c>
      <c r="DC95" s="5"/>
      <c r="DD95" s="5"/>
      <c r="DE95" s="171"/>
      <c r="DF95" s="171"/>
      <c r="DG95" s="699"/>
      <c r="DH95" s="699"/>
      <c r="DI95" s="699"/>
      <c r="DJ95" s="699"/>
    </row>
    <row r="96" spans="1:114" s="1163" customFormat="1" hidden="1" outlineLevel="1">
      <c r="A96" s="171"/>
      <c r="B96" s="1164"/>
      <c r="C96" s="46"/>
      <c r="D96" s="1161"/>
      <c r="E96" s="1161"/>
      <c r="F96" s="1161"/>
      <c r="G96" s="1161"/>
      <c r="H96" s="1161"/>
      <c r="I96" s="1161"/>
      <c r="J96" s="1161"/>
      <c r="K96" s="1161"/>
      <c r="L96" s="1161"/>
      <c r="M96" s="1161"/>
      <c r="N96" s="1161"/>
      <c r="O96" s="1161"/>
      <c r="P96" s="1161"/>
      <c r="Q96" s="1161"/>
      <c r="R96" s="1161"/>
      <c r="S96" s="1161"/>
      <c r="T96" s="1161"/>
      <c r="U96" s="1161"/>
      <c r="V96" s="1161"/>
      <c r="W96" s="1161"/>
      <c r="X96" s="1161"/>
      <c r="Y96" s="1161"/>
      <c r="Z96" s="1161"/>
      <c r="AA96" s="1161"/>
      <c r="AB96" s="1161"/>
      <c r="AC96" s="1161"/>
      <c r="AD96" s="1161"/>
      <c r="AE96" s="1161"/>
      <c r="AF96" s="1161"/>
      <c r="AG96" s="1161"/>
      <c r="AH96" s="1161"/>
      <c r="AI96" s="1161"/>
      <c r="AJ96" s="1161"/>
      <c r="AK96" s="1161"/>
      <c r="AL96" s="1161"/>
      <c r="AM96" s="1161"/>
      <c r="AN96" s="1161"/>
      <c r="AO96" s="1161"/>
      <c r="AP96" s="1161"/>
      <c r="AQ96" s="1161"/>
      <c r="AR96" s="1161"/>
      <c r="AS96" s="1161"/>
      <c r="AT96" s="1161"/>
      <c r="AU96" s="1162"/>
      <c r="AV96" s="1162"/>
      <c r="AW96" s="1162"/>
      <c r="AX96" s="1162"/>
      <c r="AY96" s="1161"/>
      <c r="AZ96" s="1162"/>
      <c r="BA96" s="1162"/>
      <c r="BB96" s="1162"/>
      <c r="BC96" s="1162"/>
      <c r="BD96" s="1161"/>
      <c r="BE96" s="1162"/>
      <c r="BF96" s="1162"/>
      <c r="BG96" s="1162"/>
      <c r="BH96" s="1162"/>
      <c r="BI96" s="1161"/>
      <c r="BJ96" s="1165"/>
      <c r="BK96" s="1165"/>
      <c r="BL96" s="1161"/>
      <c r="BM96" s="1161"/>
      <c r="BN96" s="1161"/>
      <c r="BO96" s="1161"/>
      <c r="BP96" s="1161"/>
      <c r="BQ96" s="1161"/>
      <c r="BR96" s="1161"/>
      <c r="BS96" s="1161"/>
      <c r="BT96" s="1161"/>
      <c r="BU96" s="1161"/>
      <c r="BV96" s="1161"/>
      <c r="BW96" s="1161"/>
      <c r="BX96" s="1161"/>
      <c r="BY96" s="1161"/>
      <c r="BZ96" s="1161"/>
      <c r="CA96" s="1161"/>
      <c r="CB96" s="1161"/>
      <c r="CC96" s="1161"/>
      <c r="CD96" s="1161"/>
      <c r="CE96" s="1161"/>
      <c r="CF96" s="1161"/>
      <c r="CG96" s="1161"/>
      <c r="CH96" s="1161"/>
      <c r="CI96" s="1161"/>
      <c r="CJ96" s="1161"/>
      <c r="CK96" s="1161"/>
      <c r="CL96" s="1161"/>
      <c r="CM96" s="1161"/>
      <c r="CN96" s="1161"/>
      <c r="CO96" s="1161"/>
      <c r="CP96" s="1161"/>
      <c r="CQ96" s="1161"/>
      <c r="CR96" s="1161"/>
      <c r="CS96" s="1161"/>
      <c r="CT96" s="1161"/>
      <c r="CU96" s="1161"/>
      <c r="CV96" s="1161"/>
      <c r="CW96" s="1161"/>
      <c r="CX96" s="1161"/>
      <c r="CY96" s="1161"/>
      <c r="CZ96" s="1161"/>
      <c r="DA96" s="1161"/>
      <c r="DB96" s="1161"/>
      <c r="DC96" s="5"/>
      <c r="DD96" s="5"/>
      <c r="DE96" s="171"/>
      <c r="DF96" s="171"/>
      <c r="DG96" s="171"/>
      <c r="DH96" s="171"/>
      <c r="DI96" s="171"/>
      <c r="DJ96" s="171"/>
    </row>
    <row r="97" spans="1:114" s="1163" customFormat="1" hidden="1" outlineLevel="1">
      <c r="A97" s="171"/>
      <c r="B97" s="1164" t="s">
        <v>650</v>
      </c>
      <c r="C97" s="46"/>
      <c r="D97" s="1161"/>
      <c r="E97" s="1161"/>
      <c r="F97" s="1161"/>
      <c r="G97" s="1161"/>
      <c r="H97" s="1161"/>
      <c r="I97" s="1161"/>
      <c r="J97" s="1161"/>
      <c r="K97" s="1161"/>
      <c r="L97" s="1161"/>
      <c r="M97" s="1161"/>
      <c r="N97" s="1161"/>
      <c r="O97" s="1161"/>
      <c r="P97" s="1161"/>
      <c r="Q97" s="1161"/>
      <c r="R97" s="1161"/>
      <c r="S97" s="1161"/>
      <c r="T97" s="1161"/>
      <c r="U97" s="1161"/>
      <c r="V97" s="1161"/>
      <c r="W97" s="1161"/>
      <c r="X97" s="1161"/>
      <c r="Y97" s="1161"/>
      <c r="Z97" s="1161"/>
      <c r="AA97" s="1161"/>
      <c r="AB97" s="1161"/>
      <c r="AC97" s="1161"/>
      <c r="AD97" s="1161"/>
      <c r="AE97" s="1161"/>
      <c r="AF97" s="1161"/>
      <c r="AG97" s="1161"/>
      <c r="AH97" s="1161"/>
      <c r="AI97" s="1161"/>
      <c r="AJ97" s="1161"/>
      <c r="AK97" s="1161"/>
      <c r="AL97" s="1161"/>
      <c r="AM97" s="1161"/>
      <c r="AN97" s="1161"/>
      <c r="AO97" s="1161"/>
      <c r="AP97" s="1161"/>
      <c r="AQ97" s="1161"/>
      <c r="AR97" s="1161"/>
      <c r="AS97" s="1161"/>
      <c r="AT97" s="1161"/>
      <c r="AU97" s="1162"/>
      <c r="AV97" s="1162"/>
      <c r="AW97" s="1162"/>
      <c r="AX97" s="1162"/>
      <c r="AY97" s="1161"/>
      <c r="AZ97" s="1162"/>
      <c r="BA97" s="1162"/>
      <c r="BB97" s="1162"/>
      <c r="BC97" s="1162"/>
      <c r="BD97" s="1161"/>
      <c r="BE97" s="1162"/>
      <c r="BF97" s="1162"/>
      <c r="BG97" s="1162"/>
      <c r="BH97" s="1162"/>
      <c r="BI97" s="1161"/>
      <c r="BJ97" s="1165"/>
      <c r="BK97" s="1165"/>
      <c r="BL97" s="1161"/>
      <c r="BM97" s="1161"/>
      <c r="BN97" s="1161"/>
      <c r="BO97" s="1161"/>
      <c r="BP97" s="1161"/>
      <c r="BQ97" s="1161"/>
      <c r="BR97" s="1161"/>
      <c r="BS97" s="1161"/>
      <c r="BT97" s="1161"/>
      <c r="BU97" s="1161"/>
      <c r="BV97" s="1161"/>
      <c r="BW97" s="1161"/>
      <c r="BX97" s="1161"/>
      <c r="BY97" s="1161"/>
      <c r="BZ97" s="1161"/>
      <c r="CA97" s="1161"/>
      <c r="CB97" s="1161"/>
      <c r="CC97" s="1161"/>
      <c r="CD97" s="1161"/>
      <c r="CE97" s="1161"/>
      <c r="CF97" s="1161"/>
      <c r="CG97" s="1161"/>
      <c r="CH97" s="1161"/>
      <c r="CI97" s="1161"/>
      <c r="CJ97" s="1161">
        <f>CJ83+CJ91</f>
        <v>1078.000000001</v>
      </c>
      <c r="CK97" s="1161">
        <f>CK83+CK91</f>
        <v>674</v>
      </c>
      <c r="CL97" s="1161">
        <f t="shared" ref="CL97:CV97" si="68">CL83+CL91</f>
        <v>604</v>
      </c>
      <c r="CM97" s="1161"/>
      <c r="CN97" s="1161">
        <f t="shared" ca="1" si="68"/>
        <v>808.02631845250721</v>
      </c>
      <c r="CO97" s="1161">
        <f t="shared" ca="1" si="68"/>
        <v>1013.2860213639867</v>
      </c>
      <c r="CP97" s="1161">
        <f t="shared" ca="1" si="68"/>
        <v>1088.105499173693</v>
      </c>
      <c r="CQ97" s="1161">
        <f t="shared" ca="1" si="68"/>
        <v>926.54555942532443</v>
      </c>
      <c r="CR97" s="1161"/>
      <c r="CS97" s="1161">
        <f t="shared" ca="1" si="68"/>
        <v>310.88494895668322</v>
      </c>
      <c r="CT97" s="1161">
        <f t="shared" ca="1" si="68"/>
        <v>474.61248303849936</v>
      </c>
      <c r="CU97" s="1161">
        <f t="shared" ca="1" si="68"/>
        <v>500.16083743763681</v>
      </c>
      <c r="CV97" s="1161">
        <f t="shared" ca="1" si="68"/>
        <v>714.23774281568853</v>
      </c>
      <c r="CW97" s="1161"/>
      <c r="CX97" s="1161">
        <f t="shared" ref="CX97:DA97" ca="1" si="69">CX83+CX91</f>
        <v>283.07015564062908</v>
      </c>
      <c r="CY97" s="1161">
        <f t="shared" ca="1" si="69"/>
        <v>336.79526973413715</v>
      </c>
      <c r="CZ97" s="1161">
        <f t="shared" ca="1" si="69"/>
        <v>453.3926388405722</v>
      </c>
      <c r="DA97" s="1161">
        <f t="shared" ca="1" si="69"/>
        <v>255.53769257557099</v>
      </c>
      <c r="DB97" s="1161"/>
      <c r="DC97" s="5"/>
      <c r="DD97" s="5"/>
      <c r="DE97" s="171"/>
      <c r="DF97" s="171"/>
      <c r="DG97" s="171"/>
      <c r="DH97" s="171"/>
      <c r="DI97" s="171"/>
      <c r="DJ97" s="171"/>
    </row>
    <row r="98" spans="1:114" s="1163" customFormat="1" collapsed="1">
      <c r="A98" s="171"/>
      <c r="B98" s="1164"/>
      <c r="C98" s="46"/>
      <c r="D98" s="1161"/>
      <c r="E98" s="1161"/>
      <c r="F98" s="1161"/>
      <c r="G98" s="1161"/>
      <c r="H98" s="1161"/>
      <c r="I98" s="1161"/>
      <c r="J98" s="1161"/>
      <c r="K98" s="1161"/>
      <c r="L98" s="1161"/>
      <c r="M98" s="1161"/>
      <c r="N98" s="1161"/>
      <c r="O98" s="1161"/>
      <c r="P98" s="1161"/>
      <c r="Q98" s="1161"/>
      <c r="R98" s="1161"/>
      <c r="S98" s="1161"/>
      <c r="T98" s="1161"/>
      <c r="U98" s="1161"/>
      <c r="V98" s="1161"/>
      <c r="W98" s="1161"/>
      <c r="X98" s="1161"/>
      <c r="Y98" s="1161"/>
      <c r="Z98" s="1161"/>
      <c r="AA98" s="1161"/>
      <c r="AB98" s="1161"/>
      <c r="AC98" s="1161"/>
      <c r="AD98" s="1161"/>
      <c r="AE98" s="1161"/>
      <c r="AF98" s="1161"/>
      <c r="AG98" s="1161"/>
      <c r="AH98" s="1161"/>
      <c r="AI98" s="1161"/>
      <c r="AJ98" s="1161"/>
      <c r="AK98" s="1161"/>
      <c r="AL98" s="1161"/>
      <c r="AM98" s="1161"/>
      <c r="AN98" s="1161"/>
      <c r="AO98" s="1161"/>
      <c r="AP98" s="1161"/>
      <c r="AQ98" s="1161"/>
      <c r="AR98" s="1161"/>
      <c r="AS98" s="1161"/>
      <c r="AT98" s="1161"/>
      <c r="AU98" s="1162"/>
      <c r="AV98" s="1162"/>
      <c r="AW98" s="1162"/>
      <c r="AX98" s="1162"/>
      <c r="AY98" s="1161"/>
      <c r="AZ98" s="1162"/>
      <c r="BA98" s="1162"/>
      <c r="BB98" s="1162"/>
      <c r="BC98" s="1162"/>
      <c r="BD98" s="1161"/>
      <c r="BE98" s="1162"/>
      <c r="BF98" s="1162"/>
      <c r="BG98" s="1162"/>
      <c r="BH98" s="1162"/>
      <c r="BI98" s="1161"/>
      <c r="BJ98" s="1165"/>
      <c r="BK98" s="1165"/>
      <c r="BL98" s="1161"/>
      <c r="BM98" s="1161"/>
      <c r="BN98" s="1161"/>
      <c r="BO98" s="1161"/>
      <c r="BP98" s="1161"/>
      <c r="BQ98" s="1161"/>
      <c r="BR98" s="1161"/>
      <c r="BS98" s="1161"/>
      <c r="BT98" s="1161"/>
      <c r="BU98" s="1161"/>
      <c r="BV98" s="1161"/>
      <c r="BW98" s="1161"/>
      <c r="BX98" s="1161"/>
      <c r="BY98" s="1161"/>
      <c r="BZ98" s="1161"/>
      <c r="CA98" s="1161"/>
      <c r="CB98" s="1161"/>
      <c r="CC98" s="1161"/>
      <c r="CD98" s="1161"/>
      <c r="CE98" s="1161"/>
      <c r="CF98" s="1161"/>
      <c r="CG98" s="1161"/>
      <c r="CH98" s="1161"/>
      <c r="CI98" s="1161"/>
      <c r="CJ98" s="1161"/>
      <c r="CK98" s="1161"/>
      <c r="CL98" s="1161"/>
      <c r="CM98" s="1161"/>
      <c r="CN98" s="1161"/>
      <c r="CO98" s="1161"/>
      <c r="CP98" s="1161"/>
      <c r="CQ98" s="1161"/>
      <c r="CR98" s="1161"/>
      <c r="CS98" s="1161"/>
      <c r="CT98" s="1161"/>
      <c r="CU98" s="1161"/>
      <c r="CV98" s="1161"/>
      <c r="CW98" s="1161"/>
      <c r="CX98" s="1161"/>
      <c r="CY98" s="1161"/>
      <c r="CZ98" s="1161"/>
      <c r="DA98" s="1161"/>
      <c r="DB98" s="1161"/>
      <c r="DC98" s="5"/>
      <c r="DD98" s="5"/>
      <c r="DE98" s="171"/>
      <c r="DF98" s="171"/>
      <c r="DG98" s="171"/>
      <c r="DH98" s="171"/>
      <c r="DI98" s="171"/>
      <c r="DJ98" s="171"/>
    </row>
    <row r="99" spans="1:114">
      <c r="A99" s="171"/>
      <c r="B99" s="696" t="s">
        <v>367</v>
      </c>
      <c r="C99" s="169"/>
      <c r="D99" s="215"/>
      <c r="E99" s="215"/>
      <c r="F99" s="215"/>
      <c r="G99" s="216"/>
      <c r="H99" s="216"/>
      <c r="I99" s="216"/>
      <c r="J99" s="216"/>
      <c r="K99" s="215"/>
      <c r="L99" s="216"/>
      <c r="M99" s="216"/>
      <c r="N99" s="216"/>
      <c r="O99" s="216"/>
      <c r="P99" s="215"/>
      <c r="Q99" s="216"/>
      <c r="R99" s="216"/>
      <c r="S99" s="216"/>
      <c r="T99" s="216"/>
      <c r="U99" s="215"/>
      <c r="V99" s="216"/>
      <c r="W99" s="216"/>
      <c r="X99" s="216"/>
      <c r="Y99" s="216"/>
      <c r="Z99" s="215"/>
      <c r="AA99" s="216"/>
      <c r="AB99" s="216"/>
      <c r="AC99" s="216"/>
      <c r="AD99" s="216"/>
      <c r="AE99" s="215"/>
      <c r="AF99" s="216"/>
      <c r="AG99" s="216"/>
      <c r="AH99" s="216"/>
      <c r="AI99" s="216"/>
      <c r="AJ99" s="215"/>
      <c r="AK99" s="216"/>
      <c r="AL99" s="216"/>
      <c r="AM99" s="216"/>
      <c r="AN99" s="216"/>
      <c r="AO99" s="215"/>
      <c r="AP99" s="216"/>
      <c r="AQ99" s="216"/>
      <c r="AR99" s="216"/>
      <c r="AS99" s="216"/>
      <c r="AT99" s="215"/>
      <c r="AU99" s="216"/>
      <c r="AV99" s="216"/>
      <c r="AW99" s="216"/>
      <c r="AX99" s="216"/>
      <c r="AY99" s="215"/>
      <c r="AZ99" s="216"/>
      <c r="BA99" s="216"/>
      <c r="BB99" s="216"/>
      <c r="BC99" s="217"/>
      <c r="BD99" s="218"/>
      <c r="BE99" s="217"/>
      <c r="BF99" s="217"/>
      <c r="BG99" s="217"/>
      <c r="BH99" s="217"/>
      <c r="BI99" s="218"/>
      <c r="BJ99" s="217"/>
      <c r="BK99" s="217"/>
      <c r="BL99" s="217"/>
      <c r="BM99" s="217"/>
      <c r="BN99" s="218"/>
      <c r="BO99" s="216"/>
      <c r="BP99" s="216"/>
      <c r="BQ99" s="216"/>
      <c r="BR99" s="216"/>
      <c r="BS99" s="215"/>
      <c r="BT99" s="216"/>
      <c r="BU99" s="216"/>
      <c r="BV99" s="216"/>
      <c r="BW99" s="216"/>
      <c r="BX99" s="215"/>
      <c r="BY99" s="216"/>
      <c r="BZ99" s="216"/>
      <c r="CA99" s="216"/>
      <c r="CB99" s="216"/>
      <c r="CC99" s="215"/>
      <c r="CD99" s="216"/>
      <c r="CE99" s="216"/>
      <c r="CF99" s="216"/>
      <c r="CG99" s="216"/>
      <c r="CH99" s="215"/>
      <c r="CI99" s="216"/>
      <c r="CJ99" s="216"/>
      <c r="CK99" s="216"/>
      <c r="CL99" s="216"/>
      <c r="CM99" s="215"/>
      <c r="CN99" s="216"/>
      <c r="CO99" s="216"/>
      <c r="CP99" s="216"/>
      <c r="CQ99" s="216"/>
      <c r="CR99" s="215"/>
      <c r="CS99" s="216"/>
      <c r="CT99" s="216"/>
      <c r="CU99" s="216"/>
      <c r="CV99" s="216"/>
      <c r="CW99" s="215"/>
      <c r="CX99" s="216"/>
      <c r="CY99" s="216"/>
      <c r="CZ99" s="216"/>
      <c r="DA99" s="216"/>
      <c r="DB99" s="215"/>
      <c r="DC99" s="5"/>
      <c r="DD99" s="5"/>
      <c r="DE99" s="171"/>
      <c r="DF99" s="171"/>
      <c r="DG99" s="171"/>
      <c r="DH99" s="171"/>
      <c r="DI99" s="171"/>
      <c r="DJ99" s="171"/>
    </row>
    <row r="100" spans="1:114">
      <c r="A100" s="171"/>
      <c r="B100" s="697" t="s">
        <v>517</v>
      </c>
      <c r="C100" s="38"/>
      <c r="D100" s="201"/>
      <c r="E100" s="201"/>
      <c r="F100" s="201"/>
      <c r="G100" s="166"/>
      <c r="H100" s="166"/>
      <c r="I100" s="166"/>
      <c r="J100" s="166"/>
      <c r="K100" s="201"/>
      <c r="L100" s="166"/>
      <c r="M100" s="166"/>
      <c r="N100" s="166"/>
      <c r="O100" s="166"/>
      <c r="P100" s="201"/>
      <c r="Q100" s="166"/>
      <c r="R100" s="166"/>
      <c r="S100" s="166"/>
      <c r="T100" s="166"/>
      <c r="U100" s="201"/>
      <c r="V100" s="166"/>
      <c r="W100" s="166"/>
      <c r="X100" s="166"/>
      <c r="Y100" s="166"/>
      <c r="Z100" s="201"/>
      <c r="AA100" s="166"/>
      <c r="AB100" s="166"/>
      <c r="AC100" s="166"/>
      <c r="AD100" s="166"/>
      <c r="AE100" s="201"/>
      <c r="AF100" s="166"/>
      <c r="AG100" s="166"/>
      <c r="AH100" s="166"/>
      <c r="AI100" s="166"/>
      <c r="AJ100" s="201"/>
      <c r="AK100" s="166"/>
      <c r="AL100" s="166"/>
      <c r="AM100" s="166"/>
      <c r="AN100" s="166"/>
      <c r="AO100" s="201"/>
      <c r="AP100" s="166"/>
      <c r="AQ100" s="166"/>
      <c r="AR100" s="166"/>
      <c r="AS100" s="166"/>
      <c r="AT100" s="201"/>
      <c r="AU100" s="202"/>
      <c r="AV100" s="202"/>
      <c r="AW100" s="202"/>
      <c r="AX100" s="202"/>
      <c r="AY100" s="201"/>
      <c r="AZ100" s="202"/>
      <c r="BA100" s="202"/>
      <c r="BB100" s="202"/>
      <c r="BC100" s="219"/>
      <c r="BD100" s="107"/>
      <c r="BE100" s="220"/>
      <c r="BF100" s="220"/>
      <c r="BG100" s="220"/>
      <c r="BH100" s="220"/>
      <c r="BI100" s="107"/>
      <c r="BJ100" s="231">
        <v>0.05</v>
      </c>
      <c r="BK100" s="231">
        <v>0.05</v>
      </c>
      <c r="BL100" s="231">
        <v>0.05</v>
      </c>
      <c r="BM100" s="220">
        <f>BL100</f>
        <v>0.05</v>
      </c>
      <c r="BN100" s="107"/>
      <c r="BO100" s="220">
        <f>BM100</f>
        <v>0.05</v>
      </c>
      <c r="BP100" s="220">
        <f>BO100</f>
        <v>0.05</v>
      </c>
      <c r="BQ100" s="220">
        <f>BP100</f>
        <v>0.05</v>
      </c>
      <c r="BR100" s="220">
        <f>BQ100</f>
        <v>0.05</v>
      </c>
      <c r="BS100" s="107"/>
      <c r="BT100" s="220">
        <f>BR100</f>
        <v>0.05</v>
      </c>
      <c r="BU100" s="220">
        <f>BT100</f>
        <v>0.05</v>
      </c>
      <c r="BV100" s="220">
        <f>BU100</f>
        <v>0.05</v>
      </c>
      <c r="BW100" s="220">
        <f>BV100</f>
        <v>0.05</v>
      </c>
      <c r="BX100" s="107"/>
      <c r="BY100" s="220">
        <f>BW100</f>
        <v>0.05</v>
      </c>
      <c r="BZ100" s="220">
        <f>BY100</f>
        <v>0.05</v>
      </c>
      <c r="CA100" s="220">
        <f>BZ100</f>
        <v>0.05</v>
      </c>
      <c r="CB100" s="220">
        <f>CA100</f>
        <v>0.05</v>
      </c>
      <c r="CC100" s="107"/>
      <c r="CD100" s="220">
        <f>CB100</f>
        <v>0.05</v>
      </c>
      <c r="CE100" s="220">
        <f>CD100</f>
        <v>0.05</v>
      </c>
      <c r="CF100" s="220">
        <f>CE100</f>
        <v>0.05</v>
      </c>
      <c r="CG100" s="220">
        <f>CF100</f>
        <v>0.05</v>
      </c>
      <c r="CH100" s="107"/>
      <c r="CI100" s="220">
        <f>CG100</f>
        <v>0.05</v>
      </c>
      <c r="CJ100" s="220">
        <f>CI100</f>
        <v>0.05</v>
      </c>
      <c r="CK100" s="220">
        <f>CJ100</f>
        <v>0.05</v>
      </c>
      <c r="CL100" s="220">
        <f>CK100</f>
        <v>0.05</v>
      </c>
      <c r="CM100" s="107"/>
      <c r="CN100" s="220">
        <f>CL100</f>
        <v>0.05</v>
      </c>
      <c r="CO100" s="220">
        <f>CN100</f>
        <v>0.05</v>
      </c>
      <c r="CP100" s="220">
        <f>CO100</f>
        <v>0.05</v>
      </c>
      <c r="CQ100" s="220">
        <f>CP100</f>
        <v>0.05</v>
      </c>
      <c r="CR100" s="107"/>
      <c r="CS100" s="220">
        <f>CQ100</f>
        <v>0.05</v>
      </c>
      <c r="CT100" s="220">
        <f>CS100</f>
        <v>0.05</v>
      </c>
      <c r="CU100" s="220">
        <f>CT100</f>
        <v>0.05</v>
      </c>
      <c r="CV100" s="220">
        <f>CU100</f>
        <v>0.05</v>
      </c>
      <c r="CW100" s="107"/>
      <c r="CX100" s="220">
        <f>CV100</f>
        <v>0.05</v>
      </c>
      <c r="CY100" s="220">
        <f>CX100</f>
        <v>0.05</v>
      </c>
      <c r="CZ100" s="220">
        <f>CY100</f>
        <v>0.05</v>
      </c>
      <c r="DA100" s="220">
        <f>CZ100</f>
        <v>0.05</v>
      </c>
      <c r="DB100" s="107"/>
      <c r="DC100" s="5"/>
      <c r="DD100" s="5"/>
      <c r="DE100" s="171"/>
      <c r="DF100" s="171"/>
      <c r="DG100" s="171"/>
      <c r="DH100" s="171"/>
      <c r="DI100" s="171"/>
      <c r="DJ100" s="171"/>
    </row>
    <row r="101" spans="1:114">
      <c r="A101" s="171"/>
      <c r="B101" s="693" t="s">
        <v>518</v>
      </c>
      <c r="C101" s="38"/>
      <c r="D101" s="201"/>
      <c r="E101" s="201"/>
      <c r="F101" s="201"/>
      <c r="G101" s="166"/>
      <c r="H101" s="166"/>
      <c r="I101" s="166"/>
      <c r="J101" s="166"/>
      <c r="K101" s="201"/>
      <c r="L101" s="166"/>
      <c r="M101" s="166"/>
      <c r="N101" s="166"/>
      <c r="O101" s="166"/>
      <c r="P101" s="201"/>
      <c r="Q101" s="166"/>
      <c r="R101" s="166"/>
      <c r="S101" s="166"/>
      <c r="T101" s="166"/>
      <c r="U101" s="201"/>
      <c r="V101" s="166"/>
      <c r="W101" s="166"/>
      <c r="X101" s="166"/>
      <c r="Y101" s="166"/>
      <c r="Z101" s="201"/>
      <c r="AA101" s="166"/>
      <c r="AB101" s="166"/>
      <c r="AC101" s="166"/>
      <c r="AD101" s="166"/>
      <c r="AE101" s="201"/>
      <c r="AF101" s="166"/>
      <c r="AG101" s="166"/>
      <c r="AH101" s="166"/>
      <c r="AI101" s="166"/>
      <c r="AJ101" s="201"/>
      <c r="AK101" s="166"/>
      <c r="AL101" s="166"/>
      <c r="AM101" s="166"/>
      <c r="AN101" s="166"/>
      <c r="AO101" s="201"/>
      <c r="AP101" s="166"/>
      <c r="AQ101" s="166"/>
      <c r="AR101" s="166"/>
      <c r="AS101" s="166"/>
      <c r="AT101" s="221"/>
      <c r="AU101" s="192"/>
      <c r="AV101" s="193"/>
      <c r="AW101" s="193"/>
      <c r="AX101" s="193"/>
      <c r="AY101" s="194"/>
      <c r="AZ101" s="193"/>
      <c r="BA101" s="193"/>
      <c r="BB101" s="193"/>
      <c r="BC101" s="193"/>
      <c r="BD101" s="194"/>
      <c r="BE101" s="193"/>
      <c r="BF101" s="193"/>
      <c r="BG101" s="193"/>
      <c r="BH101" s="193"/>
      <c r="BI101" s="194"/>
      <c r="BJ101" s="193">
        <f>BI104</f>
        <v>0</v>
      </c>
      <c r="BK101" s="193">
        <f>BJ104</f>
        <v>300</v>
      </c>
      <c r="BL101" s="193">
        <f>BK104</f>
        <v>300</v>
      </c>
      <c r="BM101" s="193">
        <f>BL104</f>
        <v>300</v>
      </c>
      <c r="BN101" s="194">
        <f>BI104</f>
        <v>0</v>
      </c>
      <c r="BO101" s="193">
        <f>BN104</f>
        <v>300</v>
      </c>
      <c r="BP101" s="193">
        <f>BO104</f>
        <v>500</v>
      </c>
      <c r="BQ101" s="193">
        <f>BP104</f>
        <v>483</v>
      </c>
      <c r="BR101" s="193">
        <f>BQ104</f>
        <v>482</v>
      </c>
      <c r="BS101" s="194">
        <f>BN104</f>
        <v>300</v>
      </c>
      <c r="BT101" s="193">
        <f>BS104</f>
        <v>500</v>
      </c>
      <c r="BU101" s="193">
        <f>BT104</f>
        <v>633</v>
      </c>
      <c r="BV101" s="193">
        <f>BU104</f>
        <v>607</v>
      </c>
      <c r="BW101" s="193">
        <f>BV104</f>
        <v>660</v>
      </c>
      <c r="BX101" s="194">
        <f>BS104</f>
        <v>500</v>
      </c>
      <c r="BY101" s="193">
        <f>BX104</f>
        <v>614</v>
      </c>
      <c r="BZ101" s="193">
        <f>BY104</f>
        <v>623</v>
      </c>
      <c r="CA101" s="193">
        <f>BZ104</f>
        <v>606</v>
      </c>
      <c r="CB101" s="193">
        <f>CA104</f>
        <v>615</v>
      </c>
      <c r="CC101" s="194">
        <f>BX104</f>
        <v>614</v>
      </c>
      <c r="CD101" s="193">
        <f>CC104</f>
        <v>700</v>
      </c>
      <c r="CE101" s="193">
        <f>CD104</f>
        <v>699</v>
      </c>
      <c r="CF101" s="193">
        <f>CE104</f>
        <v>673</v>
      </c>
      <c r="CG101" s="193">
        <f>CF104</f>
        <v>673</v>
      </c>
      <c r="CH101" s="194">
        <f>CC104</f>
        <v>700</v>
      </c>
      <c r="CI101" s="193">
        <f>CH104</f>
        <v>675</v>
      </c>
      <c r="CJ101" s="193">
        <f>CI104</f>
        <v>700</v>
      </c>
      <c r="CK101" s="193">
        <f>CJ104</f>
        <v>600</v>
      </c>
      <c r="CL101" s="193">
        <f>CK104</f>
        <v>532</v>
      </c>
      <c r="CM101" s="194">
        <f>CH104</f>
        <v>675</v>
      </c>
      <c r="CN101" s="193">
        <f>CM104</f>
        <v>532</v>
      </c>
      <c r="CO101" s="193">
        <f>CN104</f>
        <v>532</v>
      </c>
      <c r="CP101" s="193">
        <f>CO104</f>
        <v>532</v>
      </c>
      <c r="CQ101" s="193">
        <f>CP104</f>
        <v>532</v>
      </c>
      <c r="CR101" s="194">
        <f>CM104</f>
        <v>532</v>
      </c>
      <c r="CS101" s="193">
        <f>CR104</f>
        <v>532</v>
      </c>
      <c r="CT101" s="193">
        <f>CS104</f>
        <v>532</v>
      </c>
      <c r="CU101" s="193">
        <f>CT104</f>
        <v>532</v>
      </c>
      <c r="CV101" s="193">
        <f>CU104</f>
        <v>532</v>
      </c>
      <c r="CW101" s="194">
        <f>CR104</f>
        <v>532</v>
      </c>
      <c r="CX101" s="193">
        <f>CW104</f>
        <v>532</v>
      </c>
      <c r="CY101" s="193">
        <f>CX104</f>
        <v>532</v>
      </c>
      <c r="CZ101" s="193">
        <f>CY104</f>
        <v>532</v>
      </c>
      <c r="DA101" s="193">
        <f>CZ104</f>
        <v>532</v>
      </c>
      <c r="DB101" s="194">
        <f>CW104</f>
        <v>532</v>
      </c>
      <c r="DC101" s="5"/>
      <c r="DD101" s="5"/>
      <c r="DE101" s="171"/>
      <c r="DF101" s="171"/>
      <c r="DG101" s="171"/>
      <c r="DH101" s="171"/>
      <c r="DI101" s="171"/>
      <c r="DJ101" s="171"/>
    </row>
    <row r="102" spans="1:114">
      <c r="A102" s="171"/>
      <c r="B102" s="693" t="s">
        <v>654</v>
      </c>
      <c r="C102" s="38"/>
      <c r="D102" s="201"/>
      <c r="E102" s="201"/>
      <c r="F102" s="201"/>
      <c r="G102" s="166"/>
      <c r="H102" s="166"/>
      <c r="I102" s="166"/>
      <c r="J102" s="166"/>
      <c r="K102" s="201"/>
      <c r="L102" s="166"/>
      <c r="M102" s="166"/>
      <c r="N102" s="166"/>
      <c r="O102" s="166"/>
      <c r="P102" s="201"/>
      <c r="Q102" s="166"/>
      <c r="R102" s="166"/>
      <c r="S102" s="166"/>
      <c r="T102" s="166"/>
      <c r="U102" s="201"/>
      <c r="V102" s="166"/>
      <c r="W102" s="166"/>
      <c r="X102" s="166"/>
      <c r="Y102" s="166"/>
      <c r="Z102" s="201"/>
      <c r="AA102" s="166"/>
      <c r="AB102" s="166"/>
      <c r="AC102" s="166"/>
      <c r="AD102" s="166"/>
      <c r="AE102" s="201"/>
      <c r="AF102" s="166"/>
      <c r="AG102" s="166"/>
      <c r="AH102" s="166"/>
      <c r="AI102" s="166"/>
      <c r="AJ102" s="201"/>
      <c r="AK102" s="166"/>
      <c r="AL102" s="166"/>
      <c r="AM102" s="166"/>
      <c r="AN102" s="166"/>
      <c r="AO102" s="201"/>
      <c r="AP102" s="166"/>
      <c r="AQ102" s="166"/>
      <c r="AR102" s="166"/>
      <c r="AS102" s="166"/>
      <c r="AT102" s="221"/>
      <c r="AU102" s="192"/>
      <c r="AV102" s="193"/>
      <c r="AW102" s="193"/>
      <c r="AX102" s="193"/>
      <c r="AY102" s="194"/>
      <c r="AZ102" s="193"/>
      <c r="BA102" s="193"/>
      <c r="BB102" s="193"/>
      <c r="BC102" s="193"/>
      <c r="BD102" s="194"/>
      <c r="BE102" s="193"/>
      <c r="BF102" s="193"/>
      <c r="BG102" s="193"/>
      <c r="BH102" s="193"/>
      <c r="BI102" s="194"/>
      <c r="BJ102" s="193"/>
      <c r="BK102" s="193"/>
      <c r="BL102" s="193"/>
      <c r="BM102" s="193"/>
      <c r="BN102" s="194"/>
      <c r="BO102" s="193"/>
      <c r="BP102" s="193"/>
      <c r="BQ102" s="193"/>
      <c r="BR102" s="193"/>
      <c r="BS102" s="194"/>
      <c r="BT102" s="193"/>
      <c r="BU102" s="193"/>
      <c r="BV102" s="193"/>
      <c r="BW102" s="193"/>
      <c r="BX102" s="194"/>
      <c r="BY102" s="193">
        <f>BY104-BY101</f>
        <v>9</v>
      </c>
      <c r="BZ102" s="193">
        <v>0</v>
      </c>
      <c r="CA102" s="193">
        <f>CA104-CA101</f>
        <v>9</v>
      </c>
      <c r="CB102" s="193">
        <f>CB104-CB101</f>
        <v>85</v>
      </c>
      <c r="CC102" s="194">
        <f>SUM(BY102:CB102)</f>
        <v>103</v>
      </c>
      <c r="CD102" s="1181">
        <v>0</v>
      </c>
      <c r="CE102" s="193">
        <v>0</v>
      </c>
      <c r="CF102" s="193">
        <v>0</v>
      </c>
      <c r="CG102" s="842">
        <f>+CG104-CG101</f>
        <v>2</v>
      </c>
      <c r="CH102" s="194">
        <f>SUM(CD102:CG102)</f>
        <v>2</v>
      </c>
      <c r="CI102" s="193">
        <f>+CI104-CI101</f>
        <v>25</v>
      </c>
      <c r="CJ102" s="193">
        <v>0</v>
      </c>
      <c r="CK102" s="193">
        <v>0</v>
      </c>
      <c r="CL102" s="842">
        <v>0</v>
      </c>
      <c r="CM102" s="194">
        <f>SUM(CI102:CL102)</f>
        <v>25</v>
      </c>
      <c r="CN102" s="1181">
        <v>0</v>
      </c>
      <c r="CO102" s="193">
        <v>0</v>
      </c>
      <c r="CP102" s="193">
        <v>0</v>
      </c>
      <c r="CQ102" s="842">
        <v>0</v>
      </c>
      <c r="CR102" s="194">
        <f>SUM(CN102:CQ102)</f>
        <v>0</v>
      </c>
      <c r="CS102" s="1181">
        <v>0</v>
      </c>
      <c r="CT102" s="193">
        <v>0</v>
      </c>
      <c r="CU102" s="193">
        <v>0</v>
      </c>
      <c r="CV102" s="842">
        <v>0</v>
      </c>
      <c r="CW102" s="194">
        <f>SUM(CS102:CV102)</f>
        <v>0</v>
      </c>
      <c r="CX102" s="1181">
        <v>0</v>
      </c>
      <c r="CY102" s="193">
        <v>0</v>
      </c>
      <c r="CZ102" s="193">
        <v>0</v>
      </c>
      <c r="DA102" s="842">
        <v>0</v>
      </c>
      <c r="DB102" s="194">
        <f>SUM(CX102:DA102)</f>
        <v>0</v>
      </c>
      <c r="DC102" s="5"/>
      <c r="DD102" s="5"/>
      <c r="DE102" s="171"/>
      <c r="DF102" s="171"/>
      <c r="DG102" s="171"/>
      <c r="DH102" s="171"/>
      <c r="DI102" s="171"/>
      <c r="DJ102" s="171"/>
    </row>
    <row r="103" spans="1:114">
      <c r="A103" s="171"/>
      <c r="B103" s="691" t="s">
        <v>653</v>
      </c>
      <c r="C103" s="33"/>
      <c r="D103" s="206"/>
      <c r="E103" s="206"/>
      <c r="F103" s="206"/>
      <c r="G103" s="214"/>
      <c r="H103" s="214"/>
      <c r="I103" s="214"/>
      <c r="J103" s="214"/>
      <c r="K103" s="206"/>
      <c r="L103" s="214"/>
      <c r="M103" s="214"/>
      <c r="N103" s="214"/>
      <c r="O103" s="214"/>
      <c r="P103" s="206"/>
      <c r="Q103" s="214"/>
      <c r="R103" s="214"/>
      <c r="S103" s="214"/>
      <c r="T103" s="214"/>
      <c r="U103" s="206"/>
      <c r="V103" s="214"/>
      <c r="W103" s="214"/>
      <c r="X103" s="214"/>
      <c r="Y103" s="214"/>
      <c r="Z103" s="206"/>
      <c r="AA103" s="214"/>
      <c r="AB103" s="214"/>
      <c r="AC103" s="214"/>
      <c r="AD103" s="214"/>
      <c r="AE103" s="206"/>
      <c r="AF103" s="214"/>
      <c r="AG103" s="214"/>
      <c r="AH103" s="214"/>
      <c r="AI103" s="214"/>
      <c r="AJ103" s="206"/>
      <c r="AK103" s="214"/>
      <c r="AL103" s="214"/>
      <c r="AM103" s="214"/>
      <c r="AN103" s="214"/>
      <c r="AO103" s="206"/>
      <c r="AP103" s="214"/>
      <c r="AQ103" s="214"/>
      <c r="AR103" s="214"/>
      <c r="AS103" s="214"/>
      <c r="AT103" s="225"/>
      <c r="AU103" s="196"/>
      <c r="AV103" s="196"/>
      <c r="AW103" s="196"/>
      <c r="AX103" s="196"/>
      <c r="AY103" s="197"/>
      <c r="AZ103" s="196"/>
      <c r="BA103" s="196"/>
      <c r="BB103" s="196"/>
      <c r="BC103" s="196"/>
      <c r="BD103" s="197"/>
      <c r="BE103" s="196"/>
      <c r="BF103" s="196"/>
      <c r="BG103" s="196"/>
      <c r="BH103" s="196"/>
      <c r="BI103" s="197"/>
      <c r="BJ103" s="196">
        <f>BJ104-BJ101</f>
        <v>300</v>
      </c>
      <c r="BK103" s="196">
        <f>BK104-BK101</f>
        <v>0</v>
      </c>
      <c r="BL103" s="196">
        <f>BL104-BL101</f>
        <v>0</v>
      </c>
      <c r="BM103" s="196">
        <f>BM104-BM101</f>
        <v>0</v>
      </c>
      <c r="BN103" s="197">
        <f>SUM(BJ103:BM103)</f>
        <v>300</v>
      </c>
      <c r="BO103" s="196">
        <f>BO104-BO101</f>
        <v>200</v>
      </c>
      <c r="BP103" s="196">
        <f>BP104-BP101</f>
        <v>-17</v>
      </c>
      <c r="BQ103" s="196">
        <f>BQ104-BQ101</f>
        <v>-1</v>
      </c>
      <c r="BR103" s="196">
        <f>BR104-BR101</f>
        <v>18</v>
      </c>
      <c r="BS103" s="197">
        <f>SUM(BO103:BR103)</f>
        <v>200</v>
      </c>
      <c r="BT103" s="196">
        <f>BT104-BT101</f>
        <v>133</v>
      </c>
      <c r="BU103" s="196">
        <f>BU104-BU101</f>
        <v>-26</v>
      </c>
      <c r="BV103" s="196">
        <f>BV104-BV101</f>
        <v>53</v>
      </c>
      <c r="BW103" s="196">
        <f>BW104-BW101</f>
        <v>-46</v>
      </c>
      <c r="BX103" s="197">
        <f>SUM(BT103:BW103)</f>
        <v>114</v>
      </c>
      <c r="BY103" s="1179">
        <v>0</v>
      </c>
      <c r="BZ103" s="196">
        <f>BZ104-BZ101</f>
        <v>-17</v>
      </c>
      <c r="CA103" s="196">
        <v>0</v>
      </c>
      <c r="CB103" s="1180">
        <v>0</v>
      </c>
      <c r="CC103" s="197">
        <f>SUM(BY103:CB103)</f>
        <v>-17</v>
      </c>
      <c r="CD103" s="196">
        <f>CD104-CD101</f>
        <v>-1</v>
      </c>
      <c r="CE103" s="196">
        <f>CE104-CE101</f>
        <v>-26</v>
      </c>
      <c r="CF103" s="196">
        <v>0</v>
      </c>
      <c r="CG103" s="196">
        <v>0</v>
      </c>
      <c r="CH103" s="197">
        <f>SUM(CD103:CG103)</f>
        <v>-27</v>
      </c>
      <c r="CI103" s="196">
        <v>0</v>
      </c>
      <c r="CJ103" s="196">
        <v>-100</v>
      </c>
      <c r="CK103" s="196">
        <v>-68</v>
      </c>
      <c r="CL103" s="196">
        <v>0</v>
      </c>
      <c r="CM103" s="197">
        <f>SUM(CI103:CL103)</f>
        <v>-168</v>
      </c>
      <c r="CN103" s="196">
        <v>0</v>
      </c>
      <c r="CO103" s="196">
        <v>0</v>
      </c>
      <c r="CP103" s="196">
        <v>0</v>
      </c>
      <c r="CQ103" s="196">
        <v>0</v>
      </c>
      <c r="CR103" s="197">
        <f>SUM(CN103:CQ103)</f>
        <v>0</v>
      </c>
      <c r="CS103" s="196">
        <v>0</v>
      </c>
      <c r="CT103" s="196">
        <v>0</v>
      </c>
      <c r="CU103" s="196">
        <v>0</v>
      </c>
      <c r="CV103" s="196">
        <v>0</v>
      </c>
      <c r="CW103" s="197">
        <f>SUM(CS103:CV103)</f>
        <v>0</v>
      </c>
      <c r="CX103" s="196">
        <v>0</v>
      </c>
      <c r="CY103" s="196">
        <v>0</v>
      </c>
      <c r="CZ103" s="196">
        <v>0</v>
      </c>
      <c r="DA103" s="196">
        <v>0</v>
      </c>
      <c r="DB103" s="197">
        <f>SUM(CX103:DA103)</f>
        <v>0</v>
      </c>
      <c r="DC103" s="5"/>
      <c r="DD103" s="5"/>
      <c r="DE103" s="171"/>
      <c r="DF103" s="171"/>
      <c r="DG103" s="171"/>
      <c r="DH103" s="171"/>
      <c r="DI103" s="171"/>
      <c r="DJ103" s="171"/>
    </row>
    <row r="104" spans="1:114">
      <c r="A104" s="171"/>
      <c r="B104" s="698" t="s">
        <v>519</v>
      </c>
      <c r="C104" s="48"/>
      <c r="D104" s="204"/>
      <c r="E104" s="204"/>
      <c r="F104" s="204"/>
      <c r="G104" s="407"/>
      <c r="H104" s="407"/>
      <c r="I104" s="407"/>
      <c r="J104" s="407"/>
      <c r="K104" s="204"/>
      <c r="L104" s="407"/>
      <c r="M104" s="407"/>
      <c r="N104" s="407"/>
      <c r="O104" s="407"/>
      <c r="P104" s="204"/>
      <c r="Q104" s="407"/>
      <c r="R104" s="407"/>
      <c r="S104" s="407"/>
      <c r="T104" s="407"/>
      <c r="U104" s="204"/>
      <c r="V104" s="407"/>
      <c r="W104" s="407"/>
      <c r="X104" s="407"/>
      <c r="Y104" s="407"/>
      <c r="Z104" s="204"/>
      <c r="AA104" s="407"/>
      <c r="AB104" s="407"/>
      <c r="AC104" s="407"/>
      <c r="AD104" s="407"/>
      <c r="AE104" s="204"/>
      <c r="AF104" s="407"/>
      <c r="AG104" s="407"/>
      <c r="AH104" s="407"/>
      <c r="AI104" s="407"/>
      <c r="AJ104" s="204"/>
      <c r="AK104" s="407"/>
      <c r="AL104" s="407"/>
      <c r="AM104" s="407"/>
      <c r="AN104" s="407"/>
      <c r="AO104" s="204"/>
      <c r="AP104" s="407"/>
      <c r="AQ104" s="407"/>
      <c r="AR104" s="407"/>
      <c r="AS104" s="407"/>
      <c r="AT104" s="227"/>
      <c r="AU104" s="198"/>
      <c r="AV104" s="198"/>
      <c r="AW104" s="198"/>
      <c r="AX104" s="198"/>
      <c r="AY104" s="199"/>
      <c r="AZ104" s="198"/>
      <c r="BA104" s="198"/>
      <c r="BB104" s="198"/>
      <c r="BC104" s="198"/>
      <c r="BD104" s="199"/>
      <c r="BE104" s="198"/>
      <c r="BF104" s="198"/>
      <c r="BG104" s="198"/>
      <c r="BH104" s="198"/>
      <c r="BI104" s="199"/>
      <c r="BJ104" s="198">
        <v>300</v>
      </c>
      <c r="BK104" s="198">
        <v>300</v>
      </c>
      <c r="BL104" s="198">
        <v>300</v>
      </c>
      <c r="BM104" s="233">
        <v>300</v>
      </c>
      <c r="BN104" s="199">
        <f>BM104</f>
        <v>300</v>
      </c>
      <c r="BO104" s="233">
        <v>500</v>
      </c>
      <c r="BP104" s="233">
        <v>483</v>
      </c>
      <c r="BQ104" s="551">
        <v>482</v>
      </c>
      <c r="BR104" s="551">
        <v>500</v>
      </c>
      <c r="BS104" s="199">
        <f>BR104</f>
        <v>500</v>
      </c>
      <c r="BT104" s="551">
        <v>633</v>
      </c>
      <c r="BU104" s="551">
        <v>607</v>
      </c>
      <c r="BV104" s="582">
        <v>660</v>
      </c>
      <c r="BW104" s="551">
        <v>614</v>
      </c>
      <c r="BX104" s="199">
        <f>BW104</f>
        <v>614</v>
      </c>
      <c r="BY104" s="551">
        <v>623</v>
      </c>
      <c r="BZ104" s="582">
        <v>606</v>
      </c>
      <c r="CA104" s="582">
        <v>615</v>
      </c>
      <c r="CB104" s="582">
        <v>700</v>
      </c>
      <c r="CC104" s="199">
        <f>CB104</f>
        <v>700</v>
      </c>
      <c r="CD104" s="582">
        <v>699</v>
      </c>
      <c r="CE104" s="582">
        <v>673</v>
      </c>
      <c r="CF104" s="229">
        <f>CF101+CF103</f>
        <v>673</v>
      </c>
      <c r="CG104" s="582">
        <v>675</v>
      </c>
      <c r="CH104" s="199">
        <f>CG104</f>
        <v>675</v>
      </c>
      <c r="CI104" s="582">
        <v>700</v>
      </c>
      <c r="CJ104" s="193">
        <f>SUM(CJ101:CJ103)</f>
        <v>600</v>
      </c>
      <c r="CK104" s="193">
        <f>SUM(CK101:CK103)</f>
        <v>532</v>
      </c>
      <c r="CL104" s="193">
        <f>SUM(CL101:CL103)</f>
        <v>532</v>
      </c>
      <c r="CM104" s="194">
        <f>CL104</f>
        <v>532</v>
      </c>
      <c r="CN104" s="193">
        <f>SUM(CN101:CN103)</f>
        <v>532</v>
      </c>
      <c r="CO104" s="193">
        <f>SUM(CO101:CO103)</f>
        <v>532</v>
      </c>
      <c r="CP104" s="193">
        <f>SUM(CP101:CP103)</f>
        <v>532</v>
      </c>
      <c r="CQ104" s="193">
        <f>SUM(CQ101:CQ103)</f>
        <v>532</v>
      </c>
      <c r="CR104" s="194">
        <f>CQ104</f>
        <v>532</v>
      </c>
      <c r="CS104" s="193">
        <f>SUM(CS101:CS103)</f>
        <v>532</v>
      </c>
      <c r="CT104" s="193">
        <f>SUM(CT101:CT103)</f>
        <v>532</v>
      </c>
      <c r="CU104" s="193">
        <f>SUM(CU101:CU103)</f>
        <v>532</v>
      </c>
      <c r="CV104" s="193">
        <f>SUM(CV101:CV103)</f>
        <v>532</v>
      </c>
      <c r="CW104" s="194">
        <f>CV104</f>
        <v>532</v>
      </c>
      <c r="CX104" s="193">
        <f>SUM(CX101:CX103)</f>
        <v>532</v>
      </c>
      <c r="CY104" s="193">
        <f>SUM(CY101:CY103)</f>
        <v>532</v>
      </c>
      <c r="CZ104" s="193">
        <f>SUM(CZ101:CZ103)</f>
        <v>532</v>
      </c>
      <c r="DA104" s="193">
        <f>SUM(DA101:DA103)</f>
        <v>532</v>
      </c>
      <c r="DB104" s="194">
        <f>DA104</f>
        <v>532</v>
      </c>
      <c r="DC104" s="5"/>
      <c r="DD104" s="5"/>
      <c r="DE104" s="171"/>
      <c r="DF104" s="171"/>
      <c r="DG104" s="171"/>
      <c r="DH104" s="171"/>
      <c r="DI104" s="171"/>
      <c r="DJ104" s="171"/>
    </row>
    <row r="105" spans="1:114">
      <c r="A105" s="171"/>
      <c r="B105" s="691" t="s">
        <v>520</v>
      </c>
      <c r="C105" s="33"/>
      <c r="D105" s="206"/>
      <c r="E105" s="206"/>
      <c r="F105" s="206"/>
      <c r="G105" s="214"/>
      <c r="H105" s="214"/>
      <c r="I105" s="214"/>
      <c r="J105" s="214"/>
      <c r="K105" s="206"/>
      <c r="L105" s="214"/>
      <c r="M105" s="214"/>
      <c r="N105" s="214"/>
      <c r="O105" s="214"/>
      <c r="P105" s="206"/>
      <c r="Q105" s="214"/>
      <c r="R105" s="214"/>
      <c r="S105" s="214"/>
      <c r="T105" s="214"/>
      <c r="U105" s="206"/>
      <c r="V105" s="214"/>
      <c r="W105" s="214"/>
      <c r="X105" s="214"/>
      <c r="Y105" s="214"/>
      <c r="Z105" s="206"/>
      <c r="AA105" s="214"/>
      <c r="AB105" s="214"/>
      <c r="AC105" s="214"/>
      <c r="AD105" s="214"/>
      <c r="AE105" s="206"/>
      <c r="AF105" s="214"/>
      <c r="AG105" s="214"/>
      <c r="AH105" s="214"/>
      <c r="AI105" s="214"/>
      <c r="AJ105" s="206"/>
      <c r="AK105" s="214"/>
      <c r="AL105" s="214"/>
      <c r="AM105" s="214"/>
      <c r="AN105" s="214"/>
      <c r="AO105" s="206"/>
      <c r="AP105" s="214"/>
      <c r="AQ105" s="214"/>
      <c r="AR105" s="214"/>
      <c r="AS105" s="214"/>
      <c r="AT105" s="225"/>
      <c r="AU105" s="230"/>
      <c r="AV105" s="230"/>
      <c r="AW105" s="230"/>
      <c r="AX105" s="230"/>
      <c r="AY105" s="197"/>
      <c r="AZ105" s="230"/>
      <c r="BA105" s="230"/>
      <c r="BB105" s="230"/>
      <c r="BC105" s="230"/>
      <c r="BD105" s="197"/>
      <c r="BE105" s="230"/>
      <c r="BF105" s="230"/>
      <c r="BG105" s="230"/>
      <c r="BH105" s="230"/>
      <c r="BI105" s="197"/>
      <c r="BJ105" s="230">
        <f>BJ100/4*AVERAGE(BJ104,BJ101)</f>
        <v>1.875</v>
      </c>
      <c r="BK105" s="230">
        <f>BK100/4*AVERAGE(BK104,BK101)</f>
        <v>3.75</v>
      </c>
      <c r="BL105" s="230">
        <f>BL100/4*AVERAGE(BL104,BL101)</f>
        <v>3.75</v>
      </c>
      <c r="BM105" s="230">
        <f>BM100/4*AVERAGE(BM104,BM101)</f>
        <v>3.75</v>
      </c>
      <c r="BN105" s="197">
        <f>SUM(BJ105:BM105)</f>
        <v>13.125</v>
      </c>
      <c r="BO105" s="230">
        <f>BO100/4*AVERAGE(BO104,BO101)</f>
        <v>5</v>
      </c>
      <c r="BP105" s="230">
        <f>BP100/4*AVERAGE(BP104,BP101)</f>
        <v>6.1437500000000007</v>
      </c>
      <c r="BQ105" s="230">
        <f>BQ100/4*AVERAGE(BQ104,BQ101)</f>
        <v>6.03125</v>
      </c>
      <c r="BR105" s="230">
        <f>BR100/4*AVERAGE(BR104,BR101)</f>
        <v>6.1375000000000002</v>
      </c>
      <c r="BS105" s="197">
        <f>SUM(BO105:BR105)</f>
        <v>23.3125</v>
      </c>
      <c r="BT105" s="230">
        <f>BT100/4*AVERAGE(BT104,BT101)</f>
        <v>7.0812500000000007</v>
      </c>
      <c r="BU105" s="230">
        <f>BU100/4*AVERAGE(BU104,BU101)</f>
        <v>7.75</v>
      </c>
      <c r="BV105" s="230">
        <f>BV100/4*AVERAGE(BV104,BV101)</f>
        <v>7.9187500000000002</v>
      </c>
      <c r="BW105" s="230">
        <f>BW100/4*AVERAGE(BW104,BW101)</f>
        <v>7.9625000000000004</v>
      </c>
      <c r="BX105" s="197">
        <f>SUM(BT105:BW105)</f>
        <v>30.712499999999999</v>
      </c>
      <c r="BY105" s="230">
        <f>BY100/4*AVERAGE(BY104,BY101)</f>
        <v>7.7312500000000002</v>
      </c>
      <c r="BZ105" s="230">
        <f>BZ100/4*AVERAGE(BZ104,BZ101)</f>
        <v>7.6812500000000004</v>
      </c>
      <c r="CA105" s="230">
        <f>CA100/4*AVERAGE(CA104,CA101)</f>
        <v>7.6312500000000005</v>
      </c>
      <c r="CB105" s="230">
        <f>CB100/4*AVERAGE(CB104,CB101)</f>
        <v>8.21875</v>
      </c>
      <c r="CC105" s="197">
        <f>SUM(BY105:CB105)</f>
        <v>31.262500000000003</v>
      </c>
      <c r="CD105" s="230">
        <f>CD100/4*AVERAGE(CD104,CD101)</f>
        <v>8.7437500000000004</v>
      </c>
      <c r="CE105" s="230">
        <f>CE100/4*AVERAGE(CE104,CE101)</f>
        <v>8.5750000000000011</v>
      </c>
      <c r="CF105" s="230">
        <f>CF100/4*AVERAGE(CF104,CF101)</f>
        <v>8.4124999999999996</v>
      </c>
      <c r="CG105" s="230">
        <f>CG100/4*AVERAGE(CG104,CG101)</f>
        <v>8.4250000000000007</v>
      </c>
      <c r="CH105" s="197">
        <f>SUM(CD105:CG105)</f>
        <v>34.15625</v>
      </c>
      <c r="CI105" s="230">
        <f>CI100/4*AVERAGE(CI104,CI101)</f>
        <v>8.59375</v>
      </c>
      <c r="CJ105" s="230">
        <f>CJ100/4*AVERAGE(CJ104,CJ101)</f>
        <v>8.125</v>
      </c>
      <c r="CK105" s="230">
        <f>CK100/4*AVERAGE(CK104,CK101)</f>
        <v>7.0750000000000002</v>
      </c>
      <c r="CL105" s="230">
        <f>CL100/4*AVERAGE(CL104,CL101)</f>
        <v>6.65</v>
      </c>
      <c r="CM105" s="197">
        <f>SUM(CI105:CL105)</f>
        <v>30.443750000000001</v>
      </c>
      <c r="CN105" s="230">
        <f>CN100/4*AVERAGE(CN104,CN101)</f>
        <v>6.65</v>
      </c>
      <c r="CO105" s="230">
        <f>CO100/4*AVERAGE(CO104,CO101)</f>
        <v>6.65</v>
      </c>
      <c r="CP105" s="230">
        <f>CP100/4*AVERAGE(CP104,CP101)</f>
        <v>6.65</v>
      </c>
      <c r="CQ105" s="230">
        <f>CQ100/4*AVERAGE(CQ104,CQ101)</f>
        <v>6.65</v>
      </c>
      <c r="CR105" s="197">
        <f>SUM(CN105:CQ105)</f>
        <v>26.6</v>
      </c>
      <c r="CS105" s="230">
        <f>CS100/4*AVERAGE(CS104,CS101)</f>
        <v>6.65</v>
      </c>
      <c r="CT105" s="230">
        <f>CT100/4*AVERAGE(CT104,CT101)</f>
        <v>6.65</v>
      </c>
      <c r="CU105" s="230">
        <f>CU100/4*AVERAGE(CU104,CU101)</f>
        <v>6.65</v>
      </c>
      <c r="CV105" s="230">
        <f>CV100/4*AVERAGE(CV104,CV101)</f>
        <v>6.65</v>
      </c>
      <c r="CW105" s="197">
        <f>SUM(CS105:CV105)</f>
        <v>26.6</v>
      </c>
      <c r="CX105" s="230">
        <f>CX100/4*AVERAGE(CX104,CX101)</f>
        <v>6.65</v>
      </c>
      <c r="CY105" s="230">
        <f>CY100/4*AVERAGE(CY104,CY101)</f>
        <v>6.65</v>
      </c>
      <c r="CZ105" s="230">
        <f>CZ100/4*AVERAGE(CZ104,CZ101)</f>
        <v>6.65</v>
      </c>
      <c r="DA105" s="230">
        <f>DA100/4*AVERAGE(DA104,DA101)</f>
        <v>6.65</v>
      </c>
      <c r="DB105" s="197">
        <f>SUM(CX105:DA105)</f>
        <v>26.6</v>
      </c>
      <c r="DC105" s="5"/>
      <c r="DD105" s="5"/>
      <c r="DE105" s="171"/>
      <c r="DF105" s="171"/>
      <c r="DG105" s="171"/>
      <c r="DH105" s="171"/>
      <c r="DI105" s="171"/>
      <c r="DJ105" s="171"/>
    </row>
    <row r="106" spans="1:114" s="1163" customFormat="1" hidden="1" outlineLevel="1">
      <c r="A106" s="171"/>
      <c r="B106" s="1164"/>
      <c r="C106" s="46"/>
      <c r="D106" s="1161"/>
      <c r="E106" s="1161"/>
      <c r="F106" s="1161"/>
      <c r="G106" s="1161"/>
      <c r="H106" s="1161"/>
      <c r="I106" s="1161"/>
      <c r="J106" s="1161"/>
      <c r="K106" s="1161"/>
      <c r="L106" s="1161"/>
      <c r="M106" s="1161"/>
      <c r="N106" s="1161"/>
      <c r="O106" s="1161"/>
      <c r="P106" s="1161"/>
      <c r="Q106" s="1161"/>
      <c r="R106" s="1161"/>
      <c r="S106" s="1161"/>
      <c r="T106" s="1161"/>
      <c r="U106" s="1161"/>
      <c r="V106" s="1161"/>
      <c r="W106" s="1161"/>
      <c r="X106" s="1161"/>
      <c r="Y106" s="1161"/>
      <c r="Z106" s="1161"/>
      <c r="AA106" s="1161"/>
      <c r="AB106" s="1161"/>
      <c r="AC106" s="1161"/>
      <c r="AD106" s="1161"/>
      <c r="AE106" s="1161"/>
      <c r="AF106" s="1161"/>
      <c r="AG106" s="1161"/>
      <c r="AH106" s="1161"/>
      <c r="AI106" s="1161"/>
      <c r="AJ106" s="1161"/>
      <c r="AK106" s="1161"/>
      <c r="AL106" s="1161"/>
      <c r="AM106" s="1161"/>
      <c r="AN106" s="1161"/>
      <c r="AO106" s="1161"/>
      <c r="AP106" s="1161"/>
      <c r="AQ106" s="1161"/>
      <c r="AR106" s="1161"/>
      <c r="AS106" s="1161"/>
      <c r="AT106" s="1161"/>
      <c r="AU106" s="1162"/>
      <c r="AV106" s="1162"/>
      <c r="AW106" s="1162"/>
      <c r="AX106" s="1162"/>
      <c r="AY106" s="1161"/>
      <c r="AZ106" s="1162"/>
      <c r="BA106" s="1162"/>
      <c r="BB106" s="1162"/>
      <c r="BC106" s="1162"/>
      <c r="BD106" s="1161"/>
      <c r="BE106" s="1162"/>
      <c r="BF106" s="1162"/>
      <c r="BG106" s="1162"/>
      <c r="BH106" s="1162"/>
      <c r="BI106" s="1161"/>
      <c r="BJ106" s="1165"/>
      <c r="BK106" s="1165"/>
      <c r="BL106" s="1161"/>
      <c r="BM106" s="1161"/>
      <c r="BN106" s="1161"/>
      <c r="BO106" s="1161"/>
      <c r="BP106" s="1161"/>
      <c r="BQ106" s="1161"/>
      <c r="BR106" s="1161"/>
      <c r="BS106" s="1161"/>
      <c r="BT106" s="1161"/>
      <c r="BU106" s="1161"/>
      <c r="BV106" s="1161"/>
      <c r="BW106" s="1161"/>
      <c r="BX106" s="1161"/>
      <c r="BY106" s="1161"/>
      <c r="BZ106" s="1161"/>
      <c r="CA106" s="1161"/>
      <c r="CB106" s="1161"/>
      <c r="CC106" s="1161"/>
      <c r="CD106" s="1161"/>
      <c r="CE106" s="1161"/>
      <c r="CF106" s="1161"/>
      <c r="CG106" s="1161"/>
      <c r="CH106" s="1161"/>
      <c r="CI106" s="1161"/>
      <c r="CJ106" s="1161"/>
      <c r="CK106" s="1161"/>
      <c r="CL106" s="1161"/>
      <c r="CM106" s="1161"/>
      <c r="CN106" s="1161"/>
      <c r="CO106" s="1161"/>
      <c r="CP106" s="1161"/>
      <c r="CQ106" s="1161"/>
      <c r="CR106" s="1161"/>
      <c r="CS106" s="1161"/>
      <c r="CT106" s="1161"/>
      <c r="CU106" s="1161"/>
      <c r="CV106" s="1161"/>
      <c r="CW106" s="1161"/>
      <c r="CX106" s="1161"/>
      <c r="CY106" s="1161"/>
      <c r="CZ106" s="1161"/>
      <c r="DA106" s="1161"/>
      <c r="DB106" s="1161"/>
      <c r="DC106" s="5"/>
      <c r="DD106" s="5"/>
      <c r="DE106" s="171"/>
      <c r="DF106" s="171"/>
      <c r="DG106" s="171"/>
      <c r="DH106" s="171"/>
      <c r="DI106" s="171"/>
      <c r="DJ106" s="171"/>
    </row>
    <row r="107" spans="1:114" s="1163" customFormat="1" hidden="1" outlineLevel="1">
      <c r="A107" s="171"/>
      <c r="B107" s="1164" t="s">
        <v>650</v>
      </c>
      <c r="C107" s="46"/>
      <c r="D107" s="1161"/>
      <c r="E107" s="1161"/>
      <c r="F107" s="1161"/>
      <c r="G107" s="1161"/>
      <c r="H107" s="1161"/>
      <c r="I107" s="1161"/>
      <c r="J107" s="1161"/>
      <c r="K107" s="1161"/>
      <c r="L107" s="1161"/>
      <c r="M107" s="1161"/>
      <c r="N107" s="1161"/>
      <c r="O107" s="1161"/>
      <c r="P107" s="1161"/>
      <c r="Q107" s="1161"/>
      <c r="R107" s="1161"/>
      <c r="S107" s="1161"/>
      <c r="T107" s="1161"/>
      <c r="U107" s="1161"/>
      <c r="V107" s="1161"/>
      <c r="W107" s="1161"/>
      <c r="X107" s="1161"/>
      <c r="Y107" s="1161"/>
      <c r="Z107" s="1161"/>
      <c r="AA107" s="1161"/>
      <c r="AB107" s="1161"/>
      <c r="AC107" s="1161"/>
      <c r="AD107" s="1161"/>
      <c r="AE107" s="1161"/>
      <c r="AF107" s="1161"/>
      <c r="AG107" s="1161"/>
      <c r="AH107" s="1161"/>
      <c r="AI107" s="1161"/>
      <c r="AJ107" s="1161"/>
      <c r="AK107" s="1161"/>
      <c r="AL107" s="1161"/>
      <c r="AM107" s="1161"/>
      <c r="AN107" s="1161"/>
      <c r="AO107" s="1161"/>
      <c r="AP107" s="1161"/>
      <c r="AQ107" s="1161"/>
      <c r="AR107" s="1161"/>
      <c r="AS107" s="1161"/>
      <c r="AT107" s="1161"/>
      <c r="AU107" s="1162"/>
      <c r="AV107" s="1162"/>
      <c r="AW107" s="1162"/>
      <c r="AX107" s="1162"/>
      <c r="AY107" s="1161"/>
      <c r="AZ107" s="1162"/>
      <c r="BA107" s="1162"/>
      <c r="BB107" s="1162"/>
      <c r="BC107" s="1162"/>
      <c r="BD107" s="1161"/>
      <c r="BE107" s="1162"/>
      <c r="BF107" s="1162"/>
      <c r="BG107" s="1162"/>
      <c r="BH107" s="1162"/>
      <c r="BI107" s="1161"/>
      <c r="BJ107" s="1165"/>
      <c r="BK107" s="1165"/>
      <c r="BL107" s="1161"/>
      <c r="BM107" s="1161"/>
      <c r="BN107" s="1161"/>
      <c r="BO107" s="1161"/>
      <c r="BP107" s="1161"/>
      <c r="BQ107" s="1161"/>
      <c r="BR107" s="1161"/>
      <c r="BS107" s="1161"/>
      <c r="BT107" s="1161"/>
      <c r="BU107" s="1161"/>
      <c r="BV107" s="1161"/>
      <c r="BW107" s="1161"/>
      <c r="BX107" s="1161"/>
      <c r="BY107" s="1161"/>
      <c r="BZ107" s="1161"/>
      <c r="CA107" s="1161"/>
      <c r="CB107" s="1161"/>
      <c r="CC107" s="1161"/>
      <c r="CD107" s="1161"/>
      <c r="CE107" s="1161"/>
      <c r="CF107" s="1161"/>
      <c r="CG107" s="1161"/>
      <c r="CH107" s="1161"/>
      <c r="CI107" s="1161"/>
      <c r="CJ107" s="1161">
        <f>CJ97+CJ103</f>
        <v>978.00000000099999</v>
      </c>
      <c r="CK107" s="1161">
        <f t="shared" ref="CK107:CV107" si="70">CK97+CK103</f>
        <v>606</v>
      </c>
      <c r="CL107" s="1161">
        <f t="shared" si="70"/>
        <v>604</v>
      </c>
      <c r="CM107" s="1161"/>
      <c r="CN107" s="1161">
        <f t="shared" ca="1" si="70"/>
        <v>808.02631845250721</v>
      </c>
      <c r="CO107" s="1161">
        <f t="shared" ca="1" si="70"/>
        <v>1013.2860213639867</v>
      </c>
      <c r="CP107" s="1161">
        <f t="shared" ca="1" si="70"/>
        <v>1088.105499173693</v>
      </c>
      <c r="CQ107" s="1161">
        <f t="shared" ca="1" si="70"/>
        <v>926.54555942532443</v>
      </c>
      <c r="CR107" s="1161"/>
      <c r="CS107" s="1161">
        <f t="shared" ca="1" si="70"/>
        <v>310.88494895668322</v>
      </c>
      <c r="CT107" s="1161">
        <f t="shared" ca="1" si="70"/>
        <v>474.61248303849936</v>
      </c>
      <c r="CU107" s="1161">
        <f t="shared" ca="1" si="70"/>
        <v>500.16083743763681</v>
      </c>
      <c r="CV107" s="1161">
        <f t="shared" ca="1" si="70"/>
        <v>714.23774281568853</v>
      </c>
      <c r="CW107" s="1161"/>
      <c r="CX107" s="1161">
        <f t="shared" ref="CX107:DA107" ca="1" si="71">CX97+CX103</f>
        <v>283.07015564062908</v>
      </c>
      <c r="CY107" s="1161">
        <f t="shared" ca="1" si="71"/>
        <v>336.79526973413715</v>
      </c>
      <c r="CZ107" s="1161">
        <f t="shared" ca="1" si="71"/>
        <v>453.3926388405722</v>
      </c>
      <c r="DA107" s="1161">
        <f t="shared" ca="1" si="71"/>
        <v>255.53769257557099</v>
      </c>
      <c r="DB107" s="1161"/>
      <c r="DC107" s="5"/>
      <c r="DD107" s="5"/>
      <c r="DE107" s="171"/>
      <c r="DF107" s="171"/>
      <c r="DG107" s="171"/>
      <c r="DH107" s="171"/>
      <c r="DI107" s="171"/>
      <c r="DJ107" s="171"/>
    </row>
    <row r="108" spans="1:114" s="1163" customFormat="1" collapsed="1">
      <c r="A108" s="171"/>
      <c r="B108" s="1164"/>
      <c r="C108" s="46"/>
      <c r="D108" s="1161"/>
      <c r="E108" s="1161"/>
      <c r="F108" s="1161"/>
      <c r="G108" s="1161"/>
      <c r="H108" s="1161"/>
      <c r="I108" s="1161"/>
      <c r="J108" s="1161"/>
      <c r="K108" s="1161"/>
      <c r="L108" s="1161"/>
      <c r="M108" s="1161"/>
      <c r="N108" s="1161"/>
      <c r="O108" s="1161"/>
      <c r="P108" s="1161"/>
      <c r="Q108" s="1161"/>
      <c r="R108" s="1161"/>
      <c r="S108" s="1161"/>
      <c r="T108" s="1161"/>
      <c r="U108" s="1161"/>
      <c r="V108" s="1161"/>
      <c r="W108" s="1161"/>
      <c r="X108" s="1161"/>
      <c r="Y108" s="1161"/>
      <c r="Z108" s="1161"/>
      <c r="AA108" s="1161"/>
      <c r="AB108" s="1161"/>
      <c r="AC108" s="1161"/>
      <c r="AD108" s="1161"/>
      <c r="AE108" s="1161"/>
      <c r="AF108" s="1161"/>
      <c r="AG108" s="1161"/>
      <c r="AH108" s="1161"/>
      <c r="AI108" s="1161"/>
      <c r="AJ108" s="1161"/>
      <c r="AK108" s="1161"/>
      <c r="AL108" s="1161"/>
      <c r="AM108" s="1161"/>
      <c r="AN108" s="1161"/>
      <c r="AO108" s="1161"/>
      <c r="AP108" s="1161"/>
      <c r="AQ108" s="1161"/>
      <c r="AR108" s="1161"/>
      <c r="AS108" s="1161"/>
      <c r="AT108" s="1161"/>
      <c r="AU108" s="1162"/>
      <c r="AV108" s="1162"/>
      <c r="AW108" s="1162"/>
      <c r="AX108" s="1162"/>
      <c r="AY108" s="1161"/>
      <c r="AZ108" s="1162"/>
      <c r="BA108" s="1162"/>
      <c r="BB108" s="1162"/>
      <c r="BC108" s="1162"/>
      <c r="BD108" s="1161"/>
      <c r="BE108" s="1162"/>
      <c r="BF108" s="1162"/>
      <c r="BG108" s="1162"/>
      <c r="BH108" s="1162"/>
      <c r="BI108" s="1161"/>
      <c r="BJ108" s="1165"/>
      <c r="BK108" s="1165"/>
      <c r="BL108" s="1161"/>
      <c r="BM108" s="1161"/>
      <c r="BN108" s="1161"/>
      <c r="BO108" s="1161"/>
      <c r="BP108" s="1161"/>
      <c r="BQ108" s="1161"/>
      <c r="BR108" s="1161"/>
      <c r="BS108" s="1161"/>
      <c r="BT108" s="1161"/>
      <c r="BU108" s="1161"/>
      <c r="BV108" s="1161"/>
      <c r="BW108" s="1161"/>
      <c r="BX108" s="1161"/>
      <c r="BY108" s="1161"/>
      <c r="BZ108" s="1161"/>
      <c r="CA108" s="1161"/>
      <c r="CB108" s="1161"/>
      <c r="CC108" s="1161"/>
      <c r="CD108" s="1161"/>
      <c r="CE108" s="1161"/>
      <c r="CF108" s="1161"/>
      <c r="CG108" s="1161"/>
      <c r="CH108" s="1161"/>
      <c r="CI108" s="1161"/>
      <c r="CJ108" s="1161"/>
      <c r="CK108" s="1161"/>
      <c r="CL108" s="1161"/>
      <c r="CM108" s="1161"/>
      <c r="CN108" s="1161"/>
      <c r="CO108" s="1161"/>
      <c r="CP108" s="1161"/>
      <c r="CQ108" s="1161"/>
      <c r="CR108" s="1161"/>
      <c r="CS108" s="1161"/>
      <c r="CT108" s="1161"/>
      <c r="CU108" s="1161"/>
      <c r="CV108" s="1161"/>
      <c r="CW108" s="1161"/>
      <c r="CX108" s="1161"/>
      <c r="CY108" s="1161"/>
      <c r="CZ108" s="1161"/>
      <c r="DA108" s="1161"/>
      <c r="DB108" s="1161"/>
      <c r="DC108" s="5"/>
      <c r="DD108" s="5"/>
      <c r="DE108" s="171"/>
      <c r="DF108" s="171"/>
      <c r="DG108" s="171"/>
      <c r="DH108" s="171"/>
      <c r="DI108" s="171"/>
      <c r="DJ108" s="171"/>
    </row>
    <row r="109" spans="1:114" s="1163" customFormat="1">
      <c r="A109" s="171"/>
      <c r="B109" s="1184" t="s">
        <v>651</v>
      </c>
      <c r="C109" s="46"/>
      <c r="D109" s="1161"/>
      <c r="E109" s="1161"/>
      <c r="F109" s="1161"/>
      <c r="G109" s="1161"/>
      <c r="H109" s="1161"/>
      <c r="I109" s="1161"/>
      <c r="J109" s="1161"/>
      <c r="K109" s="1161"/>
      <c r="L109" s="1161"/>
      <c r="M109" s="1161"/>
      <c r="N109" s="1161"/>
      <c r="O109" s="1161"/>
      <c r="P109" s="1161"/>
      <c r="Q109" s="1161"/>
      <c r="R109" s="1161"/>
      <c r="S109" s="1161"/>
      <c r="T109" s="1161"/>
      <c r="U109" s="1161"/>
      <c r="V109" s="1161"/>
      <c r="W109" s="1161"/>
      <c r="X109" s="1161"/>
      <c r="Y109" s="1161"/>
      <c r="Z109" s="1161"/>
      <c r="AA109" s="1161"/>
      <c r="AB109" s="1161"/>
      <c r="AC109" s="1161"/>
      <c r="AD109" s="1161"/>
      <c r="AE109" s="1161"/>
      <c r="AF109" s="1161"/>
      <c r="AG109" s="1161"/>
      <c r="AH109" s="1161"/>
      <c r="AI109" s="1161"/>
      <c r="AJ109" s="1161"/>
      <c r="AK109" s="1161"/>
      <c r="AL109" s="1161"/>
      <c r="AM109" s="1161"/>
      <c r="AN109" s="1161"/>
      <c r="AO109" s="1161"/>
      <c r="AP109" s="1161"/>
      <c r="AQ109" s="1161"/>
      <c r="AR109" s="1161"/>
      <c r="AS109" s="1161"/>
      <c r="AT109" s="1161"/>
      <c r="AU109" s="1162"/>
      <c r="AV109" s="1162"/>
      <c r="AW109" s="1162"/>
      <c r="AX109" s="1162"/>
      <c r="AY109" s="1161"/>
      <c r="AZ109" s="1162"/>
      <c r="BA109" s="1162"/>
      <c r="BB109" s="1162"/>
      <c r="BC109" s="1162"/>
      <c r="BD109" s="1161"/>
      <c r="BE109" s="1162"/>
      <c r="BF109" s="1162"/>
      <c r="BG109" s="1162"/>
      <c r="BH109" s="1162"/>
      <c r="BI109" s="1161"/>
      <c r="BJ109" s="1165"/>
      <c r="BK109" s="1165"/>
      <c r="BL109" s="1161"/>
      <c r="BM109" s="1161"/>
      <c r="BN109" s="1161"/>
      <c r="BO109" s="1161"/>
      <c r="BP109" s="1161"/>
      <c r="BQ109" s="1161"/>
      <c r="BR109" s="1161"/>
      <c r="BS109" s="1161"/>
      <c r="BT109" s="1161"/>
      <c r="BU109" s="1161"/>
      <c r="BV109" s="1161"/>
      <c r="BW109" s="1161"/>
      <c r="BX109" s="1161"/>
      <c r="BY109" s="1161"/>
      <c r="BZ109" s="1161"/>
      <c r="CA109" s="1161"/>
      <c r="CB109" s="1161"/>
      <c r="CC109" s="1161"/>
      <c r="CD109" s="1161"/>
      <c r="CE109" s="1161"/>
      <c r="CF109" s="1161"/>
      <c r="CG109" s="1161"/>
      <c r="CH109" s="1161"/>
      <c r="CI109" s="1161"/>
      <c r="CJ109" s="1161"/>
      <c r="CK109" s="1161"/>
      <c r="CL109" s="1161"/>
      <c r="CM109" s="1161"/>
      <c r="CN109" s="1161"/>
      <c r="CO109" s="1161"/>
      <c r="CP109" s="1161"/>
      <c r="CQ109" s="1161"/>
      <c r="CR109" s="1161"/>
      <c r="CS109" s="1161"/>
      <c r="CT109" s="1161"/>
      <c r="CU109" s="1161"/>
      <c r="CV109" s="1161"/>
      <c r="CW109" s="1161"/>
      <c r="CX109" s="1161"/>
      <c r="CY109" s="1161"/>
      <c r="CZ109" s="1161"/>
      <c r="DA109" s="1161"/>
      <c r="DB109" s="1161"/>
      <c r="DC109" s="5"/>
      <c r="DD109" s="5"/>
      <c r="DE109" s="171"/>
      <c r="DF109" s="171"/>
      <c r="DG109" s="171"/>
      <c r="DH109" s="171"/>
      <c r="DI109" s="171"/>
      <c r="DJ109" s="171"/>
    </row>
    <row r="110" spans="1:114" s="1163" customFormat="1">
      <c r="A110" s="171"/>
      <c r="B110" s="1164"/>
      <c r="C110" s="46"/>
      <c r="D110" s="1161"/>
      <c r="E110" s="1161"/>
      <c r="F110" s="1161"/>
      <c r="G110" s="1161"/>
      <c r="H110" s="1161"/>
      <c r="I110" s="1161"/>
      <c r="J110" s="1161"/>
      <c r="K110" s="1161"/>
      <c r="L110" s="1161"/>
      <c r="M110" s="1161"/>
      <c r="N110" s="1161"/>
      <c r="O110" s="1161"/>
      <c r="P110" s="1161"/>
      <c r="Q110" s="1161"/>
      <c r="R110" s="1161"/>
      <c r="S110" s="1161"/>
      <c r="T110" s="1161"/>
      <c r="U110" s="1161"/>
      <c r="V110" s="1161"/>
      <c r="W110" s="1161"/>
      <c r="X110" s="1161"/>
      <c r="Y110" s="1161"/>
      <c r="Z110" s="1161"/>
      <c r="AA110" s="1161"/>
      <c r="AB110" s="1161"/>
      <c r="AC110" s="1161"/>
      <c r="AD110" s="1161"/>
      <c r="AE110" s="1161"/>
      <c r="AF110" s="1161"/>
      <c r="AG110" s="1161"/>
      <c r="AH110" s="1161"/>
      <c r="AI110" s="1161"/>
      <c r="AJ110" s="1161"/>
      <c r="AK110" s="1161"/>
      <c r="AL110" s="1161"/>
      <c r="AM110" s="1161"/>
      <c r="AN110" s="1161"/>
      <c r="AO110" s="1161"/>
      <c r="AP110" s="1161"/>
      <c r="AQ110" s="1161"/>
      <c r="AR110" s="1161"/>
      <c r="AS110" s="1161"/>
      <c r="AT110" s="1161"/>
      <c r="AU110" s="1162"/>
      <c r="AV110" s="1162"/>
      <c r="AW110" s="1162"/>
      <c r="AX110" s="1162"/>
      <c r="AY110" s="1161"/>
      <c r="AZ110" s="1162"/>
      <c r="BA110" s="1162"/>
      <c r="BB110" s="1162"/>
      <c r="BC110" s="1162"/>
      <c r="BD110" s="1161"/>
      <c r="BE110" s="1162"/>
      <c r="BF110" s="1162"/>
      <c r="BG110" s="1162"/>
      <c r="BH110" s="1162"/>
      <c r="BI110" s="1161"/>
      <c r="BJ110" s="1165"/>
      <c r="BK110" s="1165"/>
      <c r="BL110" s="1161"/>
      <c r="BM110" s="1161"/>
      <c r="BN110" s="1161"/>
      <c r="BO110" s="1161"/>
      <c r="BP110" s="1161"/>
      <c r="BQ110" s="1161"/>
      <c r="BR110" s="1161"/>
      <c r="BS110" s="1161"/>
      <c r="BT110" s="1161"/>
      <c r="BU110" s="1161"/>
      <c r="BV110" s="1161"/>
      <c r="BW110" s="1161"/>
      <c r="BX110" s="1161"/>
      <c r="BY110" s="1161"/>
      <c r="BZ110" s="1161"/>
      <c r="CA110" s="1161"/>
      <c r="CB110" s="1161"/>
      <c r="CC110" s="1161"/>
      <c r="CD110" s="1161"/>
      <c r="CE110" s="1161"/>
      <c r="CF110" s="1161"/>
      <c r="CG110" s="1161"/>
      <c r="CH110" s="1161"/>
      <c r="CI110" s="1161"/>
      <c r="CJ110" s="1161"/>
      <c r="CK110" s="1161"/>
      <c r="CL110" s="1161"/>
      <c r="CM110" s="1161"/>
      <c r="CN110" s="1161"/>
      <c r="CO110" s="1161"/>
      <c r="CP110" s="1161"/>
      <c r="CQ110" s="1161"/>
      <c r="CR110" s="1161"/>
      <c r="CS110" s="1161"/>
      <c r="CT110" s="1161"/>
      <c r="CU110" s="1161"/>
      <c r="CV110" s="1161"/>
      <c r="CW110" s="1161"/>
      <c r="CX110" s="1161"/>
      <c r="CY110" s="1161"/>
      <c r="CZ110" s="1161"/>
      <c r="DA110" s="1161"/>
      <c r="DB110" s="1161"/>
      <c r="DC110" s="5"/>
      <c r="DD110" s="5"/>
      <c r="DE110" s="171"/>
      <c r="DF110" s="171"/>
      <c r="DG110" s="171"/>
      <c r="DH110" s="171"/>
      <c r="DI110" s="171"/>
      <c r="DJ110" s="171"/>
    </row>
    <row r="111" spans="1:114" ht="22.5" hidden="1" outlineLevel="1">
      <c r="A111" s="171"/>
      <c r="B111" s="696" t="s">
        <v>521</v>
      </c>
      <c r="C111" s="169"/>
      <c r="D111" s="215"/>
      <c r="E111" s="215"/>
      <c r="F111" s="215"/>
      <c r="G111" s="216"/>
      <c r="H111" s="216"/>
      <c r="I111" s="216"/>
      <c r="J111" s="216"/>
      <c r="K111" s="215"/>
      <c r="L111" s="216"/>
      <c r="M111" s="216"/>
      <c r="N111" s="216"/>
      <c r="O111" s="216"/>
      <c r="P111" s="215"/>
      <c r="Q111" s="216"/>
      <c r="R111" s="216"/>
      <c r="S111" s="216"/>
      <c r="T111" s="216"/>
      <c r="U111" s="215"/>
      <c r="V111" s="216"/>
      <c r="W111" s="216"/>
      <c r="X111" s="216"/>
      <c r="Y111" s="216"/>
      <c r="Z111" s="215"/>
      <c r="AA111" s="216"/>
      <c r="AB111" s="216"/>
      <c r="AC111" s="216"/>
      <c r="AD111" s="216"/>
      <c r="AE111" s="215"/>
      <c r="AF111" s="216"/>
      <c r="AG111" s="216"/>
      <c r="AH111" s="216"/>
      <c r="AI111" s="216"/>
      <c r="AJ111" s="215"/>
      <c r="AK111" s="216"/>
      <c r="AL111" s="216"/>
      <c r="AM111" s="216"/>
      <c r="AN111" s="216"/>
      <c r="AO111" s="215"/>
      <c r="AP111" s="216"/>
      <c r="AQ111" s="216"/>
      <c r="AR111" s="216"/>
      <c r="AS111" s="216"/>
      <c r="AT111" s="215"/>
      <c r="AU111" s="216"/>
      <c r="AV111" s="216"/>
      <c r="AW111" s="216"/>
      <c r="AX111" s="216"/>
      <c r="AY111" s="215"/>
      <c r="AZ111" s="216"/>
      <c r="BA111" s="216"/>
      <c r="BB111" s="216"/>
      <c r="BC111" s="216"/>
      <c r="BD111" s="215"/>
      <c r="BE111" s="216"/>
      <c r="BF111" s="216"/>
      <c r="BG111" s="216"/>
      <c r="BH111" s="217"/>
      <c r="BI111" s="218"/>
      <c r="BJ111" s="217"/>
      <c r="BK111" s="217"/>
      <c r="BL111" s="217"/>
      <c r="BM111" s="217"/>
      <c r="BN111" s="218"/>
      <c r="BO111" s="216"/>
      <c r="BP111" s="216"/>
      <c r="BQ111" s="216"/>
      <c r="BR111" s="216"/>
      <c r="BS111" s="215"/>
      <c r="BT111" s="216"/>
      <c r="BU111" s="216"/>
      <c r="BV111" s="216"/>
      <c r="BW111" s="216"/>
      <c r="BX111" s="215"/>
      <c r="BY111" s="216"/>
      <c r="BZ111" s="216"/>
      <c r="CA111" s="216"/>
      <c r="CB111" s="216"/>
      <c r="CC111" s="215"/>
      <c r="CD111" s="216"/>
      <c r="CE111" s="216"/>
      <c r="CF111" s="216"/>
      <c r="CG111" s="216"/>
      <c r="CH111" s="215"/>
      <c r="CI111" s="216"/>
      <c r="CJ111" s="216"/>
      <c r="CK111" s="216"/>
      <c r="CL111" s="216"/>
      <c r="CM111" s="215"/>
      <c r="CN111" s="216"/>
      <c r="CO111" s="216"/>
      <c r="CP111" s="216"/>
      <c r="CQ111" s="216"/>
      <c r="CR111" s="215"/>
      <c r="CS111" s="216"/>
      <c r="CT111" s="216"/>
      <c r="CU111" s="216"/>
      <c r="CV111" s="216"/>
      <c r="CW111" s="215"/>
      <c r="CX111" s="216"/>
      <c r="CY111" s="216"/>
      <c r="CZ111" s="216"/>
      <c r="DA111" s="216"/>
      <c r="DB111" s="215"/>
      <c r="DC111" s="5"/>
      <c r="DD111" s="5"/>
      <c r="DE111" s="171"/>
      <c r="DF111" s="171"/>
      <c r="DG111" s="171"/>
      <c r="DH111" s="171"/>
      <c r="DI111" s="171"/>
      <c r="DJ111" s="171"/>
    </row>
    <row r="112" spans="1:114" hidden="1" outlineLevel="1">
      <c r="A112" s="171"/>
      <c r="B112" s="697" t="s">
        <v>517</v>
      </c>
      <c r="C112" s="38"/>
      <c r="D112" s="201"/>
      <c r="E112" s="201"/>
      <c r="F112" s="201"/>
      <c r="G112" s="166"/>
      <c r="H112" s="166"/>
      <c r="I112" s="166"/>
      <c r="J112" s="166"/>
      <c r="K112" s="201"/>
      <c r="L112" s="166"/>
      <c r="M112" s="166"/>
      <c r="N112" s="166"/>
      <c r="O112" s="166"/>
      <c r="P112" s="201"/>
      <c r="Q112" s="166"/>
      <c r="R112" s="166"/>
      <c r="S112" s="166"/>
      <c r="T112" s="166"/>
      <c r="U112" s="201"/>
      <c r="V112" s="166"/>
      <c r="W112" s="166"/>
      <c r="X112" s="166"/>
      <c r="Y112" s="166"/>
      <c r="Z112" s="201"/>
      <c r="AA112" s="166"/>
      <c r="AB112" s="166"/>
      <c r="AC112" s="166"/>
      <c r="AD112" s="166"/>
      <c r="AE112" s="201"/>
      <c r="AF112" s="166"/>
      <c r="AG112" s="166"/>
      <c r="AH112" s="166"/>
      <c r="AI112" s="166"/>
      <c r="AJ112" s="201"/>
      <c r="AK112" s="166"/>
      <c r="AL112" s="166"/>
      <c r="AM112" s="166"/>
      <c r="AN112" s="166"/>
      <c r="AO112" s="201"/>
      <c r="AP112" s="166"/>
      <c r="AQ112" s="166"/>
      <c r="AR112" s="166"/>
      <c r="AS112" s="166"/>
      <c r="AT112" s="201"/>
      <c r="AU112" s="202"/>
      <c r="AV112" s="202"/>
      <c r="AW112" s="202"/>
      <c r="AX112" s="202"/>
      <c r="AY112" s="201"/>
      <c r="AZ112" s="202"/>
      <c r="BA112" s="202"/>
      <c r="BB112" s="202"/>
      <c r="BC112" s="202"/>
      <c r="BD112" s="201"/>
      <c r="BE112" s="202"/>
      <c r="BF112" s="202"/>
      <c r="BG112" s="202"/>
      <c r="BH112" s="219"/>
      <c r="BI112" s="107"/>
      <c r="BJ112" s="220"/>
      <c r="BK112" s="220"/>
      <c r="BL112" s="231">
        <v>5.1249999999999997E-2</v>
      </c>
      <c r="BM112" s="220">
        <f>BL112</f>
        <v>5.1249999999999997E-2</v>
      </c>
      <c r="BN112" s="107"/>
      <c r="BO112" s="220">
        <f>BM112</f>
        <v>5.1249999999999997E-2</v>
      </c>
      <c r="BP112" s="220">
        <f>BO112</f>
        <v>5.1249999999999997E-2</v>
      </c>
      <c r="BQ112" s="220">
        <f>BP112</f>
        <v>5.1249999999999997E-2</v>
      </c>
      <c r="BR112" s="220">
        <f>BQ112</f>
        <v>5.1249999999999997E-2</v>
      </c>
      <c r="BS112" s="107"/>
      <c r="BT112" s="220">
        <f>BR112</f>
        <v>5.1249999999999997E-2</v>
      </c>
      <c r="BU112" s="220">
        <f>BT112</f>
        <v>5.1249999999999997E-2</v>
      </c>
      <c r="BV112" s="220">
        <f>BU112</f>
        <v>5.1249999999999997E-2</v>
      </c>
      <c r="BW112" s="220">
        <f>BV112</f>
        <v>5.1249999999999997E-2</v>
      </c>
      <c r="BX112" s="107"/>
      <c r="BY112" s="220">
        <f>BW112</f>
        <v>5.1249999999999997E-2</v>
      </c>
      <c r="BZ112" s="220">
        <f>BY112</f>
        <v>5.1249999999999997E-2</v>
      </c>
      <c r="CA112" s="220">
        <f>BZ112</f>
        <v>5.1249999999999997E-2</v>
      </c>
      <c r="CB112" s="220">
        <f>CA112</f>
        <v>5.1249999999999997E-2</v>
      </c>
      <c r="CC112" s="107"/>
      <c r="CD112" s="220">
        <f>CB112</f>
        <v>5.1249999999999997E-2</v>
      </c>
      <c r="CE112" s="220">
        <f>CD112</f>
        <v>5.1249999999999997E-2</v>
      </c>
      <c r="CF112" s="220">
        <f>CE112</f>
        <v>5.1249999999999997E-2</v>
      </c>
      <c r="CG112" s="220">
        <f>CF112</f>
        <v>5.1249999999999997E-2</v>
      </c>
      <c r="CH112" s="107"/>
      <c r="CI112" s="220">
        <f>CG112</f>
        <v>5.1249999999999997E-2</v>
      </c>
      <c r="CJ112" s="220">
        <f>CI112</f>
        <v>5.1249999999999997E-2</v>
      </c>
      <c r="CK112" s="220">
        <f>CJ112</f>
        <v>5.1249999999999997E-2</v>
      </c>
      <c r="CL112" s="220">
        <f>CK112</f>
        <v>5.1249999999999997E-2</v>
      </c>
      <c r="CM112" s="107"/>
      <c r="CN112" s="220">
        <f>CL112</f>
        <v>5.1249999999999997E-2</v>
      </c>
      <c r="CO112" s="220">
        <f>CN112</f>
        <v>5.1249999999999997E-2</v>
      </c>
      <c r="CP112" s="220">
        <f>CO112</f>
        <v>5.1249999999999997E-2</v>
      </c>
      <c r="CQ112" s="220">
        <f>CP112</f>
        <v>5.1249999999999997E-2</v>
      </c>
      <c r="CR112" s="107"/>
      <c r="CS112" s="220">
        <f>CQ112</f>
        <v>5.1249999999999997E-2</v>
      </c>
      <c r="CT112" s="220">
        <f>CS112</f>
        <v>5.1249999999999997E-2</v>
      </c>
      <c r="CU112" s="220">
        <f>CT112</f>
        <v>5.1249999999999997E-2</v>
      </c>
      <c r="CV112" s="220">
        <f>CU112</f>
        <v>5.1249999999999997E-2</v>
      </c>
      <c r="CW112" s="107"/>
      <c r="CX112" s="220">
        <f>CV112</f>
        <v>5.1249999999999997E-2</v>
      </c>
      <c r="CY112" s="220">
        <f>CX112</f>
        <v>5.1249999999999997E-2</v>
      </c>
      <c r="CZ112" s="220">
        <f>CY112</f>
        <v>5.1249999999999997E-2</v>
      </c>
      <c r="DA112" s="220">
        <f>CZ112</f>
        <v>5.1249999999999997E-2</v>
      </c>
      <c r="DB112" s="107"/>
      <c r="DC112" s="5"/>
      <c r="DD112" s="5"/>
      <c r="DE112" s="171"/>
      <c r="DF112" s="171"/>
      <c r="DG112" s="171"/>
      <c r="DH112" s="171"/>
      <c r="DI112" s="171"/>
      <c r="DJ112" s="171"/>
    </row>
    <row r="113" spans="1:114" hidden="1" outlineLevel="1">
      <c r="A113" s="171"/>
      <c r="B113" s="693" t="s">
        <v>518</v>
      </c>
      <c r="C113" s="38"/>
      <c r="D113" s="201"/>
      <c r="E113" s="201"/>
      <c r="F113" s="201"/>
      <c r="G113" s="166"/>
      <c r="H113" s="166"/>
      <c r="I113" s="166"/>
      <c r="J113" s="166"/>
      <c r="K113" s="201"/>
      <c r="L113" s="166"/>
      <c r="M113" s="166"/>
      <c r="N113" s="166"/>
      <c r="O113" s="166"/>
      <c r="P113" s="201"/>
      <c r="Q113" s="166"/>
      <c r="R113" s="166"/>
      <c r="S113" s="166"/>
      <c r="T113" s="166"/>
      <c r="U113" s="201"/>
      <c r="V113" s="166"/>
      <c r="W113" s="166"/>
      <c r="X113" s="166"/>
      <c r="Y113" s="166"/>
      <c r="Z113" s="201"/>
      <c r="AA113" s="166"/>
      <c r="AB113" s="166"/>
      <c r="AC113" s="166"/>
      <c r="AD113" s="166"/>
      <c r="AE113" s="201"/>
      <c r="AF113" s="166"/>
      <c r="AG113" s="166"/>
      <c r="AH113" s="166"/>
      <c r="AI113" s="166"/>
      <c r="AJ113" s="201"/>
      <c r="AK113" s="166"/>
      <c r="AL113" s="166"/>
      <c r="AM113" s="166"/>
      <c r="AN113" s="166"/>
      <c r="AO113" s="201"/>
      <c r="AP113" s="166"/>
      <c r="AQ113" s="166"/>
      <c r="AR113" s="166"/>
      <c r="AS113" s="166"/>
      <c r="AT113" s="221"/>
      <c r="AU113" s="222"/>
      <c r="AV113" s="222"/>
      <c r="AW113" s="222"/>
      <c r="AX113" s="222"/>
      <c r="AY113" s="221"/>
      <c r="AZ113" s="222"/>
      <c r="BA113" s="222"/>
      <c r="BB113" s="222"/>
      <c r="BC113" s="222"/>
      <c r="BD113" s="221"/>
      <c r="BE113" s="222"/>
      <c r="BF113" s="222"/>
      <c r="BG113" s="222"/>
      <c r="BH113" s="223"/>
      <c r="BI113" s="224"/>
      <c r="BJ113" s="193"/>
      <c r="BK113" s="193"/>
      <c r="BL113" s="193">
        <f>BK116</f>
        <v>0</v>
      </c>
      <c r="BM113" s="193">
        <f>BL116</f>
        <v>1600</v>
      </c>
      <c r="BN113" s="194">
        <f>BI116</f>
        <v>0</v>
      </c>
      <c r="BO113" s="193">
        <f>BN116</f>
        <v>1600</v>
      </c>
      <c r="BP113" s="193">
        <f>BO116</f>
        <v>1600</v>
      </c>
      <c r="BQ113" s="193">
        <f>BP116</f>
        <v>1600</v>
      </c>
      <c r="BR113" s="193">
        <f>BQ116</f>
        <v>1600</v>
      </c>
      <c r="BS113" s="194">
        <f>BN116</f>
        <v>1600</v>
      </c>
      <c r="BT113" s="193">
        <f>BS116</f>
        <v>1600</v>
      </c>
      <c r="BU113" s="193">
        <f>BT116</f>
        <v>1600</v>
      </c>
      <c r="BV113" s="193">
        <f>BU116</f>
        <v>1600</v>
      </c>
      <c r="BW113" s="193">
        <f>BV116</f>
        <v>1600</v>
      </c>
      <c r="BX113" s="194">
        <f>BS116</f>
        <v>1600</v>
      </c>
      <c r="BY113" s="193">
        <f>BX116</f>
        <v>1600</v>
      </c>
      <c r="BZ113" s="193">
        <f>BY116</f>
        <v>1600</v>
      </c>
      <c r="CA113" s="193">
        <f>BZ116</f>
        <v>1600</v>
      </c>
      <c r="CB113" s="193">
        <f>CA116</f>
        <v>1600</v>
      </c>
      <c r="CC113" s="194">
        <f>BX116</f>
        <v>1600</v>
      </c>
      <c r="CD113" s="193">
        <f>CC116</f>
        <v>1600</v>
      </c>
      <c r="CE113" s="193">
        <f>CD116</f>
        <v>1588</v>
      </c>
      <c r="CF113" s="193">
        <f>CE116</f>
        <v>697</v>
      </c>
      <c r="CG113" s="193">
        <f>CF116</f>
        <v>697</v>
      </c>
      <c r="CH113" s="194">
        <f>CC116</f>
        <v>1600</v>
      </c>
      <c r="CI113" s="193">
        <f>CH116</f>
        <v>698</v>
      </c>
      <c r="CJ113" s="193">
        <f>CI116</f>
        <v>0</v>
      </c>
      <c r="CK113" s="193">
        <f>CJ116</f>
        <v>0</v>
      </c>
      <c r="CL113" s="193">
        <f>CK116</f>
        <v>0</v>
      </c>
      <c r="CM113" s="194">
        <f>CH116</f>
        <v>698</v>
      </c>
      <c r="CN113" s="193">
        <f>CM116</f>
        <v>0</v>
      </c>
      <c r="CO113" s="193">
        <f>CN116</f>
        <v>0</v>
      </c>
      <c r="CP113" s="193">
        <f>CO116</f>
        <v>0</v>
      </c>
      <c r="CQ113" s="193">
        <f>CP116</f>
        <v>0</v>
      </c>
      <c r="CR113" s="194">
        <f>CM116</f>
        <v>0</v>
      </c>
      <c r="CS113" s="193">
        <f>CR116</f>
        <v>0</v>
      </c>
      <c r="CT113" s="193">
        <f>CS116</f>
        <v>0</v>
      </c>
      <c r="CU113" s="193">
        <f>CT116</f>
        <v>0</v>
      </c>
      <c r="CV113" s="193">
        <f>CU116</f>
        <v>0</v>
      </c>
      <c r="CW113" s="194">
        <f>CR116</f>
        <v>0</v>
      </c>
      <c r="CX113" s="193">
        <f>CW116</f>
        <v>0</v>
      </c>
      <c r="CY113" s="193">
        <f>CX116</f>
        <v>0</v>
      </c>
      <c r="CZ113" s="193">
        <f>CY116</f>
        <v>0</v>
      </c>
      <c r="DA113" s="193">
        <f>CZ116</f>
        <v>0</v>
      </c>
      <c r="DB113" s="194">
        <f>CW116</f>
        <v>0</v>
      </c>
      <c r="DC113" s="5"/>
      <c r="DD113" s="5"/>
      <c r="DE113" s="171"/>
      <c r="DF113" s="171"/>
      <c r="DG113" s="171"/>
      <c r="DH113" s="171"/>
      <c r="DI113" s="171"/>
      <c r="DJ113" s="171"/>
    </row>
    <row r="114" spans="1:114" hidden="1" outlineLevel="1">
      <c r="A114" s="171"/>
      <c r="B114" s="693" t="s">
        <v>654</v>
      </c>
      <c r="C114" s="38"/>
      <c r="D114" s="201"/>
      <c r="E114" s="201"/>
      <c r="F114" s="201"/>
      <c r="G114" s="166"/>
      <c r="H114" s="166"/>
      <c r="I114" s="166"/>
      <c r="J114" s="166"/>
      <c r="K114" s="201"/>
      <c r="L114" s="166"/>
      <c r="M114" s="166"/>
      <c r="N114" s="166"/>
      <c r="O114" s="166"/>
      <c r="P114" s="201"/>
      <c r="Q114" s="166"/>
      <c r="R114" s="166"/>
      <c r="S114" s="166"/>
      <c r="T114" s="166"/>
      <c r="U114" s="201"/>
      <c r="V114" s="166"/>
      <c r="W114" s="166"/>
      <c r="X114" s="166"/>
      <c r="Y114" s="166"/>
      <c r="Z114" s="201"/>
      <c r="AA114" s="166"/>
      <c r="AB114" s="166"/>
      <c r="AC114" s="166"/>
      <c r="AD114" s="166"/>
      <c r="AE114" s="201"/>
      <c r="AF114" s="166"/>
      <c r="AG114" s="166"/>
      <c r="AH114" s="166"/>
      <c r="AI114" s="166"/>
      <c r="AJ114" s="201"/>
      <c r="AK114" s="166"/>
      <c r="AL114" s="166"/>
      <c r="AM114" s="166"/>
      <c r="AN114" s="166"/>
      <c r="AO114" s="201"/>
      <c r="AP114" s="166"/>
      <c r="AQ114" s="166"/>
      <c r="AR114" s="166"/>
      <c r="AS114" s="166"/>
      <c r="AT114" s="221"/>
      <c r="AU114" s="222"/>
      <c r="AV114" s="222"/>
      <c r="AW114" s="222"/>
      <c r="AX114" s="222"/>
      <c r="AY114" s="221"/>
      <c r="AZ114" s="222"/>
      <c r="BA114" s="222"/>
      <c r="BB114" s="222"/>
      <c r="BC114" s="222"/>
      <c r="BD114" s="221"/>
      <c r="BE114" s="222"/>
      <c r="BF114" s="222"/>
      <c r="BG114" s="222"/>
      <c r="BH114" s="223"/>
      <c r="BI114" s="224"/>
      <c r="BJ114" s="193"/>
      <c r="BK114" s="193"/>
      <c r="BL114" s="193"/>
      <c r="BM114" s="193"/>
      <c r="BN114" s="194"/>
      <c r="BO114" s="193"/>
      <c r="BP114" s="193"/>
      <c r="BQ114" s="193"/>
      <c r="BR114" s="193"/>
      <c r="BS114" s="194"/>
      <c r="BT114" s="193"/>
      <c r="BU114" s="193"/>
      <c r="BV114" s="193"/>
      <c r="BW114" s="193"/>
      <c r="BX114" s="194"/>
      <c r="BY114" s="1181">
        <v>0</v>
      </c>
      <c r="BZ114" s="193">
        <v>0</v>
      </c>
      <c r="CA114" s="193">
        <v>0</v>
      </c>
      <c r="CB114" s="842">
        <v>0</v>
      </c>
      <c r="CC114" s="194">
        <f>SUM(BY114:CB114)</f>
        <v>0</v>
      </c>
      <c r="CD114" s="1181">
        <v>0</v>
      </c>
      <c r="CE114" s="193">
        <v>0</v>
      </c>
      <c r="CF114" s="193">
        <v>0</v>
      </c>
      <c r="CG114" s="842">
        <f>+CG116-CG113</f>
        <v>1</v>
      </c>
      <c r="CH114" s="194">
        <f>SUM(CD114:CG114)</f>
        <v>1</v>
      </c>
      <c r="CI114" s="193">
        <v>0</v>
      </c>
      <c r="CJ114" s="193">
        <v>0</v>
      </c>
      <c r="CK114" s="193">
        <v>0</v>
      </c>
      <c r="CL114" s="842">
        <v>0</v>
      </c>
      <c r="CM114" s="194">
        <f>SUM(CI114:CL114)</f>
        <v>0</v>
      </c>
      <c r="CN114" s="1181">
        <v>0</v>
      </c>
      <c r="CO114" s="193">
        <v>0</v>
      </c>
      <c r="CP114" s="193">
        <v>0</v>
      </c>
      <c r="CQ114" s="842">
        <v>0</v>
      </c>
      <c r="CR114" s="194">
        <f>SUM(CN114:CQ114)</f>
        <v>0</v>
      </c>
      <c r="CS114" s="1181">
        <v>0</v>
      </c>
      <c r="CT114" s="193">
        <v>0</v>
      </c>
      <c r="CU114" s="193">
        <v>0</v>
      </c>
      <c r="CV114" s="842">
        <v>0</v>
      </c>
      <c r="CW114" s="194">
        <f>SUM(CS114:CV114)</f>
        <v>0</v>
      </c>
      <c r="CX114" s="1181">
        <v>0</v>
      </c>
      <c r="CY114" s="193">
        <v>0</v>
      </c>
      <c r="CZ114" s="193">
        <v>0</v>
      </c>
      <c r="DA114" s="842">
        <v>0</v>
      </c>
      <c r="DB114" s="194">
        <f>SUM(CX114:DA114)</f>
        <v>0</v>
      </c>
      <c r="DC114" s="5"/>
      <c r="DD114" s="5"/>
      <c r="DE114" s="171"/>
      <c r="DF114" s="171"/>
      <c r="DG114" s="171"/>
      <c r="DH114" s="171"/>
      <c r="DI114" s="171"/>
      <c r="DJ114" s="171"/>
    </row>
    <row r="115" spans="1:114" hidden="1" outlineLevel="1">
      <c r="A115" s="171"/>
      <c r="B115" s="691" t="s">
        <v>653</v>
      </c>
      <c r="C115" s="33"/>
      <c r="D115" s="206"/>
      <c r="E115" s="206"/>
      <c r="F115" s="206"/>
      <c r="G115" s="214"/>
      <c r="H115" s="214"/>
      <c r="I115" s="214"/>
      <c r="J115" s="214"/>
      <c r="K115" s="206"/>
      <c r="L115" s="214"/>
      <c r="M115" s="214"/>
      <c r="N115" s="214"/>
      <c r="O115" s="214"/>
      <c r="P115" s="206"/>
      <c r="Q115" s="214"/>
      <c r="R115" s="214"/>
      <c r="S115" s="214"/>
      <c r="T115" s="214"/>
      <c r="U115" s="206"/>
      <c r="V115" s="214"/>
      <c r="W115" s="214"/>
      <c r="X115" s="214"/>
      <c r="Y115" s="214"/>
      <c r="Z115" s="206"/>
      <c r="AA115" s="214"/>
      <c r="AB115" s="214"/>
      <c r="AC115" s="214"/>
      <c r="AD115" s="214"/>
      <c r="AE115" s="206"/>
      <c r="AF115" s="214"/>
      <c r="AG115" s="214"/>
      <c r="AH115" s="214"/>
      <c r="AI115" s="214"/>
      <c r="AJ115" s="206"/>
      <c r="AK115" s="214"/>
      <c r="AL115" s="214"/>
      <c r="AM115" s="214"/>
      <c r="AN115" s="214"/>
      <c r="AO115" s="206"/>
      <c r="AP115" s="214"/>
      <c r="AQ115" s="214"/>
      <c r="AR115" s="214"/>
      <c r="AS115" s="214"/>
      <c r="AT115" s="225"/>
      <c r="AU115" s="226"/>
      <c r="AV115" s="226"/>
      <c r="AW115" s="226"/>
      <c r="AX115" s="226"/>
      <c r="AY115" s="225"/>
      <c r="AZ115" s="226"/>
      <c r="BA115" s="226"/>
      <c r="BB115" s="226"/>
      <c r="BC115" s="226"/>
      <c r="BD115" s="225"/>
      <c r="BE115" s="226"/>
      <c r="BF115" s="226"/>
      <c r="BG115" s="226"/>
      <c r="BH115" s="196"/>
      <c r="BI115" s="197"/>
      <c r="BJ115" s="196"/>
      <c r="BK115" s="196"/>
      <c r="BL115" s="196">
        <f>BL116-BL113</f>
        <v>1600</v>
      </c>
      <c r="BM115" s="196">
        <v>0</v>
      </c>
      <c r="BN115" s="197">
        <f>SUM(BJ115:BM115)</f>
        <v>1600</v>
      </c>
      <c r="BO115" s="196">
        <v>0</v>
      </c>
      <c r="BP115" s="196">
        <v>0</v>
      </c>
      <c r="BQ115" s="196">
        <v>0</v>
      </c>
      <c r="BR115" s="196">
        <v>0</v>
      </c>
      <c r="BS115" s="197">
        <f>SUM(BO115:BR115)</f>
        <v>0</v>
      </c>
      <c r="BT115" s="196">
        <f>BT116-BT113</f>
        <v>0</v>
      </c>
      <c r="BU115" s="196">
        <f>BU116-BU113</f>
        <v>0</v>
      </c>
      <c r="BV115" s="196">
        <f>BV116-BV113</f>
        <v>0</v>
      </c>
      <c r="BW115" s="196">
        <v>0</v>
      </c>
      <c r="BX115" s="197">
        <f>SUM(BT115:BW115)</f>
        <v>0</v>
      </c>
      <c r="BY115" s="196">
        <f>BY116-BY113</f>
        <v>0</v>
      </c>
      <c r="BZ115" s="196">
        <f>BZ116-BZ113</f>
        <v>0</v>
      </c>
      <c r="CA115" s="196">
        <f>CA116-CA113</f>
        <v>0</v>
      </c>
      <c r="CB115" s="196">
        <f>CB116-CB113</f>
        <v>0</v>
      </c>
      <c r="CC115" s="197">
        <f>SUM(BY115:CB115)</f>
        <v>0</v>
      </c>
      <c r="CD115" s="196">
        <f>CD116-CD113</f>
        <v>-12</v>
      </c>
      <c r="CE115" s="196">
        <f>CE116-CE113</f>
        <v>-891</v>
      </c>
      <c r="CF115" s="196">
        <v>0</v>
      </c>
      <c r="CG115" s="196">
        <v>0</v>
      </c>
      <c r="CH115" s="197">
        <f>SUM(CD115:CG115)</f>
        <v>-903</v>
      </c>
      <c r="CI115" s="196">
        <f>+CI116-CI113</f>
        <v>-698</v>
      </c>
      <c r="CJ115" s="196">
        <v>0</v>
      </c>
      <c r="CK115" s="196">
        <v>0</v>
      </c>
      <c r="CL115" s="196">
        <v>0</v>
      </c>
      <c r="CM115" s="197">
        <f>SUM(CI115:CL115)</f>
        <v>-698</v>
      </c>
      <c r="CN115" s="196">
        <v>0</v>
      </c>
      <c r="CO115" s="196">
        <v>0</v>
      </c>
      <c r="CP115" s="196">
        <v>0</v>
      </c>
      <c r="CQ115" s="196">
        <v>0</v>
      </c>
      <c r="CR115" s="197">
        <f>SUM(CN115:CQ115)</f>
        <v>0</v>
      </c>
      <c r="CS115" s="196">
        <v>0</v>
      </c>
      <c r="CT115" s="196">
        <v>0</v>
      </c>
      <c r="CU115" s="196">
        <v>0</v>
      </c>
      <c r="CV115" s="196">
        <v>0</v>
      </c>
      <c r="CW115" s="197">
        <f>SUM(CS115:CV115)</f>
        <v>0</v>
      </c>
      <c r="CX115" s="196">
        <v>0</v>
      </c>
      <c r="CY115" s="196">
        <v>0</v>
      </c>
      <c r="CZ115" s="196">
        <v>0</v>
      </c>
      <c r="DA115" s="196">
        <v>0</v>
      </c>
      <c r="DB115" s="197">
        <f>SUM(CX115:DA115)</f>
        <v>0</v>
      </c>
      <c r="DC115" s="5"/>
      <c r="DD115" s="5"/>
      <c r="DE115" s="171"/>
      <c r="DF115" s="171"/>
      <c r="DG115" s="171"/>
      <c r="DH115" s="171"/>
      <c r="DI115" s="171"/>
      <c r="DJ115" s="171"/>
    </row>
    <row r="116" spans="1:114" hidden="1" outlineLevel="1">
      <c r="A116" s="171"/>
      <c r="B116" s="698" t="s">
        <v>519</v>
      </c>
      <c r="C116" s="48"/>
      <c r="D116" s="204"/>
      <c r="E116" s="204"/>
      <c r="F116" s="204"/>
      <c r="G116" s="407"/>
      <c r="H116" s="407"/>
      <c r="I116" s="407"/>
      <c r="J116" s="407"/>
      <c r="K116" s="204"/>
      <c r="L116" s="407"/>
      <c r="M116" s="407"/>
      <c r="N116" s="407"/>
      <c r="O116" s="407"/>
      <c r="P116" s="204"/>
      <c r="Q116" s="407"/>
      <c r="R116" s="407"/>
      <c r="S116" s="407"/>
      <c r="T116" s="407"/>
      <c r="U116" s="204"/>
      <c r="V116" s="407"/>
      <c r="W116" s="407"/>
      <c r="X116" s="407"/>
      <c r="Y116" s="407"/>
      <c r="Z116" s="204"/>
      <c r="AA116" s="407"/>
      <c r="AB116" s="407"/>
      <c r="AC116" s="407"/>
      <c r="AD116" s="407"/>
      <c r="AE116" s="204"/>
      <c r="AF116" s="407"/>
      <c r="AG116" s="407"/>
      <c r="AH116" s="407"/>
      <c r="AI116" s="407"/>
      <c r="AJ116" s="204"/>
      <c r="AK116" s="407"/>
      <c r="AL116" s="407"/>
      <c r="AM116" s="407"/>
      <c r="AN116" s="407"/>
      <c r="AO116" s="204"/>
      <c r="AP116" s="407"/>
      <c r="AQ116" s="407"/>
      <c r="AR116" s="407"/>
      <c r="AS116" s="407"/>
      <c r="AT116" s="227"/>
      <c r="AU116" s="228"/>
      <c r="AV116" s="228"/>
      <c r="AW116" s="228"/>
      <c r="AX116" s="228"/>
      <c r="AY116" s="227"/>
      <c r="AZ116" s="228"/>
      <c r="BA116" s="228"/>
      <c r="BB116" s="228"/>
      <c r="BC116" s="228"/>
      <c r="BD116" s="227"/>
      <c r="BE116" s="228"/>
      <c r="BF116" s="228"/>
      <c r="BG116" s="228"/>
      <c r="BH116" s="229"/>
      <c r="BI116" s="199"/>
      <c r="BJ116" s="229"/>
      <c r="BK116" s="229"/>
      <c r="BL116" s="198">
        <v>1600</v>
      </c>
      <c r="BM116" s="229">
        <f>BM113+BM115</f>
        <v>1600</v>
      </c>
      <c r="BN116" s="199">
        <f>BM116</f>
        <v>1600</v>
      </c>
      <c r="BO116" s="229">
        <f>BO113+BO115</f>
        <v>1600</v>
      </c>
      <c r="BP116" s="229">
        <f>BP113+BP115</f>
        <v>1600</v>
      </c>
      <c r="BQ116" s="229">
        <f>BQ113+BQ115</f>
        <v>1600</v>
      </c>
      <c r="BR116" s="551">
        <v>1600</v>
      </c>
      <c r="BS116" s="199">
        <f>BR116</f>
        <v>1600</v>
      </c>
      <c r="BT116" s="551">
        <v>1600</v>
      </c>
      <c r="BU116" s="551">
        <v>1600</v>
      </c>
      <c r="BV116" s="582">
        <v>1600</v>
      </c>
      <c r="BW116" s="551">
        <v>1600</v>
      </c>
      <c r="BX116" s="199">
        <f>BW116</f>
        <v>1600</v>
      </c>
      <c r="BY116" s="551">
        <v>1600</v>
      </c>
      <c r="BZ116" s="582">
        <v>1600</v>
      </c>
      <c r="CA116" s="582">
        <v>1600</v>
      </c>
      <c r="CB116" s="582">
        <v>1600</v>
      </c>
      <c r="CC116" s="199">
        <f>CB116</f>
        <v>1600</v>
      </c>
      <c r="CD116" s="582">
        <v>1588</v>
      </c>
      <c r="CE116" s="582">
        <v>697</v>
      </c>
      <c r="CF116" s="229">
        <f>CF113+CF115</f>
        <v>697</v>
      </c>
      <c r="CG116" s="582">
        <v>698</v>
      </c>
      <c r="CH116" s="199">
        <f>CG116</f>
        <v>698</v>
      </c>
      <c r="CI116" s="582">
        <v>0</v>
      </c>
      <c r="CJ116" s="193">
        <f>SUM(CJ113:CJ115)</f>
        <v>0</v>
      </c>
      <c r="CK116" s="193">
        <f>SUM(CK113:CK115)</f>
        <v>0</v>
      </c>
      <c r="CL116" s="193">
        <f>SUM(CL113:CL115)</f>
        <v>0</v>
      </c>
      <c r="CM116" s="194">
        <f>CL116</f>
        <v>0</v>
      </c>
      <c r="CN116" s="193">
        <f>SUM(CN113:CN115)</f>
        <v>0</v>
      </c>
      <c r="CO116" s="193">
        <f>SUM(CO113:CO115)</f>
        <v>0</v>
      </c>
      <c r="CP116" s="193">
        <f>SUM(CP113:CP115)</f>
        <v>0</v>
      </c>
      <c r="CQ116" s="193">
        <f>SUM(CQ113:CQ115)</f>
        <v>0</v>
      </c>
      <c r="CR116" s="194">
        <f>CQ116</f>
        <v>0</v>
      </c>
      <c r="CS116" s="193">
        <f>SUM(CS113:CS115)</f>
        <v>0</v>
      </c>
      <c r="CT116" s="193">
        <f>SUM(CT113:CT115)</f>
        <v>0</v>
      </c>
      <c r="CU116" s="193">
        <f>SUM(CU113:CU115)</f>
        <v>0</v>
      </c>
      <c r="CV116" s="193">
        <f>SUM(CV113:CV115)</f>
        <v>0</v>
      </c>
      <c r="CW116" s="194">
        <f>CV116</f>
        <v>0</v>
      </c>
      <c r="CX116" s="193">
        <f>SUM(CX113:CX115)</f>
        <v>0</v>
      </c>
      <c r="CY116" s="193">
        <f>SUM(CY113:CY115)</f>
        <v>0</v>
      </c>
      <c r="CZ116" s="193">
        <f>SUM(CZ113:CZ115)</f>
        <v>0</v>
      </c>
      <c r="DA116" s="193">
        <f>SUM(DA113:DA115)</f>
        <v>0</v>
      </c>
      <c r="DB116" s="194">
        <f>DA116</f>
        <v>0</v>
      </c>
      <c r="DC116" s="5"/>
      <c r="DD116" s="5"/>
      <c r="DE116" s="171"/>
      <c r="DF116" s="171"/>
      <c r="DG116" s="171"/>
      <c r="DH116" s="171"/>
      <c r="DI116" s="171"/>
      <c r="DJ116" s="171"/>
    </row>
    <row r="117" spans="1:114" hidden="1" outlineLevel="1">
      <c r="A117" s="171"/>
      <c r="B117" s="691" t="s">
        <v>520</v>
      </c>
      <c r="C117" s="33"/>
      <c r="D117" s="206"/>
      <c r="E117" s="206"/>
      <c r="F117" s="206"/>
      <c r="G117" s="214"/>
      <c r="H117" s="214"/>
      <c r="I117" s="214"/>
      <c r="J117" s="214"/>
      <c r="K117" s="206"/>
      <c r="L117" s="214"/>
      <c r="M117" s="214"/>
      <c r="N117" s="214"/>
      <c r="O117" s="214"/>
      <c r="P117" s="206"/>
      <c r="Q117" s="214"/>
      <c r="R117" s="214"/>
      <c r="S117" s="214"/>
      <c r="T117" s="214"/>
      <c r="U117" s="206"/>
      <c r="V117" s="214"/>
      <c r="W117" s="214"/>
      <c r="X117" s="214"/>
      <c r="Y117" s="214"/>
      <c r="Z117" s="206"/>
      <c r="AA117" s="214"/>
      <c r="AB117" s="214"/>
      <c r="AC117" s="214"/>
      <c r="AD117" s="214"/>
      <c r="AE117" s="206"/>
      <c r="AF117" s="214"/>
      <c r="AG117" s="214"/>
      <c r="AH117" s="214"/>
      <c r="AI117" s="214"/>
      <c r="AJ117" s="206"/>
      <c r="AK117" s="214"/>
      <c r="AL117" s="214"/>
      <c r="AM117" s="214"/>
      <c r="AN117" s="214"/>
      <c r="AO117" s="206"/>
      <c r="AP117" s="214"/>
      <c r="AQ117" s="214"/>
      <c r="AR117" s="214"/>
      <c r="AS117" s="214"/>
      <c r="AT117" s="225"/>
      <c r="AU117" s="226"/>
      <c r="AV117" s="226"/>
      <c r="AW117" s="226"/>
      <c r="AX117" s="226"/>
      <c r="AY117" s="225"/>
      <c r="AZ117" s="226"/>
      <c r="BA117" s="226"/>
      <c r="BB117" s="226"/>
      <c r="BC117" s="226"/>
      <c r="BD117" s="225"/>
      <c r="BE117" s="226"/>
      <c r="BF117" s="226"/>
      <c r="BG117" s="226"/>
      <c r="BH117" s="230"/>
      <c r="BI117" s="197"/>
      <c r="BJ117" s="230"/>
      <c r="BK117" s="230"/>
      <c r="BL117" s="230">
        <f>BL112/4*AVERAGE(BL116,BL113)</f>
        <v>10.25</v>
      </c>
      <c r="BM117" s="230">
        <f>BM112/4*AVERAGE(BM116,BM113)</f>
        <v>20.5</v>
      </c>
      <c r="BN117" s="197">
        <f>SUM(BJ117:BM117)</f>
        <v>30.75</v>
      </c>
      <c r="BO117" s="230">
        <f>BO112/4*AVERAGE(BO116,BO113)</f>
        <v>20.5</v>
      </c>
      <c r="BP117" s="230">
        <f>BP112/4*AVERAGE(BP116,BP113)</f>
        <v>20.5</v>
      </c>
      <c r="BQ117" s="230">
        <f>BQ112/4*AVERAGE(BQ116,BQ113)</f>
        <v>20.5</v>
      </c>
      <c r="BR117" s="230">
        <f>BR112/4*AVERAGE(BR116,BR113)</f>
        <v>20.5</v>
      </c>
      <c r="BS117" s="197">
        <f>SUM(BO117:BR117)</f>
        <v>82</v>
      </c>
      <c r="BT117" s="230">
        <f>BT112/4*AVERAGE(BT116,BT113)</f>
        <v>20.5</v>
      </c>
      <c r="BU117" s="230">
        <f>BU112/4*AVERAGE(BU116,BU113)</f>
        <v>20.5</v>
      </c>
      <c r="BV117" s="230">
        <f>BV112/4*AVERAGE(BV116,BV113)</f>
        <v>20.5</v>
      </c>
      <c r="BW117" s="230">
        <f>BW112/4*AVERAGE(BW116,BW113)</f>
        <v>20.5</v>
      </c>
      <c r="BX117" s="197">
        <f>SUM(BT117:BW117)</f>
        <v>82</v>
      </c>
      <c r="BY117" s="230">
        <f>BY112/4*AVERAGE(BY116,BY113)</f>
        <v>20.5</v>
      </c>
      <c r="BZ117" s="230">
        <f>BZ112/4*AVERAGE(BZ116,BZ113)</f>
        <v>20.5</v>
      </c>
      <c r="CA117" s="230">
        <f>CA112/4*AVERAGE(CA116,CA113)</f>
        <v>20.5</v>
      </c>
      <c r="CB117" s="230">
        <f>CB112/4*AVERAGE(CB116,CB113)</f>
        <v>20.5</v>
      </c>
      <c r="CC117" s="197">
        <f>SUM(BY117:CB117)</f>
        <v>82</v>
      </c>
      <c r="CD117" s="230">
        <f>CD112/4*AVERAGE(CD116,CD113)</f>
        <v>20.423124999999999</v>
      </c>
      <c r="CE117" s="230">
        <f>CE112/4*AVERAGE(CE116,CE113)</f>
        <v>14.638281249999999</v>
      </c>
      <c r="CF117" s="230">
        <f>CF112/4*AVERAGE(CF116,CF113)</f>
        <v>8.9303124999999994</v>
      </c>
      <c r="CG117" s="230">
        <f>CG112/4*AVERAGE(CG116,CG113)</f>
        <v>8.9367187499999989</v>
      </c>
      <c r="CH117" s="197">
        <f>SUM(CD117:CG117)</f>
        <v>52.928437499999994</v>
      </c>
      <c r="CI117" s="230">
        <f>CI112/4*AVERAGE(CI116,CI113)</f>
        <v>4.4715625000000001</v>
      </c>
      <c r="CJ117" s="230">
        <f>CJ112/4*AVERAGE(CJ116,CJ113)</f>
        <v>0</v>
      </c>
      <c r="CK117" s="230">
        <f>CK112/4*AVERAGE(CK116,CK113)</f>
        <v>0</v>
      </c>
      <c r="CL117" s="230">
        <f>CL112/4*AVERAGE(CL116,CL113)</f>
        <v>0</v>
      </c>
      <c r="CM117" s="197">
        <f>SUM(CI117:CL117)</f>
        <v>4.4715625000000001</v>
      </c>
      <c r="CN117" s="230">
        <f>CN112/4*AVERAGE(CN116,CN113)</f>
        <v>0</v>
      </c>
      <c r="CO117" s="230">
        <f>CO112/4*AVERAGE(CO116,CO113)</f>
        <v>0</v>
      </c>
      <c r="CP117" s="230">
        <f>CP112/4*AVERAGE(CP116,CP113)</f>
        <v>0</v>
      </c>
      <c r="CQ117" s="230">
        <f>CQ112/4*AVERAGE(CQ116,CQ113)</f>
        <v>0</v>
      </c>
      <c r="CR117" s="197">
        <f>SUM(CN117:CQ117)</f>
        <v>0</v>
      </c>
      <c r="CS117" s="230">
        <f>CS112/4*AVERAGE(CS116,CS113)</f>
        <v>0</v>
      </c>
      <c r="CT117" s="230">
        <f>CT112/4*AVERAGE(CT116,CT113)</f>
        <v>0</v>
      </c>
      <c r="CU117" s="230">
        <f>CU112/4*AVERAGE(CU116,CU113)</f>
        <v>0</v>
      </c>
      <c r="CV117" s="230">
        <f>CV112/4*AVERAGE(CV116,CV113)</f>
        <v>0</v>
      </c>
      <c r="CW117" s="197">
        <f>SUM(CS117:CV117)</f>
        <v>0</v>
      </c>
      <c r="CX117" s="230">
        <f>CX112/4*AVERAGE(CX116,CX113)</f>
        <v>0</v>
      </c>
      <c r="CY117" s="230">
        <f>CY112/4*AVERAGE(CY116,CY113)</f>
        <v>0</v>
      </c>
      <c r="CZ117" s="230">
        <f>CZ112/4*AVERAGE(CZ116,CZ113)</f>
        <v>0</v>
      </c>
      <c r="DA117" s="230">
        <f>DA112/4*AVERAGE(DA116,DA113)</f>
        <v>0</v>
      </c>
      <c r="DB117" s="197">
        <f>SUM(CX117:DA117)</f>
        <v>0</v>
      </c>
      <c r="DC117" s="5"/>
      <c r="DD117" s="5"/>
      <c r="DE117" s="171"/>
      <c r="DF117" s="171"/>
      <c r="DG117" s="171"/>
      <c r="DH117" s="171"/>
      <c r="DI117" s="171"/>
      <c r="DJ117" s="171"/>
    </row>
    <row r="118" spans="1:114" s="1163" customFormat="1" hidden="1" outlineLevel="1">
      <c r="A118" s="171"/>
      <c r="B118" s="1164"/>
      <c r="C118" s="46"/>
      <c r="D118" s="1161"/>
      <c r="E118" s="1161"/>
      <c r="F118" s="1161"/>
      <c r="G118" s="1161"/>
      <c r="H118" s="1161"/>
      <c r="I118" s="1161"/>
      <c r="J118" s="1161"/>
      <c r="K118" s="1161"/>
      <c r="L118" s="1161"/>
      <c r="M118" s="1161"/>
      <c r="N118" s="1161"/>
      <c r="O118" s="1161"/>
      <c r="P118" s="1161"/>
      <c r="Q118" s="1161"/>
      <c r="R118" s="1161"/>
      <c r="S118" s="1161"/>
      <c r="T118" s="1161"/>
      <c r="U118" s="1161"/>
      <c r="V118" s="1161"/>
      <c r="W118" s="1161"/>
      <c r="X118" s="1161"/>
      <c r="Y118" s="1161"/>
      <c r="Z118" s="1161"/>
      <c r="AA118" s="1161"/>
      <c r="AB118" s="1161"/>
      <c r="AC118" s="1161"/>
      <c r="AD118" s="1161"/>
      <c r="AE118" s="1161"/>
      <c r="AF118" s="1161"/>
      <c r="AG118" s="1161"/>
      <c r="AH118" s="1161"/>
      <c r="AI118" s="1161"/>
      <c r="AJ118" s="1161"/>
      <c r="AK118" s="1161"/>
      <c r="AL118" s="1161"/>
      <c r="AM118" s="1161"/>
      <c r="AN118" s="1161"/>
      <c r="AO118" s="1161"/>
      <c r="AP118" s="1161"/>
      <c r="AQ118" s="1161"/>
      <c r="AR118" s="1161"/>
      <c r="AS118" s="1161"/>
      <c r="AT118" s="1161"/>
      <c r="AU118" s="1162"/>
      <c r="AV118" s="1162"/>
      <c r="AW118" s="1162"/>
      <c r="AX118" s="1162"/>
      <c r="AY118" s="1161"/>
      <c r="AZ118" s="1162"/>
      <c r="BA118" s="1162"/>
      <c r="BB118" s="1162"/>
      <c r="BC118" s="1162"/>
      <c r="BD118" s="1161"/>
      <c r="BE118" s="1162"/>
      <c r="BF118" s="1162"/>
      <c r="BG118" s="1162"/>
      <c r="BH118" s="1162"/>
      <c r="BI118" s="1161"/>
      <c r="BJ118" s="1165"/>
      <c r="BK118" s="1165"/>
      <c r="BL118" s="1161"/>
      <c r="BM118" s="1161"/>
      <c r="BN118" s="1161"/>
      <c r="BO118" s="1161"/>
      <c r="BP118" s="1161"/>
      <c r="BQ118" s="1161"/>
      <c r="BR118" s="1161"/>
      <c r="BS118" s="1161"/>
      <c r="BT118" s="1161"/>
      <c r="BU118" s="1161"/>
      <c r="BV118" s="1161"/>
      <c r="BW118" s="1161"/>
      <c r="BX118" s="1161"/>
      <c r="BY118" s="1161"/>
      <c r="BZ118" s="1161"/>
      <c r="CA118" s="1161"/>
      <c r="CB118" s="1161"/>
      <c r="CC118" s="1161"/>
      <c r="CD118" s="1161"/>
      <c r="CE118" s="1161"/>
      <c r="CF118" s="1161"/>
      <c r="CG118" s="1161"/>
      <c r="CH118" s="1161"/>
      <c r="CI118" s="1161"/>
      <c r="CJ118" s="1161"/>
      <c r="CK118" s="1161"/>
      <c r="CL118" s="1161"/>
      <c r="CM118" s="1161"/>
      <c r="CN118" s="1161"/>
      <c r="CO118" s="1161"/>
      <c r="CP118" s="1161"/>
      <c r="CQ118" s="1161"/>
      <c r="CR118" s="1161"/>
      <c r="CS118" s="1161"/>
      <c r="CT118" s="1161"/>
      <c r="CU118" s="1161"/>
      <c r="CV118" s="1161"/>
      <c r="CW118" s="1161"/>
      <c r="CX118" s="1161"/>
      <c r="CY118" s="1161"/>
      <c r="CZ118" s="1161"/>
      <c r="DA118" s="1161"/>
      <c r="DB118" s="1161"/>
      <c r="DC118" s="5"/>
      <c r="DD118" s="5"/>
      <c r="DE118" s="171"/>
      <c r="DF118" s="171"/>
      <c r="DG118" s="171"/>
      <c r="DH118" s="171"/>
      <c r="DI118" s="171"/>
      <c r="DJ118" s="171"/>
    </row>
    <row r="119" spans="1:114" s="1163" customFormat="1" hidden="1" outlineLevel="1">
      <c r="A119" s="171"/>
      <c r="B119" s="1164" t="s">
        <v>650</v>
      </c>
      <c r="C119" s="46"/>
      <c r="D119" s="1161"/>
      <c r="E119" s="1161"/>
      <c r="F119" s="1161"/>
      <c r="G119" s="1161"/>
      <c r="H119" s="1161"/>
      <c r="I119" s="1161"/>
      <c r="J119" s="1161"/>
      <c r="K119" s="1161"/>
      <c r="L119" s="1161"/>
      <c r="M119" s="1161"/>
      <c r="N119" s="1161"/>
      <c r="O119" s="1161"/>
      <c r="P119" s="1161"/>
      <c r="Q119" s="1161"/>
      <c r="R119" s="1161"/>
      <c r="S119" s="1161"/>
      <c r="T119" s="1161"/>
      <c r="U119" s="1161"/>
      <c r="V119" s="1161"/>
      <c r="W119" s="1161"/>
      <c r="X119" s="1161"/>
      <c r="Y119" s="1161"/>
      <c r="Z119" s="1161"/>
      <c r="AA119" s="1161"/>
      <c r="AB119" s="1161"/>
      <c r="AC119" s="1161"/>
      <c r="AD119" s="1161"/>
      <c r="AE119" s="1161"/>
      <c r="AF119" s="1161"/>
      <c r="AG119" s="1161"/>
      <c r="AH119" s="1161"/>
      <c r="AI119" s="1161"/>
      <c r="AJ119" s="1161"/>
      <c r="AK119" s="1161"/>
      <c r="AL119" s="1161"/>
      <c r="AM119" s="1161"/>
      <c r="AN119" s="1161"/>
      <c r="AO119" s="1161"/>
      <c r="AP119" s="1161"/>
      <c r="AQ119" s="1161"/>
      <c r="AR119" s="1161"/>
      <c r="AS119" s="1161"/>
      <c r="AT119" s="1161"/>
      <c r="AU119" s="1162"/>
      <c r="AV119" s="1162"/>
      <c r="AW119" s="1162"/>
      <c r="AX119" s="1162"/>
      <c r="AY119" s="1161"/>
      <c r="AZ119" s="1162"/>
      <c r="BA119" s="1162"/>
      <c r="BB119" s="1162"/>
      <c r="BC119" s="1162"/>
      <c r="BD119" s="1161"/>
      <c r="BE119" s="1162"/>
      <c r="BF119" s="1162"/>
      <c r="BG119" s="1162"/>
      <c r="BH119" s="1162"/>
      <c r="BI119" s="1161"/>
      <c r="BJ119" s="1165"/>
      <c r="BK119" s="1165"/>
      <c r="BL119" s="1161"/>
      <c r="BM119" s="1161"/>
      <c r="BN119" s="1161"/>
      <c r="BO119" s="1161"/>
      <c r="BP119" s="1161"/>
      <c r="BQ119" s="1161"/>
      <c r="BR119" s="1161"/>
      <c r="BS119" s="1161"/>
      <c r="BT119" s="1161"/>
      <c r="BU119" s="1161"/>
      <c r="BV119" s="1161"/>
      <c r="BW119" s="1161"/>
      <c r="BX119" s="1161"/>
      <c r="BY119" s="1161"/>
      <c r="BZ119" s="1161"/>
      <c r="CA119" s="1161"/>
      <c r="CB119" s="1161"/>
      <c r="CC119" s="1161"/>
      <c r="CD119" s="1161"/>
      <c r="CE119" s="1161"/>
      <c r="CF119" s="1161"/>
      <c r="CG119" s="1161"/>
      <c r="CH119" s="1161"/>
      <c r="CI119" s="1161"/>
      <c r="CJ119" s="1161">
        <f>CJ107+CJ115</f>
        <v>978.00000000099999</v>
      </c>
      <c r="CK119" s="1161">
        <f t="shared" ref="CK119:CV119" si="72">CK107+CK115</f>
        <v>606</v>
      </c>
      <c r="CL119" s="1161">
        <f t="shared" si="72"/>
        <v>604</v>
      </c>
      <c r="CM119" s="1161"/>
      <c r="CN119" s="1161">
        <f t="shared" ca="1" si="72"/>
        <v>808.02631845250721</v>
      </c>
      <c r="CO119" s="1161">
        <f t="shared" ca="1" si="72"/>
        <v>1013.2860213639867</v>
      </c>
      <c r="CP119" s="1161">
        <f t="shared" ca="1" si="72"/>
        <v>1088.105499173693</v>
      </c>
      <c r="CQ119" s="1161">
        <f t="shared" ca="1" si="72"/>
        <v>926.54555942532443</v>
      </c>
      <c r="CR119" s="1161"/>
      <c r="CS119" s="1161">
        <f t="shared" ca="1" si="72"/>
        <v>310.88494895668322</v>
      </c>
      <c r="CT119" s="1161">
        <f t="shared" ca="1" si="72"/>
        <v>474.61248303849936</v>
      </c>
      <c r="CU119" s="1161">
        <f t="shared" ca="1" si="72"/>
        <v>500.16083743763681</v>
      </c>
      <c r="CV119" s="1161">
        <f t="shared" ca="1" si="72"/>
        <v>714.23774281568853</v>
      </c>
      <c r="CW119" s="1161"/>
      <c r="CX119" s="1161">
        <f t="shared" ref="CX119:DA119" ca="1" si="73">CX107+CX115</f>
        <v>283.07015564062908</v>
      </c>
      <c r="CY119" s="1161">
        <f t="shared" ca="1" si="73"/>
        <v>336.79526973413715</v>
      </c>
      <c r="CZ119" s="1161">
        <f t="shared" ca="1" si="73"/>
        <v>453.3926388405722</v>
      </c>
      <c r="DA119" s="1161">
        <f t="shared" ca="1" si="73"/>
        <v>255.53769257557099</v>
      </c>
      <c r="DB119" s="1161"/>
      <c r="DC119" s="5"/>
      <c r="DD119" s="5"/>
      <c r="DE119" s="171"/>
      <c r="DF119" s="171"/>
      <c r="DG119" s="171"/>
      <c r="DH119" s="171"/>
      <c r="DI119" s="171"/>
      <c r="DJ119" s="171"/>
    </row>
    <row r="120" spans="1:114" s="1163" customFormat="1" hidden="1" outlineLevel="1">
      <c r="A120" s="171"/>
      <c r="B120" s="1164"/>
      <c r="C120" s="46"/>
      <c r="D120" s="1161"/>
      <c r="E120" s="1161"/>
      <c r="F120" s="1161"/>
      <c r="G120" s="1161"/>
      <c r="H120" s="1161"/>
      <c r="I120" s="1161"/>
      <c r="J120" s="1161"/>
      <c r="K120" s="1161"/>
      <c r="L120" s="1161"/>
      <c r="M120" s="1161"/>
      <c r="N120" s="1161"/>
      <c r="O120" s="1161"/>
      <c r="P120" s="1161"/>
      <c r="Q120" s="1161"/>
      <c r="R120" s="1161"/>
      <c r="S120" s="1161"/>
      <c r="T120" s="1161"/>
      <c r="U120" s="1161"/>
      <c r="V120" s="1161"/>
      <c r="W120" s="1161"/>
      <c r="X120" s="1161"/>
      <c r="Y120" s="1161"/>
      <c r="Z120" s="1161"/>
      <c r="AA120" s="1161"/>
      <c r="AB120" s="1161"/>
      <c r="AC120" s="1161"/>
      <c r="AD120" s="1161"/>
      <c r="AE120" s="1161"/>
      <c r="AF120" s="1161"/>
      <c r="AG120" s="1161"/>
      <c r="AH120" s="1161"/>
      <c r="AI120" s="1161"/>
      <c r="AJ120" s="1161"/>
      <c r="AK120" s="1161"/>
      <c r="AL120" s="1161"/>
      <c r="AM120" s="1161"/>
      <c r="AN120" s="1161"/>
      <c r="AO120" s="1161"/>
      <c r="AP120" s="1161"/>
      <c r="AQ120" s="1161"/>
      <c r="AR120" s="1161"/>
      <c r="AS120" s="1161"/>
      <c r="AT120" s="1161"/>
      <c r="AU120" s="1162"/>
      <c r="AV120" s="1162"/>
      <c r="AW120" s="1162"/>
      <c r="AX120" s="1162"/>
      <c r="AY120" s="1161"/>
      <c r="AZ120" s="1162"/>
      <c r="BA120" s="1162"/>
      <c r="BB120" s="1162"/>
      <c r="BC120" s="1162"/>
      <c r="BD120" s="1161"/>
      <c r="BE120" s="1162"/>
      <c r="BF120" s="1162"/>
      <c r="BG120" s="1162"/>
      <c r="BH120" s="1162"/>
      <c r="BI120" s="1161"/>
      <c r="BJ120" s="1165"/>
      <c r="BK120" s="1165"/>
      <c r="BL120" s="1161"/>
      <c r="BM120" s="1161"/>
      <c r="BN120" s="1161"/>
      <c r="BO120" s="1161"/>
      <c r="BP120" s="1161"/>
      <c r="BQ120" s="1161"/>
      <c r="BR120" s="1161"/>
      <c r="BS120" s="1161"/>
      <c r="BT120" s="1161"/>
      <c r="BU120" s="1161"/>
      <c r="BV120" s="1161"/>
      <c r="BW120" s="1161"/>
      <c r="BX120" s="1161"/>
      <c r="BY120" s="1161"/>
      <c r="BZ120" s="1161"/>
      <c r="CA120" s="1161"/>
      <c r="CB120" s="1161"/>
      <c r="CC120" s="1161"/>
      <c r="CD120" s="1161"/>
      <c r="CE120" s="1161"/>
      <c r="CF120" s="1161"/>
      <c r="CG120" s="1161"/>
      <c r="CH120" s="1161"/>
      <c r="CI120" s="1161"/>
      <c r="CJ120" s="1161"/>
      <c r="CK120" s="1161"/>
      <c r="CL120" s="1161"/>
      <c r="CM120" s="1161"/>
      <c r="CN120" s="1161"/>
      <c r="CO120" s="1161"/>
      <c r="CP120" s="1161"/>
      <c r="CQ120" s="1161"/>
      <c r="CR120" s="1161"/>
      <c r="CS120" s="1161"/>
      <c r="CT120" s="1161"/>
      <c r="CU120" s="1161"/>
      <c r="CV120" s="1161"/>
      <c r="CW120" s="1161"/>
      <c r="CX120" s="1161"/>
      <c r="CY120" s="1161"/>
      <c r="CZ120" s="1161"/>
      <c r="DA120" s="1161"/>
      <c r="DB120" s="1161"/>
      <c r="DC120" s="5"/>
      <c r="DD120" s="5"/>
      <c r="DE120" s="171"/>
      <c r="DF120" s="171"/>
      <c r="DG120" s="171"/>
      <c r="DH120" s="171"/>
      <c r="DI120" s="171"/>
      <c r="DJ120" s="171"/>
    </row>
    <row r="121" spans="1:114" collapsed="1">
      <c r="A121" s="171"/>
      <c r="B121" s="696" t="s">
        <v>551</v>
      </c>
      <c r="C121" s="169"/>
      <c r="D121" s="215"/>
      <c r="E121" s="215"/>
      <c r="F121" s="215"/>
      <c r="G121" s="216"/>
      <c r="H121" s="216"/>
      <c r="I121" s="216"/>
      <c r="J121" s="216"/>
      <c r="K121" s="215"/>
      <c r="L121" s="216"/>
      <c r="M121" s="216"/>
      <c r="N121" s="216"/>
      <c r="O121" s="216"/>
      <c r="P121" s="215"/>
      <c r="Q121" s="216"/>
      <c r="R121" s="216"/>
      <c r="S121" s="216"/>
      <c r="T121" s="216"/>
      <c r="U121" s="215"/>
      <c r="V121" s="216"/>
      <c r="W121" s="216"/>
      <c r="X121" s="216"/>
      <c r="Y121" s="216"/>
      <c r="Z121" s="215"/>
      <c r="AA121" s="216"/>
      <c r="AB121" s="216"/>
      <c r="AC121" s="216"/>
      <c r="AD121" s="216"/>
      <c r="AE121" s="215"/>
      <c r="AF121" s="216"/>
      <c r="AG121" s="216"/>
      <c r="AH121" s="216"/>
      <c r="AI121" s="216"/>
      <c r="AJ121" s="215"/>
      <c r="AK121" s="216"/>
      <c r="AL121" s="216"/>
      <c r="AM121" s="216"/>
      <c r="AN121" s="216"/>
      <c r="AO121" s="215"/>
      <c r="AP121" s="216"/>
      <c r="AQ121" s="216"/>
      <c r="AR121" s="216"/>
      <c r="AS121" s="216"/>
      <c r="AT121" s="215"/>
      <c r="AU121" s="216"/>
      <c r="AV121" s="216"/>
      <c r="AW121" s="216"/>
      <c r="AX121" s="216"/>
      <c r="AY121" s="215"/>
      <c r="AZ121" s="216"/>
      <c r="BA121" s="216"/>
      <c r="BB121" s="216"/>
      <c r="BC121" s="216"/>
      <c r="BD121" s="215"/>
      <c r="BE121" s="216"/>
      <c r="BF121" s="216"/>
      <c r="BG121" s="216"/>
      <c r="BH121" s="217"/>
      <c r="BI121" s="218"/>
      <c r="BJ121" s="217"/>
      <c r="BK121" s="217"/>
      <c r="BL121" s="217"/>
      <c r="BM121" s="217"/>
      <c r="BN121" s="218"/>
      <c r="BO121" s="216"/>
      <c r="BP121" s="216"/>
      <c r="BQ121" s="216"/>
      <c r="BR121" s="216"/>
      <c r="BS121" s="215"/>
      <c r="BT121" s="216"/>
      <c r="BU121" s="216"/>
      <c r="BV121" s="216"/>
      <c r="BW121" s="216"/>
      <c r="BX121" s="215"/>
      <c r="BY121" s="216"/>
      <c r="BZ121" s="216"/>
      <c r="CA121" s="216"/>
      <c r="CB121" s="216"/>
      <c r="CC121" s="215"/>
      <c r="CD121" s="216"/>
      <c r="CE121" s="216"/>
      <c r="CF121" s="216"/>
      <c r="CG121" s="216"/>
      <c r="CH121" s="215"/>
      <c r="CI121" s="216"/>
      <c r="CJ121" s="216"/>
      <c r="CK121" s="216"/>
      <c r="CL121" s="216"/>
      <c r="CM121" s="215"/>
      <c r="CN121" s="216"/>
      <c r="CO121" s="216"/>
      <c r="CP121" s="216"/>
      <c r="CQ121" s="216"/>
      <c r="CR121" s="215"/>
      <c r="CS121" s="216"/>
      <c r="CT121" s="216"/>
      <c r="CU121" s="216"/>
      <c r="CV121" s="216"/>
      <c r="CW121" s="215"/>
      <c r="CX121" s="216"/>
      <c r="CY121" s="216"/>
      <c r="CZ121" s="216"/>
      <c r="DA121" s="216"/>
      <c r="DB121" s="215"/>
      <c r="DC121" s="5"/>
      <c r="DD121" s="5"/>
      <c r="DE121" s="171"/>
      <c r="DF121" s="171"/>
      <c r="DG121" s="171"/>
      <c r="DH121" s="171"/>
      <c r="DI121" s="171"/>
      <c r="DJ121" s="171"/>
    </row>
    <row r="122" spans="1:114">
      <c r="A122" s="171"/>
      <c r="B122" s="697" t="s">
        <v>517</v>
      </c>
      <c r="C122" s="38"/>
      <c r="D122" s="201"/>
      <c r="E122" s="201"/>
      <c r="F122" s="201"/>
      <c r="G122" s="166"/>
      <c r="H122" s="166"/>
      <c r="I122" s="166"/>
      <c r="J122" s="166"/>
      <c r="K122" s="201"/>
      <c r="L122" s="166"/>
      <c r="M122" s="166"/>
      <c r="N122" s="166"/>
      <c r="O122" s="166"/>
      <c r="P122" s="201"/>
      <c r="Q122" s="166"/>
      <c r="R122" s="166"/>
      <c r="S122" s="166"/>
      <c r="T122" s="166"/>
      <c r="U122" s="201"/>
      <c r="V122" s="166"/>
      <c r="W122" s="166"/>
      <c r="X122" s="166"/>
      <c r="Y122" s="166"/>
      <c r="Z122" s="201"/>
      <c r="AA122" s="166"/>
      <c r="AB122" s="166"/>
      <c r="AC122" s="166"/>
      <c r="AD122" s="166"/>
      <c r="AE122" s="201"/>
      <c r="AF122" s="166"/>
      <c r="AG122" s="166"/>
      <c r="AH122" s="166"/>
      <c r="AI122" s="166"/>
      <c r="AJ122" s="201"/>
      <c r="AK122" s="166"/>
      <c r="AL122" s="166"/>
      <c r="AM122" s="166"/>
      <c r="AN122" s="166"/>
      <c r="AO122" s="201"/>
      <c r="AP122" s="166"/>
      <c r="AQ122" s="166"/>
      <c r="AR122" s="166"/>
      <c r="AS122" s="166"/>
      <c r="AT122" s="201"/>
      <c r="AU122" s="231"/>
      <c r="AV122" s="231"/>
      <c r="AW122" s="231"/>
      <c r="AX122" s="231"/>
      <c r="AY122" s="270"/>
      <c r="AZ122" s="231"/>
      <c r="BA122" s="231"/>
      <c r="BB122" s="231"/>
      <c r="BC122" s="231"/>
      <c r="BD122" s="270"/>
      <c r="BE122" s="231"/>
      <c r="BF122" s="231"/>
      <c r="BG122" s="231"/>
      <c r="BH122" s="231"/>
      <c r="BI122" s="270"/>
      <c r="BJ122" s="231"/>
      <c r="BK122" s="231"/>
      <c r="BL122" s="231"/>
      <c r="BM122" s="220"/>
      <c r="BN122" s="107"/>
      <c r="BO122" s="220"/>
      <c r="BP122" s="220"/>
      <c r="BQ122" s="220"/>
      <c r="BR122" s="220"/>
      <c r="BS122" s="107"/>
      <c r="BT122" s="220">
        <v>5.1249999999999997E-2</v>
      </c>
      <c r="BU122" s="220">
        <f>BT122</f>
        <v>5.1249999999999997E-2</v>
      </c>
      <c r="BV122" s="220">
        <f>BU122</f>
        <v>5.1249999999999997E-2</v>
      </c>
      <c r="BW122" s="220">
        <f>BV122</f>
        <v>5.1249999999999997E-2</v>
      </c>
      <c r="BX122" s="107"/>
      <c r="BY122" s="220">
        <f>BW122</f>
        <v>5.1249999999999997E-2</v>
      </c>
      <c r="BZ122" s="220">
        <f>BY122</f>
        <v>5.1249999999999997E-2</v>
      </c>
      <c r="CA122" s="220">
        <f>BZ122</f>
        <v>5.1249999999999997E-2</v>
      </c>
      <c r="CB122" s="220">
        <f>CA122</f>
        <v>5.1249999999999997E-2</v>
      </c>
      <c r="CC122" s="107"/>
      <c r="CD122" s="220">
        <f>CB122</f>
        <v>5.1249999999999997E-2</v>
      </c>
      <c r="CE122" s="220">
        <f>CD122</f>
        <v>5.1249999999999997E-2</v>
      </c>
      <c r="CF122" s="220">
        <f>CE122</f>
        <v>5.1249999999999997E-2</v>
      </c>
      <c r="CG122" s="220">
        <f>CF122</f>
        <v>5.1249999999999997E-2</v>
      </c>
      <c r="CH122" s="107"/>
      <c r="CI122" s="220">
        <f>CG122</f>
        <v>5.1249999999999997E-2</v>
      </c>
      <c r="CJ122" s="220">
        <f>CI122</f>
        <v>5.1249999999999997E-2</v>
      </c>
      <c r="CK122" s="220">
        <f>CJ122</f>
        <v>5.1249999999999997E-2</v>
      </c>
      <c r="CL122" s="220">
        <f>CK122</f>
        <v>5.1249999999999997E-2</v>
      </c>
      <c r="CM122" s="107"/>
      <c r="CN122" s="220">
        <f>CL122</f>
        <v>5.1249999999999997E-2</v>
      </c>
      <c r="CO122" s="220">
        <f>CN122</f>
        <v>5.1249999999999997E-2</v>
      </c>
      <c r="CP122" s="220">
        <f>CO122</f>
        <v>5.1249999999999997E-2</v>
      </c>
      <c r="CQ122" s="220">
        <f>CP122</f>
        <v>5.1249999999999997E-2</v>
      </c>
      <c r="CR122" s="107"/>
      <c r="CS122" s="220">
        <f>CQ122</f>
        <v>5.1249999999999997E-2</v>
      </c>
      <c r="CT122" s="220">
        <f>CS122</f>
        <v>5.1249999999999997E-2</v>
      </c>
      <c r="CU122" s="220">
        <f>CT122</f>
        <v>5.1249999999999997E-2</v>
      </c>
      <c r="CV122" s="220">
        <f>CU122</f>
        <v>5.1249999999999997E-2</v>
      </c>
      <c r="CW122" s="107"/>
      <c r="CX122" s="220">
        <f>CV122</f>
        <v>5.1249999999999997E-2</v>
      </c>
      <c r="CY122" s="220">
        <f>CX122</f>
        <v>5.1249999999999997E-2</v>
      </c>
      <c r="CZ122" s="220">
        <f>CY122</f>
        <v>5.1249999999999997E-2</v>
      </c>
      <c r="DA122" s="220">
        <f>CZ122</f>
        <v>5.1249999999999997E-2</v>
      </c>
      <c r="DB122" s="107"/>
      <c r="DC122" s="5"/>
      <c r="DD122" s="5"/>
      <c r="DE122" s="171"/>
      <c r="DF122" s="171"/>
      <c r="DG122" s="171"/>
      <c r="DH122" s="171"/>
      <c r="DI122" s="171"/>
      <c r="DJ122" s="171"/>
    </row>
    <row r="123" spans="1:114">
      <c r="A123" s="171"/>
      <c r="B123" s="693" t="s">
        <v>518</v>
      </c>
      <c r="C123" s="38"/>
      <c r="D123" s="201"/>
      <c r="E123" s="201"/>
      <c r="F123" s="201"/>
      <c r="G123" s="166"/>
      <c r="H123" s="166"/>
      <c r="I123" s="166"/>
      <c r="J123" s="166"/>
      <c r="K123" s="201"/>
      <c r="L123" s="166"/>
      <c r="M123" s="166"/>
      <c r="N123" s="166"/>
      <c r="O123" s="166"/>
      <c r="P123" s="201"/>
      <c r="Q123" s="166"/>
      <c r="R123" s="166"/>
      <c r="S123" s="166"/>
      <c r="T123" s="166"/>
      <c r="U123" s="201"/>
      <c r="V123" s="166"/>
      <c r="W123" s="166"/>
      <c r="X123" s="166"/>
      <c r="Y123" s="166"/>
      <c r="Z123" s="201"/>
      <c r="AA123" s="166"/>
      <c r="AB123" s="166"/>
      <c r="AC123" s="166"/>
      <c r="AD123" s="166"/>
      <c r="AE123" s="201"/>
      <c r="AF123" s="166"/>
      <c r="AG123" s="166"/>
      <c r="AH123" s="166"/>
      <c r="AI123" s="166"/>
      <c r="AJ123" s="201"/>
      <c r="AK123" s="166"/>
      <c r="AL123" s="166"/>
      <c r="AM123" s="166"/>
      <c r="AN123" s="166"/>
      <c r="AO123" s="201"/>
      <c r="AP123" s="166"/>
      <c r="AQ123" s="166"/>
      <c r="AR123" s="166"/>
      <c r="AS123" s="166"/>
      <c r="AT123" s="221"/>
      <c r="AU123" s="193"/>
      <c r="AV123" s="193"/>
      <c r="AW123" s="193"/>
      <c r="AX123" s="193"/>
      <c r="AY123" s="194"/>
      <c r="AZ123" s="193"/>
      <c r="BA123" s="193"/>
      <c r="BB123" s="193"/>
      <c r="BC123" s="193"/>
      <c r="BD123" s="194"/>
      <c r="BE123" s="193"/>
      <c r="BF123" s="193"/>
      <c r="BG123" s="193"/>
      <c r="BH123" s="193"/>
      <c r="BI123" s="194"/>
      <c r="BJ123" s="193"/>
      <c r="BK123" s="193"/>
      <c r="BL123" s="193"/>
      <c r="BM123" s="193"/>
      <c r="BN123" s="194"/>
      <c r="BO123" s="193"/>
      <c r="BP123" s="193"/>
      <c r="BQ123" s="193"/>
      <c r="BR123" s="193"/>
      <c r="BS123" s="194">
        <f>BN126</f>
        <v>0</v>
      </c>
      <c r="BT123" s="193">
        <f>BS126</f>
        <v>0</v>
      </c>
      <c r="BU123" s="193">
        <f>BT126</f>
        <v>1000</v>
      </c>
      <c r="BV123" s="193">
        <f>BU126</f>
        <v>1000</v>
      </c>
      <c r="BW123" s="193">
        <f>BV126</f>
        <v>1000</v>
      </c>
      <c r="BX123" s="194">
        <f>BS126</f>
        <v>0</v>
      </c>
      <c r="BY123" s="193">
        <f>BX126</f>
        <v>1000</v>
      </c>
      <c r="BZ123" s="193">
        <f>BY126</f>
        <v>1000</v>
      </c>
      <c r="CA123" s="193">
        <f>BZ126</f>
        <v>1000</v>
      </c>
      <c r="CB123" s="193">
        <f>CA126</f>
        <v>1000</v>
      </c>
      <c r="CC123" s="194">
        <f>BX126</f>
        <v>1000</v>
      </c>
      <c r="CD123" s="193">
        <f>CC126</f>
        <v>1000</v>
      </c>
      <c r="CE123" s="193">
        <f>CD126</f>
        <v>968</v>
      </c>
      <c r="CF123" s="193">
        <f>CE126</f>
        <v>970</v>
      </c>
      <c r="CG123" s="193">
        <f>CF126</f>
        <v>970</v>
      </c>
      <c r="CH123" s="194">
        <f>CC126</f>
        <v>1000</v>
      </c>
      <c r="CI123" s="193">
        <f>CH126</f>
        <v>972</v>
      </c>
      <c r="CJ123" s="193">
        <f>CI126</f>
        <v>1000</v>
      </c>
      <c r="CK123" s="193">
        <f>CJ126</f>
        <v>1000</v>
      </c>
      <c r="CL123" s="193">
        <f>CK126</f>
        <v>1000</v>
      </c>
      <c r="CM123" s="194">
        <f>CH126</f>
        <v>972</v>
      </c>
      <c r="CN123" s="193">
        <f>CM126</f>
        <v>1000</v>
      </c>
      <c r="CO123" s="193">
        <f ca="1">CN126</f>
        <v>700</v>
      </c>
      <c r="CP123" s="193">
        <f ca="1">CO126</f>
        <v>399</v>
      </c>
      <c r="CQ123" s="193">
        <f ca="1">CP126</f>
        <v>51.870000000000005</v>
      </c>
      <c r="CR123" s="194">
        <f>CM126</f>
        <v>1000</v>
      </c>
      <c r="CS123" s="193">
        <f ca="1">CR126</f>
        <v>0</v>
      </c>
      <c r="CT123" s="193">
        <f ca="1">CS126</f>
        <v>0</v>
      </c>
      <c r="CU123" s="193">
        <f ca="1">CT126</f>
        <v>0</v>
      </c>
      <c r="CV123" s="193">
        <f ca="1">CU126</f>
        <v>0</v>
      </c>
      <c r="CW123" s="194">
        <f ca="1">CR126</f>
        <v>0</v>
      </c>
      <c r="CX123" s="193">
        <f ca="1">CW126</f>
        <v>0</v>
      </c>
      <c r="CY123" s="193">
        <f ca="1">CX126</f>
        <v>0</v>
      </c>
      <c r="CZ123" s="193">
        <f ca="1">CY126</f>
        <v>0</v>
      </c>
      <c r="DA123" s="193">
        <f ca="1">CZ126</f>
        <v>0</v>
      </c>
      <c r="DB123" s="194">
        <f ca="1">CW126</f>
        <v>0</v>
      </c>
      <c r="DC123" s="5"/>
      <c r="DD123" s="5"/>
      <c r="DE123" s="171"/>
      <c r="DF123" s="171"/>
      <c r="DG123" s="171"/>
      <c r="DH123" s="171"/>
      <c r="DI123" s="171"/>
      <c r="DJ123" s="171"/>
    </row>
    <row r="124" spans="1:114">
      <c r="A124" s="171"/>
      <c r="B124" s="693" t="s">
        <v>654</v>
      </c>
      <c r="C124" s="38"/>
      <c r="D124" s="201"/>
      <c r="E124" s="201"/>
      <c r="F124" s="201"/>
      <c r="G124" s="166"/>
      <c r="H124" s="166"/>
      <c r="I124" s="166"/>
      <c r="J124" s="166"/>
      <c r="K124" s="201"/>
      <c r="L124" s="166"/>
      <c r="M124" s="166"/>
      <c r="N124" s="166"/>
      <c r="O124" s="166"/>
      <c r="P124" s="201"/>
      <c r="Q124" s="166"/>
      <c r="R124" s="166"/>
      <c r="S124" s="166"/>
      <c r="T124" s="166"/>
      <c r="U124" s="201"/>
      <c r="V124" s="166"/>
      <c r="W124" s="166"/>
      <c r="X124" s="166"/>
      <c r="Y124" s="166"/>
      <c r="Z124" s="201"/>
      <c r="AA124" s="166"/>
      <c r="AB124" s="166"/>
      <c r="AC124" s="166"/>
      <c r="AD124" s="166"/>
      <c r="AE124" s="201"/>
      <c r="AF124" s="166"/>
      <c r="AG124" s="166"/>
      <c r="AH124" s="166"/>
      <c r="AI124" s="166"/>
      <c r="AJ124" s="201"/>
      <c r="AK124" s="166"/>
      <c r="AL124" s="166"/>
      <c r="AM124" s="166"/>
      <c r="AN124" s="166"/>
      <c r="AO124" s="201"/>
      <c r="AP124" s="166"/>
      <c r="AQ124" s="166"/>
      <c r="AR124" s="166"/>
      <c r="AS124" s="166"/>
      <c r="AT124" s="221"/>
      <c r="AU124" s="193"/>
      <c r="AV124" s="193"/>
      <c r="AW124" s="193"/>
      <c r="AX124" s="193"/>
      <c r="AY124" s="194"/>
      <c r="AZ124" s="193"/>
      <c r="BA124" s="193"/>
      <c r="BB124" s="193"/>
      <c r="BC124" s="193"/>
      <c r="BD124" s="194"/>
      <c r="BE124" s="193"/>
      <c r="BF124" s="193"/>
      <c r="BG124" s="193"/>
      <c r="BH124" s="193"/>
      <c r="BI124" s="194"/>
      <c r="BJ124" s="193"/>
      <c r="BK124" s="193"/>
      <c r="BL124" s="193"/>
      <c r="BM124" s="193"/>
      <c r="BN124" s="194"/>
      <c r="BO124" s="193"/>
      <c r="BP124" s="193"/>
      <c r="BQ124" s="193"/>
      <c r="BR124" s="193"/>
      <c r="BS124" s="194"/>
      <c r="BT124" s="193"/>
      <c r="BU124" s="193"/>
      <c r="BV124" s="193"/>
      <c r="BW124" s="193"/>
      <c r="BX124" s="194"/>
      <c r="BY124" s="1181">
        <v>0</v>
      </c>
      <c r="BZ124" s="193">
        <v>0</v>
      </c>
      <c r="CA124" s="193">
        <v>0</v>
      </c>
      <c r="CB124" s="842">
        <v>0</v>
      </c>
      <c r="CC124" s="194">
        <f>SUM(BY124:CB124)</f>
        <v>0</v>
      </c>
      <c r="CD124" s="1181">
        <v>0</v>
      </c>
      <c r="CE124" s="193">
        <f>CE126-CE123</f>
        <v>2</v>
      </c>
      <c r="CF124" s="193">
        <v>0</v>
      </c>
      <c r="CG124" s="842">
        <f>+CG126-CG123</f>
        <v>2</v>
      </c>
      <c r="CH124" s="194">
        <f>SUM(CD124:CG124)</f>
        <v>4</v>
      </c>
      <c r="CI124" s="193">
        <f>+CI126-CI123</f>
        <v>28</v>
      </c>
      <c r="CJ124" s="193">
        <v>0</v>
      </c>
      <c r="CK124" s="193">
        <v>0</v>
      </c>
      <c r="CL124" s="842">
        <v>0</v>
      </c>
      <c r="CM124" s="194">
        <f>SUM(CI124:CL124)</f>
        <v>28</v>
      </c>
      <c r="CN124" s="1181">
        <v>0</v>
      </c>
      <c r="CO124" s="193">
        <v>0</v>
      </c>
      <c r="CP124" s="193">
        <v>0</v>
      </c>
      <c r="CQ124" s="842">
        <v>0</v>
      </c>
      <c r="CR124" s="194">
        <f>SUM(CN124:CQ124)</f>
        <v>0</v>
      </c>
      <c r="CS124" s="1181">
        <v>0</v>
      </c>
      <c r="CT124" s="193">
        <v>0</v>
      </c>
      <c r="CU124" s="193">
        <v>0</v>
      </c>
      <c r="CV124" s="842">
        <v>0</v>
      </c>
      <c r="CW124" s="194">
        <f>SUM(CS124:CV124)</f>
        <v>0</v>
      </c>
      <c r="CX124" s="1181">
        <v>0</v>
      </c>
      <c r="CY124" s="193">
        <v>0</v>
      </c>
      <c r="CZ124" s="193">
        <v>0</v>
      </c>
      <c r="DA124" s="842">
        <v>0</v>
      </c>
      <c r="DB124" s="194">
        <f>SUM(CX124:DA124)</f>
        <v>0</v>
      </c>
      <c r="DC124" s="5"/>
      <c r="DD124" s="5"/>
      <c r="DE124" s="171"/>
      <c r="DF124" s="171"/>
      <c r="DG124" s="171"/>
      <c r="DH124" s="171"/>
      <c r="DI124" s="171"/>
      <c r="DJ124" s="171"/>
    </row>
    <row r="125" spans="1:114">
      <c r="A125" s="171"/>
      <c r="B125" s="691" t="s">
        <v>653</v>
      </c>
      <c r="C125" s="33"/>
      <c r="D125" s="206"/>
      <c r="E125" s="206"/>
      <c r="F125" s="206"/>
      <c r="G125" s="214"/>
      <c r="H125" s="214"/>
      <c r="I125" s="214"/>
      <c r="J125" s="214"/>
      <c r="K125" s="206"/>
      <c r="L125" s="214"/>
      <c r="M125" s="214"/>
      <c r="N125" s="214"/>
      <c r="O125" s="214"/>
      <c r="P125" s="206"/>
      <c r="Q125" s="214"/>
      <c r="R125" s="214"/>
      <c r="S125" s="214"/>
      <c r="T125" s="214"/>
      <c r="U125" s="206"/>
      <c r="V125" s="214"/>
      <c r="W125" s="214"/>
      <c r="X125" s="214"/>
      <c r="Y125" s="214"/>
      <c r="Z125" s="206"/>
      <c r="AA125" s="214"/>
      <c r="AB125" s="214"/>
      <c r="AC125" s="214"/>
      <c r="AD125" s="214"/>
      <c r="AE125" s="206"/>
      <c r="AF125" s="214"/>
      <c r="AG125" s="214"/>
      <c r="AH125" s="214"/>
      <c r="AI125" s="214"/>
      <c r="AJ125" s="206"/>
      <c r="AK125" s="214"/>
      <c r="AL125" s="214"/>
      <c r="AM125" s="214"/>
      <c r="AN125" s="214"/>
      <c r="AO125" s="206"/>
      <c r="AP125" s="214"/>
      <c r="AQ125" s="214"/>
      <c r="AR125" s="214"/>
      <c r="AS125" s="214"/>
      <c r="AT125" s="225"/>
      <c r="AU125" s="195"/>
      <c r="AV125" s="195"/>
      <c r="AW125" s="195"/>
      <c r="AX125" s="195"/>
      <c r="AY125" s="197"/>
      <c r="AZ125" s="195"/>
      <c r="BA125" s="195"/>
      <c r="BB125" s="195"/>
      <c r="BC125" s="195"/>
      <c r="BD125" s="197"/>
      <c r="BE125" s="195"/>
      <c r="BF125" s="195"/>
      <c r="BG125" s="195"/>
      <c r="BH125" s="195"/>
      <c r="BI125" s="197"/>
      <c r="BJ125" s="196"/>
      <c r="BK125" s="196"/>
      <c r="BL125" s="196"/>
      <c r="BM125" s="196"/>
      <c r="BN125" s="197"/>
      <c r="BO125" s="196"/>
      <c r="BP125" s="196"/>
      <c r="BQ125" s="196"/>
      <c r="BR125" s="196"/>
      <c r="BS125" s="197">
        <f>SUM(BO125:BR125)</f>
        <v>0</v>
      </c>
      <c r="BT125" s="196">
        <v>1000</v>
      </c>
      <c r="BU125" s="196">
        <f>BU126-BU123</f>
        <v>0</v>
      </c>
      <c r="BV125" s="196">
        <f>BV126-BV123</f>
        <v>0</v>
      </c>
      <c r="BW125" s="196">
        <v>0</v>
      </c>
      <c r="BX125" s="197">
        <f>SUM(BT125:BW125)</f>
        <v>1000</v>
      </c>
      <c r="BY125" s="196">
        <f>BY126-BY123</f>
        <v>0</v>
      </c>
      <c r="BZ125" s="196">
        <f>BZ126-BZ123</f>
        <v>0</v>
      </c>
      <c r="CA125" s="196">
        <f>CA126-CA123</f>
        <v>0</v>
      </c>
      <c r="CB125" s="196">
        <f>CB126-CB123</f>
        <v>0</v>
      </c>
      <c r="CC125" s="197">
        <f>SUM(BY125:CB125)</f>
        <v>0</v>
      </c>
      <c r="CD125" s="196">
        <f>CD126-CD123</f>
        <v>-32</v>
      </c>
      <c r="CE125" s="196">
        <v>0</v>
      </c>
      <c r="CF125" s="196">
        <v>0</v>
      </c>
      <c r="CG125" s="196">
        <v>0</v>
      </c>
      <c r="CH125" s="197">
        <f>SUM(CD125:CG125)</f>
        <v>-32</v>
      </c>
      <c r="CI125" s="196">
        <v>0</v>
      </c>
      <c r="CJ125" s="196">
        <v>0</v>
      </c>
      <c r="CK125" s="196">
        <v>0</v>
      </c>
      <c r="CL125" s="196"/>
      <c r="CM125" s="197">
        <f>SUM(CI125:CL125)</f>
        <v>0</v>
      </c>
      <c r="CN125" s="196">
        <f ca="1">IF(CN$119&gt;300,-0.3*CN123,0)</f>
        <v>-300</v>
      </c>
      <c r="CO125" s="196">
        <f ca="1">IF(CO$119&gt;300,-0.43*CO123,0)</f>
        <v>-301</v>
      </c>
      <c r="CP125" s="196">
        <f ca="1">IF(CP$119&gt;300,-0.87*CP123,0)</f>
        <v>-347.13</v>
      </c>
      <c r="CQ125" s="196">
        <f ca="1">-CQ123</f>
        <v>-51.870000000000005</v>
      </c>
      <c r="CR125" s="197">
        <f ca="1">SUM(CN125:CQ125)</f>
        <v>-1000</v>
      </c>
      <c r="CS125" s="196">
        <v>0</v>
      </c>
      <c r="CT125" s="196">
        <v>0</v>
      </c>
      <c r="CU125" s="196">
        <v>0</v>
      </c>
      <c r="CV125" s="196">
        <v>0</v>
      </c>
      <c r="CW125" s="197">
        <f>SUM(CS125:CV125)</f>
        <v>0</v>
      </c>
      <c r="CX125" s="196">
        <v>0</v>
      </c>
      <c r="CY125" s="196">
        <v>0</v>
      </c>
      <c r="CZ125" s="196">
        <v>0</v>
      </c>
      <c r="DA125" s="196">
        <v>0</v>
      </c>
      <c r="DB125" s="197">
        <f>SUM(CX125:DA125)</f>
        <v>0</v>
      </c>
      <c r="DC125" s="5"/>
      <c r="DD125" s="5"/>
      <c r="DE125" s="171"/>
      <c r="DF125" s="171"/>
      <c r="DG125" s="171"/>
      <c r="DH125" s="171"/>
      <c r="DI125" s="171"/>
      <c r="DJ125" s="171"/>
    </row>
    <row r="126" spans="1:114">
      <c r="A126" s="171"/>
      <c r="B126" s="698" t="s">
        <v>519</v>
      </c>
      <c r="C126" s="48"/>
      <c r="D126" s="204"/>
      <c r="E126" s="204"/>
      <c r="F126" s="204"/>
      <c r="G126" s="407"/>
      <c r="H126" s="407"/>
      <c r="I126" s="407"/>
      <c r="J126" s="407"/>
      <c r="K126" s="204"/>
      <c r="L126" s="407"/>
      <c r="M126" s="407"/>
      <c r="N126" s="407"/>
      <c r="O126" s="407"/>
      <c r="P126" s="204"/>
      <c r="Q126" s="407"/>
      <c r="R126" s="407"/>
      <c r="S126" s="407"/>
      <c r="T126" s="407"/>
      <c r="U126" s="204"/>
      <c r="V126" s="407"/>
      <c r="W126" s="407"/>
      <c r="X126" s="407"/>
      <c r="Y126" s="407"/>
      <c r="Z126" s="204"/>
      <c r="AA126" s="407"/>
      <c r="AB126" s="407"/>
      <c r="AC126" s="407"/>
      <c r="AD126" s="407"/>
      <c r="AE126" s="204"/>
      <c r="AF126" s="407"/>
      <c r="AG126" s="407"/>
      <c r="AH126" s="407"/>
      <c r="AI126" s="407"/>
      <c r="AJ126" s="204"/>
      <c r="AK126" s="407"/>
      <c r="AL126" s="407"/>
      <c r="AM126" s="407"/>
      <c r="AN126" s="407"/>
      <c r="AO126" s="204"/>
      <c r="AP126" s="407"/>
      <c r="AQ126" s="407"/>
      <c r="AR126" s="407"/>
      <c r="AS126" s="407"/>
      <c r="AT126" s="232"/>
      <c r="AU126" s="193"/>
      <c r="AV126" s="193"/>
      <c r="AW126" s="193"/>
      <c r="AX126" s="193"/>
      <c r="AY126" s="272"/>
      <c r="AZ126" s="193"/>
      <c r="BA126" s="193"/>
      <c r="BB126" s="193"/>
      <c r="BC126" s="193"/>
      <c r="BD126" s="272"/>
      <c r="BE126" s="193"/>
      <c r="BF126" s="193"/>
      <c r="BG126" s="193"/>
      <c r="BH126" s="193"/>
      <c r="BI126" s="272"/>
      <c r="BJ126" s="198"/>
      <c r="BK126" s="198"/>
      <c r="BL126" s="198"/>
      <c r="BM126" s="229"/>
      <c r="BN126" s="199"/>
      <c r="BO126" s="229"/>
      <c r="BP126" s="229"/>
      <c r="BQ126" s="229"/>
      <c r="BR126" s="229"/>
      <c r="BS126" s="199">
        <f>BR126</f>
        <v>0</v>
      </c>
      <c r="BT126" s="551">
        <v>1000</v>
      </c>
      <c r="BU126" s="551">
        <v>1000</v>
      </c>
      <c r="BV126" s="582">
        <v>1000</v>
      </c>
      <c r="BW126" s="582">
        <v>1000</v>
      </c>
      <c r="BX126" s="199">
        <f>BW126</f>
        <v>1000</v>
      </c>
      <c r="BY126" s="551">
        <v>1000</v>
      </c>
      <c r="BZ126" s="582">
        <v>1000</v>
      </c>
      <c r="CA126" s="582">
        <v>1000</v>
      </c>
      <c r="CB126" s="582">
        <v>1000</v>
      </c>
      <c r="CC126" s="199">
        <f>CB126</f>
        <v>1000</v>
      </c>
      <c r="CD126" s="582">
        <v>968</v>
      </c>
      <c r="CE126" s="582">
        <v>970</v>
      </c>
      <c r="CF126" s="229">
        <f>CF123+CF125</f>
        <v>970</v>
      </c>
      <c r="CG126" s="582">
        <v>972</v>
      </c>
      <c r="CH126" s="199">
        <f>CG126</f>
        <v>972</v>
      </c>
      <c r="CI126" s="582">
        <v>1000</v>
      </c>
      <c r="CJ126" s="193">
        <f>SUM(CJ123:CJ125)</f>
        <v>1000</v>
      </c>
      <c r="CK126" s="193">
        <f>SUM(CK123:CK125)</f>
        <v>1000</v>
      </c>
      <c r="CL126" s="193">
        <f>SUM(CL123:CL125)</f>
        <v>1000</v>
      </c>
      <c r="CM126" s="194">
        <f>CL126</f>
        <v>1000</v>
      </c>
      <c r="CN126" s="193">
        <f ca="1">SUM(CN123:CN125)</f>
        <v>700</v>
      </c>
      <c r="CO126" s="193">
        <f ca="1">SUM(CO123:CO125)</f>
        <v>399</v>
      </c>
      <c r="CP126" s="193">
        <f ca="1">SUM(CP123:CP125)</f>
        <v>51.870000000000005</v>
      </c>
      <c r="CQ126" s="193">
        <f ca="1">SUM(CQ123:CQ125)</f>
        <v>0</v>
      </c>
      <c r="CR126" s="194">
        <f ca="1">CQ126</f>
        <v>0</v>
      </c>
      <c r="CS126" s="193">
        <f ca="1">SUM(CS123:CS125)</f>
        <v>0</v>
      </c>
      <c r="CT126" s="193">
        <f ca="1">SUM(CT123:CT125)</f>
        <v>0</v>
      </c>
      <c r="CU126" s="193">
        <f ca="1">SUM(CU123:CU125)</f>
        <v>0</v>
      </c>
      <c r="CV126" s="193">
        <f ca="1">SUM(CV123:CV125)</f>
        <v>0</v>
      </c>
      <c r="CW126" s="194">
        <f ca="1">CV126</f>
        <v>0</v>
      </c>
      <c r="CX126" s="193">
        <f ca="1">SUM(CX123:CX125)</f>
        <v>0</v>
      </c>
      <c r="CY126" s="193">
        <f ca="1">SUM(CY123:CY125)</f>
        <v>0</v>
      </c>
      <c r="CZ126" s="193">
        <f ca="1">SUM(CZ123:CZ125)</f>
        <v>0</v>
      </c>
      <c r="DA126" s="193">
        <f ca="1">SUM(DA123:DA125)</f>
        <v>0</v>
      </c>
      <c r="DB126" s="194">
        <f ca="1">DA126</f>
        <v>0</v>
      </c>
      <c r="DC126" s="5"/>
      <c r="DD126" s="5"/>
      <c r="DE126" s="171"/>
      <c r="DF126" s="171"/>
      <c r="DG126" s="171"/>
      <c r="DH126" s="171"/>
      <c r="DI126" s="171"/>
      <c r="DJ126" s="171"/>
    </row>
    <row r="127" spans="1:114">
      <c r="A127" s="171"/>
      <c r="B127" s="691" t="s">
        <v>520</v>
      </c>
      <c r="C127" s="33"/>
      <c r="D127" s="206"/>
      <c r="E127" s="206"/>
      <c r="F127" s="206"/>
      <c r="G127" s="214"/>
      <c r="H127" s="214"/>
      <c r="I127" s="214"/>
      <c r="J127" s="214"/>
      <c r="K127" s="206"/>
      <c r="L127" s="214"/>
      <c r="M127" s="214"/>
      <c r="N127" s="214"/>
      <c r="O127" s="214"/>
      <c r="P127" s="206"/>
      <c r="Q127" s="214"/>
      <c r="R127" s="214"/>
      <c r="S127" s="214"/>
      <c r="T127" s="214"/>
      <c r="U127" s="206"/>
      <c r="V127" s="214"/>
      <c r="W127" s="214"/>
      <c r="X127" s="214"/>
      <c r="Y127" s="214"/>
      <c r="Z127" s="206"/>
      <c r="AA127" s="214"/>
      <c r="AB127" s="214"/>
      <c r="AC127" s="214"/>
      <c r="AD127" s="214"/>
      <c r="AE127" s="206"/>
      <c r="AF127" s="214"/>
      <c r="AG127" s="214"/>
      <c r="AH127" s="214"/>
      <c r="AI127" s="214"/>
      <c r="AJ127" s="206"/>
      <c r="AK127" s="214"/>
      <c r="AL127" s="214"/>
      <c r="AM127" s="214"/>
      <c r="AN127" s="214"/>
      <c r="AO127" s="206"/>
      <c r="AP127" s="214"/>
      <c r="AQ127" s="214"/>
      <c r="AR127" s="214"/>
      <c r="AS127" s="214"/>
      <c r="AT127" s="225"/>
      <c r="AU127" s="230"/>
      <c r="AV127" s="230"/>
      <c r="AW127" s="230"/>
      <c r="AX127" s="230"/>
      <c r="AY127" s="197"/>
      <c r="AZ127" s="230"/>
      <c r="BA127" s="230"/>
      <c r="BB127" s="230"/>
      <c r="BC127" s="230"/>
      <c r="BD127" s="197"/>
      <c r="BE127" s="230"/>
      <c r="BF127" s="230"/>
      <c r="BG127" s="230"/>
      <c r="BH127" s="230"/>
      <c r="BI127" s="197"/>
      <c r="BJ127" s="230"/>
      <c r="BK127" s="230"/>
      <c r="BL127" s="230"/>
      <c r="BM127" s="230"/>
      <c r="BN127" s="197"/>
      <c r="BO127" s="230"/>
      <c r="BP127" s="230"/>
      <c r="BQ127" s="230"/>
      <c r="BR127" s="230"/>
      <c r="BS127" s="197">
        <f>SUM(BO127:BR127)</f>
        <v>0</v>
      </c>
      <c r="BT127" s="571">
        <f>BU127*2/3</f>
        <v>8.5416666666666661</v>
      </c>
      <c r="BU127" s="571">
        <f>BU122/4*AVERAGE(BU126,BU123)</f>
        <v>12.8125</v>
      </c>
      <c r="BV127" s="230">
        <f>BV122/4*AVERAGE(BV126,BV123)</f>
        <v>12.8125</v>
      </c>
      <c r="BW127" s="230">
        <f>BW122/4*AVERAGE(BW126,BW123)</f>
        <v>12.8125</v>
      </c>
      <c r="BX127" s="197">
        <f>SUM(BT127:BW127)</f>
        <v>46.979166666666664</v>
      </c>
      <c r="BY127" s="571">
        <f>BY122/4*AVERAGE(BY126,BY123)</f>
        <v>12.8125</v>
      </c>
      <c r="BZ127" s="230">
        <f>BZ122/4*AVERAGE(BZ126,BZ123)</f>
        <v>12.8125</v>
      </c>
      <c r="CA127" s="230">
        <f>CA122/4*AVERAGE(CA126,CA123)</f>
        <v>12.8125</v>
      </c>
      <c r="CB127" s="230">
        <f>CB122/4*AVERAGE(CB126,CB123)</f>
        <v>12.8125</v>
      </c>
      <c r="CC127" s="197">
        <f>SUM(BY127:CB127)</f>
        <v>51.25</v>
      </c>
      <c r="CD127" s="230">
        <f>CD122/4*AVERAGE(CD126,CD123)</f>
        <v>12.6075</v>
      </c>
      <c r="CE127" s="230">
        <f>CE122/4*AVERAGE(CE126,CE123)</f>
        <v>12.415312499999999</v>
      </c>
      <c r="CF127" s="230">
        <f>CF122/4*AVERAGE(CF126,CF123)</f>
        <v>12.428125</v>
      </c>
      <c r="CG127" s="230">
        <f>CG122/4*AVERAGE(CG126,CG123)</f>
        <v>12.440937499999999</v>
      </c>
      <c r="CH127" s="197">
        <f>SUM(CD127:CG127)</f>
        <v>49.891874999999999</v>
      </c>
      <c r="CI127" s="230">
        <f>CI122/4*AVERAGE(CI126,CI123)</f>
        <v>12.633125</v>
      </c>
      <c r="CJ127" s="230">
        <f>CJ122/4*AVERAGE(CJ126,CJ123)</f>
        <v>12.8125</v>
      </c>
      <c r="CK127" s="230">
        <f>CK122/4*AVERAGE(CK126,CK123)</f>
        <v>12.8125</v>
      </c>
      <c r="CL127" s="230">
        <f>CL122/4*AVERAGE(CL126,CL123)</f>
        <v>12.8125</v>
      </c>
      <c r="CM127" s="197">
        <f>SUM(CI127:CL127)</f>
        <v>51.070625</v>
      </c>
      <c r="CN127" s="230">
        <f ca="1">CN122/4*AVERAGE(CN126,CN123)</f>
        <v>10.890625</v>
      </c>
      <c r="CO127" s="230">
        <f ca="1">CO122/4*AVERAGE(CO126,CO123)</f>
        <v>7.0404687499999996</v>
      </c>
      <c r="CP127" s="230">
        <f ca="1">CP122/4*AVERAGE(CP126,CP123)</f>
        <v>2.8883859374999998</v>
      </c>
      <c r="CQ127" s="230">
        <f ca="1">CQ122/4*AVERAGE(CQ126,CQ123)</f>
        <v>0.3322921875</v>
      </c>
      <c r="CR127" s="197">
        <f ca="1">SUM(CN127:CQ127)</f>
        <v>21.151771874999998</v>
      </c>
      <c r="CS127" s="230">
        <f ca="1">CS122/4*AVERAGE(CS126,CS123)</f>
        <v>0</v>
      </c>
      <c r="CT127" s="230">
        <f ca="1">CT122/4*AVERAGE(CT126,CT123)</f>
        <v>0</v>
      </c>
      <c r="CU127" s="230">
        <f ca="1">CU122/4*AVERAGE(CU126,CU123)</f>
        <v>0</v>
      </c>
      <c r="CV127" s="230">
        <f ca="1">CV122/4*AVERAGE(CV126,CV123)</f>
        <v>0</v>
      </c>
      <c r="CW127" s="197">
        <f ca="1">SUM(CS127:CV127)</f>
        <v>0</v>
      </c>
      <c r="CX127" s="230">
        <f ca="1">CX122/4*AVERAGE(CX126,CX123)</f>
        <v>0</v>
      </c>
      <c r="CY127" s="230">
        <f ca="1">CY122/4*AVERAGE(CY126,CY123)</f>
        <v>0</v>
      </c>
      <c r="CZ127" s="230">
        <f ca="1">CZ122/4*AVERAGE(CZ126,CZ123)</f>
        <v>0</v>
      </c>
      <c r="DA127" s="230">
        <f ca="1">DA122/4*AVERAGE(DA126,DA123)</f>
        <v>0</v>
      </c>
      <c r="DB127" s="197">
        <f ca="1">SUM(CX127:DA127)</f>
        <v>0</v>
      </c>
      <c r="DC127" s="5"/>
      <c r="DD127" s="5"/>
      <c r="DE127" s="171"/>
      <c r="DF127" s="171"/>
      <c r="DG127" s="171"/>
      <c r="DH127" s="171"/>
      <c r="DI127" s="171"/>
      <c r="DJ127" s="171"/>
    </row>
    <row r="128" spans="1:114" s="1163" customFormat="1" hidden="1" outlineLevel="1">
      <c r="A128" s="171"/>
      <c r="B128" s="1164"/>
      <c r="C128" s="46"/>
      <c r="D128" s="1161"/>
      <c r="E128" s="1161"/>
      <c r="F128" s="1161"/>
      <c r="G128" s="1161"/>
      <c r="H128" s="1161"/>
      <c r="I128" s="1161"/>
      <c r="J128" s="1161"/>
      <c r="K128" s="1161"/>
      <c r="L128" s="1161"/>
      <c r="M128" s="1161"/>
      <c r="N128" s="1161"/>
      <c r="O128" s="1161"/>
      <c r="P128" s="1161"/>
      <c r="Q128" s="1161"/>
      <c r="R128" s="1161"/>
      <c r="S128" s="1161"/>
      <c r="T128" s="1161"/>
      <c r="U128" s="1161"/>
      <c r="V128" s="1161"/>
      <c r="W128" s="1161"/>
      <c r="X128" s="1161"/>
      <c r="Y128" s="1161"/>
      <c r="Z128" s="1161"/>
      <c r="AA128" s="1161"/>
      <c r="AB128" s="1161"/>
      <c r="AC128" s="1161"/>
      <c r="AD128" s="1161"/>
      <c r="AE128" s="1161"/>
      <c r="AF128" s="1161"/>
      <c r="AG128" s="1161"/>
      <c r="AH128" s="1161"/>
      <c r="AI128" s="1161"/>
      <c r="AJ128" s="1161"/>
      <c r="AK128" s="1161"/>
      <c r="AL128" s="1161"/>
      <c r="AM128" s="1161"/>
      <c r="AN128" s="1161"/>
      <c r="AO128" s="1161"/>
      <c r="AP128" s="1161"/>
      <c r="AQ128" s="1161"/>
      <c r="AR128" s="1161"/>
      <c r="AS128" s="1161"/>
      <c r="AT128" s="1161"/>
      <c r="AU128" s="1162"/>
      <c r="AV128" s="1162"/>
      <c r="AW128" s="1162"/>
      <c r="AX128" s="1162"/>
      <c r="AY128" s="1161"/>
      <c r="AZ128" s="1162"/>
      <c r="BA128" s="1162"/>
      <c r="BB128" s="1162"/>
      <c r="BC128" s="1162"/>
      <c r="BD128" s="1161"/>
      <c r="BE128" s="1162"/>
      <c r="BF128" s="1162"/>
      <c r="BG128" s="1162"/>
      <c r="BH128" s="1162"/>
      <c r="BI128" s="1161"/>
      <c r="BJ128" s="1165"/>
      <c r="BK128" s="1165"/>
      <c r="BL128" s="1161"/>
      <c r="BM128" s="1161"/>
      <c r="BN128" s="1161"/>
      <c r="BO128" s="1161"/>
      <c r="BP128" s="1161"/>
      <c r="BQ128" s="1161"/>
      <c r="BR128" s="1161"/>
      <c r="BS128" s="1161"/>
      <c r="BT128" s="1161"/>
      <c r="BU128" s="1161"/>
      <c r="BV128" s="1161"/>
      <c r="BW128" s="1161"/>
      <c r="BX128" s="1161"/>
      <c r="BY128" s="1161"/>
      <c r="BZ128" s="1161"/>
      <c r="CA128" s="1161"/>
      <c r="CB128" s="1161"/>
      <c r="CC128" s="1161"/>
      <c r="CD128" s="1161"/>
      <c r="CE128" s="1161"/>
      <c r="CF128" s="1161"/>
      <c r="CG128" s="1161"/>
      <c r="CH128" s="1161"/>
      <c r="CI128" s="1161"/>
      <c r="CJ128" s="1161"/>
      <c r="CK128" s="1161"/>
      <c r="CL128" s="1161"/>
      <c r="CM128" s="1161"/>
      <c r="CN128" s="1161"/>
      <c r="CO128" s="1161"/>
      <c r="CP128" s="1161"/>
      <c r="CQ128" s="1161"/>
      <c r="CR128" s="1161"/>
      <c r="CS128" s="1161"/>
      <c r="CT128" s="1161"/>
      <c r="CU128" s="1161"/>
      <c r="CV128" s="1161"/>
      <c r="CW128" s="1161"/>
      <c r="CX128" s="1161"/>
      <c r="CY128" s="1161"/>
      <c r="CZ128" s="1161"/>
      <c r="DA128" s="1161"/>
      <c r="DB128" s="1161"/>
      <c r="DC128" s="5"/>
      <c r="DD128" s="5"/>
      <c r="DE128" s="171"/>
      <c r="DF128" s="171"/>
      <c r="DG128" s="171"/>
      <c r="DH128" s="171"/>
      <c r="DI128" s="171"/>
      <c r="DJ128" s="171"/>
    </row>
    <row r="129" spans="1:114" s="1163" customFormat="1" hidden="1" outlineLevel="1">
      <c r="A129" s="171"/>
      <c r="B129" s="1164" t="s">
        <v>650</v>
      </c>
      <c r="C129" s="46"/>
      <c r="D129" s="1161"/>
      <c r="E129" s="1161"/>
      <c r="F129" s="1161"/>
      <c r="G129" s="1161"/>
      <c r="H129" s="1161"/>
      <c r="I129" s="1161"/>
      <c r="J129" s="1161"/>
      <c r="K129" s="1161"/>
      <c r="L129" s="1161"/>
      <c r="M129" s="1161"/>
      <c r="N129" s="1161"/>
      <c r="O129" s="1161"/>
      <c r="P129" s="1161"/>
      <c r="Q129" s="1161"/>
      <c r="R129" s="1161"/>
      <c r="S129" s="1161"/>
      <c r="T129" s="1161"/>
      <c r="U129" s="1161"/>
      <c r="V129" s="1161"/>
      <c r="W129" s="1161"/>
      <c r="X129" s="1161"/>
      <c r="Y129" s="1161"/>
      <c r="Z129" s="1161"/>
      <c r="AA129" s="1161"/>
      <c r="AB129" s="1161"/>
      <c r="AC129" s="1161"/>
      <c r="AD129" s="1161"/>
      <c r="AE129" s="1161"/>
      <c r="AF129" s="1161"/>
      <c r="AG129" s="1161"/>
      <c r="AH129" s="1161"/>
      <c r="AI129" s="1161"/>
      <c r="AJ129" s="1161"/>
      <c r="AK129" s="1161"/>
      <c r="AL129" s="1161"/>
      <c r="AM129" s="1161"/>
      <c r="AN129" s="1161"/>
      <c r="AO129" s="1161"/>
      <c r="AP129" s="1161"/>
      <c r="AQ129" s="1161"/>
      <c r="AR129" s="1161"/>
      <c r="AS129" s="1161"/>
      <c r="AT129" s="1161"/>
      <c r="AU129" s="1162"/>
      <c r="AV129" s="1162"/>
      <c r="AW129" s="1162"/>
      <c r="AX129" s="1162"/>
      <c r="AY129" s="1161"/>
      <c r="AZ129" s="1162"/>
      <c r="BA129" s="1162"/>
      <c r="BB129" s="1162"/>
      <c r="BC129" s="1162"/>
      <c r="BD129" s="1161"/>
      <c r="BE129" s="1162"/>
      <c r="BF129" s="1162"/>
      <c r="BG129" s="1162"/>
      <c r="BH129" s="1162"/>
      <c r="BI129" s="1161"/>
      <c r="BJ129" s="1165"/>
      <c r="BK129" s="1165"/>
      <c r="BL129" s="1161"/>
      <c r="BM129" s="1161"/>
      <c r="BN129" s="1161"/>
      <c r="BO129" s="1161"/>
      <c r="BP129" s="1161"/>
      <c r="BQ129" s="1161"/>
      <c r="BR129" s="1161"/>
      <c r="BS129" s="1161"/>
      <c r="BT129" s="1161"/>
      <c r="BU129" s="1161"/>
      <c r="BV129" s="1161"/>
      <c r="BW129" s="1161"/>
      <c r="BX129" s="1161"/>
      <c r="BY129" s="1161"/>
      <c r="BZ129" s="1161"/>
      <c r="CA129" s="1161"/>
      <c r="CB129" s="1161"/>
      <c r="CC129" s="1161"/>
      <c r="CD129" s="1161"/>
      <c r="CE129" s="1161"/>
      <c r="CF129" s="1161"/>
      <c r="CG129" s="1161"/>
      <c r="CH129" s="1161"/>
      <c r="CI129" s="1161"/>
      <c r="CJ129" s="1161">
        <f>CJ119+CJ125</f>
        <v>978.00000000099999</v>
      </c>
      <c r="CK129" s="1161">
        <f>CK119+CK125</f>
        <v>606</v>
      </c>
      <c r="CL129" s="1161">
        <f>CL119+CL125</f>
        <v>604</v>
      </c>
      <c r="CM129" s="1161"/>
      <c r="CN129" s="1161">
        <f ca="1">CN119+CN125</f>
        <v>508.02631845250721</v>
      </c>
      <c r="CO129" s="1161">
        <f t="shared" ref="CO129:CP129" ca="1" si="74">CO119+CO125</f>
        <v>712.28602136398672</v>
      </c>
      <c r="CP129" s="1161">
        <f t="shared" ca="1" si="74"/>
        <v>740.97549917369304</v>
      </c>
      <c r="CQ129" s="1161">
        <f ca="1">CQ119+CQ125</f>
        <v>874.67555942532442</v>
      </c>
      <c r="CR129" s="1161"/>
      <c r="CS129" s="1161">
        <f t="shared" ref="CS129:CV129" ca="1" si="75">CS119+CS125</f>
        <v>310.88494895668322</v>
      </c>
      <c r="CT129" s="1161">
        <f ca="1">CT119+CT125</f>
        <v>474.61248303849936</v>
      </c>
      <c r="CU129" s="1161">
        <f t="shared" ca="1" si="75"/>
        <v>500.16083743763681</v>
      </c>
      <c r="CV129" s="1161">
        <f t="shared" ca="1" si="75"/>
        <v>714.23774281568853</v>
      </c>
      <c r="CW129" s="1161"/>
      <c r="CX129" s="1161">
        <f t="shared" ref="CX129" ca="1" si="76">CX119+CX125</f>
        <v>283.07015564062908</v>
      </c>
      <c r="CY129" s="1161">
        <f ca="1">CY119+CY125</f>
        <v>336.79526973413715</v>
      </c>
      <c r="CZ129" s="1161">
        <f t="shared" ref="CZ129:DA129" ca="1" si="77">CZ119+CZ125</f>
        <v>453.3926388405722</v>
      </c>
      <c r="DA129" s="1161">
        <f t="shared" ca="1" si="77"/>
        <v>255.53769257557099</v>
      </c>
      <c r="DB129" s="1161"/>
      <c r="DC129" s="5"/>
      <c r="DD129" s="5"/>
      <c r="DE129" s="171"/>
      <c r="DF129" s="171"/>
      <c r="DG129" s="171"/>
      <c r="DH129" s="171"/>
      <c r="DI129" s="171"/>
      <c r="DJ129" s="171"/>
    </row>
    <row r="130" spans="1:114" s="1163" customFormat="1" collapsed="1">
      <c r="A130" s="171"/>
      <c r="B130" s="1164"/>
      <c r="C130" s="46"/>
      <c r="D130" s="1161"/>
      <c r="E130" s="1161"/>
      <c r="F130" s="1161"/>
      <c r="G130" s="1161"/>
      <c r="H130" s="1161"/>
      <c r="I130" s="1161"/>
      <c r="J130" s="1161"/>
      <c r="K130" s="1161"/>
      <c r="L130" s="1161"/>
      <c r="M130" s="1161"/>
      <c r="N130" s="1161"/>
      <c r="O130" s="1161"/>
      <c r="P130" s="1161"/>
      <c r="Q130" s="1161"/>
      <c r="R130" s="1161"/>
      <c r="S130" s="1161"/>
      <c r="T130" s="1161"/>
      <c r="U130" s="1161"/>
      <c r="V130" s="1161"/>
      <c r="W130" s="1161"/>
      <c r="X130" s="1161"/>
      <c r="Y130" s="1161"/>
      <c r="Z130" s="1161"/>
      <c r="AA130" s="1161"/>
      <c r="AB130" s="1161"/>
      <c r="AC130" s="1161"/>
      <c r="AD130" s="1161"/>
      <c r="AE130" s="1161"/>
      <c r="AF130" s="1161"/>
      <c r="AG130" s="1161"/>
      <c r="AH130" s="1161"/>
      <c r="AI130" s="1161"/>
      <c r="AJ130" s="1161"/>
      <c r="AK130" s="1161"/>
      <c r="AL130" s="1161"/>
      <c r="AM130" s="1161"/>
      <c r="AN130" s="1161"/>
      <c r="AO130" s="1161"/>
      <c r="AP130" s="1161"/>
      <c r="AQ130" s="1161"/>
      <c r="AR130" s="1161"/>
      <c r="AS130" s="1161"/>
      <c r="AT130" s="1161"/>
      <c r="AU130" s="1162"/>
      <c r="AV130" s="1162"/>
      <c r="AW130" s="1162"/>
      <c r="AX130" s="1162"/>
      <c r="AY130" s="1161"/>
      <c r="AZ130" s="1162"/>
      <c r="BA130" s="1162"/>
      <c r="BB130" s="1162"/>
      <c r="BC130" s="1162"/>
      <c r="BD130" s="1161"/>
      <c r="BE130" s="1162"/>
      <c r="BF130" s="1162"/>
      <c r="BG130" s="1162"/>
      <c r="BH130" s="1162"/>
      <c r="BI130" s="1161"/>
      <c r="BJ130" s="1165"/>
      <c r="BK130" s="1165"/>
      <c r="BL130" s="1161"/>
      <c r="BM130" s="1161"/>
      <c r="BN130" s="1161"/>
      <c r="BO130" s="1161"/>
      <c r="BP130" s="1161"/>
      <c r="BQ130" s="1161"/>
      <c r="BR130" s="1161"/>
      <c r="BS130" s="1161"/>
      <c r="BT130" s="1161"/>
      <c r="BU130" s="1161"/>
      <c r="BV130" s="1161"/>
      <c r="BW130" s="1161"/>
      <c r="BX130" s="1161"/>
      <c r="BY130" s="1161"/>
      <c r="BZ130" s="1161"/>
      <c r="CA130" s="1161"/>
      <c r="CB130" s="1161"/>
      <c r="CC130" s="1161"/>
      <c r="CD130" s="1161"/>
      <c r="CE130" s="1161"/>
      <c r="CF130" s="1161"/>
      <c r="CG130" s="1161"/>
      <c r="CH130" s="1161"/>
      <c r="CI130" s="1161"/>
      <c r="CJ130" s="1161"/>
      <c r="CK130" s="1161"/>
      <c r="CL130" s="1161"/>
      <c r="CM130" s="1161"/>
      <c r="CN130" s="1161"/>
      <c r="CO130" s="1161"/>
      <c r="CP130" s="1161"/>
      <c r="CQ130" s="1161"/>
      <c r="CR130" s="1161"/>
      <c r="CS130" s="1161"/>
      <c r="CT130" s="1161"/>
      <c r="CU130" s="1161"/>
      <c r="CV130" s="1161"/>
      <c r="CW130" s="1161"/>
      <c r="CX130" s="1161"/>
      <c r="CY130" s="1161"/>
      <c r="CZ130" s="1161"/>
      <c r="DA130" s="1161"/>
      <c r="DB130" s="1161"/>
      <c r="DC130" s="5"/>
      <c r="DD130" s="5"/>
      <c r="DE130" s="171"/>
      <c r="DF130" s="171"/>
      <c r="DG130" s="171"/>
      <c r="DH130" s="171"/>
      <c r="DI130" s="171"/>
      <c r="DJ130" s="171"/>
    </row>
    <row r="131" spans="1:114" s="1163" customFormat="1">
      <c r="A131" s="171"/>
      <c r="B131" s="1184" t="s">
        <v>652</v>
      </c>
      <c r="C131" s="46"/>
      <c r="D131" s="1161"/>
      <c r="E131" s="1161"/>
      <c r="F131" s="1161"/>
      <c r="G131" s="1161"/>
      <c r="H131" s="1161"/>
      <c r="I131" s="1161"/>
      <c r="J131" s="1161"/>
      <c r="K131" s="1161"/>
      <c r="L131" s="1161"/>
      <c r="M131" s="1161"/>
      <c r="N131" s="1161"/>
      <c r="O131" s="1161"/>
      <c r="P131" s="1161"/>
      <c r="Q131" s="1161"/>
      <c r="R131" s="1161"/>
      <c r="S131" s="1161"/>
      <c r="T131" s="1161"/>
      <c r="U131" s="1161"/>
      <c r="V131" s="1161"/>
      <c r="W131" s="1161"/>
      <c r="X131" s="1161"/>
      <c r="Y131" s="1161"/>
      <c r="Z131" s="1161"/>
      <c r="AA131" s="1161"/>
      <c r="AB131" s="1161"/>
      <c r="AC131" s="1161"/>
      <c r="AD131" s="1161"/>
      <c r="AE131" s="1161"/>
      <c r="AF131" s="1161"/>
      <c r="AG131" s="1161"/>
      <c r="AH131" s="1161"/>
      <c r="AI131" s="1161"/>
      <c r="AJ131" s="1161"/>
      <c r="AK131" s="1161"/>
      <c r="AL131" s="1161"/>
      <c r="AM131" s="1161"/>
      <c r="AN131" s="1161"/>
      <c r="AO131" s="1161"/>
      <c r="AP131" s="1161"/>
      <c r="AQ131" s="1161"/>
      <c r="AR131" s="1161"/>
      <c r="AS131" s="1161"/>
      <c r="AT131" s="1161"/>
      <c r="AU131" s="1162"/>
      <c r="AV131" s="1162"/>
      <c r="AW131" s="1162"/>
      <c r="AX131" s="1162"/>
      <c r="AY131" s="1161"/>
      <c r="AZ131" s="1162"/>
      <c r="BA131" s="1162"/>
      <c r="BB131" s="1162"/>
      <c r="BC131" s="1162"/>
      <c r="BD131" s="1161"/>
      <c r="BE131" s="1162"/>
      <c r="BF131" s="1162"/>
      <c r="BG131" s="1162"/>
      <c r="BH131" s="1162"/>
      <c r="BI131" s="1161"/>
      <c r="BJ131" s="1165"/>
      <c r="BK131" s="1165"/>
      <c r="BL131" s="1161"/>
      <c r="BM131" s="1161"/>
      <c r="BN131" s="1161"/>
      <c r="BO131" s="1161"/>
      <c r="BP131" s="1161"/>
      <c r="BQ131" s="1161"/>
      <c r="BR131" s="1161"/>
      <c r="BS131" s="1161"/>
      <c r="BT131" s="1161"/>
      <c r="BU131" s="1161"/>
      <c r="BV131" s="1161"/>
      <c r="BW131" s="1161"/>
      <c r="BX131" s="1161"/>
      <c r="BY131" s="1161"/>
      <c r="BZ131" s="1161"/>
      <c r="CA131" s="1161"/>
      <c r="CB131" s="1161"/>
      <c r="CC131" s="1161"/>
      <c r="CD131" s="1161"/>
      <c r="CE131" s="1161"/>
      <c r="CF131" s="1161"/>
      <c r="CG131" s="1161"/>
      <c r="CH131" s="1161"/>
      <c r="CI131" s="1161"/>
      <c r="CJ131" s="1161"/>
      <c r="CK131" s="1161"/>
      <c r="CL131" s="1161"/>
      <c r="CM131" s="1161"/>
      <c r="CN131" s="1161"/>
      <c r="CO131" s="1161"/>
      <c r="CP131" s="1161"/>
      <c r="CQ131" s="1161"/>
      <c r="CR131" s="1161"/>
      <c r="CS131" s="1161"/>
      <c r="CT131" s="1161"/>
      <c r="CU131" s="1161"/>
      <c r="CV131" s="1161"/>
      <c r="CW131" s="1161"/>
      <c r="CX131" s="1161"/>
      <c r="CY131" s="1161"/>
      <c r="CZ131" s="1161"/>
      <c r="DA131" s="1161"/>
      <c r="DB131" s="1161"/>
      <c r="DC131" s="5"/>
      <c r="DD131" s="5"/>
      <c r="DE131" s="171"/>
      <c r="DF131" s="171"/>
      <c r="DG131" s="171"/>
      <c r="DH131" s="171"/>
      <c r="DI131" s="171"/>
      <c r="DJ131" s="171"/>
    </row>
    <row r="132" spans="1:114" s="1163" customFormat="1">
      <c r="A132" s="171"/>
      <c r="B132" s="1164"/>
      <c r="C132" s="46"/>
      <c r="D132" s="1161"/>
      <c r="E132" s="1161"/>
      <c r="F132" s="1161"/>
      <c r="G132" s="1161"/>
      <c r="H132" s="1161"/>
      <c r="I132" s="1161"/>
      <c r="J132" s="1161"/>
      <c r="K132" s="1161"/>
      <c r="L132" s="1161"/>
      <c r="M132" s="1161"/>
      <c r="N132" s="1161"/>
      <c r="O132" s="1161"/>
      <c r="P132" s="1161"/>
      <c r="Q132" s="1161"/>
      <c r="R132" s="1161"/>
      <c r="S132" s="1161"/>
      <c r="T132" s="1161"/>
      <c r="U132" s="1161"/>
      <c r="V132" s="1161"/>
      <c r="W132" s="1161"/>
      <c r="X132" s="1161"/>
      <c r="Y132" s="1161"/>
      <c r="Z132" s="1161"/>
      <c r="AA132" s="1161"/>
      <c r="AB132" s="1161"/>
      <c r="AC132" s="1161"/>
      <c r="AD132" s="1161"/>
      <c r="AE132" s="1161"/>
      <c r="AF132" s="1161"/>
      <c r="AG132" s="1161"/>
      <c r="AH132" s="1161"/>
      <c r="AI132" s="1161"/>
      <c r="AJ132" s="1161"/>
      <c r="AK132" s="1161"/>
      <c r="AL132" s="1161"/>
      <c r="AM132" s="1161"/>
      <c r="AN132" s="1161"/>
      <c r="AO132" s="1161"/>
      <c r="AP132" s="1161"/>
      <c r="AQ132" s="1161"/>
      <c r="AR132" s="1161"/>
      <c r="AS132" s="1161"/>
      <c r="AT132" s="1161"/>
      <c r="AU132" s="1162"/>
      <c r="AV132" s="1162"/>
      <c r="AW132" s="1162"/>
      <c r="AX132" s="1162"/>
      <c r="AY132" s="1161"/>
      <c r="AZ132" s="1162"/>
      <c r="BA132" s="1162"/>
      <c r="BB132" s="1162"/>
      <c r="BC132" s="1162"/>
      <c r="BD132" s="1161"/>
      <c r="BE132" s="1162"/>
      <c r="BF132" s="1162"/>
      <c r="BG132" s="1162"/>
      <c r="BH132" s="1162"/>
      <c r="BI132" s="1161"/>
      <c r="BJ132" s="1165"/>
      <c r="BK132" s="1165"/>
      <c r="BL132" s="1161"/>
      <c r="BM132" s="1161"/>
      <c r="BN132" s="1161"/>
      <c r="BO132" s="1161"/>
      <c r="BP132" s="1161"/>
      <c r="BQ132" s="1161"/>
      <c r="BR132" s="1161"/>
      <c r="BS132" s="1161"/>
      <c r="BT132" s="1161"/>
      <c r="BU132" s="1161"/>
      <c r="BV132" s="1161"/>
      <c r="BW132" s="1161"/>
      <c r="BX132" s="1161"/>
      <c r="BY132" s="1161"/>
      <c r="BZ132" s="1161"/>
      <c r="CA132" s="1161"/>
      <c r="CB132" s="1161"/>
      <c r="CC132" s="1161"/>
      <c r="CD132" s="1161"/>
      <c r="CE132" s="1161"/>
      <c r="CF132" s="1161"/>
      <c r="CG132" s="1161"/>
      <c r="CH132" s="1161"/>
      <c r="CI132" s="1161"/>
      <c r="CJ132" s="1161"/>
      <c r="CK132" s="1161"/>
      <c r="CL132" s="1161"/>
      <c r="CM132" s="1161"/>
      <c r="CN132" s="1161"/>
      <c r="CO132" s="1161"/>
      <c r="CP132" s="1161"/>
      <c r="CQ132" s="1161"/>
      <c r="CR132" s="1161"/>
      <c r="CS132" s="1161"/>
      <c r="CT132" s="1161"/>
      <c r="CU132" s="1161"/>
      <c r="CV132" s="1161"/>
      <c r="CW132" s="1161"/>
      <c r="CX132" s="1161"/>
      <c r="CY132" s="1161"/>
      <c r="CZ132" s="1161"/>
      <c r="DA132" s="1161"/>
      <c r="DB132" s="1161"/>
      <c r="DC132" s="5"/>
      <c r="DD132" s="5"/>
      <c r="DE132" s="171"/>
      <c r="DF132" s="171"/>
      <c r="DG132" s="171"/>
      <c r="DH132" s="171"/>
      <c r="DI132" s="171"/>
      <c r="DJ132" s="171"/>
    </row>
    <row r="133" spans="1:114">
      <c r="A133" s="171"/>
      <c r="B133" s="696" t="s">
        <v>365</v>
      </c>
      <c r="C133" s="169"/>
      <c r="D133" s="215"/>
      <c r="E133" s="215"/>
      <c r="F133" s="215"/>
      <c r="G133" s="216"/>
      <c r="H133" s="216"/>
      <c r="I133" s="216"/>
      <c r="J133" s="216"/>
      <c r="K133" s="215"/>
      <c r="L133" s="216"/>
      <c r="M133" s="216"/>
      <c r="N133" s="216"/>
      <c r="O133" s="216"/>
      <c r="P133" s="215"/>
      <c r="Q133" s="216"/>
      <c r="R133" s="216"/>
      <c r="S133" s="216"/>
      <c r="T133" s="216"/>
      <c r="U133" s="215"/>
      <c r="V133" s="216"/>
      <c r="W133" s="216"/>
      <c r="X133" s="216"/>
      <c r="Y133" s="216"/>
      <c r="Z133" s="215"/>
      <c r="AA133" s="216"/>
      <c r="AB133" s="216"/>
      <c r="AC133" s="216"/>
      <c r="AD133" s="216"/>
      <c r="AE133" s="215"/>
      <c r="AF133" s="216"/>
      <c r="AG133" s="216"/>
      <c r="AH133" s="216"/>
      <c r="AI133" s="216"/>
      <c r="AJ133" s="215"/>
      <c r="AK133" s="216"/>
      <c r="AL133" s="216"/>
      <c r="AM133" s="216"/>
      <c r="AN133" s="216"/>
      <c r="AO133" s="215"/>
      <c r="AP133" s="216"/>
      <c r="AQ133" s="216"/>
      <c r="AR133" s="216"/>
      <c r="AS133" s="216"/>
      <c r="AT133" s="215"/>
      <c r="AU133" s="216"/>
      <c r="AV133" s="216"/>
      <c r="AW133" s="216"/>
      <c r="AX133" s="216"/>
      <c r="AY133" s="215"/>
      <c r="AZ133" s="216"/>
      <c r="BA133" s="216"/>
      <c r="BB133" s="216"/>
      <c r="BC133" s="216"/>
      <c r="BD133" s="215"/>
      <c r="BE133" s="216"/>
      <c r="BF133" s="216"/>
      <c r="BG133" s="216"/>
      <c r="BH133" s="217"/>
      <c r="BI133" s="218"/>
      <c r="BJ133" s="217"/>
      <c r="BK133" s="217"/>
      <c r="BL133" s="217"/>
      <c r="BM133" s="217"/>
      <c r="BN133" s="218"/>
      <c r="BO133" s="216"/>
      <c r="BP133" s="216"/>
      <c r="BQ133" s="216"/>
      <c r="BR133" s="216"/>
      <c r="BS133" s="215"/>
      <c r="BT133" s="216"/>
      <c r="BU133" s="216"/>
      <c r="BV133" s="216"/>
      <c r="BW133" s="216"/>
      <c r="BX133" s="215"/>
      <c r="BY133" s="216"/>
      <c r="BZ133" s="216"/>
      <c r="CA133" s="216"/>
      <c r="CB133" s="216"/>
      <c r="CC133" s="215"/>
      <c r="CD133" s="216"/>
      <c r="CE133" s="216"/>
      <c r="CF133" s="216"/>
      <c r="CG133" s="216"/>
      <c r="CH133" s="215"/>
      <c r="CI133" s="216"/>
      <c r="CJ133" s="216"/>
      <c r="CK133" s="216"/>
      <c r="CL133" s="216"/>
      <c r="CM133" s="215"/>
      <c r="CN133" s="216"/>
      <c r="CO133" s="216"/>
      <c r="CP133" s="216"/>
      <c r="CQ133" s="216"/>
      <c r="CR133" s="215"/>
      <c r="CS133" s="216"/>
      <c r="CT133" s="216"/>
      <c r="CU133" s="216"/>
      <c r="CV133" s="216"/>
      <c r="CW133" s="215"/>
      <c r="CX133" s="216"/>
      <c r="CY133" s="216"/>
      <c r="CZ133" s="216"/>
      <c r="DA133" s="216"/>
      <c r="DB133" s="215"/>
      <c r="DC133" s="5"/>
      <c r="DD133" s="5"/>
      <c r="DE133" s="171"/>
      <c r="DF133" s="171"/>
      <c r="DG133" s="171"/>
      <c r="DH133" s="171"/>
      <c r="DI133" s="171"/>
      <c r="DJ133" s="171"/>
    </row>
    <row r="134" spans="1:114">
      <c r="A134" s="171"/>
      <c r="B134" s="697" t="s">
        <v>517</v>
      </c>
      <c r="C134" s="38"/>
      <c r="D134" s="201"/>
      <c r="E134" s="201"/>
      <c r="F134" s="201"/>
      <c r="G134" s="166"/>
      <c r="H134" s="166"/>
      <c r="I134" s="166"/>
      <c r="J134" s="166"/>
      <c r="K134" s="201"/>
      <c r="L134" s="166"/>
      <c r="M134" s="166"/>
      <c r="N134" s="166"/>
      <c r="O134" s="166"/>
      <c r="P134" s="201"/>
      <c r="Q134" s="166"/>
      <c r="R134" s="166"/>
      <c r="S134" s="166"/>
      <c r="T134" s="166"/>
      <c r="U134" s="201"/>
      <c r="V134" s="166"/>
      <c r="W134" s="166"/>
      <c r="X134" s="166"/>
      <c r="Y134" s="166"/>
      <c r="Z134" s="201"/>
      <c r="AA134" s="166"/>
      <c r="AB134" s="166"/>
      <c r="AC134" s="166"/>
      <c r="AD134" s="166"/>
      <c r="AE134" s="201"/>
      <c r="AF134" s="166"/>
      <c r="AG134" s="166"/>
      <c r="AH134" s="166"/>
      <c r="AI134" s="166"/>
      <c r="AJ134" s="201"/>
      <c r="AK134" s="166"/>
      <c r="AL134" s="166"/>
      <c r="AM134" s="166"/>
      <c r="AN134" s="166"/>
      <c r="AO134" s="201"/>
      <c r="AP134" s="166"/>
      <c r="AQ134" s="166"/>
      <c r="AR134" s="166"/>
      <c r="AS134" s="166"/>
      <c r="AT134" s="201"/>
      <c r="AU134" s="202"/>
      <c r="AV134" s="202"/>
      <c r="AW134" s="202"/>
      <c r="AX134" s="202"/>
      <c r="AY134" s="201"/>
      <c r="AZ134" s="202"/>
      <c r="BA134" s="202"/>
      <c r="BB134" s="202"/>
      <c r="BC134" s="202"/>
      <c r="BD134" s="201"/>
      <c r="BE134" s="231"/>
      <c r="BF134" s="231"/>
      <c r="BG134" s="231"/>
      <c r="BH134" s="231"/>
      <c r="BI134" s="270">
        <v>0.08</v>
      </c>
      <c r="BJ134" s="231">
        <v>0.08</v>
      </c>
      <c r="BK134" s="231">
        <v>0.08</v>
      </c>
      <c r="BL134" s="231">
        <v>0.08</v>
      </c>
      <c r="BM134" s="220">
        <f>BL134</f>
        <v>0.08</v>
      </c>
      <c r="BN134" s="107"/>
      <c r="BO134" s="220">
        <f>BM134</f>
        <v>0.08</v>
      </c>
      <c r="BP134" s="220">
        <f>BO134</f>
        <v>0.08</v>
      </c>
      <c r="BQ134" s="220">
        <f>BP134</f>
        <v>0.08</v>
      </c>
      <c r="BR134" s="220">
        <f>BQ134</f>
        <v>0.08</v>
      </c>
      <c r="BS134" s="107"/>
      <c r="BT134" s="220">
        <f>BR134</f>
        <v>0.08</v>
      </c>
      <c r="BU134" s="220">
        <f>BT134</f>
        <v>0.08</v>
      </c>
      <c r="BV134" s="220">
        <f>BU134</f>
        <v>0.08</v>
      </c>
      <c r="BW134" s="220">
        <f>BV134</f>
        <v>0.08</v>
      </c>
      <c r="BX134" s="107"/>
      <c r="BY134" s="220">
        <f>BW134</f>
        <v>0.08</v>
      </c>
      <c r="BZ134" s="220">
        <f>BY134</f>
        <v>0.08</v>
      </c>
      <c r="CA134" s="220">
        <f>BZ134</f>
        <v>0.08</v>
      </c>
      <c r="CB134" s="220">
        <f>CA134</f>
        <v>0.08</v>
      </c>
      <c r="CC134" s="107"/>
      <c r="CD134" s="220">
        <f>CB134</f>
        <v>0.08</v>
      </c>
      <c r="CE134" s="220">
        <f>CD134</f>
        <v>0.08</v>
      </c>
      <c r="CF134" s="220">
        <f>CE134</f>
        <v>0.08</v>
      </c>
      <c r="CG134" s="220">
        <f>CF134</f>
        <v>0.08</v>
      </c>
      <c r="CH134" s="107"/>
      <c r="CI134" s="220">
        <f>CG134</f>
        <v>0.08</v>
      </c>
      <c r="CJ134" s="220">
        <f>CI134</f>
        <v>0.08</v>
      </c>
      <c r="CK134" s="220">
        <f>CJ134</f>
        <v>0.08</v>
      </c>
      <c r="CL134" s="220">
        <f>CK134</f>
        <v>0.08</v>
      </c>
      <c r="CM134" s="107"/>
      <c r="CN134" s="220">
        <f>CL134</f>
        <v>0.08</v>
      </c>
      <c r="CO134" s="220">
        <f>CN134</f>
        <v>0.08</v>
      </c>
      <c r="CP134" s="220">
        <f>CO134</f>
        <v>0.08</v>
      </c>
      <c r="CQ134" s="220">
        <f>CP134</f>
        <v>0.08</v>
      </c>
      <c r="CR134" s="107"/>
      <c r="CS134" s="220">
        <f>CQ134</f>
        <v>0.08</v>
      </c>
      <c r="CT134" s="220">
        <f>CS134</f>
        <v>0.08</v>
      </c>
      <c r="CU134" s="220">
        <f>CT134</f>
        <v>0.08</v>
      </c>
      <c r="CV134" s="220">
        <f>CU134</f>
        <v>0.08</v>
      </c>
      <c r="CW134" s="107"/>
      <c r="CX134" s="220">
        <f>CV134</f>
        <v>0.08</v>
      </c>
      <c r="CY134" s="220">
        <f>CX134</f>
        <v>0.08</v>
      </c>
      <c r="CZ134" s="220">
        <f>CY134</f>
        <v>0.08</v>
      </c>
      <c r="DA134" s="220">
        <f>CZ134</f>
        <v>0.08</v>
      </c>
      <c r="DB134" s="107"/>
      <c r="DC134" s="5"/>
      <c r="DD134" s="5"/>
      <c r="DE134" s="171"/>
      <c r="DF134" s="171"/>
      <c r="DG134" s="171"/>
      <c r="DH134" s="171"/>
      <c r="DI134" s="171"/>
      <c r="DJ134" s="171"/>
    </row>
    <row r="135" spans="1:114">
      <c r="A135" s="171"/>
      <c r="B135" s="693" t="s">
        <v>518</v>
      </c>
      <c r="C135" s="38"/>
      <c r="D135" s="201"/>
      <c r="E135" s="201"/>
      <c r="F135" s="201"/>
      <c r="G135" s="166"/>
      <c r="H135" s="166"/>
      <c r="I135" s="166"/>
      <c r="J135" s="166"/>
      <c r="K135" s="201"/>
      <c r="L135" s="166"/>
      <c r="M135" s="166"/>
      <c r="N135" s="166"/>
      <c r="O135" s="166"/>
      <c r="P135" s="201"/>
      <c r="Q135" s="166"/>
      <c r="R135" s="166"/>
      <c r="S135" s="166"/>
      <c r="T135" s="166"/>
      <c r="U135" s="201"/>
      <c r="V135" s="166"/>
      <c r="W135" s="166"/>
      <c r="X135" s="166"/>
      <c r="Y135" s="166"/>
      <c r="Z135" s="201"/>
      <c r="AA135" s="166"/>
      <c r="AB135" s="166"/>
      <c r="AC135" s="166"/>
      <c r="AD135" s="166"/>
      <c r="AE135" s="201"/>
      <c r="AF135" s="166"/>
      <c r="AG135" s="166"/>
      <c r="AH135" s="166"/>
      <c r="AI135" s="166"/>
      <c r="AJ135" s="201"/>
      <c r="AK135" s="166"/>
      <c r="AL135" s="166"/>
      <c r="AM135" s="166"/>
      <c r="AN135" s="166"/>
      <c r="AO135" s="201"/>
      <c r="AP135" s="166"/>
      <c r="AQ135" s="166"/>
      <c r="AR135" s="166"/>
      <c r="AS135" s="166"/>
      <c r="AT135" s="221"/>
      <c r="AU135" s="193"/>
      <c r="AV135" s="193"/>
      <c r="AW135" s="193"/>
      <c r="AX135" s="193"/>
      <c r="AY135" s="194"/>
      <c r="AZ135" s="193"/>
      <c r="BA135" s="193"/>
      <c r="BB135" s="193"/>
      <c r="BC135" s="193"/>
      <c r="BD135" s="194"/>
      <c r="BE135" s="193"/>
      <c r="BF135" s="193"/>
      <c r="BG135" s="193"/>
      <c r="BH135" s="193"/>
      <c r="BI135" s="194"/>
      <c r="BJ135" s="193">
        <f>BI138</f>
        <v>1000</v>
      </c>
      <c r="BK135" s="193">
        <f>BJ138</f>
        <v>2024.694</v>
      </c>
      <c r="BL135" s="193">
        <f>BK138</f>
        <v>2023.9549999999999</v>
      </c>
      <c r="BM135" s="193">
        <f>BL138</f>
        <v>2023.414</v>
      </c>
      <c r="BN135" s="194">
        <f>BI138</f>
        <v>1000</v>
      </c>
      <c r="BO135" s="193">
        <f>BN138</f>
        <v>2022.829</v>
      </c>
      <c r="BP135" s="193">
        <f>BO138</f>
        <v>2022.2280000000001</v>
      </c>
      <c r="BQ135" s="193">
        <f>BP138</f>
        <v>2021.6130000000001</v>
      </c>
      <c r="BR135" s="193">
        <f>BQ138</f>
        <v>2020.9860000000001</v>
      </c>
      <c r="BS135" s="194">
        <f>BN138</f>
        <v>2022.829</v>
      </c>
      <c r="BT135" s="193">
        <f>BS138</f>
        <v>2020.346</v>
      </c>
      <c r="BU135" s="193">
        <f>BT138</f>
        <v>2020</v>
      </c>
      <c r="BV135" s="193">
        <f>BU138</f>
        <v>2019</v>
      </c>
      <c r="BW135" s="193">
        <f>BV138</f>
        <v>2018</v>
      </c>
      <c r="BX135" s="194">
        <f>BS138</f>
        <v>2020.346</v>
      </c>
      <c r="BY135" s="193">
        <f>BX138</f>
        <v>2018</v>
      </c>
      <c r="BZ135" s="193">
        <f>BY138</f>
        <v>2017</v>
      </c>
      <c r="CA135" s="193">
        <f>BZ138</f>
        <v>2016</v>
      </c>
      <c r="CB135" s="193">
        <f>CA138</f>
        <v>2015</v>
      </c>
      <c r="CC135" s="194">
        <f>BX138</f>
        <v>2018</v>
      </c>
      <c r="CD135" s="193">
        <f>CC138</f>
        <v>2015</v>
      </c>
      <c r="CE135" s="193">
        <f>CD138</f>
        <v>1993</v>
      </c>
      <c r="CF135" s="193">
        <f>CE138</f>
        <v>1919</v>
      </c>
      <c r="CG135" s="193">
        <f>CF138</f>
        <v>1919</v>
      </c>
      <c r="CH135" s="194">
        <f>CC138</f>
        <v>2015</v>
      </c>
      <c r="CI135" s="193">
        <f>CH138</f>
        <v>1920</v>
      </c>
      <c r="CJ135" s="193">
        <f>CI138</f>
        <v>1925</v>
      </c>
      <c r="CK135" s="193">
        <f>CJ138</f>
        <v>1925</v>
      </c>
      <c r="CL135" s="193">
        <f>CK138</f>
        <v>1925</v>
      </c>
      <c r="CM135" s="194">
        <f>CH138</f>
        <v>1920</v>
      </c>
      <c r="CN135" s="193">
        <f>CM138</f>
        <v>1925</v>
      </c>
      <c r="CO135" s="193">
        <f>CN138</f>
        <v>1925</v>
      </c>
      <c r="CP135" s="193">
        <f>CO138</f>
        <v>1925</v>
      </c>
      <c r="CQ135" s="193">
        <f>CP138</f>
        <v>1925</v>
      </c>
      <c r="CR135" s="194">
        <f>CM138</f>
        <v>1925</v>
      </c>
      <c r="CS135" s="193">
        <f>CR138</f>
        <v>1925</v>
      </c>
      <c r="CT135" s="193">
        <f>CS138</f>
        <v>1925</v>
      </c>
      <c r="CU135" s="193">
        <f>CT138</f>
        <v>1925</v>
      </c>
      <c r="CV135" s="193">
        <f>CU138</f>
        <v>1925</v>
      </c>
      <c r="CW135" s="194">
        <f>CR138</f>
        <v>1925</v>
      </c>
      <c r="CX135" s="193">
        <f>CW138</f>
        <v>1925</v>
      </c>
      <c r="CY135" s="193">
        <f>CX138</f>
        <v>1925</v>
      </c>
      <c r="CZ135" s="193">
        <f>CY138</f>
        <v>1925</v>
      </c>
      <c r="DA135" s="193">
        <f>CZ138</f>
        <v>1925</v>
      </c>
      <c r="DB135" s="194">
        <f>CW138</f>
        <v>1925</v>
      </c>
      <c r="DC135" s="5"/>
      <c r="DD135" s="5"/>
      <c r="DE135" s="171"/>
      <c r="DF135" s="171"/>
      <c r="DG135" s="171"/>
      <c r="DH135" s="171"/>
      <c r="DI135" s="171"/>
      <c r="DJ135" s="171"/>
    </row>
    <row r="136" spans="1:114">
      <c r="A136" s="171"/>
      <c r="B136" s="693" t="s">
        <v>654</v>
      </c>
      <c r="C136" s="38"/>
      <c r="D136" s="201"/>
      <c r="E136" s="201"/>
      <c r="F136" s="201"/>
      <c r="G136" s="166"/>
      <c r="H136" s="166"/>
      <c r="I136" s="166"/>
      <c r="J136" s="166"/>
      <c r="K136" s="201"/>
      <c r="L136" s="166"/>
      <c r="M136" s="166"/>
      <c r="N136" s="166"/>
      <c r="O136" s="166"/>
      <c r="P136" s="201"/>
      <c r="Q136" s="166"/>
      <c r="R136" s="166"/>
      <c r="S136" s="166"/>
      <c r="T136" s="166"/>
      <c r="U136" s="201"/>
      <c r="V136" s="166"/>
      <c r="W136" s="166"/>
      <c r="X136" s="166"/>
      <c r="Y136" s="166"/>
      <c r="Z136" s="201"/>
      <c r="AA136" s="166"/>
      <c r="AB136" s="166"/>
      <c r="AC136" s="166"/>
      <c r="AD136" s="166"/>
      <c r="AE136" s="201"/>
      <c r="AF136" s="166"/>
      <c r="AG136" s="166"/>
      <c r="AH136" s="166"/>
      <c r="AI136" s="166"/>
      <c r="AJ136" s="201"/>
      <c r="AK136" s="166"/>
      <c r="AL136" s="166"/>
      <c r="AM136" s="166"/>
      <c r="AN136" s="166"/>
      <c r="AO136" s="201"/>
      <c r="AP136" s="166"/>
      <c r="AQ136" s="166"/>
      <c r="AR136" s="166"/>
      <c r="AS136" s="166"/>
      <c r="AT136" s="221"/>
      <c r="AU136" s="193"/>
      <c r="AV136" s="193"/>
      <c r="AW136" s="193"/>
      <c r="AX136" s="193"/>
      <c r="AY136" s="194"/>
      <c r="AZ136" s="193"/>
      <c r="BA136" s="193"/>
      <c r="BB136" s="193"/>
      <c r="BC136" s="193"/>
      <c r="BD136" s="194"/>
      <c r="BE136" s="193"/>
      <c r="BF136" s="193"/>
      <c r="BG136" s="193"/>
      <c r="BH136" s="193"/>
      <c r="BI136" s="194"/>
      <c r="BJ136" s="193"/>
      <c r="BK136" s="193"/>
      <c r="BL136" s="193"/>
      <c r="BM136" s="193"/>
      <c r="BN136" s="194"/>
      <c r="BO136" s="193"/>
      <c r="BP136" s="193"/>
      <c r="BQ136" s="193"/>
      <c r="BR136" s="193"/>
      <c r="BS136" s="194"/>
      <c r="BT136" s="193"/>
      <c r="BU136" s="193"/>
      <c r="BV136" s="193"/>
      <c r="BW136" s="193"/>
      <c r="BX136" s="194"/>
      <c r="BY136" s="1181">
        <v>0</v>
      </c>
      <c r="BZ136" s="193">
        <v>0</v>
      </c>
      <c r="CA136" s="193">
        <v>0</v>
      </c>
      <c r="CB136" s="842">
        <v>0</v>
      </c>
      <c r="CC136" s="194">
        <f>SUM(BY136:CB136)</f>
        <v>0</v>
      </c>
      <c r="CD136" s="1181">
        <v>0</v>
      </c>
      <c r="CE136" s="193">
        <v>0</v>
      </c>
      <c r="CF136" s="193">
        <v>0</v>
      </c>
      <c r="CG136" s="842">
        <f>+CG138-CG135</f>
        <v>1</v>
      </c>
      <c r="CH136" s="194">
        <f>SUM(CD136:CG136)</f>
        <v>1</v>
      </c>
      <c r="CI136" s="193">
        <f>+CI138-CI135</f>
        <v>5</v>
      </c>
      <c r="CJ136" s="193">
        <v>0</v>
      </c>
      <c r="CK136" s="193">
        <v>0</v>
      </c>
      <c r="CL136" s="842">
        <v>0</v>
      </c>
      <c r="CM136" s="194">
        <f>SUM(CI136:CL136)</f>
        <v>5</v>
      </c>
      <c r="CN136" s="1181">
        <v>0</v>
      </c>
      <c r="CO136" s="193">
        <v>0</v>
      </c>
      <c r="CP136" s="193">
        <v>0</v>
      </c>
      <c r="CQ136" s="842">
        <v>0</v>
      </c>
      <c r="CR136" s="194">
        <f>SUM(CN136:CQ136)</f>
        <v>0</v>
      </c>
      <c r="CS136" s="1181">
        <v>0</v>
      </c>
      <c r="CT136" s="193">
        <v>0</v>
      </c>
      <c r="CU136" s="193">
        <v>0</v>
      </c>
      <c r="CV136" s="842">
        <v>0</v>
      </c>
      <c r="CW136" s="194">
        <f>SUM(CS136:CV136)</f>
        <v>0</v>
      </c>
      <c r="CX136" s="1181">
        <v>0</v>
      </c>
      <c r="CY136" s="193">
        <v>0</v>
      </c>
      <c r="CZ136" s="193">
        <v>0</v>
      </c>
      <c r="DA136" s="842">
        <v>0</v>
      </c>
      <c r="DB136" s="194">
        <f>SUM(CX136:DA136)</f>
        <v>0</v>
      </c>
      <c r="DC136" s="5"/>
      <c r="DD136" s="5"/>
      <c r="DE136" s="171"/>
      <c r="DF136" s="171"/>
      <c r="DG136" s="171"/>
      <c r="DH136" s="171"/>
      <c r="DI136" s="171"/>
      <c r="DJ136" s="171"/>
    </row>
    <row r="137" spans="1:114">
      <c r="A137" s="171"/>
      <c r="B137" s="691" t="s">
        <v>653</v>
      </c>
      <c r="C137" s="33"/>
      <c r="D137" s="206"/>
      <c r="E137" s="206"/>
      <c r="F137" s="206"/>
      <c r="G137" s="214"/>
      <c r="H137" s="214"/>
      <c r="I137" s="214"/>
      <c r="J137" s="214"/>
      <c r="K137" s="206"/>
      <c r="L137" s="214"/>
      <c r="M137" s="214"/>
      <c r="N137" s="214"/>
      <c r="O137" s="214"/>
      <c r="P137" s="206"/>
      <c r="Q137" s="214"/>
      <c r="R137" s="214"/>
      <c r="S137" s="214"/>
      <c r="T137" s="214"/>
      <c r="U137" s="206"/>
      <c r="V137" s="214"/>
      <c r="W137" s="214"/>
      <c r="X137" s="214"/>
      <c r="Y137" s="214"/>
      <c r="Z137" s="206"/>
      <c r="AA137" s="214"/>
      <c r="AB137" s="214"/>
      <c r="AC137" s="214"/>
      <c r="AD137" s="214"/>
      <c r="AE137" s="206"/>
      <c r="AF137" s="214"/>
      <c r="AG137" s="214"/>
      <c r="AH137" s="214"/>
      <c r="AI137" s="214"/>
      <c r="AJ137" s="206"/>
      <c r="AK137" s="214"/>
      <c r="AL137" s="214"/>
      <c r="AM137" s="214"/>
      <c r="AN137" s="214"/>
      <c r="AO137" s="206"/>
      <c r="AP137" s="214"/>
      <c r="AQ137" s="214"/>
      <c r="AR137" s="214"/>
      <c r="AS137" s="214"/>
      <c r="AT137" s="225"/>
      <c r="AU137" s="196"/>
      <c r="AV137" s="196"/>
      <c r="AW137" s="196"/>
      <c r="AX137" s="196"/>
      <c r="AY137" s="197"/>
      <c r="AZ137" s="196"/>
      <c r="BA137" s="196"/>
      <c r="BB137" s="196"/>
      <c r="BC137" s="196"/>
      <c r="BD137" s="197"/>
      <c r="BE137" s="196"/>
      <c r="BF137" s="196"/>
      <c r="BG137" s="196"/>
      <c r="BH137" s="196"/>
      <c r="BI137" s="197"/>
      <c r="BJ137" s="196">
        <f>BJ138-BJ135</f>
        <v>1024.694</v>
      </c>
      <c r="BK137" s="196">
        <f>BK138-BK135</f>
        <v>-0.73900000000003274</v>
      </c>
      <c r="BL137" s="196">
        <f>BL138-BL135</f>
        <v>-0.54099999999993997</v>
      </c>
      <c r="BM137" s="196">
        <f>BM138-BM135</f>
        <v>-0.58500000000003638</v>
      </c>
      <c r="BN137" s="197">
        <f>SUM(BJ137:BM137)</f>
        <v>1022.829</v>
      </c>
      <c r="BO137" s="196">
        <f>BO138-BO135</f>
        <v>-0.6009999999998854</v>
      </c>
      <c r="BP137" s="196">
        <f>BP138-BP135</f>
        <v>-0.61500000000000909</v>
      </c>
      <c r="BQ137" s="196">
        <f>BQ138-BQ135</f>
        <v>-0.62699999999995271</v>
      </c>
      <c r="BR137" s="196">
        <f>BR138-BR135</f>
        <v>-0.64000000000010004</v>
      </c>
      <c r="BS137" s="197">
        <f>SUM(BO137:BR137)</f>
        <v>-2.4829999999999472</v>
      </c>
      <c r="BT137" s="196">
        <f>BT138-BT135</f>
        <v>-0.34600000000000364</v>
      </c>
      <c r="BU137" s="196">
        <f>BU138-BU135</f>
        <v>-1</v>
      </c>
      <c r="BV137" s="196">
        <f>BV138-BV135</f>
        <v>-1</v>
      </c>
      <c r="BW137" s="196">
        <f>BW138-BW135</f>
        <v>0</v>
      </c>
      <c r="BX137" s="197">
        <f>SUM(BT137:BW137)</f>
        <v>-2.3460000000000036</v>
      </c>
      <c r="BY137" s="196">
        <f>BY138-BY135</f>
        <v>-1</v>
      </c>
      <c r="BZ137" s="196">
        <f>BZ138-BZ135</f>
        <v>-1</v>
      </c>
      <c r="CA137" s="196">
        <f>CA138-CA135</f>
        <v>-1</v>
      </c>
      <c r="CB137" s="196">
        <f>CB138-CB135</f>
        <v>0</v>
      </c>
      <c r="CC137" s="197">
        <f>SUM(BY137:CB137)</f>
        <v>-3</v>
      </c>
      <c r="CD137" s="196">
        <f>CD138-CD135</f>
        <v>-22</v>
      </c>
      <c r="CE137" s="196">
        <f>CE138-CE135</f>
        <v>-74</v>
      </c>
      <c r="CF137" s="196">
        <v>0</v>
      </c>
      <c r="CG137" s="196">
        <v>0</v>
      </c>
      <c r="CH137" s="197">
        <f>SUM(CD137:CG137)</f>
        <v>-96</v>
      </c>
      <c r="CI137" s="196">
        <v>0</v>
      </c>
      <c r="CJ137" s="196">
        <v>0</v>
      </c>
      <c r="CK137" s="196">
        <v>0</v>
      </c>
      <c r="CL137" s="196">
        <v>0</v>
      </c>
      <c r="CM137" s="197">
        <f>SUM(CI137:CL137)</f>
        <v>0</v>
      </c>
      <c r="CN137" s="196">
        <v>0</v>
      </c>
      <c r="CO137" s="196">
        <v>0</v>
      </c>
      <c r="CP137" s="196">
        <v>0</v>
      </c>
      <c r="CQ137" s="196">
        <v>0</v>
      </c>
      <c r="CR137" s="197">
        <f>SUM(CN137:CQ137)</f>
        <v>0</v>
      </c>
      <c r="CS137" s="196">
        <v>0</v>
      </c>
      <c r="CT137" s="196">
        <v>0</v>
      </c>
      <c r="CU137" s="196">
        <v>0</v>
      </c>
      <c r="CV137" s="196">
        <v>0</v>
      </c>
      <c r="CW137" s="197">
        <f>SUM(CS137:CV137)</f>
        <v>0</v>
      </c>
      <c r="CX137" s="196">
        <v>0</v>
      </c>
      <c r="CY137" s="196">
        <v>0</v>
      </c>
      <c r="CZ137" s="196">
        <v>0</v>
      </c>
      <c r="DA137" s="196">
        <v>0</v>
      </c>
      <c r="DB137" s="197">
        <f>SUM(CX137:DA137)</f>
        <v>0</v>
      </c>
      <c r="DC137" s="5"/>
      <c r="DD137" s="5"/>
      <c r="DE137" s="171"/>
      <c r="DF137" s="171"/>
      <c r="DG137" s="171"/>
      <c r="DH137" s="171"/>
      <c r="DI137" s="171"/>
      <c r="DJ137" s="171"/>
    </row>
    <row r="138" spans="1:114">
      <c r="A138" s="171"/>
      <c r="B138" s="698" t="s">
        <v>519</v>
      </c>
      <c r="C138" s="48"/>
      <c r="D138" s="204"/>
      <c r="E138" s="204"/>
      <c r="F138" s="204"/>
      <c r="G138" s="407"/>
      <c r="H138" s="407"/>
      <c r="I138" s="407"/>
      <c r="J138" s="407"/>
      <c r="K138" s="204"/>
      <c r="L138" s="407"/>
      <c r="M138" s="407"/>
      <c r="N138" s="407"/>
      <c r="O138" s="407"/>
      <c r="P138" s="204"/>
      <c r="Q138" s="407"/>
      <c r="R138" s="407"/>
      <c r="S138" s="407"/>
      <c r="T138" s="407"/>
      <c r="U138" s="204"/>
      <c r="V138" s="407"/>
      <c r="W138" s="407"/>
      <c r="X138" s="407"/>
      <c r="Y138" s="407"/>
      <c r="Z138" s="204"/>
      <c r="AA138" s="407"/>
      <c r="AB138" s="407"/>
      <c r="AC138" s="407"/>
      <c r="AD138" s="407"/>
      <c r="AE138" s="204"/>
      <c r="AF138" s="407"/>
      <c r="AG138" s="407"/>
      <c r="AH138" s="407"/>
      <c r="AI138" s="407"/>
      <c r="AJ138" s="204"/>
      <c r="AK138" s="407"/>
      <c r="AL138" s="407"/>
      <c r="AM138" s="407"/>
      <c r="AN138" s="407"/>
      <c r="AO138" s="204"/>
      <c r="AP138" s="407"/>
      <c r="AQ138" s="407"/>
      <c r="AR138" s="407"/>
      <c r="AS138" s="407"/>
      <c r="AT138" s="227"/>
      <c r="AU138" s="193"/>
      <c r="AV138" s="193"/>
      <c r="AW138" s="229"/>
      <c r="AX138" s="229"/>
      <c r="AY138" s="194"/>
      <c r="AZ138" s="193"/>
      <c r="BA138" s="193"/>
      <c r="BB138" s="229"/>
      <c r="BC138" s="229"/>
      <c r="BD138" s="194"/>
      <c r="BE138" s="193"/>
      <c r="BF138" s="193"/>
      <c r="BG138" s="229"/>
      <c r="BH138" s="233"/>
      <c r="BI138" s="272">
        <v>1000</v>
      </c>
      <c r="BJ138" s="198">
        <v>2024.694</v>
      </c>
      <c r="BK138" s="198">
        <v>2023.9549999999999</v>
      </c>
      <c r="BL138" s="198">
        <v>2023.414</v>
      </c>
      <c r="BM138" s="233">
        <v>2022.829</v>
      </c>
      <c r="BN138" s="199">
        <f>BM138</f>
        <v>2022.829</v>
      </c>
      <c r="BO138" s="233">
        <v>2022.2280000000001</v>
      </c>
      <c r="BP138" s="233">
        <v>2021.6130000000001</v>
      </c>
      <c r="BQ138" s="551">
        <v>2020.9860000000001</v>
      </c>
      <c r="BR138" s="551">
        <v>2020.346</v>
      </c>
      <c r="BS138" s="199">
        <f>BR138</f>
        <v>2020.346</v>
      </c>
      <c r="BT138" s="551">
        <v>2020</v>
      </c>
      <c r="BU138" s="551">
        <v>2019</v>
      </c>
      <c r="BV138" s="582">
        <v>2018</v>
      </c>
      <c r="BW138" s="551">
        <v>2018</v>
      </c>
      <c r="BX138" s="199">
        <f>BW138</f>
        <v>2018</v>
      </c>
      <c r="BY138" s="551">
        <v>2017</v>
      </c>
      <c r="BZ138" s="582">
        <v>2016</v>
      </c>
      <c r="CA138" s="582">
        <v>2015</v>
      </c>
      <c r="CB138" s="582">
        <v>2015</v>
      </c>
      <c r="CC138" s="199">
        <f>CB138</f>
        <v>2015</v>
      </c>
      <c r="CD138" s="582">
        <v>1993</v>
      </c>
      <c r="CE138" s="582">
        <v>1919</v>
      </c>
      <c r="CF138" s="229">
        <f>CF135+CF137</f>
        <v>1919</v>
      </c>
      <c r="CG138" s="582">
        <v>1920</v>
      </c>
      <c r="CH138" s="199">
        <f>CG138</f>
        <v>1920</v>
      </c>
      <c r="CI138" s="582">
        <v>1925</v>
      </c>
      <c r="CJ138" s="193">
        <f>SUM(CJ135:CJ137)</f>
        <v>1925</v>
      </c>
      <c r="CK138" s="193">
        <f>SUM(CK135:CK137)</f>
        <v>1925</v>
      </c>
      <c r="CL138" s="193">
        <f>SUM(CL135:CL137)</f>
        <v>1925</v>
      </c>
      <c r="CM138" s="194">
        <f>CL138</f>
        <v>1925</v>
      </c>
      <c r="CN138" s="193">
        <f>SUM(CN135:CN137)</f>
        <v>1925</v>
      </c>
      <c r="CO138" s="193">
        <f>SUM(CO135:CO137)</f>
        <v>1925</v>
      </c>
      <c r="CP138" s="193">
        <f>SUM(CP135:CP137)</f>
        <v>1925</v>
      </c>
      <c r="CQ138" s="193">
        <f>SUM(CQ135:CQ137)</f>
        <v>1925</v>
      </c>
      <c r="CR138" s="194">
        <f>CQ138</f>
        <v>1925</v>
      </c>
      <c r="CS138" s="193">
        <f>SUM(CS135:CS137)</f>
        <v>1925</v>
      </c>
      <c r="CT138" s="193">
        <f>SUM(CT135:CT137)</f>
        <v>1925</v>
      </c>
      <c r="CU138" s="193">
        <f>SUM(CU135:CU137)</f>
        <v>1925</v>
      </c>
      <c r="CV138" s="193">
        <f>SUM(CV135:CV137)</f>
        <v>1925</v>
      </c>
      <c r="CW138" s="194">
        <f>CV138</f>
        <v>1925</v>
      </c>
      <c r="CX138" s="193">
        <f>SUM(CX135:CX137)</f>
        <v>1925</v>
      </c>
      <c r="CY138" s="193">
        <f>SUM(CY135:CY137)</f>
        <v>1925</v>
      </c>
      <c r="CZ138" s="193">
        <f>SUM(CZ135:CZ137)</f>
        <v>1925</v>
      </c>
      <c r="DA138" s="193">
        <f>SUM(DA135:DA137)</f>
        <v>1925</v>
      </c>
      <c r="DB138" s="194">
        <f>DA138</f>
        <v>1925</v>
      </c>
      <c r="DC138" s="5"/>
      <c r="DD138" s="5"/>
      <c r="DE138" s="171"/>
      <c r="DF138" s="171"/>
      <c r="DG138" s="171"/>
      <c r="DH138" s="171"/>
      <c r="DI138" s="171"/>
      <c r="DJ138" s="171"/>
    </row>
    <row r="139" spans="1:114">
      <c r="A139" s="171"/>
      <c r="B139" s="691" t="s">
        <v>520</v>
      </c>
      <c r="C139" s="33"/>
      <c r="D139" s="206"/>
      <c r="E139" s="206"/>
      <c r="F139" s="206"/>
      <c r="G139" s="214"/>
      <c r="H139" s="214"/>
      <c r="I139" s="214"/>
      <c r="J139" s="214"/>
      <c r="K139" s="206"/>
      <c r="L139" s="214"/>
      <c r="M139" s="214"/>
      <c r="N139" s="214"/>
      <c r="O139" s="214"/>
      <c r="P139" s="206"/>
      <c r="Q139" s="214"/>
      <c r="R139" s="214"/>
      <c r="S139" s="214"/>
      <c r="T139" s="214"/>
      <c r="U139" s="206"/>
      <c r="V139" s="214"/>
      <c r="W139" s="214"/>
      <c r="X139" s="214"/>
      <c r="Y139" s="214"/>
      <c r="Z139" s="206"/>
      <c r="AA139" s="214"/>
      <c r="AB139" s="214"/>
      <c r="AC139" s="214"/>
      <c r="AD139" s="214"/>
      <c r="AE139" s="206"/>
      <c r="AF139" s="214"/>
      <c r="AG139" s="214"/>
      <c r="AH139" s="214"/>
      <c r="AI139" s="214"/>
      <c r="AJ139" s="206"/>
      <c r="AK139" s="214"/>
      <c r="AL139" s="214"/>
      <c r="AM139" s="214"/>
      <c r="AN139" s="214"/>
      <c r="AO139" s="206"/>
      <c r="AP139" s="214"/>
      <c r="AQ139" s="214"/>
      <c r="AR139" s="214"/>
      <c r="AS139" s="214"/>
      <c r="AT139" s="225"/>
      <c r="AU139" s="230"/>
      <c r="AV139" s="230"/>
      <c r="AW139" s="230"/>
      <c r="AX139" s="230"/>
      <c r="AY139" s="197"/>
      <c r="AZ139" s="230"/>
      <c r="BA139" s="230"/>
      <c r="BB139" s="230"/>
      <c r="BC139" s="230"/>
      <c r="BD139" s="197"/>
      <c r="BE139" s="230"/>
      <c r="BF139" s="230"/>
      <c r="BG139" s="230"/>
      <c r="BH139" s="230"/>
      <c r="BI139" s="197">
        <f>BI134*AVERAGE(BI138,BI135)</f>
        <v>80</v>
      </c>
      <c r="BJ139" s="230">
        <f>BJ134/4*AVERAGE(BJ138,BJ135)</f>
        <v>30.246939999999999</v>
      </c>
      <c r="BK139" s="230">
        <f>BK134/4*AVERAGE(BK138,BK135)</f>
        <v>40.486489999999996</v>
      </c>
      <c r="BL139" s="230">
        <f>BL134/4*AVERAGE(BL138,BL135)</f>
        <v>40.473689999999998</v>
      </c>
      <c r="BM139" s="230">
        <f>BM134/4*AVERAGE(BM138,BM135)</f>
        <v>40.462429999999998</v>
      </c>
      <c r="BN139" s="197">
        <f>SUM(BJ139:BM139)</f>
        <v>151.66955000000002</v>
      </c>
      <c r="BO139" s="230">
        <f>BO134/4*AVERAGE(BO138,BO135)</f>
        <v>40.450569999999999</v>
      </c>
      <c r="BP139" s="230">
        <f>BP134/4*AVERAGE(BP138,BP135)</f>
        <v>40.438410000000005</v>
      </c>
      <c r="BQ139" s="230">
        <f>BQ134/4*AVERAGE(BQ138,BQ135)</f>
        <v>40.425990000000006</v>
      </c>
      <c r="BR139" s="230">
        <f>BR134/4*AVERAGE(BR138,BR135)</f>
        <v>40.413320000000006</v>
      </c>
      <c r="BS139" s="197">
        <f>SUM(BO139:BR139)</f>
        <v>161.72829000000002</v>
      </c>
      <c r="BT139" s="230">
        <f>BT134/4*AVERAGE(BT138,BT135)</f>
        <v>40.403460000000003</v>
      </c>
      <c r="BU139" s="230">
        <f>BU134/4*AVERAGE(BU138,BU135)</f>
        <v>40.39</v>
      </c>
      <c r="BV139" s="230">
        <f>BV134/4*AVERAGE(BV138,BV135)</f>
        <v>40.369999999999997</v>
      </c>
      <c r="BW139" s="230">
        <f>BW134/4*AVERAGE(BW138,BW135)</f>
        <v>40.36</v>
      </c>
      <c r="BX139" s="197">
        <f>SUM(BT139:BW139)</f>
        <v>161.52346</v>
      </c>
      <c r="BY139" s="230">
        <f>BY134/4*AVERAGE(BY138,BY135)</f>
        <v>40.35</v>
      </c>
      <c r="BZ139" s="230">
        <f>BZ134/4*AVERAGE(BZ138,BZ135)</f>
        <v>40.33</v>
      </c>
      <c r="CA139" s="230">
        <f>CA134/4*AVERAGE(CA138,CA135)</f>
        <v>40.31</v>
      </c>
      <c r="CB139" s="230">
        <f>CB134/4*AVERAGE(CB138,CB135)</f>
        <v>40.300000000000004</v>
      </c>
      <c r="CC139" s="197">
        <f>SUM(BY139:CB139)</f>
        <v>161.29000000000002</v>
      </c>
      <c r="CD139" s="230">
        <f>CD134/4*AVERAGE(CD138,CD135)</f>
        <v>40.08</v>
      </c>
      <c r="CE139" s="230">
        <f>CE134/4*AVERAGE(CE138,CE135)</f>
        <v>39.119999999999997</v>
      </c>
      <c r="CF139" s="230">
        <f>CF134/4*AVERAGE(CF138,CF135)</f>
        <v>38.380000000000003</v>
      </c>
      <c r="CG139" s="230">
        <f>CG134/4*AVERAGE(CG138,CG135)</f>
        <v>38.39</v>
      </c>
      <c r="CH139" s="197">
        <f>SUM(CD139:CG139)</f>
        <v>155.96999999999997</v>
      </c>
      <c r="CI139" s="230">
        <f>CI134/4*AVERAGE(CI138,CI135)</f>
        <v>38.450000000000003</v>
      </c>
      <c r="CJ139" s="230">
        <f>CJ134/4*AVERAGE(CJ138,CJ135)</f>
        <v>38.5</v>
      </c>
      <c r="CK139" s="230">
        <f>CK134/4*AVERAGE(CK138,CK135)</f>
        <v>38.5</v>
      </c>
      <c r="CL139" s="230">
        <f>CL134/4*AVERAGE(CL138,CL135)</f>
        <v>38.5</v>
      </c>
      <c r="CM139" s="197">
        <f>SUM(CI139:CL139)</f>
        <v>153.94999999999999</v>
      </c>
      <c r="CN139" s="230">
        <f>CN134/4*AVERAGE(CN138,CN135)</f>
        <v>38.5</v>
      </c>
      <c r="CO139" s="230">
        <f>CO134/4*AVERAGE(CO138,CO135)</f>
        <v>38.5</v>
      </c>
      <c r="CP139" s="230">
        <f>CP134/4*AVERAGE(CP138,CP135)</f>
        <v>38.5</v>
      </c>
      <c r="CQ139" s="230">
        <f>CQ134/4*AVERAGE(CQ138,CQ135)</f>
        <v>38.5</v>
      </c>
      <c r="CR139" s="197">
        <f>SUM(CN139:CQ139)</f>
        <v>154</v>
      </c>
      <c r="CS139" s="230">
        <f>CS134/4*AVERAGE(CS138,CS135)</f>
        <v>38.5</v>
      </c>
      <c r="CT139" s="230">
        <f>CT134/4*AVERAGE(CT138,CT135)</f>
        <v>38.5</v>
      </c>
      <c r="CU139" s="230">
        <f>CU134/4*AVERAGE(CU138,CU135)</f>
        <v>38.5</v>
      </c>
      <c r="CV139" s="230">
        <f>CV134/4*AVERAGE(CV138,CV135)</f>
        <v>38.5</v>
      </c>
      <c r="CW139" s="197">
        <f>SUM(CS139:CV139)</f>
        <v>154</v>
      </c>
      <c r="CX139" s="230">
        <f>CX134/4*AVERAGE(CX138,CX135)</f>
        <v>38.5</v>
      </c>
      <c r="CY139" s="230">
        <f>CY134/4*AVERAGE(CY138,CY135)</f>
        <v>38.5</v>
      </c>
      <c r="CZ139" s="230">
        <f>CZ134/4*AVERAGE(CZ138,CZ135)</f>
        <v>38.5</v>
      </c>
      <c r="DA139" s="230">
        <f>DA134/4*AVERAGE(DA138,DA135)</f>
        <v>38.5</v>
      </c>
      <c r="DB139" s="197">
        <f>SUM(CX139:DA139)</f>
        <v>154</v>
      </c>
      <c r="DC139" s="5"/>
      <c r="DD139" s="5"/>
      <c r="DE139" s="171"/>
      <c r="DF139" s="171"/>
      <c r="DG139" s="171"/>
      <c r="DH139" s="171"/>
      <c r="DI139" s="171"/>
      <c r="DJ139" s="171"/>
    </row>
    <row r="140" spans="1:114" hidden="1" outlineLevel="1"/>
    <row r="141" spans="1:114" s="1163" customFormat="1" hidden="1" outlineLevel="1">
      <c r="A141" s="171"/>
      <c r="B141" s="1164" t="s">
        <v>650</v>
      </c>
      <c r="C141" s="46"/>
      <c r="D141" s="1161"/>
      <c r="E141" s="1161"/>
      <c r="F141" s="1161"/>
      <c r="G141" s="1161"/>
      <c r="H141" s="1161"/>
      <c r="I141" s="1161"/>
      <c r="J141" s="1161"/>
      <c r="K141" s="1161"/>
      <c r="L141" s="1161"/>
      <c r="M141" s="1161"/>
      <c r="N141" s="1161"/>
      <c r="O141" s="1161"/>
      <c r="P141" s="1161"/>
      <c r="Q141" s="1161"/>
      <c r="R141" s="1161"/>
      <c r="S141" s="1161"/>
      <c r="T141" s="1161"/>
      <c r="U141" s="1161"/>
      <c r="V141" s="1161"/>
      <c r="W141" s="1161"/>
      <c r="X141" s="1161"/>
      <c r="Y141" s="1161"/>
      <c r="Z141" s="1161"/>
      <c r="AA141" s="1161"/>
      <c r="AB141" s="1161"/>
      <c r="AC141" s="1161"/>
      <c r="AD141" s="1161"/>
      <c r="AE141" s="1161"/>
      <c r="AF141" s="1161"/>
      <c r="AG141" s="1161"/>
      <c r="AH141" s="1161"/>
      <c r="AI141" s="1161"/>
      <c r="AJ141" s="1161"/>
      <c r="AK141" s="1161"/>
      <c r="AL141" s="1161"/>
      <c r="AM141" s="1161"/>
      <c r="AN141" s="1161"/>
      <c r="AO141" s="1161"/>
      <c r="AP141" s="1161"/>
      <c r="AQ141" s="1161"/>
      <c r="AR141" s="1161"/>
      <c r="AS141" s="1161"/>
      <c r="AT141" s="1161"/>
      <c r="AU141" s="1162"/>
      <c r="AV141" s="1162"/>
      <c r="AW141" s="1162"/>
      <c r="AX141" s="1162"/>
      <c r="AY141" s="1161"/>
      <c r="AZ141" s="1162"/>
      <c r="BA141" s="1162"/>
      <c r="BB141" s="1162"/>
      <c r="BC141" s="1162"/>
      <c r="BD141" s="1161"/>
      <c r="BE141" s="1162"/>
      <c r="BF141" s="1162"/>
      <c r="BG141" s="1162"/>
      <c r="BH141" s="1162"/>
      <c r="BI141" s="1161"/>
      <c r="BJ141" s="1165"/>
      <c r="BK141" s="1165"/>
      <c r="BL141" s="1161"/>
      <c r="BM141" s="1161"/>
      <c r="BN141" s="1161"/>
      <c r="BO141" s="1161"/>
      <c r="BP141" s="1161"/>
      <c r="BQ141" s="1161"/>
      <c r="BR141" s="1161"/>
      <c r="BS141" s="1161"/>
      <c r="BT141" s="1161"/>
      <c r="BU141" s="1161"/>
      <c r="BV141" s="1161"/>
      <c r="BW141" s="1161"/>
      <c r="BX141" s="1161"/>
      <c r="BY141" s="1161"/>
      <c r="BZ141" s="1161"/>
      <c r="CA141" s="1161"/>
      <c r="CB141" s="1161"/>
      <c r="CC141" s="1161"/>
      <c r="CD141" s="1161"/>
      <c r="CE141" s="1161"/>
      <c r="CF141" s="1161"/>
      <c r="CG141" s="1161"/>
      <c r="CH141" s="1161"/>
      <c r="CI141" s="1161"/>
      <c r="CJ141" s="1161">
        <f>CJ129+CJ137</f>
        <v>978.00000000099999</v>
      </c>
      <c r="CK141" s="1161">
        <f>CK129+CK137</f>
        <v>606</v>
      </c>
      <c r="CL141" s="1161">
        <f t="shared" ref="CL141:CV141" si="78">CL129+CL137</f>
        <v>604</v>
      </c>
      <c r="CM141" s="1161"/>
      <c r="CN141" s="1161">
        <f t="shared" ca="1" si="78"/>
        <v>508.02631845250721</v>
      </c>
      <c r="CO141" s="1161">
        <f t="shared" ca="1" si="78"/>
        <v>712.28602136398672</v>
      </c>
      <c r="CP141" s="1161">
        <f t="shared" ca="1" si="78"/>
        <v>740.97549917369304</v>
      </c>
      <c r="CQ141" s="1161">
        <f t="shared" ca="1" si="78"/>
        <v>874.67555942532442</v>
      </c>
      <c r="CR141" s="1161"/>
      <c r="CS141" s="1161">
        <f t="shared" ca="1" si="78"/>
        <v>310.88494895668322</v>
      </c>
      <c r="CT141" s="1161">
        <f t="shared" ca="1" si="78"/>
        <v>474.61248303849936</v>
      </c>
      <c r="CU141" s="1161">
        <f t="shared" ca="1" si="78"/>
        <v>500.16083743763681</v>
      </c>
      <c r="CV141" s="1161">
        <f t="shared" ca="1" si="78"/>
        <v>714.23774281568853</v>
      </c>
      <c r="CW141" s="1161"/>
      <c r="CX141" s="1161">
        <f t="shared" ref="CX141:DA141" ca="1" si="79">CX129+CX137</f>
        <v>283.07015564062908</v>
      </c>
      <c r="CY141" s="1161">
        <f t="shared" ca="1" si="79"/>
        <v>336.79526973413715</v>
      </c>
      <c r="CZ141" s="1161">
        <f t="shared" ca="1" si="79"/>
        <v>453.3926388405722</v>
      </c>
      <c r="DA141" s="1161">
        <f t="shared" ca="1" si="79"/>
        <v>255.53769257557099</v>
      </c>
      <c r="DB141" s="1161"/>
      <c r="DC141" s="5"/>
      <c r="DD141" s="5"/>
      <c r="DE141" s="171"/>
      <c r="DF141" s="171"/>
      <c r="DG141" s="171"/>
      <c r="DH141" s="171"/>
      <c r="DI141" s="171"/>
      <c r="DJ141" s="171"/>
    </row>
    <row r="142" spans="1:114" collapsed="1"/>
    <row r="143" spans="1:114">
      <c r="A143" s="171"/>
      <c r="B143" s="696" t="s">
        <v>667</v>
      </c>
      <c r="C143" s="169"/>
      <c r="D143" s="215"/>
      <c r="E143" s="215"/>
      <c r="F143" s="215"/>
      <c r="G143" s="216"/>
      <c r="H143" s="216"/>
      <c r="I143" s="216"/>
      <c r="J143" s="216"/>
      <c r="K143" s="215"/>
      <c r="L143" s="216"/>
      <c r="M143" s="216"/>
      <c r="N143" s="216"/>
      <c r="O143" s="216"/>
      <c r="P143" s="215"/>
      <c r="Q143" s="216"/>
      <c r="R143" s="216"/>
      <c r="S143" s="216"/>
      <c r="T143" s="216"/>
      <c r="U143" s="215"/>
      <c r="V143" s="216"/>
      <c r="W143" s="216"/>
      <c r="X143" s="216"/>
      <c r="Y143" s="216"/>
      <c r="Z143" s="215"/>
      <c r="AA143" s="216"/>
      <c r="AB143" s="216"/>
      <c r="AC143" s="216"/>
      <c r="AD143" s="216"/>
      <c r="AE143" s="215"/>
      <c r="AF143" s="216"/>
      <c r="AG143" s="216"/>
      <c r="AH143" s="216"/>
      <c r="AI143" s="216"/>
      <c r="AJ143" s="215"/>
      <c r="AK143" s="216"/>
      <c r="AL143" s="216"/>
      <c r="AM143" s="216"/>
      <c r="AN143" s="216"/>
      <c r="AO143" s="215"/>
      <c r="AP143" s="216"/>
      <c r="AQ143" s="216"/>
      <c r="AR143" s="216"/>
      <c r="AS143" s="216"/>
      <c r="AT143" s="215"/>
      <c r="AU143" s="216"/>
      <c r="AV143" s="216"/>
      <c r="AW143" s="216"/>
      <c r="AX143" s="216"/>
      <c r="AY143" s="215"/>
      <c r="AZ143" s="216"/>
      <c r="BA143" s="216"/>
      <c r="BB143" s="216"/>
      <c r="BC143" s="216"/>
      <c r="BD143" s="215"/>
      <c r="BE143" s="216"/>
      <c r="BF143" s="216"/>
      <c r="BG143" s="216"/>
      <c r="BH143" s="217"/>
      <c r="BI143" s="218"/>
      <c r="BJ143" s="217"/>
      <c r="BK143" s="217"/>
      <c r="BL143" s="217"/>
      <c r="BM143" s="217"/>
      <c r="BN143" s="218"/>
      <c r="BO143" s="216"/>
      <c r="BP143" s="216"/>
      <c r="BQ143" s="216"/>
      <c r="BR143" s="216"/>
      <c r="BS143" s="215"/>
      <c r="BT143" s="216"/>
      <c r="BU143" s="216"/>
      <c r="BV143" s="216"/>
      <c r="BW143" s="216"/>
      <c r="BX143" s="215"/>
      <c r="BY143" s="216"/>
      <c r="BZ143" s="216"/>
      <c r="CA143" s="216"/>
      <c r="CB143" s="216"/>
      <c r="CC143" s="215"/>
      <c r="CD143" s="216"/>
      <c r="CE143" s="216"/>
      <c r="CF143" s="216"/>
      <c r="CG143" s="216"/>
      <c r="CH143" s="215"/>
      <c r="CI143" s="216"/>
      <c r="CJ143" s="216"/>
      <c r="CK143" s="216"/>
      <c r="CL143" s="216"/>
      <c r="CM143" s="215"/>
      <c r="CN143" s="216"/>
      <c r="CO143" s="216"/>
      <c r="CP143" s="216"/>
      <c r="CQ143" s="216"/>
      <c r="CR143" s="215"/>
      <c r="CS143" s="216"/>
      <c r="CT143" s="216"/>
      <c r="CU143" s="216"/>
      <c r="CV143" s="216"/>
      <c r="CW143" s="215"/>
      <c r="CX143" s="216"/>
      <c r="CY143" s="216"/>
      <c r="CZ143" s="216"/>
      <c r="DA143" s="216"/>
      <c r="DB143" s="215"/>
      <c r="DC143" s="5"/>
      <c r="DD143" s="5"/>
      <c r="DE143" s="171"/>
      <c r="DF143" s="171"/>
      <c r="DG143" s="171"/>
      <c r="DH143" s="171"/>
      <c r="DI143" s="171"/>
      <c r="DJ143" s="171"/>
    </row>
    <row r="144" spans="1:114">
      <c r="A144" s="171"/>
      <c r="B144" s="697" t="s">
        <v>517</v>
      </c>
      <c r="C144" s="38"/>
      <c r="D144" s="201"/>
      <c r="E144" s="201"/>
      <c r="F144" s="201"/>
      <c r="G144" s="166"/>
      <c r="H144" s="166"/>
      <c r="I144" s="166"/>
      <c r="J144" s="166"/>
      <c r="K144" s="201"/>
      <c r="L144" s="166"/>
      <c r="M144" s="166"/>
      <c r="N144" s="166"/>
      <c r="O144" s="166"/>
      <c r="P144" s="201"/>
      <c r="Q144" s="166"/>
      <c r="R144" s="166"/>
      <c r="S144" s="166"/>
      <c r="T144" s="166"/>
      <c r="U144" s="201"/>
      <c r="V144" s="166"/>
      <c r="W144" s="166"/>
      <c r="X144" s="166"/>
      <c r="Y144" s="166"/>
      <c r="Z144" s="201"/>
      <c r="AA144" s="166"/>
      <c r="AB144" s="166"/>
      <c r="AC144" s="166"/>
      <c r="AD144" s="166"/>
      <c r="AE144" s="201"/>
      <c r="AF144" s="166"/>
      <c r="AG144" s="166"/>
      <c r="AH144" s="166"/>
      <c r="AI144" s="166"/>
      <c r="AJ144" s="201"/>
      <c r="AK144" s="166"/>
      <c r="AL144" s="166"/>
      <c r="AM144" s="166"/>
      <c r="AN144" s="166"/>
      <c r="AO144" s="201"/>
      <c r="AP144" s="166"/>
      <c r="AQ144" s="166"/>
      <c r="AR144" s="166"/>
      <c r="AS144" s="166"/>
      <c r="AT144" s="201"/>
      <c r="AU144" s="202"/>
      <c r="AV144" s="202"/>
      <c r="AW144" s="202"/>
      <c r="AX144" s="202"/>
      <c r="AY144" s="201"/>
      <c r="AZ144" s="202"/>
      <c r="BA144" s="202"/>
      <c r="BB144" s="202"/>
      <c r="BC144" s="202"/>
      <c r="BD144" s="201"/>
      <c r="BE144" s="202"/>
      <c r="BF144" s="202"/>
      <c r="BG144" s="202"/>
      <c r="BH144" s="219"/>
      <c r="BI144" s="107"/>
      <c r="BJ144" s="220"/>
      <c r="BK144" s="220"/>
      <c r="BL144" s="231">
        <v>7.1249999999999994E-2</v>
      </c>
      <c r="BM144" s="220">
        <f>BL144</f>
        <v>7.1249999999999994E-2</v>
      </c>
      <c r="BN144" s="107"/>
      <c r="BO144" s="220">
        <f>BM144</f>
        <v>7.1249999999999994E-2</v>
      </c>
      <c r="BP144" s="220">
        <f>BO144</f>
        <v>7.1249999999999994E-2</v>
      </c>
      <c r="BQ144" s="220">
        <f>BP144</f>
        <v>7.1249999999999994E-2</v>
      </c>
      <c r="BR144" s="220">
        <f>BQ144</f>
        <v>7.1249999999999994E-2</v>
      </c>
      <c r="BS144" s="107"/>
      <c r="BT144" s="220">
        <f>BR144</f>
        <v>7.1249999999999994E-2</v>
      </c>
      <c r="BU144" s="220">
        <f>BT144</f>
        <v>7.1249999999999994E-2</v>
      </c>
      <c r="BV144" s="220">
        <f>BU144</f>
        <v>7.1249999999999994E-2</v>
      </c>
      <c r="BW144" s="220">
        <f>BV144</f>
        <v>7.1249999999999994E-2</v>
      </c>
      <c r="BX144" s="107"/>
      <c r="BY144" s="220">
        <f>BW144</f>
        <v>7.1249999999999994E-2</v>
      </c>
      <c r="BZ144" s="220">
        <f>BY144</f>
        <v>7.1249999999999994E-2</v>
      </c>
      <c r="CA144" s="220">
        <f>BZ144</f>
        <v>7.1249999999999994E-2</v>
      </c>
      <c r="CB144" s="220">
        <f>CA144</f>
        <v>7.1249999999999994E-2</v>
      </c>
      <c r="CC144" s="107"/>
      <c r="CD144" s="220">
        <f>CB144</f>
        <v>7.1249999999999994E-2</v>
      </c>
      <c r="CE144" s="220">
        <f>CD144</f>
        <v>7.1249999999999994E-2</v>
      </c>
      <c r="CF144" s="220">
        <f>CE144</f>
        <v>7.1249999999999994E-2</v>
      </c>
      <c r="CG144" s="220">
        <f>CF144</f>
        <v>7.1249999999999994E-2</v>
      </c>
      <c r="CH144" s="107"/>
      <c r="CI144" s="220">
        <f>CG144</f>
        <v>7.1249999999999994E-2</v>
      </c>
      <c r="CJ144" s="220">
        <f>CI144</f>
        <v>7.1249999999999994E-2</v>
      </c>
      <c r="CK144" s="220">
        <f>CJ144</f>
        <v>7.1249999999999994E-2</v>
      </c>
      <c r="CL144" s="220">
        <f>CK144</f>
        <v>7.1249999999999994E-2</v>
      </c>
      <c r="CM144" s="107"/>
      <c r="CN144" s="220">
        <f>CL144</f>
        <v>7.1249999999999994E-2</v>
      </c>
      <c r="CO144" s="220">
        <f>CN144</f>
        <v>7.1249999999999994E-2</v>
      </c>
      <c r="CP144" s="220">
        <f>CO144</f>
        <v>7.1249999999999994E-2</v>
      </c>
      <c r="CQ144" s="220">
        <f>CP144</f>
        <v>7.1249999999999994E-2</v>
      </c>
      <c r="CR144" s="107"/>
      <c r="CS144" s="220">
        <f>CQ144</f>
        <v>7.1249999999999994E-2</v>
      </c>
      <c r="CT144" s="220">
        <f>CS144</f>
        <v>7.1249999999999994E-2</v>
      </c>
      <c r="CU144" s="220">
        <f>CT144</f>
        <v>7.1249999999999994E-2</v>
      </c>
      <c r="CV144" s="220">
        <f>CU144</f>
        <v>7.1249999999999994E-2</v>
      </c>
      <c r="CW144" s="107"/>
      <c r="CX144" s="220">
        <f>CV144</f>
        <v>7.1249999999999994E-2</v>
      </c>
      <c r="CY144" s="220">
        <f>CX144</f>
        <v>7.1249999999999994E-2</v>
      </c>
      <c r="CZ144" s="220">
        <f>CY144</f>
        <v>7.1249999999999994E-2</v>
      </c>
      <c r="DA144" s="220">
        <f>CZ144</f>
        <v>7.1249999999999994E-2</v>
      </c>
      <c r="DB144" s="107"/>
      <c r="DC144" s="5"/>
      <c r="DD144" s="5"/>
      <c r="DE144" s="171"/>
      <c r="DF144" s="171"/>
      <c r="DG144" s="171"/>
      <c r="DH144" s="171"/>
      <c r="DI144" s="171"/>
      <c r="DJ144" s="171"/>
    </row>
    <row r="145" spans="1:114">
      <c r="A145" s="171"/>
      <c r="B145" s="693" t="s">
        <v>518</v>
      </c>
      <c r="C145" s="38"/>
      <c r="D145" s="201"/>
      <c r="E145" s="201"/>
      <c r="F145" s="201"/>
      <c r="G145" s="166"/>
      <c r="H145" s="166"/>
      <c r="I145" s="166"/>
      <c r="J145" s="166"/>
      <c r="K145" s="201"/>
      <c r="L145" s="166"/>
      <c r="M145" s="166"/>
      <c r="N145" s="166"/>
      <c r="O145" s="166"/>
      <c r="P145" s="201"/>
      <c r="Q145" s="166"/>
      <c r="R145" s="166"/>
      <c r="S145" s="166"/>
      <c r="T145" s="166"/>
      <c r="U145" s="201"/>
      <c r="V145" s="166"/>
      <c r="W145" s="166"/>
      <c r="X145" s="166"/>
      <c r="Y145" s="166"/>
      <c r="Z145" s="201"/>
      <c r="AA145" s="166"/>
      <c r="AB145" s="166"/>
      <c r="AC145" s="166"/>
      <c r="AD145" s="166"/>
      <c r="AE145" s="201"/>
      <c r="AF145" s="166"/>
      <c r="AG145" s="166"/>
      <c r="AH145" s="166"/>
      <c r="AI145" s="166"/>
      <c r="AJ145" s="201"/>
      <c r="AK145" s="166"/>
      <c r="AL145" s="166"/>
      <c r="AM145" s="166"/>
      <c r="AN145" s="166"/>
      <c r="AO145" s="201"/>
      <c r="AP145" s="166"/>
      <c r="AQ145" s="166"/>
      <c r="AR145" s="166"/>
      <c r="AS145" s="166"/>
      <c r="AT145" s="221"/>
      <c r="AU145" s="222"/>
      <c r="AV145" s="222"/>
      <c r="AW145" s="222"/>
      <c r="AX145" s="222"/>
      <c r="AY145" s="221"/>
      <c r="AZ145" s="222"/>
      <c r="BA145" s="222"/>
      <c r="BB145" s="222"/>
      <c r="BC145" s="222"/>
      <c r="BD145" s="221"/>
      <c r="BE145" s="222"/>
      <c r="BF145" s="222"/>
      <c r="BG145" s="222"/>
      <c r="BH145" s="223"/>
      <c r="BI145" s="224"/>
      <c r="BJ145" s="193"/>
      <c r="BK145" s="193"/>
      <c r="BL145" s="193">
        <f>BK148</f>
        <v>0</v>
      </c>
      <c r="BM145" s="193">
        <f>BL148</f>
        <v>1200</v>
      </c>
      <c r="BN145" s="194">
        <f>BI148</f>
        <v>0</v>
      </c>
      <c r="BO145" s="193">
        <f>BN148</f>
        <v>1200</v>
      </c>
      <c r="BP145" s="193">
        <f>BO148</f>
        <v>1200</v>
      </c>
      <c r="BQ145" s="193">
        <f>BP148</f>
        <v>1200</v>
      </c>
      <c r="BR145" s="193">
        <f>BQ148</f>
        <v>1200</v>
      </c>
      <c r="BS145" s="194">
        <f>BN148</f>
        <v>1200</v>
      </c>
      <c r="BT145" s="193">
        <f>BS148</f>
        <v>1200</v>
      </c>
      <c r="BU145" s="193">
        <f>BT148</f>
        <v>1200</v>
      </c>
      <c r="BV145" s="193">
        <f>BU148</f>
        <v>1200</v>
      </c>
      <c r="BW145" s="193">
        <f>BV148</f>
        <v>1200</v>
      </c>
      <c r="BX145" s="194">
        <f>BS148</f>
        <v>1200</v>
      </c>
      <c r="BY145" s="193">
        <f>BX148</f>
        <v>1200</v>
      </c>
      <c r="BZ145" s="193">
        <f>BY148</f>
        <v>1200</v>
      </c>
      <c r="CA145" s="193">
        <f>BZ148</f>
        <v>1200</v>
      </c>
      <c r="CB145" s="193">
        <f>CA148</f>
        <v>1200</v>
      </c>
      <c r="CC145" s="194">
        <f>BX148</f>
        <v>1200</v>
      </c>
      <c r="CD145" s="193">
        <f>CC148</f>
        <v>1200</v>
      </c>
      <c r="CE145" s="193">
        <f>CD148</f>
        <v>1187</v>
      </c>
      <c r="CF145" s="193">
        <f>CE148</f>
        <v>1187</v>
      </c>
      <c r="CG145" s="193">
        <f>CF148</f>
        <v>1187</v>
      </c>
      <c r="CH145" s="194">
        <f>CC148</f>
        <v>1200</v>
      </c>
      <c r="CI145" s="193">
        <f>CH148</f>
        <v>1189</v>
      </c>
      <c r="CJ145" s="193">
        <f>CI148</f>
        <v>1200</v>
      </c>
      <c r="CK145" s="193">
        <f>CJ148</f>
        <v>1200</v>
      </c>
      <c r="CL145" s="193">
        <f>CK148</f>
        <v>1200</v>
      </c>
      <c r="CM145" s="194">
        <f>CH148</f>
        <v>1189</v>
      </c>
      <c r="CN145" s="193">
        <f>CM148</f>
        <v>1200</v>
      </c>
      <c r="CO145" s="193">
        <f>CN148</f>
        <v>1200</v>
      </c>
      <c r="CP145" s="193">
        <f>CO148</f>
        <v>1200</v>
      </c>
      <c r="CQ145" s="193">
        <f>CP148</f>
        <v>1200</v>
      </c>
      <c r="CR145" s="194">
        <f>CM148</f>
        <v>1200</v>
      </c>
      <c r="CS145" s="193">
        <f ca="1">CR148</f>
        <v>900</v>
      </c>
      <c r="CT145" s="193">
        <f ca="1">CS148</f>
        <v>900</v>
      </c>
      <c r="CU145" s="193">
        <f ca="1">CT148</f>
        <v>900</v>
      </c>
      <c r="CV145" s="193">
        <f ca="1">CU148</f>
        <v>900</v>
      </c>
      <c r="CW145" s="194">
        <f ca="1">CR148</f>
        <v>900</v>
      </c>
      <c r="CX145" s="193">
        <f ca="1">CW148</f>
        <v>900</v>
      </c>
      <c r="CY145" s="193">
        <f ca="1">CX148</f>
        <v>900</v>
      </c>
      <c r="CZ145" s="193">
        <f ca="1">CY148</f>
        <v>900</v>
      </c>
      <c r="DA145" s="193">
        <f ca="1">CZ148</f>
        <v>900</v>
      </c>
      <c r="DB145" s="194">
        <f ca="1">CW148</f>
        <v>900</v>
      </c>
      <c r="DC145" s="5"/>
      <c r="DD145" s="5"/>
      <c r="DE145" s="171"/>
      <c r="DF145" s="171"/>
      <c r="DG145" s="171"/>
      <c r="DH145" s="171"/>
      <c r="DI145" s="171"/>
      <c r="DJ145" s="171"/>
    </row>
    <row r="146" spans="1:114">
      <c r="A146" s="171"/>
      <c r="B146" s="693" t="s">
        <v>654</v>
      </c>
      <c r="C146" s="38"/>
      <c r="D146" s="201"/>
      <c r="E146" s="201"/>
      <c r="F146" s="201"/>
      <c r="G146" s="166"/>
      <c r="H146" s="166"/>
      <c r="I146" s="166"/>
      <c r="J146" s="166"/>
      <c r="K146" s="201"/>
      <c r="L146" s="166"/>
      <c r="M146" s="166"/>
      <c r="N146" s="166"/>
      <c r="O146" s="166"/>
      <c r="P146" s="201"/>
      <c r="Q146" s="166"/>
      <c r="R146" s="166"/>
      <c r="S146" s="166"/>
      <c r="T146" s="166"/>
      <c r="U146" s="201"/>
      <c r="V146" s="166"/>
      <c r="W146" s="166"/>
      <c r="X146" s="166"/>
      <c r="Y146" s="166"/>
      <c r="Z146" s="201"/>
      <c r="AA146" s="166"/>
      <c r="AB146" s="166"/>
      <c r="AC146" s="166"/>
      <c r="AD146" s="166"/>
      <c r="AE146" s="201"/>
      <c r="AF146" s="166"/>
      <c r="AG146" s="166"/>
      <c r="AH146" s="166"/>
      <c r="AI146" s="166"/>
      <c r="AJ146" s="201"/>
      <c r="AK146" s="166"/>
      <c r="AL146" s="166"/>
      <c r="AM146" s="166"/>
      <c r="AN146" s="166"/>
      <c r="AO146" s="201"/>
      <c r="AP146" s="166"/>
      <c r="AQ146" s="166"/>
      <c r="AR146" s="166"/>
      <c r="AS146" s="166"/>
      <c r="AT146" s="221"/>
      <c r="AU146" s="222"/>
      <c r="AV146" s="222"/>
      <c r="AW146" s="222"/>
      <c r="AX146" s="222"/>
      <c r="AY146" s="221"/>
      <c r="AZ146" s="222"/>
      <c r="BA146" s="222"/>
      <c r="BB146" s="222"/>
      <c r="BC146" s="222"/>
      <c r="BD146" s="221"/>
      <c r="BE146" s="222"/>
      <c r="BF146" s="222"/>
      <c r="BG146" s="222"/>
      <c r="BH146" s="223"/>
      <c r="BI146" s="224"/>
      <c r="BJ146" s="193"/>
      <c r="BK146" s="193"/>
      <c r="BL146" s="193"/>
      <c r="BM146" s="193"/>
      <c r="BN146" s="194"/>
      <c r="BO146" s="193"/>
      <c r="BP146" s="193"/>
      <c r="BQ146" s="193"/>
      <c r="BR146" s="193"/>
      <c r="BS146" s="194"/>
      <c r="BT146" s="193"/>
      <c r="BU146" s="193"/>
      <c r="BV146" s="193"/>
      <c r="BW146" s="193"/>
      <c r="BX146" s="194"/>
      <c r="BY146" s="1181">
        <v>0</v>
      </c>
      <c r="BZ146" s="193">
        <v>0</v>
      </c>
      <c r="CA146" s="193">
        <v>0</v>
      </c>
      <c r="CB146" s="842">
        <v>0</v>
      </c>
      <c r="CC146" s="194">
        <f>SUM(BY146:CB146)</f>
        <v>0</v>
      </c>
      <c r="CD146" s="1181">
        <v>0</v>
      </c>
      <c r="CE146" s="193">
        <v>0</v>
      </c>
      <c r="CF146" s="193">
        <v>0</v>
      </c>
      <c r="CG146" s="842">
        <f>+CG148-CG145</f>
        <v>2</v>
      </c>
      <c r="CH146" s="194">
        <f>SUM(CD146:CG146)</f>
        <v>2</v>
      </c>
      <c r="CI146" s="193">
        <f>+CI148-CI145</f>
        <v>11</v>
      </c>
      <c r="CJ146" s="193">
        <v>0</v>
      </c>
      <c r="CK146" s="193">
        <v>0</v>
      </c>
      <c r="CL146" s="842">
        <v>0</v>
      </c>
      <c r="CM146" s="194">
        <f>SUM(CI146:CL146)</f>
        <v>11</v>
      </c>
      <c r="CN146" s="1181">
        <v>0</v>
      </c>
      <c r="CO146" s="193">
        <v>0</v>
      </c>
      <c r="CP146" s="193">
        <v>0</v>
      </c>
      <c r="CQ146" s="842">
        <v>0</v>
      </c>
      <c r="CR146" s="194">
        <f>SUM(CN146:CQ146)</f>
        <v>0</v>
      </c>
      <c r="CS146" s="1181">
        <v>0</v>
      </c>
      <c r="CT146" s="193">
        <v>0</v>
      </c>
      <c r="CU146" s="193">
        <v>0</v>
      </c>
      <c r="CV146" s="842">
        <v>0</v>
      </c>
      <c r="CW146" s="194">
        <f>SUM(CS146:CV146)</f>
        <v>0</v>
      </c>
      <c r="CX146" s="1181">
        <v>0</v>
      </c>
      <c r="CY146" s="193">
        <v>0</v>
      </c>
      <c r="CZ146" s="193">
        <v>0</v>
      </c>
      <c r="DA146" s="842">
        <v>0</v>
      </c>
      <c r="DB146" s="194">
        <f>SUM(CX146:DA146)</f>
        <v>0</v>
      </c>
      <c r="DC146" s="5"/>
      <c r="DD146" s="5"/>
      <c r="DE146" s="171"/>
      <c r="DF146" s="171"/>
      <c r="DG146" s="171"/>
      <c r="DH146" s="171"/>
      <c r="DI146" s="171"/>
      <c r="DJ146" s="171"/>
    </row>
    <row r="147" spans="1:114">
      <c r="A147" s="171"/>
      <c r="B147" s="691" t="s">
        <v>653</v>
      </c>
      <c r="C147" s="33"/>
      <c r="D147" s="206"/>
      <c r="E147" s="206"/>
      <c r="F147" s="206"/>
      <c r="G147" s="214"/>
      <c r="H147" s="214"/>
      <c r="I147" s="214"/>
      <c r="J147" s="214"/>
      <c r="K147" s="206"/>
      <c r="L147" s="214"/>
      <c r="M147" s="214"/>
      <c r="N147" s="214"/>
      <c r="O147" s="214"/>
      <c r="P147" s="206"/>
      <c r="Q147" s="214"/>
      <c r="R147" s="214"/>
      <c r="S147" s="214"/>
      <c r="T147" s="214"/>
      <c r="U147" s="206"/>
      <c r="V147" s="214"/>
      <c r="W147" s="214"/>
      <c r="X147" s="214"/>
      <c r="Y147" s="214"/>
      <c r="Z147" s="206"/>
      <c r="AA147" s="214"/>
      <c r="AB147" s="214"/>
      <c r="AC147" s="214"/>
      <c r="AD147" s="214"/>
      <c r="AE147" s="206"/>
      <c r="AF147" s="214"/>
      <c r="AG147" s="214"/>
      <c r="AH147" s="214"/>
      <c r="AI147" s="214"/>
      <c r="AJ147" s="206"/>
      <c r="AK147" s="214"/>
      <c r="AL147" s="214"/>
      <c r="AM147" s="214"/>
      <c r="AN147" s="214"/>
      <c r="AO147" s="206"/>
      <c r="AP147" s="214"/>
      <c r="AQ147" s="214"/>
      <c r="AR147" s="214"/>
      <c r="AS147" s="214"/>
      <c r="AT147" s="225"/>
      <c r="AU147" s="226"/>
      <c r="AV147" s="226"/>
      <c r="AW147" s="226"/>
      <c r="AX147" s="226"/>
      <c r="AY147" s="225"/>
      <c r="AZ147" s="226"/>
      <c r="BA147" s="226"/>
      <c r="BB147" s="226"/>
      <c r="BC147" s="226"/>
      <c r="BD147" s="225"/>
      <c r="BE147" s="226"/>
      <c r="BF147" s="226"/>
      <c r="BG147" s="226"/>
      <c r="BH147" s="196"/>
      <c r="BI147" s="197"/>
      <c r="BJ147" s="196"/>
      <c r="BK147" s="196"/>
      <c r="BL147" s="196">
        <f>BL148-BL145</f>
        <v>1200</v>
      </c>
      <c r="BM147" s="196">
        <v>0</v>
      </c>
      <c r="BN147" s="197">
        <f>SUM(BJ147:BM147)</f>
        <v>1200</v>
      </c>
      <c r="BO147" s="196">
        <v>0</v>
      </c>
      <c r="BP147" s="196">
        <v>0</v>
      </c>
      <c r="BQ147" s="196">
        <v>0</v>
      </c>
      <c r="BR147" s="196">
        <v>0</v>
      </c>
      <c r="BS147" s="197">
        <f>SUM(BO147:BR147)</f>
        <v>0</v>
      </c>
      <c r="BT147" s="196">
        <v>0</v>
      </c>
      <c r="BU147" s="196">
        <v>0</v>
      </c>
      <c r="BV147" s="196">
        <v>0</v>
      </c>
      <c r="BW147" s="196">
        <v>0</v>
      </c>
      <c r="BX147" s="197">
        <f>SUM(BT147:BW147)</f>
        <v>0</v>
      </c>
      <c r="BY147" s="196">
        <f>BY148-BY145</f>
        <v>0</v>
      </c>
      <c r="BZ147" s="196">
        <f>BZ148-BZ145</f>
        <v>0</v>
      </c>
      <c r="CA147" s="196">
        <f>CA148-CA145</f>
        <v>0</v>
      </c>
      <c r="CB147" s="196">
        <f>CB148-CB145</f>
        <v>0</v>
      </c>
      <c r="CC147" s="197">
        <f>SUM(BY147:CB147)</f>
        <v>0</v>
      </c>
      <c r="CD147" s="196">
        <f>CD148-CD145</f>
        <v>-13</v>
      </c>
      <c r="CE147" s="196">
        <f>CE148-CE145</f>
        <v>0</v>
      </c>
      <c r="CF147" s="196">
        <v>0</v>
      </c>
      <c r="CG147" s="196">
        <v>0</v>
      </c>
      <c r="CH147" s="197">
        <f>SUM(CD147:CG147)</f>
        <v>-13</v>
      </c>
      <c r="CI147" s="196">
        <v>0</v>
      </c>
      <c r="CJ147" s="196">
        <v>0</v>
      </c>
      <c r="CK147" s="196">
        <v>0</v>
      </c>
      <c r="CL147" s="196">
        <v>0</v>
      </c>
      <c r="CM147" s="197">
        <f>SUM(CI147:CL147)</f>
        <v>0</v>
      </c>
      <c r="CN147" s="196">
        <v>0</v>
      </c>
      <c r="CO147" s="196">
        <v>0</v>
      </c>
      <c r="CP147" s="196">
        <v>0</v>
      </c>
      <c r="CQ147" s="196">
        <f ca="1">IF(CQ$141&gt;300,-0.25*CQ145,0)</f>
        <v>-300</v>
      </c>
      <c r="CR147" s="197">
        <f ca="1">SUM(CN147:CQ147)</f>
        <v>-300</v>
      </c>
      <c r="CS147" s="196">
        <v>0</v>
      </c>
      <c r="CT147" s="196">
        <v>0</v>
      </c>
      <c r="CU147" s="196">
        <v>0</v>
      </c>
      <c r="CV147" s="196">
        <v>0</v>
      </c>
      <c r="CW147" s="197">
        <f>SUM(CS147:CV147)</f>
        <v>0</v>
      </c>
      <c r="CX147" s="196">
        <v>0</v>
      </c>
      <c r="CY147" s="196">
        <v>0</v>
      </c>
      <c r="CZ147" s="196">
        <v>0</v>
      </c>
      <c r="DA147" s="196">
        <v>0</v>
      </c>
      <c r="DB147" s="197">
        <f>SUM(CX147:DA147)</f>
        <v>0</v>
      </c>
      <c r="DC147" s="5"/>
      <c r="DD147" s="5"/>
      <c r="DE147" s="171"/>
      <c r="DF147" s="171"/>
      <c r="DG147" s="171"/>
      <c r="DH147" s="171"/>
      <c r="DI147" s="171"/>
      <c r="DJ147" s="171"/>
    </row>
    <row r="148" spans="1:114">
      <c r="A148" s="171"/>
      <c r="B148" s="698" t="s">
        <v>519</v>
      </c>
      <c r="C148" s="48"/>
      <c r="D148" s="204"/>
      <c r="E148" s="204"/>
      <c r="F148" s="204"/>
      <c r="G148" s="407"/>
      <c r="H148" s="407"/>
      <c r="I148" s="407"/>
      <c r="J148" s="407"/>
      <c r="K148" s="204"/>
      <c r="L148" s="407"/>
      <c r="M148" s="407"/>
      <c r="N148" s="407"/>
      <c r="O148" s="407"/>
      <c r="P148" s="204"/>
      <c r="Q148" s="407"/>
      <c r="R148" s="407"/>
      <c r="S148" s="407"/>
      <c r="T148" s="407"/>
      <c r="U148" s="204"/>
      <c r="V148" s="407"/>
      <c r="W148" s="407"/>
      <c r="X148" s="407"/>
      <c r="Y148" s="407"/>
      <c r="Z148" s="204"/>
      <c r="AA148" s="407"/>
      <c r="AB148" s="407"/>
      <c r="AC148" s="407"/>
      <c r="AD148" s="407"/>
      <c r="AE148" s="204"/>
      <c r="AF148" s="407"/>
      <c r="AG148" s="407"/>
      <c r="AH148" s="407"/>
      <c r="AI148" s="407"/>
      <c r="AJ148" s="204"/>
      <c r="AK148" s="407"/>
      <c r="AL148" s="407"/>
      <c r="AM148" s="407"/>
      <c r="AN148" s="407"/>
      <c r="AO148" s="204"/>
      <c r="AP148" s="407"/>
      <c r="AQ148" s="407"/>
      <c r="AR148" s="407"/>
      <c r="AS148" s="407"/>
      <c r="AT148" s="227"/>
      <c r="AU148" s="228"/>
      <c r="AV148" s="228"/>
      <c r="AW148" s="228"/>
      <c r="AX148" s="228"/>
      <c r="AY148" s="227"/>
      <c r="AZ148" s="228"/>
      <c r="BA148" s="228"/>
      <c r="BB148" s="228"/>
      <c r="BC148" s="228"/>
      <c r="BD148" s="227"/>
      <c r="BE148" s="228"/>
      <c r="BF148" s="228"/>
      <c r="BG148" s="228"/>
      <c r="BH148" s="229"/>
      <c r="BI148" s="199"/>
      <c r="BJ148" s="229"/>
      <c r="BK148" s="229"/>
      <c r="BL148" s="198">
        <v>1200</v>
      </c>
      <c r="BM148" s="229">
        <f>BM145+BM147</f>
        <v>1200</v>
      </c>
      <c r="BN148" s="199">
        <f>BM148</f>
        <v>1200</v>
      </c>
      <c r="BO148" s="229">
        <f>BO145+BO147</f>
        <v>1200</v>
      </c>
      <c r="BP148" s="229">
        <f>BP145+BP147</f>
        <v>1200</v>
      </c>
      <c r="BQ148" s="229">
        <f>BQ145+BQ147</f>
        <v>1200</v>
      </c>
      <c r="BR148" s="551">
        <v>1200</v>
      </c>
      <c r="BS148" s="199">
        <f>BR148</f>
        <v>1200</v>
      </c>
      <c r="BT148" s="551">
        <v>1200</v>
      </c>
      <c r="BU148" s="551">
        <v>1200</v>
      </c>
      <c r="BV148" s="582">
        <v>1200</v>
      </c>
      <c r="BW148" s="551">
        <v>1200</v>
      </c>
      <c r="BX148" s="199">
        <f>BW148</f>
        <v>1200</v>
      </c>
      <c r="BY148" s="551">
        <v>1200</v>
      </c>
      <c r="BZ148" s="582">
        <v>1200</v>
      </c>
      <c r="CA148" s="582">
        <v>1200</v>
      </c>
      <c r="CB148" s="582">
        <v>1200</v>
      </c>
      <c r="CC148" s="199">
        <f>CB148</f>
        <v>1200</v>
      </c>
      <c r="CD148" s="582">
        <v>1187</v>
      </c>
      <c r="CE148" s="582">
        <v>1187</v>
      </c>
      <c r="CF148" s="229">
        <f>CF145+CF147</f>
        <v>1187</v>
      </c>
      <c r="CG148" s="582">
        <v>1189</v>
      </c>
      <c r="CH148" s="199">
        <f>CG148</f>
        <v>1189</v>
      </c>
      <c r="CI148" s="582">
        <v>1200</v>
      </c>
      <c r="CJ148" s="193">
        <f>SUM(CJ145:CJ147)</f>
        <v>1200</v>
      </c>
      <c r="CK148" s="193">
        <f>SUM(CK145:CK147)</f>
        <v>1200</v>
      </c>
      <c r="CL148" s="193">
        <f>SUM(CL145:CL147)</f>
        <v>1200</v>
      </c>
      <c r="CM148" s="194">
        <f>CL148</f>
        <v>1200</v>
      </c>
      <c r="CN148" s="193">
        <f>SUM(CN145:CN147)</f>
        <v>1200</v>
      </c>
      <c r="CO148" s="193">
        <f>SUM(CO145:CO147)</f>
        <v>1200</v>
      </c>
      <c r="CP148" s="193">
        <f>SUM(CP145:CP147)</f>
        <v>1200</v>
      </c>
      <c r="CQ148" s="193">
        <f ca="1">SUM(CQ145:CQ147)</f>
        <v>900</v>
      </c>
      <c r="CR148" s="194">
        <f ca="1">CQ148</f>
        <v>900</v>
      </c>
      <c r="CS148" s="193">
        <f ca="1">SUM(CS145:CS147)</f>
        <v>900</v>
      </c>
      <c r="CT148" s="193">
        <f ca="1">SUM(CT145:CT147)</f>
        <v>900</v>
      </c>
      <c r="CU148" s="193">
        <f ca="1">SUM(CU145:CU147)</f>
        <v>900</v>
      </c>
      <c r="CV148" s="193">
        <f ca="1">SUM(CV145:CV147)</f>
        <v>900</v>
      </c>
      <c r="CW148" s="194">
        <f ca="1">CV148</f>
        <v>900</v>
      </c>
      <c r="CX148" s="193">
        <f ca="1">SUM(CX145:CX147)</f>
        <v>900</v>
      </c>
      <c r="CY148" s="193">
        <f ca="1">SUM(CY145:CY147)</f>
        <v>900</v>
      </c>
      <c r="CZ148" s="193">
        <f ca="1">SUM(CZ145:CZ147)</f>
        <v>900</v>
      </c>
      <c r="DA148" s="193">
        <f ca="1">SUM(DA145:DA147)</f>
        <v>900</v>
      </c>
      <c r="DB148" s="194">
        <f ca="1">DA148</f>
        <v>900</v>
      </c>
      <c r="DC148" s="5"/>
      <c r="DD148" s="5"/>
      <c r="DE148" s="171"/>
      <c r="DF148" s="171"/>
      <c r="DG148" s="171"/>
      <c r="DH148" s="171"/>
      <c r="DI148" s="171"/>
      <c r="DJ148" s="171"/>
    </row>
    <row r="149" spans="1:114">
      <c r="A149" s="171"/>
      <c r="B149" s="691" t="s">
        <v>520</v>
      </c>
      <c r="C149" s="33"/>
      <c r="D149" s="206"/>
      <c r="E149" s="206"/>
      <c r="F149" s="206"/>
      <c r="G149" s="214"/>
      <c r="H149" s="214"/>
      <c r="I149" s="214"/>
      <c r="J149" s="214"/>
      <c r="K149" s="206"/>
      <c r="L149" s="214"/>
      <c r="M149" s="214"/>
      <c r="N149" s="214"/>
      <c r="O149" s="214"/>
      <c r="P149" s="206"/>
      <c r="Q149" s="214"/>
      <c r="R149" s="214"/>
      <c r="S149" s="214"/>
      <c r="T149" s="214"/>
      <c r="U149" s="206"/>
      <c r="V149" s="214"/>
      <c r="W149" s="214"/>
      <c r="X149" s="214"/>
      <c r="Y149" s="214"/>
      <c r="Z149" s="206"/>
      <c r="AA149" s="214"/>
      <c r="AB149" s="214"/>
      <c r="AC149" s="214"/>
      <c r="AD149" s="214"/>
      <c r="AE149" s="206"/>
      <c r="AF149" s="214"/>
      <c r="AG149" s="214"/>
      <c r="AH149" s="214"/>
      <c r="AI149" s="214"/>
      <c r="AJ149" s="206"/>
      <c r="AK149" s="214"/>
      <c r="AL149" s="214"/>
      <c r="AM149" s="214"/>
      <c r="AN149" s="214"/>
      <c r="AO149" s="206"/>
      <c r="AP149" s="214"/>
      <c r="AQ149" s="214"/>
      <c r="AR149" s="214"/>
      <c r="AS149" s="214"/>
      <c r="AT149" s="225"/>
      <c r="AU149" s="226"/>
      <c r="AV149" s="226"/>
      <c r="AW149" s="226"/>
      <c r="AX149" s="226"/>
      <c r="AY149" s="225"/>
      <c r="AZ149" s="226"/>
      <c r="BA149" s="226"/>
      <c r="BB149" s="226"/>
      <c r="BC149" s="226"/>
      <c r="BD149" s="225"/>
      <c r="BE149" s="226"/>
      <c r="BF149" s="226"/>
      <c r="BG149" s="226"/>
      <c r="BH149" s="230"/>
      <c r="BI149" s="197"/>
      <c r="BJ149" s="230"/>
      <c r="BK149" s="230"/>
      <c r="BL149" s="230">
        <f>BL144/4*AVERAGE(BL148,BL145)</f>
        <v>10.687499999999998</v>
      </c>
      <c r="BM149" s="230">
        <f>BM144/4*AVERAGE(BM148,BM145)</f>
        <v>21.374999999999996</v>
      </c>
      <c r="BN149" s="197">
        <f>SUM(BJ149:BM149)</f>
        <v>32.062499999999993</v>
      </c>
      <c r="BO149" s="230">
        <f>BO144/4*AVERAGE(BO148,BO145)</f>
        <v>21.374999999999996</v>
      </c>
      <c r="BP149" s="230">
        <f>BP144/4*AVERAGE(BP148,BP145)</f>
        <v>21.374999999999996</v>
      </c>
      <c r="BQ149" s="230">
        <f>BQ144/4*AVERAGE(BQ148,BQ145)</f>
        <v>21.374999999999996</v>
      </c>
      <c r="BR149" s="230">
        <f>BR144/4*AVERAGE(BR148,BR145)</f>
        <v>21.374999999999996</v>
      </c>
      <c r="BS149" s="197">
        <f>SUM(BO149:BR149)</f>
        <v>85.499999999999986</v>
      </c>
      <c r="BT149" s="230">
        <f>BT144/4*AVERAGE(BT148,BT145)</f>
        <v>21.374999999999996</v>
      </c>
      <c r="BU149" s="230">
        <f>BU144/4*AVERAGE(BU148,BU145)</f>
        <v>21.374999999999996</v>
      </c>
      <c r="BV149" s="230">
        <f>BV144/4*AVERAGE(BV148,BV145)</f>
        <v>21.374999999999996</v>
      </c>
      <c r="BW149" s="230">
        <f>BW144/4*AVERAGE(BW148,BW145)</f>
        <v>21.374999999999996</v>
      </c>
      <c r="BX149" s="197">
        <f>SUM(BT149:BW149)</f>
        <v>85.499999999999986</v>
      </c>
      <c r="BY149" s="230">
        <f>BY144/4*AVERAGE(BY148,BY145)</f>
        <v>21.374999999999996</v>
      </c>
      <c r="BZ149" s="230">
        <f>BZ144/4*AVERAGE(BZ148,BZ145)</f>
        <v>21.374999999999996</v>
      </c>
      <c r="CA149" s="230">
        <f>CA144/4*AVERAGE(CA148,CA145)</f>
        <v>21.374999999999996</v>
      </c>
      <c r="CB149" s="230">
        <f>CB144/4*AVERAGE(CB148,CB145)</f>
        <v>21.374999999999996</v>
      </c>
      <c r="CC149" s="197">
        <f>SUM(BY149:CB149)</f>
        <v>85.499999999999986</v>
      </c>
      <c r="CD149" s="230">
        <f>CD144/4*AVERAGE(CD148,CD145)</f>
        <v>21.259218749999999</v>
      </c>
      <c r="CE149" s="230">
        <f>CE144/4*AVERAGE(CE148,CE145)</f>
        <v>21.143437499999997</v>
      </c>
      <c r="CF149" s="230">
        <f>CF144/4*AVERAGE(CF148,CF145)</f>
        <v>21.143437499999997</v>
      </c>
      <c r="CG149" s="230">
        <f>CG144/4*AVERAGE(CG148,CG145)</f>
        <v>21.161249999999999</v>
      </c>
      <c r="CH149" s="197">
        <f>SUM(CD149:CG149)</f>
        <v>84.707343749999993</v>
      </c>
      <c r="CI149" s="230">
        <f>CI144/4*AVERAGE(CI148,CI145)</f>
        <v>21.277031249999997</v>
      </c>
      <c r="CJ149" s="230">
        <f>CJ144/4*AVERAGE(CJ148,CJ145)</f>
        <v>21.374999999999996</v>
      </c>
      <c r="CK149" s="230">
        <f>CK144/4*AVERAGE(CK148,CK145)</f>
        <v>21.374999999999996</v>
      </c>
      <c r="CL149" s="230">
        <f>CL144/4*AVERAGE(CL148,CL145)</f>
        <v>21.374999999999996</v>
      </c>
      <c r="CM149" s="197">
        <f>SUM(CI149:CL149)</f>
        <v>85.402031249999993</v>
      </c>
      <c r="CN149" s="230">
        <f>CN144/4*AVERAGE(CN148,CN145)</f>
        <v>21.374999999999996</v>
      </c>
      <c r="CO149" s="230">
        <f>CO144/4*AVERAGE(CO148,CO145)</f>
        <v>21.374999999999996</v>
      </c>
      <c r="CP149" s="230">
        <f>CP144/4*AVERAGE(CP148,CP145)</f>
        <v>21.374999999999996</v>
      </c>
      <c r="CQ149" s="230">
        <f ca="1">CQ144/4*AVERAGE(CQ148,CQ145)</f>
        <v>18.703125</v>
      </c>
      <c r="CR149" s="197">
        <f ca="1">SUM(CN149:CQ149)</f>
        <v>82.828124999999986</v>
      </c>
      <c r="CS149" s="230">
        <f ca="1">CS144/4*AVERAGE(CS148,CS145)</f>
        <v>16.03125</v>
      </c>
      <c r="CT149" s="230">
        <f ca="1">CT144/4*AVERAGE(CT148,CT145)</f>
        <v>16.03125</v>
      </c>
      <c r="CU149" s="230">
        <f ca="1">CU144/4*AVERAGE(CU148,CU145)</f>
        <v>16.03125</v>
      </c>
      <c r="CV149" s="230">
        <f ca="1">CV144/4*AVERAGE(CV148,CV145)</f>
        <v>16.03125</v>
      </c>
      <c r="CW149" s="197">
        <f ca="1">SUM(CS149:CV149)</f>
        <v>64.125</v>
      </c>
      <c r="CX149" s="230">
        <f ca="1">CX144/4*AVERAGE(CX148,CX145)</f>
        <v>16.03125</v>
      </c>
      <c r="CY149" s="230">
        <f ca="1">CY144/4*AVERAGE(CY148,CY145)</f>
        <v>16.03125</v>
      </c>
      <c r="CZ149" s="230">
        <f ca="1">CZ144/4*AVERAGE(CZ148,CZ145)</f>
        <v>16.03125</v>
      </c>
      <c r="DA149" s="230">
        <f ca="1">DA144/4*AVERAGE(DA148,DA145)</f>
        <v>16.03125</v>
      </c>
      <c r="DB149" s="197">
        <f ca="1">SUM(CX149:DA149)</f>
        <v>64.125</v>
      </c>
      <c r="DC149" s="5"/>
      <c r="DD149" s="5"/>
      <c r="DE149" s="171"/>
      <c r="DF149" s="171"/>
      <c r="DG149" s="171"/>
      <c r="DH149" s="171"/>
      <c r="DI149" s="171"/>
      <c r="DJ149" s="171"/>
    </row>
    <row r="150" spans="1:114" hidden="1" outlineLevel="1">
      <c r="A150" s="171"/>
      <c r="B150" s="5"/>
      <c r="C150" s="38"/>
      <c r="D150" s="166"/>
      <c r="E150" s="166"/>
      <c r="F150" s="166"/>
      <c r="G150" s="166"/>
      <c r="H150" s="166"/>
      <c r="I150" s="166"/>
      <c r="J150" s="166"/>
      <c r="K150" s="166"/>
      <c r="L150" s="166"/>
      <c r="M150" s="166"/>
      <c r="N150" s="166"/>
      <c r="O150" s="166"/>
      <c r="P150" s="166"/>
      <c r="Q150" s="166"/>
      <c r="R150" s="166"/>
      <c r="S150" s="166"/>
      <c r="T150" s="166"/>
      <c r="U150" s="166"/>
      <c r="V150" s="166"/>
      <c r="W150" s="166"/>
      <c r="X150" s="166"/>
      <c r="Y150" s="166"/>
      <c r="Z150" s="166"/>
      <c r="AA150" s="166"/>
      <c r="AB150" s="166"/>
      <c r="AC150" s="166"/>
      <c r="AD150" s="166"/>
      <c r="AE150" s="166"/>
      <c r="AF150" s="166"/>
      <c r="AG150" s="166"/>
      <c r="AH150" s="166"/>
      <c r="AI150" s="166"/>
      <c r="AJ150" s="166"/>
      <c r="AK150" s="166"/>
      <c r="AL150" s="166"/>
      <c r="AM150" s="166"/>
      <c r="AN150" s="166"/>
      <c r="AO150" s="166"/>
      <c r="AP150" s="166"/>
      <c r="AQ150" s="166"/>
      <c r="AR150" s="166"/>
      <c r="AS150" s="166"/>
      <c r="AT150" s="166"/>
      <c r="AU150" s="202"/>
      <c r="AV150" s="202"/>
      <c r="AW150" s="202"/>
      <c r="AX150" s="202"/>
      <c r="AY150" s="166"/>
      <c r="AZ150" s="202"/>
      <c r="BA150" s="202"/>
      <c r="BB150" s="202"/>
      <c r="BC150" s="202"/>
      <c r="BD150" s="166"/>
      <c r="BE150" s="202"/>
      <c r="BF150" s="202"/>
      <c r="BG150" s="202"/>
      <c r="BH150" s="202"/>
      <c r="BI150" s="166"/>
      <c r="BJ150" s="202"/>
      <c r="BK150" s="203"/>
      <c r="BL150" s="166"/>
      <c r="BM150" s="166"/>
      <c r="BN150" s="166"/>
      <c r="BO150" s="166"/>
      <c r="BP150" s="166"/>
      <c r="BQ150" s="166"/>
      <c r="BR150" s="166"/>
      <c r="BS150" s="166"/>
      <c r="BT150" s="166"/>
      <c r="BU150" s="166"/>
      <c r="BV150" s="166"/>
      <c r="BW150" s="166"/>
      <c r="BX150" s="166"/>
      <c r="BY150" s="166"/>
      <c r="BZ150" s="166"/>
      <c r="CA150" s="166"/>
      <c r="CB150" s="166"/>
      <c r="CC150" s="166"/>
      <c r="CD150" s="166"/>
      <c r="CE150" s="166"/>
      <c r="CF150" s="166"/>
      <c r="CG150" s="166"/>
      <c r="CH150" s="166"/>
      <c r="CI150" s="166"/>
      <c r="CJ150" s="166"/>
      <c r="CK150" s="166"/>
      <c r="CL150" s="166"/>
      <c r="CM150" s="166"/>
      <c r="CN150" s="166"/>
      <c r="CO150" s="166"/>
      <c r="CP150" s="166"/>
      <c r="CQ150" s="166"/>
      <c r="CR150" s="166"/>
      <c r="CS150" s="166"/>
      <c r="CT150" s="166"/>
      <c r="CU150" s="166"/>
      <c r="CV150" s="166"/>
      <c r="CW150" s="166"/>
      <c r="CX150" s="166"/>
      <c r="CY150" s="166"/>
      <c r="CZ150" s="166"/>
      <c r="DA150" s="166"/>
      <c r="DB150" s="166"/>
      <c r="DC150" s="5"/>
      <c r="DD150" s="5"/>
      <c r="DE150" s="171"/>
      <c r="DF150" s="171"/>
      <c r="DG150" s="171"/>
      <c r="DH150" s="171"/>
      <c r="DI150" s="171"/>
      <c r="DJ150" s="171"/>
    </row>
    <row r="151" spans="1:114" s="1163" customFormat="1" hidden="1" outlineLevel="1">
      <c r="A151" s="171"/>
      <c r="B151" s="1164" t="s">
        <v>650</v>
      </c>
      <c r="C151" s="46"/>
      <c r="D151" s="1161"/>
      <c r="E151" s="1161"/>
      <c r="F151" s="1161"/>
      <c r="G151" s="1161"/>
      <c r="H151" s="1161"/>
      <c r="I151" s="1161"/>
      <c r="J151" s="1161"/>
      <c r="K151" s="1161"/>
      <c r="L151" s="1161"/>
      <c r="M151" s="1161"/>
      <c r="N151" s="1161"/>
      <c r="O151" s="1161"/>
      <c r="P151" s="1161"/>
      <c r="Q151" s="1161"/>
      <c r="R151" s="1161"/>
      <c r="S151" s="1161"/>
      <c r="T151" s="1161"/>
      <c r="U151" s="1161"/>
      <c r="V151" s="1161"/>
      <c r="W151" s="1161"/>
      <c r="X151" s="1161"/>
      <c r="Y151" s="1161"/>
      <c r="Z151" s="1161"/>
      <c r="AA151" s="1161"/>
      <c r="AB151" s="1161"/>
      <c r="AC151" s="1161"/>
      <c r="AD151" s="1161"/>
      <c r="AE151" s="1161"/>
      <c r="AF151" s="1161"/>
      <c r="AG151" s="1161"/>
      <c r="AH151" s="1161"/>
      <c r="AI151" s="1161"/>
      <c r="AJ151" s="1161"/>
      <c r="AK151" s="1161"/>
      <c r="AL151" s="1161"/>
      <c r="AM151" s="1161"/>
      <c r="AN151" s="1161"/>
      <c r="AO151" s="1161"/>
      <c r="AP151" s="1161"/>
      <c r="AQ151" s="1161"/>
      <c r="AR151" s="1161"/>
      <c r="AS151" s="1161"/>
      <c r="AT151" s="1161"/>
      <c r="AU151" s="1162"/>
      <c r="AV151" s="1162"/>
      <c r="AW151" s="1162"/>
      <c r="AX151" s="1162"/>
      <c r="AY151" s="1161"/>
      <c r="AZ151" s="1162"/>
      <c r="BA151" s="1162"/>
      <c r="BB151" s="1162"/>
      <c r="BC151" s="1162"/>
      <c r="BD151" s="1161"/>
      <c r="BE151" s="1162"/>
      <c r="BF151" s="1162"/>
      <c r="BG151" s="1162"/>
      <c r="BH151" s="1162"/>
      <c r="BI151" s="1161"/>
      <c r="BJ151" s="1165"/>
      <c r="BK151" s="1165"/>
      <c r="BL151" s="1161"/>
      <c r="BM151" s="1161"/>
      <c r="BN151" s="1161"/>
      <c r="BO151" s="1161"/>
      <c r="BP151" s="1161"/>
      <c r="BQ151" s="1161"/>
      <c r="BR151" s="1161"/>
      <c r="BS151" s="1161"/>
      <c r="BT151" s="1161"/>
      <c r="BU151" s="1161"/>
      <c r="BV151" s="1161"/>
      <c r="BW151" s="1161"/>
      <c r="BX151" s="1161"/>
      <c r="BY151" s="1161"/>
      <c r="BZ151" s="1161"/>
      <c r="CA151" s="1161"/>
      <c r="CB151" s="1161"/>
      <c r="CC151" s="1161"/>
      <c r="CD151" s="1161"/>
      <c r="CE151" s="1161"/>
      <c r="CF151" s="1161"/>
      <c r="CG151" s="1161"/>
      <c r="CH151" s="1161"/>
      <c r="CI151" s="1161"/>
      <c r="CJ151" s="1161">
        <f>CJ141+CJ147</f>
        <v>978.00000000099999</v>
      </c>
      <c r="CK151" s="1161">
        <f>CK141+CK147</f>
        <v>606</v>
      </c>
      <c r="CL151" s="1161">
        <f t="shared" ref="CL151:CV151" si="80">CL141+CL147</f>
        <v>604</v>
      </c>
      <c r="CM151" s="1161"/>
      <c r="CN151" s="1161">
        <f t="shared" ca="1" si="80"/>
        <v>508.02631845250721</v>
      </c>
      <c r="CO151" s="1161">
        <f t="shared" ca="1" si="80"/>
        <v>712.28602136398672</v>
      </c>
      <c r="CP151" s="1161">
        <f t="shared" ca="1" si="80"/>
        <v>740.97549917369304</v>
      </c>
      <c r="CQ151" s="1161">
        <f t="shared" ca="1" si="80"/>
        <v>574.67555942532442</v>
      </c>
      <c r="CR151" s="1161"/>
      <c r="CS151" s="1161">
        <f t="shared" ca="1" si="80"/>
        <v>310.88494895668322</v>
      </c>
      <c r="CT151" s="1161">
        <f t="shared" ca="1" si="80"/>
        <v>474.61248303849936</v>
      </c>
      <c r="CU151" s="1161">
        <f t="shared" ca="1" si="80"/>
        <v>500.16083743763681</v>
      </c>
      <c r="CV151" s="1161">
        <f t="shared" ca="1" si="80"/>
        <v>714.23774281568853</v>
      </c>
      <c r="CW151" s="1161"/>
      <c r="CX151" s="1161">
        <f t="shared" ref="CX151:DA151" ca="1" si="81">CX141+CX147</f>
        <v>283.07015564062908</v>
      </c>
      <c r="CY151" s="1161">
        <f t="shared" ca="1" si="81"/>
        <v>336.79526973413715</v>
      </c>
      <c r="CZ151" s="1161">
        <f t="shared" ca="1" si="81"/>
        <v>453.3926388405722</v>
      </c>
      <c r="DA151" s="1161">
        <f t="shared" ca="1" si="81"/>
        <v>255.53769257557099</v>
      </c>
      <c r="DB151" s="1161"/>
      <c r="DC151" s="5"/>
      <c r="DD151" s="5"/>
      <c r="DE151" s="171"/>
      <c r="DF151" s="171"/>
      <c r="DG151" s="171"/>
      <c r="DH151" s="171"/>
      <c r="DI151" s="171"/>
      <c r="DJ151" s="171"/>
    </row>
    <row r="152" spans="1:114" collapsed="1">
      <c r="A152" s="171"/>
      <c r="B152" s="5"/>
      <c r="C152" s="38"/>
      <c r="D152" s="166"/>
      <c r="E152" s="166"/>
      <c r="F152" s="166"/>
      <c r="G152" s="166"/>
      <c r="H152" s="166"/>
      <c r="I152" s="166"/>
      <c r="J152" s="166"/>
      <c r="K152" s="166"/>
      <c r="L152" s="166"/>
      <c r="M152" s="166"/>
      <c r="N152" s="166"/>
      <c r="O152" s="166"/>
      <c r="P152" s="166"/>
      <c r="Q152" s="166"/>
      <c r="R152" s="166"/>
      <c r="S152" s="166"/>
      <c r="T152" s="166"/>
      <c r="U152" s="166"/>
      <c r="V152" s="166"/>
      <c r="W152" s="166"/>
      <c r="X152" s="166"/>
      <c r="Y152" s="166"/>
      <c r="Z152" s="166"/>
      <c r="AA152" s="166"/>
      <c r="AB152" s="166"/>
      <c r="AC152" s="166"/>
      <c r="AD152" s="166"/>
      <c r="AE152" s="166"/>
      <c r="AF152" s="166"/>
      <c r="AG152" s="166"/>
      <c r="AH152" s="166"/>
      <c r="AI152" s="166"/>
      <c r="AJ152" s="166"/>
      <c r="AK152" s="166"/>
      <c r="AL152" s="166"/>
      <c r="AM152" s="166"/>
      <c r="AN152" s="166"/>
      <c r="AO152" s="166"/>
      <c r="AP152" s="166"/>
      <c r="AQ152" s="166"/>
      <c r="AR152" s="166"/>
      <c r="AS152" s="166"/>
      <c r="AT152" s="166"/>
      <c r="AU152" s="202"/>
      <c r="AV152" s="202"/>
      <c r="AW152" s="202"/>
      <c r="AX152" s="202"/>
      <c r="AY152" s="166"/>
      <c r="AZ152" s="202"/>
      <c r="BA152" s="202"/>
      <c r="BB152" s="202"/>
      <c r="BC152" s="202"/>
      <c r="BD152" s="166"/>
      <c r="BE152" s="202"/>
      <c r="BF152" s="202"/>
      <c r="BG152" s="202"/>
      <c r="BH152" s="202"/>
      <c r="BI152" s="166"/>
      <c r="BJ152" s="202"/>
      <c r="BK152" s="203"/>
      <c r="BL152" s="166"/>
      <c r="BM152" s="166"/>
      <c r="BN152" s="166"/>
      <c r="BO152" s="166"/>
      <c r="BP152" s="166"/>
      <c r="BQ152" s="166"/>
      <c r="BR152" s="166"/>
      <c r="BS152" s="166"/>
      <c r="BT152" s="166"/>
      <c r="BU152" s="166"/>
      <c r="BV152" s="166"/>
      <c r="BW152" s="166"/>
      <c r="BX152" s="166"/>
      <c r="BY152" s="166"/>
      <c r="BZ152" s="166"/>
      <c r="CA152" s="166"/>
      <c r="CB152" s="166"/>
      <c r="CC152" s="166"/>
      <c r="CD152" s="166"/>
      <c r="CE152" s="166"/>
      <c r="CF152" s="166"/>
      <c r="CG152" s="166"/>
      <c r="CH152" s="166"/>
      <c r="CI152" s="166"/>
      <c r="CJ152" s="166"/>
      <c r="CK152" s="166"/>
      <c r="CL152" s="166"/>
      <c r="CM152" s="166"/>
      <c r="CN152" s="166"/>
      <c r="CO152" s="166"/>
      <c r="CP152" s="166"/>
      <c r="CQ152" s="166"/>
      <c r="CR152" s="166"/>
      <c r="CS152" s="166"/>
      <c r="CT152" s="166"/>
      <c r="CU152" s="166"/>
      <c r="CV152" s="166"/>
      <c r="CW152" s="166"/>
      <c r="CX152" s="166"/>
      <c r="CY152" s="166"/>
      <c r="CZ152" s="166"/>
      <c r="DA152" s="166"/>
      <c r="DB152" s="166"/>
      <c r="DC152" s="5"/>
      <c r="DD152" s="5"/>
      <c r="DE152" s="171"/>
      <c r="DF152" s="171"/>
      <c r="DG152" s="171"/>
      <c r="DH152" s="171"/>
      <c r="DI152" s="171"/>
      <c r="DJ152" s="171"/>
    </row>
    <row r="153" spans="1:114">
      <c r="A153" s="171"/>
      <c r="B153" s="696" t="s">
        <v>552</v>
      </c>
      <c r="C153" s="169"/>
      <c r="D153" s="215"/>
      <c r="E153" s="215"/>
      <c r="F153" s="215"/>
      <c r="G153" s="216"/>
      <c r="H153" s="216"/>
      <c r="I153" s="216"/>
      <c r="J153" s="216"/>
      <c r="K153" s="215"/>
      <c r="L153" s="216"/>
      <c r="M153" s="216"/>
      <c r="N153" s="216"/>
      <c r="O153" s="216"/>
      <c r="P153" s="215"/>
      <c r="Q153" s="216"/>
      <c r="R153" s="216"/>
      <c r="S153" s="216"/>
      <c r="T153" s="216"/>
      <c r="U153" s="215"/>
      <c r="V153" s="216"/>
      <c r="W153" s="216"/>
      <c r="X153" s="216"/>
      <c r="Y153" s="216"/>
      <c r="Z153" s="215"/>
      <c r="AA153" s="216"/>
      <c r="AB153" s="216"/>
      <c r="AC153" s="216"/>
      <c r="AD153" s="216"/>
      <c r="AE153" s="215"/>
      <c r="AF153" s="216"/>
      <c r="AG153" s="216"/>
      <c r="AH153" s="216"/>
      <c r="AI153" s="216"/>
      <c r="AJ153" s="215"/>
      <c r="AK153" s="216"/>
      <c r="AL153" s="216"/>
      <c r="AM153" s="216"/>
      <c r="AN153" s="216"/>
      <c r="AO153" s="215"/>
      <c r="AP153" s="216"/>
      <c r="AQ153" s="216"/>
      <c r="AR153" s="216"/>
      <c r="AS153" s="216"/>
      <c r="AT153" s="215"/>
      <c r="AU153" s="216"/>
      <c r="AV153" s="216"/>
      <c r="AW153" s="216"/>
      <c r="AX153" s="216"/>
      <c r="AY153" s="215"/>
      <c r="AZ153" s="216"/>
      <c r="BA153" s="216"/>
      <c r="BB153" s="216"/>
      <c r="BC153" s="216"/>
      <c r="BD153" s="215"/>
      <c r="BE153" s="216"/>
      <c r="BF153" s="216"/>
      <c r="BG153" s="216"/>
      <c r="BH153" s="217"/>
      <c r="BI153" s="218"/>
      <c r="BJ153" s="217"/>
      <c r="BK153" s="217"/>
      <c r="BL153" s="217"/>
      <c r="BM153" s="217"/>
      <c r="BN153" s="218"/>
      <c r="BO153" s="216"/>
      <c r="BP153" s="216"/>
      <c r="BQ153" s="216"/>
      <c r="BR153" s="216"/>
      <c r="BS153" s="215"/>
      <c r="BT153" s="216"/>
      <c r="BU153" s="216"/>
      <c r="BV153" s="216"/>
      <c r="BW153" s="216"/>
      <c r="BX153" s="215"/>
      <c r="BY153" s="216"/>
      <c r="BZ153" s="216"/>
      <c r="CA153" s="216"/>
      <c r="CB153" s="216"/>
      <c r="CC153" s="215"/>
      <c r="CD153" s="216"/>
      <c r="CE153" s="216"/>
      <c r="CF153" s="216"/>
      <c r="CG153" s="216"/>
      <c r="CH153" s="215"/>
      <c r="CI153" s="216"/>
      <c r="CJ153" s="216"/>
      <c r="CK153" s="216"/>
      <c r="CL153" s="216"/>
      <c r="CM153" s="215"/>
      <c r="CN153" s="216"/>
      <c r="CO153" s="216"/>
      <c r="CP153" s="216"/>
      <c r="CQ153" s="216"/>
      <c r="CR153" s="215"/>
      <c r="CS153" s="216"/>
      <c r="CT153" s="216"/>
      <c r="CU153" s="216"/>
      <c r="CV153" s="216"/>
      <c r="CW153" s="215"/>
      <c r="CX153" s="216"/>
      <c r="CY153" s="216"/>
      <c r="CZ153" s="216"/>
      <c r="DA153" s="216"/>
      <c r="DB153" s="215"/>
      <c r="DC153" s="5"/>
      <c r="DD153" s="5"/>
      <c r="DE153" s="171"/>
      <c r="DF153" s="171"/>
      <c r="DG153" s="171"/>
      <c r="DH153" s="171"/>
      <c r="DI153" s="171"/>
      <c r="DJ153" s="171"/>
    </row>
    <row r="154" spans="1:114">
      <c r="A154" s="171"/>
      <c r="B154" s="697" t="s">
        <v>517</v>
      </c>
      <c r="C154" s="38"/>
      <c r="D154" s="201"/>
      <c r="E154" s="201"/>
      <c r="F154" s="201"/>
      <c r="G154" s="166"/>
      <c r="H154" s="166"/>
      <c r="I154" s="166"/>
      <c r="J154" s="166"/>
      <c r="K154" s="201"/>
      <c r="L154" s="166"/>
      <c r="M154" s="166"/>
      <c r="N154" s="166"/>
      <c r="O154" s="166"/>
      <c r="P154" s="201"/>
      <c r="Q154" s="166"/>
      <c r="R154" s="166"/>
      <c r="S154" s="166"/>
      <c r="T154" s="166"/>
      <c r="U154" s="201"/>
      <c r="V154" s="166"/>
      <c r="W154" s="166"/>
      <c r="X154" s="166"/>
      <c r="Y154" s="166"/>
      <c r="Z154" s="201"/>
      <c r="AA154" s="166"/>
      <c r="AB154" s="166"/>
      <c r="AC154" s="166"/>
      <c r="AD154" s="166"/>
      <c r="AE154" s="201"/>
      <c r="AF154" s="166"/>
      <c r="AG154" s="166"/>
      <c r="AH154" s="166"/>
      <c r="AI154" s="166"/>
      <c r="AJ154" s="201"/>
      <c r="AK154" s="166"/>
      <c r="AL154" s="166"/>
      <c r="AM154" s="166"/>
      <c r="AN154" s="166"/>
      <c r="AO154" s="201"/>
      <c r="AP154" s="166"/>
      <c r="AQ154" s="166"/>
      <c r="AR154" s="166"/>
      <c r="AS154" s="166"/>
      <c r="AT154" s="201"/>
      <c r="AU154" s="231"/>
      <c r="AV154" s="231"/>
      <c r="AW154" s="231"/>
      <c r="AX154" s="231"/>
      <c r="AY154" s="270"/>
      <c r="AZ154" s="231"/>
      <c r="BA154" s="231"/>
      <c r="BB154" s="231"/>
      <c r="BC154" s="231"/>
      <c r="BD154" s="270"/>
      <c r="BE154" s="231"/>
      <c r="BF154" s="231"/>
      <c r="BG154" s="231"/>
      <c r="BH154" s="231"/>
      <c r="BI154" s="270"/>
      <c r="BJ154" s="231"/>
      <c r="BK154" s="231"/>
      <c r="BL154" s="231"/>
      <c r="BM154" s="220"/>
      <c r="BN154" s="107"/>
      <c r="BO154" s="220"/>
      <c r="BP154" s="220"/>
      <c r="BQ154" s="220"/>
      <c r="BR154" s="220"/>
      <c r="BS154" s="107"/>
      <c r="BT154" s="220">
        <v>6.8750000000000006E-2</v>
      </c>
      <c r="BU154" s="220">
        <f>BT154</f>
        <v>6.8750000000000006E-2</v>
      </c>
      <c r="BV154" s="220">
        <f>BU154</f>
        <v>6.8750000000000006E-2</v>
      </c>
      <c r="BW154" s="220">
        <f>BV154</f>
        <v>6.8750000000000006E-2</v>
      </c>
      <c r="BX154" s="107"/>
      <c r="BY154" s="220">
        <f>BW154</f>
        <v>6.8750000000000006E-2</v>
      </c>
      <c r="BZ154" s="220">
        <f>BY154</f>
        <v>6.8750000000000006E-2</v>
      </c>
      <c r="CA154" s="220">
        <f>BZ154</f>
        <v>6.8750000000000006E-2</v>
      </c>
      <c r="CB154" s="220">
        <f>CA154</f>
        <v>6.8750000000000006E-2</v>
      </c>
      <c r="CC154" s="107"/>
      <c r="CD154" s="220">
        <f>CB154</f>
        <v>6.8750000000000006E-2</v>
      </c>
      <c r="CE154" s="220">
        <f>CD154</f>
        <v>6.8750000000000006E-2</v>
      </c>
      <c r="CF154" s="220">
        <f>CE154</f>
        <v>6.8750000000000006E-2</v>
      </c>
      <c r="CG154" s="220">
        <f>CF154</f>
        <v>6.8750000000000006E-2</v>
      </c>
      <c r="CH154" s="107"/>
      <c r="CI154" s="220">
        <f>CG154</f>
        <v>6.8750000000000006E-2</v>
      </c>
      <c r="CJ154" s="220">
        <f>CI154</f>
        <v>6.8750000000000006E-2</v>
      </c>
      <c r="CK154" s="220">
        <f>CJ154</f>
        <v>6.8750000000000006E-2</v>
      </c>
      <c r="CL154" s="220">
        <f>CK154</f>
        <v>6.8750000000000006E-2</v>
      </c>
      <c r="CM154" s="107"/>
      <c r="CN154" s="220">
        <f>CL154</f>
        <v>6.8750000000000006E-2</v>
      </c>
      <c r="CO154" s="220">
        <f>CN154</f>
        <v>6.8750000000000006E-2</v>
      </c>
      <c r="CP154" s="220">
        <f>CO154</f>
        <v>6.8750000000000006E-2</v>
      </c>
      <c r="CQ154" s="220">
        <f>CP154</f>
        <v>6.8750000000000006E-2</v>
      </c>
      <c r="CR154" s="107"/>
      <c r="CS154" s="220">
        <f>CQ154</f>
        <v>6.8750000000000006E-2</v>
      </c>
      <c r="CT154" s="220">
        <f>CS154</f>
        <v>6.8750000000000006E-2</v>
      </c>
      <c r="CU154" s="220">
        <f>CT154</f>
        <v>6.8750000000000006E-2</v>
      </c>
      <c r="CV154" s="220">
        <f>CU154</f>
        <v>6.8750000000000006E-2</v>
      </c>
      <c r="CW154" s="107"/>
      <c r="CX154" s="220">
        <f>CV154</f>
        <v>6.8750000000000006E-2</v>
      </c>
      <c r="CY154" s="220">
        <f>CX154</f>
        <v>6.8750000000000006E-2</v>
      </c>
      <c r="CZ154" s="220">
        <f>CY154</f>
        <v>6.8750000000000006E-2</v>
      </c>
      <c r="DA154" s="220">
        <f>CZ154</f>
        <v>6.8750000000000006E-2</v>
      </c>
      <c r="DB154" s="107"/>
      <c r="DC154" s="5"/>
      <c r="DD154" s="5"/>
      <c r="DE154" s="171"/>
      <c r="DF154" s="171"/>
      <c r="DG154" s="171"/>
      <c r="DH154" s="171"/>
      <c r="DI154" s="171"/>
      <c r="DJ154" s="171"/>
    </row>
    <row r="155" spans="1:114">
      <c r="A155" s="171"/>
      <c r="B155" s="693" t="s">
        <v>518</v>
      </c>
      <c r="C155" s="38"/>
      <c r="D155" s="201"/>
      <c r="E155" s="201"/>
      <c r="F155" s="201"/>
      <c r="G155" s="166"/>
      <c r="H155" s="166"/>
      <c r="I155" s="166"/>
      <c r="J155" s="166"/>
      <c r="K155" s="201"/>
      <c r="L155" s="166"/>
      <c r="M155" s="166"/>
      <c r="N155" s="166"/>
      <c r="O155" s="166"/>
      <c r="P155" s="201"/>
      <c r="Q155" s="166"/>
      <c r="R155" s="166"/>
      <c r="S155" s="166"/>
      <c r="T155" s="166"/>
      <c r="U155" s="201"/>
      <c r="V155" s="166"/>
      <c r="W155" s="166"/>
      <c r="X155" s="166"/>
      <c r="Y155" s="166"/>
      <c r="Z155" s="201"/>
      <c r="AA155" s="166"/>
      <c r="AB155" s="166"/>
      <c r="AC155" s="166"/>
      <c r="AD155" s="166"/>
      <c r="AE155" s="201"/>
      <c r="AF155" s="166"/>
      <c r="AG155" s="166"/>
      <c r="AH155" s="166"/>
      <c r="AI155" s="166"/>
      <c r="AJ155" s="201"/>
      <c r="AK155" s="166"/>
      <c r="AL155" s="166"/>
      <c r="AM155" s="166"/>
      <c r="AN155" s="166"/>
      <c r="AO155" s="201"/>
      <c r="AP155" s="166"/>
      <c r="AQ155" s="166"/>
      <c r="AR155" s="166"/>
      <c r="AS155" s="166"/>
      <c r="AT155" s="221"/>
      <c r="AU155" s="193"/>
      <c r="AV155" s="193"/>
      <c r="AW155" s="193"/>
      <c r="AX155" s="193"/>
      <c r="AY155" s="194"/>
      <c r="AZ155" s="193"/>
      <c r="BA155" s="193"/>
      <c r="BB155" s="193"/>
      <c r="BC155" s="193"/>
      <c r="BD155" s="194"/>
      <c r="BE155" s="193"/>
      <c r="BF155" s="193"/>
      <c r="BG155" s="193"/>
      <c r="BH155" s="193"/>
      <c r="BI155" s="194"/>
      <c r="BJ155" s="193"/>
      <c r="BK155" s="193"/>
      <c r="BL155" s="193"/>
      <c r="BM155" s="193"/>
      <c r="BN155" s="194"/>
      <c r="BO155" s="193"/>
      <c r="BP155" s="193"/>
      <c r="BQ155" s="193"/>
      <c r="BR155" s="193"/>
      <c r="BS155" s="194">
        <f>BN158</f>
        <v>0</v>
      </c>
      <c r="BT155" s="193">
        <f>BS158</f>
        <v>0</v>
      </c>
      <c r="BU155" s="193">
        <f>BT158</f>
        <v>3000</v>
      </c>
      <c r="BV155" s="193">
        <f>BU158</f>
        <v>3000</v>
      </c>
      <c r="BW155" s="193">
        <f>BV158</f>
        <v>3000</v>
      </c>
      <c r="BX155" s="194">
        <f>BS158</f>
        <v>0</v>
      </c>
      <c r="BY155" s="193">
        <f>BX158</f>
        <v>3000</v>
      </c>
      <c r="BZ155" s="193">
        <f>BY158</f>
        <v>3000</v>
      </c>
      <c r="CA155" s="193">
        <f>BZ158</f>
        <v>3000</v>
      </c>
      <c r="CB155" s="193">
        <f>CA158</f>
        <v>3000</v>
      </c>
      <c r="CC155" s="194">
        <f>BX158</f>
        <v>3000</v>
      </c>
      <c r="CD155" s="193">
        <f>CC158</f>
        <v>3000</v>
      </c>
      <c r="CE155" s="193">
        <f>CD158</f>
        <v>2924</v>
      </c>
      <c r="CF155" s="193">
        <f>CE158</f>
        <v>2926</v>
      </c>
      <c r="CG155" s="193">
        <f>CF158</f>
        <v>2926</v>
      </c>
      <c r="CH155" s="194">
        <f>CC158</f>
        <v>3000</v>
      </c>
      <c r="CI155" s="193">
        <f>CH158</f>
        <v>2932</v>
      </c>
      <c r="CJ155" s="193">
        <f>CI158</f>
        <v>3000</v>
      </c>
      <c r="CK155" s="193">
        <f>CJ158</f>
        <v>3000</v>
      </c>
      <c r="CL155" s="193">
        <f>CK158</f>
        <v>3000</v>
      </c>
      <c r="CM155" s="194">
        <f>CH158</f>
        <v>2932</v>
      </c>
      <c r="CN155" s="193">
        <f>CM158</f>
        <v>3000</v>
      </c>
      <c r="CO155" s="193">
        <f>CN158</f>
        <v>3000</v>
      </c>
      <c r="CP155" s="193">
        <f>CO158</f>
        <v>3000</v>
      </c>
      <c r="CQ155" s="193">
        <f>CP158</f>
        <v>3000</v>
      </c>
      <c r="CR155" s="194">
        <f>CM158</f>
        <v>3000</v>
      </c>
      <c r="CS155" s="193">
        <f>CR158</f>
        <v>3000</v>
      </c>
      <c r="CT155" s="193">
        <f>CS158</f>
        <v>3000</v>
      </c>
      <c r="CU155" s="193">
        <f>CT158</f>
        <v>3000</v>
      </c>
      <c r="CV155" s="193">
        <f>CU158</f>
        <v>3000</v>
      </c>
      <c r="CW155" s="194">
        <f>CR158</f>
        <v>3000</v>
      </c>
      <c r="CX155" s="193">
        <f>CW158</f>
        <v>3000</v>
      </c>
      <c r="CY155" s="193">
        <f>CX158</f>
        <v>3000</v>
      </c>
      <c r="CZ155" s="193">
        <f>CY158</f>
        <v>3000</v>
      </c>
      <c r="DA155" s="193">
        <f>CZ158</f>
        <v>3000</v>
      </c>
      <c r="DB155" s="194">
        <f>CW158</f>
        <v>3000</v>
      </c>
      <c r="DC155" s="5"/>
      <c r="DD155" s="5"/>
      <c r="DE155" s="171"/>
      <c r="DF155" s="171"/>
      <c r="DG155" s="171"/>
      <c r="DH155" s="171"/>
      <c r="DI155" s="171"/>
      <c r="DJ155" s="171"/>
    </row>
    <row r="156" spans="1:114">
      <c r="A156" s="171"/>
      <c r="B156" s="693" t="s">
        <v>654</v>
      </c>
      <c r="C156" s="38"/>
      <c r="D156" s="201"/>
      <c r="E156" s="201"/>
      <c r="F156" s="201"/>
      <c r="G156" s="166"/>
      <c r="H156" s="166"/>
      <c r="I156" s="166"/>
      <c r="J156" s="166"/>
      <c r="K156" s="201"/>
      <c r="L156" s="166"/>
      <c r="M156" s="166"/>
      <c r="N156" s="166"/>
      <c r="O156" s="166"/>
      <c r="P156" s="201"/>
      <c r="Q156" s="166"/>
      <c r="R156" s="166"/>
      <c r="S156" s="166"/>
      <c r="T156" s="166"/>
      <c r="U156" s="201"/>
      <c r="V156" s="166"/>
      <c r="W156" s="166"/>
      <c r="X156" s="166"/>
      <c r="Y156" s="166"/>
      <c r="Z156" s="201"/>
      <c r="AA156" s="166"/>
      <c r="AB156" s="166"/>
      <c r="AC156" s="166"/>
      <c r="AD156" s="166"/>
      <c r="AE156" s="201"/>
      <c r="AF156" s="166"/>
      <c r="AG156" s="166"/>
      <c r="AH156" s="166"/>
      <c r="AI156" s="166"/>
      <c r="AJ156" s="201"/>
      <c r="AK156" s="166"/>
      <c r="AL156" s="166"/>
      <c r="AM156" s="166"/>
      <c r="AN156" s="166"/>
      <c r="AO156" s="201"/>
      <c r="AP156" s="166"/>
      <c r="AQ156" s="166"/>
      <c r="AR156" s="166"/>
      <c r="AS156" s="166"/>
      <c r="AT156" s="221"/>
      <c r="AU156" s="193"/>
      <c r="AV156" s="193"/>
      <c r="AW156" s="193"/>
      <c r="AX156" s="193"/>
      <c r="AY156" s="194"/>
      <c r="AZ156" s="193"/>
      <c r="BA156" s="193"/>
      <c r="BB156" s="193"/>
      <c r="BC156" s="193"/>
      <c r="BD156" s="194"/>
      <c r="BE156" s="193"/>
      <c r="BF156" s="193"/>
      <c r="BG156" s="193"/>
      <c r="BH156" s="193"/>
      <c r="BI156" s="194"/>
      <c r="BJ156" s="193"/>
      <c r="BK156" s="193"/>
      <c r="BL156" s="193"/>
      <c r="BM156" s="193"/>
      <c r="BN156" s="194"/>
      <c r="BO156" s="193"/>
      <c r="BP156" s="193"/>
      <c r="BQ156" s="193"/>
      <c r="BR156" s="193"/>
      <c r="BS156" s="194"/>
      <c r="BT156" s="193"/>
      <c r="BU156" s="193"/>
      <c r="BV156" s="193"/>
      <c r="BW156" s="193"/>
      <c r="BX156" s="194"/>
      <c r="BY156" s="1181">
        <v>0</v>
      </c>
      <c r="BZ156" s="193">
        <v>0</v>
      </c>
      <c r="CA156" s="193">
        <v>0</v>
      </c>
      <c r="CB156" s="842">
        <v>0</v>
      </c>
      <c r="CC156" s="194">
        <f>SUM(BY156:CB156)</f>
        <v>0</v>
      </c>
      <c r="CD156" s="1181">
        <v>0</v>
      </c>
      <c r="CE156" s="193">
        <f>CE158-CE155</f>
        <v>2</v>
      </c>
      <c r="CF156" s="193">
        <v>0</v>
      </c>
      <c r="CG156" s="842">
        <f>+CG158-CG155</f>
        <v>6</v>
      </c>
      <c r="CH156" s="194">
        <f>SUM(CD156:CG156)</f>
        <v>8</v>
      </c>
      <c r="CI156" s="193">
        <f>+CI158-CI155</f>
        <v>68</v>
      </c>
      <c r="CJ156" s="193">
        <v>0</v>
      </c>
      <c r="CK156" s="193">
        <v>0</v>
      </c>
      <c r="CL156" s="842">
        <v>0</v>
      </c>
      <c r="CM156" s="194">
        <f>SUM(CI156:CL156)</f>
        <v>68</v>
      </c>
      <c r="CN156" s="1181">
        <v>0</v>
      </c>
      <c r="CO156" s="193">
        <v>0</v>
      </c>
      <c r="CP156" s="193">
        <v>0</v>
      </c>
      <c r="CQ156" s="842">
        <v>0</v>
      </c>
      <c r="CR156" s="194">
        <f>SUM(CN156:CQ156)</f>
        <v>0</v>
      </c>
      <c r="CS156" s="1181">
        <v>0</v>
      </c>
      <c r="CT156" s="193">
        <v>0</v>
      </c>
      <c r="CU156" s="193">
        <v>0</v>
      </c>
      <c r="CV156" s="842">
        <v>0</v>
      </c>
      <c r="CW156" s="194">
        <f>SUM(CS156:CV156)</f>
        <v>0</v>
      </c>
      <c r="CX156" s="1181">
        <v>0</v>
      </c>
      <c r="CY156" s="193">
        <v>0</v>
      </c>
      <c r="CZ156" s="193">
        <v>0</v>
      </c>
      <c r="DA156" s="842">
        <v>0</v>
      </c>
      <c r="DB156" s="194">
        <f>SUM(CX156:DA156)</f>
        <v>0</v>
      </c>
      <c r="DC156" s="5"/>
      <c r="DD156" s="5"/>
      <c r="DE156" s="171"/>
      <c r="DF156" s="171"/>
      <c r="DG156" s="171"/>
      <c r="DH156" s="171"/>
      <c r="DI156" s="171"/>
      <c r="DJ156" s="171"/>
    </row>
    <row r="157" spans="1:114">
      <c r="A157" s="171"/>
      <c r="B157" s="691" t="s">
        <v>653</v>
      </c>
      <c r="C157" s="33"/>
      <c r="D157" s="206"/>
      <c r="E157" s="206"/>
      <c r="F157" s="206"/>
      <c r="G157" s="214"/>
      <c r="H157" s="214"/>
      <c r="I157" s="214"/>
      <c r="J157" s="214"/>
      <c r="K157" s="206"/>
      <c r="L157" s="214"/>
      <c r="M157" s="214"/>
      <c r="N157" s="214"/>
      <c r="O157" s="214"/>
      <c r="P157" s="206"/>
      <c r="Q157" s="214"/>
      <c r="R157" s="214"/>
      <c r="S157" s="214"/>
      <c r="T157" s="214"/>
      <c r="U157" s="206"/>
      <c r="V157" s="214"/>
      <c r="W157" s="214"/>
      <c r="X157" s="214"/>
      <c r="Y157" s="214"/>
      <c r="Z157" s="206"/>
      <c r="AA157" s="214"/>
      <c r="AB157" s="214"/>
      <c r="AC157" s="214"/>
      <c r="AD157" s="214"/>
      <c r="AE157" s="206"/>
      <c r="AF157" s="214"/>
      <c r="AG157" s="214"/>
      <c r="AH157" s="214"/>
      <c r="AI157" s="214"/>
      <c r="AJ157" s="206"/>
      <c r="AK157" s="214"/>
      <c r="AL157" s="214"/>
      <c r="AM157" s="214"/>
      <c r="AN157" s="214"/>
      <c r="AO157" s="206"/>
      <c r="AP157" s="214"/>
      <c r="AQ157" s="214"/>
      <c r="AR157" s="214"/>
      <c r="AS157" s="214"/>
      <c r="AT157" s="225"/>
      <c r="AU157" s="195"/>
      <c r="AV157" s="195"/>
      <c r="AW157" s="195"/>
      <c r="AX157" s="195"/>
      <c r="AY157" s="197"/>
      <c r="AZ157" s="195"/>
      <c r="BA157" s="195"/>
      <c r="BB157" s="195"/>
      <c r="BC157" s="195"/>
      <c r="BD157" s="197"/>
      <c r="BE157" s="195"/>
      <c r="BF157" s="195"/>
      <c r="BG157" s="195"/>
      <c r="BH157" s="195"/>
      <c r="BI157" s="197"/>
      <c r="BJ157" s="196"/>
      <c r="BK157" s="196"/>
      <c r="BL157" s="196"/>
      <c r="BM157" s="196"/>
      <c r="BN157" s="197"/>
      <c r="BO157" s="196"/>
      <c r="BP157" s="196"/>
      <c r="BQ157" s="196"/>
      <c r="BR157" s="196"/>
      <c r="BS157" s="197">
        <f>SUM(BO157:BR157)</f>
        <v>0</v>
      </c>
      <c r="BT157" s="196">
        <v>3000</v>
      </c>
      <c r="BU157" s="196">
        <f>BU158-BU155</f>
        <v>0</v>
      </c>
      <c r="BV157" s="196">
        <f>BV158-BV155</f>
        <v>0</v>
      </c>
      <c r="BW157" s="196">
        <v>0</v>
      </c>
      <c r="BX157" s="197">
        <f>SUM(BT157:BW157)</f>
        <v>3000</v>
      </c>
      <c r="BY157" s="196">
        <f>BY158-BY155</f>
        <v>0</v>
      </c>
      <c r="BZ157" s="196">
        <f>BZ158-BZ155</f>
        <v>0</v>
      </c>
      <c r="CA157" s="196">
        <f>CA158-CA155</f>
        <v>0</v>
      </c>
      <c r="CB157" s="196">
        <f>CB158-CB155</f>
        <v>0</v>
      </c>
      <c r="CC157" s="197">
        <f>SUM(BY157:CB157)</f>
        <v>0</v>
      </c>
      <c r="CD157" s="196">
        <f>CD158-CD155</f>
        <v>-76</v>
      </c>
      <c r="CE157" s="196">
        <v>0</v>
      </c>
      <c r="CF157" s="196">
        <v>0</v>
      </c>
      <c r="CG157" s="196">
        <v>0</v>
      </c>
      <c r="CH157" s="197">
        <f>SUM(CD157:CG157)</f>
        <v>-76</v>
      </c>
      <c r="CI157" s="196">
        <v>0</v>
      </c>
      <c r="CJ157" s="196">
        <v>0</v>
      </c>
      <c r="CK157" s="196">
        <v>0</v>
      </c>
      <c r="CL157" s="196">
        <v>0</v>
      </c>
      <c r="CM157" s="197">
        <f>SUM(CI157:CL157)</f>
        <v>0</v>
      </c>
      <c r="CN157" s="196">
        <v>0</v>
      </c>
      <c r="CO157" s="196">
        <v>0</v>
      </c>
      <c r="CP157" s="196">
        <v>0</v>
      </c>
      <c r="CQ157" s="196">
        <v>0</v>
      </c>
      <c r="CR157" s="197">
        <f>SUM(CN157:CQ157)</f>
        <v>0</v>
      </c>
      <c r="CS157" s="196">
        <v>0</v>
      </c>
      <c r="CT157" s="196">
        <v>0</v>
      </c>
      <c r="CU157" s="196">
        <v>0</v>
      </c>
      <c r="CV157" s="196">
        <v>0</v>
      </c>
      <c r="CW157" s="197">
        <f>SUM(CS157:CV157)</f>
        <v>0</v>
      </c>
      <c r="CX157" s="196">
        <v>0</v>
      </c>
      <c r="CY157" s="196">
        <v>0</v>
      </c>
      <c r="CZ157" s="196">
        <v>0</v>
      </c>
      <c r="DA157" s="196">
        <v>0</v>
      </c>
      <c r="DB157" s="197">
        <f>SUM(CX157:DA157)</f>
        <v>0</v>
      </c>
      <c r="DC157" s="5"/>
      <c r="DD157" s="5"/>
      <c r="DE157" s="171"/>
      <c r="DF157" s="171"/>
      <c r="DG157" s="171"/>
      <c r="DH157" s="171"/>
      <c r="DI157" s="171"/>
      <c r="DJ157" s="171"/>
    </row>
    <row r="158" spans="1:114">
      <c r="A158" s="171"/>
      <c r="B158" s="698" t="s">
        <v>519</v>
      </c>
      <c r="C158" s="48"/>
      <c r="D158" s="204"/>
      <c r="E158" s="204"/>
      <c r="F158" s="204"/>
      <c r="G158" s="407"/>
      <c r="H158" s="407"/>
      <c r="I158" s="407"/>
      <c r="J158" s="407"/>
      <c r="K158" s="204"/>
      <c r="L158" s="407"/>
      <c r="M158" s="407"/>
      <c r="N158" s="407"/>
      <c r="O158" s="407"/>
      <c r="P158" s="204"/>
      <c r="Q158" s="407"/>
      <c r="R158" s="407"/>
      <c r="S158" s="407"/>
      <c r="T158" s="407"/>
      <c r="U158" s="204"/>
      <c r="V158" s="407"/>
      <c r="W158" s="407"/>
      <c r="X158" s="407"/>
      <c r="Y158" s="407"/>
      <c r="Z158" s="204"/>
      <c r="AA158" s="407"/>
      <c r="AB158" s="407"/>
      <c r="AC158" s="407"/>
      <c r="AD158" s="407"/>
      <c r="AE158" s="204"/>
      <c r="AF158" s="407"/>
      <c r="AG158" s="407"/>
      <c r="AH158" s="407"/>
      <c r="AI158" s="407"/>
      <c r="AJ158" s="204"/>
      <c r="AK158" s="407"/>
      <c r="AL158" s="407"/>
      <c r="AM158" s="407"/>
      <c r="AN158" s="407"/>
      <c r="AO158" s="204"/>
      <c r="AP158" s="407"/>
      <c r="AQ158" s="407"/>
      <c r="AR158" s="407"/>
      <c r="AS158" s="407"/>
      <c r="AT158" s="232"/>
      <c r="AU158" s="193"/>
      <c r="AV158" s="193"/>
      <c r="AW158" s="193"/>
      <c r="AX158" s="193"/>
      <c r="AY158" s="272"/>
      <c r="AZ158" s="193"/>
      <c r="BA158" s="193"/>
      <c r="BB158" s="193"/>
      <c r="BC158" s="193"/>
      <c r="BD158" s="272"/>
      <c r="BE158" s="193"/>
      <c r="BF158" s="193"/>
      <c r="BG158" s="193"/>
      <c r="BH158" s="193"/>
      <c r="BI158" s="272"/>
      <c r="BJ158" s="198"/>
      <c r="BK158" s="198"/>
      <c r="BL158" s="198"/>
      <c r="BM158" s="229"/>
      <c r="BN158" s="199"/>
      <c r="BO158" s="229"/>
      <c r="BP158" s="229"/>
      <c r="BQ158" s="229"/>
      <c r="BR158" s="229"/>
      <c r="BS158" s="199">
        <f>BR158</f>
        <v>0</v>
      </c>
      <c r="BT158" s="551">
        <v>3000</v>
      </c>
      <c r="BU158" s="551">
        <v>3000</v>
      </c>
      <c r="BV158" s="582">
        <v>3000</v>
      </c>
      <c r="BW158" s="582">
        <v>3000</v>
      </c>
      <c r="BX158" s="199">
        <f>BW158</f>
        <v>3000</v>
      </c>
      <c r="BY158" s="551">
        <v>3000</v>
      </c>
      <c r="BZ158" s="582">
        <v>3000</v>
      </c>
      <c r="CA158" s="582">
        <v>3000</v>
      </c>
      <c r="CB158" s="582">
        <v>3000</v>
      </c>
      <c r="CC158" s="199">
        <f>CB158</f>
        <v>3000</v>
      </c>
      <c r="CD158" s="582">
        <v>2924</v>
      </c>
      <c r="CE158" s="582">
        <v>2926</v>
      </c>
      <c r="CF158" s="229">
        <f>CF155+CF157</f>
        <v>2926</v>
      </c>
      <c r="CG158" s="582">
        <v>2932</v>
      </c>
      <c r="CH158" s="199">
        <f>CG158</f>
        <v>2932</v>
      </c>
      <c r="CI158" s="582">
        <v>3000</v>
      </c>
      <c r="CJ158" s="193">
        <f>SUM(CJ155:CJ157)</f>
        <v>3000</v>
      </c>
      <c r="CK158" s="193">
        <f>SUM(CK155:CK157)</f>
        <v>3000</v>
      </c>
      <c r="CL158" s="193">
        <f>SUM(CL155:CL157)</f>
        <v>3000</v>
      </c>
      <c r="CM158" s="194">
        <f>CL158</f>
        <v>3000</v>
      </c>
      <c r="CN158" s="193">
        <f>SUM(CN155:CN157)</f>
        <v>3000</v>
      </c>
      <c r="CO158" s="193">
        <f>SUM(CO155:CO157)</f>
        <v>3000</v>
      </c>
      <c r="CP158" s="193">
        <f>SUM(CP155:CP157)</f>
        <v>3000</v>
      </c>
      <c r="CQ158" s="193">
        <f>SUM(CQ155:CQ157)</f>
        <v>3000</v>
      </c>
      <c r="CR158" s="194">
        <f>CQ158</f>
        <v>3000</v>
      </c>
      <c r="CS158" s="193">
        <f>SUM(CS155:CS157)</f>
        <v>3000</v>
      </c>
      <c r="CT158" s="193">
        <f>SUM(CT155:CT157)</f>
        <v>3000</v>
      </c>
      <c r="CU158" s="193">
        <f>SUM(CU155:CU157)</f>
        <v>3000</v>
      </c>
      <c r="CV158" s="193">
        <f>SUM(CV155:CV157)</f>
        <v>3000</v>
      </c>
      <c r="CW158" s="194">
        <f>CV158</f>
        <v>3000</v>
      </c>
      <c r="CX158" s="193">
        <f>SUM(CX155:CX157)</f>
        <v>3000</v>
      </c>
      <c r="CY158" s="193">
        <f>SUM(CY155:CY157)</f>
        <v>3000</v>
      </c>
      <c r="CZ158" s="193">
        <f>SUM(CZ155:CZ157)</f>
        <v>3000</v>
      </c>
      <c r="DA158" s="193">
        <f>SUM(DA155:DA157)</f>
        <v>3000</v>
      </c>
      <c r="DB158" s="194">
        <f>DA158</f>
        <v>3000</v>
      </c>
      <c r="DC158" s="5"/>
      <c r="DD158" s="5"/>
      <c r="DE158" s="171"/>
      <c r="DF158" s="171"/>
      <c r="DG158" s="171"/>
      <c r="DH158" s="171"/>
      <c r="DI158" s="171"/>
      <c r="DJ158" s="171"/>
    </row>
    <row r="159" spans="1:114">
      <c r="A159" s="171"/>
      <c r="B159" s="691" t="s">
        <v>520</v>
      </c>
      <c r="C159" s="33"/>
      <c r="D159" s="206"/>
      <c r="E159" s="206"/>
      <c r="F159" s="206"/>
      <c r="G159" s="214"/>
      <c r="H159" s="214"/>
      <c r="I159" s="214"/>
      <c r="J159" s="214"/>
      <c r="K159" s="206"/>
      <c r="L159" s="214"/>
      <c r="M159" s="214"/>
      <c r="N159" s="214"/>
      <c r="O159" s="214"/>
      <c r="P159" s="206"/>
      <c r="Q159" s="214"/>
      <c r="R159" s="214"/>
      <c r="S159" s="214"/>
      <c r="T159" s="214"/>
      <c r="U159" s="206"/>
      <c r="V159" s="214"/>
      <c r="W159" s="214"/>
      <c r="X159" s="214"/>
      <c r="Y159" s="214"/>
      <c r="Z159" s="206"/>
      <c r="AA159" s="214"/>
      <c r="AB159" s="214"/>
      <c r="AC159" s="214"/>
      <c r="AD159" s="214"/>
      <c r="AE159" s="206"/>
      <c r="AF159" s="214"/>
      <c r="AG159" s="214"/>
      <c r="AH159" s="214"/>
      <c r="AI159" s="214"/>
      <c r="AJ159" s="206"/>
      <c r="AK159" s="214"/>
      <c r="AL159" s="214"/>
      <c r="AM159" s="214"/>
      <c r="AN159" s="214"/>
      <c r="AO159" s="206"/>
      <c r="AP159" s="214"/>
      <c r="AQ159" s="214"/>
      <c r="AR159" s="214"/>
      <c r="AS159" s="214"/>
      <c r="AT159" s="225"/>
      <c r="AU159" s="230"/>
      <c r="AV159" s="230"/>
      <c r="AW159" s="230"/>
      <c r="AX159" s="230"/>
      <c r="AY159" s="197"/>
      <c r="AZ159" s="230"/>
      <c r="BA159" s="230"/>
      <c r="BB159" s="230"/>
      <c r="BC159" s="230"/>
      <c r="BD159" s="197"/>
      <c r="BE159" s="230"/>
      <c r="BF159" s="230"/>
      <c r="BG159" s="230"/>
      <c r="BH159" s="230"/>
      <c r="BI159" s="197"/>
      <c r="BJ159" s="230"/>
      <c r="BK159" s="230"/>
      <c r="BL159" s="230"/>
      <c r="BM159" s="230"/>
      <c r="BN159" s="197"/>
      <c r="BO159" s="230"/>
      <c r="BP159" s="230"/>
      <c r="BQ159" s="230"/>
      <c r="BR159" s="230"/>
      <c r="BS159" s="197">
        <f>SUM(BO159:BR159)</f>
        <v>0</v>
      </c>
      <c r="BT159" s="571">
        <f>BU159*2/3</f>
        <v>34.375000000000007</v>
      </c>
      <c r="BU159" s="571">
        <f>BU154/4*AVERAGE(BU158,BU155)</f>
        <v>51.562500000000007</v>
      </c>
      <c r="BV159" s="230">
        <f>BV154/4*AVERAGE(BV158,BV155)</f>
        <v>51.562500000000007</v>
      </c>
      <c r="BW159" s="230">
        <f>BW154/4*AVERAGE(BW158,BW155)</f>
        <v>51.562500000000007</v>
      </c>
      <c r="BX159" s="197">
        <f>SUM(BT159:BW159)</f>
        <v>189.06250000000003</v>
      </c>
      <c r="BY159" s="571">
        <f>BY154/4*AVERAGE(BY158,BY155)</f>
        <v>51.562500000000007</v>
      </c>
      <c r="BZ159" s="230">
        <f>BZ154/4*AVERAGE(BZ158,BZ155)</f>
        <v>51.562500000000007</v>
      </c>
      <c r="CA159" s="230">
        <f>CA154/4*AVERAGE(CA158,CA155)</f>
        <v>51.562500000000007</v>
      </c>
      <c r="CB159" s="230">
        <f>CB154/4*AVERAGE(CB158,CB155)</f>
        <v>51.562500000000007</v>
      </c>
      <c r="CC159" s="197">
        <f>SUM(BY159:CB159)</f>
        <v>206.25000000000003</v>
      </c>
      <c r="CD159" s="230">
        <f>CD154/4*AVERAGE(CD158,CD155)</f>
        <v>50.909375000000004</v>
      </c>
      <c r="CE159" s="230">
        <f>CE154/4*AVERAGE(CE158,CE155)</f>
        <v>50.273437500000007</v>
      </c>
      <c r="CF159" s="230">
        <f>CF154/4*AVERAGE(CF158,CF155)</f>
        <v>50.290625000000006</v>
      </c>
      <c r="CG159" s="230">
        <f>CG154/4*AVERAGE(CG158,CG155)</f>
        <v>50.342187500000001</v>
      </c>
      <c r="CH159" s="197">
        <f>SUM(CD159:CG159)</f>
        <v>201.81562500000001</v>
      </c>
      <c r="CI159" s="230">
        <f>CI154/4*AVERAGE(CI158,CI155)</f>
        <v>50.978125000000006</v>
      </c>
      <c r="CJ159" s="230">
        <f>CJ154/4*AVERAGE(CJ158,CJ155)</f>
        <v>51.562500000000007</v>
      </c>
      <c r="CK159" s="230">
        <f>CK154/4*AVERAGE(CK158,CK155)</f>
        <v>51.562500000000007</v>
      </c>
      <c r="CL159" s="230">
        <f>CL154/4*AVERAGE(CL158,CL155)</f>
        <v>51.562500000000007</v>
      </c>
      <c r="CM159" s="197">
        <f>SUM(CI159:CL159)</f>
        <v>205.66562500000001</v>
      </c>
      <c r="CN159" s="230">
        <f>CN154/4*AVERAGE(CN158,CN155)</f>
        <v>51.562500000000007</v>
      </c>
      <c r="CO159" s="230">
        <f>CO154/4*AVERAGE(CO158,CO155)</f>
        <v>51.562500000000007</v>
      </c>
      <c r="CP159" s="230">
        <f>CP154/4*AVERAGE(CP158,CP155)</f>
        <v>51.562500000000007</v>
      </c>
      <c r="CQ159" s="230">
        <f>CQ154/4*AVERAGE(CQ158,CQ155)</f>
        <v>51.562500000000007</v>
      </c>
      <c r="CR159" s="197">
        <f>SUM(CN159:CQ159)</f>
        <v>206.25000000000003</v>
      </c>
      <c r="CS159" s="230">
        <f>CS154/4*AVERAGE(CS158,CS155)</f>
        <v>51.562500000000007</v>
      </c>
      <c r="CT159" s="230">
        <f>CT154/4*AVERAGE(CT158,CT155)</f>
        <v>51.562500000000007</v>
      </c>
      <c r="CU159" s="230">
        <f>CU154/4*AVERAGE(CU158,CU155)</f>
        <v>51.562500000000007</v>
      </c>
      <c r="CV159" s="230">
        <f>CV154/4*AVERAGE(CV158,CV155)</f>
        <v>51.562500000000007</v>
      </c>
      <c r="CW159" s="197">
        <f>SUM(CS159:CV159)</f>
        <v>206.25000000000003</v>
      </c>
      <c r="CX159" s="230">
        <f>CX154/4*AVERAGE(CX158,CX155)</f>
        <v>51.562500000000007</v>
      </c>
      <c r="CY159" s="230">
        <f>CY154/4*AVERAGE(CY158,CY155)</f>
        <v>51.562500000000007</v>
      </c>
      <c r="CZ159" s="230">
        <f>CZ154/4*AVERAGE(CZ158,CZ155)</f>
        <v>51.562500000000007</v>
      </c>
      <c r="DA159" s="230">
        <f>DA154/4*AVERAGE(DA158,DA155)</f>
        <v>51.562500000000007</v>
      </c>
      <c r="DB159" s="197">
        <f>SUM(CX159:DA159)</f>
        <v>206.25000000000003</v>
      </c>
      <c r="DC159" s="5"/>
      <c r="DD159" s="5"/>
      <c r="DE159" s="171"/>
      <c r="DF159" s="171"/>
      <c r="DG159" s="171"/>
      <c r="DH159" s="171"/>
      <c r="DI159" s="171"/>
      <c r="DJ159" s="171"/>
    </row>
    <row r="160" spans="1:114" hidden="1" outlineLevel="1">
      <c r="A160" s="171"/>
      <c r="B160" s="5"/>
      <c r="C160" s="38"/>
      <c r="D160" s="166"/>
      <c r="E160" s="166"/>
      <c r="F160" s="166"/>
      <c r="G160" s="166"/>
      <c r="H160" s="166"/>
      <c r="I160" s="166"/>
      <c r="J160" s="166"/>
      <c r="K160" s="166"/>
      <c r="L160" s="166"/>
      <c r="M160" s="166"/>
      <c r="N160" s="166"/>
      <c r="O160" s="166"/>
      <c r="P160" s="166"/>
      <c r="Q160" s="166"/>
      <c r="R160" s="166"/>
      <c r="S160" s="166"/>
      <c r="T160" s="166"/>
      <c r="U160" s="166"/>
      <c r="V160" s="166"/>
      <c r="W160" s="166"/>
      <c r="X160" s="166"/>
      <c r="Y160" s="166"/>
      <c r="Z160" s="166"/>
      <c r="AA160" s="166"/>
      <c r="AB160" s="166"/>
      <c r="AC160" s="166"/>
      <c r="AD160" s="166"/>
      <c r="AE160" s="166"/>
      <c r="AF160" s="166"/>
      <c r="AG160" s="166"/>
      <c r="AH160" s="166"/>
      <c r="AI160" s="166"/>
      <c r="AJ160" s="166"/>
      <c r="AK160" s="166"/>
      <c r="AL160" s="166"/>
      <c r="AM160" s="166"/>
      <c r="AN160" s="166"/>
      <c r="AO160" s="166"/>
      <c r="AP160" s="166"/>
      <c r="AQ160" s="166"/>
      <c r="AR160" s="166"/>
      <c r="AS160" s="166"/>
      <c r="AT160" s="166"/>
      <c r="AU160" s="202"/>
      <c r="AV160" s="202"/>
      <c r="AW160" s="202"/>
      <c r="AX160" s="202"/>
      <c r="AY160" s="166"/>
      <c r="AZ160" s="202"/>
      <c r="BA160" s="202"/>
      <c r="BB160" s="202"/>
      <c r="BC160" s="202"/>
      <c r="BD160" s="166"/>
      <c r="BE160" s="202"/>
      <c r="BF160" s="202"/>
      <c r="BG160" s="202"/>
      <c r="BH160" s="202"/>
      <c r="BI160" s="166"/>
      <c r="BJ160" s="202"/>
      <c r="BK160" s="203"/>
      <c r="BL160" s="166"/>
      <c r="BM160" s="166"/>
      <c r="BN160" s="166"/>
      <c r="BO160" s="166"/>
      <c r="BP160" s="166"/>
      <c r="BQ160" s="166"/>
      <c r="BR160" s="166"/>
      <c r="BS160" s="166"/>
      <c r="BT160" s="166"/>
      <c r="BU160" s="166"/>
      <c r="BV160" s="166"/>
      <c r="BW160" s="166"/>
      <c r="BX160" s="166"/>
      <c r="BY160" s="166"/>
      <c r="BZ160" s="166"/>
      <c r="CA160" s="166"/>
      <c r="CB160" s="166"/>
      <c r="CC160" s="166"/>
      <c r="CD160" s="166"/>
      <c r="CE160" s="166"/>
      <c r="CF160" s="166"/>
      <c r="CG160" s="166"/>
      <c r="CH160" s="166"/>
      <c r="CI160" s="166"/>
      <c r="CJ160" s="166"/>
      <c r="CK160" s="166"/>
      <c r="CL160" s="166"/>
      <c r="CM160" s="166"/>
      <c r="CN160" s="166"/>
      <c r="CO160" s="166"/>
      <c r="CP160" s="166"/>
      <c r="CQ160" s="166"/>
      <c r="CR160" s="166"/>
      <c r="CS160" s="166"/>
      <c r="CT160" s="166"/>
      <c r="CU160" s="166"/>
      <c r="CV160" s="166"/>
      <c r="CW160" s="166"/>
      <c r="CX160" s="166"/>
      <c r="CY160" s="166"/>
      <c r="CZ160" s="166"/>
      <c r="DA160" s="166"/>
      <c r="DB160" s="166"/>
      <c r="DC160" s="5"/>
      <c r="DD160" s="5"/>
      <c r="DE160" s="171"/>
      <c r="DF160" s="171"/>
      <c r="DG160" s="171"/>
      <c r="DH160" s="171"/>
      <c r="DI160" s="171"/>
      <c r="DJ160" s="171"/>
    </row>
    <row r="161" spans="1:114" s="1163" customFormat="1" hidden="1" outlineLevel="1">
      <c r="A161" s="171"/>
      <c r="B161" s="1164" t="s">
        <v>650</v>
      </c>
      <c r="C161" s="46"/>
      <c r="D161" s="1161"/>
      <c r="E161" s="1161"/>
      <c r="F161" s="1161"/>
      <c r="G161" s="1161"/>
      <c r="H161" s="1161"/>
      <c r="I161" s="1161"/>
      <c r="J161" s="1161"/>
      <c r="K161" s="1161"/>
      <c r="L161" s="1161"/>
      <c r="M161" s="1161"/>
      <c r="N161" s="1161"/>
      <c r="O161" s="1161"/>
      <c r="P161" s="1161"/>
      <c r="Q161" s="1161"/>
      <c r="R161" s="1161"/>
      <c r="S161" s="1161"/>
      <c r="T161" s="1161"/>
      <c r="U161" s="1161"/>
      <c r="V161" s="1161"/>
      <c r="W161" s="1161"/>
      <c r="X161" s="1161"/>
      <c r="Y161" s="1161"/>
      <c r="Z161" s="1161"/>
      <c r="AA161" s="1161"/>
      <c r="AB161" s="1161"/>
      <c r="AC161" s="1161"/>
      <c r="AD161" s="1161"/>
      <c r="AE161" s="1161"/>
      <c r="AF161" s="1161"/>
      <c r="AG161" s="1161"/>
      <c r="AH161" s="1161"/>
      <c r="AI161" s="1161"/>
      <c r="AJ161" s="1161"/>
      <c r="AK161" s="1161"/>
      <c r="AL161" s="1161"/>
      <c r="AM161" s="1161"/>
      <c r="AN161" s="1161"/>
      <c r="AO161" s="1161"/>
      <c r="AP161" s="1161"/>
      <c r="AQ161" s="1161"/>
      <c r="AR161" s="1161"/>
      <c r="AS161" s="1161"/>
      <c r="AT161" s="1161"/>
      <c r="AU161" s="1162"/>
      <c r="AV161" s="1162"/>
      <c r="AW161" s="1162"/>
      <c r="AX161" s="1162"/>
      <c r="AY161" s="1161"/>
      <c r="AZ161" s="1162"/>
      <c r="BA161" s="1162"/>
      <c r="BB161" s="1162"/>
      <c r="BC161" s="1162"/>
      <c r="BD161" s="1161"/>
      <c r="BE161" s="1162"/>
      <c r="BF161" s="1162"/>
      <c r="BG161" s="1162"/>
      <c r="BH161" s="1162"/>
      <c r="BI161" s="1161"/>
      <c r="BJ161" s="1165"/>
      <c r="BK161" s="1165"/>
      <c r="BL161" s="1161"/>
      <c r="BM161" s="1161"/>
      <c r="BN161" s="1161"/>
      <c r="BO161" s="1161"/>
      <c r="BP161" s="1161"/>
      <c r="BQ161" s="1161"/>
      <c r="BR161" s="1161"/>
      <c r="BS161" s="1161"/>
      <c r="BT161" s="1161"/>
      <c r="BU161" s="1161"/>
      <c r="BV161" s="1161"/>
      <c r="BW161" s="1161"/>
      <c r="BX161" s="1161"/>
      <c r="BY161" s="1161"/>
      <c r="BZ161" s="1161"/>
      <c r="CA161" s="1161"/>
      <c r="CB161" s="1161"/>
      <c r="CC161" s="1161"/>
      <c r="CD161" s="1161"/>
      <c r="CE161" s="1161"/>
      <c r="CF161" s="1161"/>
      <c r="CG161" s="1161"/>
      <c r="CH161" s="1161"/>
      <c r="CI161" s="1161"/>
      <c r="CJ161" s="1161">
        <f>CJ151+CJ157</f>
        <v>978.00000000099999</v>
      </c>
      <c r="CK161" s="1161">
        <f t="shared" ref="CK161:CV161" si="82">CK151+CK157</f>
        <v>606</v>
      </c>
      <c r="CL161" s="1161">
        <f t="shared" si="82"/>
        <v>604</v>
      </c>
      <c r="CM161" s="1161"/>
      <c r="CN161" s="1161">
        <f t="shared" ca="1" si="82"/>
        <v>508.02631845250721</v>
      </c>
      <c r="CO161" s="1161">
        <f t="shared" ca="1" si="82"/>
        <v>712.28602136398672</v>
      </c>
      <c r="CP161" s="1161">
        <f t="shared" ca="1" si="82"/>
        <v>740.97549917369304</v>
      </c>
      <c r="CQ161" s="1161">
        <f t="shared" ca="1" si="82"/>
        <v>574.67555942532442</v>
      </c>
      <c r="CR161" s="1161"/>
      <c r="CS161" s="1161">
        <f t="shared" ca="1" si="82"/>
        <v>310.88494895668322</v>
      </c>
      <c r="CT161" s="1161">
        <f t="shared" ca="1" si="82"/>
        <v>474.61248303849936</v>
      </c>
      <c r="CU161" s="1161">
        <f t="shared" ca="1" si="82"/>
        <v>500.16083743763681</v>
      </c>
      <c r="CV161" s="1161">
        <f t="shared" ca="1" si="82"/>
        <v>714.23774281568853</v>
      </c>
      <c r="CW161" s="1161"/>
      <c r="CX161" s="1161">
        <f t="shared" ref="CX161:DA161" ca="1" si="83">CX151+CX157</f>
        <v>283.07015564062908</v>
      </c>
      <c r="CY161" s="1161">
        <f t="shared" ca="1" si="83"/>
        <v>336.79526973413715</v>
      </c>
      <c r="CZ161" s="1161">
        <f t="shared" ca="1" si="83"/>
        <v>453.3926388405722</v>
      </c>
      <c r="DA161" s="1161">
        <f t="shared" ca="1" si="83"/>
        <v>255.53769257557099</v>
      </c>
      <c r="DB161" s="1161"/>
      <c r="DC161" s="5"/>
      <c r="DD161" s="5"/>
      <c r="DE161" s="171"/>
      <c r="DF161" s="171"/>
      <c r="DG161" s="171"/>
      <c r="DH161" s="171"/>
      <c r="DI161" s="171"/>
      <c r="DJ161" s="171"/>
    </row>
    <row r="162" spans="1:114" collapsed="1">
      <c r="A162" s="171"/>
      <c r="B162" s="5"/>
      <c r="C162" s="38"/>
      <c r="D162" s="166"/>
      <c r="E162" s="166"/>
      <c r="F162" s="166"/>
      <c r="G162" s="166"/>
      <c r="H162" s="166"/>
      <c r="I162" s="166"/>
      <c r="J162" s="166"/>
      <c r="K162" s="166"/>
      <c r="L162" s="166"/>
      <c r="M162" s="166"/>
      <c r="N162" s="166"/>
      <c r="O162" s="166"/>
      <c r="P162" s="166"/>
      <c r="Q162" s="166"/>
      <c r="R162" s="166"/>
      <c r="S162" s="166"/>
      <c r="T162" s="166"/>
      <c r="U162" s="166"/>
      <c r="V162" s="166"/>
      <c r="W162" s="166"/>
      <c r="X162" s="166"/>
      <c r="Y162" s="166"/>
      <c r="Z162" s="166"/>
      <c r="AA162" s="166"/>
      <c r="AB162" s="166"/>
      <c r="AC162" s="166"/>
      <c r="AD162" s="166"/>
      <c r="AE162" s="166"/>
      <c r="AF162" s="166"/>
      <c r="AG162" s="166"/>
      <c r="AH162" s="166"/>
      <c r="AI162" s="166"/>
      <c r="AJ162" s="166"/>
      <c r="AK162" s="166"/>
      <c r="AL162" s="166"/>
      <c r="AM162" s="166"/>
      <c r="AN162" s="166"/>
      <c r="AO162" s="166"/>
      <c r="AP162" s="166"/>
      <c r="AQ162" s="166"/>
      <c r="AR162" s="166"/>
      <c r="AS162" s="166"/>
      <c r="AT162" s="166"/>
      <c r="AU162" s="202"/>
      <c r="AV162" s="202"/>
      <c r="AW162" s="202"/>
      <c r="AX162" s="202"/>
      <c r="AY162" s="166"/>
      <c r="AZ162" s="202"/>
      <c r="BA162" s="202"/>
      <c r="BB162" s="202"/>
      <c r="BC162" s="202"/>
      <c r="BD162" s="166"/>
      <c r="BE162" s="202"/>
      <c r="BF162" s="202"/>
      <c r="BG162" s="202"/>
      <c r="BH162" s="202"/>
      <c r="BI162" s="166"/>
      <c r="BJ162" s="202"/>
      <c r="BK162" s="203"/>
      <c r="BL162" s="166"/>
      <c r="BM162" s="166"/>
      <c r="BN162" s="166"/>
      <c r="BO162" s="166"/>
      <c r="BP162" s="166"/>
      <c r="BQ162" s="166"/>
      <c r="BR162" s="166"/>
      <c r="BS162" s="166"/>
      <c r="BT162" s="166"/>
      <c r="BU162" s="166"/>
      <c r="BV162" s="166"/>
      <c r="BW162" s="166"/>
      <c r="BX162" s="166"/>
      <c r="BY162" s="166"/>
      <c r="BZ162" s="166"/>
      <c r="CA162" s="166"/>
      <c r="CB162" s="166"/>
      <c r="CC162" s="166"/>
      <c r="CD162" s="166"/>
      <c r="CE162" s="166"/>
      <c r="CF162" s="166"/>
      <c r="CG162" s="166"/>
      <c r="CH162" s="166"/>
      <c r="CI162" s="166"/>
      <c r="CJ162" s="166"/>
      <c r="CK162" s="166"/>
      <c r="CL162" s="166"/>
      <c r="CM162" s="166"/>
      <c r="CN162" s="166"/>
      <c r="CO162" s="166"/>
      <c r="CP162" s="166"/>
      <c r="CQ162" s="166"/>
      <c r="CR162" s="166"/>
      <c r="CS162" s="166"/>
      <c r="CT162" s="166"/>
      <c r="CU162" s="166"/>
      <c r="CV162" s="166"/>
      <c r="CW162" s="166"/>
      <c r="CX162" s="166"/>
      <c r="CY162" s="166"/>
      <c r="CZ162" s="166"/>
      <c r="DA162" s="166"/>
      <c r="DB162" s="166"/>
      <c r="DC162" s="5"/>
      <c r="DD162" s="5"/>
      <c r="DE162" s="171"/>
      <c r="DF162" s="171"/>
      <c r="DG162" s="171"/>
      <c r="DH162" s="171"/>
      <c r="DI162" s="171"/>
      <c r="DJ162" s="171"/>
    </row>
    <row r="163" spans="1:114">
      <c r="A163" s="171"/>
      <c r="B163" s="696" t="s">
        <v>621</v>
      </c>
      <c r="C163" s="169"/>
      <c r="D163" s="215"/>
      <c r="E163" s="215"/>
      <c r="F163" s="215"/>
      <c r="G163" s="216"/>
      <c r="H163" s="216"/>
      <c r="I163" s="216"/>
      <c r="J163" s="216"/>
      <c r="K163" s="215"/>
      <c r="L163" s="216"/>
      <c r="M163" s="216"/>
      <c r="N163" s="216"/>
      <c r="O163" s="216"/>
      <c r="P163" s="215"/>
      <c r="Q163" s="216"/>
      <c r="R163" s="216"/>
      <c r="S163" s="216"/>
      <c r="T163" s="216"/>
      <c r="U163" s="215"/>
      <c r="V163" s="216"/>
      <c r="W163" s="216"/>
      <c r="X163" s="216"/>
      <c r="Y163" s="216"/>
      <c r="Z163" s="215"/>
      <c r="AA163" s="216"/>
      <c r="AB163" s="216"/>
      <c r="AC163" s="216"/>
      <c r="AD163" s="216"/>
      <c r="AE163" s="215"/>
      <c r="AF163" s="216"/>
      <c r="AG163" s="216"/>
      <c r="AH163" s="216"/>
      <c r="AI163" s="216"/>
      <c r="AJ163" s="215"/>
      <c r="AK163" s="216"/>
      <c r="AL163" s="216"/>
      <c r="AM163" s="216"/>
      <c r="AN163" s="216"/>
      <c r="AO163" s="215"/>
      <c r="AP163" s="216"/>
      <c r="AQ163" s="216"/>
      <c r="AR163" s="216"/>
      <c r="AS163" s="216"/>
      <c r="AT163" s="215"/>
      <c r="AU163" s="216"/>
      <c r="AV163" s="216"/>
      <c r="AW163" s="216"/>
      <c r="AX163" s="216"/>
      <c r="AY163" s="215"/>
      <c r="AZ163" s="216"/>
      <c r="BA163" s="216"/>
      <c r="BB163" s="216"/>
      <c r="BC163" s="216"/>
      <c r="BD163" s="215"/>
      <c r="BE163" s="216"/>
      <c r="BF163" s="216"/>
      <c r="BG163" s="216"/>
      <c r="BH163" s="217"/>
      <c r="BI163" s="218"/>
      <c r="BJ163" s="217"/>
      <c r="BK163" s="217"/>
      <c r="BL163" s="217"/>
      <c r="BM163" s="217"/>
      <c r="BN163" s="218"/>
      <c r="BO163" s="216"/>
      <c r="BP163" s="216"/>
      <c r="BQ163" s="216"/>
      <c r="BR163" s="216"/>
      <c r="BS163" s="215"/>
      <c r="BT163" s="216"/>
      <c r="BU163" s="216"/>
      <c r="BV163" s="216"/>
      <c r="BW163" s="216"/>
      <c r="BX163" s="215"/>
      <c r="BY163" s="216"/>
      <c r="BZ163" s="216"/>
      <c r="CA163" s="216"/>
      <c r="CB163" s="216"/>
      <c r="CC163" s="215"/>
      <c r="CD163" s="216"/>
      <c r="CE163" s="216"/>
      <c r="CF163" s="216"/>
      <c r="CG163" s="216"/>
      <c r="CH163" s="215"/>
      <c r="CI163" s="216"/>
      <c r="CJ163" s="216"/>
      <c r="CK163" s="216"/>
      <c r="CL163" s="216"/>
      <c r="CM163" s="215"/>
      <c r="CN163" s="216"/>
      <c r="CO163" s="216"/>
      <c r="CP163" s="216"/>
      <c r="CQ163" s="216"/>
      <c r="CR163" s="215"/>
      <c r="CS163" s="216"/>
      <c r="CT163" s="216"/>
      <c r="CU163" s="216"/>
      <c r="CV163" s="216"/>
      <c r="CW163" s="215"/>
      <c r="CX163" s="216"/>
      <c r="CY163" s="216"/>
      <c r="CZ163" s="216"/>
      <c r="DA163" s="216"/>
      <c r="DB163" s="215"/>
      <c r="DC163" s="5"/>
      <c r="DD163" s="5"/>
      <c r="DE163" s="171"/>
      <c r="DF163" s="171"/>
      <c r="DG163" s="171"/>
      <c r="DH163" s="171"/>
      <c r="DI163" s="171"/>
      <c r="DJ163" s="171"/>
    </row>
    <row r="164" spans="1:114">
      <c r="A164" s="171"/>
      <c r="B164" s="697" t="s">
        <v>517</v>
      </c>
      <c r="C164" s="38"/>
      <c r="D164" s="201"/>
      <c r="E164" s="201"/>
      <c r="F164" s="201"/>
      <c r="G164" s="166"/>
      <c r="H164" s="166"/>
      <c r="I164" s="166"/>
      <c r="J164" s="166"/>
      <c r="K164" s="201"/>
      <c r="L164" s="166"/>
      <c r="M164" s="166"/>
      <c r="N164" s="166"/>
      <c r="O164" s="166"/>
      <c r="P164" s="201"/>
      <c r="Q164" s="166"/>
      <c r="R164" s="166"/>
      <c r="S164" s="166"/>
      <c r="T164" s="166"/>
      <c r="U164" s="201"/>
      <c r="V164" s="166"/>
      <c r="W164" s="166"/>
      <c r="X164" s="166"/>
      <c r="Y164" s="166"/>
      <c r="Z164" s="201"/>
      <c r="AA164" s="166"/>
      <c r="AB164" s="166"/>
      <c r="AC164" s="166"/>
      <c r="AD164" s="166"/>
      <c r="AE164" s="201"/>
      <c r="AF164" s="166"/>
      <c r="AG164" s="166"/>
      <c r="AH164" s="166"/>
      <c r="AI164" s="166"/>
      <c r="AJ164" s="201"/>
      <c r="AK164" s="166"/>
      <c r="AL164" s="166"/>
      <c r="AM164" s="166"/>
      <c r="AN164" s="166"/>
      <c r="AO164" s="201"/>
      <c r="AP164" s="166"/>
      <c r="AQ164" s="166"/>
      <c r="AR164" s="166"/>
      <c r="AS164" s="166"/>
      <c r="AT164" s="201"/>
      <c r="AU164" s="202"/>
      <c r="AV164" s="202"/>
      <c r="AW164" s="202"/>
      <c r="AX164" s="202"/>
      <c r="AY164" s="201"/>
      <c r="AZ164" s="202"/>
      <c r="BA164" s="202"/>
      <c r="BB164" s="202"/>
      <c r="BC164" s="202"/>
      <c r="BD164" s="201"/>
      <c r="BE164" s="202"/>
      <c r="BF164" s="202"/>
      <c r="BG164" s="202"/>
      <c r="BH164" s="219"/>
      <c r="BI164" s="107"/>
      <c r="BJ164" s="220"/>
      <c r="BK164" s="220"/>
      <c r="BL164" s="231"/>
      <c r="BM164" s="220"/>
      <c r="BN164" s="107"/>
      <c r="BO164" s="220"/>
      <c r="BP164" s="220"/>
      <c r="BQ164" s="220"/>
      <c r="BR164" s="220"/>
      <c r="BS164" s="107"/>
      <c r="BT164" s="220"/>
      <c r="BU164" s="220"/>
      <c r="BV164" s="220"/>
      <c r="BW164" s="220"/>
      <c r="BX164" s="107"/>
      <c r="BY164" s="220"/>
      <c r="BZ164" s="220"/>
      <c r="CA164" s="220"/>
      <c r="CB164" s="220"/>
      <c r="CC164" s="107"/>
      <c r="CD164" s="220"/>
      <c r="CE164" s="220"/>
      <c r="CF164" s="220"/>
      <c r="CG164" s="220"/>
      <c r="CH164" s="107"/>
      <c r="CI164" s="220">
        <v>6.25E-2</v>
      </c>
      <c r="CJ164" s="220">
        <f>CI164</f>
        <v>6.25E-2</v>
      </c>
      <c r="CK164" s="220">
        <f>CJ164</f>
        <v>6.25E-2</v>
      </c>
      <c r="CL164" s="220">
        <f>CK164</f>
        <v>6.25E-2</v>
      </c>
      <c r="CM164" s="107"/>
      <c r="CN164" s="220">
        <f>CL164</f>
        <v>6.25E-2</v>
      </c>
      <c r="CO164" s="220">
        <f>CN164</f>
        <v>6.25E-2</v>
      </c>
      <c r="CP164" s="220">
        <f>CO164</f>
        <v>6.25E-2</v>
      </c>
      <c r="CQ164" s="220">
        <f>CP164</f>
        <v>6.25E-2</v>
      </c>
      <c r="CR164" s="107"/>
      <c r="CS164" s="220">
        <f>CQ164</f>
        <v>6.25E-2</v>
      </c>
      <c r="CT164" s="220">
        <f>CS164</f>
        <v>6.25E-2</v>
      </c>
      <c r="CU164" s="220">
        <f>CT164</f>
        <v>6.25E-2</v>
      </c>
      <c r="CV164" s="220">
        <f>CU164</f>
        <v>6.25E-2</v>
      </c>
      <c r="CW164" s="107"/>
      <c r="CX164" s="220">
        <f>CV164</f>
        <v>6.25E-2</v>
      </c>
      <c r="CY164" s="220">
        <f>CX164</f>
        <v>6.25E-2</v>
      </c>
      <c r="CZ164" s="220">
        <f>CY164</f>
        <v>6.25E-2</v>
      </c>
      <c r="DA164" s="220">
        <f>CZ164</f>
        <v>6.25E-2</v>
      </c>
      <c r="DB164" s="107"/>
      <c r="DC164" s="5"/>
      <c r="DD164" s="5"/>
      <c r="DE164" s="171"/>
      <c r="DF164" s="171"/>
      <c r="DG164" s="171"/>
      <c r="DH164" s="171"/>
      <c r="DI164" s="171"/>
      <c r="DJ164" s="171"/>
    </row>
    <row r="165" spans="1:114">
      <c r="A165" s="171"/>
      <c r="B165" s="693" t="s">
        <v>518</v>
      </c>
      <c r="C165" s="38"/>
      <c r="D165" s="201"/>
      <c r="E165" s="201"/>
      <c r="F165" s="201"/>
      <c r="G165" s="166"/>
      <c r="H165" s="166"/>
      <c r="I165" s="166"/>
      <c r="J165" s="166"/>
      <c r="K165" s="201"/>
      <c r="L165" s="166"/>
      <c r="M165" s="166"/>
      <c r="N165" s="166"/>
      <c r="O165" s="166"/>
      <c r="P165" s="201"/>
      <c r="Q165" s="166"/>
      <c r="R165" s="166"/>
      <c r="S165" s="166"/>
      <c r="T165" s="166"/>
      <c r="U165" s="201"/>
      <c r="V165" s="166"/>
      <c r="W165" s="166"/>
      <c r="X165" s="166"/>
      <c r="Y165" s="166"/>
      <c r="Z165" s="201"/>
      <c r="AA165" s="166"/>
      <c r="AB165" s="166"/>
      <c r="AC165" s="166"/>
      <c r="AD165" s="166"/>
      <c r="AE165" s="201"/>
      <c r="AF165" s="166"/>
      <c r="AG165" s="166"/>
      <c r="AH165" s="166"/>
      <c r="AI165" s="166"/>
      <c r="AJ165" s="201"/>
      <c r="AK165" s="166"/>
      <c r="AL165" s="166"/>
      <c r="AM165" s="166"/>
      <c r="AN165" s="166"/>
      <c r="AO165" s="201"/>
      <c r="AP165" s="166"/>
      <c r="AQ165" s="166"/>
      <c r="AR165" s="166"/>
      <c r="AS165" s="166"/>
      <c r="AT165" s="221"/>
      <c r="AU165" s="222"/>
      <c r="AV165" s="222"/>
      <c r="AW165" s="222"/>
      <c r="AX165" s="222"/>
      <c r="AY165" s="221"/>
      <c r="AZ165" s="222"/>
      <c r="BA165" s="222"/>
      <c r="BB165" s="222"/>
      <c r="BC165" s="222"/>
      <c r="BD165" s="221"/>
      <c r="BE165" s="222"/>
      <c r="BF165" s="222"/>
      <c r="BG165" s="222"/>
      <c r="BH165" s="223"/>
      <c r="BI165" s="224"/>
      <c r="BJ165" s="193"/>
      <c r="BK165" s="193"/>
      <c r="BL165" s="193"/>
      <c r="BM165" s="193"/>
      <c r="BN165" s="194"/>
      <c r="BO165" s="193"/>
      <c r="BP165" s="193"/>
      <c r="BQ165" s="193"/>
      <c r="BR165" s="193"/>
      <c r="BS165" s="194"/>
      <c r="BT165" s="193"/>
      <c r="BU165" s="193"/>
      <c r="BV165" s="193"/>
      <c r="BW165" s="193"/>
      <c r="BX165" s="194"/>
      <c r="BY165" s="193"/>
      <c r="BZ165" s="193"/>
      <c r="CA165" s="193"/>
      <c r="CB165" s="193"/>
      <c r="CC165" s="194"/>
      <c r="CD165" s="193"/>
      <c r="CE165" s="193"/>
      <c r="CF165" s="193"/>
      <c r="CG165" s="193"/>
      <c r="CH165" s="194"/>
      <c r="CI165" s="193">
        <f>CH168</f>
        <v>0</v>
      </c>
      <c r="CJ165" s="193">
        <f>CI168</f>
        <v>2200</v>
      </c>
      <c r="CK165" s="193">
        <f>CJ168</f>
        <v>3100</v>
      </c>
      <c r="CL165" s="193">
        <f>CK168</f>
        <v>3100</v>
      </c>
      <c r="CM165" s="194">
        <f>CH168</f>
        <v>0</v>
      </c>
      <c r="CN165" s="193">
        <f>CM168</f>
        <v>3100</v>
      </c>
      <c r="CO165" s="193">
        <f>CN168</f>
        <v>3100</v>
      </c>
      <c r="CP165" s="193">
        <f>CO168</f>
        <v>3100</v>
      </c>
      <c r="CQ165" s="193">
        <f>CP168</f>
        <v>3100</v>
      </c>
      <c r="CR165" s="194">
        <f>CM168</f>
        <v>3100</v>
      </c>
      <c r="CS165" s="193">
        <f>CR168</f>
        <v>3100</v>
      </c>
      <c r="CT165" s="193">
        <f>CS168</f>
        <v>3100</v>
      </c>
      <c r="CU165" s="193">
        <f>CT168</f>
        <v>3100</v>
      </c>
      <c r="CV165" s="193">
        <f>CU168</f>
        <v>3100</v>
      </c>
      <c r="CW165" s="194">
        <f>CR168</f>
        <v>3100</v>
      </c>
      <c r="CX165" s="193">
        <f>CW168</f>
        <v>3100</v>
      </c>
      <c r="CY165" s="193">
        <f>CX168</f>
        <v>3100</v>
      </c>
      <c r="CZ165" s="193">
        <f>CY168</f>
        <v>3100</v>
      </c>
      <c r="DA165" s="193">
        <f>CZ168</f>
        <v>3100</v>
      </c>
      <c r="DB165" s="194">
        <f>CW168</f>
        <v>3100</v>
      </c>
      <c r="DC165" s="5"/>
      <c r="DD165" s="5"/>
      <c r="DE165" s="171"/>
      <c r="DF165" s="171"/>
      <c r="DG165" s="171"/>
      <c r="DH165" s="171"/>
      <c r="DI165" s="171"/>
      <c r="DJ165" s="171"/>
    </row>
    <row r="166" spans="1:114">
      <c r="A166" s="171"/>
      <c r="B166" s="693" t="s">
        <v>654</v>
      </c>
      <c r="C166" s="38"/>
      <c r="D166" s="201"/>
      <c r="E166" s="201"/>
      <c r="F166" s="201"/>
      <c r="G166" s="166"/>
      <c r="H166" s="166"/>
      <c r="I166" s="166"/>
      <c r="J166" s="166"/>
      <c r="K166" s="201"/>
      <c r="L166" s="166"/>
      <c r="M166" s="166"/>
      <c r="N166" s="166"/>
      <c r="O166" s="166"/>
      <c r="P166" s="201"/>
      <c r="Q166" s="166"/>
      <c r="R166" s="166"/>
      <c r="S166" s="166"/>
      <c r="T166" s="166"/>
      <c r="U166" s="201"/>
      <c r="V166" s="166"/>
      <c r="W166" s="166"/>
      <c r="X166" s="166"/>
      <c r="Y166" s="166"/>
      <c r="Z166" s="201"/>
      <c r="AA166" s="166"/>
      <c r="AB166" s="166"/>
      <c r="AC166" s="166"/>
      <c r="AD166" s="166"/>
      <c r="AE166" s="201"/>
      <c r="AF166" s="166"/>
      <c r="AG166" s="166"/>
      <c r="AH166" s="166"/>
      <c r="AI166" s="166"/>
      <c r="AJ166" s="201"/>
      <c r="AK166" s="166"/>
      <c r="AL166" s="166"/>
      <c r="AM166" s="166"/>
      <c r="AN166" s="166"/>
      <c r="AO166" s="201"/>
      <c r="AP166" s="166"/>
      <c r="AQ166" s="166"/>
      <c r="AR166" s="166"/>
      <c r="AS166" s="166"/>
      <c r="AT166" s="221"/>
      <c r="AU166" s="222"/>
      <c r="AV166" s="222"/>
      <c r="AW166" s="222"/>
      <c r="AX166" s="222"/>
      <c r="AY166" s="221"/>
      <c r="AZ166" s="222"/>
      <c r="BA166" s="222"/>
      <c r="BB166" s="222"/>
      <c r="BC166" s="222"/>
      <c r="BD166" s="221"/>
      <c r="BE166" s="222"/>
      <c r="BF166" s="222"/>
      <c r="BG166" s="222"/>
      <c r="BH166" s="223"/>
      <c r="BI166" s="224"/>
      <c r="BJ166" s="193"/>
      <c r="BK166" s="193"/>
      <c r="BL166" s="193"/>
      <c r="BM166" s="193"/>
      <c r="BN166" s="194"/>
      <c r="BO166" s="193"/>
      <c r="BP166" s="193"/>
      <c r="BQ166" s="193"/>
      <c r="BR166" s="193"/>
      <c r="BS166" s="194"/>
      <c r="BT166" s="193"/>
      <c r="BU166" s="193"/>
      <c r="BV166" s="193"/>
      <c r="BW166" s="193"/>
      <c r="BX166" s="194"/>
      <c r="BY166" s="193"/>
      <c r="BZ166" s="193"/>
      <c r="CA166" s="193"/>
      <c r="CB166" s="193"/>
      <c r="CC166" s="194"/>
      <c r="CD166" s="193"/>
      <c r="CE166" s="193"/>
      <c r="CF166" s="193"/>
      <c r="CG166" s="193"/>
      <c r="CH166" s="194"/>
      <c r="CI166" s="193">
        <f>+CI168-CI165</f>
        <v>2200</v>
      </c>
      <c r="CJ166" s="583">
        <v>900</v>
      </c>
      <c r="CK166" s="193">
        <v>0</v>
      </c>
      <c r="CL166" s="842">
        <v>0</v>
      </c>
      <c r="CM166" s="194">
        <f>SUM(CI166:CL166)</f>
        <v>3100</v>
      </c>
      <c r="CN166" s="1181">
        <v>0</v>
      </c>
      <c r="CO166" s="193">
        <v>0</v>
      </c>
      <c r="CP166" s="193">
        <v>0</v>
      </c>
      <c r="CQ166" s="842">
        <v>0</v>
      </c>
      <c r="CR166" s="194">
        <f>SUM(CN166:CQ166)</f>
        <v>0</v>
      </c>
      <c r="CS166" s="1181">
        <v>0</v>
      </c>
      <c r="CT166" s="193">
        <v>0</v>
      </c>
      <c r="CU166" s="193">
        <v>0</v>
      </c>
      <c r="CV166" s="842">
        <v>0</v>
      </c>
      <c r="CW166" s="194">
        <f>SUM(CS166:CV166)</f>
        <v>0</v>
      </c>
      <c r="CX166" s="1181">
        <v>0</v>
      </c>
      <c r="CY166" s="193">
        <v>0</v>
      </c>
      <c r="CZ166" s="193">
        <v>0</v>
      </c>
      <c r="DA166" s="842">
        <v>0</v>
      </c>
      <c r="DB166" s="194">
        <f>SUM(CX166:DA166)</f>
        <v>0</v>
      </c>
      <c r="DC166" s="5"/>
      <c r="DD166" s="5"/>
      <c r="DE166" s="171"/>
      <c r="DF166" s="171"/>
      <c r="DG166" s="171"/>
      <c r="DH166" s="171"/>
      <c r="DI166" s="171"/>
      <c r="DJ166" s="171"/>
    </row>
    <row r="167" spans="1:114">
      <c r="A167" s="171"/>
      <c r="B167" s="691" t="s">
        <v>653</v>
      </c>
      <c r="C167" s="33"/>
      <c r="D167" s="206"/>
      <c r="E167" s="206"/>
      <c r="F167" s="206"/>
      <c r="G167" s="214"/>
      <c r="H167" s="214"/>
      <c r="I167" s="214"/>
      <c r="J167" s="214"/>
      <c r="K167" s="206"/>
      <c r="L167" s="214"/>
      <c r="M167" s="214"/>
      <c r="N167" s="214"/>
      <c r="O167" s="214"/>
      <c r="P167" s="206"/>
      <c r="Q167" s="214"/>
      <c r="R167" s="214"/>
      <c r="S167" s="214"/>
      <c r="T167" s="214"/>
      <c r="U167" s="206"/>
      <c r="V167" s="214"/>
      <c r="W167" s="214"/>
      <c r="X167" s="214"/>
      <c r="Y167" s="214"/>
      <c r="Z167" s="206"/>
      <c r="AA167" s="214"/>
      <c r="AB167" s="214"/>
      <c r="AC167" s="214"/>
      <c r="AD167" s="214"/>
      <c r="AE167" s="206"/>
      <c r="AF167" s="214"/>
      <c r="AG167" s="214"/>
      <c r="AH167" s="214"/>
      <c r="AI167" s="214"/>
      <c r="AJ167" s="206"/>
      <c r="AK167" s="214"/>
      <c r="AL167" s="214"/>
      <c r="AM167" s="214"/>
      <c r="AN167" s="214"/>
      <c r="AO167" s="206"/>
      <c r="AP167" s="214"/>
      <c r="AQ167" s="214"/>
      <c r="AR167" s="214"/>
      <c r="AS167" s="214"/>
      <c r="AT167" s="225"/>
      <c r="AU167" s="226"/>
      <c r="AV167" s="226"/>
      <c r="AW167" s="226"/>
      <c r="AX167" s="226"/>
      <c r="AY167" s="225"/>
      <c r="AZ167" s="226"/>
      <c r="BA167" s="226"/>
      <c r="BB167" s="226"/>
      <c r="BC167" s="226"/>
      <c r="BD167" s="225"/>
      <c r="BE167" s="226"/>
      <c r="BF167" s="226"/>
      <c r="BG167" s="226"/>
      <c r="BH167" s="196"/>
      <c r="BI167" s="197"/>
      <c r="BJ167" s="196"/>
      <c r="BK167" s="196"/>
      <c r="BL167" s="196"/>
      <c r="BM167" s="196"/>
      <c r="BN167" s="197"/>
      <c r="BO167" s="196"/>
      <c r="BP167" s="196"/>
      <c r="BQ167" s="196"/>
      <c r="BR167" s="196"/>
      <c r="BS167" s="197"/>
      <c r="BT167" s="196"/>
      <c r="BU167" s="196"/>
      <c r="BV167" s="196"/>
      <c r="BW167" s="196"/>
      <c r="BX167" s="197"/>
      <c r="BY167" s="196"/>
      <c r="BZ167" s="196"/>
      <c r="CA167" s="196"/>
      <c r="CB167" s="196"/>
      <c r="CC167" s="197"/>
      <c r="CD167" s="196"/>
      <c r="CE167" s="196"/>
      <c r="CF167" s="196"/>
      <c r="CG167" s="196"/>
      <c r="CH167" s="197"/>
      <c r="CI167" s="196">
        <v>0</v>
      </c>
      <c r="CJ167" s="196">
        <v>0</v>
      </c>
      <c r="CK167" s="196">
        <v>0</v>
      </c>
      <c r="CL167" s="196">
        <v>0</v>
      </c>
      <c r="CM167" s="197">
        <f>SUM(CI167:CL167)</f>
        <v>0</v>
      </c>
      <c r="CN167" s="196">
        <v>0</v>
      </c>
      <c r="CO167" s="196">
        <v>0</v>
      </c>
      <c r="CP167" s="196">
        <v>0</v>
      </c>
      <c r="CQ167" s="196">
        <v>0</v>
      </c>
      <c r="CR167" s="197">
        <f>SUM(CN167:CQ167)</f>
        <v>0</v>
      </c>
      <c r="CS167" s="196">
        <v>0</v>
      </c>
      <c r="CT167" s="196">
        <v>0</v>
      </c>
      <c r="CU167" s="196">
        <v>0</v>
      </c>
      <c r="CV167" s="196">
        <v>0</v>
      </c>
      <c r="CW167" s="197">
        <f>SUM(CS167:CV167)</f>
        <v>0</v>
      </c>
      <c r="CX167" s="196">
        <v>0</v>
      </c>
      <c r="CY167" s="196">
        <v>0</v>
      </c>
      <c r="CZ167" s="196">
        <v>0</v>
      </c>
      <c r="DA167" s="196">
        <v>0</v>
      </c>
      <c r="DB167" s="197">
        <f>SUM(CX167:DA167)</f>
        <v>0</v>
      </c>
      <c r="DC167" s="5"/>
      <c r="DD167" s="5"/>
      <c r="DE167" s="171"/>
      <c r="DF167" s="171"/>
      <c r="DG167" s="171"/>
      <c r="DH167" s="171"/>
      <c r="DI167" s="171"/>
      <c r="DJ167" s="171"/>
    </row>
    <row r="168" spans="1:114">
      <c r="A168" s="171"/>
      <c r="B168" s="698" t="s">
        <v>519</v>
      </c>
      <c r="C168" s="48"/>
      <c r="D168" s="204"/>
      <c r="E168" s="204"/>
      <c r="F168" s="204"/>
      <c r="G168" s="407"/>
      <c r="H168" s="407"/>
      <c r="I168" s="407"/>
      <c r="J168" s="407"/>
      <c r="K168" s="204"/>
      <c r="L168" s="407"/>
      <c r="M168" s="407"/>
      <c r="N168" s="407"/>
      <c r="O168" s="407"/>
      <c r="P168" s="204"/>
      <c r="Q168" s="407"/>
      <c r="R168" s="407"/>
      <c r="S168" s="407"/>
      <c r="T168" s="407"/>
      <c r="U168" s="204"/>
      <c r="V168" s="407"/>
      <c r="W168" s="407"/>
      <c r="X168" s="407"/>
      <c r="Y168" s="407"/>
      <c r="Z168" s="204"/>
      <c r="AA168" s="407"/>
      <c r="AB168" s="407"/>
      <c r="AC168" s="407"/>
      <c r="AD168" s="407"/>
      <c r="AE168" s="204"/>
      <c r="AF168" s="407"/>
      <c r="AG168" s="407"/>
      <c r="AH168" s="407"/>
      <c r="AI168" s="407"/>
      <c r="AJ168" s="204"/>
      <c r="AK168" s="407"/>
      <c r="AL168" s="407"/>
      <c r="AM168" s="407"/>
      <c r="AN168" s="407"/>
      <c r="AO168" s="204"/>
      <c r="AP168" s="407"/>
      <c r="AQ168" s="407"/>
      <c r="AR168" s="407"/>
      <c r="AS168" s="407"/>
      <c r="AT168" s="227"/>
      <c r="AU168" s="228"/>
      <c r="AV168" s="228"/>
      <c r="AW168" s="228"/>
      <c r="AX168" s="228"/>
      <c r="AY168" s="227"/>
      <c r="AZ168" s="228"/>
      <c r="BA168" s="228"/>
      <c r="BB168" s="228"/>
      <c r="BC168" s="228"/>
      <c r="BD168" s="227"/>
      <c r="BE168" s="228"/>
      <c r="BF168" s="228"/>
      <c r="BG168" s="228"/>
      <c r="BH168" s="229"/>
      <c r="BI168" s="199"/>
      <c r="BJ168" s="229"/>
      <c r="BK168" s="229"/>
      <c r="BL168" s="198"/>
      <c r="BM168" s="229"/>
      <c r="BN168" s="199"/>
      <c r="BO168" s="229"/>
      <c r="BP168" s="229"/>
      <c r="BQ168" s="229"/>
      <c r="BR168" s="551"/>
      <c r="BS168" s="199"/>
      <c r="BT168" s="551"/>
      <c r="BU168" s="551"/>
      <c r="BV168" s="582"/>
      <c r="BW168" s="551"/>
      <c r="BX168" s="199"/>
      <c r="BY168" s="551"/>
      <c r="BZ168" s="582"/>
      <c r="CA168" s="582"/>
      <c r="CB168" s="582"/>
      <c r="CC168" s="199"/>
      <c r="CD168" s="582"/>
      <c r="CE168" s="582"/>
      <c r="CF168" s="229"/>
      <c r="CG168" s="582"/>
      <c r="CH168" s="199"/>
      <c r="CI168" s="582">
        <v>2200</v>
      </c>
      <c r="CJ168" s="193">
        <f>SUM(CJ165:CJ167)</f>
        <v>3100</v>
      </c>
      <c r="CK168" s="193">
        <f>SUM(CK165:CK167)</f>
        <v>3100</v>
      </c>
      <c r="CL168" s="193">
        <f>SUM(CL165:CL167)</f>
        <v>3100</v>
      </c>
      <c r="CM168" s="194">
        <f>CL168</f>
        <v>3100</v>
      </c>
      <c r="CN168" s="193">
        <f>SUM(CN165:CN167)</f>
        <v>3100</v>
      </c>
      <c r="CO168" s="193">
        <f>SUM(CO165:CO167)</f>
        <v>3100</v>
      </c>
      <c r="CP168" s="193">
        <f>SUM(CP165:CP167)</f>
        <v>3100</v>
      </c>
      <c r="CQ168" s="193">
        <f>SUM(CQ165:CQ167)</f>
        <v>3100</v>
      </c>
      <c r="CR168" s="194">
        <f>CQ168</f>
        <v>3100</v>
      </c>
      <c r="CS168" s="193">
        <f>SUM(CS165:CS167)</f>
        <v>3100</v>
      </c>
      <c r="CT168" s="193">
        <f>SUM(CT165:CT167)</f>
        <v>3100</v>
      </c>
      <c r="CU168" s="193">
        <f>SUM(CU165:CU167)</f>
        <v>3100</v>
      </c>
      <c r="CV168" s="193">
        <f>SUM(CV165:CV167)</f>
        <v>3100</v>
      </c>
      <c r="CW168" s="194">
        <f>CV168</f>
        <v>3100</v>
      </c>
      <c r="CX168" s="193">
        <f>SUM(CX165:CX167)</f>
        <v>3100</v>
      </c>
      <c r="CY168" s="193">
        <f>SUM(CY165:CY167)</f>
        <v>3100</v>
      </c>
      <c r="CZ168" s="193">
        <f>SUM(CZ165:CZ167)</f>
        <v>3100</v>
      </c>
      <c r="DA168" s="193">
        <f>SUM(DA165:DA167)</f>
        <v>3100</v>
      </c>
      <c r="DB168" s="194">
        <f>DA168</f>
        <v>3100</v>
      </c>
      <c r="DC168" s="5"/>
      <c r="DD168" s="5"/>
      <c r="DE168" s="171"/>
      <c r="DF168" s="171"/>
      <c r="DG168" s="171"/>
      <c r="DH168" s="171"/>
      <c r="DI168" s="171"/>
      <c r="DJ168" s="171"/>
    </row>
    <row r="169" spans="1:114">
      <c r="A169" s="171"/>
      <c r="B169" s="691" t="s">
        <v>520</v>
      </c>
      <c r="C169" s="33"/>
      <c r="D169" s="206"/>
      <c r="E169" s="206"/>
      <c r="F169" s="206"/>
      <c r="G169" s="214"/>
      <c r="H169" s="214"/>
      <c r="I169" s="214"/>
      <c r="J169" s="214"/>
      <c r="K169" s="206"/>
      <c r="L169" s="214"/>
      <c r="M169" s="214"/>
      <c r="N169" s="214"/>
      <c r="O169" s="214"/>
      <c r="P169" s="206"/>
      <c r="Q169" s="214"/>
      <c r="R169" s="214"/>
      <c r="S169" s="214"/>
      <c r="T169" s="214"/>
      <c r="U169" s="206"/>
      <c r="V169" s="214"/>
      <c r="W169" s="214"/>
      <c r="X169" s="214"/>
      <c r="Y169" s="214"/>
      <c r="Z169" s="206"/>
      <c r="AA169" s="214"/>
      <c r="AB169" s="214"/>
      <c r="AC169" s="214"/>
      <c r="AD169" s="214"/>
      <c r="AE169" s="206"/>
      <c r="AF169" s="214"/>
      <c r="AG169" s="214"/>
      <c r="AH169" s="214"/>
      <c r="AI169" s="214"/>
      <c r="AJ169" s="206"/>
      <c r="AK169" s="214"/>
      <c r="AL169" s="214"/>
      <c r="AM169" s="214"/>
      <c r="AN169" s="214"/>
      <c r="AO169" s="206"/>
      <c r="AP169" s="214"/>
      <c r="AQ169" s="214"/>
      <c r="AR169" s="214"/>
      <c r="AS169" s="214"/>
      <c r="AT169" s="225"/>
      <c r="AU169" s="226"/>
      <c r="AV169" s="226"/>
      <c r="AW169" s="226"/>
      <c r="AX169" s="226"/>
      <c r="AY169" s="225"/>
      <c r="AZ169" s="226"/>
      <c r="BA169" s="226"/>
      <c r="BB169" s="226"/>
      <c r="BC169" s="226"/>
      <c r="BD169" s="225"/>
      <c r="BE169" s="226"/>
      <c r="BF169" s="226"/>
      <c r="BG169" s="226"/>
      <c r="BH169" s="230"/>
      <c r="BI169" s="197"/>
      <c r="BJ169" s="230"/>
      <c r="BK169" s="230"/>
      <c r="BL169" s="230"/>
      <c r="BM169" s="230"/>
      <c r="BN169" s="197"/>
      <c r="BO169" s="230"/>
      <c r="BP169" s="230"/>
      <c r="BQ169" s="230"/>
      <c r="BR169" s="230"/>
      <c r="BS169" s="197"/>
      <c r="BT169" s="230"/>
      <c r="BU169" s="230"/>
      <c r="BV169" s="230"/>
      <c r="BW169" s="230"/>
      <c r="BX169" s="197"/>
      <c r="BY169" s="230"/>
      <c r="BZ169" s="230"/>
      <c r="CA169" s="230"/>
      <c r="CB169" s="230"/>
      <c r="CC169" s="197"/>
      <c r="CD169" s="230"/>
      <c r="CE169" s="230"/>
      <c r="CF169" s="230"/>
      <c r="CG169" s="230"/>
      <c r="CH169" s="197"/>
      <c r="CI169" s="230">
        <f>CI164/4*AVERAGE(CI168,CI165)</f>
        <v>17.1875</v>
      </c>
      <c r="CJ169" s="230">
        <f>CJ164/4*AVERAGE(CJ168,CJ165)</f>
        <v>41.40625</v>
      </c>
      <c r="CK169" s="230">
        <f>CK164/4*AVERAGE(CK168,CK165)</f>
        <v>48.4375</v>
      </c>
      <c r="CL169" s="230">
        <f>CL164/4*AVERAGE(CL168,CL165)</f>
        <v>48.4375</v>
      </c>
      <c r="CM169" s="197">
        <f>SUM(CI169:CL169)</f>
        <v>155.46875</v>
      </c>
      <c r="CN169" s="230">
        <f>CN164/4*AVERAGE(CN168,CN165)</f>
        <v>48.4375</v>
      </c>
      <c r="CO169" s="230">
        <f>CO164/4*AVERAGE(CO168,CO165)</f>
        <v>48.4375</v>
      </c>
      <c r="CP169" s="230">
        <f>CP164/4*AVERAGE(CP168,CP165)</f>
        <v>48.4375</v>
      </c>
      <c r="CQ169" s="230">
        <f>CQ164/4*AVERAGE(CQ168,CQ165)</f>
        <v>48.4375</v>
      </c>
      <c r="CR169" s="197">
        <f>SUM(CN169:CQ169)</f>
        <v>193.75</v>
      </c>
      <c r="CS169" s="230">
        <f>CS164/4*AVERAGE(CS168,CS165)</f>
        <v>48.4375</v>
      </c>
      <c r="CT169" s="230">
        <f>CT164/4*AVERAGE(CT168,CT165)</f>
        <v>48.4375</v>
      </c>
      <c r="CU169" s="230">
        <f>CU164/4*AVERAGE(CU168,CU165)</f>
        <v>48.4375</v>
      </c>
      <c r="CV169" s="230">
        <f>CV164/4*AVERAGE(CV168,CV165)</f>
        <v>48.4375</v>
      </c>
      <c r="CW169" s="197">
        <f>SUM(CS169:CV169)</f>
        <v>193.75</v>
      </c>
      <c r="CX169" s="230">
        <f>CX164/4*AVERAGE(CX168,CX165)</f>
        <v>48.4375</v>
      </c>
      <c r="CY169" s="230">
        <f>CY164/4*AVERAGE(CY168,CY165)</f>
        <v>48.4375</v>
      </c>
      <c r="CZ169" s="230">
        <f>CZ164/4*AVERAGE(CZ168,CZ165)</f>
        <v>48.4375</v>
      </c>
      <c r="DA169" s="230">
        <f>DA164/4*AVERAGE(DA168,DA165)</f>
        <v>48.4375</v>
      </c>
      <c r="DB169" s="197">
        <f>SUM(CX169:DA169)</f>
        <v>193.75</v>
      </c>
      <c r="DC169" s="5"/>
      <c r="DD169" s="5"/>
      <c r="DE169" s="171"/>
      <c r="DF169" s="171"/>
      <c r="DG169" s="171"/>
      <c r="DH169" s="171"/>
      <c r="DI169" s="171"/>
      <c r="DJ169" s="171"/>
    </row>
    <row r="170" spans="1:114" hidden="1" outlineLevel="1">
      <c r="A170" s="171"/>
      <c r="B170" s="5"/>
      <c r="C170" s="38"/>
      <c r="D170" s="166"/>
      <c r="E170" s="166"/>
      <c r="F170" s="166"/>
      <c r="G170" s="166"/>
      <c r="H170" s="166"/>
      <c r="I170" s="166"/>
      <c r="J170" s="166"/>
      <c r="K170" s="166"/>
      <c r="L170" s="166"/>
      <c r="M170" s="166"/>
      <c r="N170" s="166"/>
      <c r="O170" s="166"/>
      <c r="P170" s="166"/>
      <c r="Q170" s="166"/>
      <c r="R170" s="166"/>
      <c r="S170" s="166"/>
      <c r="T170" s="166"/>
      <c r="U170" s="166"/>
      <c r="V170" s="166"/>
      <c r="W170" s="166"/>
      <c r="X170" s="166"/>
      <c r="Y170" s="166"/>
      <c r="Z170" s="166"/>
      <c r="AA170" s="166"/>
      <c r="AB170" s="166"/>
      <c r="AC170" s="166"/>
      <c r="AD170" s="166"/>
      <c r="AE170" s="166"/>
      <c r="AF170" s="166"/>
      <c r="AG170" s="166"/>
      <c r="AH170" s="166"/>
      <c r="AI170" s="166"/>
      <c r="AJ170" s="166"/>
      <c r="AK170" s="166"/>
      <c r="AL170" s="166"/>
      <c r="AM170" s="166"/>
      <c r="AN170" s="166"/>
      <c r="AO170" s="166"/>
      <c r="AP170" s="166"/>
      <c r="AQ170" s="166"/>
      <c r="AR170" s="166"/>
      <c r="AS170" s="166"/>
      <c r="AT170" s="590"/>
      <c r="AU170" s="590"/>
      <c r="AV170" s="590"/>
      <c r="AW170" s="590"/>
      <c r="AX170" s="590"/>
      <c r="AY170" s="590"/>
      <c r="AZ170" s="590"/>
      <c r="BA170" s="590"/>
      <c r="BB170" s="590"/>
      <c r="BC170" s="590"/>
      <c r="BD170" s="590"/>
      <c r="BE170" s="590"/>
      <c r="BF170" s="590"/>
      <c r="BG170" s="590"/>
      <c r="BH170" s="590"/>
      <c r="BI170" s="590"/>
      <c r="BJ170" s="590"/>
      <c r="BK170" s="590"/>
      <c r="BL170" s="590"/>
      <c r="BM170" s="590"/>
      <c r="BN170" s="590"/>
      <c r="BO170" s="166"/>
      <c r="BP170" s="166"/>
      <c r="BQ170" s="166"/>
      <c r="BR170" s="166"/>
      <c r="BS170" s="166"/>
      <c r="BT170" s="166"/>
      <c r="BU170" s="166"/>
      <c r="BV170" s="166"/>
      <c r="BW170" s="166"/>
      <c r="BX170" s="166"/>
      <c r="BY170" s="166"/>
      <c r="BZ170" s="166"/>
      <c r="CA170" s="166"/>
      <c r="CB170" s="166"/>
      <c r="CC170" s="166"/>
      <c r="CD170" s="166"/>
      <c r="CE170" s="166"/>
      <c r="CF170" s="166"/>
      <c r="CG170" s="166"/>
      <c r="CH170" s="166"/>
      <c r="CI170" s="166"/>
      <c r="CJ170" s="166"/>
      <c r="CK170" s="166"/>
      <c r="CL170" s="166"/>
      <c r="CM170" s="166"/>
      <c r="CN170" s="166"/>
      <c r="CO170" s="166"/>
      <c r="CP170" s="166"/>
      <c r="CQ170" s="166"/>
      <c r="CR170" s="166"/>
      <c r="CS170" s="166"/>
      <c r="CT170" s="166"/>
      <c r="CU170" s="166"/>
      <c r="CV170" s="166"/>
      <c r="CW170" s="166"/>
      <c r="CX170" s="166"/>
      <c r="CY170" s="166"/>
      <c r="CZ170" s="166"/>
      <c r="DA170" s="166"/>
      <c r="DB170" s="166"/>
      <c r="DC170" s="5"/>
      <c r="DD170" s="5"/>
      <c r="DE170" s="171"/>
      <c r="DF170" s="171"/>
      <c r="DG170" s="171"/>
      <c r="DH170" s="171"/>
      <c r="DI170" s="171"/>
      <c r="DJ170" s="171"/>
    </row>
    <row r="171" spans="1:114" s="1163" customFormat="1" hidden="1" outlineLevel="1">
      <c r="A171" s="171"/>
      <c r="B171" s="1164" t="s">
        <v>650</v>
      </c>
      <c r="C171" s="46"/>
      <c r="D171" s="1161"/>
      <c r="E171" s="1161"/>
      <c r="F171" s="1161"/>
      <c r="G171" s="1161"/>
      <c r="H171" s="1161"/>
      <c r="I171" s="1161"/>
      <c r="J171" s="1161"/>
      <c r="K171" s="1161"/>
      <c r="L171" s="1161"/>
      <c r="M171" s="1161"/>
      <c r="N171" s="1161"/>
      <c r="O171" s="1161"/>
      <c r="P171" s="1161"/>
      <c r="Q171" s="1161"/>
      <c r="R171" s="1161"/>
      <c r="S171" s="1161"/>
      <c r="T171" s="1161"/>
      <c r="U171" s="1161"/>
      <c r="V171" s="1161"/>
      <c r="W171" s="1161"/>
      <c r="X171" s="1161"/>
      <c r="Y171" s="1161"/>
      <c r="Z171" s="1161"/>
      <c r="AA171" s="1161"/>
      <c r="AB171" s="1161"/>
      <c r="AC171" s="1161"/>
      <c r="AD171" s="1161"/>
      <c r="AE171" s="1161"/>
      <c r="AF171" s="1161"/>
      <c r="AG171" s="1161"/>
      <c r="AH171" s="1161"/>
      <c r="AI171" s="1161"/>
      <c r="AJ171" s="1161"/>
      <c r="AK171" s="1161"/>
      <c r="AL171" s="1161"/>
      <c r="AM171" s="1161"/>
      <c r="AN171" s="1161"/>
      <c r="AO171" s="1161"/>
      <c r="AP171" s="1161"/>
      <c r="AQ171" s="1161"/>
      <c r="AR171" s="1161"/>
      <c r="AS171" s="1161"/>
      <c r="AT171" s="1161"/>
      <c r="AU171" s="1162"/>
      <c r="AV171" s="1162"/>
      <c r="AW171" s="1162"/>
      <c r="AX171" s="1162"/>
      <c r="AY171" s="1161"/>
      <c r="AZ171" s="1162"/>
      <c r="BA171" s="1162"/>
      <c r="BB171" s="1162"/>
      <c r="BC171" s="1162"/>
      <c r="BD171" s="1161"/>
      <c r="BE171" s="1162"/>
      <c r="BF171" s="1162"/>
      <c r="BG171" s="1162"/>
      <c r="BH171" s="1162"/>
      <c r="BI171" s="1161"/>
      <c r="BJ171" s="1165"/>
      <c r="BK171" s="1165"/>
      <c r="BL171" s="1161"/>
      <c r="BM171" s="1161"/>
      <c r="BN171" s="1161"/>
      <c r="BO171" s="1161"/>
      <c r="BP171" s="1161"/>
      <c r="BQ171" s="1161"/>
      <c r="BR171" s="1161"/>
      <c r="BS171" s="1161"/>
      <c r="BT171" s="1161"/>
      <c r="BU171" s="1161"/>
      <c r="BV171" s="1161"/>
      <c r="BW171" s="1161"/>
      <c r="BX171" s="1161"/>
      <c r="BY171" s="1161"/>
      <c r="BZ171" s="1161"/>
      <c r="CA171" s="1161"/>
      <c r="CB171" s="1161"/>
      <c r="CC171" s="1161"/>
      <c r="CD171" s="1161"/>
      <c r="CE171" s="1161"/>
      <c r="CF171" s="1161"/>
      <c r="CG171" s="1161"/>
      <c r="CH171" s="1161"/>
      <c r="CI171" s="1161"/>
      <c r="CJ171" s="1161">
        <f>CJ161+CJ167</f>
        <v>978.00000000099999</v>
      </c>
      <c r="CK171" s="1161">
        <f>CK161+CK167</f>
        <v>606</v>
      </c>
      <c r="CL171" s="1161">
        <f>CL161+CL167</f>
        <v>604</v>
      </c>
      <c r="CM171" s="1161"/>
      <c r="CN171" s="1161">
        <f ca="1">CN161+CN167</f>
        <v>508.02631845250721</v>
      </c>
      <c r="CO171" s="1161">
        <f t="shared" ref="CO171:CV171" ca="1" si="84">CO161+CO167</f>
        <v>712.28602136398672</v>
      </c>
      <c r="CP171" s="1161">
        <f t="shared" ca="1" si="84"/>
        <v>740.97549917369304</v>
      </c>
      <c r="CQ171" s="1161">
        <f t="shared" ca="1" si="84"/>
        <v>574.67555942532442</v>
      </c>
      <c r="CR171" s="1161"/>
      <c r="CS171" s="1161">
        <f t="shared" ca="1" si="84"/>
        <v>310.88494895668322</v>
      </c>
      <c r="CT171" s="1161">
        <f t="shared" ca="1" si="84"/>
        <v>474.61248303849936</v>
      </c>
      <c r="CU171" s="1161">
        <f t="shared" ca="1" si="84"/>
        <v>500.16083743763681</v>
      </c>
      <c r="CV171" s="1161">
        <f t="shared" ca="1" si="84"/>
        <v>714.23774281568853</v>
      </c>
      <c r="CW171" s="1161"/>
      <c r="CX171" s="1161">
        <f t="shared" ref="CX171:DA171" ca="1" si="85">CX161+CX167</f>
        <v>283.07015564062908</v>
      </c>
      <c r="CY171" s="1161">
        <f t="shared" ca="1" si="85"/>
        <v>336.79526973413715</v>
      </c>
      <c r="CZ171" s="1161">
        <f t="shared" ca="1" si="85"/>
        <v>453.3926388405722</v>
      </c>
      <c r="DA171" s="1161">
        <f t="shared" ca="1" si="85"/>
        <v>255.53769257557099</v>
      </c>
      <c r="DB171" s="1161"/>
      <c r="DC171" s="5"/>
      <c r="DD171" s="5"/>
      <c r="DE171" s="171"/>
      <c r="DF171" s="171"/>
      <c r="DG171" s="171"/>
      <c r="DH171" s="171"/>
      <c r="DI171" s="171"/>
      <c r="DJ171" s="171"/>
    </row>
    <row r="172" spans="1:114" s="1291" customFormat="1" ht="0.95" customHeight="1" collapsed="1">
      <c r="A172" s="736"/>
      <c r="B172" s="1287"/>
      <c r="C172" s="1288"/>
      <c r="D172" s="1287"/>
      <c r="E172" s="1287"/>
      <c r="F172" s="1287"/>
      <c r="G172" s="1287"/>
      <c r="H172" s="1287"/>
      <c r="I172" s="1287"/>
      <c r="J172" s="1287"/>
      <c r="K172" s="1287"/>
      <c r="L172" s="1287"/>
      <c r="M172" s="1287"/>
      <c r="N172" s="1287"/>
      <c r="O172" s="1287"/>
      <c r="P172" s="1287"/>
      <c r="Q172" s="1287"/>
      <c r="R172" s="1287"/>
      <c r="S172" s="1287"/>
      <c r="T172" s="1287"/>
      <c r="U172" s="1287"/>
      <c r="V172" s="1287"/>
      <c r="W172" s="1287"/>
      <c r="X172" s="1287"/>
      <c r="Y172" s="1287"/>
      <c r="Z172" s="1287"/>
      <c r="AA172" s="1287"/>
      <c r="AB172" s="1287"/>
      <c r="AC172" s="1287"/>
      <c r="AD172" s="1287"/>
      <c r="AE172" s="1287"/>
      <c r="AF172" s="1287"/>
      <c r="AG172" s="1287"/>
      <c r="AH172" s="1287"/>
      <c r="AI172" s="1287"/>
      <c r="AJ172" s="1287"/>
      <c r="AK172" s="1287"/>
      <c r="AL172" s="1287"/>
      <c r="AM172" s="1287"/>
      <c r="AN172" s="1287"/>
      <c r="AO172" s="1287"/>
      <c r="AP172" s="1287"/>
      <c r="AQ172" s="1287"/>
      <c r="AR172" s="1287"/>
      <c r="AS172" s="1287"/>
      <c r="AT172" s="1287"/>
      <c r="AU172" s="1289"/>
      <c r="AV172" s="1289"/>
      <c r="AW172" s="1289"/>
      <c r="AX172" s="1289"/>
      <c r="AY172" s="1287"/>
      <c r="AZ172" s="1289"/>
      <c r="BA172" s="1289"/>
      <c r="BB172" s="1289"/>
      <c r="BC172" s="1289"/>
      <c r="BD172" s="1287"/>
      <c r="BE172" s="1289"/>
      <c r="BF172" s="1289"/>
      <c r="BG172" s="1289"/>
      <c r="BH172" s="1289"/>
      <c r="BI172" s="1287"/>
      <c r="BJ172" s="1289"/>
      <c r="BK172" s="1290"/>
      <c r="BL172" s="1287"/>
      <c r="BM172" s="1287"/>
      <c r="BN172" s="1287"/>
      <c r="BO172" s="1287"/>
      <c r="BP172" s="1287"/>
      <c r="BQ172" s="1287"/>
      <c r="BR172" s="1287"/>
      <c r="BS172" s="1287"/>
      <c r="BT172" s="1287"/>
      <c r="BU172" s="1287"/>
      <c r="BV172" s="1287"/>
      <c r="BW172" s="1287"/>
      <c r="BX172" s="1287"/>
      <c r="BY172" s="1287"/>
      <c r="BZ172" s="1287"/>
      <c r="CA172" s="1287"/>
      <c r="CB172" s="1287"/>
      <c r="CC172" s="1287"/>
      <c r="CD172" s="1287"/>
      <c r="CE172" s="1287"/>
      <c r="CF172" s="1287"/>
      <c r="CG172" s="1287"/>
      <c r="CH172" s="1287"/>
      <c r="CI172" s="1287"/>
      <c r="CJ172" s="1287"/>
      <c r="CK172" s="1287"/>
      <c r="CL172" s="1287"/>
      <c r="CM172" s="1287"/>
      <c r="CN172" s="1287"/>
      <c r="CO172" s="1287"/>
      <c r="CP172" s="1287"/>
      <c r="CQ172" s="1287"/>
      <c r="CR172" s="1287"/>
      <c r="CS172" s="1287"/>
      <c r="CT172" s="1287"/>
      <c r="CU172" s="1287"/>
      <c r="CV172" s="1287"/>
      <c r="CW172" s="1287"/>
      <c r="CX172" s="1287"/>
      <c r="CY172" s="1287"/>
      <c r="CZ172" s="1287"/>
      <c r="DA172" s="1287"/>
      <c r="DB172" s="1287"/>
      <c r="DC172" s="1287"/>
      <c r="DD172" s="1287"/>
      <c r="DE172" s="736"/>
      <c r="DF172" s="736"/>
      <c r="DG172" s="736"/>
      <c r="DH172" s="736"/>
      <c r="DI172" s="736"/>
      <c r="DJ172" s="736"/>
    </row>
    <row r="173" spans="1:114" hidden="1" outlineLevel="1">
      <c r="A173" s="171"/>
      <c r="B173" s="696" t="s">
        <v>638</v>
      </c>
      <c r="C173" s="169"/>
      <c r="D173" s="215"/>
      <c r="E173" s="215"/>
      <c r="F173" s="215"/>
      <c r="G173" s="216"/>
      <c r="H173" s="216"/>
      <c r="I173" s="216"/>
      <c r="J173" s="216"/>
      <c r="K173" s="215"/>
      <c r="L173" s="216"/>
      <c r="M173" s="216"/>
      <c r="N173" s="216"/>
      <c r="O173" s="216"/>
      <c r="P173" s="215"/>
      <c r="Q173" s="216"/>
      <c r="R173" s="216"/>
      <c r="S173" s="216"/>
      <c r="T173" s="216"/>
      <c r="U173" s="215"/>
      <c r="V173" s="216"/>
      <c r="W173" s="216"/>
      <c r="X173" s="216"/>
      <c r="Y173" s="216"/>
      <c r="Z173" s="215"/>
      <c r="AA173" s="216"/>
      <c r="AB173" s="216"/>
      <c r="AC173" s="216"/>
      <c r="AD173" s="216"/>
      <c r="AE173" s="215"/>
      <c r="AF173" s="216"/>
      <c r="AG173" s="216"/>
      <c r="AH173" s="216"/>
      <c r="AI173" s="216"/>
      <c r="AJ173" s="215"/>
      <c r="AK173" s="216"/>
      <c r="AL173" s="216"/>
      <c r="AM173" s="216"/>
      <c r="AN173" s="216"/>
      <c r="AO173" s="215"/>
      <c r="AP173" s="216"/>
      <c r="AQ173" s="216"/>
      <c r="AR173" s="216"/>
      <c r="AS173" s="216"/>
      <c r="AT173" s="215"/>
      <c r="AU173" s="216"/>
      <c r="AV173" s="216"/>
      <c r="AW173" s="216"/>
      <c r="AX173" s="216"/>
      <c r="AY173" s="215"/>
      <c r="AZ173" s="216"/>
      <c r="BA173" s="216"/>
      <c r="BB173" s="216"/>
      <c r="BC173" s="216"/>
      <c r="BD173" s="215"/>
      <c r="BE173" s="216"/>
      <c r="BF173" s="216"/>
      <c r="BG173" s="216"/>
      <c r="BH173" s="217"/>
      <c r="BI173" s="218"/>
      <c r="BJ173" s="217"/>
      <c r="BK173" s="217"/>
      <c r="BL173" s="217"/>
      <c r="BM173" s="217"/>
      <c r="BN173" s="218"/>
      <c r="BO173" s="216"/>
      <c r="BP173" s="216"/>
      <c r="BQ173" s="216"/>
      <c r="BR173" s="216"/>
      <c r="BS173" s="215"/>
      <c r="BT173" s="216"/>
      <c r="BU173" s="216"/>
      <c r="BV173" s="216"/>
      <c r="BW173" s="216"/>
      <c r="BX173" s="215"/>
      <c r="BY173" s="216"/>
      <c r="BZ173" s="216"/>
      <c r="CA173" s="216"/>
      <c r="CB173" s="216"/>
      <c r="CC173" s="215"/>
      <c r="CD173" s="216"/>
      <c r="CE173" s="216"/>
      <c r="CF173" s="216"/>
      <c r="CG173" s="216"/>
      <c r="CH173" s="215"/>
      <c r="CI173" s="216"/>
      <c r="CJ173" s="216"/>
      <c r="CK173" s="216"/>
      <c r="CL173" s="216"/>
      <c r="CM173" s="215"/>
      <c r="CN173" s="216"/>
      <c r="CO173" s="216"/>
      <c r="CP173" s="216"/>
      <c r="CQ173" s="216"/>
      <c r="CR173" s="215"/>
      <c r="CS173" s="216"/>
      <c r="CT173" s="216"/>
      <c r="CU173" s="216"/>
      <c r="CV173" s="216"/>
      <c r="CW173" s="215"/>
      <c r="CX173" s="216"/>
      <c r="CY173" s="216"/>
      <c r="CZ173" s="216"/>
      <c r="DA173" s="216"/>
      <c r="DB173" s="215"/>
      <c r="DC173" s="5"/>
      <c r="DD173" s="5"/>
      <c r="DE173" s="171"/>
      <c r="DF173" s="171"/>
      <c r="DG173" s="171"/>
      <c r="DH173" s="171"/>
      <c r="DI173" s="171"/>
      <c r="DJ173" s="171"/>
    </row>
    <row r="174" spans="1:114" hidden="1" outlineLevel="1">
      <c r="A174" s="171"/>
      <c r="B174" s="697" t="s">
        <v>517</v>
      </c>
      <c r="C174" s="38"/>
      <c r="D174" s="201"/>
      <c r="E174" s="201"/>
      <c r="F174" s="201"/>
      <c r="G174" s="166"/>
      <c r="H174" s="166"/>
      <c r="I174" s="166"/>
      <c r="J174" s="166"/>
      <c r="K174" s="201"/>
      <c r="L174" s="166"/>
      <c r="M174" s="166"/>
      <c r="N174" s="166"/>
      <c r="O174" s="166"/>
      <c r="P174" s="201"/>
      <c r="Q174" s="166"/>
      <c r="R174" s="166"/>
      <c r="S174" s="166"/>
      <c r="T174" s="166"/>
      <c r="U174" s="201"/>
      <c r="V174" s="166"/>
      <c r="W174" s="166"/>
      <c r="X174" s="166"/>
      <c r="Y174" s="166"/>
      <c r="Z174" s="201"/>
      <c r="AA174" s="166"/>
      <c r="AB174" s="166"/>
      <c r="AC174" s="166"/>
      <c r="AD174" s="166"/>
      <c r="AE174" s="201"/>
      <c r="AF174" s="166"/>
      <c r="AG174" s="166"/>
      <c r="AH174" s="166"/>
      <c r="AI174" s="166"/>
      <c r="AJ174" s="201"/>
      <c r="AK174" s="166"/>
      <c r="AL174" s="166"/>
      <c r="AM174" s="166"/>
      <c r="AN174" s="166"/>
      <c r="AO174" s="201"/>
      <c r="AP174" s="166"/>
      <c r="AQ174" s="166"/>
      <c r="AR174" s="166"/>
      <c r="AS174" s="166"/>
      <c r="AT174" s="201"/>
      <c r="AU174" s="202"/>
      <c r="AV174" s="202"/>
      <c r="AW174" s="202"/>
      <c r="AX174" s="202"/>
      <c r="AY174" s="201"/>
      <c r="AZ174" s="202"/>
      <c r="BA174" s="202"/>
      <c r="BB174" s="202"/>
      <c r="BC174" s="202"/>
      <c r="BD174" s="201"/>
      <c r="BE174" s="231"/>
      <c r="BF174" s="231"/>
      <c r="BG174" s="231"/>
      <c r="BH174" s="231"/>
      <c r="BI174" s="270"/>
      <c r="BJ174" s="231"/>
      <c r="BK174" s="231"/>
      <c r="BL174" s="231"/>
      <c r="BM174" s="220"/>
      <c r="BN174" s="107"/>
      <c r="BO174" s="220"/>
      <c r="BP174" s="220"/>
      <c r="BQ174" s="220"/>
      <c r="BR174" s="220"/>
      <c r="BS174" s="107"/>
      <c r="BT174" s="220"/>
      <c r="BU174" s="220"/>
      <c r="BV174" s="220"/>
      <c r="BW174" s="220"/>
      <c r="BX174" s="107"/>
      <c r="BY174" s="220"/>
      <c r="BZ174" s="220"/>
      <c r="CA174" s="220"/>
      <c r="CB174" s="220"/>
      <c r="CC174" s="107"/>
      <c r="CD174" s="220"/>
      <c r="CE174" s="220"/>
      <c r="CF174" s="220"/>
      <c r="CG174" s="220"/>
      <c r="CH174" s="107"/>
      <c r="CI174" s="220"/>
      <c r="CJ174" s="707">
        <v>6.25E-2</v>
      </c>
      <c r="CK174" s="220">
        <f>CJ174</f>
        <v>6.25E-2</v>
      </c>
      <c r="CL174" s="220">
        <f>CK174</f>
        <v>6.25E-2</v>
      </c>
      <c r="CM174" s="107"/>
      <c r="CN174" s="220">
        <f>CL174</f>
        <v>6.25E-2</v>
      </c>
      <c r="CO174" s="220">
        <f>CN174</f>
        <v>6.25E-2</v>
      </c>
      <c r="CP174" s="220">
        <f>CO174</f>
        <v>6.25E-2</v>
      </c>
      <c r="CQ174" s="220">
        <f>CP174</f>
        <v>6.25E-2</v>
      </c>
      <c r="CR174" s="107"/>
      <c r="CS174" s="220">
        <f>CQ174</f>
        <v>6.25E-2</v>
      </c>
      <c r="CT174" s="220">
        <f>CS174</f>
        <v>6.25E-2</v>
      </c>
      <c r="CU174" s="220">
        <f>CT174</f>
        <v>6.25E-2</v>
      </c>
      <c r="CV174" s="220">
        <f>CU174</f>
        <v>6.25E-2</v>
      </c>
      <c r="CW174" s="107"/>
      <c r="CX174" s="220">
        <f>CV174</f>
        <v>6.25E-2</v>
      </c>
      <c r="CY174" s="220">
        <f>CX174</f>
        <v>6.25E-2</v>
      </c>
      <c r="CZ174" s="220">
        <f>CY174</f>
        <v>6.25E-2</v>
      </c>
      <c r="DA174" s="220">
        <f>CZ174</f>
        <v>6.25E-2</v>
      </c>
      <c r="DB174" s="107"/>
      <c r="DC174" s="5"/>
      <c r="DD174" s="5"/>
      <c r="DE174" s="171"/>
      <c r="DF174" s="171"/>
      <c r="DG174" s="171"/>
      <c r="DH174" s="171"/>
      <c r="DI174" s="171"/>
      <c r="DJ174" s="171"/>
    </row>
    <row r="175" spans="1:114" hidden="1" outlineLevel="1">
      <c r="A175" s="171"/>
      <c r="B175" s="693" t="s">
        <v>518</v>
      </c>
      <c r="C175" s="38"/>
      <c r="D175" s="201"/>
      <c r="E175" s="201"/>
      <c r="F175" s="201"/>
      <c r="G175" s="166"/>
      <c r="H175" s="166"/>
      <c r="I175" s="166"/>
      <c r="J175" s="166"/>
      <c r="K175" s="201"/>
      <c r="L175" s="166"/>
      <c r="M175" s="166"/>
      <c r="N175" s="166"/>
      <c r="O175" s="166"/>
      <c r="P175" s="201"/>
      <c r="Q175" s="166"/>
      <c r="R175" s="166"/>
      <c r="S175" s="166"/>
      <c r="T175" s="166"/>
      <c r="U175" s="201"/>
      <c r="V175" s="166"/>
      <c r="W175" s="166"/>
      <c r="X175" s="166"/>
      <c r="Y175" s="166"/>
      <c r="Z175" s="201"/>
      <c r="AA175" s="166"/>
      <c r="AB175" s="166"/>
      <c r="AC175" s="166"/>
      <c r="AD175" s="166"/>
      <c r="AE175" s="201"/>
      <c r="AF175" s="166"/>
      <c r="AG175" s="166"/>
      <c r="AH175" s="166"/>
      <c r="AI175" s="166"/>
      <c r="AJ175" s="201"/>
      <c r="AK175" s="166"/>
      <c r="AL175" s="166"/>
      <c r="AM175" s="166"/>
      <c r="AN175" s="166"/>
      <c r="AO175" s="201"/>
      <c r="AP175" s="166"/>
      <c r="AQ175" s="166"/>
      <c r="AR175" s="166"/>
      <c r="AS175" s="166"/>
      <c r="AT175" s="221"/>
      <c r="AU175" s="193"/>
      <c r="AV175" s="193"/>
      <c r="AW175" s="193"/>
      <c r="AX175" s="193"/>
      <c r="AY175" s="194"/>
      <c r="AZ175" s="193"/>
      <c r="BA175" s="193"/>
      <c r="BB175" s="193"/>
      <c r="BC175" s="193"/>
      <c r="BD175" s="194"/>
      <c r="BE175" s="193"/>
      <c r="BF175" s="193"/>
      <c r="BG175" s="193"/>
      <c r="BH175" s="193"/>
      <c r="BI175" s="194"/>
      <c r="BJ175" s="193"/>
      <c r="BK175" s="193"/>
      <c r="BL175" s="193"/>
      <c r="BM175" s="193"/>
      <c r="BN175" s="194"/>
      <c r="BO175" s="193"/>
      <c r="BP175" s="193"/>
      <c r="BQ175" s="193"/>
      <c r="BR175" s="193"/>
      <c r="BS175" s="194"/>
      <c r="BT175" s="193"/>
      <c r="BU175" s="193"/>
      <c r="BV175" s="193"/>
      <c r="BW175" s="193"/>
      <c r="BX175" s="194"/>
      <c r="BY175" s="193"/>
      <c r="BZ175" s="193"/>
      <c r="CA175" s="193"/>
      <c r="CB175" s="193"/>
      <c r="CC175" s="194"/>
      <c r="CD175" s="193"/>
      <c r="CE175" s="193"/>
      <c r="CF175" s="193"/>
      <c r="CG175" s="193"/>
      <c r="CH175" s="194"/>
      <c r="CI175" s="193"/>
      <c r="CJ175" s="193">
        <f>CI178</f>
        <v>0</v>
      </c>
      <c r="CK175" s="193">
        <f>CJ178</f>
        <v>0</v>
      </c>
      <c r="CL175" s="193">
        <f>CK178</f>
        <v>0</v>
      </c>
      <c r="CM175" s="194">
        <f>CH178</f>
        <v>0</v>
      </c>
      <c r="CN175" s="193">
        <f>CM178</f>
        <v>0</v>
      </c>
      <c r="CO175" s="193">
        <f>CN178</f>
        <v>0</v>
      </c>
      <c r="CP175" s="193">
        <f>CO178</f>
        <v>0</v>
      </c>
      <c r="CQ175" s="193">
        <f>CP178</f>
        <v>0</v>
      </c>
      <c r="CR175" s="194">
        <f>CM178</f>
        <v>0</v>
      </c>
      <c r="CS175" s="193">
        <f>CR178</f>
        <v>0</v>
      </c>
      <c r="CT175" s="193">
        <f>CS178</f>
        <v>0</v>
      </c>
      <c r="CU175" s="193">
        <f>CT178</f>
        <v>0</v>
      </c>
      <c r="CV175" s="193">
        <f>CU178</f>
        <v>0</v>
      </c>
      <c r="CW175" s="194">
        <f>CR178</f>
        <v>0</v>
      </c>
      <c r="CX175" s="193">
        <f>CW178</f>
        <v>0</v>
      </c>
      <c r="CY175" s="193">
        <f>CX178</f>
        <v>0</v>
      </c>
      <c r="CZ175" s="193">
        <f>CY178</f>
        <v>0</v>
      </c>
      <c r="DA175" s="193">
        <f>CZ178</f>
        <v>0</v>
      </c>
      <c r="DB175" s="194">
        <f>CW178</f>
        <v>0</v>
      </c>
      <c r="DC175" s="5"/>
      <c r="DD175" s="5"/>
      <c r="DE175" s="171"/>
      <c r="DF175" s="171"/>
      <c r="DG175" s="171"/>
      <c r="DH175" s="171"/>
      <c r="DI175" s="171"/>
      <c r="DJ175" s="171"/>
    </row>
    <row r="176" spans="1:114" hidden="1" outlineLevel="1">
      <c r="A176" s="171"/>
      <c r="B176" s="693" t="s">
        <v>654</v>
      </c>
      <c r="C176" s="38"/>
      <c r="D176" s="201"/>
      <c r="E176" s="201"/>
      <c r="F176" s="201"/>
      <c r="G176" s="166"/>
      <c r="H176" s="166"/>
      <c r="I176" s="166"/>
      <c r="J176" s="166"/>
      <c r="K176" s="201"/>
      <c r="L176" s="166"/>
      <c r="M176" s="166"/>
      <c r="N176" s="166"/>
      <c r="O176" s="166"/>
      <c r="P176" s="201"/>
      <c r="Q176" s="166"/>
      <c r="R176" s="166"/>
      <c r="S176" s="166"/>
      <c r="T176" s="166"/>
      <c r="U176" s="201"/>
      <c r="V176" s="166"/>
      <c r="W176" s="166"/>
      <c r="X176" s="166"/>
      <c r="Y176" s="166"/>
      <c r="Z176" s="201"/>
      <c r="AA176" s="166"/>
      <c r="AB176" s="166"/>
      <c r="AC176" s="166"/>
      <c r="AD176" s="166"/>
      <c r="AE176" s="201"/>
      <c r="AF176" s="166"/>
      <c r="AG176" s="166"/>
      <c r="AH176" s="166"/>
      <c r="AI176" s="166"/>
      <c r="AJ176" s="201"/>
      <c r="AK176" s="166"/>
      <c r="AL176" s="166"/>
      <c r="AM176" s="166"/>
      <c r="AN176" s="166"/>
      <c r="AO176" s="201"/>
      <c r="AP176" s="166"/>
      <c r="AQ176" s="166"/>
      <c r="AR176" s="166"/>
      <c r="AS176" s="166"/>
      <c r="AT176" s="221"/>
      <c r="AU176" s="193"/>
      <c r="AV176" s="193"/>
      <c r="AW176" s="193"/>
      <c r="AX176" s="193"/>
      <c r="AY176" s="194"/>
      <c r="AZ176" s="193"/>
      <c r="BA176" s="193"/>
      <c r="BB176" s="193"/>
      <c r="BC176" s="193"/>
      <c r="BD176" s="194"/>
      <c r="BE176" s="193"/>
      <c r="BF176" s="193"/>
      <c r="BG176" s="193"/>
      <c r="BH176" s="193"/>
      <c r="BI176" s="194"/>
      <c r="BJ176" s="193"/>
      <c r="BK176" s="193"/>
      <c r="BL176" s="193"/>
      <c r="BM176" s="193"/>
      <c r="BN176" s="194"/>
      <c r="BO176" s="193"/>
      <c r="BP176" s="193"/>
      <c r="BQ176" s="193"/>
      <c r="BR176" s="193"/>
      <c r="BS176" s="194"/>
      <c r="BT176" s="193"/>
      <c r="BU176" s="193"/>
      <c r="BV176" s="193"/>
      <c r="BW176" s="193"/>
      <c r="BX176" s="194"/>
      <c r="BY176" s="193"/>
      <c r="BZ176" s="193"/>
      <c r="CA176" s="193"/>
      <c r="CB176" s="193"/>
      <c r="CC176" s="194"/>
      <c r="CD176" s="193"/>
      <c r="CE176" s="193"/>
      <c r="CF176" s="193"/>
      <c r="CG176" s="193"/>
      <c r="CH176" s="194"/>
      <c r="CI176" s="193"/>
      <c r="CJ176" s="583"/>
      <c r="CK176" s="193">
        <v>0</v>
      </c>
      <c r="CL176" s="842">
        <v>0</v>
      </c>
      <c r="CM176" s="194">
        <f>SUM(CI176:CL176)</f>
        <v>0</v>
      </c>
      <c r="CN176" s="1181">
        <v>0</v>
      </c>
      <c r="CO176" s="193">
        <v>0</v>
      </c>
      <c r="CP176" s="193">
        <v>0</v>
      </c>
      <c r="CQ176" s="842">
        <v>0</v>
      </c>
      <c r="CR176" s="194">
        <f>SUM(CN176:CQ176)</f>
        <v>0</v>
      </c>
      <c r="CS176" s="1181">
        <v>0</v>
      </c>
      <c r="CT176" s="193">
        <v>0</v>
      </c>
      <c r="CU176" s="193">
        <v>0</v>
      </c>
      <c r="CV176" s="842">
        <v>0</v>
      </c>
      <c r="CW176" s="194">
        <f>SUM(CS176:CV176)</f>
        <v>0</v>
      </c>
      <c r="CX176" s="1181">
        <v>0</v>
      </c>
      <c r="CY176" s="193">
        <v>0</v>
      </c>
      <c r="CZ176" s="193">
        <v>0</v>
      </c>
      <c r="DA176" s="842">
        <v>0</v>
      </c>
      <c r="DB176" s="194">
        <f>SUM(CX176:DA176)</f>
        <v>0</v>
      </c>
      <c r="DC176" s="5"/>
      <c r="DD176" s="5"/>
      <c r="DE176" s="171"/>
      <c r="DF176" s="171"/>
      <c r="DG176" s="171"/>
      <c r="DH176" s="171"/>
      <c r="DI176" s="171"/>
      <c r="DJ176" s="171"/>
    </row>
    <row r="177" spans="1:114" hidden="1" outlineLevel="1">
      <c r="A177" s="171"/>
      <c r="B177" s="691" t="s">
        <v>653</v>
      </c>
      <c r="C177" s="33"/>
      <c r="D177" s="206"/>
      <c r="E177" s="206"/>
      <c r="F177" s="206"/>
      <c r="G177" s="214"/>
      <c r="H177" s="214"/>
      <c r="I177" s="214"/>
      <c r="J177" s="214"/>
      <c r="K177" s="206"/>
      <c r="L177" s="214"/>
      <c r="M177" s="214"/>
      <c r="N177" s="214"/>
      <c r="O177" s="214"/>
      <c r="P177" s="206"/>
      <c r="Q177" s="214"/>
      <c r="R177" s="214"/>
      <c r="S177" s="214"/>
      <c r="T177" s="214"/>
      <c r="U177" s="206"/>
      <c r="V177" s="214"/>
      <c r="W177" s="214"/>
      <c r="X177" s="214"/>
      <c r="Y177" s="214"/>
      <c r="Z177" s="206"/>
      <c r="AA177" s="214"/>
      <c r="AB177" s="214"/>
      <c r="AC177" s="214"/>
      <c r="AD177" s="214"/>
      <c r="AE177" s="206"/>
      <c r="AF177" s="214"/>
      <c r="AG177" s="214"/>
      <c r="AH177" s="214"/>
      <c r="AI177" s="214"/>
      <c r="AJ177" s="206"/>
      <c r="AK177" s="214"/>
      <c r="AL177" s="214"/>
      <c r="AM177" s="214"/>
      <c r="AN177" s="214"/>
      <c r="AO177" s="206"/>
      <c r="AP177" s="214"/>
      <c r="AQ177" s="214"/>
      <c r="AR177" s="214"/>
      <c r="AS177" s="214"/>
      <c r="AT177" s="225"/>
      <c r="AU177" s="196"/>
      <c r="AV177" s="196"/>
      <c r="AW177" s="196"/>
      <c r="AX177" s="196"/>
      <c r="AY177" s="197"/>
      <c r="AZ177" s="196"/>
      <c r="BA177" s="196"/>
      <c r="BB177" s="196"/>
      <c r="BC177" s="196"/>
      <c r="BD177" s="197"/>
      <c r="BE177" s="196"/>
      <c r="BF177" s="196"/>
      <c r="BG177" s="196"/>
      <c r="BH177" s="196"/>
      <c r="BI177" s="197"/>
      <c r="BJ177" s="196"/>
      <c r="BK177" s="196"/>
      <c r="BL177" s="196"/>
      <c r="BM177" s="196"/>
      <c r="BN177" s="197"/>
      <c r="BO177" s="196"/>
      <c r="BP177" s="196"/>
      <c r="BQ177" s="196"/>
      <c r="BR177" s="196"/>
      <c r="BS177" s="197"/>
      <c r="BT177" s="196"/>
      <c r="BU177" s="196"/>
      <c r="BV177" s="196"/>
      <c r="BW177" s="196"/>
      <c r="BX177" s="197"/>
      <c r="BY177" s="196"/>
      <c r="BZ177" s="196"/>
      <c r="CA177" s="196"/>
      <c r="CB177" s="196"/>
      <c r="CC177" s="197"/>
      <c r="CD177" s="196"/>
      <c r="CE177" s="196"/>
      <c r="CF177" s="196"/>
      <c r="CG177" s="196"/>
      <c r="CH177" s="197"/>
      <c r="CI177" s="196"/>
      <c r="CJ177" s="706">
        <v>0</v>
      </c>
      <c r="CK177" s="196">
        <v>0</v>
      </c>
      <c r="CL177" s="196"/>
      <c r="CM177" s="197">
        <f>SUM(CI177:CL177)</f>
        <v>0</v>
      </c>
      <c r="CN177" s="196">
        <v>0</v>
      </c>
      <c r="CO177" s="196">
        <v>0</v>
      </c>
      <c r="CP177" s="196">
        <v>0</v>
      </c>
      <c r="CQ177" s="196">
        <v>0</v>
      </c>
      <c r="CR177" s="197">
        <f>SUM(CN177:CQ177)</f>
        <v>0</v>
      </c>
      <c r="CS177" s="196">
        <v>0</v>
      </c>
      <c r="CT177" s="196">
        <v>0</v>
      </c>
      <c r="CU177" s="196">
        <v>0</v>
      </c>
      <c r="CV177" s="196">
        <v>0</v>
      </c>
      <c r="CW177" s="197">
        <f>SUM(CS177:CV177)</f>
        <v>0</v>
      </c>
      <c r="CX177" s="196">
        <v>0</v>
      </c>
      <c r="CY177" s="196">
        <v>0</v>
      </c>
      <c r="CZ177" s="196">
        <v>0</v>
      </c>
      <c r="DA177" s="196">
        <v>0</v>
      </c>
      <c r="DB177" s="197">
        <f>SUM(CX177:DA177)</f>
        <v>0</v>
      </c>
      <c r="DC177" s="5"/>
      <c r="DD177" s="5"/>
      <c r="DE177" s="171"/>
      <c r="DF177" s="171"/>
      <c r="DG177" s="171"/>
      <c r="DH177" s="171"/>
      <c r="DI177" s="171"/>
      <c r="DJ177" s="171"/>
    </row>
    <row r="178" spans="1:114" hidden="1" outlineLevel="1">
      <c r="A178" s="171"/>
      <c r="B178" s="698" t="s">
        <v>519</v>
      </c>
      <c r="C178" s="48"/>
      <c r="D178" s="204"/>
      <c r="E178" s="204"/>
      <c r="F178" s="204"/>
      <c r="G178" s="407"/>
      <c r="H178" s="407"/>
      <c r="I178" s="407"/>
      <c r="J178" s="407"/>
      <c r="K178" s="204"/>
      <c r="L178" s="407"/>
      <c r="M178" s="407"/>
      <c r="N178" s="407"/>
      <c r="O178" s="407"/>
      <c r="P178" s="204"/>
      <c r="Q178" s="407"/>
      <c r="R178" s="407"/>
      <c r="S178" s="407"/>
      <c r="T178" s="407"/>
      <c r="U178" s="204"/>
      <c r="V178" s="407"/>
      <c r="W178" s="407"/>
      <c r="X178" s="407"/>
      <c r="Y178" s="407"/>
      <c r="Z178" s="204"/>
      <c r="AA178" s="407"/>
      <c r="AB178" s="407"/>
      <c r="AC178" s="407"/>
      <c r="AD178" s="407"/>
      <c r="AE178" s="204"/>
      <c r="AF178" s="407"/>
      <c r="AG178" s="407"/>
      <c r="AH178" s="407"/>
      <c r="AI178" s="407"/>
      <c r="AJ178" s="204"/>
      <c r="AK178" s="407"/>
      <c r="AL178" s="407"/>
      <c r="AM178" s="407"/>
      <c r="AN178" s="407"/>
      <c r="AO178" s="204"/>
      <c r="AP178" s="407"/>
      <c r="AQ178" s="407"/>
      <c r="AR178" s="407"/>
      <c r="AS178" s="407"/>
      <c r="AT178" s="227"/>
      <c r="AU178" s="193"/>
      <c r="AV178" s="193"/>
      <c r="AW178" s="229"/>
      <c r="AX178" s="229"/>
      <c r="AY178" s="194"/>
      <c r="AZ178" s="193"/>
      <c r="BA178" s="193"/>
      <c r="BB178" s="229"/>
      <c r="BC178" s="229"/>
      <c r="BD178" s="194"/>
      <c r="BE178" s="193"/>
      <c r="BF178" s="193"/>
      <c r="BG178" s="229"/>
      <c r="BH178" s="233"/>
      <c r="BI178" s="272"/>
      <c r="BJ178" s="198"/>
      <c r="BK178" s="198"/>
      <c r="BL178" s="198"/>
      <c r="BM178" s="233"/>
      <c r="BN178" s="199"/>
      <c r="BO178" s="233"/>
      <c r="BP178" s="233"/>
      <c r="BQ178" s="551"/>
      <c r="BR178" s="551"/>
      <c r="BS178" s="199"/>
      <c r="BT178" s="551"/>
      <c r="BU178" s="551"/>
      <c r="BV178" s="582"/>
      <c r="BW178" s="551"/>
      <c r="BX178" s="199"/>
      <c r="BY178" s="551"/>
      <c r="BZ178" s="582"/>
      <c r="CA178" s="582"/>
      <c r="CB178" s="582"/>
      <c r="CC178" s="199"/>
      <c r="CD178" s="582"/>
      <c r="CE178" s="582"/>
      <c r="CF178" s="229"/>
      <c r="CG178" s="582"/>
      <c r="CH178" s="199"/>
      <c r="CI178" s="582"/>
      <c r="CJ178" s="193">
        <f>SUM(CJ175:CJ177)</f>
        <v>0</v>
      </c>
      <c r="CK178" s="193">
        <f>SUM(CK175:CK177)</f>
        <v>0</v>
      </c>
      <c r="CL178" s="193">
        <f>SUM(CL175:CL177)</f>
        <v>0</v>
      </c>
      <c r="CM178" s="194">
        <f>CL178</f>
        <v>0</v>
      </c>
      <c r="CN178" s="193">
        <f>SUM(CN175:CN177)</f>
        <v>0</v>
      </c>
      <c r="CO178" s="193">
        <f>SUM(CO175:CO177)</f>
        <v>0</v>
      </c>
      <c r="CP178" s="193">
        <f>SUM(CP175:CP177)</f>
        <v>0</v>
      </c>
      <c r="CQ178" s="193">
        <f>SUM(CQ175:CQ177)</f>
        <v>0</v>
      </c>
      <c r="CR178" s="194">
        <f>CQ178</f>
        <v>0</v>
      </c>
      <c r="CS178" s="193">
        <f>SUM(CS175:CS177)</f>
        <v>0</v>
      </c>
      <c r="CT178" s="193">
        <f>SUM(CT175:CT177)</f>
        <v>0</v>
      </c>
      <c r="CU178" s="193">
        <f>SUM(CU175:CU177)</f>
        <v>0</v>
      </c>
      <c r="CV178" s="193">
        <f>SUM(CV175:CV177)</f>
        <v>0</v>
      </c>
      <c r="CW178" s="194">
        <f>CV178</f>
        <v>0</v>
      </c>
      <c r="CX178" s="193">
        <f>SUM(CX175:CX177)</f>
        <v>0</v>
      </c>
      <c r="CY178" s="193">
        <f>SUM(CY175:CY177)</f>
        <v>0</v>
      </c>
      <c r="CZ178" s="193">
        <f>SUM(CZ175:CZ177)</f>
        <v>0</v>
      </c>
      <c r="DA178" s="193">
        <f>SUM(DA175:DA177)</f>
        <v>0</v>
      </c>
      <c r="DB178" s="194">
        <f>DA178</f>
        <v>0</v>
      </c>
      <c r="DC178" s="5"/>
      <c r="DD178" s="5"/>
      <c r="DE178" s="171"/>
      <c r="DF178" s="171"/>
      <c r="DG178" s="171"/>
      <c r="DH178" s="171"/>
      <c r="DI178" s="171"/>
      <c r="DJ178" s="171"/>
    </row>
    <row r="179" spans="1:114" hidden="1" outlineLevel="1">
      <c r="A179" s="171"/>
      <c r="B179" s="691" t="s">
        <v>520</v>
      </c>
      <c r="C179" s="33"/>
      <c r="D179" s="206"/>
      <c r="E179" s="206"/>
      <c r="F179" s="206"/>
      <c r="G179" s="214"/>
      <c r="H179" s="214"/>
      <c r="I179" s="214"/>
      <c r="J179" s="214"/>
      <c r="K179" s="206"/>
      <c r="L179" s="214"/>
      <c r="M179" s="214"/>
      <c r="N179" s="214"/>
      <c r="O179" s="214"/>
      <c r="P179" s="206"/>
      <c r="Q179" s="214"/>
      <c r="R179" s="214"/>
      <c r="S179" s="214"/>
      <c r="T179" s="214"/>
      <c r="U179" s="206"/>
      <c r="V179" s="214"/>
      <c r="W179" s="214"/>
      <c r="X179" s="214"/>
      <c r="Y179" s="214"/>
      <c r="Z179" s="206"/>
      <c r="AA179" s="214"/>
      <c r="AB179" s="214"/>
      <c r="AC179" s="214"/>
      <c r="AD179" s="214"/>
      <c r="AE179" s="206"/>
      <c r="AF179" s="214"/>
      <c r="AG179" s="214"/>
      <c r="AH179" s="214"/>
      <c r="AI179" s="214"/>
      <c r="AJ179" s="206"/>
      <c r="AK179" s="214"/>
      <c r="AL179" s="214"/>
      <c r="AM179" s="214"/>
      <c r="AN179" s="214"/>
      <c r="AO179" s="206"/>
      <c r="AP179" s="214"/>
      <c r="AQ179" s="214"/>
      <c r="AR179" s="214"/>
      <c r="AS179" s="214"/>
      <c r="AT179" s="225"/>
      <c r="AU179" s="230"/>
      <c r="AV179" s="230"/>
      <c r="AW179" s="230"/>
      <c r="AX179" s="230"/>
      <c r="AY179" s="197"/>
      <c r="AZ179" s="230"/>
      <c r="BA179" s="230"/>
      <c r="BB179" s="230"/>
      <c r="BC179" s="230"/>
      <c r="BD179" s="197"/>
      <c r="BE179" s="230"/>
      <c r="BF179" s="230"/>
      <c r="BG179" s="230"/>
      <c r="BH179" s="230"/>
      <c r="BI179" s="197"/>
      <c r="BJ179" s="230"/>
      <c r="BK179" s="230"/>
      <c r="BL179" s="230"/>
      <c r="BM179" s="230"/>
      <c r="BN179" s="197"/>
      <c r="BO179" s="230"/>
      <c r="BP179" s="230"/>
      <c r="BQ179" s="230"/>
      <c r="BR179" s="230"/>
      <c r="BS179" s="197"/>
      <c r="BT179" s="230"/>
      <c r="BU179" s="230"/>
      <c r="BV179" s="230"/>
      <c r="BW179" s="230"/>
      <c r="BX179" s="197"/>
      <c r="BY179" s="230"/>
      <c r="BZ179" s="230"/>
      <c r="CA179" s="230"/>
      <c r="CB179" s="230"/>
      <c r="CC179" s="197"/>
      <c r="CD179" s="230"/>
      <c r="CE179" s="230"/>
      <c r="CF179" s="230"/>
      <c r="CG179" s="230"/>
      <c r="CH179" s="197"/>
      <c r="CI179" s="230"/>
      <c r="CJ179" s="230">
        <f>CJ174/4*AVERAGE(CJ178,CJ175)</f>
        <v>0</v>
      </c>
      <c r="CK179" s="230">
        <f>CK174/4*AVERAGE(CK178,CK175)</f>
        <v>0</v>
      </c>
      <c r="CL179" s="230">
        <f>CL174/4*AVERAGE(CL178,CL175)</f>
        <v>0</v>
      </c>
      <c r="CM179" s="197">
        <f>SUM(CI179:CL179)</f>
        <v>0</v>
      </c>
      <c r="CN179" s="230">
        <f>CN174/4*AVERAGE(CN178,CN175)</f>
        <v>0</v>
      </c>
      <c r="CO179" s="230">
        <f>CO174/4*AVERAGE(CO178,CO175)</f>
        <v>0</v>
      </c>
      <c r="CP179" s="230">
        <f>CP174/4*AVERAGE(CP178,CP175)</f>
        <v>0</v>
      </c>
      <c r="CQ179" s="230">
        <f>CQ174/4*AVERAGE(CQ178,CQ175)</f>
        <v>0</v>
      </c>
      <c r="CR179" s="197">
        <f>SUM(CN179:CQ179)</f>
        <v>0</v>
      </c>
      <c r="CS179" s="230">
        <f>CS174/4*AVERAGE(CS178,CS175)</f>
        <v>0</v>
      </c>
      <c r="CT179" s="230">
        <f>CT174/4*AVERAGE(CT178,CT175)</f>
        <v>0</v>
      </c>
      <c r="CU179" s="230">
        <f>CU174/4*AVERAGE(CU178,CU175)</f>
        <v>0</v>
      </c>
      <c r="CV179" s="230">
        <f>CV174/4*AVERAGE(CV178,CV175)</f>
        <v>0</v>
      </c>
      <c r="CW179" s="197">
        <f>SUM(CS179:CV179)</f>
        <v>0</v>
      </c>
      <c r="CX179" s="230">
        <f>CX174/4*AVERAGE(CX178,CX175)</f>
        <v>0</v>
      </c>
      <c r="CY179" s="230">
        <f>CY174/4*AVERAGE(CY178,CY175)</f>
        <v>0</v>
      </c>
      <c r="CZ179" s="230">
        <f>CZ174/4*AVERAGE(CZ178,CZ175)</f>
        <v>0</v>
      </c>
      <c r="DA179" s="230">
        <f>DA174/4*AVERAGE(DA178,DA175)</f>
        <v>0</v>
      </c>
      <c r="DB179" s="197">
        <f>SUM(CX179:DA179)</f>
        <v>0</v>
      </c>
      <c r="DC179" s="5"/>
      <c r="DD179" s="5"/>
      <c r="DE179" s="171"/>
      <c r="DF179" s="171"/>
      <c r="DG179" s="171"/>
      <c r="DH179" s="171"/>
      <c r="DI179" s="171"/>
      <c r="DJ179" s="171"/>
    </row>
    <row r="180" spans="1:114" collapsed="1">
      <c r="A180" s="171"/>
      <c r="B180" s="5"/>
      <c r="C180" s="38"/>
      <c r="D180" s="166"/>
      <c r="E180" s="166"/>
      <c r="F180" s="166"/>
      <c r="G180" s="166"/>
      <c r="H180" s="166"/>
      <c r="I180" s="166"/>
      <c r="J180" s="166"/>
      <c r="K180" s="166"/>
      <c r="L180" s="166"/>
      <c r="M180" s="166"/>
      <c r="N180" s="166"/>
      <c r="O180" s="166"/>
      <c r="P180" s="166"/>
      <c r="Q180" s="166"/>
      <c r="R180" s="166"/>
      <c r="S180" s="166"/>
      <c r="T180" s="166"/>
      <c r="U180" s="166"/>
      <c r="V180" s="166"/>
      <c r="W180" s="166"/>
      <c r="X180" s="166"/>
      <c r="Y180" s="166"/>
      <c r="Z180" s="166"/>
      <c r="AA180" s="166"/>
      <c r="AB180" s="166"/>
      <c r="AC180" s="166"/>
      <c r="AD180" s="166"/>
      <c r="AE180" s="166"/>
      <c r="AF180" s="166"/>
      <c r="AG180" s="166"/>
      <c r="AH180" s="166"/>
      <c r="AI180" s="166"/>
      <c r="AJ180" s="166"/>
      <c r="AK180" s="166"/>
      <c r="AL180" s="166"/>
      <c r="AM180" s="166"/>
      <c r="AN180" s="166"/>
      <c r="AO180" s="166"/>
      <c r="AP180" s="166"/>
      <c r="AQ180" s="166"/>
      <c r="AR180" s="166"/>
      <c r="AS180" s="166"/>
      <c r="AT180" s="166"/>
      <c r="AU180" s="202"/>
      <c r="AV180" s="202"/>
      <c r="AW180" s="202"/>
      <c r="AX180" s="202"/>
      <c r="AY180" s="166"/>
      <c r="AZ180" s="202"/>
      <c r="BA180" s="202"/>
      <c r="BB180" s="202"/>
      <c r="BC180" s="202"/>
      <c r="BD180" s="166"/>
      <c r="BE180" s="202"/>
      <c r="BF180" s="202"/>
      <c r="BG180" s="202"/>
      <c r="BH180" s="202"/>
      <c r="BI180" s="166"/>
      <c r="BJ180" s="202"/>
      <c r="BK180" s="203"/>
      <c r="BL180" s="166"/>
      <c r="BM180" s="166"/>
      <c r="BN180" s="166"/>
      <c r="BO180" s="166"/>
      <c r="BP180" s="166"/>
      <c r="BQ180" s="166"/>
      <c r="BR180" s="166"/>
      <c r="BS180" s="166"/>
      <c r="BT180" s="166"/>
      <c r="BU180" s="166"/>
      <c r="BV180" s="166"/>
      <c r="BW180" s="166"/>
      <c r="BX180" s="166"/>
      <c r="BY180" s="166"/>
      <c r="BZ180" s="166"/>
      <c r="CA180" s="166"/>
      <c r="CB180" s="166"/>
      <c r="CC180" s="166"/>
      <c r="CD180" s="166"/>
      <c r="CE180" s="166"/>
      <c r="CF180" s="166"/>
      <c r="CG180" s="166"/>
      <c r="CH180" s="166"/>
      <c r="CI180" s="166"/>
      <c r="CJ180" s="166"/>
      <c r="CK180" s="166"/>
      <c r="CL180" s="166"/>
      <c r="CM180" s="166"/>
      <c r="CN180" s="166"/>
      <c r="CO180" s="166"/>
      <c r="CP180" s="166"/>
      <c r="CQ180" s="166"/>
      <c r="CR180" s="166"/>
      <c r="CS180" s="166"/>
      <c r="CT180" s="166"/>
      <c r="CU180" s="166"/>
      <c r="CV180" s="166"/>
      <c r="CW180" s="166"/>
      <c r="CX180" s="166"/>
      <c r="CY180" s="166"/>
      <c r="CZ180" s="166"/>
      <c r="DA180" s="166"/>
      <c r="DB180" s="166"/>
      <c r="DC180" s="5"/>
      <c r="DD180" s="5"/>
      <c r="DE180" s="171"/>
      <c r="DF180" s="171"/>
      <c r="DG180" s="171"/>
      <c r="DH180" s="171"/>
      <c r="DI180" s="171"/>
      <c r="DJ180" s="171"/>
    </row>
    <row r="181" spans="1:114" s="1163" customFormat="1" hidden="1" outlineLevel="1">
      <c r="A181" s="171"/>
      <c r="B181" s="1164" t="s">
        <v>650</v>
      </c>
      <c r="C181" s="46"/>
      <c r="D181" s="1161"/>
      <c r="E181" s="1161"/>
      <c r="F181" s="1161"/>
      <c r="G181" s="1161"/>
      <c r="H181" s="1161"/>
      <c r="I181" s="1161"/>
      <c r="J181" s="1161"/>
      <c r="K181" s="1161"/>
      <c r="L181" s="1161"/>
      <c r="M181" s="1161"/>
      <c r="N181" s="1161"/>
      <c r="O181" s="1161"/>
      <c r="P181" s="1161"/>
      <c r="Q181" s="1161"/>
      <c r="R181" s="1161"/>
      <c r="S181" s="1161"/>
      <c r="T181" s="1161"/>
      <c r="U181" s="1161"/>
      <c r="V181" s="1161"/>
      <c r="W181" s="1161"/>
      <c r="X181" s="1161"/>
      <c r="Y181" s="1161"/>
      <c r="Z181" s="1161"/>
      <c r="AA181" s="1161"/>
      <c r="AB181" s="1161"/>
      <c r="AC181" s="1161"/>
      <c r="AD181" s="1161"/>
      <c r="AE181" s="1161"/>
      <c r="AF181" s="1161"/>
      <c r="AG181" s="1161"/>
      <c r="AH181" s="1161"/>
      <c r="AI181" s="1161"/>
      <c r="AJ181" s="1161"/>
      <c r="AK181" s="1161"/>
      <c r="AL181" s="1161"/>
      <c r="AM181" s="1161"/>
      <c r="AN181" s="1161"/>
      <c r="AO181" s="1161"/>
      <c r="AP181" s="1161"/>
      <c r="AQ181" s="1161"/>
      <c r="AR181" s="1161"/>
      <c r="AS181" s="1161"/>
      <c r="AT181" s="1161"/>
      <c r="AU181" s="1162"/>
      <c r="AV181" s="1162"/>
      <c r="AW181" s="1162"/>
      <c r="AX181" s="1162"/>
      <c r="AY181" s="1161"/>
      <c r="AZ181" s="1162"/>
      <c r="BA181" s="1162"/>
      <c r="BB181" s="1162"/>
      <c r="BC181" s="1162"/>
      <c r="BD181" s="1161"/>
      <c r="BE181" s="1162"/>
      <c r="BF181" s="1162"/>
      <c r="BG181" s="1162"/>
      <c r="BH181" s="1162"/>
      <c r="BI181" s="1161"/>
      <c r="BJ181" s="1165"/>
      <c r="BK181" s="1165"/>
      <c r="BL181" s="1161"/>
      <c r="BM181" s="1161"/>
      <c r="BN181" s="1161"/>
      <c r="BO181" s="1161"/>
      <c r="BP181" s="1161"/>
      <c r="BQ181" s="1161"/>
      <c r="BR181" s="1161"/>
      <c r="BS181" s="1161"/>
      <c r="BT181" s="1161"/>
      <c r="BU181" s="1161"/>
      <c r="BV181" s="1161"/>
      <c r="BW181" s="1161"/>
      <c r="BX181" s="1161"/>
      <c r="BY181" s="1161"/>
      <c r="BZ181" s="1161"/>
      <c r="CA181" s="1161"/>
      <c r="CB181" s="1161"/>
      <c r="CC181" s="1161"/>
      <c r="CD181" s="1161"/>
      <c r="CE181" s="1161"/>
      <c r="CF181" s="1161"/>
      <c r="CG181" s="1161"/>
      <c r="CH181" s="1161"/>
      <c r="CI181" s="1161"/>
      <c r="CJ181" s="1161">
        <f>CJ171+CJ177</f>
        <v>978.00000000099999</v>
      </c>
      <c r="CK181" s="1161">
        <f>CK171+CK177</f>
        <v>606</v>
      </c>
      <c r="CL181" s="1161">
        <f>CL171+CL177</f>
        <v>604</v>
      </c>
      <c r="CM181" s="1161"/>
      <c r="CN181" s="1161">
        <f ca="1">CN171+CN177</f>
        <v>508.02631845250721</v>
      </c>
      <c r="CO181" s="1161">
        <f t="shared" ref="CO181:CV181" ca="1" si="86">CO171+CO177</f>
        <v>712.28602136398672</v>
      </c>
      <c r="CP181" s="1161">
        <f t="shared" ca="1" si="86"/>
        <v>740.97549917369304</v>
      </c>
      <c r="CQ181" s="1161">
        <f t="shared" ca="1" si="86"/>
        <v>574.67555942532442</v>
      </c>
      <c r="CR181" s="1161"/>
      <c r="CS181" s="1161">
        <f t="shared" ca="1" si="86"/>
        <v>310.88494895668322</v>
      </c>
      <c r="CT181" s="1161">
        <f t="shared" ca="1" si="86"/>
        <v>474.61248303849936</v>
      </c>
      <c r="CU181" s="1161">
        <f t="shared" ca="1" si="86"/>
        <v>500.16083743763681</v>
      </c>
      <c r="CV181" s="1161">
        <f t="shared" ca="1" si="86"/>
        <v>714.23774281568853</v>
      </c>
      <c r="CW181" s="1161"/>
      <c r="CX181" s="1161">
        <f t="shared" ref="CX181:DA181" ca="1" si="87">CX171+CX177</f>
        <v>283.07015564062908</v>
      </c>
      <c r="CY181" s="1161">
        <f t="shared" ca="1" si="87"/>
        <v>336.79526973413715</v>
      </c>
      <c r="CZ181" s="1161">
        <f t="shared" ca="1" si="87"/>
        <v>453.3926388405722</v>
      </c>
      <c r="DA181" s="1161">
        <f t="shared" ca="1" si="87"/>
        <v>255.53769257557099</v>
      </c>
      <c r="DB181" s="1161"/>
      <c r="DC181" s="5"/>
      <c r="DD181" s="5"/>
      <c r="DE181" s="171"/>
      <c r="DF181" s="171"/>
      <c r="DG181" s="171"/>
      <c r="DH181" s="171"/>
      <c r="DI181" s="171"/>
      <c r="DJ181" s="171"/>
    </row>
    <row r="182" spans="1:114" ht="0.95" customHeight="1" collapsed="1">
      <c r="A182" s="171"/>
      <c r="B182" s="5"/>
      <c r="C182" s="38"/>
      <c r="D182" s="166"/>
      <c r="E182" s="166"/>
      <c r="F182" s="166"/>
      <c r="G182" s="166"/>
      <c r="H182" s="166"/>
      <c r="I182" s="166"/>
      <c r="J182" s="166"/>
      <c r="K182" s="166"/>
      <c r="L182" s="166"/>
      <c r="M182" s="166"/>
      <c r="N182" s="166"/>
      <c r="O182" s="166"/>
      <c r="P182" s="166"/>
      <c r="Q182" s="166"/>
      <c r="R182" s="166"/>
      <c r="S182" s="166"/>
      <c r="T182" s="166"/>
      <c r="U182" s="166"/>
      <c r="V182" s="166"/>
      <c r="W182" s="166"/>
      <c r="X182" s="166"/>
      <c r="Y182" s="166"/>
      <c r="Z182" s="166"/>
      <c r="AA182" s="166"/>
      <c r="AB182" s="166"/>
      <c r="AC182" s="166"/>
      <c r="AD182" s="166"/>
      <c r="AE182" s="166"/>
      <c r="AF182" s="166"/>
      <c r="AG182" s="166"/>
      <c r="AH182" s="166"/>
      <c r="AI182" s="166"/>
      <c r="AJ182" s="166"/>
      <c r="AK182" s="166"/>
      <c r="AL182" s="166"/>
      <c r="AM182" s="166"/>
      <c r="AN182" s="166"/>
      <c r="AO182" s="166"/>
      <c r="AP182" s="166"/>
      <c r="AQ182" s="166"/>
      <c r="AR182" s="166"/>
      <c r="AS182" s="166"/>
      <c r="AT182" s="166"/>
      <c r="AU182" s="202"/>
      <c r="AV182" s="202"/>
      <c r="AW182" s="202"/>
      <c r="AX182" s="202"/>
      <c r="AY182" s="166"/>
      <c r="AZ182" s="202"/>
      <c r="BA182" s="202"/>
      <c r="BB182" s="202"/>
      <c r="BC182" s="202"/>
      <c r="BD182" s="166"/>
      <c r="BE182" s="202"/>
      <c r="BF182" s="202"/>
      <c r="BG182" s="202"/>
      <c r="BH182" s="202"/>
      <c r="BI182" s="166"/>
      <c r="BJ182" s="202"/>
      <c r="BK182" s="203"/>
      <c r="BL182" s="166"/>
      <c r="BM182" s="166"/>
      <c r="BN182" s="166"/>
      <c r="BO182" s="166"/>
      <c r="BP182" s="166"/>
      <c r="BQ182" s="166"/>
      <c r="BR182" s="166"/>
      <c r="BS182" s="166"/>
      <c r="BT182" s="166"/>
      <c r="BU182" s="166"/>
      <c r="BV182" s="166"/>
      <c r="BW182" s="166"/>
      <c r="BX182" s="166"/>
      <c r="BY182" s="166"/>
      <c r="BZ182" s="166"/>
      <c r="CA182" s="166"/>
      <c r="CB182" s="166"/>
      <c r="CC182" s="166"/>
      <c r="CD182" s="166"/>
      <c r="CE182" s="166"/>
      <c r="CF182" s="166"/>
      <c r="CG182" s="166"/>
      <c r="CH182" s="166"/>
      <c r="CI182" s="166"/>
      <c r="CJ182" s="166"/>
      <c r="CK182" s="166"/>
      <c r="CL182" s="166"/>
      <c r="CM182" s="166"/>
      <c r="CN182" s="166"/>
      <c r="CO182" s="166"/>
      <c r="CP182" s="166"/>
      <c r="CQ182" s="166"/>
      <c r="CR182" s="166"/>
      <c r="CS182" s="166"/>
      <c r="CT182" s="166"/>
      <c r="CU182" s="166"/>
      <c r="CV182" s="166"/>
      <c r="CW182" s="166"/>
      <c r="CX182" s="166"/>
      <c r="CY182" s="166"/>
      <c r="CZ182" s="166"/>
      <c r="DA182" s="166"/>
      <c r="DB182" s="166"/>
      <c r="DC182" s="5"/>
      <c r="DD182" s="5"/>
      <c r="DE182" s="171"/>
      <c r="DF182" s="171"/>
      <c r="DG182" s="171"/>
      <c r="DH182" s="171"/>
      <c r="DI182" s="171"/>
      <c r="DJ182" s="171"/>
    </row>
    <row r="183" spans="1:114">
      <c r="A183" s="171"/>
      <c r="B183" s="696" t="s">
        <v>366</v>
      </c>
      <c r="C183" s="169"/>
      <c r="D183" s="209"/>
      <c r="E183" s="209"/>
      <c r="F183" s="209"/>
      <c r="G183" s="212"/>
      <c r="H183" s="212"/>
      <c r="I183" s="212"/>
      <c r="J183" s="212"/>
      <c r="K183" s="209"/>
      <c r="L183" s="212"/>
      <c r="M183" s="212"/>
      <c r="N183" s="212"/>
      <c r="O183" s="212"/>
      <c r="P183" s="209"/>
      <c r="Q183" s="212"/>
      <c r="R183" s="212"/>
      <c r="S183" s="212"/>
      <c r="T183" s="212"/>
      <c r="U183" s="209"/>
      <c r="V183" s="212"/>
      <c r="W183" s="212"/>
      <c r="X183" s="212"/>
      <c r="Y183" s="212"/>
      <c r="Z183" s="209"/>
      <c r="AA183" s="212"/>
      <c r="AB183" s="212"/>
      <c r="AC183" s="212"/>
      <c r="AD183" s="212"/>
      <c r="AE183" s="209"/>
      <c r="AF183" s="212"/>
      <c r="AG183" s="212"/>
      <c r="AH183" s="212"/>
      <c r="AI183" s="212"/>
      <c r="AJ183" s="209"/>
      <c r="AK183" s="212"/>
      <c r="AL183" s="212"/>
      <c r="AM183" s="212"/>
      <c r="AN183" s="212"/>
      <c r="AO183" s="209"/>
      <c r="AP183" s="212"/>
      <c r="AQ183" s="212"/>
      <c r="AR183" s="212"/>
      <c r="AS183" s="212"/>
      <c r="AT183" s="209"/>
      <c r="AU183" s="212"/>
      <c r="AV183" s="212"/>
      <c r="AW183" s="212"/>
      <c r="AX183" s="212"/>
      <c r="AY183" s="209"/>
      <c r="AZ183" s="212"/>
      <c r="BA183" s="212"/>
      <c r="BB183" s="212"/>
      <c r="BC183" s="212"/>
      <c r="BD183" s="209"/>
      <c r="BE183" s="212"/>
      <c r="BF183" s="212"/>
      <c r="BG183" s="212"/>
      <c r="BH183" s="212"/>
      <c r="BI183" s="209"/>
      <c r="BJ183" s="212"/>
      <c r="BK183" s="212"/>
      <c r="BL183" s="212"/>
      <c r="BM183" s="212"/>
      <c r="BN183" s="209"/>
      <c r="BO183" s="212"/>
      <c r="BP183" s="212"/>
      <c r="BQ183" s="212"/>
      <c r="BR183" s="212"/>
      <c r="BS183" s="209"/>
      <c r="BT183" s="212"/>
      <c r="BU183" s="212"/>
      <c r="BV183" s="212"/>
      <c r="BW183" s="212"/>
      <c r="BX183" s="209"/>
      <c r="BY183" s="212"/>
      <c r="BZ183" s="212"/>
      <c r="CA183" s="212"/>
      <c r="CB183" s="212"/>
      <c r="CC183" s="209"/>
      <c r="CD183" s="212"/>
      <c r="CE183" s="212"/>
      <c r="CF183" s="212"/>
      <c r="CG183" s="212"/>
      <c r="CH183" s="209"/>
      <c r="CI183" s="212"/>
      <c r="CJ183" s="212"/>
      <c r="CK183" s="212"/>
      <c r="CL183" s="212"/>
      <c r="CM183" s="209"/>
      <c r="CN183" s="212"/>
      <c r="CO183" s="212"/>
      <c r="CP183" s="212"/>
      <c r="CQ183" s="212"/>
      <c r="CR183" s="209"/>
      <c r="CS183" s="212"/>
      <c r="CT183" s="212"/>
      <c r="CU183" s="212"/>
      <c r="CV183" s="212"/>
      <c r="CW183" s="209"/>
      <c r="CX183" s="212"/>
      <c r="CY183" s="212"/>
      <c r="CZ183" s="212"/>
      <c r="DA183" s="212"/>
      <c r="DB183" s="209"/>
      <c r="DC183" s="5"/>
      <c r="DD183" s="5"/>
      <c r="DE183" s="171"/>
      <c r="DF183" s="171"/>
      <c r="DG183" s="699"/>
      <c r="DH183" s="699"/>
      <c r="DI183" s="699"/>
      <c r="DJ183" s="699"/>
    </row>
    <row r="184" spans="1:114">
      <c r="A184" s="702"/>
      <c r="B184" s="697" t="s">
        <v>517</v>
      </c>
      <c r="C184" s="155"/>
      <c r="D184" s="168"/>
      <c r="E184" s="168"/>
      <c r="F184" s="168"/>
      <c r="G184" s="158"/>
      <c r="H184" s="158"/>
      <c r="I184" s="158"/>
      <c r="J184" s="158"/>
      <c r="K184" s="168"/>
      <c r="L184" s="158"/>
      <c r="M184" s="158"/>
      <c r="N184" s="158"/>
      <c r="O184" s="158"/>
      <c r="P184" s="168"/>
      <c r="Q184" s="158"/>
      <c r="R184" s="158"/>
      <c r="S184" s="158"/>
      <c r="T184" s="158"/>
      <c r="U184" s="168"/>
      <c r="V184" s="158"/>
      <c r="W184" s="158"/>
      <c r="X184" s="158"/>
      <c r="Y184" s="158"/>
      <c r="Z184" s="168"/>
      <c r="AA184" s="158"/>
      <c r="AB184" s="158"/>
      <c r="AC184" s="158"/>
      <c r="AD184" s="158"/>
      <c r="AE184" s="168"/>
      <c r="AF184" s="158"/>
      <c r="AG184" s="158"/>
      <c r="AH184" s="158"/>
      <c r="AI184" s="158"/>
      <c r="AJ184" s="168"/>
      <c r="AK184" s="158"/>
      <c r="AL184" s="158"/>
      <c r="AM184" s="158"/>
      <c r="AN184" s="158"/>
      <c r="AO184" s="168"/>
      <c r="AP184" s="158"/>
      <c r="AQ184" s="158"/>
      <c r="AR184" s="158"/>
      <c r="AS184" s="158"/>
      <c r="AT184" s="168"/>
      <c r="AU184" s="231"/>
      <c r="AV184" s="231"/>
      <c r="AW184" s="231"/>
      <c r="AX184" s="231"/>
      <c r="AY184" s="270">
        <v>0.05</v>
      </c>
      <c r="AZ184" s="231"/>
      <c r="BA184" s="231"/>
      <c r="BB184" s="231"/>
      <c r="BC184" s="231"/>
      <c r="BD184" s="270">
        <v>0.05</v>
      </c>
      <c r="BE184" s="231"/>
      <c r="BF184" s="231"/>
      <c r="BG184" s="231"/>
      <c r="BH184" s="231"/>
      <c r="BI184" s="270">
        <v>0.05</v>
      </c>
      <c r="BJ184" s="231">
        <v>0.05</v>
      </c>
      <c r="BK184" s="231">
        <v>0.05</v>
      </c>
      <c r="BL184" s="231">
        <v>0.05</v>
      </c>
      <c r="BM184" s="220">
        <f>BL184</f>
        <v>0.05</v>
      </c>
      <c r="BN184" s="107"/>
      <c r="BO184" s="220">
        <f>BM184</f>
        <v>0.05</v>
      </c>
      <c r="BP184" s="220">
        <f>BO184</f>
        <v>0.05</v>
      </c>
      <c r="BQ184" s="220">
        <f>BP184</f>
        <v>0.05</v>
      </c>
      <c r="BR184" s="220">
        <f>BQ184</f>
        <v>0.05</v>
      </c>
      <c r="BS184" s="107"/>
      <c r="BT184" s="220">
        <f>BR184</f>
        <v>0.05</v>
      </c>
      <c r="BU184" s="220">
        <f>BT184</f>
        <v>0.05</v>
      </c>
      <c r="BV184" s="220">
        <f>BU184</f>
        <v>0.05</v>
      </c>
      <c r="BW184" s="220">
        <f>BV184</f>
        <v>0.05</v>
      </c>
      <c r="BX184" s="107"/>
      <c r="BY184" s="220">
        <f>BW184</f>
        <v>0.05</v>
      </c>
      <c r="BZ184" s="220">
        <f>BY184</f>
        <v>0.05</v>
      </c>
      <c r="CA184" s="220">
        <f>BZ184</f>
        <v>0.05</v>
      </c>
      <c r="CB184" s="220">
        <f>CA184</f>
        <v>0.05</v>
      </c>
      <c r="CC184" s="107"/>
      <c r="CD184" s="220">
        <f>CB184</f>
        <v>0.05</v>
      </c>
      <c r="CE184" s="220">
        <f>CD184</f>
        <v>0.05</v>
      </c>
      <c r="CF184" s="220">
        <f>CE184</f>
        <v>0.05</v>
      </c>
      <c r="CG184" s="220">
        <f>CF184</f>
        <v>0.05</v>
      </c>
      <c r="CH184" s="107"/>
      <c r="CI184" s="220">
        <f>CG184</f>
        <v>0.05</v>
      </c>
      <c r="CJ184" s="220">
        <f>CI184</f>
        <v>0.05</v>
      </c>
      <c r="CK184" s="220">
        <f>CJ184</f>
        <v>0.05</v>
      </c>
      <c r="CL184" s="220">
        <f>CK184</f>
        <v>0.05</v>
      </c>
      <c r="CM184" s="107"/>
      <c r="CN184" s="220">
        <f>CL184</f>
        <v>0.05</v>
      </c>
      <c r="CO184" s="220">
        <f>CN184</f>
        <v>0.05</v>
      </c>
      <c r="CP184" s="220">
        <f>CO184</f>
        <v>0.05</v>
      </c>
      <c r="CQ184" s="220">
        <f>CP184</f>
        <v>0.05</v>
      </c>
      <c r="CR184" s="107"/>
      <c r="CS184" s="220">
        <f>CQ184</f>
        <v>0.05</v>
      </c>
      <c r="CT184" s="220">
        <f>CS184</f>
        <v>0.05</v>
      </c>
      <c r="CU184" s="220">
        <f>CT184</f>
        <v>0.05</v>
      </c>
      <c r="CV184" s="220">
        <f>CU184</f>
        <v>0.05</v>
      </c>
      <c r="CW184" s="107"/>
      <c r="CX184" s="220">
        <f>CV184</f>
        <v>0.05</v>
      </c>
      <c r="CY184" s="220">
        <f>CX184</f>
        <v>0.05</v>
      </c>
      <c r="CZ184" s="220">
        <f>CY184</f>
        <v>0.05</v>
      </c>
      <c r="DA184" s="220">
        <f>CZ184</f>
        <v>0.05</v>
      </c>
      <c r="DB184" s="107"/>
      <c r="DC184" s="8"/>
      <c r="DD184" s="8"/>
      <c r="DE184" s="171"/>
      <c r="DF184" s="171"/>
      <c r="DG184" s="699"/>
      <c r="DH184" s="699"/>
      <c r="DI184" s="699"/>
      <c r="DJ184" s="699"/>
    </row>
    <row r="185" spans="1:114">
      <c r="A185" s="171"/>
      <c r="B185" s="693" t="s">
        <v>518</v>
      </c>
      <c r="C185" s="38"/>
      <c r="D185" s="200"/>
      <c r="E185" s="200"/>
      <c r="F185" s="200"/>
      <c r="G185" s="5"/>
      <c r="H185" s="5"/>
      <c r="I185" s="5"/>
      <c r="J185" s="5"/>
      <c r="K185" s="200"/>
      <c r="L185" s="5"/>
      <c r="M185" s="5"/>
      <c r="N185" s="5"/>
      <c r="O185" s="5"/>
      <c r="P185" s="200"/>
      <c r="Q185" s="5"/>
      <c r="R185" s="5"/>
      <c r="S185" s="5"/>
      <c r="T185" s="5"/>
      <c r="U185" s="200"/>
      <c r="V185" s="5"/>
      <c r="W185" s="5"/>
      <c r="X185" s="5"/>
      <c r="Y185" s="5"/>
      <c r="Z185" s="200"/>
      <c r="AA185" s="5"/>
      <c r="AB185" s="5"/>
      <c r="AC185" s="5"/>
      <c r="AD185" s="5"/>
      <c r="AE185" s="200"/>
      <c r="AF185" s="5"/>
      <c r="AG185" s="5"/>
      <c r="AH185" s="5"/>
      <c r="AI185" s="5"/>
      <c r="AJ185" s="200"/>
      <c r="AK185" s="5"/>
      <c r="AL185" s="5"/>
      <c r="AM185" s="5"/>
      <c r="AN185" s="5"/>
      <c r="AO185" s="200"/>
      <c r="AP185" s="5"/>
      <c r="AQ185" s="5"/>
      <c r="AR185" s="5"/>
      <c r="AS185" s="5"/>
      <c r="AT185" s="194"/>
      <c r="AU185" s="192"/>
      <c r="AV185" s="193"/>
      <c r="AW185" s="193"/>
      <c r="AX185" s="193"/>
      <c r="AY185" s="194">
        <f>AT188</f>
        <v>35.136000000000003</v>
      </c>
      <c r="AZ185" s="192"/>
      <c r="BA185" s="193"/>
      <c r="BB185" s="193"/>
      <c r="BC185" s="193"/>
      <c r="BD185" s="194">
        <f>AY188</f>
        <v>41.085999999999999</v>
      </c>
      <c r="BE185" s="192"/>
      <c r="BF185" s="193"/>
      <c r="BG185" s="193"/>
      <c r="BH185" s="193"/>
      <c r="BI185" s="194">
        <f>BD188</f>
        <v>51.731000000000002</v>
      </c>
      <c r="BJ185" s="193">
        <f>BI188</f>
        <v>48.360999999999997</v>
      </c>
      <c r="BK185" s="193">
        <f>BJ188</f>
        <v>48.767000000000003</v>
      </c>
      <c r="BL185" s="193">
        <f>BK188</f>
        <v>47.539000000000001</v>
      </c>
      <c r="BM185" s="193">
        <f>BL188</f>
        <v>49.034999999999997</v>
      </c>
      <c r="BN185" s="194">
        <f>BI188</f>
        <v>48.360999999999997</v>
      </c>
      <c r="BO185" s="193">
        <f>BN188</f>
        <v>47.951000000000001</v>
      </c>
      <c r="BP185" s="193">
        <f>BO188</f>
        <v>47.036999999999999</v>
      </c>
      <c r="BQ185" s="193">
        <f>BP188</f>
        <v>49.148000000000003</v>
      </c>
      <c r="BR185" s="193">
        <f>BQ188</f>
        <v>47.856999999999999</v>
      </c>
      <c r="BS185" s="194">
        <f>BN188</f>
        <v>47.951000000000001</v>
      </c>
      <c r="BT185" s="193">
        <f>BS188</f>
        <v>46.066000000000003</v>
      </c>
      <c r="BU185" s="193">
        <f>BT188</f>
        <v>214</v>
      </c>
      <c r="BV185" s="193">
        <f>BU188</f>
        <v>209</v>
      </c>
      <c r="BW185" s="193">
        <f>BV188</f>
        <v>255</v>
      </c>
      <c r="BX185" s="194">
        <f>BS188</f>
        <v>46.066000000000003</v>
      </c>
      <c r="BY185" s="193">
        <f>BX188</f>
        <v>228</v>
      </c>
      <c r="BZ185" s="193">
        <f>BY188</f>
        <v>215</v>
      </c>
      <c r="CA185" s="193">
        <f>BZ188</f>
        <v>202</v>
      </c>
      <c r="CB185" s="193">
        <f>CA188</f>
        <v>195</v>
      </c>
      <c r="CC185" s="194">
        <f>BX188</f>
        <v>228</v>
      </c>
      <c r="CD185" s="193">
        <f>CC188</f>
        <v>227</v>
      </c>
      <c r="CE185" s="193">
        <f>CD188</f>
        <v>219</v>
      </c>
      <c r="CF185" s="193">
        <f>CE188</f>
        <v>191</v>
      </c>
      <c r="CG185" s="193">
        <f>CF188</f>
        <v>191</v>
      </c>
      <c r="CH185" s="194">
        <f>CC188</f>
        <v>227</v>
      </c>
      <c r="CI185" s="193">
        <f>CH188</f>
        <v>328</v>
      </c>
      <c r="CJ185" s="193">
        <f>CI188</f>
        <v>319</v>
      </c>
      <c r="CK185" s="193">
        <f>CJ188</f>
        <v>285</v>
      </c>
      <c r="CL185" s="193">
        <f>CK188</f>
        <v>308</v>
      </c>
      <c r="CM185" s="194">
        <f>CH188</f>
        <v>328</v>
      </c>
      <c r="CN185" s="193">
        <f>CM188</f>
        <v>308</v>
      </c>
      <c r="CO185" s="193">
        <f>CN188</f>
        <v>308</v>
      </c>
      <c r="CP185" s="193">
        <f>CO188</f>
        <v>308</v>
      </c>
      <c r="CQ185" s="193">
        <f>CP188</f>
        <v>308</v>
      </c>
      <c r="CR185" s="194">
        <f>CM188</f>
        <v>308</v>
      </c>
      <c r="CS185" s="193">
        <f>CR188</f>
        <v>308</v>
      </c>
      <c r="CT185" s="193">
        <f>CS188</f>
        <v>308</v>
      </c>
      <c r="CU185" s="193">
        <f>CT188</f>
        <v>308</v>
      </c>
      <c r="CV185" s="193">
        <f>CU188</f>
        <v>308</v>
      </c>
      <c r="CW185" s="194">
        <f>CR188</f>
        <v>308</v>
      </c>
      <c r="CX185" s="193">
        <f>CW188</f>
        <v>308</v>
      </c>
      <c r="CY185" s="193">
        <f>CX188</f>
        <v>308</v>
      </c>
      <c r="CZ185" s="193">
        <f>CY188</f>
        <v>308</v>
      </c>
      <c r="DA185" s="193">
        <f>CZ188</f>
        <v>308</v>
      </c>
      <c r="DB185" s="194">
        <f>CW188</f>
        <v>308</v>
      </c>
      <c r="DC185" s="5"/>
      <c r="DD185" s="5"/>
      <c r="DE185" s="171"/>
      <c r="DF185" s="171"/>
      <c r="DG185" s="699"/>
      <c r="DH185" s="699"/>
      <c r="DI185" s="699"/>
      <c r="DJ185" s="699"/>
    </row>
    <row r="186" spans="1:114">
      <c r="A186" s="171"/>
      <c r="B186" s="693" t="s">
        <v>654</v>
      </c>
      <c r="C186" s="38"/>
      <c r="D186" s="200"/>
      <c r="E186" s="200"/>
      <c r="F186" s="200"/>
      <c r="G186" s="5"/>
      <c r="H186" s="5"/>
      <c r="I186" s="5"/>
      <c r="J186" s="5"/>
      <c r="K186" s="200"/>
      <c r="L186" s="5"/>
      <c r="M186" s="5"/>
      <c r="N186" s="5"/>
      <c r="O186" s="5"/>
      <c r="P186" s="200"/>
      <c r="Q186" s="5"/>
      <c r="R186" s="5"/>
      <c r="S186" s="5"/>
      <c r="T186" s="5"/>
      <c r="U186" s="200"/>
      <c r="V186" s="5"/>
      <c r="W186" s="5"/>
      <c r="X186" s="5"/>
      <c r="Y186" s="5"/>
      <c r="Z186" s="200"/>
      <c r="AA186" s="5"/>
      <c r="AB186" s="5"/>
      <c r="AC186" s="5"/>
      <c r="AD186" s="5"/>
      <c r="AE186" s="200"/>
      <c r="AF186" s="5"/>
      <c r="AG186" s="5"/>
      <c r="AH186" s="5"/>
      <c r="AI186" s="5"/>
      <c r="AJ186" s="200"/>
      <c r="AK186" s="5"/>
      <c r="AL186" s="5"/>
      <c r="AM186" s="5"/>
      <c r="AN186" s="5"/>
      <c r="AO186" s="200"/>
      <c r="AP186" s="5"/>
      <c r="AQ186" s="5"/>
      <c r="AR186" s="5"/>
      <c r="AS186" s="5"/>
      <c r="AT186" s="194"/>
      <c r="AU186" s="192"/>
      <c r="AV186" s="193"/>
      <c r="AW186" s="193"/>
      <c r="AX186" s="193"/>
      <c r="AY186" s="194"/>
      <c r="AZ186" s="192"/>
      <c r="BA186" s="193"/>
      <c r="BB186" s="193"/>
      <c r="BC186" s="193"/>
      <c r="BD186" s="194"/>
      <c r="BE186" s="192"/>
      <c r="BF186" s="193"/>
      <c r="BG186" s="193"/>
      <c r="BH186" s="193"/>
      <c r="BI186" s="194"/>
      <c r="BJ186" s="193"/>
      <c r="BK186" s="193"/>
      <c r="BL186" s="193"/>
      <c r="BM186" s="193"/>
      <c r="BN186" s="194"/>
      <c r="BO186" s="193"/>
      <c r="BP186" s="193"/>
      <c r="BQ186" s="193"/>
      <c r="BR186" s="193"/>
      <c r="BS186" s="194"/>
      <c r="BT186" s="193"/>
      <c r="BU186" s="193"/>
      <c r="BV186" s="193"/>
      <c r="BW186" s="193"/>
      <c r="BX186" s="194"/>
      <c r="BY186" s="1181">
        <v>0</v>
      </c>
      <c r="BZ186" s="193">
        <v>0</v>
      </c>
      <c r="CA186" s="193">
        <v>0</v>
      </c>
      <c r="CB186" s="842">
        <f>CB188-CB185</f>
        <v>32</v>
      </c>
      <c r="CC186" s="194">
        <f>SUM(BY186:CB186)</f>
        <v>32</v>
      </c>
      <c r="CD186" s="1181">
        <v>0</v>
      </c>
      <c r="CE186" s="193">
        <v>0</v>
      </c>
      <c r="CF186" s="193">
        <v>0</v>
      </c>
      <c r="CG186" s="842">
        <f>+CG188-CG185</f>
        <v>137</v>
      </c>
      <c r="CH186" s="194">
        <f>SUM(CD186:CG186)</f>
        <v>137</v>
      </c>
      <c r="CI186" s="1181">
        <v>0</v>
      </c>
      <c r="CJ186" s="193">
        <v>0</v>
      </c>
      <c r="CK186" s="193">
        <v>0</v>
      </c>
      <c r="CL186" s="842">
        <v>0</v>
      </c>
      <c r="CM186" s="194">
        <f>SUM(CI186:CL186)</f>
        <v>0</v>
      </c>
      <c r="CN186" s="1181">
        <v>0</v>
      </c>
      <c r="CO186" s="193">
        <v>0</v>
      </c>
      <c r="CP186" s="193">
        <v>0</v>
      </c>
      <c r="CQ186" s="842">
        <v>0</v>
      </c>
      <c r="CR186" s="194">
        <f>SUM(CN186:CQ186)</f>
        <v>0</v>
      </c>
      <c r="CS186" s="1181">
        <v>0</v>
      </c>
      <c r="CT186" s="193">
        <v>0</v>
      </c>
      <c r="CU186" s="193">
        <v>0</v>
      </c>
      <c r="CV186" s="842">
        <v>0</v>
      </c>
      <c r="CW186" s="194">
        <f>SUM(CS186:CV186)</f>
        <v>0</v>
      </c>
      <c r="CX186" s="1181">
        <v>0</v>
      </c>
      <c r="CY186" s="193">
        <v>0</v>
      </c>
      <c r="CZ186" s="193">
        <v>0</v>
      </c>
      <c r="DA186" s="842">
        <v>0</v>
      </c>
      <c r="DB186" s="194">
        <f>SUM(CX186:DA186)</f>
        <v>0</v>
      </c>
      <c r="DC186" s="5"/>
      <c r="DD186" s="5"/>
      <c r="DE186" s="171"/>
      <c r="DF186" s="171"/>
      <c r="DG186" s="699"/>
      <c r="DH186" s="699"/>
      <c r="DI186" s="699"/>
      <c r="DJ186" s="699"/>
    </row>
    <row r="187" spans="1:114">
      <c r="A187" s="702"/>
      <c r="B187" s="691" t="s">
        <v>653</v>
      </c>
      <c r="C187" s="175"/>
      <c r="D187" s="176"/>
      <c r="E187" s="177"/>
      <c r="F187" s="177"/>
      <c r="G187" s="178"/>
      <c r="H187" s="178"/>
      <c r="I187" s="178"/>
      <c r="J187" s="178"/>
      <c r="K187" s="177"/>
      <c r="L187" s="178"/>
      <c r="M187" s="178"/>
      <c r="N187" s="178"/>
      <c r="O187" s="178"/>
      <c r="P187" s="177"/>
      <c r="Q187" s="178"/>
      <c r="R187" s="178"/>
      <c r="S187" s="178"/>
      <c r="T187" s="178"/>
      <c r="U187" s="177"/>
      <c r="V187" s="178"/>
      <c r="W187" s="178"/>
      <c r="X187" s="178"/>
      <c r="Y187" s="178"/>
      <c r="Z187" s="177"/>
      <c r="AA187" s="178"/>
      <c r="AB187" s="178"/>
      <c r="AC187" s="178"/>
      <c r="AD187" s="178"/>
      <c r="AE187" s="177"/>
      <c r="AF187" s="178"/>
      <c r="AG187" s="178"/>
      <c r="AH187" s="178"/>
      <c r="AI187" s="178"/>
      <c r="AJ187" s="177"/>
      <c r="AK187" s="178"/>
      <c r="AL187" s="178"/>
      <c r="AM187" s="178"/>
      <c r="AN187" s="178"/>
      <c r="AO187" s="177"/>
      <c r="AP187" s="178"/>
      <c r="AQ187" s="178"/>
      <c r="AR187" s="178"/>
      <c r="AS187" s="178"/>
      <c r="AT187" s="190"/>
      <c r="AU187" s="195"/>
      <c r="AV187" s="195"/>
      <c r="AW187" s="195"/>
      <c r="AX187" s="195"/>
      <c r="AY187" s="197">
        <f>AY188-AY185</f>
        <v>5.9499999999999957</v>
      </c>
      <c r="AZ187" s="195"/>
      <c r="BA187" s="195"/>
      <c r="BB187" s="195"/>
      <c r="BC187" s="195"/>
      <c r="BD187" s="197">
        <f>BD188-BD185</f>
        <v>10.645000000000003</v>
      </c>
      <c r="BE187" s="195"/>
      <c r="BF187" s="195"/>
      <c r="BG187" s="195"/>
      <c r="BH187" s="195"/>
      <c r="BI187" s="197">
        <f>BI188-BI185</f>
        <v>-3.3700000000000045</v>
      </c>
      <c r="BJ187" s="196">
        <f>BJ188-BJ185</f>
        <v>0.40600000000000591</v>
      </c>
      <c r="BK187" s="196">
        <f>BK188-BK185</f>
        <v>-1.2280000000000015</v>
      </c>
      <c r="BL187" s="196">
        <f>BL188-BL185</f>
        <v>1.4959999999999951</v>
      </c>
      <c r="BM187" s="196">
        <f>BM188-BM185</f>
        <v>-1.0839999999999961</v>
      </c>
      <c r="BN187" s="197">
        <f>SUM(BJ187:BM187)</f>
        <v>-0.40999999999999659</v>
      </c>
      <c r="BO187" s="196">
        <f>BO188-BO185</f>
        <v>-0.91400000000000148</v>
      </c>
      <c r="BP187" s="196">
        <f>BP188-BP185</f>
        <v>2.1110000000000042</v>
      </c>
      <c r="BQ187" s="196">
        <f>BQ188-BQ185</f>
        <v>-1.2910000000000039</v>
      </c>
      <c r="BR187" s="196">
        <f>BR188-BR185</f>
        <v>-1.7909999999999968</v>
      </c>
      <c r="BS187" s="197">
        <f>SUM(BO187:BR187)</f>
        <v>-1.884999999999998</v>
      </c>
      <c r="BT187" s="196">
        <f>BT188-BT185</f>
        <v>167.934</v>
      </c>
      <c r="BU187" s="196">
        <f>BU188-BU185</f>
        <v>-5</v>
      </c>
      <c r="BV187" s="196">
        <f>BV188-BV185</f>
        <v>46</v>
      </c>
      <c r="BW187" s="196">
        <f>BW188-BW185</f>
        <v>-27</v>
      </c>
      <c r="BX187" s="197">
        <f>SUM(BT187:BW187)</f>
        <v>181.934</v>
      </c>
      <c r="BY187" s="196">
        <f>BY188-BY185</f>
        <v>-13</v>
      </c>
      <c r="BZ187" s="196">
        <f>BZ188-BZ185</f>
        <v>-13</v>
      </c>
      <c r="CA187" s="196">
        <f>CA188-CA185</f>
        <v>-7</v>
      </c>
      <c r="CB187" s="196">
        <v>0</v>
      </c>
      <c r="CC187" s="197">
        <f>SUM(BY187:CB187)</f>
        <v>-33</v>
      </c>
      <c r="CD187" s="196">
        <f>CD188-CD185</f>
        <v>-8</v>
      </c>
      <c r="CE187" s="196">
        <f>CE188-CE185</f>
        <v>-28</v>
      </c>
      <c r="CF187" s="196">
        <v>0</v>
      </c>
      <c r="CG187" s="196">
        <v>0</v>
      </c>
      <c r="CH187" s="197">
        <f>SUM(CD187:CG187)</f>
        <v>-36</v>
      </c>
      <c r="CI187" s="196">
        <f>+CI188-CI185</f>
        <v>-9</v>
      </c>
      <c r="CJ187" s="196">
        <v>-34</v>
      </c>
      <c r="CK187" s="196">
        <v>23</v>
      </c>
      <c r="CL187" s="196">
        <v>0</v>
      </c>
      <c r="CM187" s="197">
        <f>SUM(CI187:CL187)</f>
        <v>-20</v>
      </c>
      <c r="CN187" s="196">
        <v>0</v>
      </c>
      <c r="CO187" s="196">
        <v>0</v>
      </c>
      <c r="CP187" s="196">
        <v>0</v>
      </c>
      <c r="CQ187" s="196">
        <v>0</v>
      </c>
      <c r="CR187" s="197">
        <f>SUM(CN187:CQ187)</f>
        <v>0</v>
      </c>
      <c r="CS187" s="196">
        <v>0</v>
      </c>
      <c r="CT187" s="196">
        <v>0</v>
      </c>
      <c r="CU187" s="196">
        <v>0</v>
      </c>
      <c r="CV187" s="196">
        <v>0</v>
      </c>
      <c r="CW187" s="197">
        <f>SUM(CS187:CV187)</f>
        <v>0</v>
      </c>
      <c r="CX187" s="196">
        <v>0</v>
      </c>
      <c r="CY187" s="196">
        <v>0</v>
      </c>
      <c r="CZ187" s="196">
        <v>0</v>
      </c>
      <c r="DA187" s="196">
        <v>0</v>
      </c>
      <c r="DB187" s="197">
        <f>SUM(CX187:DA187)</f>
        <v>0</v>
      </c>
      <c r="DC187" s="5"/>
      <c r="DD187" s="159"/>
      <c r="DE187" s="171"/>
      <c r="DF187" s="171"/>
      <c r="DG187" s="699"/>
      <c r="DH187" s="699"/>
      <c r="DI187" s="699"/>
      <c r="DJ187" s="699"/>
    </row>
    <row r="188" spans="1:114">
      <c r="A188" s="702"/>
      <c r="B188" s="693" t="s">
        <v>519</v>
      </c>
      <c r="C188" s="38"/>
      <c r="D188" s="67"/>
      <c r="E188" s="67"/>
      <c r="F188" s="67"/>
      <c r="G188" s="237"/>
      <c r="H188" s="237"/>
      <c r="I188" s="237"/>
      <c r="J188" s="237"/>
      <c r="K188" s="67"/>
      <c r="L188" s="237"/>
      <c r="M188" s="237"/>
      <c r="N188" s="237"/>
      <c r="O188" s="237"/>
      <c r="P188" s="67"/>
      <c r="Q188" s="237"/>
      <c r="R188" s="237"/>
      <c r="S188" s="237"/>
      <c r="T188" s="237"/>
      <c r="U188" s="67"/>
      <c r="V188" s="237"/>
      <c r="W188" s="237"/>
      <c r="X188" s="237"/>
      <c r="Y188" s="237"/>
      <c r="Z188" s="67"/>
      <c r="AA188" s="237"/>
      <c r="AB188" s="237"/>
      <c r="AC188" s="237"/>
      <c r="AD188" s="237"/>
      <c r="AE188" s="67"/>
      <c r="AF188" s="237"/>
      <c r="AG188" s="237"/>
      <c r="AH188" s="237"/>
      <c r="AI188" s="237"/>
      <c r="AJ188" s="67"/>
      <c r="AK188" s="237"/>
      <c r="AL188" s="237"/>
      <c r="AM188" s="237"/>
      <c r="AN188" s="237"/>
      <c r="AO188" s="67"/>
      <c r="AP188" s="237"/>
      <c r="AQ188" s="237"/>
      <c r="AR188" s="237"/>
      <c r="AS188" s="237"/>
      <c r="AT188" s="236">
        <v>35.136000000000003</v>
      </c>
      <c r="AU188" s="193"/>
      <c r="AV188" s="193"/>
      <c r="AW188" s="193"/>
      <c r="AX188" s="193"/>
      <c r="AY188" s="236">
        <f>41.086</f>
        <v>41.085999999999999</v>
      </c>
      <c r="AZ188" s="193"/>
      <c r="BA188" s="193"/>
      <c r="BB188" s="193"/>
      <c r="BC188" s="193"/>
      <c r="BD188" s="236">
        <f>51.731</f>
        <v>51.731000000000002</v>
      </c>
      <c r="BE188" s="193"/>
      <c r="BF188" s="193"/>
      <c r="BG188" s="193"/>
      <c r="BH188" s="193"/>
      <c r="BI188" s="236">
        <f>48.361</f>
        <v>48.360999999999997</v>
      </c>
      <c r="BJ188" s="198">
        <v>48.767000000000003</v>
      </c>
      <c r="BK188" s="198">
        <v>47.539000000000001</v>
      </c>
      <c r="BL188" s="198">
        <v>49.034999999999997</v>
      </c>
      <c r="BM188" s="233">
        <v>47.951000000000001</v>
      </c>
      <c r="BN188" s="199">
        <f>BM188</f>
        <v>47.951000000000001</v>
      </c>
      <c r="BO188" s="233">
        <v>47.036999999999999</v>
      </c>
      <c r="BP188" s="233">
        <v>49.148000000000003</v>
      </c>
      <c r="BQ188" s="551">
        <v>47.856999999999999</v>
      </c>
      <c r="BR188" s="229">
        <v>46.066000000000003</v>
      </c>
      <c r="BS188" s="199">
        <f>BR188</f>
        <v>46.066000000000003</v>
      </c>
      <c r="BT188" s="551">
        <v>214</v>
      </c>
      <c r="BU188" s="551">
        <v>209</v>
      </c>
      <c r="BV188" s="582">
        <v>255</v>
      </c>
      <c r="BW188" s="582">
        <v>228</v>
      </c>
      <c r="BX188" s="199">
        <f>BW188</f>
        <v>228</v>
      </c>
      <c r="BY188" s="551">
        <v>215</v>
      </c>
      <c r="BZ188" s="582">
        <v>202</v>
      </c>
      <c r="CA188" s="582">
        <v>195</v>
      </c>
      <c r="CB188" s="582">
        <v>227</v>
      </c>
      <c r="CC188" s="199">
        <f>CB188</f>
        <v>227</v>
      </c>
      <c r="CD188" s="582">
        <v>219</v>
      </c>
      <c r="CE188" s="582">
        <v>191</v>
      </c>
      <c r="CF188" s="229">
        <f>CF185+CF187</f>
        <v>191</v>
      </c>
      <c r="CG188" s="582">
        <v>328</v>
      </c>
      <c r="CH188" s="199">
        <f>CG188</f>
        <v>328</v>
      </c>
      <c r="CI188" s="582">
        <v>319</v>
      </c>
      <c r="CJ188" s="193">
        <f>SUM(CJ185:CJ187)</f>
        <v>285</v>
      </c>
      <c r="CK188" s="193">
        <f>SUM(CK185:CK187)</f>
        <v>308</v>
      </c>
      <c r="CL188" s="193">
        <f>SUM(CL185:CL187)</f>
        <v>308</v>
      </c>
      <c r="CM188" s="194">
        <f>CL188</f>
        <v>308</v>
      </c>
      <c r="CN188" s="193">
        <f>SUM(CN185:CN187)</f>
        <v>308</v>
      </c>
      <c r="CO188" s="193">
        <f>SUM(CO185:CO187)</f>
        <v>308</v>
      </c>
      <c r="CP188" s="193">
        <f>SUM(CP185:CP187)</f>
        <v>308</v>
      </c>
      <c r="CQ188" s="193">
        <f>SUM(CQ185:CQ187)</f>
        <v>308</v>
      </c>
      <c r="CR188" s="194">
        <f>CQ188</f>
        <v>308</v>
      </c>
      <c r="CS188" s="193">
        <f>SUM(CS185:CS187)</f>
        <v>308</v>
      </c>
      <c r="CT188" s="193">
        <f>SUM(CT185:CT187)</f>
        <v>308</v>
      </c>
      <c r="CU188" s="193">
        <f>SUM(CU185:CU187)</f>
        <v>308</v>
      </c>
      <c r="CV188" s="193">
        <f>SUM(CV185:CV187)</f>
        <v>308</v>
      </c>
      <c r="CW188" s="194">
        <f>CV188</f>
        <v>308</v>
      </c>
      <c r="CX188" s="193">
        <f>SUM(CX185:CX187)</f>
        <v>308</v>
      </c>
      <c r="CY188" s="193">
        <f>SUM(CY185:CY187)</f>
        <v>308</v>
      </c>
      <c r="CZ188" s="193">
        <f>SUM(CZ185:CZ187)</f>
        <v>308</v>
      </c>
      <c r="DA188" s="193">
        <f>SUM(DA185:DA187)</f>
        <v>308</v>
      </c>
      <c r="DB188" s="194">
        <f>DA188</f>
        <v>308</v>
      </c>
      <c r="DC188" s="5"/>
      <c r="DD188" s="159"/>
      <c r="DE188" s="159"/>
      <c r="DF188" s="171"/>
      <c r="DG188" s="699"/>
      <c r="DH188" s="699"/>
      <c r="DI188" s="699"/>
      <c r="DJ188" s="699"/>
    </row>
    <row r="189" spans="1:114">
      <c r="A189" s="702"/>
      <c r="B189" s="691" t="s">
        <v>520</v>
      </c>
      <c r="C189" s="33"/>
      <c r="D189" s="172"/>
      <c r="E189" s="173"/>
      <c r="F189" s="173"/>
      <c r="G189" s="174"/>
      <c r="H189" s="174"/>
      <c r="I189" s="174"/>
      <c r="J189" s="174"/>
      <c r="K189" s="173"/>
      <c r="L189" s="174"/>
      <c r="M189" s="174"/>
      <c r="N189" s="174"/>
      <c r="O189" s="174"/>
      <c r="P189" s="173"/>
      <c r="Q189" s="174"/>
      <c r="R189" s="174"/>
      <c r="S189" s="174"/>
      <c r="T189" s="174"/>
      <c r="U189" s="173"/>
      <c r="V189" s="174"/>
      <c r="W189" s="174"/>
      <c r="X189" s="174"/>
      <c r="Y189" s="174"/>
      <c r="Z189" s="173"/>
      <c r="AA189" s="174"/>
      <c r="AB189" s="174"/>
      <c r="AC189" s="174"/>
      <c r="AD189" s="174"/>
      <c r="AE189" s="173"/>
      <c r="AF189" s="174"/>
      <c r="AG189" s="174"/>
      <c r="AH189" s="174"/>
      <c r="AI189" s="174"/>
      <c r="AJ189" s="173"/>
      <c r="AK189" s="174"/>
      <c r="AL189" s="174"/>
      <c r="AM189" s="174"/>
      <c r="AN189" s="174"/>
      <c r="AO189" s="173"/>
      <c r="AP189" s="174"/>
      <c r="AQ189" s="174"/>
      <c r="AR189" s="174"/>
      <c r="AS189" s="174"/>
      <c r="AT189" s="191"/>
      <c r="AU189" s="230"/>
      <c r="AV189" s="230"/>
      <c r="AW189" s="230"/>
      <c r="AX189" s="230"/>
      <c r="AY189" s="197">
        <f>AY184*AVERAGE(AY188,AY185)</f>
        <v>1.9055500000000003</v>
      </c>
      <c r="AZ189" s="230"/>
      <c r="BA189" s="230"/>
      <c r="BB189" s="230"/>
      <c r="BC189" s="230"/>
      <c r="BD189" s="197">
        <f>BD184*AVERAGE(BD188,BD185)</f>
        <v>2.3204250000000002</v>
      </c>
      <c r="BE189" s="230"/>
      <c r="BF189" s="230"/>
      <c r="BG189" s="230"/>
      <c r="BH189" s="230"/>
      <c r="BI189" s="197">
        <f>BI184*AVERAGE(BI188,BI185)</f>
        <v>2.5023</v>
      </c>
      <c r="BJ189" s="230">
        <f>BJ184/4*AVERAGE(BJ188,BJ185)</f>
        <v>0.60705000000000009</v>
      </c>
      <c r="BK189" s="230">
        <f>BK184/4*AVERAGE(BK188,BK185)</f>
        <v>0.60191250000000007</v>
      </c>
      <c r="BL189" s="230">
        <f>BL184/4*AVERAGE(BL188,BL185)</f>
        <v>0.60358750000000005</v>
      </c>
      <c r="BM189" s="230">
        <f>BM184/4*AVERAGE(BM188,BM185)</f>
        <v>0.60616249999999994</v>
      </c>
      <c r="BN189" s="197">
        <f>SUM(BJ189:BM189)</f>
        <v>2.4187125000000003</v>
      </c>
      <c r="BO189" s="230">
        <f>BO184/4*AVERAGE(BO188,BO185)</f>
        <v>0.59367500000000006</v>
      </c>
      <c r="BP189" s="230">
        <f>BP184/4*AVERAGE(BP188,BP185)</f>
        <v>0.60115625000000006</v>
      </c>
      <c r="BQ189" s="230">
        <f>BQ184/4*AVERAGE(BQ188,BQ185)</f>
        <v>0.60628124999999999</v>
      </c>
      <c r="BR189" s="230">
        <f>BR184/4*AVERAGE(BR188,BR185)</f>
        <v>0.58701875000000003</v>
      </c>
      <c r="BS189" s="197">
        <f>SUM(BO189:BR189)</f>
        <v>2.3881312499999998</v>
      </c>
      <c r="BT189" s="230">
        <f>BT184/4*AVERAGE(BT188,BT185)</f>
        <v>1.6254125000000004</v>
      </c>
      <c r="BU189" s="230">
        <f>BU184/4*AVERAGE(BU188,BU185)</f>
        <v>2.6437500000000003</v>
      </c>
      <c r="BV189" s="230">
        <f>BV184/4*AVERAGE(BV188,BV185)</f>
        <v>2.9000000000000004</v>
      </c>
      <c r="BW189" s="230">
        <f>BW184/4*AVERAGE(BW188,BW185)</f>
        <v>3.0187500000000003</v>
      </c>
      <c r="BX189" s="197">
        <f>SUM(BT189:BW189)</f>
        <v>10.187912500000001</v>
      </c>
      <c r="BY189" s="230">
        <f>BY184/4*AVERAGE(BY188,BY185)</f>
        <v>2.7687500000000003</v>
      </c>
      <c r="BZ189" s="230">
        <f>BZ184/4*AVERAGE(BZ188,BZ185)</f>
        <v>2.6062500000000002</v>
      </c>
      <c r="CA189" s="230">
        <f>CA184/4*AVERAGE(CA188,CA185)</f>
        <v>2.4812500000000002</v>
      </c>
      <c r="CB189" s="230">
        <f>CB184/4*AVERAGE(CB188,CB185)</f>
        <v>2.6375000000000002</v>
      </c>
      <c r="CC189" s="197">
        <f>SUM(BY189:CB189)</f>
        <v>10.49375</v>
      </c>
      <c r="CD189" s="230">
        <f>CD184/4*AVERAGE(CD188,CD185)</f>
        <v>2.7875000000000001</v>
      </c>
      <c r="CE189" s="230">
        <f>CE184/4*AVERAGE(CE188,CE185)</f>
        <v>2.5625</v>
      </c>
      <c r="CF189" s="230">
        <f>CF184/4*AVERAGE(CF188,CF185)</f>
        <v>2.3875000000000002</v>
      </c>
      <c r="CG189" s="230">
        <f>CG184/4*AVERAGE(CG188,CG185)</f>
        <v>3.2437500000000004</v>
      </c>
      <c r="CH189" s="197">
        <f>SUM(CD189:CG189)</f>
        <v>10.981249999999999</v>
      </c>
      <c r="CI189" s="230">
        <f>CI184/4*AVERAGE(CI188,CI185)</f>
        <v>4.0437500000000002</v>
      </c>
      <c r="CJ189" s="230">
        <f>CJ184/4*AVERAGE(CJ188,CJ185)</f>
        <v>3.7750000000000004</v>
      </c>
      <c r="CK189" s="230">
        <f>CK184/4*AVERAGE(CK188,CK185)</f>
        <v>3.7062500000000003</v>
      </c>
      <c r="CL189" s="230">
        <f>CL184/4*AVERAGE(CL188,CL185)</f>
        <v>3.85</v>
      </c>
      <c r="CM189" s="197">
        <f>SUM(CI189:CL189)</f>
        <v>15.375</v>
      </c>
      <c r="CN189" s="230">
        <f>CN184/4*AVERAGE(CN188,CN185)</f>
        <v>3.85</v>
      </c>
      <c r="CO189" s="230">
        <f>CO184/4*AVERAGE(CO188,CO185)</f>
        <v>3.85</v>
      </c>
      <c r="CP189" s="230">
        <f>CP184/4*AVERAGE(CP188,CP185)</f>
        <v>3.85</v>
      </c>
      <c r="CQ189" s="230">
        <f>CQ184/4*AVERAGE(CQ188,CQ185)</f>
        <v>3.85</v>
      </c>
      <c r="CR189" s="197">
        <f>SUM(CN189:CQ189)</f>
        <v>15.4</v>
      </c>
      <c r="CS189" s="230">
        <f>CS184/4*AVERAGE(CS188,CS185)</f>
        <v>3.85</v>
      </c>
      <c r="CT189" s="230">
        <f>CT184/4*AVERAGE(CT188,CT185)</f>
        <v>3.85</v>
      </c>
      <c r="CU189" s="230">
        <f>CU184/4*AVERAGE(CU188,CU185)</f>
        <v>3.85</v>
      </c>
      <c r="CV189" s="230">
        <f>CV184/4*AVERAGE(CV188,CV185)</f>
        <v>3.85</v>
      </c>
      <c r="CW189" s="197">
        <f>SUM(CS189:CV189)</f>
        <v>15.4</v>
      </c>
      <c r="CX189" s="230">
        <f>CX184/4*AVERAGE(CX188,CX185)</f>
        <v>3.85</v>
      </c>
      <c r="CY189" s="230">
        <f>CY184/4*AVERAGE(CY188,CY185)</f>
        <v>3.85</v>
      </c>
      <c r="CZ189" s="230">
        <f>CZ184/4*AVERAGE(CZ188,CZ185)</f>
        <v>3.85</v>
      </c>
      <c r="DA189" s="230">
        <f>DA184/4*AVERAGE(DA188,DA185)</f>
        <v>3.85</v>
      </c>
      <c r="DB189" s="197">
        <f>SUM(CX189:DA189)</f>
        <v>15.4</v>
      </c>
      <c r="DC189" s="5"/>
      <c r="DD189" s="5"/>
      <c r="DE189" s="171"/>
      <c r="DF189" s="171"/>
      <c r="DG189" s="699"/>
      <c r="DH189" s="699"/>
      <c r="DI189" s="699"/>
      <c r="DJ189" s="699"/>
    </row>
    <row r="190" spans="1:114">
      <c r="A190" s="171"/>
      <c r="B190" s="5"/>
      <c r="C190" s="38"/>
      <c r="D190" s="5"/>
      <c r="E190" s="160"/>
      <c r="F190" s="160"/>
      <c r="G190" s="160"/>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c r="BH190" s="160"/>
      <c r="BI190" s="160"/>
      <c r="BJ190" s="160"/>
      <c r="BK190" s="160"/>
      <c r="BL190" s="160"/>
      <c r="BM190" s="160"/>
      <c r="BN190" s="160"/>
      <c r="BO190" s="160"/>
      <c r="BP190" s="160"/>
      <c r="BQ190" s="160"/>
      <c r="BR190" s="160"/>
      <c r="BS190" s="160"/>
      <c r="BT190" s="160"/>
      <c r="BU190" s="160"/>
      <c r="BV190" s="160"/>
      <c r="BW190" s="160"/>
      <c r="BX190" s="160"/>
      <c r="BY190" s="160"/>
      <c r="BZ190" s="160"/>
      <c r="CA190" s="160"/>
      <c r="CB190" s="160"/>
      <c r="CC190" s="160"/>
      <c r="CD190" s="160"/>
      <c r="CE190" s="160"/>
      <c r="CF190" s="160"/>
      <c r="CG190" s="160"/>
      <c r="CH190" s="160"/>
      <c r="CI190" s="160"/>
      <c r="CJ190" s="160"/>
      <c r="CK190" s="160"/>
      <c r="CL190" s="160"/>
      <c r="CM190" s="160"/>
      <c r="CN190" s="160"/>
      <c r="CO190" s="160"/>
      <c r="CP190" s="160"/>
      <c r="CQ190" s="160"/>
      <c r="CR190" s="160"/>
      <c r="CS190" s="160"/>
      <c r="CT190" s="160"/>
      <c r="CU190" s="160"/>
      <c r="CV190" s="160"/>
      <c r="CW190" s="160"/>
      <c r="CX190" s="160"/>
      <c r="CY190" s="160"/>
      <c r="CZ190" s="160"/>
      <c r="DA190" s="160"/>
      <c r="DB190" s="160"/>
      <c r="DC190" s="5"/>
      <c r="DD190" s="5"/>
      <c r="DE190" s="171"/>
      <c r="DF190" s="171"/>
      <c r="DG190" s="699"/>
      <c r="DH190" s="699"/>
      <c r="DI190" s="699"/>
      <c r="DJ190" s="699"/>
    </row>
    <row r="191" spans="1:114">
      <c r="A191" s="171"/>
      <c r="B191" s="696" t="s">
        <v>668</v>
      </c>
      <c r="C191" s="169"/>
      <c r="D191" s="215"/>
      <c r="E191" s="215"/>
      <c r="F191" s="215"/>
      <c r="G191" s="216"/>
      <c r="H191" s="216"/>
      <c r="I191" s="216"/>
      <c r="J191" s="216"/>
      <c r="K191" s="215"/>
      <c r="L191" s="216"/>
      <c r="M191" s="216"/>
      <c r="N191" s="216"/>
      <c r="O191" s="216"/>
      <c r="P191" s="215"/>
      <c r="Q191" s="216"/>
      <c r="R191" s="216"/>
      <c r="S191" s="216"/>
      <c r="T191" s="216"/>
      <c r="U191" s="215"/>
      <c r="V191" s="216"/>
      <c r="W191" s="216"/>
      <c r="X191" s="216"/>
      <c r="Y191" s="216"/>
      <c r="Z191" s="215"/>
      <c r="AA191" s="216"/>
      <c r="AB191" s="216"/>
      <c r="AC191" s="216"/>
      <c r="AD191" s="216"/>
      <c r="AE191" s="215"/>
      <c r="AF191" s="216"/>
      <c r="AG191" s="216"/>
      <c r="AH191" s="216"/>
      <c r="AI191" s="216"/>
      <c r="AJ191" s="215"/>
      <c r="AK191" s="216"/>
      <c r="AL191" s="216"/>
      <c r="AM191" s="216"/>
      <c r="AN191" s="216"/>
      <c r="AO191" s="215"/>
      <c r="AP191" s="216"/>
      <c r="AQ191" s="216"/>
      <c r="AR191" s="216"/>
      <c r="AS191" s="216"/>
      <c r="AT191" s="215"/>
      <c r="AU191" s="216"/>
      <c r="AV191" s="216"/>
      <c r="AW191" s="216"/>
      <c r="AX191" s="216"/>
      <c r="AY191" s="215"/>
      <c r="AZ191" s="216"/>
      <c r="BA191" s="216"/>
      <c r="BB191" s="216"/>
      <c r="BC191" s="217"/>
      <c r="BD191" s="218"/>
      <c r="BE191" s="217"/>
      <c r="BF191" s="217"/>
      <c r="BG191" s="217"/>
      <c r="BH191" s="217"/>
      <c r="BI191" s="218"/>
      <c r="BJ191" s="217"/>
      <c r="BK191" s="217"/>
      <c r="BL191" s="217"/>
      <c r="BM191" s="217"/>
      <c r="BN191" s="218"/>
      <c r="BO191" s="216"/>
      <c r="BP191" s="216"/>
      <c r="BQ191" s="216"/>
      <c r="BR191" s="216"/>
      <c r="BS191" s="215"/>
      <c r="BT191" s="216"/>
      <c r="BU191" s="216"/>
      <c r="BV191" s="216"/>
      <c r="BW191" s="216"/>
      <c r="BX191" s="215"/>
      <c r="BY191" s="216"/>
      <c r="BZ191" s="216"/>
      <c r="CA191" s="216"/>
      <c r="CB191" s="216"/>
      <c r="CC191" s="215"/>
      <c r="CD191" s="216"/>
      <c r="CE191" s="216"/>
      <c r="CF191" s="216"/>
      <c r="CG191" s="216"/>
      <c r="CH191" s="215"/>
      <c r="CI191" s="216"/>
      <c r="CJ191" s="216"/>
      <c r="CK191" s="216"/>
      <c r="CL191" s="216"/>
      <c r="CM191" s="215"/>
      <c r="CN191" s="216"/>
      <c r="CO191" s="216"/>
      <c r="CP191" s="216"/>
      <c r="CQ191" s="216"/>
      <c r="CR191" s="215"/>
      <c r="CS191" s="216"/>
      <c r="CT191" s="216"/>
      <c r="CU191" s="216"/>
      <c r="CV191" s="216"/>
      <c r="CW191" s="215"/>
      <c r="CX191" s="216"/>
      <c r="CY191" s="216"/>
      <c r="CZ191" s="216"/>
      <c r="DA191" s="216"/>
      <c r="DB191" s="215"/>
      <c r="DC191" s="5"/>
      <c r="DD191" s="5"/>
      <c r="DE191" s="171"/>
      <c r="DF191" s="171"/>
      <c r="DG191" s="171"/>
      <c r="DH191" s="171"/>
      <c r="DI191" s="171"/>
      <c r="DJ191" s="171"/>
    </row>
    <row r="192" spans="1:114">
      <c r="A192" s="171"/>
      <c r="B192" s="697" t="s">
        <v>517</v>
      </c>
      <c r="C192" s="38"/>
      <c r="D192" s="201"/>
      <c r="E192" s="201"/>
      <c r="F192" s="201"/>
      <c r="G192" s="166"/>
      <c r="H192" s="166"/>
      <c r="I192" s="166"/>
      <c r="J192" s="166"/>
      <c r="K192" s="201"/>
      <c r="L192" s="166"/>
      <c r="M192" s="166"/>
      <c r="N192" s="166"/>
      <c r="O192" s="166"/>
      <c r="P192" s="201"/>
      <c r="Q192" s="166"/>
      <c r="R192" s="166"/>
      <c r="S192" s="166"/>
      <c r="T192" s="166"/>
      <c r="U192" s="201"/>
      <c r="V192" s="166"/>
      <c r="W192" s="166"/>
      <c r="X192" s="166"/>
      <c r="Y192" s="166"/>
      <c r="Z192" s="201"/>
      <c r="AA192" s="166"/>
      <c r="AB192" s="166"/>
      <c r="AC192" s="166"/>
      <c r="AD192" s="166"/>
      <c r="AE192" s="201"/>
      <c r="AF192" s="166"/>
      <c r="AG192" s="166"/>
      <c r="AH192" s="166"/>
      <c r="AI192" s="166"/>
      <c r="AJ192" s="201"/>
      <c r="AK192" s="166"/>
      <c r="AL192" s="166"/>
      <c r="AM192" s="166"/>
      <c r="AN192" s="166"/>
      <c r="AO192" s="201"/>
      <c r="AP192" s="166"/>
      <c r="AQ192" s="166"/>
      <c r="AR192" s="166"/>
      <c r="AS192" s="166"/>
      <c r="AT192" s="201"/>
      <c r="AU192" s="231"/>
      <c r="AV192" s="231"/>
      <c r="AW192" s="231"/>
      <c r="AX192" s="231"/>
      <c r="AY192" s="270">
        <v>0.05</v>
      </c>
      <c r="AZ192" s="231"/>
      <c r="BA192" s="231"/>
      <c r="BB192" s="231"/>
      <c r="BC192" s="231"/>
      <c r="BD192" s="270">
        <v>0.05</v>
      </c>
      <c r="BE192" s="231"/>
      <c r="BF192" s="231"/>
      <c r="BG192" s="231"/>
      <c r="BH192" s="231"/>
      <c r="BI192" s="270">
        <v>0.05</v>
      </c>
      <c r="BJ192" s="231">
        <v>0.05</v>
      </c>
      <c r="BK192" s="231">
        <v>0.05</v>
      </c>
      <c r="BL192" s="231">
        <v>0.05</v>
      </c>
      <c r="BM192" s="220">
        <f>BL192</f>
        <v>0.05</v>
      </c>
      <c r="BN192" s="107"/>
      <c r="BO192" s="220">
        <f>BM192</f>
        <v>0.05</v>
      </c>
      <c r="BP192" s="220">
        <f>BO192</f>
        <v>0.05</v>
      </c>
      <c r="BQ192" s="220">
        <f>BP192</f>
        <v>0.05</v>
      </c>
      <c r="BR192" s="220">
        <f>BQ192</f>
        <v>0.05</v>
      </c>
      <c r="BS192" s="107"/>
      <c r="BT192" s="220">
        <f>BR192</f>
        <v>0.05</v>
      </c>
      <c r="BU192" s="220">
        <f>BT192</f>
        <v>0.05</v>
      </c>
      <c r="BV192" s="220">
        <f>BU192</f>
        <v>0.05</v>
      </c>
      <c r="BW192" s="220">
        <f>BV192</f>
        <v>0.05</v>
      </c>
      <c r="BX192" s="107"/>
      <c r="BY192" s="220">
        <f>BW192</f>
        <v>0.05</v>
      </c>
      <c r="BZ192" s="220">
        <f>BY192</f>
        <v>0.05</v>
      </c>
      <c r="CA192" s="220">
        <f>BZ192</f>
        <v>0.05</v>
      </c>
      <c r="CB192" s="220">
        <f>CA192</f>
        <v>0.05</v>
      </c>
      <c r="CC192" s="107"/>
      <c r="CD192" s="220">
        <f>CB192</f>
        <v>0.05</v>
      </c>
      <c r="CE192" s="220">
        <f>CD192</f>
        <v>0.05</v>
      </c>
      <c r="CF192" s="220">
        <f>CE192</f>
        <v>0.05</v>
      </c>
      <c r="CG192" s="220">
        <f>CF192</f>
        <v>0.05</v>
      </c>
      <c r="CH192" s="107"/>
      <c r="CI192" s="220">
        <f>CG192</f>
        <v>0.05</v>
      </c>
      <c r="CJ192" s="220">
        <f>CI192</f>
        <v>0.05</v>
      </c>
      <c r="CK192" s="220">
        <f>CJ192</f>
        <v>0.05</v>
      </c>
      <c r="CL192" s="220">
        <f>CK192</f>
        <v>0.05</v>
      </c>
      <c r="CM192" s="107"/>
      <c r="CN192" s="220">
        <f>CL192</f>
        <v>0.05</v>
      </c>
      <c r="CO192" s="220">
        <f>CN192</f>
        <v>0.05</v>
      </c>
      <c r="CP192" s="220">
        <f>CO192</f>
        <v>0.05</v>
      </c>
      <c r="CQ192" s="220">
        <f>CP192</f>
        <v>0.05</v>
      </c>
      <c r="CR192" s="107"/>
      <c r="CS192" s="220">
        <f>CQ192</f>
        <v>0.05</v>
      </c>
      <c r="CT192" s="220">
        <f>CS192</f>
        <v>0.05</v>
      </c>
      <c r="CU192" s="220">
        <f>CT192</f>
        <v>0.05</v>
      </c>
      <c r="CV192" s="220">
        <f>CU192</f>
        <v>0.05</v>
      </c>
      <c r="CW192" s="107"/>
      <c r="CX192" s="220">
        <f>CV192</f>
        <v>0.05</v>
      </c>
      <c r="CY192" s="220">
        <f>CX192</f>
        <v>0.05</v>
      </c>
      <c r="CZ192" s="220">
        <f>CY192</f>
        <v>0.05</v>
      </c>
      <c r="DA192" s="220">
        <f>CZ192</f>
        <v>0.05</v>
      </c>
      <c r="DB192" s="107"/>
      <c r="DC192" s="5"/>
      <c r="DD192" s="5"/>
      <c r="DE192" s="171"/>
      <c r="DF192" s="171"/>
      <c r="DG192" s="171"/>
      <c r="DH192" s="171"/>
      <c r="DI192" s="171"/>
      <c r="DJ192" s="171"/>
    </row>
    <row r="193" spans="1:114">
      <c r="A193" s="171"/>
      <c r="B193" s="693" t="s">
        <v>518</v>
      </c>
      <c r="C193" s="38"/>
      <c r="D193" s="201"/>
      <c r="E193" s="201"/>
      <c r="F193" s="201"/>
      <c r="G193" s="166"/>
      <c r="H193" s="166"/>
      <c r="I193" s="166"/>
      <c r="J193" s="166"/>
      <c r="K193" s="201"/>
      <c r="L193" s="166"/>
      <c r="M193" s="166"/>
      <c r="N193" s="166"/>
      <c r="O193" s="166"/>
      <c r="P193" s="201"/>
      <c r="Q193" s="166"/>
      <c r="R193" s="166"/>
      <c r="S193" s="166"/>
      <c r="T193" s="166"/>
      <c r="U193" s="201"/>
      <c r="V193" s="166"/>
      <c r="W193" s="166"/>
      <c r="X193" s="166"/>
      <c r="Y193" s="166"/>
      <c r="Z193" s="201"/>
      <c r="AA193" s="166"/>
      <c r="AB193" s="166"/>
      <c r="AC193" s="166"/>
      <c r="AD193" s="166"/>
      <c r="AE193" s="201"/>
      <c r="AF193" s="166"/>
      <c r="AG193" s="166"/>
      <c r="AH193" s="166"/>
      <c r="AI193" s="166"/>
      <c r="AJ193" s="201"/>
      <c r="AK193" s="166"/>
      <c r="AL193" s="166"/>
      <c r="AM193" s="166"/>
      <c r="AN193" s="166"/>
      <c r="AO193" s="201"/>
      <c r="AP193" s="166"/>
      <c r="AQ193" s="166"/>
      <c r="AR193" s="166"/>
      <c r="AS193" s="166"/>
      <c r="AT193" s="221"/>
      <c r="AU193" s="192"/>
      <c r="AV193" s="193"/>
      <c r="AW193" s="193"/>
      <c r="AX193" s="193"/>
      <c r="AY193" s="194">
        <f>AT196</f>
        <v>76.61</v>
      </c>
      <c r="AZ193" s="192"/>
      <c r="BA193" s="193"/>
      <c r="BB193" s="193"/>
      <c r="BC193" s="193"/>
      <c r="BD193" s="194">
        <f>AY196</f>
        <v>54.305999999999997</v>
      </c>
      <c r="BE193" s="192"/>
      <c r="BF193" s="193"/>
      <c r="BG193" s="193"/>
      <c r="BH193" s="193"/>
      <c r="BI193" s="194">
        <f>BD196</f>
        <v>36.122</v>
      </c>
      <c r="BJ193" s="193">
        <f>BI196</f>
        <v>41.143000000000001</v>
      </c>
      <c r="BK193" s="193">
        <f>BJ196</f>
        <v>45.465000000000003</v>
      </c>
      <c r="BL193" s="193">
        <f>BK196</f>
        <v>48.575000000000003</v>
      </c>
      <c r="BM193" s="193">
        <f>BL196</f>
        <v>43.052</v>
      </c>
      <c r="BN193" s="194">
        <f>BI196</f>
        <v>41.143000000000001</v>
      </c>
      <c r="BO193" s="193">
        <f>BN196</f>
        <v>38.963000000000001</v>
      </c>
      <c r="BP193" s="193">
        <f>BO196</f>
        <v>43.835000000000001</v>
      </c>
      <c r="BQ193" s="193">
        <f>BP196</f>
        <v>47.139000000000003</v>
      </c>
      <c r="BR193" s="193">
        <f>BQ196</f>
        <v>42.002000000000002</v>
      </c>
      <c r="BS193" s="194">
        <f>BN196</f>
        <v>38.963000000000001</v>
      </c>
      <c r="BT193" s="193">
        <f>BS196</f>
        <v>36.901000000000003</v>
      </c>
      <c r="BU193" s="193">
        <f>BT196</f>
        <v>69</v>
      </c>
      <c r="BV193" s="193">
        <f>BU196</f>
        <v>67</v>
      </c>
      <c r="BW193" s="193">
        <f>BV196</f>
        <v>81</v>
      </c>
      <c r="BX193" s="194">
        <f>BS196</f>
        <v>36.901000000000003</v>
      </c>
      <c r="BY193" s="193">
        <f>BX196</f>
        <v>91</v>
      </c>
      <c r="BZ193" s="193">
        <f>BY196</f>
        <v>83</v>
      </c>
      <c r="CA193" s="193">
        <f>BZ196</f>
        <v>103</v>
      </c>
      <c r="CB193" s="193">
        <f>CA196</f>
        <v>106</v>
      </c>
      <c r="CC193" s="194">
        <f>BX196</f>
        <v>91</v>
      </c>
      <c r="CD193" s="193">
        <f>CC196</f>
        <v>92</v>
      </c>
      <c r="CE193" s="193">
        <f>CD196</f>
        <v>81</v>
      </c>
      <c r="CF193" s="193">
        <f>CE196</f>
        <v>96</v>
      </c>
      <c r="CG193" s="193">
        <f>CF196</f>
        <v>96</v>
      </c>
      <c r="CH193" s="194">
        <f>CC196</f>
        <v>92</v>
      </c>
      <c r="CI193" s="193">
        <f>CH196</f>
        <v>74</v>
      </c>
      <c r="CJ193" s="193">
        <f>CI196</f>
        <v>-150</v>
      </c>
      <c r="CK193" s="193">
        <f>CJ196</f>
        <v>-133</v>
      </c>
      <c r="CL193" s="193">
        <f>CK196</f>
        <v>-124</v>
      </c>
      <c r="CM193" s="194">
        <f>CH196</f>
        <v>74</v>
      </c>
      <c r="CN193" s="193">
        <f>CM196</f>
        <v>-152.00000000100039</v>
      </c>
      <c r="CO193" s="193">
        <f>CN196</f>
        <v>-152.00000000100039</v>
      </c>
      <c r="CP193" s="193">
        <f>CO196</f>
        <v>-152.00000000100039</v>
      </c>
      <c r="CQ193" s="193">
        <f>CP196</f>
        <v>-152.00000000100039</v>
      </c>
      <c r="CR193" s="194">
        <f>CM196</f>
        <v>-152.00000000100039</v>
      </c>
      <c r="CS193" s="193">
        <f>CR196</f>
        <v>-152.00000000100039</v>
      </c>
      <c r="CT193" s="193">
        <f>CS196</f>
        <v>-152.00000000100039</v>
      </c>
      <c r="CU193" s="193">
        <f>CT196</f>
        <v>-152.00000000100039</v>
      </c>
      <c r="CV193" s="193">
        <f>CU196</f>
        <v>-152.00000000100039</v>
      </c>
      <c r="CW193" s="194">
        <f>CR196</f>
        <v>-152.00000000100039</v>
      </c>
      <c r="CX193" s="193">
        <f>CW196</f>
        <v>-152.00000000100039</v>
      </c>
      <c r="CY193" s="193">
        <f>CX196</f>
        <v>-152.00000000100039</v>
      </c>
      <c r="CZ193" s="193">
        <f>CY196</f>
        <v>-152.00000000100039</v>
      </c>
      <c r="DA193" s="193">
        <f>CZ196</f>
        <v>-152.00000000100039</v>
      </c>
      <c r="DB193" s="194">
        <f>CW196</f>
        <v>-152.00000000100039</v>
      </c>
      <c r="DC193" s="5"/>
      <c r="DD193" s="5"/>
      <c r="DE193" s="171"/>
      <c r="DF193" s="171"/>
      <c r="DG193" s="171"/>
      <c r="DH193" s="171"/>
      <c r="DI193" s="171"/>
      <c r="DJ193" s="171"/>
    </row>
    <row r="194" spans="1:114">
      <c r="A194" s="171"/>
      <c r="B194" s="693" t="s">
        <v>654</v>
      </c>
      <c r="C194" s="38"/>
      <c r="D194" s="201"/>
      <c r="E194" s="201"/>
      <c r="F194" s="201"/>
      <c r="G194" s="166"/>
      <c r="H194" s="166"/>
      <c r="I194" s="166"/>
      <c r="J194" s="166"/>
      <c r="K194" s="201"/>
      <c r="L194" s="166"/>
      <c r="M194" s="166"/>
      <c r="N194" s="166"/>
      <c r="O194" s="166"/>
      <c r="P194" s="201"/>
      <c r="Q194" s="166"/>
      <c r="R194" s="166"/>
      <c r="S194" s="166"/>
      <c r="T194" s="166"/>
      <c r="U194" s="201"/>
      <c r="V194" s="166"/>
      <c r="W194" s="166"/>
      <c r="X194" s="166"/>
      <c r="Y194" s="166"/>
      <c r="Z194" s="201"/>
      <c r="AA194" s="166"/>
      <c r="AB194" s="166"/>
      <c r="AC194" s="166"/>
      <c r="AD194" s="166"/>
      <c r="AE194" s="201"/>
      <c r="AF194" s="166"/>
      <c r="AG194" s="166"/>
      <c r="AH194" s="166"/>
      <c r="AI194" s="166"/>
      <c r="AJ194" s="201"/>
      <c r="AK194" s="166"/>
      <c r="AL194" s="166"/>
      <c r="AM194" s="166"/>
      <c r="AN194" s="166"/>
      <c r="AO194" s="201"/>
      <c r="AP194" s="166"/>
      <c r="AQ194" s="166"/>
      <c r="AR194" s="166"/>
      <c r="AS194" s="166"/>
      <c r="AT194" s="221"/>
      <c r="AU194" s="192"/>
      <c r="AV194" s="193"/>
      <c r="AW194" s="193"/>
      <c r="AX194" s="193"/>
      <c r="AY194" s="194"/>
      <c r="AZ194" s="192"/>
      <c r="BA194" s="193"/>
      <c r="BB194" s="193"/>
      <c r="BC194" s="193"/>
      <c r="BD194" s="194"/>
      <c r="BE194" s="192"/>
      <c r="BF194" s="193"/>
      <c r="BG194" s="193"/>
      <c r="BH194" s="193"/>
      <c r="BI194" s="194"/>
      <c r="BJ194" s="193"/>
      <c r="BK194" s="193"/>
      <c r="BL194" s="193"/>
      <c r="BM194" s="193"/>
      <c r="BN194" s="194"/>
      <c r="BO194" s="193"/>
      <c r="BP194" s="193"/>
      <c r="BQ194" s="193"/>
      <c r="BR194" s="193"/>
      <c r="BS194" s="194"/>
      <c r="BT194" s="193"/>
      <c r="BU194" s="193"/>
      <c r="BV194" s="193"/>
      <c r="BW194" s="193"/>
      <c r="BX194" s="194"/>
      <c r="BY194" s="1181">
        <v>0</v>
      </c>
      <c r="BZ194" s="193">
        <f>BZ196-BZ193</f>
        <v>20</v>
      </c>
      <c r="CA194" s="193">
        <f>CA196-CA193</f>
        <v>3</v>
      </c>
      <c r="CB194" s="842">
        <v>0</v>
      </c>
      <c r="CC194" s="194">
        <f>SUM(BY194:CB194)</f>
        <v>23</v>
      </c>
      <c r="CD194" s="1181">
        <v>0</v>
      </c>
      <c r="CE194" s="193">
        <f>CE196-CE193</f>
        <v>15</v>
      </c>
      <c r="CF194" s="193">
        <v>0</v>
      </c>
      <c r="CG194" s="842">
        <v>0</v>
      </c>
      <c r="CH194" s="194">
        <f>SUM(CD194:CG194)</f>
        <v>15</v>
      </c>
      <c r="CI194" s="1181">
        <v>0</v>
      </c>
      <c r="CJ194" s="193">
        <v>0</v>
      </c>
      <c r="CK194" s="193">
        <v>0</v>
      </c>
      <c r="CL194" s="842">
        <v>0</v>
      </c>
      <c r="CM194" s="194">
        <f>SUM(CI194:CL194)</f>
        <v>0</v>
      </c>
      <c r="CN194" s="1181">
        <v>0</v>
      </c>
      <c r="CO194" s="193">
        <v>0</v>
      </c>
      <c r="CP194" s="193">
        <v>0</v>
      </c>
      <c r="CQ194" s="842">
        <v>0</v>
      </c>
      <c r="CR194" s="194">
        <f>SUM(CN194:CQ194)</f>
        <v>0</v>
      </c>
      <c r="CS194" s="1181">
        <v>0</v>
      </c>
      <c r="CT194" s="193">
        <v>0</v>
      </c>
      <c r="CU194" s="193">
        <v>0</v>
      </c>
      <c r="CV194" s="842">
        <v>0</v>
      </c>
      <c r="CW194" s="194">
        <f>SUM(CS194:CV194)</f>
        <v>0</v>
      </c>
      <c r="CX194" s="1181">
        <v>0</v>
      </c>
      <c r="CY194" s="193">
        <v>0</v>
      </c>
      <c r="CZ194" s="193">
        <v>0</v>
      </c>
      <c r="DA194" s="842">
        <v>0</v>
      </c>
      <c r="DB194" s="194">
        <f>SUM(CX194:DA194)</f>
        <v>0</v>
      </c>
      <c r="DC194" s="5"/>
      <c r="DD194" s="5"/>
      <c r="DE194" s="171"/>
      <c r="DF194" s="171"/>
      <c r="DG194" s="171"/>
      <c r="DH194" s="171"/>
      <c r="DI194" s="171"/>
      <c r="DJ194" s="171"/>
    </row>
    <row r="195" spans="1:114">
      <c r="A195" s="171"/>
      <c r="B195" s="691" t="s">
        <v>653</v>
      </c>
      <c r="C195" s="33"/>
      <c r="D195" s="206"/>
      <c r="E195" s="206"/>
      <c r="F195" s="206"/>
      <c r="G195" s="214"/>
      <c r="H195" s="214"/>
      <c r="I195" s="214"/>
      <c r="J195" s="214"/>
      <c r="K195" s="206"/>
      <c r="L195" s="214"/>
      <c r="M195" s="214"/>
      <c r="N195" s="214"/>
      <c r="O195" s="214"/>
      <c r="P195" s="206"/>
      <c r="Q195" s="214"/>
      <c r="R195" s="214"/>
      <c r="S195" s="214"/>
      <c r="T195" s="214"/>
      <c r="U195" s="206"/>
      <c r="V195" s="214"/>
      <c r="W195" s="214"/>
      <c r="X195" s="214"/>
      <c r="Y195" s="214"/>
      <c r="Z195" s="206"/>
      <c r="AA195" s="214"/>
      <c r="AB195" s="214"/>
      <c r="AC195" s="214"/>
      <c r="AD195" s="214"/>
      <c r="AE195" s="206"/>
      <c r="AF195" s="214"/>
      <c r="AG195" s="214"/>
      <c r="AH195" s="214"/>
      <c r="AI195" s="214"/>
      <c r="AJ195" s="206"/>
      <c r="AK195" s="214"/>
      <c r="AL195" s="214"/>
      <c r="AM195" s="214"/>
      <c r="AN195" s="214"/>
      <c r="AO195" s="206"/>
      <c r="AP195" s="214"/>
      <c r="AQ195" s="214"/>
      <c r="AR195" s="214"/>
      <c r="AS195" s="214"/>
      <c r="AT195" s="225"/>
      <c r="AU195" s="195"/>
      <c r="AV195" s="195"/>
      <c r="AW195" s="195"/>
      <c r="AX195" s="195"/>
      <c r="AY195" s="197">
        <f>AY196-AY193</f>
        <v>-22.304000000000002</v>
      </c>
      <c r="AZ195" s="195"/>
      <c r="BA195" s="195"/>
      <c r="BB195" s="195"/>
      <c r="BC195" s="195"/>
      <c r="BD195" s="197">
        <f>BD196-BD193</f>
        <v>-18.183999999999997</v>
      </c>
      <c r="BE195" s="195"/>
      <c r="BF195" s="195"/>
      <c r="BG195" s="195"/>
      <c r="BH195" s="195"/>
      <c r="BI195" s="197">
        <f>BI196-BI193</f>
        <v>5.0210000000000008</v>
      </c>
      <c r="BJ195" s="196">
        <f>BJ196-BJ193</f>
        <v>4.3220000000000027</v>
      </c>
      <c r="BK195" s="196">
        <f>BK196-BK193</f>
        <v>3.1099999999999994</v>
      </c>
      <c r="BL195" s="196">
        <f>BL196-BL193</f>
        <v>-5.5230000000000032</v>
      </c>
      <c r="BM195" s="196">
        <f>BM196-BM193</f>
        <v>-4.0889999999999986</v>
      </c>
      <c r="BN195" s="197">
        <f>SUM(BJ195:BM195)</f>
        <v>-2.1799999999999997</v>
      </c>
      <c r="BO195" s="196">
        <f>BO196-BO193</f>
        <v>4.8719999999999999</v>
      </c>
      <c r="BP195" s="196">
        <f>BP196-BP193</f>
        <v>3.304000000000002</v>
      </c>
      <c r="BQ195" s="196">
        <f>BQ196-BQ193</f>
        <v>-5.1370000000000005</v>
      </c>
      <c r="BR195" s="196">
        <f>BR196-BR193</f>
        <v>-5.1009999999999991</v>
      </c>
      <c r="BS195" s="197">
        <f>SUM(BO195:BR195)</f>
        <v>-2.0619999999999976</v>
      </c>
      <c r="BT195" s="196">
        <f>BT196-BT193</f>
        <v>32.098999999999997</v>
      </c>
      <c r="BU195" s="196">
        <f>BU196-BU193</f>
        <v>-2</v>
      </c>
      <c r="BV195" s="196">
        <f>BV196-BV193</f>
        <v>14</v>
      </c>
      <c r="BW195" s="196">
        <f>BW196-BW193</f>
        <v>10</v>
      </c>
      <c r="BX195" s="197">
        <f>SUM(BT195:BW195)</f>
        <v>54.098999999999997</v>
      </c>
      <c r="BY195" s="196">
        <f>BY196-BY193</f>
        <v>-8</v>
      </c>
      <c r="BZ195" s="196">
        <v>0</v>
      </c>
      <c r="CA195" s="196">
        <v>0</v>
      </c>
      <c r="CB195" s="196">
        <f>CB196-CB193</f>
        <v>-14</v>
      </c>
      <c r="CC195" s="197">
        <f>SUM(BY195:CB195)</f>
        <v>-22</v>
      </c>
      <c r="CD195" s="196">
        <f>CD196-CD193</f>
        <v>-11</v>
      </c>
      <c r="CE195" s="196">
        <v>0</v>
      </c>
      <c r="CF195" s="196">
        <v>0</v>
      </c>
      <c r="CG195" s="196">
        <f>+CG196-CG193</f>
        <v>-22</v>
      </c>
      <c r="CH195" s="197">
        <f>SUM(CD195:CG195)</f>
        <v>-33</v>
      </c>
      <c r="CI195" s="196">
        <f>+CI196-CI193</f>
        <v>-224</v>
      </c>
      <c r="CJ195" s="196">
        <v>17</v>
      </c>
      <c r="CK195" s="196">
        <f>-46+55</f>
        <v>9</v>
      </c>
      <c r="CL195" s="166">
        <v>-28.000000001000402</v>
      </c>
      <c r="CM195" s="197">
        <f>SUM(CI195:CL195)</f>
        <v>-226.00000000100039</v>
      </c>
      <c r="CN195" s="196">
        <v>0</v>
      </c>
      <c r="CO195" s="196">
        <v>0</v>
      </c>
      <c r="CP195" s="196">
        <v>0</v>
      </c>
      <c r="CQ195" s="196">
        <v>0</v>
      </c>
      <c r="CR195" s="197">
        <f>SUM(CN195:CQ195)</f>
        <v>0</v>
      </c>
      <c r="CS195" s="196">
        <v>0</v>
      </c>
      <c r="CT195" s="196">
        <v>0</v>
      </c>
      <c r="CU195" s="196">
        <v>0</v>
      </c>
      <c r="CV195" s="196">
        <v>0</v>
      </c>
      <c r="CW195" s="197">
        <f>SUM(CS195:CV195)</f>
        <v>0</v>
      </c>
      <c r="CX195" s="196">
        <v>0</v>
      </c>
      <c r="CY195" s="196">
        <v>0</v>
      </c>
      <c r="CZ195" s="196">
        <v>0</v>
      </c>
      <c r="DA195" s="196">
        <v>0</v>
      </c>
      <c r="DB195" s="197">
        <f>SUM(CX195:DA195)</f>
        <v>0</v>
      </c>
      <c r="DC195" s="5"/>
      <c r="DD195" s="5"/>
      <c r="DE195" s="171"/>
      <c r="DF195" s="171"/>
      <c r="DG195" s="171"/>
      <c r="DH195" s="171"/>
      <c r="DI195" s="171"/>
      <c r="DJ195" s="171"/>
    </row>
    <row r="196" spans="1:114">
      <c r="A196" s="171"/>
      <c r="B196" s="698" t="s">
        <v>519</v>
      </c>
      <c r="C196" s="48"/>
      <c r="D196" s="204"/>
      <c r="E196" s="204"/>
      <c r="F196" s="204"/>
      <c r="G196" s="407"/>
      <c r="H196" s="407"/>
      <c r="I196" s="407"/>
      <c r="J196" s="407"/>
      <c r="K196" s="204"/>
      <c r="L196" s="407"/>
      <c r="M196" s="407"/>
      <c r="N196" s="407"/>
      <c r="O196" s="407"/>
      <c r="P196" s="204"/>
      <c r="Q196" s="407"/>
      <c r="R196" s="407"/>
      <c r="S196" s="407"/>
      <c r="T196" s="407"/>
      <c r="U196" s="204"/>
      <c r="V196" s="407"/>
      <c r="W196" s="407"/>
      <c r="X196" s="407"/>
      <c r="Y196" s="407"/>
      <c r="Z196" s="204"/>
      <c r="AA196" s="407"/>
      <c r="AB196" s="407"/>
      <c r="AC196" s="407"/>
      <c r="AD196" s="407"/>
      <c r="AE196" s="204"/>
      <c r="AF196" s="407"/>
      <c r="AG196" s="407"/>
      <c r="AH196" s="407"/>
      <c r="AI196" s="407"/>
      <c r="AJ196" s="204"/>
      <c r="AK196" s="407"/>
      <c r="AL196" s="407"/>
      <c r="AM196" s="407"/>
      <c r="AN196" s="407"/>
      <c r="AO196" s="204"/>
      <c r="AP196" s="407"/>
      <c r="AQ196" s="407"/>
      <c r="AR196" s="407"/>
      <c r="AS196" s="407"/>
      <c r="AT196" s="232">
        <f>68.61+8</f>
        <v>76.61</v>
      </c>
      <c r="AU196" s="193"/>
      <c r="AV196" s="193"/>
      <c r="AW196" s="193"/>
      <c r="AX196" s="193"/>
      <c r="AY196" s="199">
        <f>46.306+8</f>
        <v>54.305999999999997</v>
      </c>
      <c r="AZ196" s="193"/>
      <c r="BA196" s="193"/>
      <c r="BB196" s="193"/>
      <c r="BC196" s="193"/>
      <c r="BD196" s="236">
        <v>36.122</v>
      </c>
      <c r="BE196" s="193"/>
      <c r="BF196" s="193"/>
      <c r="BG196" s="193"/>
      <c r="BH196" s="193"/>
      <c r="BI196" s="236">
        <v>41.143000000000001</v>
      </c>
      <c r="BJ196" s="198">
        <v>45.465000000000003</v>
      </c>
      <c r="BK196" s="198">
        <v>48.575000000000003</v>
      </c>
      <c r="BL196" s="198">
        <v>43.052</v>
      </c>
      <c r="BM196" s="233">
        <v>38.963000000000001</v>
      </c>
      <c r="BN196" s="199">
        <f>BM196</f>
        <v>38.963000000000001</v>
      </c>
      <c r="BO196" s="233">
        <v>43.835000000000001</v>
      </c>
      <c r="BP196" s="233">
        <v>47.139000000000003</v>
      </c>
      <c r="BQ196" s="551">
        <v>42.002000000000002</v>
      </c>
      <c r="BR196" s="229">
        <v>36.901000000000003</v>
      </c>
      <c r="BS196" s="199">
        <f>BR196</f>
        <v>36.901000000000003</v>
      </c>
      <c r="BT196" s="551">
        <v>69</v>
      </c>
      <c r="BU196" s="551">
        <v>67</v>
      </c>
      <c r="BV196" s="582">
        <v>81</v>
      </c>
      <c r="BW196" s="582">
        <v>91</v>
      </c>
      <c r="BX196" s="199">
        <f>BW196</f>
        <v>91</v>
      </c>
      <c r="BY196" s="551">
        <v>83</v>
      </c>
      <c r="BZ196" s="582">
        <v>103</v>
      </c>
      <c r="CA196" s="582">
        <v>106</v>
      </c>
      <c r="CB196" s="582">
        <v>92</v>
      </c>
      <c r="CC196" s="199">
        <f>CB196</f>
        <v>92</v>
      </c>
      <c r="CD196" s="582">
        <v>81</v>
      </c>
      <c r="CE196" s="582">
        <v>96</v>
      </c>
      <c r="CF196" s="229">
        <f>CF193+CF195</f>
        <v>96</v>
      </c>
      <c r="CG196" s="582">
        <v>74</v>
      </c>
      <c r="CH196" s="199">
        <f>CG196</f>
        <v>74</v>
      </c>
      <c r="CI196" s="582">
        <f>-211+61</f>
        <v>-150</v>
      </c>
      <c r="CJ196" s="193">
        <f>SUM(CJ193:CJ195)</f>
        <v>-133</v>
      </c>
      <c r="CK196" s="193">
        <f>SUM(CK193:CK195)</f>
        <v>-124</v>
      </c>
      <c r="CL196" s="1373">
        <f>SUM(CL193:CL195)</f>
        <v>-152.00000000100039</v>
      </c>
      <c r="CM196" s="194">
        <f>CL196</f>
        <v>-152.00000000100039</v>
      </c>
      <c r="CN196" s="193">
        <f>SUM(CN193:CN195)</f>
        <v>-152.00000000100039</v>
      </c>
      <c r="CO196" s="193">
        <f>SUM(CO193:CO195)</f>
        <v>-152.00000000100039</v>
      </c>
      <c r="CP196" s="193">
        <f>SUM(CP193:CP195)</f>
        <v>-152.00000000100039</v>
      </c>
      <c r="CQ196" s="193">
        <f>SUM(CQ193:CQ195)</f>
        <v>-152.00000000100039</v>
      </c>
      <c r="CR196" s="194">
        <f>CQ196</f>
        <v>-152.00000000100039</v>
      </c>
      <c r="CS196" s="193">
        <f>SUM(CS193:CS195)</f>
        <v>-152.00000000100039</v>
      </c>
      <c r="CT196" s="193">
        <f>SUM(CT193:CT195)</f>
        <v>-152.00000000100039</v>
      </c>
      <c r="CU196" s="193">
        <f>SUM(CU193:CU195)</f>
        <v>-152.00000000100039</v>
      </c>
      <c r="CV196" s="193">
        <f>SUM(CV193:CV195)</f>
        <v>-152.00000000100039</v>
      </c>
      <c r="CW196" s="194">
        <f>CV196</f>
        <v>-152.00000000100039</v>
      </c>
      <c r="CX196" s="193">
        <f>SUM(CX193:CX195)</f>
        <v>-152.00000000100039</v>
      </c>
      <c r="CY196" s="193">
        <f>SUM(CY193:CY195)</f>
        <v>-152.00000000100039</v>
      </c>
      <c r="CZ196" s="193">
        <f>SUM(CZ193:CZ195)</f>
        <v>-152.00000000100039</v>
      </c>
      <c r="DA196" s="193">
        <f>SUM(DA193:DA195)</f>
        <v>-152.00000000100039</v>
      </c>
      <c r="DB196" s="194">
        <f>DA196</f>
        <v>-152.00000000100039</v>
      </c>
      <c r="DC196" s="5"/>
      <c r="DD196" s="5"/>
      <c r="DE196" s="171"/>
      <c r="DF196" s="171"/>
      <c r="DG196" s="171"/>
      <c r="DH196" s="171"/>
      <c r="DI196" s="171"/>
      <c r="DJ196" s="171"/>
    </row>
    <row r="197" spans="1:114">
      <c r="A197" s="171"/>
      <c r="B197" s="691" t="s">
        <v>520</v>
      </c>
      <c r="C197" s="33"/>
      <c r="D197" s="206"/>
      <c r="E197" s="206"/>
      <c r="F197" s="206"/>
      <c r="G197" s="214"/>
      <c r="H197" s="214"/>
      <c r="I197" s="214"/>
      <c r="J197" s="214"/>
      <c r="K197" s="206"/>
      <c r="L197" s="214"/>
      <c r="M197" s="214"/>
      <c r="N197" s="214"/>
      <c r="O197" s="214"/>
      <c r="P197" s="206"/>
      <c r="Q197" s="214"/>
      <c r="R197" s="214"/>
      <c r="S197" s="214"/>
      <c r="T197" s="214"/>
      <c r="U197" s="206"/>
      <c r="V197" s="214"/>
      <c r="W197" s="214"/>
      <c r="X197" s="214"/>
      <c r="Y197" s="214"/>
      <c r="Z197" s="206"/>
      <c r="AA197" s="214"/>
      <c r="AB197" s="214"/>
      <c r="AC197" s="214"/>
      <c r="AD197" s="214"/>
      <c r="AE197" s="206"/>
      <c r="AF197" s="214"/>
      <c r="AG197" s="214"/>
      <c r="AH197" s="214"/>
      <c r="AI197" s="214"/>
      <c r="AJ197" s="206"/>
      <c r="AK197" s="214"/>
      <c r="AL197" s="214"/>
      <c r="AM197" s="214"/>
      <c r="AN197" s="214"/>
      <c r="AO197" s="206"/>
      <c r="AP197" s="214"/>
      <c r="AQ197" s="214"/>
      <c r="AR197" s="214"/>
      <c r="AS197" s="214"/>
      <c r="AT197" s="225"/>
      <c r="AU197" s="230"/>
      <c r="AV197" s="230"/>
      <c r="AW197" s="230"/>
      <c r="AX197" s="230"/>
      <c r="AY197" s="197">
        <f>AY192*AVERAGE(AY196,AY193)</f>
        <v>3.2728999999999999</v>
      </c>
      <c r="AZ197" s="230"/>
      <c r="BA197" s="230"/>
      <c r="BB197" s="230"/>
      <c r="BC197" s="230"/>
      <c r="BD197" s="197">
        <f>BD192*AVERAGE(BD196,BD193)</f>
        <v>2.2606999999999999</v>
      </c>
      <c r="BE197" s="230"/>
      <c r="BF197" s="230"/>
      <c r="BG197" s="230"/>
      <c r="BH197" s="230"/>
      <c r="BI197" s="197">
        <f>BI192*AVERAGE(BI196,BI193)</f>
        <v>1.9316250000000001</v>
      </c>
      <c r="BJ197" s="230">
        <f>BJ192/4*AVERAGE(BJ196,BJ193)</f>
        <v>0.5413</v>
      </c>
      <c r="BK197" s="230">
        <f>BK192/4*AVERAGE(BK196,BK193)</f>
        <v>0.58775000000000011</v>
      </c>
      <c r="BL197" s="230">
        <f>BL192/4*AVERAGE(BL196,BL193)</f>
        <v>0.57266875000000006</v>
      </c>
      <c r="BM197" s="230">
        <f>BM192/4*AVERAGE(BM196,BM193)</f>
        <v>0.51259375000000007</v>
      </c>
      <c r="BN197" s="197">
        <f>SUM(BJ197:BM197)</f>
        <v>2.2143125000000001</v>
      </c>
      <c r="BO197" s="230">
        <f>BO192/4*AVERAGE(BO196,BO193)</f>
        <v>0.51748749999999999</v>
      </c>
      <c r="BP197" s="230">
        <f>BP192/4*AVERAGE(BP196,BP193)</f>
        <v>0.56858750000000002</v>
      </c>
      <c r="BQ197" s="230">
        <f>BQ192/4*AVERAGE(BQ196,BQ193)</f>
        <v>0.55713125000000008</v>
      </c>
      <c r="BR197" s="230">
        <f>BR192/4*AVERAGE(BR196,BR193)</f>
        <v>0.49314375000000005</v>
      </c>
      <c r="BS197" s="197">
        <f>SUM(BO197:BR197)</f>
        <v>2.1363500000000002</v>
      </c>
      <c r="BT197" s="230">
        <f>BT192/4*AVERAGE(BT196,BT193)</f>
        <v>0.66188125000000009</v>
      </c>
      <c r="BU197" s="230">
        <f>BU192/4*AVERAGE(BU196,BU193)</f>
        <v>0.85000000000000009</v>
      </c>
      <c r="BV197" s="230">
        <f>BV192/4*AVERAGE(BV196,BV193)</f>
        <v>0.92500000000000004</v>
      </c>
      <c r="BW197" s="230">
        <f>BW192/4*AVERAGE(BW196,BW193)</f>
        <v>1.075</v>
      </c>
      <c r="BX197" s="197">
        <f>SUM(BT197:BW197)</f>
        <v>3.5118812500000001</v>
      </c>
      <c r="BY197" s="230">
        <f>BY192/4*AVERAGE(BY196,BY193)</f>
        <v>1.0875000000000001</v>
      </c>
      <c r="BZ197" s="230">
        <f>BZ192/4*AVERAGE(BZ196,BZ193)</f>
        <v>1.1625000000000001</v>
      </c>
      <c r="CA197" s="230">
        <f>CA192/4*AVERAGE(CA196,CA193)</f>
        <v>1.3062500000000001</v>
      </c>
      <c r="CB197" s="230">
        <f>CB192/4*AVERAGE(CB196,CB193)</f>
        <v>1.2375</v>
      </c>
      <c r="CC197" s="197">
        <f>SUM(BY197:CB197)</f>
        <v>4.7937500000000002</v>
      </c>
      <c r="CD197" s="230">
        <f>CD192/4*AVERAGE(CD196,CD193)</f>
        <v>1.08125</v>
      </c>
      <c r="CE197" s="230">
        <f>CE192/4*AVERAGE(CE196,CE193)</f>
        <v>1.10625</v>
      </c>
      <c r="CF197" s="230">
        <f>CF192/4*AVERAGE(CF196,CF193)</f>
        <v>1.2000000000000002</v>
      </c>
      <c r="CG197" s="230">
        <f>CG192/4*AVERAGE(CG196,CG193)</f>
        <v>1.0625</v>
      </c>
      <c r="CH197" s="197">
        <f>SUM(CD197:CG197)</f>
        <v>4.45</v>
      </c>
      <c r="CI197" s="230">
        <f>CI192/4*AVERAGE(CI196,CI193)</f>
        <v>-0.47500000000000003</v>
      </c>
      <c r="CJ197" s="230">
        <f>CJ192/4*AVERAGE(CJ196,CJ193)</f>
        <v>-1.76875</v>
      </c>
      <c r="CK197" s="230">
        <f>CK192/4*AVERAGE(CK196,CK193)</f>
        <v>-1.6062500000000002</v>
      </c>
      <c r="CL197" s="230">
        <f>CL192/4*AVERAGE(CL196,CL193)</f>
        <v>-1.7250000000062524</v>
      </c>
      <c r="CM197" s="197">
        <f>SUM(CI197:CL197)</f>
        <v>-5.5750000000062521</v>
      </c>
      <c r="CN197" s="230">
        <f>CN192/4*AVERAGE(CN196,CN193)</f>
        <v>-1.900000000012505</v>
      </c>
      <c r="CO197" s="230">
        <f>CO192/4*AVERAGE(CO196,CO193)</f>
        <v>-1.900000000012505</v>
      </c>
      <c r="CP197" s="230">
        <f>CP192/4*AVERAGE(CP196,CP193)</f>
        <v>-1.900000000012505</v>
      </c>
      <c r="CQ197" s="230">
        <f>CQ192/4*AVERAGE(CQ196,CQ193)</f>
        <v>-1.900000000012505</v>
      </c>
      <c r="CR197" s="197">
        <f>SUM(CN197:CQ197)</f>
        <v>-7.6000000000500201</v>
      </c>
      <c r="CS197" s="230">
        <f>CS192/4*AVERAGE(CS196,CS193)</f>
        <v>-1.900000000012505</v>
      </c>
      <c r="CT197" s="230">
        <f>CT192/4*AVERAGE(CT196,CT193)</f>
        <v>-1.900000000012505</v>
      </c>
      <c r="CU197" s="230">
        <f>CU192/4*AVERAGE(CU196,CU193)</f>
        <v>-1.900000000012505</v>
      </c>
      <c r="CV197" s="230">
        <f>CV192/4*AVERAGE(CV196,CV193)</f>
        <v>-1.900000000012505</v>
      </c>
      <c r="CW197" s="197">
        <f>SUM(CS197:CV197)</f>
        <v>-7.6000000000500201</v>
      </c>
      <c r="CX197" s="230">
        <f>CX192/4*AVERAGE(CX196,CX193)</f>
        <v>-1.900000000012505</v>
      </c>
      <c r="CY197" s="230">
        <f>CY192/4*AVERAGE(CY196,CY193)</f>
        <v>-1.900000000012505</v>
      </c>
      <c r="CZ197" s="230">
        <f>CZ192/4*AVERAGE(CZ196,CZ193)</f>
        <v>-1.900000000012505</v>
      </c>
      <c r="DA197" s="230">
        <f>DA192/4*AVERAGE(DA196,DA193)</f>
        <v>-1.900000000012505</v>
      </c>
      <c r="DB197" s="197">
        <f>SUM(CX197:DA197)</f>
        <v>-7.6000000000500201</v>
      </c>
      <c r="DC197" s="5"/>
      <c r="DD197" s="5"/>
      <c r="DE197" s="171"/>
      <c r="DF197" s="171"/>
      <c r="DG197" s="171"/>
      <c r="DH197" s="171"/>
      <c r="DI197" s="171"/>
      <c r="DJ197" s="171"/>
    </row>
    <row r="198" spans="1:114" ht="12.75" customHeight="1">
      <c r="A198" s="171"/>
      <c r="B198" s="161"/>
      <c r="C198" s="38"/>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159"/>
      <c r="AZ198" s="5"/>
      <c r="BA198" s="5"/>
      <c r="BB198" s="5"/>
      <c r="BC198" s="5"/>
      <c r="BD198" s="159"/>
      <c r="BE198" s="5"/>
      <c r="BF198" s="5"/>
      <c r="BG198" s="5"/>
      <c r="BH198" s="5"/>
      <c r="BI198" s="159"/>
      <c r="BJ198" s="5"/>
      <c r="BK198" s="5"/>
      <c r="BL198" s="5"/>
      <c r="BM198" s="5"/>
      <c r="BN198" s="159"/>
      <c r="BO198" s="5"/>
      <c r="BP198" s="5"/>
      <c r="BQ198" s="5"/>
      <c r="BR198" s="5"/>
      <c r="BS198" s="159"/>
      <c r="BT198" s="5"/>
      <c r="BU198" s="5"/>
      <c r="BV198" s="5"/>
      <c r="BW198" s="5"/>
      <c r="BX198" s="159"/>
      <c r="BY198" s="5"/>
      <c r="BZ198" s="5"/>
      <c r="CA198" s="5"/>
      <c r="CB198" s="5"/>
      <c r="CC198" s="159"/>
      <c r="CD198" s="5"/>
      <c r="CE198" s="5"/>
      <c r="CF198" s="5"/>
      <c r="CG198" s="5"/>
      <c r="CH198" s="159"/>
      <c r="CI198" s="5"/>
      <c r="CJ198" s="5"/>
      <c r="CK198" s="5"/>
      <c r="CL198" s="5"/>
      <c r="CM198" s="159"/>
      <c r="CN198" s="5"/>
      <c r="CO198" s="5"/>
      <c r="CP198" s="5"/>
      <c r="CQ198" s="5"/>
      <c r="CR198" s="159"/>
      <c r="CS198" s="5"/>
      <c r="CT198" s="5"/>
      <c r="CU198" s="5"/>
      <c r="CV198" s="5"/>
      <c r="CW198" s="159"/>
      <c r="CX198" s="5"/>
      <c r="CY198" s="5"/>
      <c r="CZ198" s="5"/>
      <c r="DA198" s="5"/>
      <c r="DB198" s="159"/>
      <c r="DC198" s="5"/>
      <c r="DD198" s="5"/>
      <c r="DE198" s="171"/>
      <c r="DF198" s="171"/>
      <c r="DG198" s="171"/>
      <c r="DH198" s="171"/>
      <c r="DI198" s="171"/>
      <c r="DJ198" s="171"/>
    </row>
    <row r="199" spans="1:114" s="1163" customFormat="1" hidden="1" outlineLevel="1">
      <c r="A199" s="171"/>
      <c r="B199" s="1172" t="s">
        <v>524</v>
      </c>
      <c r="C199" s="1152"/>
      <c r="D199" s="1154"/>
      <c r="E199" s="1154"/>
      <c r="F199" s="1154"/>
      <c r="G199" s="1154"/>
      <c r="H199" s="1154"/>
      <c r="I199" s="1154"/>
      <c r="J199" s="1154"/>
      <c r="K199" s="1154"/>
      <c r="L199" s="1154"/>
      <c r="M199" s="1154"/>
      <c r="N199" s="1154"/>
      <c r="O199" s="1154"/>
      <c r="P199" s="1154"/>
      <c r="Q199" s="1154"/>
      <c r="R199" s="1154"/>
      <c r="S199" s="1154"/>
      <c r="T199" s="1154"/>
      <c r="U199" s="1154"/>
      <c r="V199" s="1154"/>
      <c r="W199" s="1154"/>
      <c r="X199" s="1154"/>
      <c r="Y199" s="1154"/>
      <c r="Z199" s="1154"/>
      <c r="AA199" s="1154"/>
      <c r="AB199" s="1154"/>
      <c r="AC199" s="1154"/>
      <c r="AD199" s="1154"/>
      <c r="AE199" s="1154"/>
      <c r="AF199" s="1154"/>
      <c r="AG199" s="1154"/>
      <c r="AH199" s="1154"/>
      <c r="AI199" s="1154"/>
      <c r="AJ199" s="1154"/>
      <c r="AK199" s="1154"/>
      <c r="AL199" s="1154"/>
      <c r="AM199" s="1154"/>
      <c r="AN199" s="1154"/>
      <c r="AO199" s="1154"/>
      <c r="AP199" s="1154"/>
      <c r="AQ199" s="1154"/>
      <c r="AR199" s="1154"/>
      <c r="AS199" s="1154"/>
      <c r="AT199" s="1154"/>
      <c r="AU199" s="1173"/>
      <c r="AV199" s="1173"/>
      <c r="AW199" s="1173"/>
      <c r="AX199" s="1173"/>
      <c r="AY199" s="1154"/>
      <c r="AZ199" s="1173"/>
      <c r="BA199" s="1173"/>
      <c r="BB199" s="1173"/>
      <c r="BC199" s="1173"/>
      <c r="BD199" s="1154"/>
      <c r="BE199" s="1173"/>
      <c r="BF199" s="1173"/>
      <c r="BG199" s="1173"/>
      <c r="BH199" s="1173"/>
      <c r="BI199" s="1154"/>
      <c r="BJ199" s="1174"/>
      <c r="BK199" s="1174"/>
      <c r="BL199" s="1154"/>
      <c r="BM199" s="1154"/>
      <c r="BN199" s="1154"/>
      <c r="BO199" s="1154"/>
      <c r="BP199" s="1154"/>
      <c r="BQ199" s="1154"/>
      <c r="BR199" s="1154"/>
      <c r="BS199" s="1154"/>
      <c r="BT199" s="1154"/>
      <c r="BU199" s="1154"/>
      <c r="BV199" s="1154"/>
      <c r="BW199" s="1154"/>
      <c r="BX199" s="1154"/>
      <c r="BY199" s="1154"/>
      <c r="BZ199" s="1154"/>
      <c r="CA199" s="1154"/>
      <c r="CB199" s="1154"/>
      <c r="CC199" s="1154"/>
      <c r="CD199" s="1154"/>
      <c r="CE199" s="1154"/>
      <c r="CF199" s="1154"/>
      <c r="CG199" s="1154"/>
      <c r="CH199" s="1154"/>
      <c r="CI199" s="1154"/>
      <c r="CJ199" s="1154">
        <f>CJ181+CJ195+CJ187</f>
        <v>961.00000000099999</v>
      </c>
      <c r="CK199" s="1154">
        <f>CK181+CK195+CK187</f>
        <v>638</v>
      </c>
      <c r="CL199" s="1154">
        <f>CL181+CL195+CL187</f>
        <v>575.99999999899956</v>
      </c>
      <c r="CM199" s="1154"/>
      <c r="CN199" s="1154">
        <f t="shared" ref="CN199:CV199" ca="1" si="88">CN181+CN195+CN187</f>
        <v>508.02631845250721</v>
      </c>
      <c r="CO199" s="1154">
        <f t="shared" ca="1" si="88"/>
        <v>712.28602136398672</v>
      </c>
      <c r="CP199" s="1154">
        <f t="shared" ca="1" si="88"/>
        <v>740.97549917369304</v>
      </c>
      <c r="CQ199" s="1154">
        <f t="shared" ca="1" si="88"/>
        <v>574.67555942532442</v>
      </c>
      <c r="CR199" s="1154"/>
      <c r="CS199" s="1154">
        <f t="shared" ca="1" si="88"/>
        <v>310.88494895668322</v>
      </c>
      <c r="CT199" s="1154">
        <f t="shared" ca="1" si="88"/>
        <v>474.61248303849936</v>
      </c>
      <c r="CU199" s="1154">
        <f t="shared" ca="1" si="88"/>
        <v>500.16083743763681</v>
      </c>
      <c r="CV199" s="1154">
        <f t="shared" ca="1" si="88"/>
        <v>714.23774281568853</v>
      </c>
      <c r="CW199" s="1154"/>
      <c r="CX199" s="1154">
        <f t="shared" ref="CX199:DA199" ca="1" si="89">CX181+CX195+CX187</f>
        <v>283.07015564062908</v>
      </c>
      <c r="CY199" s="1154">
        <f t="shared" ca="1" si="89"/>
        <v>336.79526973413715</v>
      </c>
      <c r="CZ199" s="1154">
        <f t="shared" ca="1" si="89"/>
        <v>453.3926388405722</v>
      </c>
      <c r="DA199" s="1154">
        <f t="shared" ca="1" si="89"/>
        <v>255.53769257557099</v>
      </c>
      <c r="DB199" s="1154"/>
      <c r="DC199" s="5"/>
      <c r="DD199" s="5"/>
      <c r="DE199" s="171"/>
      <c r="DF199" s="171"/>
      <c r="DG199" s="171"/>
      <c r="DH199" s="171"/>
      <c r="DI199" s="171"/>
      <c r="DJ199" s="171"/>
    </row>
    <row r="200" spans="1:114" ht="12.75" customHeight="1" collapsed="1"/>
    <row r="201" spans="1:114" ht="12.75" customHeight="1"/>
    <row r="202" spans="1:114" ht="12.75" customHeight="1"/>
    <row r="203" spans="1:114" ht="12.75" customHeight="1"/>
    <row r="205" spans="1:114" ht="12.75" customHeight="1"/>
    <row r="206" spans="1:114" ht="12.75" customHeight="1"/>
    <row r="207" spans="1:114" ht="12.75" customHeight="1"/>
    <row r="208" spans="1:114"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sheetData>
  <phoneticPr fontId="18"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21"/>
  <sheetViews>
    <sheetView showGridLines="0" zoomScaleNormal="100" workbookViewId="0"/>
  </sheetViews>
  <sheetFormatPr defaultRowHeight="12.75" outlineLevelCol="1"/>
  <cols>
    <col min="1" max="1" width="9.140625" style="600"/>
    <col min="2" max="2" width="45.85546875" style="600" bestFit="1" customWidth="1"/>
    <col min="3" max="3" width="23.85546875" style="600" hidden="1" customWidth="1" outlineLevel="1"/>
    <col min="4" max="6" width="22.5703125" style="600" hidden="1" customWidth="1" outlineLevel="1"/>
    <col min="7" max="7" width="22.5703125" style="600" customWidth="1" collapsed="1"/>
    <col min="8" max="260" width="9.140625" style="600"/>
    <col min="261" max="261" width="45.85546875" style="600" bestFit="1" customWidth="1"/>
    <col min="262" max="262" width="22.5703125" style="600" bestFit="1" customWidth="1"/>
    <col min="263" max="263" width="8.7109375" style="600" bestFit="1" customWidth="1"/>
    <col min="264" max="516" width="9.140625" style="600"/>
    <col min="517" max="517" width="45.85546875" style="600" bestFit="1" customWidth="1"/>
    <col min="518" max="518" width="22.5703125" style="600" bestFit="1" customWidth="1"/>
    <col min="519" max="519" width="8.7109375" style="600" bestFit="1" customWidth="1"/>
    <col min="520" max="772" width="9.140625" style="600"/>
    <col min="773" max="773" width="45.85546875" style="600" bestFit="1" customWidth="1"/>
    <col min="774" max="774" width="22.5703125" style="600" bestFit="1" customWidth="1"/>
    <col min="775" max="775" width="8.7109375" style="600" bestFit="1" customWidth="1"/>
    <col min="776" max="1028" width="9.140625" style="600"/>
    <col min="1029" max="1029" width="45.85546875" style="600" bestFit="1" customWidth="1"/>
    <col min="1030" max="1030" width="22.5703125" style="600" bestFit="1" customWidth="1"/>
    <col min="1031" max="1031" width="8.7109375" style="600" bestFit="1" customWidth="1"/>
    <col min="1032" max="1284" width="9.140625" style="600"/>
    <col min="1285" max="1285" width="45.85546875" style="600" bestFit="1" customWidth="1"/>
    <col min="1286" max="1286" width="22.5703125" style="600" bestFit="1" customWidth="1"/>
    <col min="1287" max="1287" width="8.7109375" style="600" bestFit="1" customWidth="1"/>
    <col min="1288" max="1540" width="9.140625" style="600"/>
    <col min="1541" max="1541" width="45.85546875" style="600" bestFit="1" customWidth="1"/>
    <col min="1542" max="1542" width="22.5703125" style="600" bestFit="1" customWidth="1"/>
    <col min="1543" max="1543" width="8.7109375" style="600" bestFit="1" customWidth="1"/>
    <col min="1544" max="1796" width="9.140625" style="600"/>
    <col min="1797" max="1797" width="45.85546875" style="600" bestFit="1" customWidth="1"/>
    <col min="1798" max="1798" width="22.5703125" style="600" bestFit="1" customWidth="1"/>
    <col min="1799" max="1799" width="8.7109375" style="600" bestFit="1" customWidth="1"/>
    <col min="1800" max="2052" width="9.140625" style="600"/>
    <col min="2053" max="2053" width="45.85546875" style="600" bestFit="1" customWidth="1"/>
    <col min="2054" max="2054" width="22.5703125" style="600" bestFit="1" customWidth="1"/>
    <col min="2055" max="2055" width="8.7109375" style="600" bestFit="1" customWidth="1"/>
    <col min="2056" max="2308" width="9.140625" style="600"/>
    <col min="2309" max="2309" width="45.85546875" style="600" bestFit="1" customWidth="1"/>
    <col min="2310" max="2310" width="22.5703125" style="600" bestFit="1" customWidth="1"/>
    <col min="2311" max="2311" width="8.7109375" style="600" bestFit="1" customWidth="1"/>
    <col min="2312" max="2564" width="9.140625" style="600"/>
    <col min="2565" max="2565" width="45.85546875" style="600" bestFit="1" customWidth="1"/>
    <col min="2566" max="2566" width="22.5703125" style="600" bestFit="1" customWidth="1"/>
    <col min="2567" max="2567" width="8.7109375" style="600" bestFit="1" customWidth="1"/>
    <col min="2568" max="2820" width="9.140625" style="600"/>
    <col min="2821" max="2821" width="45.85546875" style="600" bestFit="1" customWidth="1"/>
    <col min="2822" max="2822" width="22.5703125" style="600" bestFit="1" customWidth="1"/>
    <col min="2823" max="2823" width="8.7109375" style="600" bestFit="1" customWidth="1"/>
    <col min="2824" max="3076" width="9.140625" style="600"/>
    <col min="3077" max="3077" width="45.85546875" style="600" bestFit="1" customWidth="1"/>
    <col min="3078" max="3078" width="22.5703125" style="600" bestFit="1" customWidth="1"/>
    <col min="3079" max="3079" width="8.7109375" style="600" bestFit="1" customWidth="1"/>
    <col min="3080" max="3332" width="9.140625" style="600"/>
    <col min="3333" max="3333" width="45.85546875" style="600" bestFit="1" customWidth="1"/>
    <col min="3334" max="3334" width="22.5703125" style="600" bestFit="1" customWidth="1"/>
    <col min="3335" max="3335" width="8.7109375" style="600" bestFit="1" customWidth="1"/>
    <col min="3336" max="3588" width="9.140625" style="600"/>
    <col min="3589" max="3589" width="45.85546875" style="600" bestFit="1" customWidth="1"/>
    <col min="3590" max="3590" width="22.5703125" style="600" bestFit="1" customWidth="1"/>
    <col min="3591" max="3591" width="8.7109375" style="600" bestFit="1" customWidth="1"/>
    <col min="3592" max="3844" width="9.140625" style="600"/>
    <col min="3845" max="3845" width="45.85546875" style="600" bestFit="1" customWidth="1"/>
    <col min="3846" max="3846" width="22.5703125" style="600" bestFit="1" customWidth="1"/>
    <col min="3847" max="3847" width="8.7109375" style="600" bestFit="1" customWidth="1"/>
    <col min="3848" max="4100" width="9.140625" style="600"/>
    <col min="4101" max="4101" width="45.85546875" style="600" bestFit="1" customWidth="1"/>
    <col min="4102" max="4102" width="22.5703125" style="600" bestFit="1" customWidth="1"/>
    <col min="4103" max="4103" width="8.7109375" style="600" bestFit="1" customWidth="1"/>
    <col min="4104" max="4356" width="9.140625" style="600"/>
    <col min="4357" max="4357" width="45.85546875" style="600" bestFit="1" customWidth="1"/>
    <col min="4358" max="4358" width="22.5703125" style="600" bestFit="1" customWidth="1"/>
    <col min="4359" max="4359" width="8.7109375" style="600" bestFit="1" customWidth="1"/>
    <col min="4360" max="4612" width="9.140625" style="600"/>
    <col min="4613" max="4613" width="45.85546875" style="600" bestFit="1" customWidth="1"/>
    <col min="4614" max="4614" width="22.5703125" style="600" bestFit="1" customWidth="1"/>
    <col min="4615" max="4615" width="8.7109375" style="600" bestFit="1" customWidth="1"/>
    <col min="4616" max="4868" width="9.140625" style="600"/>
    <col min="4869" max="4869" width="45.85546875" style="600" bestFit="1" customWidth="1"/>
    <col min="4870" max="4870" width="22.5703125" style="600" bestFit="1" customWidth="1"/>
    <col min="4871" max="4871" width="8.7109375" style="600" bestFit="1" customWidth="1"/>
    <col min="4872" max="5124" width="9.140625" style="600"/>
    <col min="5125" max="5125" width="45.85546875" style="600" bestFit="1" customWidth="1"/>
    <col min="5126" max="5126" width="22.5703125" style="600" bestFit="1" customWidth="1"/>
    <col min="5127" max="5127" width="8.7109375" style="600" bestFit="1" customWidth="1"/>
    <col min="5128" max="5380" width="9.140625" style="600"/>
    <col min="5381" max="5381" width="45.85546875" style="600" bestFit="1" customWidth="1"/>
    <col min="5382" max="5382" width="22.5703125" style="600" bestFit="1" customWidth="1"/>
    <col min="5383" max="5383" width="8.7109375" style="600" bestFit="1" customWidth="1"/>
    <col min="5384" max="5636" width="9.140625" style="600"/>
    <col min="5637" max="5637" width="45.85546875" style="600" bestFit="1" customWidth="1"/>
    <col min="5638" max="5638" width="22.5703125" style="600" bestFit="1" customWidth="1"/>
    <col min="5639" max="5639" width="8.7109375" style="600" bestFit="1" customWidth="1"/>
    <col min="5640" max="5892" width="9.140625" style="600"/>
    <col min="5893" max="5893" width="45.85546875" style="600" bestFit="1" customWidth="1"/>
    <col min="5894" max="5894" width="22.5703125" style="600" bestFit="1" customWidth="1"/>
    <col min="5895" max="5895" width="8.7109375" style="600" bestFit="1" customWidth="1"/>
    <col min="5896" max="6148" width="9.140625" style="600"/>
    <col min="6149" max="6149" width="45.85546875" style="600" bestFit="1" customWidth="1"/>
    <col min="6150" max="6150" width="22.5703125" style="600" bestFit="1" customWidth="1"/>
    <col min="6151" max="6151" width="8.7109375" style="600" bestFit="1" customWidth="1"/>
    <col min="6152" max="6404" width="9.140625" style="600"/>
    <col min="6405" max="6405" width="45.85546875" style="600" bestFit="1" customWidth="1"/>
    <col min="6406" max="6406" width="22.5703125" style="600" bestFit="1" customWidth="1"/>
    <col min="6407" max="6407" width="8.7109375" style="600" bestFit="1" customWidth="1"/>
    <col min="6408" max="6660" width="9.140625" style="600"/>
    <col min="6661" max="6661" width="45.85546875" style="600" bestFit="1" customWidth="1"/>
    <col min="6662" max="6662" width="22.5703125" style="600" bestFit="1" customWidth="1"/>
    <col min="6663" max="6663" width="8.7109375" style="600" bestFit="1" customWidth="1"/>
    <col min="6664" max="6916" width="9.140625" style="600"/>
    <col min="6917" max="6917" width="45.85546875" style="600" bestFit="1" customWidth="1"/>
    <col min="6918" max="6918" width="22.5703125" style="600" bestFit="1" customWidth="1"/>
    <col min="6919" max="6919" width="8.7109375" style="600" bestFit="1" customWidth="1"/>
    <col min="6920" max="7172" width="9.140625" style="600"/>
    <col min="7173" max="7173" width="45.85546875" style="600" bestFit="1" customWidth="1"/>
    <col min="7174" max="7174" width="22.5703125" style="600" bestFit="1" customWidth="1"/>
    <col min="7175" max="7175" width="8.7109375" style="600" bestFit="1" customWidth="1"/>
    <col min="7176" max="7428" width="9.140625" style="600"/>
    <col min="7429" max="7429" width="45.85546875" style="600" bestFit="1" customWidth="1"/>
    <col min="7430" max="7430" width="22.5703125" style="600" bestFit="1" customWidth="1"/>
    <col min="7431" max="7431" width="8.7109375" style="600" bestFit="1" customWidth="1"/>
    <col min="7432" max="7684" width="9.140625" style="600"/>
    <col min="7685" max="7685" width="45.85546875" style="600" bestFit="1" customWidth="1"/>
    <col min="7686" max="7686" width="22.5703125" style="600" bestFit="1" customWidth="1"/>
    <col min="7687" max="7687" width="8.7109375" style="600" bestFit="1" customWidth="1"/>
    <col min="7688" max="7940" width="9.140625" style="600"/>
    <col min="7941" max="7941" width="45.85546875" style="600" bestFit="1" customWidth="1"/>
    <col min="7942" max="7942" width="22.5703125" style="600" bestFit="1" customWidth="1"/>
    <col min="7943" max="7943" width="8.7109375" style="600" bestFit="1" customWidth="1"/>
    <col min="7944" max="8196" width="9.140625" style="600"/>
    <col min="8197" max="8197" width="45.85546875" style="600" bestFit="1" customWidth="1"/>
    <col min="8198" max="8198" width="22.5703125" style="600" bestFit="1" customWidth="1"/>
    <col min="8199" max="8199" width="8.7109375" style="600" bestFit="1" customWidth="1"/>
    <col min="8200" max="8452" width="9.140625" style="600"/>
    <col min="8453" max="8453" width="45.85546875" style="600" bestFit="1" customWidth="1"/>
    <col min="8454" max="8454" width="22.5703125" style="600" bestFit="1" customWidth="1"/>
    <col min="8455" max="8455" width="8.7109375" style="600" bestFit="1" customWidth="1"/>
    <col min="8456" max="8708" width="9.140625" style="600"/>
    <col min="8709" max="8709" width="45.85546875" style="600" bestFit="1" customWidth="1"/>
    <col min="8710" max="8710" width="22.5703125" style="600" bestFit="1" customWidth="1"/>
    <col min="8711" max="8711" width="8.7109375" style="600" bestFit="1" customWidth="1"/>
    <col min="8712" max="8964" width="9.140625" style="600"/>
    <col min="8965" max="8965" width="45.85546875" style="600" bestFit="1" customWidth="1"/>
    <col min="8966" max="8966" width="22.5703125" style="600" bestFit="1" customWidth="1"/>
    <col min="8967" max="8967" width="8.7109375" style="600" bestFit="1" customWidth="1"/>
    <col min="8968" max="9220" width="9.140625" style="600"/>
    <col min="9221" max="9221" width="45.85546875" style="600" bestFit="1" customWidth="1"/>
    <col min="9222" max="9222" width="22.5703125" style="600" bestFit="1" customWidth="1"/>
    <col min="9223" max="9223" width="8.7109375" style="600" bestFit="1" customWidth="1"/>
    <col min="9224" max="9476" width="9.140625" style="600"/>
    <col min="9477" max="9477" width="45.85546875" style="600" bestFit="1" customWidth="1"/>
    <col min="9478" max="9478" width="22.5703125" style="600" bestFit="1" customWidth="1"/>
    <col min="9479" max="9479" width="8.7109375" style="600" bestFit="1" customWidth="1"/>
    <col min="9480" max="9732" width="9.140625" style="600"/>
    <col min="9733" max="9733" width="45.85546875" style="600" bestFit="1" customWidth="1"/>
    <col min="9734" max="9734" width="22.5703125" style="600" bestFit="1" customWidth="1"/>
    <col min="9735" max="9735" width="8.7109375" style="600" bestFit="1" customWidth="1"/>
    <col min="9736" max="9988" width="9.140625" style="600"/>
    <col min="9989" max="9989" width="45.85546875" style="600" bestFit="1" customWidth="1"/>
    <col min="9990" max="9990" width="22.5703125" style="600" bestFit="1" customWidth="1"/>
    <col min="9991" max="9991" width="8.7109375" style="600" bestFit="1" customWidth="1"/>
    <col min="9992" max="10244" width="9.140625" style="600"/>
    <col min="10245" max="10245" width="45.85546875" style="600" bestFit="1" customWidth="1"/>
    <col min="10246" max="10246" width="22.5703125" style="600" bestFit="1" customWidth="1"/>
    <col min="10247" max="10247" width="8.7109375" style="600" bestFit="1" customWidth="1"/>
    <col min="10248" max="10500" width="9.140625" style="600"/>
    <col min="10501" max="10501" width="45.85546875" style="600" bestFit="1" customWidth="1"/>
    <col min="10502" max="10502" width="22.5703125" style="600" bestFit="1" customWidth="1"/>
    <col min="10503" max="10503" width="8.7109375" style="600" bestFit="1" customWidth="1"/>
    <col min="10504" max="10756" width="9.140625" style="600"/>
    <col min="10757" max="10757" width="45.85546875" style="600" bestFit="1" customWidth="1"/>
    <col min="10758" max="10758" width="22.5703125" style="600" bestFit="1" customWidth="1"/>
    <col min="10759" max="10759" width="8.7109375" style="600" bestFit="1" customWidth="1"/>
    <col min="10760" max="11012" width="9.140625" style="600"/>
    <col min="11013" max="11013" width="45.85546875" style="600" bestFit="1" customWidth="1"/>
    <col min="11014" max="11014" width="22.5703125" style="600" bestFit="1" customWidth="1"/>
    <col min="11015" max="11015" width="8.7109375" style="600" bestFit="1" customWidth="1"/>
    <col min="11016" max="11268" width="9.140625" style="600"/>
    <col min="11269" max="11269" width="45.85546875" style="600" bestFit="1" customWidth="1"/>
    <col min="11270" max="11270" width="22.5703125" style="600" bestFit="1" customWidth="1"/>
    <col min="11271" max="11271" width="8.7109375" style="600" bestFit="1" customWidth="1"/>
    <col min="11272" max="11524" width="9.140625" style="600"/>
    <col min="11525" max="11525" width="45.85546875" style="600" bestFit="1" customWidth="1"/>
    <col min="11526" max="11526" width="22.5703125" style="600" bestFit="1" customWidth="1"/>
    <col min="11527" max="11527" width="8.7109375" style="600" bestFit="1" customWidth="1"/>
    <col min="11528" max="11780" width="9.140625" style="600"/>
    <col min="11781" max="11781" width="45.85546875" style="600" bestFit="1" customWidth="1"/>
    <col min="11782" max="11782" width="22.5703125" style="600" bestFit="1" customWidth="1"/>
    <col min="11783" max="11783" width="8.7109375" style="600" bestFit="1" customWidth="1"/>
    <col min="11784" max="12036" width="9.140625" style="600"/>
    <col min="12037" max="12037" width="45.85546875" style="600" bestFit="1" customWidth="1"/>
    <col min="12038" max="12038" width="22.5703125" style="600" bestFit="1" customWidth="1"/>
    <col min="12039" max="12039" width="8.7109375" style="600" bestFit="1" customWidth="1"/>
    <col min="12040" max="12292" width="9.140625" style="600"/>
    <col min="12293" max="12293" width="45.85546875" style="600" bestFit="1" customWidth="1"/>
    <col min="12294" max="12294" width="22.5703125" style="600" bestFit="1" customWidth="1"/>
    <col min="12295" max="12295" width="8.7109375" style="600" bestFit="1" customWidth="1"/>
    <col min="12296" max="12548" width="9.140625" style="600"/>
    <col min="12549" max="12549" width="45.85546875" style="600" bestFit="1" customWidth="1"/>
    <col min="12550" max="12550" width="22.5703125" style="600" bestFit="1" customWidth="1"/>
    <col min="12551" max="12551" width="8.7109375" style="600" bestFit="1" customWidth="1"/>
    <col min="12552" max="12804" width="9.140625" style="600"/>
    <col min="12805" max="12805" width="45.85546875" style="600" bestFit="1" customWidth="1"/>
    <col min="12806" max="12806" width="22.5703125" style="600" bestFit="1" customWidth="1"/>
    <col min="12807" max="12807" width="8.7109375" style="600" bestFit="1" customWidth="1"/>
    <col min="12808" max="13060" width="9.140625" style="600"/>
    <col min="13061" max="13061" width="45.85546875" style="600" bestFit="1" customWidth="1"/>
    <col min="13062" max="13062" width="22.5703125" style="600" bestFit="1" customWidth="1"/>
    <col min="13063" max="13063" width="8.7109375" style="600" bestFit="1" customWidth="1"/>
    <col min="13064" max="13316" width="9.140625" style="600"/>
    <col min="13317" max="13317" width="45.85546875" style="600" bestFit="1" customWidth="1"/>
    <col min="13318" max="13318" width="22.5703125" style="600" bestFit="1" customWidth="1"/>
    <col min="13319" max="13319" width="8.7109375" style="600" bestFit="1" customWidth="1"/>
    <col min="13320" max="13572" width="9.140625" style="600"/>
    <col min="13573" max="13573" width="45.85546875" style="600" bestFit="1" customWidth="1"/>
    <col min="13574" max="13574" width="22.5703125" style="600" bestFit="1" customWidth="1"/>
    <col min="13575" max="13575" width="8.7109375" style="600" bestFit="1" customWidth="1"/>
    <col min="13576" max="13828" width="9.140625" style="600"/>
    <col min="13829" max="13829" width="45.85546875" style="600" bestFit="1" customWidth="1"/>
    <col min="13830" max="13830" width="22.5703125" style="600" bestFit="1" customWidth="1"/>
    <col min="13831" max="13831" width="8.7109375" style="600" bestFit="1" customWidth="1"/>
    <col min="13832" max="14084" width="9.140625" style="600"/>
    <col min="14085" max="14085" width="45.85546875" style="600" bestFit="1" customWidth="1"/>
    <col min="14086" max="14086" width="22.5703125" style="600" bestFit="1" customWidth="1"/>
    <col min="14087" max="14087" width="8.7109375" style="600" bestFit="1" customWidth="1"/>
    <col min="14088" max="14340" width="9.140625" style="600"/>
    <col min="14341" max="14341" width="45.85546875" style="600" bestFit="1" customWidth="1"/>
    <col min="14342" max="14342" width="22.5703125" style="600" bestFit="1" customWidth="1"/>
    <col min="14343" max="14343" width="8.7109375" style="600" bestFit="1" customWidth="1"/>
    <col min="14344" max="14596" width="9.140625" style="600"/>
    <col min="14597" max="14597" width="45.85546875" style="600" bestFit="1" customWidth="1"/>
    <col min="14598" max="14598" width="22.5703125" style="600" bestFit="1" customWidth="1"/>
    <col min="14599" max="14599" width="8.7109375" style="600" bestFit="1" customWidth="1"/>
    <col min="14600" max="14852" width="9.140625" style="600"/>
    <col min="14853" max="14853" width="45.85546875" style="600" bestFit="1" customWidth="1"/>
    <col min="14854" max="14854" width="22.5703125" style="600" bestFit="1" customWidth="1"/>
    <col min="14855" max="14855" width="8.7109375" style="600" bestFit="1" customWidth="1"/>
    <col min="14856" max="15108" width="9.140625" style="600"/>
    <col min="15109" max="15109" width="45.85546875" style="600" bestFit="1" customWidth="1"/>
    <col min="15110" max="15110" width="22.5703125" style="600" bestFit="1" customWidth="1"/>
    <col min="15111" max="15111" width="8.7109375" style="600" bestFit="1" customWidth="1"/>
    <col min="15112" max="15364" width="9.140625" style="600"/>
    <col min="15365" max="15365" width="45.85546875" style="600" bestFit="1" customWidth="1"/>
    <col min="15366" max="15366" width="22.5703125" style="600" bestFit="1" customWidth="1"/>
    <col min="15367" max="15367" width="8.7109375" style="600" bestFit="1" customWidth="1"/>
    <col min="15368" max="15620" width="9.140625" style="600"/>
    <col min="15621" max="15621" width="45.85546875" style="600" bestFit="1" customWidth="1"/>
    <col min="15622" max="15622" width="22.5703125" style="600" bestFit="1" customWidth="1"/>
    <col min="15623" max="15623" width="8.7109375" style="600" bestFit="1" customWidth="1"/>
    <col min="15624" max="15876" width="9.140625" style="600"/>
    <col min="15877" max="15877" width="45.85546875" style="600" bestFit="1" customWidth="1"/>
    <col min="15878" max="15878" width="22.5703125" style="600" bestFit="1" customWidth="1"/>
    <col min="15879" max="15879" width="8.7109375" style="600" bestFit="1" customWidth="1"/>
    <col min="15880" max="16132" width="9.140625" style="600"/>
    <col min="16133" max="16133" width="45.85546875" style="600" bestFit="1" customWidth="1"/>
    <col min="16134" max="16134" width="22.5703125" style="600" bestFit="1" customWidth="1"/>
    <col min="16135" max="16135" width="8.7109375" style="600" bestFit="1" customWidth="1"/>
    <col min="16136" max="16384" width="9.140625" style="600"/>
  </cols>
  <sheetData>
    <row r="1" spans="1:12">
      <c r="A1"/>
      <c r="B1"/>
      <c r="C1"/>
      <c r="D1"/>
      <c r="E1"/>
      <c r="F1"/>
      <c r="G1"/>
      <c r="H1"/>
      <c r="I1"/>
      <c r="J1"/>
      <c r="K1"/>
      <c r="L1"/>
    </row>
    <row r="2" spans="1:12">
      <c r="A2" s="601" t="s">
        <v>99</v>
      </c>
      <c r="B2" s="602">
        <f ca="1">+TODAY()</f>
        <v>43207</v>
      </c>
      <c r="C2" s="602"/>
      <c r="E2" s="603"/>
      <c r="F2" s="603"/>
      <c r="G2" s="603"/>
      <c r="H2"/>
      <c r="I2"/>
      <c r="J2"/>
      <c r="K2"/>
      <c r="L2"/>
    </row>
    <row r="3" spans="1:12">
      <c r="A3"/>
      <c r="B3" s="601" t="s">
        <v>704</v>
      </c>
      <c r="C3"/>
      <c r="D3"/>
      <c r="E3"/>
      <c r="F3"/>
      <c r="G3"/>
      <c r="H3"/>
      <c r="I3"/>
      <c r="J3"/>
      <c r="K3"/>
      <c r="L3"/>
    </row>
    <row r="4" spans="1:12">
      <c r="A4"/>
      <c r="B4"/>
      <c r="C4"/>
      <c r="D4"/>
      <c r="E4"/>
      <c r="F4"/>
      <c r="G4"/>
      <c r="H4"/>
      <c r="I4"/>
      <c r="J4"/>
      <c r="K4"/>
      <c r="L4"/>
    </row>
    <row r="5" spans="1:12">
      <c r="A5"/>
      <c r="B5"/>
      <c r="C5"/>
      <c r="D5"/>
      <c r="E5"/>
      <c r="F5"/>
      <c r="G5"/>
      <c r="H5"/>
      <c r="I5"/>
      <c r="J5"/>
      <c r="K5"/>
      <c r="L5"/>
    </row>
    <row r="6" spans="1:12">
      <c r="A6"/>
      <c r="B6" s="790" t="s">
        <v>610</v>
      </c>
      <c r="C6" s="791"/>
      <c r="D6" s="791"/>
      <c r="E6" s="791"/>
      <c r="F6" s="1350"/>
      <c r="G6" s="791" t="s">
        <v>589</v>
      </c>
      <c r="H6" s="792" t="s">
        <v>541</v>
      </c>
      <c r="I6" s="793" t="s">
        <v>590</v>
      </c>
      <c r="J6"/>
      <c r="K6"/>
      <c r="L6"/>
    </row>
    <row r="7" spans="1:12">
      <c r="A7"/>
      <c r="B7" s="604"/>
      <c r="C7" s="651" t="s">
        <v>622</v>
      </c>
      <c r="D7" s="651" t="s">
        <v>623</v>
      </c>
      <c r="E7" s="651" t="s">
        <v>664</v>
      </c>
      <c r="F7" s="651" t="s">
        <v>684</v>
      </c>
      <c r="G7" s="651" t="s">
        <v>705</v>
      </c>
      <c r="H7" s="605"/>
      <c r="I7" s="606"/>
      <c r="J7"/>
      <c r="K7"/>
      <c r="L7"/>
    </row>
    <row r="8" spans="1:12">
      <c r="A8"/>
      <c r="B8" s="607" t="s">
        <v>591</v>
      </c>
      <c r="C8" s="608" t="s">
        <v>689</v>
      </c>
      <c r="D8" s="608" t="s">
        <v>689</v>
      </c>
      <c r="E8" s="608" t="s">
        <v>665</v>
      </c>
      <c r="F8" s="608" t="s">
        <v>685</v>
      </c>
      <c r="G8" s="608" t="s">
        <v>711</v>
      </c>
      <c r="H8" s="609">
        <f ca="1">+IS!CR10/1000</f>
        <v>13.747706502992145</v>
      </c>
      <c r="I8" s="609" t="str">
        <f ca="1">_xll.ThomsonONEAddinShim.SpreadsheetFormulas.TF($A2,"TF.ES.SALES.Mean(period=#2,curn=usd,scale=9)","sdate=#1",$B$2,$B$3)</f>
        <v>$13.74</v>
      </c>
      <c r="J8"/>
      <c r="K8"/>
      <c r="L8"/>
    </row>
    <row r="9" spans="1:12">
      <c r="A9"/>
      <c r="B9" s="610" t="s">
        <v>592</v>
      </c>
      <c r="C9" s="611" t="s">
        <v>688</v>
      </c>
      <c r="D9" s="611" t="s">
        <v>688</v>
      </c>
      <c r="E9" s="611" t="s">
        <v>687</v>
      </c>
      <c r="F9" s="611" t="s">
        <v>686</v>
      </c>
      <c r="G9" s="611" t="s">
        <v>720</v>
      </c>
      <c r="H9" s="612">
        <f ca="1">+IS!CR54/1000</f>
        <v>1.5570406058442376</v>
      </c>
      <c r="I9" s="612" t="str">
        <f ca="1">_xll.ThomsonONEAddinShim.SpreadsheetFormulas.TF($A2,"TF.ES.EBITDA.Mean(period=#2,curn=usd,scale=9)","sdate=#1",$B$2,$B$3)</f>
        <v>$1.56</v>
      </c>
      <c r="J9"/>
      <c r="K9"/>
      <c r="L9"/>
    </row>
    <row r="10" spans="1:12">
      <c r="A10"/>
      <c r="B10" s="613" t="s">
        <v>593</v>
      </c>
      <c r="C10" s="614" t="s">
        <v>628</v>
      </c>
      <c r="D10" s="614" t="s">
        <v>620</v>
      </c>
      <c r="E10" s="1280" t="s">
        <v>666</v>
      </c>
      <c r="F10" s="1280" t="s">
        <v>690</v>
      </c>
      <c r="G10" s="1280" t="s">
        <v>712</v>
      </c>
      <c r="H10" s="615">
        <f ca="1">+IS!CR44</f>
        <v>-1.2654998006885254</v>
      </c>
      <c r="I10" s="615" t="str">
        <f ca="1">_xll.ThomsonONEAddinShim.SpreadsheetFormulas.TF($A2,"TF.ES.EPS.Mean(period=#2,curn=usd)","sdate=#1",$B$2,$B$3)</f>
        <v>-$1.28</v>
      </c>
      <c r="J10"/>
      <c r="K10"/>
      <c r="L10"/>
    </row>
    <row r="11" spans="1:12">
      <c r="A11"/>
      <c r="B11" s="610" t="s">
        <v>713</v>
      </c>
      <c r="C11" s="616" t="s">
        <v>599</v>
      </c>
      <c r="D11" s="616" t="s">
        <v>599</v>
      </c>
      <c r="E11" s="1278" t="s">
        <v>661</v>
      </c>
      <c r="F11" s="1278" t="s">
        <v>691</v>
      </c>
      <c r="G11" s="1278" t="s">
        <v>714</v>
      </c>
      <c r="H11" s="621"/>
      <c r="I11" s="616"/>
      <c r="J11"/>
      <c r="K11"/>
      <c r="L11"/>
    </row>
    <row r="12" spans="1:12" ht="12" customHeight="1">
      <c r="A12"/>
      <c r="B12" s="613" t="s">
        <v>594</v>
      </c>
      <c r="C12" s="620" t="s">
        <v>600</v>
      </c>
      <c r="D12" s="620" t="s">
        <v>600</v>
      </c>
      <c r="E12" s="620" t="s">
        <v>600</v>
      </c>
      <c r="F12" s="620" t="s">
        <v>692</v>
      </c>
      <c r="G12" s="620" t="s">
        <v>715</v>
      </c>
      <c r="H12" s="1375">
        <f>+IS!CR57</f>
        <v>114.70294899999999</v>
      </c>
      <c r="I12" s="617"/>
      <c r="J12"/>
      <c r="K12"/>
      <c r="L12"/>
    </row>
    <row r="13" spans="1:12" ht="12" customHeight="1">
      <c r="A13"/>
      <c r="B13" s="610" t="s">
        <v>595</v>
      </c>
      <c r="C13" s="612" t="s">
        <v>601</v>
      </c>
      <c r="D13" s="612" t="s">
        <v>601</v>
      </c>
      <c r="E13" s="612" t="s">
        <v>669</v>
      </c>
      <c r="F13" s="612" t="s">
        <v>669</v>
      </c>
      <c r="G13" s="612" t="s">
        <v>716</v>
      </c>
      <c r="H13" s="622">
        <f ca="1">-'BS &amp; CF'!CR122</f>
        <v>586.02871937882992</v>
      </c>
      <c r="I13" s="623" t="str">
        <f ca="1">_xll.ThomsonONEAddinShim.SpreadsheetFormulas.TF($A2,"TF.ES.CAPEX.Mean(period=#2,curn=usd,scale=6)","sdate=#1",$B$2,$B$3)</f>
        <v>$506</v>
      </c>
      <c r="J13"/>
      <c r="K13"/>
      <c r="L13"/>
    </row>
    <row r="14" spans="1:12" ht="12" customHeight="1">
      <c r="A14"/>
      <c r="B14" s="613" t="s">
        <v>596</v>
      </c>
      <c r="C14" s="625" t="s">
        <v>671</v>
      </c>
      <c r="D14" s="625" t="s">
        <v>671</v>
      </c>
      <c r="E14" s="625" t="s">
        <v>670</v>
      </c>
      <c r="F14" s="625" t="s">
        <v>697</v>
      </c>
      <c r="G14" s="625" t="s">
        <v>710</v>
      </c>
      <c r="H14" s="1293">
        <f ca="1">+'BS &amp; CF'!CR118</f>
        <v>697.70427880415457</v>
      </c>
      <c r="I14" s="617"/>
      <c r="J14"/>
      <c r="K14"/>
      <c r="L14"/>
    </row>
    <row r="15" spans="1:12">
      <c r="A15" s="624"/>
      <c r="B15" s="626" t="s">
        <v>606</v>
      </c>
      <c r="C15" s="616" t="s">
        <v>602</v>
      </c>
      <c r="D15" s="616" t="s">
        <v>624</v>
      </c>
      <c r="E15" s="616" t="s">
        <v>673</v>
      </c>
      <c r="F15" s="616" t="s">
        <v>693</v>
      </c>
      <c r="G15" s="616" t="s">
        <v>717</v>
      </c>
      <c r="H15" s="622">
        <f ca="1">+IS!CR18</f>
        <v>714.88073815559153</v>
      </c>
      <c r="I15" s="616"/>
      <c r="J15"/>
      <c r="K15"/>
      <c r="L15"/>
    </row>
    <row r="16" spans="1:12">
      <c r="A16" s="624"/>
      <c r="B16" s="613" t="s">
        <v>607</v>
      </c>
      <c r="C16" s="620" t="s">
        <v>603</v>
      </c>
      <c r="D16" s="620" t="s">
        <v>625</v>
      </c>
      <c r="E16" s="620" t="s">
        <v>674</v>
      </c>
      <c r="F16" s="620" t="s">
        <v>694</v>
      </c>
      <c r="G16" s="620" t="s">
        <v>625</v>
      </c>
      <c r="H16" s="627">
        <f ca="1">+IS!CR20</f>
        <v>904.2092718749775</v>
      </c>
      <c r="I16" s="617"/>
      <c r="J16"/>
      <c r="K16"/>
      <c r="L16"/>
    </row>
    <row r="17" spans="1:12">
      <c r="A17" s="624"/>
      <c r="B17" s="610" t="s">
        <v>608</v>
      </c>
      <c r="C17" s="612" t="s">
        <v>604</v>
      </c>
      <c r="D17" s="612" t="s">
        <v>626</v>
      </c>
      <c r="E17" s="1294" t="s">
        <v>675</v>
      </c>
      <c r="F17" s="1294" t="s">
        <v>695</v>
      </c>
      <c r="G17" s="1294" t="s">
        <v>718</v>
      </c>
      <c r="H17" s="622"/>
      <c r="I17" s="623"/>
      <c r="J17"/>
      <c r="K17"/>
      <c r="L17"/>
    </row>
    <row r="18" spans="1:12">
      <c r="A18" s="624"/>
      <c r="B18" s="613" t="s">
        <v>609</v>
      </c>
      <c r="C18" s="617" t="s">
        <v>605</v>
      </c>
      <c r="D18" s="617" t="s">
        <v>627</v>
      </c>
      <c r="E18" s="617" t="s">
        <v>676</v>
      </c>
      <c r="F18" s="617" t="s">
        <v>696</v>
      </c>
      <c r="G18" s="617" t="s">
        <v>719</v>
      </c>
      <c r="H18" s="617">
        <f>+IS!CR33</f>
        <v>80</v>
      </c>
      <c r="I18" s="617"/>
      <c r="J18"/>
      <c r="K18"/>
      <c r="L18"/>
    </row>
    <row r="19" spans="1:12">
      <c r="A19" s="624"/>
      <c r="B19" s="610" t="s">
        <v>629</v>
      </c>
      <c r="C19" s="652">
        <v>25</v>
      </c>
      <c r="D19" s="652">
        <v>30</v>
      </c>
      <c r="E19" s="652"/>
      <c r="F19" s="652"/>
      <c r="G19" s="652"/>
      <c r="H19" s="622"/>
      <c r="I19" s="623"/>
      <c r="J19"/>
      <c r="K19"/>
      <c r="L19"/>
    </row>
    <row r="20" spans="1:12">
      <c r="A20" s="624"/>
      <c r="B20" s="618" t="s">
        <v>631</v>
      </c>
      <c r="C20" s="619" t="s">
        <v>630</v>
      </c>
      <c r="D20" s="619" t="s">
        <v>630</v>
      </c>
      <c r="E20" s="619" t="s">
        <v>672</v>
      </c>
      <c r="F20" s="619" t="s">
        <v>672</v>
      </c>
      <c r="G20" s="619"/>
      <c r="H20" s="1295"/>
      <c r="I20" s="619"/>
      <c r="J20"/>
      <c r="K20"/>
      <c r="L20"/>
    </row>
    <row r="21" spans="1:12">
      <c r="A21"/>
      <c r="B21"/>
      <c r="C21"/>
      <c r="D21"/>
      <c r="E21"/>
      <c r="F21"/>
      <c r="G21"/>
      <c r="H21"/>
      <c r="I21"/>
      <c r="J21"/>
      <c r="K21"/>
      <c r="L21"/>
    </row>
  </sheetData>
  <phoneticPr fontId="18" type="noConversion"/>
  <pageMargins left="0.25" right="0.25" top="1" bottom="1" header="0.5" footer="0.5"/>
  <pageSetup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794" bestFit="1" customWidth="1"/>
    <col min="2" max="2" width="19.85546875" style="1393" customWidth="1"/>
    <col min="3" max="3" width="12" style="794" bestFit="1" customWidth="1"/>
    <col min="4" max="256" width="9.140625" style="794"/>
    <col min="257" max="257" width="29.5703125" style="794" bestFit="1" customWidth="1"/>
    <col min="258" max="258" width="19.85546875" style="794" customWidth="1"/>
    <col min="259" max="259" width="12" style="794" bestFit="1" customWidth="1"/>
    <col min="260" max="512" width="9.140625" style="794"/>
    <col min="513" max="513" width="29.5703125" style="794" bestFit="1" customWidth="1"/>
    <col min="514" max="514" width="19.85546875" style="794" customWidth="1"/>
    <col min="515" max="515" width="12" style="794" bestFit="1" customWidth="1"/>
    <col min="516" max="768" width="9.140625" style="794"/>
    <col min="769" max="769" width="29.5703125" style="794" bestFit="1" customWidth="1"/>
    <col min="770" max="770" width="19.85546875" style="794" customWidth="1"/>
    <col min="771" max="771" width="12" style="794" bestFit="1" customWidth="1"/>
    <col min="772" max="1024" width="9.140625" style="794"/>
    <col min="1025" max="1025" width="29.5703125" style="794" bestFit="1" customWidth="1"/>
    <col min="1026" max="1026" width="19.85546875" style="794" customWidth="1"/>
    <col min="1027" max="1027" width="12" style="794" bestFit="1" customWidth="1"/>
    <col min="1028" max="1280" width="9.140625" style="794"/>
    <col min="1281" max="1281" width="29.5703125" style="794" bestFit="1" customWidth="1"/>
    <col min="1282" max="1282" width="19.85546875" style="794" customWidth="1"/>
    <col min="1283" max="1283" width="12" style="794" bestFit="1" customWidth="1"/>
    <col min="1284" max="1536" width="9.140625" style="794"/>
    <col min="1537" max="1537" width="29.5703125" style="794" bestFit="1" customWidth="1"/>
    <col min="1538" max="1538" width="19.85546875" style="794" customWidth="1"/>
    <col min="1539" max="1539" width="12" style="794" bestFit="1" customWidth="1"/>
    <col min="1540" max="1792" width="9.140625" style="794"/>
    <col min="1793" max="1793" width="29.5703125" style="794" bestFit="1" customWidth="1"/>
    <col min="1794" max="1794" width="19.85546875" style="794" customWidth="1"/>
    <col min="1795" max="1795" width="12" style="794" bestFit="1" customWidth="1"/>
    <col min="1796" max="2048" width="9.140625" style="794"/>
    <col min="2049" max="2049" width="29.5703125" style="794" bestFit="1" customWidth="1"/>
    <col min="2050" max="2050" width="19.85546875" style="794" customWidth="1"/>
    <col min="2051" max="2051" width="12" style="794" bestFit="1" customWidth="1"/>
    <col min="2052" max="2304" width="9.140625" style="794"/>
    <col min="2305" max="2305" width="29.5703125" style="794" bestFit="1" customWidth="1"/>
    <col min="2306" max="2306" width="19.85546875" style="794" customWidth="1"/>
    <col min="2307" max="2307" width="12" style="794" bestFit="1" customWidth="1"/>
    <col min="2308" max="2560" width="9.140625" style="794"/>
    <col min="2561" max="2561" width="29.5703125" style="794" bestFit="1" customWidth="1"/>
    <col min="2562" max="2562" width="19.85546875" style="794" customWidth="1"/>
    <col min="2563" max="2563" width="12" style="794" bestFit="1" customWidth="1"/>
    <col min="2564" max="2816" width="9.140625" style="794"/>
    <col min="2817" max="2817" width="29.5703125" style="794" bestFit="1" customWidth="1"/>
    <col min="2818" max="2818" width="19.85546875" style="794" customWidth="1"/>
    <col min="2819" max="2819" width="12" style="794" bestFit="1" customWidth="1"/>
    <col min="2820" max="3072" width="9.140625" style="794"/>
    <col min="3073" max="3073" width="29.5703125" style="794" bestFit="1" customWidth="1"/>
    <col min="3074" max="3074" width="19.85546875" style="794" customWidth="1"/>
    <col min="3075" max="3075" width="12" style="794" bestFit="1" customWidth="1"/>
    <col min="3076" max="3328" width="9.140625" style="794"/>
    <col min="3329" max="3329" width="29.5703125" style="794" bestFit="1" customWidth="1"/>
    <col min="3330" max="3330" width="19.85546875" style="794" customWidth="1"/>
    <col min="3331" max="3331" width="12" style="794" bestFit="1" customWidth="1"/>
    <col min="3332" max="3584" width="9.140625" style="794"/>
    <col min="3585" max="3585" width="29.5703125" style="794" bestFit="1" customWidth="1"/>
    <col min="3586" max="3586" width="19.85546875" style="794" customWidth="1"/>
    <col min="3587" max="3587" width="12" style="794" bestFit="1" customWidth="1"/>
    <col min="3588" max="3840" width="9.140625" style="794"/>
    <col min="3841" max="3841" width="29.5703125" style="794" bestFit="1" customWidth="1"/>
    <col min="3842" max="3842" width="19.85546875" style="794" customWidth="1"/>
    <col min="3843" max="3843" width="12" style="794" bestFit="1" customWidth="1"/>
    <col min="3844" max="4096" width="9.140625" style="794"/>
    <col min="4097" max="4097" width="29.5703125" style="794" bestFit="1" customWidth="1"/>
    <col min="4098" max="4098" width="19.85546875" style="794" customWidth="1"/>
    <col min="4099" max="4099" width="12" style="794" bestFit="1" customWidth="1"/>
    <col min="4100" max="4352" width="9.140625" style="794"/>
    <col min="4353" max="4353" width="29.5703125" style="794" bestFit="1" customWidth="1"/>
    <col min="4354" max="4354" width="19.85546875" style="794" customWidth="1"/>
    <col min="4355" max="4355" width="12" style="794" bestFit="1" customWidth="1"/>
    <col min="4356" max="4608" width="9.140625" style="794"/>
    <col min="4609" max="4609" width="29.5703125" style="794" bestFit="1" customWidth="1"/>
    <col min="4610" max="4610" width="19.85546875" style="794" customWidth="1"/>
    <col min="4611" max="4611" width="12" style="794" bestFit="1" customWidth="1"/>
    <col min="4612" max="4864" width="9.140625" style="794"/>
    <col min="4865" max="4865" width="29.5703125" style="794" bestFit="1" customWidth="1"/>
    <col min="4866" max="4866" width="19.85546875" style="794" customWidth="1"/>
    <col min="4867" max="4867" width="12" style="794" bestFit="1" customWidth="1"/>
    <col min="4868" max="5120" width="9.140625" style="794"/>
    <col min="5121" max="5121" width="29.5703125" style="794" bestFit="1" customWidth="1"/>
    <col min="5122" max="5122" width="19.85546875" style="794" customWidth="1"/>
    <col min="5123" max="5123" width="12" style="794" bestFit="1" customWidth="1"/>
    <col min="5124" max="5376" width="9.140625" style="794"/>
    <col min="5377" max="5377" width="29.5703125" style="794" bestFit="1" customWidth="1"/>
    <col min="5378" max="5378" width="19.85546875" style="794" customWidth="1"/>
    <col min="5379" max="5379" width="12" style="794" bestFit="1" customWidth="1"/>
    <col min="5380" max="5632" width="9.140625" style="794"/>
    <col min="5633" max="5633" width="29.5703125" style="794" bestFit="1" customWidth="1"/>
    <col min="5634" max="5634" width="19.85546875" style="794" customWidth="1"/>
    <col min="5635" max="5635" width="12" style="794" bestFit="1" customWidth="1"/>
    <col min="5636" max="5888" width="9.140625" style="794"/>
    <col min="5889" max="5889" width="29.5703125" style="794" bestFit="1" customWidth="1"/>
    <col min="5890" max="5890" width="19.85546875" style="794" customWidth="1"/>
    <col min="5891" max="5891" width="12" style="794" bestFit="1" customWidth="1"/>
    <col min="5892" max="6144" width="9.140625" style="794"/>
    <col min="6145" max="6145" width="29.5703125" style="794" bestFit="1" customWidth="1"/>
    <col min="6146" max="6146" width="19.85546875" style="794" customWidth="1"/>
    <col min="6147" max="6147" width="12" style="794" bestFit="1" customWidth="1"/>
    <col min="6148" max="6400" width="9.140625" style="794"/>
    <col min="6401" max="6401" width="29.5703125" style="794" bestFit="1" customWidth="1"/>
    <col min="6402" max="6402" width="19.85546875" style="794" customWidth="1"/>
    <col min="6403" max="6403" width="12" style="794" bestFit="1" customWidth="1"/>
    <col min="6404" max="6656" width="9.140625" style="794"/>
    <col min="6657" max="6657" width="29.5703125" style="794" bestFit="1" customWidth="1"/>
    <col min="6658" max="6658" width="19.85546875" style="794" customWidth="1"/>
    <col min="6659" max="6659" width="12" style="794" bestFit="1" customWidth="1"/>
    <col min="6660" max="6912" width="9.140625" style="794"/>
    <col min="6913" max="6913" width="29.5703125" style="794" bestFit="1" customWidth="1"/>
    <col min="6914" max="6914" width="19.85546875" style="794" customWidth="1"/>
    <col min="6915" max="6915" width="12" style="794" bestFit="1" customWidth="1"/>
    <col min="6916" max="7168" width="9.140625" style="794"/>
    <col min="7169" max="7169" width="29.5703125" style="794" bestFit="1" customWidth="1"/>
    <col min="7170" max="7170" width="19.85546875" style="794" customWidth="1"/>
    <col min="7171" max="7171" width="12" style="794" bestFit="1" customWidth="1"/>
    <col min="7172" max="7424" width="9.140625" style="794"/>
    <col min="7425" max="7425" width="29.5703125" style="794" bestFit="1" customWidth="1"/>
    <col min="7426" max="7426" width="19.85546875" style="794" customWidth="1"/>
    <col min="7427" max="7427" width="12" style="794" bestFit="1" customWidth="1"/>
    <col min="7428" max="7680" width="9.140625" style="794"/>
    <col min="7681" max="7681" width="29.5703125" style="794" bestFit="1" customWidth="1"/>
    <col min="7682" max="7682" width="19.85546875" style="794" customWidth="1"/>
    <col min="7683" max="7683" width="12" style="794" bestFit="1" customWidth="1"/>
    <col min="7684" max="7936" width="9.140625" style="794"/>
    <col min="7937" max="7937" width="29.5703125" style="794" bestFit="1" customWidth="1"/>
    <col min="7938" max="7938" width="19.85546875" style="794" customWidth="1"/>
    <col min="7939" max="7939" width="12" style="794" bestFit="1" customWidth="1"/>
    <col min="7940" max="8192" width="9.140625" style="794"/>
    <col min="8193" max="8193" width="29.5703125" style="794" bestFit="1" customWidth="1"/>
    <col min="8194" max="8194" width="19.85546875" style="794" customWidth="1"/>
    <col min="8195" max="8195" width="12" style="794" bestFit="1" customWidth="1"/>
    <col min="8196" max="8448" width="9.140625" style="794"/>
    <col min="8449" max="8449" width="29.5703125" style="794" bestFit="1" customWidth="1"/>
    <col min="8450" max="8450" width="19.85546875" style="794" customWidth="1"/>
    <col min="8451" max="8451" width="12" style="794" bestFit="1" customWidth="1"/>
    <col min="8452" max="8704" width="9.140625" style="794"/>
    <col min="8705" max="8705" width="29.5703125" style="794" bestFit="1" customWidth="1"/>
    <col min="8706" max="8706" width="19.85546875" style="794" customWidth="1"/>
    <col min="8707" max="8707" width="12" style="794" bestFit="1" customWidth="1"/>
    <col min="8708" max="8960" width="9.140625" style="794"/>
    <col min="8961" max="8961" width="29.5703125" style="794" bestFit="1" customWidth="1"/>
    <col min="8962" max="8962" width="19.85546875" style="794" customWidth="1"/>
    <col min="8963" max="8963" width="12" style="794" bestFit="1" customWidth="1"/>
    <col min="8964" max="9216" width="9.140625" style="794"/>
    <col min="9217" max="9217" width="29.5703125" style="794" bestFit="1" customWidth="1"/>
    <col min="9218" max="9218" width="19.85546875" style="794" customWidth="1"/>
    <col min="9219" max="9219" width="12" style="794" bestFit="1" customWidth="1"/>
    <col min="9220" max="9472" width="9.140625" style="794"/>
    <col min="9473" max="9473" width="29.5703125" style="794" bestFit="1" customWidth="1"/>
    <col min="9474" max="9474" width="19.85546875" style="794" customWidth="1"/>
    <col min="9475" max="9475" width="12" style="794" bestFit="1" customWidth="1"/>
    <col min="9476" max="9728" width="9.140625" style="794"/>
    <col min="9729" max="9729" width="29.5703125" style="794" bestFit="1" customWidth="1"/>
    <col min="9730" max="9730" width="19.85546875" style="794" customWidth="1"/>
    <col min="9731" max="9731" width="12" style="794" bestFit="1" customWidth="1"/>
    <col min="9732" max="9984" width="9.140625" style="794"/>
    <col min="9985" max="9985" width="29.5703125" style="794" bestFit="1" customWidth="1"/>
    <col min="9986" max="9986" width="19.85546875" style="794" customWidth="1"/>
    <col min="9987" max="9987" width="12" style="794" bestFit="1" customWidth="1"/>
    <col min="9988" max="10240" width="9.140625" style="794"/>
    <col min="10241" max="10241" width="29.5703125" style="794" bestFit="1" customWidth="1"/>
    <col min="10242" max="10242" width="19.85546875" style="794" customWidth="1"/>
    <col min="10243" max="10243" width="12" style="794" bestFit="1" customWidth="1"/>
    <col min="10244" max="10496" width="9.140625" style="794"/>
    <col min="10497" max="10497" width="29.5703125" style="794" bestFit="1" customWidth="1"/>
    <col min="10498" max="10498" width="19.85546875" style="794" customWidth="1"/>
    <col min="10499" max="10499" width="12" style="794" bestFit="1" customWidth="1"/>
    <col min="10500" max="10752" width="9.140625" style="794"/>
    <col min="10753" max="10753" width="29.5703125" style="794" bestFit="1" customWidth="1"/>
    <col min="10754" max="10754" width="19.85546875" style="794" customWidth="1"/>
    <col min="10755" max="10755" width="12" style="794" bestFit="1" customWidth="1"/>
    <col min="10756" max="11008" width="9.140625" style="794"/>
    <col min="11009" max="11009" width="29.5703125" style="794" bestFit="1" customWidth="1"/>
    <col min="11010" max="11010" width="19.85546875" style="794" customWidth="1"/>
    <col min="11011" max="11011" width="12" style="794" bestFit="1" customWidth="1"/>
    <col min="11012" max="11264" width="9.140625" style="794"/>
    <col min="11265" max="11265" width="29.5703125" style="794" bestFit="1" customWidth="1"/>
    <col min="11266" max="11266" width="19.85546875" style="794" customWidth="1"/>
    <col min="11267" max="11267" width="12" style="794" bestFit="1" customWidth="1"/>
    <col min="11268" max="11520" width="9.140625" style="794"/>
    <col min="11521" max="11521" width="29.5703125" style="794" bestFit="1" customWidth="1"/>
    <col min="11522" max="11522" width="19.85546875" style="794" customWidth="1"/>
    <col min="11523" max="11523" width="12" style="794" bestFit="1" customWidth="1"/>
    <col min="11524" max="11776" width="9.140625" style="794"/>
    <col min="11777" max="11777" width="29.5703125" style="794" bestFit="1" customWidth="1"/>
    <col min="11778" max="11778" width="19.85546875" style="794" customWidth="1"/>
    <col min="11779" max="11779" width="12" style="794" bestFit="1" customWidth="1"/>
    <col min="11780" max="12032" width="9.140625" style="794"/>
    <col min="12033" max="12033" width="29.5703125" style="794" bestFit="1" customWidth="1"/>
    <col min="12034" max="12034" width="19.85546875" style="794" customWidth="1"/>
    <col min="12035" max="12035" width="12" style="794" bestFit="1" customWidth="1"/>
    <col min="12036" max="12288" width="9.140625" style="794"/>
    <col min="12289" max="12289" width="29.5703125" style="794" bestFit="1" customWidth="1"/>
    <col min="12290" max="12290" width="19.85546875" style="794" customWidth="1"/>
    <col min="12291" max="12291" width="12" style="794" bestFit="1" customWidth="1"/>
    <col min="12292" max="12544" width="9.140625" style="794"/>
    <col min="12545" max="12545" width="29.5703125" style="794" bestFit="1" customWidth="1"/>
    <col min="12546" max="12546" width="19.85546875" style="794" customWidth="1"/>
    <col min="12547" max="12547" width="12" style="794" bestFit="1" customWidth="1"/>
    <col min="12548" max="12800" width="9.140625" style="794"/>
    <col min="12801" max="12801" width="29.5703125" style="794" bestFit="1" customWidth="1"/>
    <col min="12802" max="12802" width="19.85546875" style="794" customWidth="1"/>
    <col min="12803" max="12803" width="12" style="794" bestFit="1" customWidth="1"/>
    <col min="12804" max="13056" width="9.140625" style="794"/>
    <col min="13057" max="13057" width="29.5703125" style="794" bestFit="1" customWidth="1"/>
    <col min="13058" max="13058" width="19.85546875" style="794" customWidth="1"/>
    <col min="13059" max="13059" width="12" style="794" bestFit="1" customWidth="1"/>
    <col min="13060" max="13312" width="9.140625" style="794"/>
    <col min="13313" max="13313" width="29.5703125" style="794" bestFit="1" customWidth="1"/>
    <col min="13314" max="13314" width="19.85546875" style="794" customWidth="1"/>
    <col min="13315" max="13315" width="12" style="794" bestFit="1" customWidth="1"/>
    <col min="13316" max="13568" width="9.140625" style="794"/>
    <col min="13569" max="13569" width="29.5703125" style="794" bestFit="1" customWidth="1"/>
    <col min="13570" max="13570" width="19.85546875" style="794" customWidth="1"/>
    <col min="13571" max="13571" width="12" style="794" bestFit="1" customWidth="1"/>
    <col min="13572" max="13824" width="9.140625" style="794"/>
    <col min="13825" max="13825" width="29.5703125" style="794" bestFit="1" customWidth="1"/>
    <col min="13826" max="13826" width="19.85546875" style="794" customWidth="1"/>
    <col min="13827" max="13827" width="12" style="794" bestFit="1" customWidth="1"/>
    <col min="13828" max="14080" width="9.140625" style="794"/>
    <col min="14081" max="14081" width="29.5703125" style="794" bestFit="1" customWidth="1"/>
    <col min="14082" max="14082" width="19.85546875" style="794" customWidth="1"/>
    <col min="14083" max="14083" width="12" style="794" bestFit="1" customWidth="1"/>
    <col min="14084" max="14336" width="9.140625" style="794"/>
    <col min="14337" max="14337" width="29.5703125" style="794" bestFit="1" customWidth="1"/>
    <col min="14338" max="14338" width="19.85546875" style="794" customWidth="1"/>
    <col min="14339" max="14339" width="12" style="794" bestFit="1" customWidth="1"/>
    <col min="14340" max="14592" width="9.140625" style="794"/>
    <col min="14593" max="14593" width="29.5703125" style="794" bestFit="1" customWidth="1"/>
    <col min="14594" max="14594" width="19.85546875" style="794" customWidth="1"/>
    <col min="14595" max="14595" width="12" style="794" bestFit="1" customWidth="1"/>
    <col min="14596" max="14848" width="9.140625" style="794"/>
    <col min="14849" max="14849" width="29.5703125" style="794" bestFit="1" customWidth="1"/>
    <col min="14850" max="14850" width="19.85546875" style="794" customWidth="1"/>
    <col min="14851" max="14851" width="12" style="794" bestFit="1" customWidth="1"/>
    <col min="14852" max="15104" width="9.140625" style="794"/>
    <col min="15105" max="15105" width="29.5703125" style="794" bestFit="1" customWidth="1"/>
    <col min="15106" max="15106" width="19.85546875" style="794" customWidth="1"/>
    <col min="15107" max="15107" width="12" style="794" bestFit="1" customWidth="1"/>
    <col min="15108" max="15360" width="9.140625" style="794"/>
    <col min="15361" max="15361" width="29.5703125" style="794" bestFit="1" customWidth="1"/>
    <col min="15362" max="15362" width="19.85546875" style="794" customWidth="1"/>
    <col min="15363" max="15363" width="12" style="794" bestFit="1" customWidth="1"/>
    <col min="15364" max="15616" width="9.140625" style="794"/>
    <col min="15617" max="15617" width="29.5703125" style="794" bestFit="1" customWidth="1"/>
    <col min="15618" max="15618" width="19.85546875" style="794" customWidth="1"/>
    <col min="15619" max="15619" width="12" style="794" bestFit="1" customWidth="1"/>
    <col min="15620" max="15872" width="9.140625" style="794"/>
    <col min="15873" max="15873" width="29.5703125" style="794" bestFit="1" customWidth="1"/>
    <col min="15874" max="15874" width="19.85546875" style="794" customWidth="1"/>
    <col min="15875" max="15875" width="12" style="794" bestFit="1" customWidth="1"/>
    <col min="15876" max="16128" width="9.140625" style="794"/>
    <col min="16129" max="16129" width="29.5703125" style="794" bestFit="1" customWidth="1"/>
    <col min="16130" max="16130" width="19.85546875" style="794" customWidth="1"/>
    <col min="16131" max="16131" width="12" style="794" bestFit="1" customWidth="1"/>
    <col min="16132" max="16384" width="9.140625" style="794"/>
  </cols>
  <sheetData>
    <row r="1" spans="1:2">
      <c r="A1" s="794" t="s">
        <v>1026</v>
      </c>
      <c r="B1" s="1392">
        <v>6.1</v>
      </c>
    </row>
    <row r="2" spans="1:2">
      <c r="A2" s="794" t="s">
        <v>1027</v>
      </c>
      <c r="B2" s="1395">
        <v>43207.934560185182</v>
      </c>
    </row>
    <row r="3" spans="1:2">
      <c r="A3" s="794" t="s">
        <v>1028</v>
      </c>
      <c r="B3" s="1393" t="s">
        <v>722</v>
      </c>
    </row>
    <row r="4" spans="1:2">
      <c r="A4" s="794" t="s">
        <v>1029</v>
      </c>
      <c r="B4" s="1393" t="s">
        <v>1030</v>
      </c>
    </row>
    <row r="5" spans="1:2">
      <c r="A5" s="794" t="s">
        <v>1031</v>
      </c>
      <c r="B5" s="1393" t="s">
        <v>1032</v>
      </c>
    </row>
    <row r="6" spans="1:2">
      <c r="A6" s="794" t="s">
        <v>1033</v>
      </c>
    </row>
    <row r="7" spans="1:2">
      <c r="A7" s="794" t="s">
        <v>1034</v>
      </c>
      <c r="B7" s="1393" t="s">
        <v>642</v>
      </c>
    </row>
    <row r="8" spans="1:2">
      <c r="A8" s="794" t="s">
        <v>1035</v>
      </c>
      <c r="B8" s="1393" t="s">
        <v>1036</v>
      </c>
    </row>
    <row r="9" spans="1:2">
      <c r="A9" s="794" t="s">
        <v>1037</v>
      </c>
      <c r="B9" s="1393" t="s">
        <v>1074</v>
      </c>
    </row>
    <row r="10" spans="1:2">
      <c r="A10" s="794" t="s">
        <v>1038</v>
      </c>
    </row>
    <row r="11" spans="1:2">
      <c r="A11" s="794" t="s">
        <v>1039</v>
      </c>
    </row>
    <row r="12" spans="1:2">
      <c r="A12" s="794" t="s">
        <v>1040</v>
      </c>
    </row>
    <row r="13" spans="1:2">
      <c r="A13" s="794" t="s">
        <v>1041</v>
      </c>
    </row>
    <row r="14" spans="1:2">
      <c r="A14" s="794" t="s">
        <v>1042</v>
      </c>
    </row>
    <row r="15" spans="1:2">
      <c r="A15" s="794" t="s">
        <v>1043</v>
      </c>
    </row>
    <row r="16" spans="1:2">
      <c r="A16" s="794" t="s">
        <v>1044</v>
      </c>
    </row>
    <row r="17" spans="1:4">
      <c r="A17" s="794" t="s">
        <v>1045</v>
      </c>
      <c r="B17" s="1393" t="s">
        <v>1075</v>
      </c>
    </row>
    <row r="18" spans="1:4">
      <c r="A18" s="794" t="s">
        <v>1046</v>
      </c>
      <c r="B18" s="1393" t="s">
        <v>723</v>
      </c>
    </row>
    <row r="19" spans="1:4">
      <c r="A19" s="794" t="s">
        <v>1047</v>
      </c>
      <c r="B19" s="1393" t="s">
        <v>77</v>
      </c>
    </row>
    <row r="20" spans="1:4">
      <c r="A20" s="794" t="s">
        <v>1048</v>
      </c>
      <c r="B20" s="1394">
        <v>203668108</v>
      </c>
    </row>
    <row r="21" spans="1:4">
      <c r="A21" s="794" t="s">
        <v>1049</v>
      </c>
      <c r="B21" s="1393" t="s">
        <v>77</v>
      </c>
    </row>
    <row r="22" spans="1:4">
      <c r="A22" s="794" t="s">
        <v>1050</v>
      </c>
      <c r="B22" s="1394">
        <v>2600248</v>
      </c>
    </row>
    <row r="23" spans="1:4">
      <c r="A23" s="794" t="s">
        <v>18</v>
      </c>
      <c r="B23" s="1392">
        <v>4.18</v>
      </c>
    </row>
    <row r="24" spans="1:4">
      <c r="A24" s="794" t="s">
        <v>17</v>
      </c>
      <c r="B24" s="1393" t="s">
        <v>96</v>
      </c>
      <c r="D24" s="794" t="s">
        <v>283</v>
      </c>
    </row>
    <row r="25" spans="1:4">
      <c r="A25" s="794" t="s">
        <v>1051</v>
      </c>
      <c r="B25" s="1393" t="s">
        <v>1077</v>
      </c>
    </row>
    <row r="26" spans="1:4">
      <c r="A26" s="794" t="s">
        <v>1052</v>
      </c>
      <c r="B26" s="1393">
        <v>0</v>
      </c>
    </row>
    <row r="27" spans="1:4">
      <c r="A27" s="794" t="s">
        <v>1053</v>
      </c>
      <c r="B27" s="1393" t="s">
        <v>1054</v>
      </c>
    </row>
    <row r="28" spans="1:4">
      <c r="A28" s="794" t="s">
        <v>1055</v>
      </c>
      <c r="B28" s="1393" t="s">
        <v>1056</v>
      </c>
    </row>
    <row r="29" spans="1:4">
      <c r="A29" s="794" t="s">
        <v>1057</v>
      </c>
    </row>
    <row r="30" spans="1:4">
      <c r="A30" s="794" t="s">
        <v>1058</v>
      </c>
    </row>
    <row r="31" spans="1:4">
      <c r="A31" s="794" t="s">
        <v>1059</v>
      </c>
    </row>
    <row r="32" spans="1:4">
      <c r="A32" s="794" t="s">
        <v>1060</v>
      </c>
      <c r="B32" s="1392"/>
    </row>
    <row r="33" spans="1:2">
      <c r="A33" s="794" t="s">
        <v>1061</v>
      </c>
      <c r="B33" s="1392"/>
    </row>
    <row r="34" spans="1:2">
      <c r="A34" s="794" t="s">
        <v>1062</v>
      </c>
      <c r="B34" s="1392"/>
    </row>
    <row r="35" spans="1:2">
      <c r="A35" s="794" t="s">
        <v>1063</v>
      </c>
      <c r="B35" s="1393">
        <v>1000000</v>
      </c>
    </row>
    <row r="36" spans="1:2">
      <c r="A36" s="794" t="s">
        <v>1064</v>
      </c>
      <c r="B36" s="1393" t="s">
        <v>1076</v>
      </c>
    </row>
    <row r="37" spans="1:2">
      <c r="A37" s="794" t="s">
        <v>1065</v>
      </c>
      <c r="B37" s="1393" t="s">
        <v>1066</v>
      </c>
    </row>
    <row r="38" spans="1:2">
      <c r="A38" s="794" t="s">
        <v>1067</v>
      </c>
      <c r="B38" s="1393" t="s">
        <v>1068</v>
      </c>
    </row>
    <row r="39" spans="1:2">
      <c r="A39" s="794" t="s">
        <v>1069</v>
      </c>
      <c r="B39" s="1393" t="s">
        <v>645</v>
      </c>
    </row>
    <row r="40" spans="1:2">
      <c r="A40" s="794" t="s">
        <v>1070</v>
      </c>
      <c r="B40" s="1393">
        <v>1500005495</v>
      </c>
    </row>
    <row r="41" spans="1:2">
      <c r="A41" s="794" t="s">
        <v>1071</v>
      </c>
      <c r="B41" s="1393">
        <v>1</v>
      </c>
    </row>
    <row r="42" spans="1:2">
      <c r="A42" s="1360" t="s">
        <v>1072</v>
      </c>
    </row>
    <row r="43" spans="1:2">
      <c r="A43" s="794" t="s">
        <v>1073</v>
      </c>
    </row>
  </sheetData>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8.5703125" style="794" bestFit="1" customWidth="1"/>
    <col min="2" max="256" width="9.140625" style="794"/>
    <col min="257" max="257" width="28.5703125" style="794" bestFit="1" customWidth="1"/>
    <col min="258" max="512" width="9.140625" style="794"/>
    <col min="513" max="513" width="28.5703125" style="794" bestFit="1" customWidth="1"/>
    <col min="514" max="768" width="9.140625" style="794"/>
    <col min="769" max="769" width="28.5703125" style="794" bestFit="1" customWidth="1"/>
    <col min="770" max="1024" width="9.140625" style="794"/>
    <col min="1025" max="1025" width="28.5703125" style="794" bestFit="1" customWidth="1"/>
    <col min="1026" max="1280" width="9.140625" style="794"/>
    <col min="1281" max="1281" width="28.5703125" style="794" bestFit="1" customWidth="1"/>
    <col min="1282" max="1536" width="9.140625" style="794"/>
    <col min="1537" max="1537" width="28.5703125" style="794" bestFit="1" customWidth="1"/>
    <col min="1538" max="1792" width="9.140625" style="794"/>
    <col min="1793" max="1793" width="28.5703125" style="794" bestFit="1" customWidth="1"/>
    <col min="1794" max="2048" width="9.140625" style="794"/>
    <col min="2049" max="2049" width="28.5703125" style="794" bestFit="1" customWidth="1"/>
    <col min="2050" max="2304" width="9.140625" style="794"/>
    <col min="2305" max="2305" width="28.5703125" style="794" bestFit="1" customWidth="1"/>
    <col min="2306" max="2560" width="9.140625" style="794"/>
    <col min="2561" max="2561" width="28.5703125" style="794" bestFit="1" customWidth="1"/>
    <col min="2562" max="2816" width="9.140625" style="794"/>
    <col min="2817" max="2817" width="28.5703125" style="794" bestFit="1" customWidth="1"/>
    <col min="2818" max="3072" width="9.140625" style="794"/>
    <col min="3073" max="3073" width="28.5703125" style="794" bestFit="1" customWidth="1"/>
    <col min="3074" max="3328" width="9.140625" style="794"/>
    <col min="3329" max="3329" width="28.5703125" style="794" bestFit="1" customWidth="1"/>
    <col min="3330" max="3584" width="9.140625" style="794"/>
    <col min="3585" max="3585" width="28.5703125" style="794" bestFit="1" customWidth="1"/>
    <col min="3586" max="3840" width="9.140625" style="794"/>
    <col min="3841" max="3841" width="28.5703125" style="794" bestFit="1" customWidth="1"/>
    <col min="3842" max="4096" width="9.140625" style="794"/>
    <col min="4097" max="4097" width="28.5703125" style="794" bestFit="1" customWidth="1"/>
    <col min="4098" max="4352" width="9.140625" style="794"/>
    <col min="4353" max="4353" width="28.5703125" style="794" bestFit="1" customWidth="1"/>
    <col min="4354" max="4608" width="9.140625" style="794"/>
    <col min="4609" max="4609" width="28.5703125" style="794" bestFit="1" customWidth="1"/>
    <col min="4610" max="4864" width="9.140625" style="794"/>
    <col min="4865" max="4865" width="28.5703125" style="794" bestFit="1" customWidth="1"/>
    <col min="4866" max="5120" width="9.140625" style="794"/>
    <col min="5121" max="5121" width="28.5703125" style="794" bestFit="1" customWidth="1"/>
    <col min="5122" max="5376" width="9.140625" style="794"/>
    <col min="5377" max="5377" width="28.5703125" style="794" bestFit="1" customWidth="1"/>
    <col min="5378" max="5632" width="9.140625" style="794"/>
    <col min="5633" max="5633" width="28.5703125" style="794" bestFit="1" customWidth="1"/>
    <col min="5634" max="5888" width="9.140625" style="794"/>
    <col min="5889" max="5889" width="28.5703125" style="794" bestFit="1" customWidth="1"/>
    <col min="5890" max="6144" width="9.140625" style="794"/>
    <col min="6145" max="6145" width="28.5703125" style="794" bestFit="1" customWidth="1"/>
    <col min="6146" max="6400" width="9.140625" style="794"/>
    <col min="6401" max="6401" width="28.5703125" style="794" bestFit="1" customWidth="1"/>
    <col min="6402" max="6656" width="9.140625" style="794"/>
    <col min="6657" max="6657" width="28.5703125" style="794" bestFit="1" customWidth="1"/>
    <col min="6658" max="6912" width="9.140625" style="794"/>
    <col min="6913" max="6913" width="28.5703125" style="794" bestFit="1" customWidth="1"/>
    <col min="6914" max="7168" width="9.140625" style="794"/>
    <col min="7169" max="7169" width="28.5703125" style="794" bestFit="1" customWidth="1"/>
    <col min="7170" max="7424" width="9.140625" style="794"/>
    <col min="7425" max="7425" width="28.5703125" style="794" bestFit="1" customWidth="1"/>
    <col min="7426" max="7680" width="9.140625" style="794"/>
    <col min="7681" max="7681" width="28.5703125" style="794" bestFit="1" customWidth="1"/>
    <col min="7682" max="7936" width="9.140625" style="794"/>
    <col min="7937" max="7937" width="28.5703125" style="794" bestFit="1" customWidth="1"/>
    <col min="7938" max="8192" width="9.140625" style="794"/>
    <col min="8193" max="8193" width="28.5703125" style="794" bestFit="1" customWidth="1"/>
    <col min="8194" max="8448" width="9.140625" style="794"/>
    <col min="8449" max="8449" width="28.5703125" style="794" bestFit="1" customWidth="1"/>
    <col min="8450" max="8704" width="9.140625" style="794"/>
    <col min="8705" max="8705" width="28.5703125" style="794" bestFit="1" customWidth="1"/>
    <col min="8706" max="8960" width="9.140625" style="794"/>
    <col min="8961" max="8961" width="28.5703125" style="794" bestFit="1" customWidth="1"/>
    <col min="8962" max="9216" width="9.140625" style="794"/>
    <col min="9217" max="9217" width="28.5703125" style="794" bestFit="1" customWidth="1"/>
    <col min="9218" max="9472" width="9.140625" style="794"/>
    <col min="9473" max="9473" width="28.5703125" style="794" bestFit="1" customWidth="1"/>
    <col min="9474" max="9728" width="9.140625" style="794"/>
    <col min="9729" max="9729" width="28.5703125" style="794" bestFit="1" customWidth="1"/>
    <col min="9730" max="9984" width="9.140625" style="794"/>
    <col min="9985" max="9985" width="28.5703125" style="794" bestFit="1" customWidth="1"/>
    <col min="9986" max="10240" width="9.140625" style="794"/>
    <col min="10241" max="10241" width="28.5703125" style="794" bestFit="1" customWidth="1"/>
    <col min="10242" max="10496" width="9.140625" style="794"/>
    <col min="10497" max="10497" width="28.5703125" style="794" bestFit="1" customWidth="1"/>
    <col min="10498" max="10752" width="9.140625" style="794"/>
    <col min="10753" max="10753" width="28.5703125" style="794" bestFit="1" customWidth="1"/>
    <col min="10754" max="11008" width="9.140625" style="794"/>
    <col min="11009" max="11009" width="28.5703125" style="794" bestFit="1" customWidth="1"/>
    <col min="11010" max="11264" width="9.140625" style="794"/>
    <col min="11265" max="11265" width="28.5703125" style="794" bestFit="1" customWidth="1"/>
    <col min="11266" max="11520" width="9.140625" style="794"/>
    <col min="11521" max="11521" width="28.5703125" style="794" bestFit="1" customWidth="1"/>
    <col min="11522" max="11776" width="9.140625" style="794"/>
    <col min="11777" max="11777" width="28.5703125" style="794" bestFit="1" customWidth="1"/>
    <col min="11778" max="12032" width="9.140625" style="794"/>
    <col min="12033" max="12033" width="28.5703125" style="794" bestFit="1" customWidth="1"/>
    <col min="12034" max="12288" width="9.140625" style="794"/>
    <col min="12289" max="12289" width="28.5703125" style="794" bestFit="1" customWidth="1"/>
    <col min="12290" max="12544" width="9.140625" style="794"/>
    <col min="12545" max="12545" width="28.5703125" style="794" bestFit="1" customWidth="1"/>
    <col min="12546" max="12800" width="9.140625" style="794"/>
    <col min="12801" max="12801" width="28.5703125" style="794" bestFit="1" customWidth="1"/>
    <col min="12802" max="13056" width="9.140625" style="794"/>
    <col min="13057" max="13057" width="28.5703125" style="794" bestFit="1" customWidth="1"/>
    <col min="13058" max="13312" width="9.140625" style="794"/>
    <col min="13313" max="13313" width="28.5703125" style="794" bestFit="1" customWidth="1"/>
    <col min="13314" max="13568" width="9.140625" style="794"/>
    <col min="13569" max="13569" width="28.5703125" style="794" bestFit="1" customWidth="1"/>
    <col min="13570" max="13824" width="9.140625" style="794"/>
    <col min="13825" max="13825" width="28.5703125" style="794" bestFit="1" customWidth="1"/>
    <col min="13826" max="14080" width="9.140625" style="794"/>
    <col min="14081" max="14081" width="28.5703125" style="794" bestFit="1" customWidth="1"/>
    <col min="14082" max="14336" width="9.140625" style="794"/>
    <col min="14337" max="14337" width="28.5703125" style="794" bestFit="1" customWidth="1"/>
    <col min="14338" max="14592" width="9.140625" style="794"/>
    <col min="14593" max="14593" width="28.5703125" style="794" bestFit="1" customWidth="1"/>
    <col min="14594" max="14848" width="9.140625" style="794"/>
    <col min="14849" max="14849" width="28.5703125" style="794" bestFit="1" customWidth="1"/>
    <col min="14850" max="15104" width="9.140625" style="794"/>
    <col min="15105" max="15105" width="28.5703125" style="794" bestFit="1" customWidth="1"/>
    <col min="15106" max="15360" width="9.140625" style="794"/>
    <col min="15361" max="15361" width="28.5703125" style="794" bestFit="1" customWidth="1"/>
    <col min="15362" max="15616" width="9.140625" style="794"/>
    <col min="15617" max="15617" width="28.5703125" style="794" bestFit="1" customWidth="1"/>
    <col min="15618" max="15872" width="9.140625" style="794"/>
    <col min="15873" max="15873" width="28.5703125" style="794" bestFit="1" customWidth="1"/>
    <col min="15874" max="16128" width="9.140625" style="794"/>
    <col min="16129" max="16129" width="28.5703125" style="794" bestFit="1" customWidth="1"/>
    <col min="16130" max="16384" width="9.140625" style="794"/>
  </cols>
  <sheetData>
    <row r="1" spans="1:1">
      <c r="A1" s="1396" t="s">
        <v>1078</v>
      </c>
    </row>
    <row r="2" spans="1:1">
      <c r="A2" s="1396" t="s">
        <v>1083</v>
      </c>
    </row>
    <row r="3" spans="1:1">
      <c r="A3" s="1396" t="s">
        <v>1084</v>
      </c>
    </row>
    <row r="4" spans="1:1">
      <c r="A4" s="1396" t="s">
        <v>1085</v>
      </c>
    </row>
    <row r="5" spans="1:1">
      <c r="A5" s="1396" t="s">
        <v>1086</v>
      </c>
    </row>
    <row r="6" spans="1:1">
      <c r="A6" s="1396" t="s">
        <v>1079</v>
      </c>
    </row>
    <row r="7" spans="1:1">
      <c r="A7" s="1396" t="s">
        <v>1087</v>
      </c>
    </row>
    <row r="8" spans="1:1">
      <c r="A8" s="1396" t="s">
        <v>1088</v>
      </c>
    </row>
    <row r="9" spans="1:1">
      <c r="A9" s="1396" t="s">
        <v>1089</v>
      </c>
    </row>
    <row r="10" spans="1:1">
      <c r="A10" s="1396" t="s">
        <v>1080</v>
      </c>
    </row>
    <row r="11" spans="1:1">
      <c r="A11" s="1396" t="s">
        <v>1090</v>
      </c>
    </row>
    <row r="12" spans="1:1">
      <c r="A12" s="1396" t="s">
        <v>1081</v>
      </c>
    </row>
    <row r="13" spans="1:1">
      <c r="A13" s="1396" t="s">
        <v>1082</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1ef9af19-916d-49c2-aaaf-d66d9d98a5f1</GUID>
    <SOURCETYPE>Chart</SOURCETYPE>
    <SOURCE_OBJECTNAME>MWA_Risk_Reward</SOURCE_OBJECTNAME>
    <SOURCE_SHEETCODE>MWRSSData</SOURCE_SHEETCODE>
    <SOURCE_SHEETNAME>MWA RR</SOURCE_SHEETNAME>
    <OBJECTTYPE>Native</OBJECTTYPE>
    <SOURCEAPPLICATION>EXCEL_SOURCE</SOURCEAPPLICATION>
    <UPDATEDAT>5/13/2015 5:03:12 PM</UPDATEDAT>
    <SOURCE_ISOUTOFDATE>False</SOURCE_ISOUTOFDATE>
    <SOURCE_WORKBOOKNAME>CYH_2017.xls</SOURCE_WORKBOOKNAME>
    <SOURCE_WORKBOOKPATH>\\MSAD\ROOT\NA\NY\LIB\ER\HEALTH\Schenker\Models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/MSResearch/Content/ExternalAssets/2015-05/Images/LPdpMpG83ESLaNk7AMdFPA--.png</TARGET_BINARYFULLNAME>
    <TARGET_STORYFULLNAME>/MSResearch/Content/ExternalAssets/2015-05/Sections/20150512_062430_MWA_Risk_Reward.xml</TARGET_STORYFULLNAME>
    <TARGET_UUID>a832f276-f8f5-11e4-b06e-39cc228b6d15</TARGET_UUID>
    <LINKSTATUS>Unknown</LINKSTATUS>
  </Link>
  <Link>
    <GUID>cfed2641-0582-46e6-ba83-09a3c1812ce1</GUID>
    <SOURCE_ALTADDRESS>$A$4:$CM$95</SOURCE_ALTADDRESS>
    <SOURCETYPE>Table</SOURCETYPE>
    <SOURCE_OBJECTNAME>Linking_Range_21</SOURCE_OBJECTNAME>
    <OBJECTTYPE>Native</OBJECTTYPE>
    <SOURCE_SHEETCODE>Sheet4</SOURCE_SHEETCODE>
    <SOURCE_SHEETNAME>Income Statement</SOURCE_SHEETNAME>
    <SOURCEAPPLICATION>EXCEL_SOURCE</SOURCEAPPLICATION>
    <UPDATEDAT>5/13/2015 5:03:16 PM</UPDATEDAT>
    <SOURCE_ISOUTOFDATE>False</SOURCE_ISOUTOFDATE>
    <SOURCE_WORKBOOKNAME>CYH_2017.xls</SOURCE_WORKBOOKNAME>
    <SOURCE_WORKBOOKPATH>\\MSAD\ROOT\NA\NY\LIB\ER\HEALTH\Schenker\Models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/MSResearch/Content/ExternalAssets/2015-05/Images/UtHMKZvPpkeSkP-iEXCZLg--.png</TARGET_BINARYFULLNAME>
    <TARGET_STORYFULLNAME>/MSResearch/Content/ExternalAssets/2015-05/Sections/20150513_044659_Linking_Range_21.xml</TARGET_STORYFULLNAME>
    <TARGET_UUID>33a843cc-f9b1-11e4-b06e-39cc228b6d15</TARGET_UUID>
    <LINKSTATUS>Unknown</LINKSTATUS>
  </Link>
</lk:Links>
</file>

<file path=customXml/itemProps1.xml><?xml version="1.0" encoding="utf-8"?>
<ds:datastoreItem xmlns:ds="http://schemas.openxmlformats.org/officeDocument/2006/customXml" ds:itemID="{081E65B3-FE94-4DBA-8C3F-5352C3B80F5C}">
  <ds:schemaRefs>
    <ds:schemaRef ds:uri="thomsonreuters.linking.metadatachange"/>
  </ds:schemaRefs>
</ds:datastoreItem>
</file>

<file path=customXml/itemProps2.xml><?xml version="1.0" encoding="utf-8"?>
<ds:datastoreItem xmlns:ds="http://schemas.openxmlformats.org/officeDocument/2006/customXml" ds:itemID="{C96B5B61-6EDF-4EEE-884C-C42260A0FF4E}">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288</vt:i4>
      </vt:variant>
    </vt:vector>
  </HeadingPairs>
  <TitlesOfParts>
    <vt:vector size="300" baseType="lpstr">
      <vt:lpstr>ImportantDisclosures</vt:lpstr>
      <vt:lpstr>CircularReferenceAlert</vt:lpstr>
      <vt:lpstr>Cover</vt:lpstr>
      <vt:lpstr>Scenarios</vt:lpstr>
      <vt:lpstr>IS</vt:lpstr>
      <vt:lpstr>BS &amp; CF</vt:lpstr>
      <vt:lpstr>Revenue Model</vt:lpstr>
      <vt:lpstr>Expense Assumptions</vt:lpstr>
      <vt:lpstr>Debt</vt:lpstr>
      <vt:lpstr>Guidance</vt:lpstr>
      <vt:lpstr>IndexInformation</vt:lpstr>
      <vt:lpstr>ModPubIndex</vt:lpstr>
      <vt:lpstr>_acquisitions</vt:lpstr>
      <vt:lpstr>_adjadmits</vt:lpstr>
      <vt:lpstr>_adjEBITDA</vt:lpstr>
      <vt:lpstr>_adjpatdays</vt:lpstr>
      <vt:lpstr>_admits</vt:lpstr>
      <vt:lpstr>_allowance</vt:lpstr>
      <vt:lpstr>_allowperc</vt:lpstr>
      <vt:lpstr>_ap</vt:lpstr>
      <vt:lpstr>_ar</vt:lpstr>
      <vt:lpstr>_baddebt</vt:lpstr>
      <vt:lpstr>_bdpct</vt:lpstr>
      <vt:lpstr>_bs_1c01</vt:lpstr>
      <vt:lpstr>_bs_1c02</vt:lpstr>
      <vt:lpstr>_bs_1c03</vt:lpstr>
      <vt:lpstr>_bs_1c04</vt:lpstr>
      <vt:lpstr>_bs_1c05</vt:lpstr>
      <vt:lpstr>_bs_1c06</vt:lpstr>
      <vt:lpstr>_bs_1c07</vt:lpstr>
      <vt:lpstr>_bs_1c08</vt:lpstr>
      <vt:lpstr>_bs_1c09</vt:lpstr>
      <vt:lpstr>_bs_1c10</vt:lpstr>
      <vt:lpstr>_bs_1c11</vt:lpstr>
      <vt:lpstr>_bs_1c12</vt:lpstr>
      <vt:lpstr>_bs_1c13</vt:lpstr>
      <vt:lpstr>_bs_2c01</vt:lpstr>
      <vt:lpstr>_bs_2c02</vt:lpstr>
      <vt:lpstr>_bs_2c03</vt:lpstr>
      <vt:lpstr>_bs_2c04</vt:lpstr>
      <vt:lpstr>_bs_2c05</vt:lpstr>
      <vt:lpstr>_bs_2c07</vt:lpstr>
      <vt:lpstr>_bs_2c08</vt:lpstr>
      <vt:lpstr>_bs_2c09</vt:lpstr>
      <vt:lpstr>_bs_2c10</vt:lpstr>
      <vt:lpstr>_bs_2c11</vt:lpstr>
      <vt:lpstr>_bs_2c12</vt:lpstr>
      <vt:lpstr>_bs_2c13</vt:lpstr>
      <vt:lpstr>_bs_3c01</vt:lpstr>
      <vt:lpstr>_bs_3c02</vt:lpstr>
      <vt:lpstr>_bs_3c03</vt:lpstr>
      <vt:lpstr>_bs_3c04</vt:lpstr>
      <vt:lpstr>_bs_3c05</vt:lpstr>
      <vt:lpstr>_bs_3c06</vt:lpstr>
      <vt:lpstr>_bs_3c07</vt:lpstr>
      <vt:lpstr>_bs_3c08</vt:lpstr>
      <vt:lpstr>_bs_3c09</vt:lpstr>
      <vt:lpstr>_bs_3c10</vt:lpstr>
      <vt:lpstr>_bs_3c11</vt:lpstr>
      <vt:lpstr>_bs_3c12</vt:lpstr>
      <vt:lpstr>_bs_3c13</vt:lpstr>
      <vt:lpstr>_bs_4c01</vt:lpstr>
      <vt:lpstr>_bs_4c02</vt:lpstr>
      <vt:lpstr>_bs_4c03</vt:lpstr>
      <vt:lpstr>_bs_4c04</vt:lpstr>
      <vt:lpstr>_bs_4c05</vt:lpstr>
      <vt:lpstr>_bs_4c06</vt:lpstr>
      <vt:lpstr>_bs_4c07</vt:lpstr>
      <vt:lpstr>_bs_4c08</vt:lpstr>
      <vt:lpstr>_bs_4c09</vt:lpstr>
      <vt:lpstr>_bs_4c10</vt:lpstr>
      <vt:lpstr>_bs_4c11</vt:lpstr>
      <vt:lpstr>_bs_4c12</vt:lpstr>
      <vt:lpstr>_bs_4c13</vt:lpstr>
      <vt:lpstr>_bs_fy01</vt:lpstr>
      <vt:lpstr>_bs_fy02</vt:lpstr>
      <vt:lpstr>_bs_fy03</vt:lpstr>
      <vt:lpstr>_bs_fy04</vt:lpstr>
      <vt:lpstr>_bs_fy05</vt:lpstr>
      <vt:lpstr>_bs_fy09</vt:lpstr>
      <vt:lpstr>_bs_fy10</vt:lpstr>
      <vt:lpstr>_bs_fy11</vt:lpstr>
      <vt:lpstr>_bs_fy12</vt:lpstr>
      <vt:lpstr>_bs_fy13</vt:lpstr>
      <vt:lpstr>_ca</vt:lpstr>
      <vt:lpstr>_capex</vt:lpstr>
      <vt:lpstr>_cash</vt:lpstr>
      <vt:lpstr>_census</vt:lpstr>
      <vt:lpstr>_cff</vt:lpstr>
      <vt:lpstr>_cfi</vt:lpstr>
      <vt:lpstr>_cfo</vt:lpstr>
      <vt:lpstr>_cl</vt:lpstr>
      <vt:lpstr>_currdeftaxass</vt:lpstr>
      <vt:lpstr>_currdeftaxliab</vt:lpstr>
      <vt:lpstr>_d2EBITDA</vt:lpstr>
      <vt:lpstr>_d2equity</vt:lpstr>
      <vt:lpstr>_depr</vt:lpstr>
      <vt:lpstr>_dtc</vt:lpstr>
      <vt:lpstr>_ebitda</vt:lpstr>
      <vt:lpstr>_ebitdamarg</vt:lpstr>
      <vt:lpstr>_equity</vt:lpstr>
      <vt:lpstr>_fcf</vt:lpstr>
      <vt:lpstr>_fcfps</vt:lpstr>
      <vt:lpstr>_GAAPeps</vt:lpstr>
      <vt:lpstr>_gw</vt:lpstr>
      <vt:lpstr>_hospitals</vt:lpstr>
      <vt:lpstr>_intexp</vt:lpstr>
      <vt:lpstr>_is_1c01</vt:lpstr>
      <vt:lpstr>_is_1c02</vt:lpstr>
      <vt:lpstr>_is_1c03</vt:lpstr>
      <vt:lpstr>_is_1c04</vt:lpstr>
      <vt:lpstr>_is_1c05</vt:lpstr>
      <vt:lpstr>_is_1c06</vt:lpstr>
      <vt:lpstr>_is_1c07</vt:lpstr>
      <vt:lpstr>_is_1c08</vt:lpstr>
      <vt:lpstr>_is_1c09</vt:lpstr>
      <vt:lpstr>_is_1c10</vt:lpstr>
      <vt:lpstr>_is_1c11</vt:lpstr>
      <vt:lpstr>_is_1c12</vt:lpstr>
      <vt:lpstr>_is_1c13</vt:lpstr>
      <vt:lpstr>_is_2c01</vt:lpstr>
      <vt:lpstr>_is_2c02</vt:lpstr>
      <vt:lpstr>_is_2c03</vt:lpstr>
      <vt:lpstr>_is_2c04</vt:lpstr>
      <vt:lpstr>_is_2c05</vt:lpstr>
      <vt:lpstr>_is_2c06</vt:lpstr>
      <vt:lpstr>_is_2c07</vt:lpstr>
      <vt:lpstr>_is_2c08</vt:lpstr>
      <vt:lpstr>_is_2c09</vt:lpstr>
      <vt:lpstr>_is_2c10</vt:lpstr>
      <vt:lpstr>_is_2c11</vt:lpstr>
      <vt:lpstr>_is_2c12</vt:lpstr>
      <vt:lpstr>_is_2c13</vt:lpstr>
      <vt:lpstr>_is_3c01</vt:lpstr>
      <vt:lpstr>_is_3c02</vt:lpstr>
      <vt:lpstr>_is_3c03</vt:lpstr>
      <vt:lpstr>_is_3c04</vt:lpstr>
      <vt:lpstr>_is_3c05</vt:lpstr>
      <vt:lpstr>_is_3c06</vt:lpstr>
      <vt:lpstr>_is_3c07</vt:lpstr>
      <vt:lpstr>_is_3c08</vt:lpstr>
      <vt:lpstr>_is_3c09</vt:lpstr>
      <vt:lpstr>_is_3c10</vt:lpstr>
      <vt:lpstr>_is_3c11</vt:lpstr>
      <vt:lpstr>_is_3c12</vt:lpstr>
      <vt:lpstr>_is_3c13</vt:lpstr>
      <vt:lpstr>_is_4c01</vt:lpstr>
      <vt:lpstr>_is_4c02</vt:lpstr>
      <vt:lpstr>_is_4c03</vt:lpstr>
      <vt:lpstr>_is_4c04</vt:lpstr>
      <vt:lpstr>_is_4c05</vt:lpstr>
      <vt:lpstr>_is_4c06</vt:lpstr>
      <vt:lpstr>_is_4c07</vt:lpstr>
      <vt:lpstr>_is_4c08</vt:lpstr>
      <vt:lpstr>_is_4c09</vt:lpstr>
      <vt:lpstr>_is_4c10</vt:lpstr>
      <vt:lpstr>_is_4c11</vt:lpstr>
      <vt:lpstr>_is_4c12</vt:lpstr>
      <vt:lpstr>_is_4c13</vt:lpstr>
      <vt:lpstr>_is_fy05</vt:lpstr>
      <vt:lpstr>_is_fy06</vt:lpstr>
      <vt:lpstr>_is_fy07</vt:lpstr>
      <vt:lpstr>_is_fy08</vt:lpstr>
      <vt:lpstr>_is_fy09</vt:lpstr>
      <vt:lpstr>_is_fy10</vt:lpstr>
      <vt:lpstr>_is_fy11</vt:lpstr>
      <vt:lpstr>_is_fy12</vt:lpstr>
      <vt:lpstr>_is_fy13</vt:lpstr>
      <vt:lpstr>_is_fy14</vt:lpstr>
      <vt:lpstr>_is_fy16</vt:lpstr>
      <vt:lpstr>_los</vt:lpstr>
      <vt:lpstr>_ltdebt</vt:lpstr>
      <vt:lpstr>_minintd</vt:lpstr>
      <vt:lpstr>_mininte</vt:lpstr>
      <vt:lpstr>_nd2cap</vt:lpstr>
      <vt:lpstr>_nd2EBITDA</vt:lpstr>
      <vt:lpstr>_nd2equity</vt:lpstr>
      <vt:lpstr>_netinc</vt:lpstr>
      <vt:lpstr>_netintexp</vt:lpstr>
      <vt:lpstr>_netrev</vt:lpstr>
      <vt:lpstr>_occupancy</vt:lpstr>
      <vt:lpstr>_onetimes</vt:lpstr>
      <vt:lpstr>_opeps</vt:lpstr>
      <vt:lpstr>_opni</vt:lpstr>
      <vt:lpstr>_patdays</vt:lpstr>
      <vt:lpstr>_ppe</vt:lpstr>
      <vt:lpstr>_pretax</vt:lpstr>
      <vt:lpstr>_pretaxinc</vt:lpstr>
      <vt:lpstr>_rent</vt:lpstr>
      <vt:lpstr>_rev</vt:lpstr>
      <vt:lpstr>_salandben</vt:lpstr>
      <vt:lpstr>_servicebeds</vt:lpstr>
      <vt:lpstr>_shrepo</vt:lpstr>
      <vt:lpstr>_stdebt</vt:lpstr>
      <vt:lpstr>_supplyexp</vt:lpstr>
      <vt:lpstr>_swb</vt:lpstr>
      <vt:lpstr>_taxexp</vt:lpstr>
      <vt:lpstr>_taxrate</vt:lpstr>
      <vt:lpstr>_totass</vt:lpstr>
      <vt:lpstr>_totliab</vt:lpstr>
      <vt:lpstr>_writeoff</vt:lpstr>
      <vt:lpstr>AdditionalInstructions</vt:lpstr>
      <vt:lpstr>ImportantDisclosures!Address</vt:lpstr>
      <vt:lpstr>ModPubIndex!ANA</vt:lpstr>
      <vt:lpstr>ImportantDisclosures!Authors</vt:lpstr>
      <vt:lpstr>IndexInformation!Authors</vt:lpstr>
      <vt:lpstr>ModPubIndex!BRO</vt:lpstr>
      <vt:lpstr>CircularReferenceAlert!Buttons</vt:lpstr>
      <vt:lpstr>ImportantDisclosures!CopyrightStamp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CYHbs</vt:lpstr>
      <vt:lpstr>CYHcf</vt:lpstr>
      <vt:lpstr>CYHis</vt:lpstr>
      <vt:lpstr>ImportantDisclosures!Date</vt:lpstr>
      <vt:lpstr>IndexInformation!Deleted</vt:lpstr>
      <vt:lpstr>IndexInformation!Description</vt:lpstr>
      <vt:lpstr>IndexInformation!Discipline</vt:lpstr>
      <vt:lpstr>ModPubIndex!DISCIPLINE</vt:lpstr>
      <vt:lpstr>ImportantDisclosures!DisclosuresText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IndexInformation!IndustryId</vt:lpstr>
      <vt:lpstr>ImportantDisclosures!IndustryRating</vt:lpstr>
      <vt:lpstr>IndexInformation!KeepVersions</vt:lpstr>
      <vt:lpstr>IndexInformation!LanguageCode</vt:lpstr>
      <vt:lpstr>ImportantDisclosures!LastCell</vt:lpstr>
      <vt:lpstr>Linking_1</vt:lpstr>
      <vt:lpstr>Linking_13</vt:lpstr>
      <vt:lpstr>Linking_2</vt:lpstr>
      <vt:lpstr>Linking_3</vt:lpstr>
      <vt:lpstr>Linking_4</vt:lpstr>
      <vt:lpstr>Linking_5</vt:lpstr>
      <vt:lpstr>Linking_6</vt:lpstr>
      <vt:lpstr>Linking_7</vt:lpstr>
      <vt:lpstr>Linking_8</vt:lpstr>
      <vt:lpstr>Linking_Range_10</vt:lpstr>
      <vt:lpstr>Linking_Range_11</vt:lpstr>
      <vt:lpstr>Linking_Range_12</vt:lpstr>
      <vt:lpstr>Linking_Range_15</vt:lpstr>
      <vt:lpstr>Linking_Range_16</vt:lpstr>
      <vt:lpstr>Linking_Range_17</vt:lpstr>
      <vt:lpstr>Linking_Range_21</vt:lpstr>
      <vt:lpstr>Linking_Range_7</vt:lpstr>
      <vt:lpstr>Linking_Range_8</vt:lpstr>
      <vt:lpstr>Linking_Range_9</vt:lpstr>
      <vt:lpstr>Linking_Text_2</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 &amp; CF'!Print_Area</vt:lpstr>
      <vt:lpstr>IS!Print_Area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Switch</vt:lpstr>
      <vt:lpstr>ImportantDisclosures!TargetPrice</vt:lpstr>
      <vt:lpstr>TemplateRegion</vt:lpstr>
      <vt:lpstr>ImportantDisclosures!Ticker</vt:lpstr>
      <vt:lpstr>TickerRegion</vt:lpstr>
      <vt:lpstr>IndexInformation!Tickers</vt:lpstr>
      <vt:lpstr>IndexInformation!UpdateReason</vt:lpstr>
      <vt:lpstr>yyopepsg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2015-02-23T19:59:47Z</dcterms:created>
  <dc:creator>Ashoka, Vikram (Research)</dc:creator>
  <cp:lastModifiedBy>Capitena, Cindy (Research)</cp:lastModifiedBy>
  <cp:lastPrinted>2018-04-12T20:34:13Z</cp:lastPrinted>
  <dcterms:modified xsi:type="dcterms:W3CDTF">2018-04-18T02:27:19Z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A44787D4-0540-4523-9961-78E4036D8C6D}" pid="2">
    <vt:lpwstr>{81D96C0E-CABE-41A3-8DB8-CC1527E74D92}</vt:lpwstr>
  </property>
  <property fmtid="{D5CDD505-2E9C-101B-9397-08002B2CF9AE}" name="LinkingAutoNameNumberLinking_Range_" pid="3">
    <vt:lpwstr>22</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762288</vt:lpwstr>
  </property>
  <property fmtid="{D5CDD505-2E9C-101B-9397-08002B2CF9AE}" name="ERModPubCompanyName" pid="7">
    <vt:lpwstr>Community Health Systems Inc</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.TEZUF76X5TAHATHESADREYAK-00-INB160+*94600-06=d407d9fa/-42af/-11e8/-9695/-5e5c95fbb3b1,MD=20180417222753/-0400,ZZ=000Z-b635.</vt:lpwstr>
  </property>
</Properties>
</file>